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6.0.3.152"/>
  <workbookPr/>
  <bookViews>
    <workbookView xWindow="480" yWindow="60" windowWidth="18075" windowHeight="9900"/>
  </bookViews>
  <sheets>
    <sheet name="Sheet1" sheetId="1" r:id="rId1"/>
  </sheets>
  <calcPr calcId="40001"/>
</workbook>
</file>

<file path=xl/sharedStrings.xml><?xml version="1.0" encoding="utf-8"?>
<sst xmlns="http://schemas.openxmlformats.org/spreadsheetml/2006/main" count="157577" uniqueCount="67272">
  <si>
    <t>55803-1981</t>
  </si>
  <si>
    <t>Doehlert Ralph Tr</t>
  </si>
  <si>
    <t>Rpd</t>
  </si>
  <si>
    <t>31-43-24-c4-02109.0220</t>
  </si>
  <si>
    <t xml:space="preserve">3928 SE 4th Ave </t>
  </si>
  <si>
    <t xml:space="preserve">308 Stotts Ave  El Paso, TX 79932-2228 </t>
  </si>
  <si>
    <t>Nils Landahl</t>
  </si>
  <si>
    <t xml:space="preserve">18 Chartres Ct  Lake Saint Louis, MO 63367-1230 </t>
  </si>
  <si>
    <t>Millsboro</t>
  </si>
  <si>
    <t>02093-1117</t>
  </si>
  <si>
    <t>32792-6331</t>
  </si>
  <si>
    <t>Cape Coral Unit 36 Blk 2333 Pb 16 Pg 127 Lots 67 + 68</t>
  </si>
  <si>
    <t>01-44-23-c3-02428.0010</t>
  </si>
  <si>
    <t>33904-2804</t>
  </si>
  <si>
    <t>Morey</t>
  </si>
  <si>
    <t>East Providence</t>
  </si>
  <si>
    <t>We Go</t>
  </si>
  <si>
    <t>Cape Coral Unit 6 Part 3 Blk.58 Pb 11 Pg 75 Lots 19 + 20</t>
  </si>
  <si>
    <t xml:space="preserve">900 20th Ave S #1602 </t>
  </si>
  <si>
    <t>33909-7359</t>
  </si>
  <si>
    <t xml:space="preserve">2914 Pine Spring Rd </t>
  </si>
  <si>
    <t>Pine Bough</t>
  </si>
  <si>
    <t xml:space="preserve">65 Sandy Beach Rd </t>
  </si>
  <si>
    <t>Raynol</t>
  </si>
  <si>
    <t>Illertissen</t>
  </si>
  <si>
    <t xml:space="preserve">3336 NE 21st Pl </t>
  </si>
  <si>
    <t xml:space="preserve">4440 NE 10th Ct </t>
  </si>
  <si>
    <t>Mark G Danly and Patricia A Danly Declaration Of Trust</t>
  </si>
  <si>
    <t>Cape Coral Unit 33 Blk.2238 Pb 16 Pg 52 Lots 41 + 42</t>
  </si>
  <si>
    <t>Charles &amp; Janice Lewis</t>
  </si>
  <si>
    <t>Lehigh Acres Unit 10 Blk 48 Pb 26 Pg 12 Lot 13</t>
  </si>
  <si>
    <t>Klupp</t>
  </si>
  <si>
    <t>06-44-24-c4-02047.0510</t>
  </si>
  <si>
    <t xml:space="preserve">1128 NE 33rd Ter  Cape Coral, FL 33909 </t>
  </si>
  <si>
    <t>Curitiba Pr 81830 285</t>
  </si>
  <si>
    <t xml:space="preserve">2200 NE 15th Ave  Cape Coral, FL 33909 </t>
  </si>
  <si>
    <t xml:space="preserve">262 Notre-Dame Rue #45 </t>
  </si>
  <si>
    <t>20-43-24-c1-05600.0290</t>
  </si>
  <si>
    <t>Buckingham Park N E Sec Blk 34 Pb 9 Pg 65 Lots 3 + 4 + 10</t>
  </si>
  <si>
    <t xml:space="preserve">2515 NE 5th Pl  Cape Coral, FL 33909 </t>
  </si>
  <si>
    <t xml:space="preserve">44574 Nolani Way #203 </t>
  </si>
  <si>
    <t>Lake Park</t>
  </si>
  <si>
    <t xml:space="preserve">Po Box 2060 </t>
  </si>
  <si>
    <t>Cape Coral Unit 33 Blk 2231 Pb 16 Pg 54 Lots 44 + 45</t>
  </si>
  <si>
    <t>18-43-24-c1-05688.0480</t>
  </si>
  <si>
    <t xml:space="preserve">2315 NE 5th Ter  Cape Coral, FL 33909 </t>
  </si>
  <si>
    <t>Ruediger</t>
  </si>
  <si>
    <t>Hincapie</t>
  </si>
  <si>
    <t xml:space="preserve">1415 NE 33rd Ter  Cape Coral, FL 33909 </t>
  </si>
  <si>
    <t>George &amp; Carla Fontz</t>
  </si>
  <si>
    <t xml:space="preserve">10250 Meadow Beauty Trl </t>
  </si>
  <si>
    <t>25-43-23-c1-02319.0130</t>
  </si>
  <si>
    <t xml:space="preserve">5555 Collins Ave 15c, Miami Beach, FL 33140-2545 </t>
  </si>
  <si>
    <t>Ramroop</t>
  </si>
  <si>
    <t>161st</t>
  </si>
  <si>
    <t>Cape Coral Unit 17 Blk 1540 Pb 14 Pg 31 Lots 36 + 37</t>
  </si>
  <si>
    <t xml:space="preserve">19681 Summerlin Rd #526, Fort Myers, FL 33908 </t>
  </si>
  <si>
    <t xml:space="preserve">1319 NE 20th Pl  Cape Coral, FL 33909 </t>
  </si>
  <si>
    <t>33905-7669</t>
  </si>
  <si>
    <t xml:space="preserve">29 Stackpole Rd </t>
  </si>
  <si>
    <t>19-45-24-c2-00002.0410</t>
  </si>
  <si>
    <t xml:space="preserve">120 St Amable Rang  Saint-Barnabe-Sud, QC J0h 1G0 </t>
  </si>
  <si>
    <t xml:space="preserve">1053 120th St </t>
  </si>
  <si>
    <t>Bernabe</t>
  </si>
  <si>
    <t>32-43-24-c1-02232.0110</t>
  </si>
  <si>
    <t xml:space="preserve">6131 Hughes Ave </t>
  </si>
  <si>
    <t>Avondale</t>
  </si>
  <si>
    <t xml:space="preserve">14251 SW 106th Ter  Miami, FL 33186-3005 </t>
  </si>
  <si>
    <t>21157-6802</t>
  </si>
  <si>
    <t xml:space="preserve">10427 E Ambassador Rd </t>
  </si>
  <si>
    <t>Surendra Prasad</t>
  </si>
  <si>
    <t>32-43-24-c2-02240.0470</t>
  </si>
  <si>
    <t>Cape Coral Unit 84 Blk.5575 Pb 24 Pg 46 Lots 1 + 2</t>
  </si>
  <si>
    <t xml:space="preserve">10309 Prairie Iris Dr  Fort Myers, FL 33905 </t>
  </si>
  <si>
    <t xml:space="preserve">5246 Cypress Trail Resort Cir  Fort Myers, FL 33905 </t>
  </si>
  <si>
    <t>Angelini</t>
  </si>
  <si>
    <t>33905-5762</t>
  </si>
  <si>
    <t>Myers</t>
  </si>
  <si>
    <t xml:space="preserve">3905 NE 9th Pl </t>
  </si>
  <si>
    <t>33173-2638</t>
  </si>
  <si>
    <t>Paraluman Abano</t>
  </si>
  <si>
    <t xml:space="preserve">6074 Latimer Ave </t>
  </si>
  <si>
    <t>02536-7202</t>
  </si>
  <si>
    <t>29-43-24-c3-02250.0050</t>
  </si>
  <si>
    <t>Trumbull</t>
  </si>
  <si>
    <t>33905-2315</t>
  </si>
  <si>
    <t xml:space="preserve">3951 Little Creek Dr  Fort Myers, FL 33905 </t>
  </si>
  <si>
    <t xml:space="preserve">17 Manta Ct  Oakdale, NY 11769-2256 </t>
  </si>
  <si>
    <t>Cordoba</t>
  </si>
  <si>
    <t>Cape Coral Unit 84 Blk 5560 Pb 24 Pg 32 Lots 13 + 14</t>
  </si>
  <si>
    <t>60139-2161</t>
  </si>
  <si>
    <t>Gurmattie</t>
  </si>
  <si>
    <t>Lawton Judith R Tr</t>
  </si>
  <si>
    <t>36-44-23-c1-00924.0450</t>
  </si>
  <si>
    <t>40175-6312</t>
  </si>
  <si>
    <t>Gold Maple</t>
  </si>
  <si>
    <t xml:space="preserve">2208 NE Juanita Pl </t>
  </si>
  <si>
    <t>Mary Ann Priest Revocable Trust</t>
  </si>
  <si>
    <t xml:space="preserve">4217 Corporal Kennedy St 3f, Bayside, NY 11361-2793 </t>
  </si>
  <si>
    <t>17-43-24-c3-05786.0180</t>
  </si>
  <si>
    <t xml:space="preserve">4560 Randag Dr  North Fort Myers, FL 33903 </t>
  </si>
  <si>
    <t>Olave</t>
  </si>
  <si>
    <t xml:space="preserve">4009 NE 22nd Ave  Cape Coral, FL 33909 </t>
  </si>
  <si>
    <t xml:space="preserve">339 NE 10th St </t>
  </si>
  <si>
    <t xml:space="preserve">4145 Andalusia Blvd </t>
  </si>
  <si>
    <t xml:space="preserve">1625 Edith Esplanade </t>
  </si>
  <si>
    <t>Valparaiso</t>
  </si>
  <si>
    <t>06480-1434</t>
  </si>
  <si>
    <t>Stuart Hendin</t>
  </si>
  <si>
    <t>Cape Coral Unit 88 Blk 5777 Pb 24 Pg 135 Lots 17 + 18</t>
  </si>
  <si>
    <t xml:space="preserve">2632railsi S W  Byron Center, MI 49315 </t>
  </si>
  <si>
    <t>Rose</t>
  </si>
  <si>
    <t>Impasse Joseph Lavarec</t>
  </si>
  <si>
    <t>Southern Branch</t>
  </si>
  <si>
    <t>Felicia</t>
  </si>
  <si>
    <t>Cutchogue</t>
  </si>
  <si>
    <t>Cape Coral Unit 84 Blk 5595 Pb 24 Pg 44 Lots 36 + 37</t>
  </si>
  <si>
    <t>Cape Coral Ut 86 Blk 5699 Pb 24 Pg 75 Lots 41 + 42</t>
  </si>
  <si>
    <t xml:space="preserve">828 Vogiantzis Pkwy </t>
  </si>
  <si>
    <t>Meadowvale</t>
  </si>
  <si>
    <t xml:space="preserve">6635 W 6th Ave  Hialeah, FL 33012-6532 </t>
  </si>
  <si>
    <t>03-44-26-14-00077.0090</t>
  </si>
  <si>
    <t xml:space="preserve">155 Tabor St </t>
  </si>
  <si>
    <t>Mitrovic</t>
  </si>
  <si>
    <t>33909-6332</t>
  </si>
  <si>
    <t>Kendra</t>
  </si>
  <si>
    <t>John Lang &amp; Geralyn Spear</t>
  </si>
  <si>
    <t>Joy &amp; Baltazar Gamboa</t>
  </si>
  <si>
    <t>Cape Coral Unit 34 Blk 2456 Pb 16 Pg 83 Lots 7 + 8</t>
  </si>
  <si>
    <t xml:space="preserve">4440 NE 10th Ct  Cape Coral, FL 33909 </t>
  </si>
  <si>
    <t xml:space="preserve">3430 SW 149th Ave </t>
  </si>
  <si>
    <t xml:space="preserve">3906 NE 19th Pl </t>
  </si>
  <si>
    <t xml:space="preserve">2130 NE 26th St  Cape Coral, FL 33909 </t>
  </si>
  <si>
    <t>Bahnhofstrasse</t>
  </si>
  <si>
    <t>11378-2502</t>
  </si>
  <si>
    <t xml:space="preserve">2600 NE 11th Ct #4 </t>
  </si>
  <si>
    <t xml:space="preserve">2206 NE 16th Pl </t>
  </si>
  <si>
    <t xml:space="preserve">PO Box 186  Lake Wales, FL 33859 </t>
  </si>
  <si>
    <t>Blue Water Shores Pb 10 Pg 78 Lot 18</t>
  </si>
  <si>
    <t>Shirley Luber</t>
  </si>
  <si>
    <t xml:space="preserve">3211 NE 15th Ave </t>
  </si>
  <si>
    <t>Layton</t>
  </si>
  <si>
    <t>33909-3277</t>
  </si>
  <si>
    <t>Im</t>
  </si>
  <si>
    <t xml:space="preserve">2149 Barbados Ave  Fort Myers, FL 33905 </t>
  </si>
  <si>
    <t>Paseo Grande</t>
  </si>
  <si>
    <t>37709-2535</t>
  </si>
  <si>
    <t xml:space="preserve">4035 NE 9th Ave  Cape Coral, FL 33909 </t>
  </si>
  <si>
    <t xml:space="preserve">10258 Meadow Beauty Trl  Fort Myers, FL 33905 </t>
  </si>
  <si>
    <t xml:space="preserve">7704 Rock Palm Ave #101 </t>
  </si>
  <si>
    <t>Cypress Woods Rv Resort Ut 1 Pb 65 Pg 85 + 86 Blk B Lot 105</t>
  </si>
  <si>
    <t xml:space="preserve">329 NE 26th Ter  Cape Coral, FL 33909 </t>
  </si>
  <si>
    <t>03-44-26-10-00052.0060</t>
  </si>
  <si>
    <t>Cape Coral Unit 84 Blk 5598 Pb 24 Pg 43 Lots 21 + 22</t>
  </si>
  <si>
    <t>06-46-24-18-00s00.0090</t>
  </si>
  <si>
    <t>Cape Coral Unit 36 Blk 2292 Pb 16 Pg 121 Lots 36 Thru 38</t>
  </si>
  <si>
    <t xml:space="preserve">2928 Alder Dr </t>
  </si>
  <si>
    <t>Lehigh Acres Unit 1 Blk 2 Pb 26 Pg 22 Lot 5</t>
  </si>
  <si>
    <t xml:space="preserve">1169 E Rodney French Blvd  New Bedford, MA 02744-1923 </t>
  </si>
  <si>
    <t>18-43-24-c3-05585.0370</t>
  </si>
  <si>
    <t>12-44-23-c1-02408.0030</t>
  </si>
  <si>
    <t>Luebeck</t>
  </si>
  <si>
    <t>36-43-23-c2-02541.0320</t>
  </si>
  <si>
    <t>33909-7305</t>
  </si>
  <si>
    <t>33909-1370</t>
  </si>
  <si>
    <t>Cape Coral Unit 33 Blk 2229 Pb 16 Pg 47 Lots 38 + 39</t>
  </si>
  <si>
    <t xml:space="preserve">1201 NE 6th Ave  Cape Coral, FL 33909 </t>
  </si>
  <si>
    <t>33013-1836</t>
  </si>
  <si>
    <t xml:space="preserve">1707 NE 5th Ter  Cape Coral, FL 33909 </t>
  </si>
  <si>
    <t xml:space="preserve">3332 Garden Blvd  Cape Coral, FL 33909 </t>
  </si>
  <si>
    <t>For George A &amp; Barbara L Craig Trust</t>
  </si>
  <si>
    <t>44141-3900</t>
  </si>
  <si>
    <t>Mohamed</t>
  </si>
  <si>
    <t xml:space="preserve">410 Jacaranda Pkwy E  Cape Coral, FL 33909 </t>
  </si>
  <si>
    <t>07675-6513</t>
  </si>
  <si>
    <t xml:space="preserve">3712 NE 23rd Ave  Cape Coral, FL 33909 </t>
  </si>
  <si>
    <t>Moudoub</t>
  </si>
  <si>
    <t>Nile</t>
  </si>
  <si>
    <t>20-43-24-c4-05633.0600</t>
  </si>
  <si>
    <t xml:space="preserve">2216 NE 13th Ln  Cape Coral, FL 33909 </t>
  </si>
  <si>
    <t>Adel Seman</t>
  </si>
  <si>
    <t xml:space="preserve">339 NE 25th St </t>
  </si>
  <si>
    <t>20905-6503</t>
  </si>
  <si>
    <t>Clarissa Powell</t>
  </si>
  <si>
    <t>06119-2201</t>
  </si>
  <si>
    <t>Luis Mayorga &amp; Sara Monroy</t>
  </si>
  <si>
    <t>Claybourne</t>
  </si>
  <si>
    <t>Mahadai</t>
  </si>
  <si>
    <t>207th</t>
  </si>
  <si>
    <t xml:space="preserve">2820 W Cypress Ave  Fort Myers, FL 33905 </t>
  </si>
  <si>
    <t>Viktor</t>
  </si>
  <si>
    <t>Cape Coral Unit 7 Blk.374 Pb 12 Pg 116 Lots 27 + 28</t>
  </si>
  <si>
    <t>Lehigh Acres Unit 1 Blk 2 Pb 26 Pg 2 Lot 2</t>
  </si>
  <si>
    <t>Cape Coral Unit 87 Blk 5749 Pb 24 Pg 68 Lots 19 + 20</t>
  </si>
  <si>
    <t>Jaime &amp; Cecilia Gallo</t>
  </si>
  <si>
    <t>Keane</t>
  </si>
  <si>
    <t xml:space="preserve">6142 Hendley Ct  Fort Myers, FL 33905 </t>
  </si>
  <si>
    <t>06-44-24-c2-02064.0100</t>
  </si>
  <si>
    <t xml:space="preserve">1712 NE 33rd Ln  Cape Coral, FL 33909 </t>
  </si>
  <si>
    <t>Aiden</t>
  </si>
  <si>
    <t xml:space="preserve">6035 Jonathan Ave  Fort Myers, FL 33905 </t>
  </si>
  <si>
    <t>20-43-24-c4-05635.0450</t>
  </si>
  <si>
    <t xml:space="preserve">331 Dover Milton Rd  Oak Ridge, NJ 07438-9363 </t>
  </si>
  <si>
    <t>Monk</t>
  </si>
  <si>
    <t>15861-3118</t>
  </si>
  <si>
    <t>Darley</t>
  </si>
  <si>
    <t>Cape Coral Unit 84 Blk 5559 Pb 24 Pg 32 Lots 24 + 25</t>
  </si>
  <si>
    <t>Florence Schoenherr-Warnez &amp; For Warnez</t>
  </si>
  <si>
    <t>Cypress Woods Rv Resort Ut 1 Pb 65 Pg 85 + 86 Blk A Lot 6</t>
  </si>
  <si>
    <t>Jeremy</t>
  </si>
  <si>
    <t>34-43-24-01-00033.0080</t>
  </si>
  <si>
    <t xml:space="preserve">132 Chysis Rd </t>
  </si>
  <si>
    <t>80232-5225</t>
  </si>
  <si>
    <t xml:space="preserve">Campisa Bloque P #9 </t>
  </si>
  <si>
    <t xml:space="preserve">4722 33rd St W  Bradenton, FL 34207-1619 </t>
  </si>
  <si>
    <t>Four Corners</t>
  </si>
  <si>
    <t>Atlanta</t>
  </si>
  <si>
    <t>Cape Coral Unit 84 Blk 5624 Pb 24 Pg 33 Lots 45 + 46</t>
  </si>
  <si>
    <t>21146-4203</t>
  </si>
  <si>
    <t xml:space="preserve">166 Noahs Mill Dr </t>
  </si>
  <si>
    <t>33909-1969</t>
  </si>
  <si>
    <t>33905-2942</t>
  </si>
  <si>
    <t>Jyotil</t>
  </si>
  <si>
    <t>33904-8331</t>
  </si>
  <si>
    <t>05-44-24-c2-03518.0190</t>
  </si>
  <si>
    <t>Gegenheimer</t>
  </si>
  <si>
    <t xml:space="preserve">205 SE 28th Ter </t>
  </si>
  <si>
    <t>33909-9240</t>
  </si>
  <si>
    <t>Cervasio</t>
  </si>
  <si>
    <t>Ma</t>
  </si>
  <si>
    <t>17-43-24-c1-05818.0240</t>
  </si>
  <si>
    <t>Chester</t>
  </si>
  <si>
    <t xml:space="preserve">3231 NE 14th Ave </t>
  </si>
  <si>
    <t xml:space="preserve">117 Dunns Corner Rd  Westerly, RI 02891-5827 </t>
  </si>
  <si>
    <t>Giannetti</t>
  </si>
  <si>
    <t>Sythel</t>
  </si>
  <si>
    <t>Cape Coral Unit 33 Blk 2187 Pb 16 Pg 48 Lots 11 + 12</t>
  </si>
  <si>
    <t>06708-2726</t>
  </si>
  <si>
    <t xml:space="preserve">2135 Franklin St </t>
  </si>
  <si>
    <t xml:space="preserve">1221 NE 16th Ter </t>
  </si>
  <si>
    <t xml:space="preserve">1857 NE 23rd St  Cape Coral, FL 33909 </t>
  </si>
  <si>
    <t>32-43-24-c4-02224.0190</t>
  </si>
  <si>
    <t xml:space="preserve">1221 NE Juanita Pl  Cape Coral, FL 33909 </t>
  </si>
  <si>
    <t xml:space="preserve">3747 Kemper St </t>
  </si>
  <si>
    <t>Tan Cao</t>
  </si>
  <si>
    <t>Lourdes Matamis</t>
  </si>
  <si>
    <t>Jason Gallagher &amp; Tara Agnese</t>
  </si>
  <si>
    <t>Luzviminda</t>
  </si>
  <si>
    <t>Stavros</t>
  </si>
  <si>
    <t>33909-8866</t>
  </si>
  <si>
    <t xml:space="preserve">5024 9th Ave </t>
  </si>
  <si>
    <t>Carmelo</t>
  </si>
  <si>
    <t>29-43-24-c3-02274.0080</t>
  </si>
  <si>
    <t xml:space="preserve">3851 Insdale St  Fort Myers, FL 33905 </t>
  </si>
  <si>
    <t>Mattie</t>
  </si>
  <si>
    <t xml:space="preserve">329 NE 10th St  Cape Coral, FL 33909 </t>
  </si>
  <si>
    <t xml:space="preserve">1519 NE 19th Ter  Cape Coral, FL 33909 </t>
  </si>
  <si>
    <t xml:space="preserve">1027 NE 33rd Ter </t>
  </si>
  <si>
    <t>Utica</t>
  </si>
  <si>
    <t xml:space="preserve">3101 SE 5th Ct  Cape Coral, FL 33904 </t>
  </si>
  <si>
    <t>Cypress Trail Rv Resort Phase 2-A As Desc In Inst# 2014000026506 Lot 18</t>
  </si>
  <si>
    <t>PO Box 25366</t>
  </si>
  <si>
    <t>33909-3512</t>
  </si>
  <si>
    <t xml:space="preserve">2602 NE 19th Pl </t>
  </si>
  <si>
    <t xml:space="preserve">1711 NE 10th Ave  Cape Coral, FL 33909 </t>
  </si>
  <si>
    <t xml:space="preserve">709 NE 19th Ter </t>
  </si>
  <si>
    <t>Goshawk</t>
  </si>
  <si>
    <t>Lehigh Acres Unit 11 Blk 59 Pb 26 Pg 14 Lot 19</t>
  </si>
  <si>
    <t xml:space="preserve">714 Orlando St  Edison, NJ 08817-3341 </t>
  </si>
  <si>
    <t xml:space="preserve">2719 NE 5th Ave  Cape Coral, FL 33909 </t>
  </si>
  <si>
    <t xml:space="preserve">1629 NE 17th Ter </t>
  </si>
  <si>
    <t>Cape Coral Unit 84 Blk 5606 Pb 24 Pg 42 Lots 17 + 18</t>
  </si>
  <si>
    <t xml:space="preserve">4274 Cottage Trl  Hudsonville, MI 49426-7745 </t>
  </si>
  <si>
    <t>North Valley Stream</t>
  </si>
  <si>
    <t xml:space="preserve">3031 Tuscany Park Dr  Marietta, GA 30068-5313 </t>
  </si>
  <si>
    <t>Laning</t>
  </si>
  <si>
    <t xml:space="preserve">1806 S Lynnrae St #42, Wichita, KS 67207-6728 </t>
  </si>
  <si>
    <t>33909-3223</t>
  </si>
  <si>
    <t>Bellack</t>
  </si>
  <si>
    <t xml:space="preserve">1033 N Gator Cir  Cape Coral, FL 33909 </t>
  </si>
  <si>
    <t>Lakebreeze</t>
  </si>
  <si>
    <t>Frank &amp; Kimberly Stoffers</t>
  </si>
  <si>
    <t xml:space="preserve">6401 Arbor Ave </t>
  </si>
  <si>
    <t>San Fernando</t>
  </si>
  <si>
    <t>Miguelito</t>
  </si>
  <si>
    <t xml:space="preserve">633 NE 1st Ave  Cape Coral, FL 33909 </t>
  </si>
  <si>
    <t>33175-7827</t>
  </si>
  <si>
    <t>Fred Kephart &amp; Catherine Withrow</t>
  </si>
  <si>
    <t xml:space="preserve">5211 Marsh Mallow Trl  Fort Myers, FL 33905 </t>
  </si>
  <si>
    <t>15001-9127</t>
  </si>
  <si>
    <t>Kettering</t>
  </si>
  <si>
    <t xml:space="preserve">6137 Hendley Ct </t>
  </si>
  <si>
    <t xml:space="preserve">4309 NE 9th Pl  Cape Coral, FL 33909 </t>
  </si>
  <si>
    <t>Pedro Plasencia &amp; Arahi Merino</t>
  </si>
  <si>
    <t xml:space="preserve">101 Vail Ln  Tafton, PA 18464-9651 </t>
  </si>
  <si>
    <t>18255-1222</t>
  </si>
  <si>
    <t>Filipina</t>
  </si>
  <si>
    <t xml:space="preserve">11638 Bannister Ct </t>
  </si>
  <si>
    <t>01-44-23-c4-02466.0470</t>
  </si>
  <si>
    <t xml:space="preserve">4530 SE 6th Ct </t>
  </si>
  <si>
    <t>Schwartz</t>
  </si>
  <si>
    <t>Buckingham Pk Ne Sec Blk 26 Pb 9 Pg 65 Lot 11</t>
  </si>
  <si>
    <t>33903-7329</t>
  </si>
  <si>
    <t>Lute</t>
  </si>
  <si>
    <t xml:space="preserve">40 Lake Dr #1 </t>
  </si>
  <si>
    <t>33908-8238</t>
  </si>
  <si>
    <t xml:space="preserve">13485 87th St  Fellsmere, FL 32948-6833 </t>
  </si>
  <si>
    <t>Cape Coral Unit 31 Blk 2046 Pb 14 Pg 154 Lots 57 + 58</t>
  </si>
  <si>
    <t xml:space="preserve">2529 NE 2nd Ave </t>
  </si>
  <si>
    <t>Kearney</t>
  </si>
  <si>
    <t>Eddie &amp; Kingdom Barajas</t>
  </si>
  <si>
    <t>22308-1456</t>
  </si>
  <si>
    <t xml:space="preserve">2039 NE 42nd St  Cape Coral, FL 33909 </t>
  </si>
  <si>
    <t xml:space="preserve">1425 Autumn Moon Ln </t>
  </si>
  <si>
    <t>33909-7354</t>
  </si>
  <si>
    <t>Geoffrey &amp; Shannon Husa</t>
  </si>
  <si>
    <t>Vacant -Residential Land</t>
  </si>
  <si>
    <t>Cape Coral Unit 31 Blk 2081 Pb 14 Pg 161 Lots 40 + 41</t>
  </si>
  <si>
    <t>33909-4588</t>
  </si>
  <si>
    <t>Jean Houle &amp; Chantal Chevallier</t>
  </si>
  <si>
    <t>Antonio &amp; Judith Onday</t>
  </si>
  <si>
    <t>Telegraph</t>
  </si>
  <si>
    <t>56258-5500</t>
  </si>
  <si>
    <t xml:space="preserve">1002 NE 15th Ln  Cape Coral, FL 33909 </t>
  </si>
  <si>
    <t>J J &amp; Ann Magaraci</t>
  </si>
  <si>
    <t xml:space="preserve">2828 NE 7th Pl </t>
  </si>
  <si>
    <t>R093</t>
  </si>
  <si>
    <t>Dorothy Spencer</t>
  </si>
  <si>
    <t>Cape Coral Unit 36 Blk 2346 Pb 16 Pg 130 Lots 56 &amp; 57</t>
  </si>
  <si>
    <t>Brian Christian Bohne Revocabl Trust</t>
  </si>
  <si>
    <t>75056-6744</t>
  </si>
  <si>
    <t>Jacek</t>
  </si>
  <si>
    <t xml:space="preserve">35 Saint Roberts Dr  Stafford, VA 22556-3650 </t>
  </si>
  <si>
    <t>Zemel</t>
  </si>
  <si>
    <t xml:space="preserve">1614 NE 2nd Pl </t>
  </si>
  <si>
    <t>17-43-24-c3-05798.0100</t>
  </si>
  <si>
    <t>08088-9579</t>
  </si>
  <si>
    <t>Harry &amp; Mary Mazza</t>
  </si>
  <si>
    <t xml:space="preserve">1121 College Point Blvd #2 </t>
  </si>
  <si>
    <t xml:space="preserve">34642 Yarrow Ct </t>
  </si>
  <si>
    <t>Ivan Cano</t>
  </si>
  <si>
    <t>Palmona Park Unit 1 Blk 36 Pb 7 Pg 54 Lots 11 + 12</t>
  </si>
  <si>
    <t>Mahendra Ram</t>
  </si>
  <si>
    <t xml:space="preserve">1641 NW 26th Ave #5, Miami, FL 33125-2190 </t>
  </si>
  <si>
    <t xml:space="preserve">26 Gamewell Ln </t>
  </si>
  <si>
    <t>Lehigh Acres Unit 8 Blk 39 Pb 26 Pg 10 Lot 3</t>
  </si>
  <si>
    <t>De Saint-Jovite</t>
  </si>
  <si>
    <t>Solon</t>
  </si>
  <si>
    <t>Cypress Trail Rv Resort Ph 3 As Desc In Inst# 2015000085552 Lot 36</t>
  </si>
  <si>
    <t>Bis Rue St Jean</t>
  </si>
  <si>
    <t xml:space="preserve">8766 NW 140th Ln </t>
  </si>
  <si>
    <t>Cape Coral Unit 87 Blk 5753 Pb 24 Pg 68 Lots 4 + 5</t>
  </si>
  <si>
    <t>Cape Coral Unit 36 Blk 2346 Pb 16 Pg 127 Lots 19 + 20</t>
  </si>
  <si>
    <t>17-43-24-c2-05801.0030</t>
  </si>
  <si>
    <t xml:space="preserve">276 Littleford St </t>
  </si>
  <si>
    <t>Cape Coral Unit 88 Blk 5773 Pb 24 Pg 132 Lots 1 + 2</t>
  </si>
  <si>
    <t>Yale</t>
  </si>
  <si>
    <t>18-43-24-c4-05680.0120</t>
  </si>
  <si>
    <t xml:space="preserve">361 Shawomet Ave  Warwick, RI 02889-3638 </t>
  </si>
  <si>
    <t>60525-4367</t>
  </si>
  <si>
    <t xml:space="preserve">2108 NE 10th Pl </t>
  </si>
  <si>
    <t>Home</t>
  </si>
  <si>
    <t>Lodovick</t>
  </si>
  <si>
    <t xml:space="preserve">27141 Rivermont Dr </t>
  </si>
  <si>
    <t>03-44-26-07-00033.0140</t>
  </si>
  <si>
    <t>03-44-26-09-00045.0130</t>
  </si>
  <si>
    <t>Long Pond</t>
  </si>
  <si>
    <t>11550-7510</t>
  </si>
  <si>
    <t xml:space="preserve">4426 NE Connection Ave </t>
  </si>
  <si>
    <t xml:space="preserve">1630 S Gator Cir  Cape Coral, FL 33909 </t>
  </si>
  <si>
    <t>Cape Coral Unit 87 Blk 5706 Pb 24 Pg 71 Lot 47</t>
  </si>
  <si>
    <t>41st</t>
  </si>
  <si>
    <t>25-43-23-c4-02300.a470</t>
  </si>
  <si>
    <t>Underwood</t>
  </si>
  <si>
    <t>33909-6131</t>
  </si>
  <si>
    <t xml:space="preserve">7112 Kennedy Rd </t>
  </si>
  <si>
    <t xml:space="preserve">2510 W Cleveland St #1, Tampa, FL 33609-3650 </t>
  </si>
  <si>
    <t>Cypress Trail Rv Resort As Desc In Inst# 2013000212499 Lot 173</t>
  </si>
  <si>
    <t>05-44-24-c2-03513.0200</t>
  </si>
  <si>
    <t xml:space="preserve">2302 Oak St  Bellmore, NY 11710-3104 </t>
  </si>
  <si>
    <t>20-43-24-c4-05632.0310</t>
  </si>
  <si>
    <t xml:space="preserve">1220 SW 65th Ave  Miami, FL 33144-5650 </t>
  </si>
  <si>
    <t>33909-8812</t>
  </si>
  <si>
    <t>Powell Patricia Sligh Tr</t>
  </si>
  <si>
    <t>5b</t>
  </si>
  <si>
    <t>Stark</t>
  </si>
  <si>
    <t xml:space="preserve">6931 Cadet Ave </t>
  </si>
  <si>
    <t>36-43-23-c3-02146.0280</t>
  </si>
  <si>
    <t xml:space="preserve">6 Odenwaldstrasse </t>
  </si>
  <si>
    <t xml:space="preserve">3205 NE 13th Ave </t>
  </si>
  <si>
    <t xml:space="preserve">4141 NE 14th Pl </t>
  </si>
  <si>
    <t>Michael Bolan</t>
  </si>
  <si>
    <t>Pauly</t>
  </si>
  <si>
    <t xml:space="preserve">1261 Everglades Blvd S  Naples, FL 34117-4662 </t>
  </si>
  <si>
    <t>Cape Coral Unit 36 Blk 2333 Pb 16 Pg 127 Lots 65 + 66</t>
  </si>
  <si>
    <t>Cape Coral Unit 31 Blk 2040 Pb 14 Pg 158 Lots 51 + 52</t>
  </si>
  <si>
    <t xml:space="preserve">10176 Mills Creek Rd </t>
  </si>
  <si>
    <t xml:space="preserve">6622 3rd Lane </t>
  </si>
  <si>
    <t>33316-1357</t>
  </si>
  <si>
    <t>Cape Coral Unit 31 Blk.2044 Pb 14 Pg 155 Lots 1 + 2</t>
  </si>
  <si>
    <t>Vargas</t>
  </si>
  <si>
    <t>Cape Coral Unit 36 Blk 2314 Pb 16 Pg 123 Lots 36 + 37</t>
  </si>
  <si>
    <t>Clint Moore</t>
  </si>
  <si>
    <t xml:space="preserve">14516 SW 79th St </t>
  </si>
  <si>
    <t>Cape Coral Unit 85 Blk 5657 Pb 24 Pg 54 Lots 21 + 22</t>
  </si>
  <si>
    <t>Stipe</t>
  </si>
  <si>
    <t>Porfirio</t>
  </si>
  <si>
    <t>Gartenstrasse</t>
  </si>
  <si>
    <t>Clover</t>
  </si>
  <si>
    <t>Arthur &amp; Beatrice Brummett</t>
  </si>
  <si>
    <t>Cape Coral Unit 36 Blk 2307 Pb 16 Pg 123 Lots 7 + 8</t>
  </si>
  <si>
    <t>Zimmer</t>
  </si>
  <si>
    <t>Plyler</t>
  </si>
  <si>
    <t>11-44-25-05-0000c.0510</t>
  </si>
  <si>
    <t>Centerport</t>
  </si>
  <si>
    <t>Darlin Suarez</t>
  </si>
  <si>
    <t>Yehudit</t>
  </si>
  <si>
    <t>Congers</t>
  </si>
  <si>
    <t>Furleger</t>
  </si>
  <si>
    <t>Cape Coral Unit 31 Blk 2064 Pb 14 Pg 165 Lots 4 + 5</t>
  </si>
  <si>
    <t xml:space="preserve">1810 NE 17th Ave </t>
  </si>
  <si>
    <t xml:space="preserve">6890 Sovereign Ct  Dayton, OH 45414-5912 </t>
  </si>
  <si>
    <t>Cape Coral Unit 87 Blk 5742 Pb 24 Pg 70 Lots 34 + 35</t>
  </si>
  <si>
    <t>33905-7703</t>
  </si>
  <si>
    <t xml:space="preserve">2306 Victoria Gardens Ln </t>
  </si>
  <si>
    <t xml:space="preserve">10258 Meadow Beauty Trl </t>
  </si>
  <si>
    <t>20-43-24-c4-05633.0110</t>
  </si>
  <si>
    <t xml:space="preserve">1916 NE 19th Ave </t>
  </si>
  <si>
    <t>La Costa</t>
  </si>
  <si>
    <t>Cape Coral Unit 87 Blk 5705 Pb 24 Pg 72 Lots 15 + 16</t>
  </si>
  <si>
    <t xml:space="preserve">1733 SE 39th St </t>
  </si>
  <si>
    <t>Grafton</t>
  </si>
  <si>
    <t xml:space="preserve">630 NE Juanita Pl  Cape Coral, FL 33909 </t>
  </si>
  <si>
    <t xml:space="preserve">2212 NE 3rd Ave  Cape Coral, FL 33909 </t>
  </si>
  <si>
    <t>Lachmann</t>
  </si>
  <si>
    <t>Drahosz</t>
  </si>
  <si>
    <t>31-43-24-c2-02139.0500</t>
  </si>
  <si>
    <t>Copper Pot</t>
  </si>
  <si>
    <t xml:space="preserve">1225 NE 2nd Ave </t>
  </si>
  <si>
    <t>Warthon</t>
  </si>
  <si>
    <t xml:space="preserve">1141 Mcbride St 2b, Far Rockaway, NY 11691-2431 </t>
  </si>
  <si>
    <t>Superior</t>
  </si>
  <si>
    <t>Burleigh</t>
  </si>
  <si>
    <t xml:space="preserve">5357 Silk Oak Ave </t>
  </si>
  <si>
    <t xml:space="preserve">40 Murielle Dr </t>
  </si>
  <si>
    <t xml:space="preserve">2202 NE 24th Ter </t>
  </si>
  <si>
    <t>Eric Dupraz</t>
  </si>
  <si>
    <t>33909-7300</t>
  </si>
  <si>
    <t>06-44-24-c3-02058.0200</t>
  </si>
  <si>
    <t>El Cerrito</t>
  </si>
  <si>
    <t>San Marco</t>
  </si>
  <si>
    <t>19-43-24-c3-05608.0650</t>
  </si>
  <si>
    <t>Chatham</t>
  </si>
  <si>
    <t xml:space="preserve">5550 Tyshire Pkwy </t>
  </si>
  <si>
    <t xml:space="preserve">12200 Hibiscus Dr  Fort Myers, FL 33908 </t>
  </si>
  <si>
    <t xml:space="preserve">1801 NE 12th Pl  Cape Coral, FL 33909 </t>
  </si>
  <si>
    <t>Fabricio Decarolli</t>
  </si>
  <si>
    <t xml:space="preserve">312 NE 19th Ter </t>
  </si>
  <si>
    <t>Celia M Horne Trust</t>
  </si>
  <si>
    <t>Rue Des Vignes</t>
  </si>
  <si>
    <t>VT</t>
  </si>
  <si>
    <t>Kendall</t>
  </si>
  <si>
    <t>Cape Coral Unit 88 Blk 5793 Pb 24 Pg 130 Lot 1</t>
  </si>
  <si>
    <t>Richard Yavarow</t>
  </si>
  <si>
    <t>Jim Fenley</t>
  </si>
  <si>
    <t>Alberto Tomlinson</t>
  </si>
  <si>
    <t>90802-4916</t>
  </si>
  <si>
    <t>329th</t>
  </si>
  <si>
    <t>33909-4245</t>
  </si>
  <si>
    <t>19-43-24-c2-05592.0190</t>
  </si>
  <si>
    <t>Elizabeth Ellis 1723883</t>
  </si>
  <si>
    <t xml:space="preserve">1106 NE 18th Ave  Cape Coral, FL 33909 </t>
  </si>
  <si>
    <t>Lehigh Acres W Pt Unit 1 Blk 1 Pb 26 Pg 2 Lot 8</t>
  </si>
  <si>
    <t>33909-1479</t>
  </si>
  <si>
    <t xml:space="preserve">17894 SW 35th St </t>
  </si>
  <si>
    <t>Salisbury Mills</t>
  </si>
  <si>
    <t>Laurence &amp; Donna Grossman</t>
  </si>
  <si>
    <t>Cape Coral Unit 33 Blk.2264 Pb 16 Pg 59 Lots 11 + 12</t>
  </si>
  <si>
    <t>Cape Coral Unit 31 Blk 2066 Pb 14 Pg 160 Lots 17 + 18</t>
  </si>
  <si>
    <t>Theodore Sino &amp; Jeanette Baylon-Sino</t>
  </si>
  <si>
    <t>07843-1623</t>
  </si>
  <si>
    <t>Galvis</t>
  </si>
  <si>
    <t>Cape Coral Unit 88 Blk 5777 Pb 24 Pg 135 Lots 15 + 16</t>
  </si>
  <si>
    <t>33607-6808</t>
  </si>
  <si>
    <t>Cape Coral Unit 84 Blk 5602 Pb 24 Pg 42 Lots 65 + 66</t>
  </si>
  <si>
    <t xml:space="preserve">2104 NE 13th Ln  Cape Coral, FL 33909 </t>
  </si>
  <si>
    <t>30643-8066</t>
  </si>
  <si>
    <t xml:space="preserve">102 Diplomat Pkwy E </t>
  </si>
  <si>
    <t>Cypress Woods Rv Resort Ut 1 Pb 65 Pg 85 + 86 Blk A Lot 1</t>
  </si>
  <si>
    <t>Sergei Chesnokov</t>
  </si>
  <si>
    <t>33183-4207</t>
  </si>
  <si>
    <t xml:space="preserve">1223 NE 36th Ln  Cape Coral, FL 33909 </t>
  </si>
  <si>
    <t xml:space="preserve">6121 NW 41st Dr </t>
  </si>
  <si>
    <t>Spanish Cay</t>
  </si>
  <si>
    <t>Cape Coral Unit 46 Blk 3597 Pb 17 Pg 124 Lots 63 + 64</t>
  </si>
  <si>
    <t>28-43-26-06-00061.0120</t>
  </si>
  <si>
    <t>142nd</t>
  </si>
  <si>
    <t xml:space="preserve">1630 NE 33rd Ter  Cape Coral, FL 33909 </t>
  </si>
  <si>
    <t>Renner</t>
  </si>
  <si>
    <t xml:space="preserve">3220 Pussywillow St A, Anchorage, AK 99504-4149 </t>
  </si>
  <si>
    <t>53182-1326</t>
  </si>
  <si>
    <t>02148-6522</t>
  </si>
  <si>
    <t xml:space="preserve">De-Shalit #4, Holcomb, IL 58444 </t>
  </si>
  <si>
    <t xml:space="preserve">2 Rue Des Charentes </t>
  </si>
  <si>
    <t>Cape Coral Unit 32 Blk 2119 Pb 16 Pg 4 Lots 13 + 14</t>
  </si>
  <si>
    <t xml:space="preserve">314 NE 25th Ter  Cape Coral, FL 33909 </t>
  </si>
  <si>
    <t>Cypress Woods Rv Resort Un 3 Desc In Pb 72 Pgs 92-95 Blk C Lot 47</t>
  </si>
  <si>
    <t>Flores Daisy Tr</t>
  </si>
  <si>
    <t>Buckingham Pk Re Blk B U-5 Blk 24 Pb 27 Pg 193 Lot 8</t>
  </si>
  <si>
    <t xml:space="preserve">1122 NE 35th Ter  Cape Coral, FL 33909 </t>
  </si>
  <si>
    <t>11-44-25-11-00000.0330</t>
  </si>
  <si>
    <t>Cape Coral Unit 87 Blk 5725 Pb 24 Pg 81 Lots 17 + 18</t>
  </si>
  <si>
    <t xml:space="preserve">10311 Fire Flag Trl  Fort Myers, FL 33905 </t>
  </si>
  <si>
    <t>PE</t>
  </si>
  <si>
    <t xml:space="preserve">821 Somerset Pl </t>
  </si>
  <si>
    <t>33909-3311</t>
  </si>
  <si>
    <t>Olessia</t>
  </si>
  <si>
    <t xml:space="preserve">392 Miramar Rd </t>
  </si>
  <si>
    <t>Mary Austin</t>
  </si>
  <si>
    <t xml:space="preserve">22087 49 Ave #112 </t>
  </si>
  <si>
    <t>Equity &amp; David Renko</t>
  </si>
  <si>
    <t>Enrique &amp; Janely Soto</t>
  </si>
  <si>
    <t xml:space="preserve">809 Parkhurst Dr </t>
  </si>
  <si>
    <t>Westchester</t>
  </si>
  <si>
    <t>05-44-24-c1-02093.0640</t>
  </si>
  <si>
    <t>Saguier</t>
  </si>
  <si>
    <t xml:space="preserve">3732 NE 14th Ave </t>
  </si>
  <si>
    <t xml:space="preserve">10317 Fire Flag Trl </t>
  </si>
  <si>
    <t>Stucchio</t>
  </si>
  <si>
    <t>11-44-25-04-0000a.0480</t>
  </si>
  <si>
    <t>Angelina &amp; Daniel Geon</t>
  </si>
  <si>
    <t>Fulgencio</t>
  </si>
  <si>
    <t>Drake</t>
  </si>
  <si>
    <t>06461-9118</t>
  </si>
  <si>
    <t>32-43-24-c1-02190.0200</t>
  </si>
  <si>
    <t xml:space="preserve">6145 Stratton Rd  Fort Myers, FL 33905 </t>
  </si>
  <si>
    <t>For Jeanette A Kramer Trust</t>
  </si>
  <si>
    <t>Lehigh Acres Unit 9 Blk 41 Pb 26 Pg 11 Lot 10</t>
  </si>
  <si>
    <t>Cape Coral Unit 34 Blk 2443 Pb 16 Pg 78 Lots 3 + 4</t>
  </si>
  <si>
    <t xml:space="preserve">Avenue Constitucion 232 Centro  Tabasco, MX 86000 </t>
  </si>
  <si>
    <t>Estate &amp; Tomer Kravitz</t>
  </si>
  <si>
    <t>Cape Coral Unit 84 Blk 5553 Pb 24 Pg 39 Lots 37 + 38</t>
  </si>
  <si>
    <t>Murdock</t>
  </si>
  <si>
    <t>James &amp; Doryl Hodgins</t>
  </si>
  <si>
    <t>Lehigh Acres Unit 10 Blk 52 Pb 26 Pg 13 Lot 4</t>
  </si>
  <si>
    <t>Cape Coral Unit 33 Blk 2229 Pb 16 Pg 47 Lots 36 + 37</t>
  </si>
  <si>
    <t>Dennis &amp; Wanda Wildey</t>
  </si>
  <si>
    <t>Cape Coral Unit 36 Blk 2335 Pb 16 Pg 130 Lots 55 + 56</t>
  </si>
  <si>
    <t>Raymond &amp; Jody Boone</t>
  </si>
  <si>
    <t xml:space="preserve">5800 Pathwood Ct </t>
  </si>
  <si>
    <t>02446-2765</t>
  </si>
  <si>
    <t xml:space="preserve">411 Walnut St #19095 </t>
  </si>
  <si>
    <t>Michael</t>
  </si>
  <si>
    <t>Talamatti</t>
  </si>
  <si>
    <t xml:space="preserve">2302 NE 6th Ave  Cape Coral, FL 33909 </t>
  </si>
  <si>
    <t xml:space="preserve">220 NE 31st Ter </t>
  </si>
  <si>
    <t>Teissier</t>
  </si>
  <si>
    <t>Maria Paz</t>
  </si>
  <si>
    <t>36-43-23-c4-02513.0660</t>
  </si>
  <si>
    <t xml:space="preserve">6015 Langdon Ave  Fort Myers, FL 33905 </t>
  </si>
  <si>
    <t>31-43-24-c3-02094.0100</t>
  </si>
  <si>
    <t xml:space="preserve">Po Box 152 </t>
  </si>
  <si>
    <t>Riverway</t>
  </si>
  <si>
    <t xml:space="preserve">370 Muskegon Ave  Fort Myers, FL 33905 </t>
  </si>
  <si>
    <t>Cape Coral Unit 84 Blk 5560 Pb 24 Pg 33 Lots 37 + 38</t>
  </si>
  <si>
    <t>Cape Coral Unit 87 Blk 5741 Pb 24 Pg 70 Lot 40 + 41</t>
  </si>
  <si>
    <t>Mark Melson</t>
  </si>
  <si>
    <t xml:space="preserve">1708 NE 44th St  Cape Coral, FL 33909 </t>
  </si>
  <si>
    <t xml:space="preserve">1319 NE 23rd Ave  Cape Coral, FL 33909 </t>
  </si>
  <si>
    <t>Maineville</t>
  </si>
  <si>
    <t>Zila</t>
  </si>
  <si>
    <t xml:space="preserve">3714 Tracy St  Fort Myers, FL 33905 </t>
  </si>
  <si>
    <t>Stephanie Gutarra</t>
  </si>
  <si>
    <t xml:space="preserve">819 NE 34th Ter </t>
  </si>
  <si>
    <t xml:space="preserve">PO Box 1110  San Martin, CA 95046-1110 </t>
  </si>
  <si>
    <t xml:space="preserve">3609 NE 20th Pl </t>
  </si>
  <si>
    <t xml:space="preserve">1435 Troy Ave </t>
  </si>
  <si>
    <t xml:space="preserve">2019 NE 17th Ter  Cape Coral, FL 33909 </t>
  </si>
  <si>
    <t>Holly</t>
  </si>
  <si>
    <t xml:space="preserve">16901 SE 19th St </t>
  </si>
  <si>
    <t>Cape Coral Unit 33 Blk 2196 Pb 16 Pg 47 Lots 48 + 49</t>
  </si>
  <si>
    <t>Cape Coral Unit 85 Blk 5655 Pb 24 Pg 57 Lots 46 + 47</t>
  </si>
  <si>
    <t xml:space="preserve">32 Parkway Cir  Mount Vernon, NY 10552-1916 </t>
  </si>
  <si>
    <t>33131-3850</t>
  </si>
  <si>
    <t>L4A 3A7</t>
  </si>
  <si>
    <t>Benedicto &amp; Lumen Adan</t>
  </si>
  <si>
    <t xml:space="preserve">7 Meadowlark Ln  Huntington, NY 11743-6507 </t>
  </si>
  <si>
    <t>Lehigh Acres Unit 9 Blk 45 Pb 26 Pg 11 Lot 3</t>
  </si>
  <si>
    <t xml:space="preserve">60-62 Elmwood Ave #2 </t>
  </si>
  <si>
    <t xml:space="preserve">2132 NE 33rd Ter </t>
  </si>
  <si>
    <t>Cape Coral Unit 34 Blk 2418 Pb 16 Pg 81 Lots 15 Thru 17</t>
  </si>
  <si>
    <t xml:space="preserve">7324 W 57th St </t>
  </si>
  <si>
    <t>Lehigh Acres Unit 8 Blk 36 Pb 26 Pg 10 Lot 9</t>
  </si>
  <si>
    <t>Langen</t>
  </si>
  <si>
    <t>Edward &amp; Cruz Stannard</t>
  </si>
  <si>
    <t>Cape Coral Unit 84 Blk 5559 Pb 24 Pg 32 Lots 22 + 23</t>
  </si>
  <si>
    <t xml:space="preserve">503 NE 15th Ter </t>
  </si>
  <si>
    <t>Buckingham Pk Re Blk B U-5 Blk 29 Pb 27 Pg 193 Lot 10</t>
  </si>
  <si>
    <t>Jose Alonso</t>
  </si>
  <si>
    <t>Cape Coral Unit 34 Blk.2432 Pb 16 Pg 82 Lots 1 + 2</t>
  </si>
  <si>
    <t>Kristel &amp; Paul Roesems</t>
  </si>
  <si>
    <t>18-43-24-c2-05721.0150</t>
  </si>
  <si>
    <t>33905-7752</t>
  </si>
  <si>
    <t xml:space="preserve">5481 Cypress Trail Resort Cir  Fort Myers, FL 33905 </t>
  </si>
  <si>
    <t>Yong</t>
  </si>
  <si>
    <t xml:space="preserve">437 S Abbey Hill Ln </t>
  </si>
  <si>
    <t>33909-1714</t>
  </si>
  <si>
    <t>Duluth</t>
  </si>
  <si>
    <t>Iren</t>
  </si>
  <si>
    <t>John &amp; John Gala</t>
  </si>
  <si>
    <t>Selin</t>
  </si>
  <si>
    <t xml:space="preserve">3440 NE 15th Ave  Cape Coral, FL 33909 </t>
  </si>
  <si>
    <t xml:space="preserve">34 Comfort Ct </t>
  </si>
  <si>
    <t>Cape Coral Unit 17 Blk 1517 Pb 14 Pg 33 Lots 64 Thru 66</t>
  </si>
  <si>
    <t>Elkhart</t>
  </si>
  <si>
    <t xml:space="preserve">822 NE 17th Ter </t>
  </si>
  <si>
    <t>Michael &amp; Stacy Payne</t>
  </si>
  <si>
    <t>Tina &amp; E Mccain</t>
  </si>
  <si>
    <t>Amos &amp; Sigal Mokady</t>
  </si>
  <si>
    <t xml:space="preserve">Po Box 6685 </t>
  </si>
  <si>
    <t>Julie Rounds</t>
  </si>
  <si>
    <t>Vineyards</t>
  </si>
  <si>
    <t xml:space="preserve">92 Village Rd  St Catharines, ON L2t 3C1 </t>
  </si>
  <si>
    <t>48310-2380</t>
  </si>
  <si>
    <t>Holmdel</t>
  </si>
  <si>
    <t xml:space="preserve">2905 Harvest Grove Ln SE  Conyers, GA 30013-1864 </t>
  </si>
  <si>
    <t xml:space="preserve">6033 Lacota Ave  Fort Myers, FL 33905 </t>
  </si>
  <si>
    <t xml:space="preserve">531 SE 33rd Ter  Cape Coral, FL 33904 </t>
  </si>
  <si>
    <t>Funston</t>
  </si>
  <si>
    <t>Cape Coral Unit 34 Blk 2431 Pb 16 Pg 85 Lots 22 + 23</t>
  </si>
  <si>
    <t>MAIL HOUSE NUMBER #2</t>
  </si>
  <si>
    <t>Cape Coral Unit 36 Part 1 Blk 2146 Pb 23 Pg 92 Lots 63 + 64</t>
  </si>
  <si>
    <t xml:space="preserve">8591 Buckingham Rd </t>
  </si>
  <si>
    <t>Cape Coral Unit 36 Blk 2539 Pb 16 Pg 115 Lots 37 + 38</t>
  </si>
  <si>
    <t>33909-4583</t>
  </si>
  <si>
    <t>18-43-24-c3-05748.0260</t>
  </si>
  <si>
    <t>C071</t>
  </si>
  <si>
    <t>Shamsher</t>
  </si>
  <si>
    <t>36-43-23-c1-02522.0140</t>
  </si>
  <si>
    <t>Cape Coral Unit 32 Blk 2137 Pb 16 Pg 13 Lots 31 32 + 33</t>
  </si>
  <si>
    <t>Mackay</t>
  </si>
  <si>
    <t>Storck</t>
  </si>
  <si>
    <t>19-43-24-c4-05564.0050</t>
  </si>
  <si>
    <t>Hirsch</t>
  </si>
  <si>
    <t>Heins Erich Paul Tr</t>
  </si>
  <si>
    <t>35226-6354</t>
  </si>
  <si>
    <t>03-44-26-11-00059.0130</t>
  </si>
  <si>
    <t xml:space="preserve">3714 Tallman St </t>
  </si>
  <si>
    <t xml:space="preserve">8910 SW Umatilla St  Tualatin, OR 97062-9341 </t>
  </si>
  <si>
    <t xml:space="preserve">323 NE 7th St  Cape Coral, FL 33909 </t>
  </si>
  <si>
    <t>Raymond &amp; Candice Seward</t>
  </si>
  <si>
    <t>Loren &amp; Dianna Folk</t>
  </si>
  <si>
    <t>B305</t>
  </si>
  <si>
    <t xml:space="preserve">60 Impasse Des Bergers </t>
  </si>
  <si>
    <t>Cape Coral Unit 36 Blk 2318 Pb 16 Pg 130 Lots 31 + 32</t>
  </si>
  <si>
    <t>17-43-24-c4-05774.0250</t>
  </si>
  <si>
    <t>James &amp; For Allen</t>
  </si>
  <si>
    <t>Jose &amp; Nadelia Nunez</t>
  </si>
  <si>
    <t>25-43-23-c4-02299.0170</t>
  </si>
  <si>
    <t xml:space="preserve">2104 NE 40th Ter </t>
  </si>
  <si>
    <t>Yen</t>
  </si>
  <si>
    <t>95687-7221</t>
  </si>
  <si>
    <t xml:space="preserve">1021 NE 4th Ave </t>
  </si>
  <si>
    <t>Cape Coral Unit 36 Blk 2327B Pb 16 Pg 125 Lots 3 4 + 5</t>
  </si>
  <si>
    <t>18-43-24-c4-05703.0270</t>
  </si>
  <si>
    <t>B016</t>
  </si>
  <si>
    <t xml:space="preserve">271 Chang Chun St Yangmingshan </t>
  </si>
  <si>
    <t xml:space="preserve">45-215 Koa Kahiko St  Kaneohe, HI 96744-2004 </t>
  </si>
  <si>
    <t>19-43-24-c1-05567.0180</t>
  </si>
  <si>
    <t xml:space="preserve">1928 NE 4th Ter </t>
  </si>
  <si>
    <t>Frederick Lindsay</t>
  </si>
  <si>
    <t>Garibaldi</t>
  </si>
  <si>
    <t xml:space="preserve">2010 Richmond Rd </t>
  </si>
  <si>
    <t xml:space="preserve">7730 NW 50th St  Lauderhill, FL 33351-5788 </t>
  </si>
  <si>
    <t>Brucefield</t>
  </si>
  <si>
    <t>Paradise Shores Unit 2 Pb 11 Pg 49 Lot 11</t>
  </si>
  <si>
    <t xml:space="preserve">205 Sojourn Dr </t>
  </si>
  <si>
    <t>11558-1913</t>
  </si>
  <si>
    <t>18-43-24-c2-05736.0210</t>
  </si>
  <si>
    <t xml:space="preserve">34 Alexander St  Framingham, MA 01702-7339 </t>
  </si>
  <si>
    <t>63367-1230</t>
  </si>
  <si>
    <t>Weller</t>
  </si>
  <si>
    <t xml:space="preserve">9711 Hammocks Blvd #106 </t>
  </si>
  <si>
    <t>Thomas Vu</t>
  </si>
  <si>
    <t xml:space="preserve">6108 Holt Ct </t>
  </si>
  <si>
    <t xml:space="preserve">1920 NE 1st Pl </t>
  </si>
  <si>
    <t xml:space="preserve">1218 NE 6th Pl  Cape Coral, FL 33909 </t>
  </si>
  <si>
    <t>Angello</t>
  </si>
  <si>
    <t>11-44-25-06-0000d.0980</t>
  </si>
  <si>
    <t>Benjamin &amp; Bertha Interiano</t>
  </si>
  <si>
    <t xml:space="preserve">PO Box 3878  Joliet, IL 60434-3878 </t>
  </si>
  <si>
    <t>Sacco</t>
  </si>
  <si>
    <t xml:space="preserve">3407 Imperial Manor Way </t>
  </si>
  <si>
    <t>21228-5653</t>
  </si>
  <si>
    <t>Cape Coral Unit 84 Blk 5608 Pb 24 Pg 36 Lots 45 + 46</t>
  </si>
  <si>
    <t xml:space="preserve">PO Box 266  Fort Recovery, OH 45846 </t>
  </si>
  <si>
    <t xml:space="preserve">2213 NE 25th Ter </t>
  </si>
  <si>
    <t>Cape Coral Unit 88 Blk 5801 Pb 24 Pg 136 Lots 43 + 44</t>
  </si>
  <si>
    <t>Cape Coral Unit 33 Blk 2188 Pb 16 Pg 51 Lots 67 + 68</t>
  </si>
  <si>
    <t xml:space="preserve">14200 Callan St  Fort Myers, FL 33905 </t>
  </si>
  <si>
    <t>Sprinkle</t>
  </si>
  <si>
    <t xml:space="preserve">1322 Old State Route 74  Batavia, OH 45103-1639 </t>
  </si>
  <si>
    <t>R006</t>
  </si>
  <si>
    <t>11-44-25-09-00000.1700</t>
  </si>
  <si>
    <t xml:space="preserve">411 Walnut St 17724 Green Cv #17724, Green Cove Springs, FL 32043 </t>
  </si>
  <si>
    <t>Pike</t>
  </si>
  <si>
    <t>33903-4308</t>
  </si>
  <si>
    <t>55116-1463</t>
  </si>
  <si>
    <t>17-43-24-c1-05776.0330</t>
  </si>
  <si>
    <t>20-43-24-c1-05641.0270</t>
  </si>
  <si>
    <t>Mcainey</t>
  </si>
  <si>
    <t xml:space="preserve">1230 NE 43rd St  Cape Coral, FL 33909 </t>
  </si>
  <si>
    <t xml:space="preserve">5612 Clanranald Ave  Montreal, QC H3x 2S8 </t>
  </si>
  <si>
    <t>Buckingham Park N E Sec Blk 1 Pb 9 Pg 59 Por Of Lot 1 N 1/4 As Desc In Inst 2005-50522</t>
  </si>
  <si>
    <t>George &amp; Linda Gosman</t>
  </si>
  <si>
    <t xml:space="preserve">22416 137th Ave  Springfield Gardens, NY 11413-2407 </t>
  </si>
  <si>
    <t>Cape Coral Unit 34 Blk 2099 Pb 16 Pg 83 Lots 34 Thru 36</t>
  </si>
  <si>
    <t>Monty</t>
  </si>
  <si>
    <t xml:space="preserve">4113 NE 19th Pl  Cape Coral, FL 33909 </t>
  </si>
  <si>
    <t>Meadow Lark</t>
  </si>
  <si>
    <t xml:space="preserve">1022 Vogiantzis Pkwy  Cape Coral, FL 33909 </t>
  </si>
  <si>
    <t>Onondaga</t>
  </si>
  <si>
    <t>25-43-23-c2-02316.0170</t>
  </si>
  <si>
    <t>36-43-23-c4-02476.0010</t>
  </si>
  <si>
    <t>Cape Coral Unit 88 Blk 5828 Pb 24 Pg 141 Lots 5 + 6</t>
  </si>
  <si>
    <t>11-45-24-03-00014.0080</t>
  </si>
  <si>
    <t>11-44-25-l1-12000.2810</t>
  </si>
  <si>
    <t>11552-3823</t>
  </si>
  <si>
    <t xml:space="preserve">1729 SE 44th Ter  Cape Coral, FL 33904 </t>
  </si>
  <si>
    <t xml:space="preserve">3211 NE 14th Ct  Cape Coral, FL 33909 </t>
  </si>
  <si>
    <t>33909-4333</t>
  </si>
  <si>
    <t>33161-6649</t>
  </si>
  <si>
    <t>American &amp; Dipankar Dasgupta</t>
  </si>
  <si>
    <t>Cape Coral Unit 36 Blk 2352 Pb 16 Pg 124 Lots 7 + 8</t>
  </si>
  <si>
    <t xml:space="preserve">334 NE 13th Ter  Cape Coral, FL 33909 </t>
  </si>
  <si>
    <t xml:space="preserve">PO Box 115  Capac, MI 48014 </t>
  </si>
  <si>
    <t xml:space="preserve">4648 SE 1st Pl </t>
  </si>
  <si>
    <t>25-43-23-c3-02352.0300</t>
  </si>
  <si>
    <t>For John &amp; Cindy Bouley Trust</t>
  </si>
  <si>
    <t xml:space="preserve">6664 SW 41st Pl #28, Davie, FL 33314-3320 </t>
  </si>
  <si>
    <t xml:space="preserve">1222 Silver Perch Ave  Las Vegas, NV 89123-3895 </t>
  </si>
  <si>
    <t>33634-3511</t>
  </si>
  <si>
    <t>Sandusky</t>
  </si>
  <si>
    <t>Dona</t>
  </si>
  <si>
    <t>Cape Coral Unit 34 Blk 2466 Pb 16 Pg 76 Lots 35 + 36</t>
  </si>
  <si>
    <t>33016-6820</t>
  </si>
  <si>
    <t>33909-1278</t>
  </si>
  <si>
    <t xml:space="preserve">15571 Empress Ave N  Hugo, MN 55038-4597 </t>
  </si>
  <si>
    <t xml:space="preserve">1203 NE 19th Ter  Cape Coral, FL 33909 </t>
  </si>
  <si>
    <t>Lucelly</t>
  </si>
  <si>
    <t xml:space="preserve">7289 Telephone Rd </t>
  </si>
  <si>
    <t>12-44-23-c1-02375.0090</t>
  </si>
  <si>
    <t>M 21</t>
  </si>
  <si>
    <t xml:space="preserve">2012 NE Juanita Pl </t>
  </si>
  <si>
    <t>34202-9357</t>
  </si>
  <si>
    <t>06-46-24-18-00t00.0180</t>
  </si>
  <si>
    <t xml:space="preserve">1701 NE 4th Pl  Cape Coral, FL 33909 </t>
  </si>
  <si>
    <t>Zoya</t>
  </si>
  <si>
    <t xml:space="preserve">2009 NE 14th Pl  Cape Coral, FL 33909 </t>
  </si>
  <si>
    <t xml:space="preserve">9827 Cameron Way </t>
  </si>
  <si>
    <t>05-44-24-c1-03530.0460</t>
  </si>
  <si>
    <t>Shane &amp; Cherie Smith</t>
  </si>
  <si>
    <t xml:space="preserve">7660 Hawk View Rd  Germansville, PA 18053-2534 </t>
  </si>
  <si>
    <t xml:space="preserve">2 Schlehleweg </t>
  </si>
  <si>
    <t>Ash</t>
  </si>
  <si>
    <t xml:space="preserve">137 Dover St  Providence, RI 02908-3931 </t>
  </si>
  <si>
    <t xml:space="preserve">5121 Rutland Ct </t>
  </si>
  <si>
    <t xml:space="preserve">1890 Country Club Rd  Thousand Oaks, CA 91360-5005 </t>
  </si>
  <si>
    <t xml:space="preserve">1737 NE 6th Ave </t>
  </si>
  <si>
    <t>Gillian</t>
  </si>
  <si>
    <t xml:space="preserve">5752 Brightwood Dr </t>
  </si>
  <si>
    <t>Bethina Malebranche</t>
  </si>
  <si>
    <t>Tao</t>
  </si>
  <si>
    <t>Helen</t>
  </si>
  <si>
    <t xml:space="preserve">33 Old Schoolhouse Rd  New City, NY 10956-6124 </t>
  </si>
  <si>
    <t>Jaqueline</t>
  </si>
  <si>
    <t>190th</t>
  </si>
  <si>
    <t>20132-2755</t>
  </si>
  <si>
    <t>25-43-23-c1-02327.b260</t>
  </si>
  <si>
    <t xml:space="preserve">2508 NE Juanita Pl  Cape Coral, FL 33909 </t>
  </si>
  <si>
    <t>H082</t>
  </si>
  <si>
    <t>18-43-24-c3-05587.0510</t>
  </si>
  <si>
    <t xml:space="preserve">2820 Margate Rd  Columbus, OH 43221-3062 </t>
  </si>
  <si>
    <t>Pungot</t>
  </si>
  <si>
    <t>Danny Niro</t>
  </si>
  <si>
    <t>36-44-23-c4-00873.0570</t>
  </si>
  <si>
    <t>Carie Olivieri</t>
  </si>
  <si>
    <t xml:space="preserve">571 SW 141st Ave 402n </t>
  </si>
  <si>
    <t xml:space="preserve">4025 NE 23rd Pl </t>
  </si>
  <si>
    <t>Timothy Polijczuh</t>
  </si>
  <si>
    <t>Spocker Weg 35</t>
  </si>
  <si>
    <t>Ryan &amp; Suzanne Kyllonen</t>
  </si>
  <si>
    <t xml:space="preserve">14053 Marquette Blvd  Fort Myers, FL 33905 </t>
  </si>
  <si>
    <t>William &amp; Cheryl Lemanski</t>
  </si>
  <si>
    <t>Cape Coral Unit 85 Blk 5634 Pb 24 Pg 50 Lots 12 + 13</t>
  </si>
  <si>
    <t>Kerwin Serraneau</t>
  </si>
  <si>
    <t>Thibault</t>
  </si>
  <si>
    <t>Young Forest</t>
  </si>
  <si>
    <t>Renaud</t>
  </si>
  <si>
    <t>Tally</t>
  </si>
  <si>
    <t xml:space="preserve">314 W 31st St #2, Baltimore, MD 21211-2870 </t>
  </si>
  <si>
    <t xml:space="preserve">2322 NE 6th Ave </t>
  </si>
  <si>
    <t xml:space="preserve">1104 NE 33rd St </t>
  </si>
  <si>
    <t>Lely Resort</t>
  </si>
  <si>
    <t>23-44-24-p4-02406.0050</t>
  </si>
  <si>
    <t xml:space="preserve">1135 Dunad Ave  Opa Locka, FL 33054-3411 </t>
  </si>
  <si>
    <t>Urbina</t>
  </si>
  <si>
    <t xml:space="preserve">1010 S Ocean Blvd #912 </t>
  </si>
  <si>
    <t>Waban</t>
  </si>
  <si>
    <t>Cape Coral Unit 47 Pt 2 Blk 3542 Pb 23 Pg 119 Lots 22 &amp; 23</t>
  </si>
  <si>
    <t>Saint Conrad</t>
  </si>
  <si>
    <t xml:space="preserve">10243 Meadow Beauty Trl  Fort Myers, FL 33905 </t>
  </si>
  <si>
    <t>Regatta</t>
  </si>
  <si>
    <t xml:space="preserve">5284 Cypress Trail Resort Cir  Fort Myers, FL 33905 </t>
  </si>
  <si>
    <t xml:space="preserve">421 New York Dr </t>
  </si>
  <si>
    <t>Apolinar Avila &amp; Bertha Garcia</t>
  </si>
  <si>
    <t>Gardner</t>
  </si>
  <si>
    <t>Cape Coral Unit 36 Blk 2333 Pb 16 Pg 127 Lots 63 + 64</t>
  </si>
  <si>
    <t>33909-5502</t>
  </si>
  <si>
    <t>Townsend</t>
  </si>
  <si>
    <t xml:space="preserve">11510 Blue Warbler Dr </t>
  </si>
  <si>
    <t xml:space="preserve">E Riverside Dr </t>
  </si>
  <si>
    <t>Cape Coral Unit 36 Blk 2314 Pb 16 Pg 123 Lots 34 + 35</t>
  </si>
  <si>
    <t>Cape Coral Unit 33 Blk 2225 Pb 16 Pg 45 Lots 12 + 13</t>
  </si>
  <si>
    <t>18-46-25-00-00007.0010</t>
  </si>
  <si>
    <t xml:space="preserve">916 NE 43rd Ter </t>
  </si>
  <si>
    <t>Cape Coral Unit 88 Blk 5815 Pb 24 Pg 139 Lots 13 + 14</t>
  </si>
  <si>
    <t xml:space="preserve">22832 114th Dr </t>
  </si>
  <si>
    <t>Bank Street</t>
  </si>
  <si>
    <t xml:space="preserve">62 Woodbury Dr  Palm Coast, FL 32164-7982 </t>
  </si>
  <si>
    <t>Athens-Clarke County Unified Government (Balance)</t>
  </si>
  <si>
    <t>Towson</t>
  </si>
  <si>
    <t xml:space="preserve">618 NE 12th St </t>
  </si>
  <si>
    <t xml:space="preserve">345 NE 20th Ter </t>
  </si>
  <si>
    <t>20-43-24-c1-05657.0130</t>
  </si>
  <si>
    <t>Way</t>
  </si>
  <si>
    <t xml:space="preserve">59 Richfield Ave  East Providence, RI 02914-3009 </t>
  </si>
  <si>
    <t>Saw Mill River</t>
  </si>
  <si>
    <t>Basking Ridge</t>
  </si>
  <si>
    <t>Lehigh Acres Unit 9 Blk 42 Pb 26 Pg 11 Lot 9</t>
  </si>
  <si>
    <t>31602-4905</t>
  </si>
  <si>
    <t>Candellere</t>
  </si>
  <si>
    <t>Shahidpour</t>
  </si>
  <si>
    <t>Cape Coral Unit 33 Blk 2231 Pb 16 Pg 54 Lots 40 + 41</t>
  </si>
  <si>
    <t>Topping</t>
  </si>
  <si>
    <t xml:space="preserve">3299 Lost Pine Way </t>
  </si>
  <si>
    <t>07-44-24-c3-01482.0680</t>
  </si>
  <si>
    <t>Cape Coral Unit 87 Blk 5705 Pb 24 Pg 72 Lots 13 + 14</t>
  </si>
  <si>
    <t>Goris</t>
  </si>
  <si>
    <t xml:space="preserve">16605 Foothill Dr  Tampa, FL 33624-1052 </t>
  </si>
  <si>
    <t>19-43-24-c2-05753.0480</t>
  </si>
  <si>
    <t>Palmona Park Unit 1 Blk 42 Pb 7 Pg 54 Lot 24</t>
  </si>
  <si>
    <t>South Fork</t>
  </si>
  <si>
    <t>Cape Coral Unit 34 Blk 2442 Pb 16 Pg 78 Lots 13 Thru 15</t>
  </si>
  <si>
    <t>Cape Coral Unit 17 Blk 1540 Pb 14 Pg 31 Lots 32 + 33</t>
  </si>
  <si>
    <t>American Estate &amp; Trust</t>
  </si>
  <si>
    <t>03-44-26-01-00003.0250</t>
  </si>
  <si>
    <t>19-43-24-c2-05589.0300</t>
  </si>
  <si>
    <t xml:space="preserve">3501 NE 21st Ave </t>
  </si>
  <si>
    <t xml:space="preserve">6581 Astoria Ave </t>
  </si>
  <si>
    <t xml:space="preserve">1211 NE 18th Ave </t>
  </si>
  <si>
    <t>Dean &amp; Gia Grasso</t>
  </si>
  <si>
    <t>Trooper</t>
  </si>
  <si>
    <t xml:space="preserve">206 15th Ave #4 </t>
  </si>
  <si>
    <t>C038</t>
  </si>
  <si>
    <t>07059-3003</t>
  </si>
  <si>
    <t>33909-6578</t>
  </si>
  <si>
    <t>01-44-23-c1-02461.0230</t>
  </si>
  <si>
    <t xml:space="preserve">Willow Tree Farm </t>
  </si>
  <si>
    <t>16-44-26-06-00013.0290</t>
  </si>
  <si>
    <t>Ada</t>
  </si>
  <si>
    <t>20-43-24-c2-05664.0440</t>
  </si>
  <si>
    <t>For Lots 33-34 Cape Coral Land Trust</t>
  </si>
  <si>
    <t xml:space="preserve">13460 Causeway Palms Cv </t>
  </si>
  <si>
    <t>Buckingham Pk Re Blk B U-2 Blk 6 Pb 27 Pg 189 Lot 5</t>
  </si>
  <si>
    <t>Dennis &amp; Susan Mccusker</t>
  </si>
  <si>
    <t>33909-4671</t>
  </si>
  <si>
    <t>33909-6289</t>
  </si>
  <si>
    <t xml:space="preserve">2016 NE 6th Ave </t>
  </si>
  <si>
    <t>Laurie &amp; Thoma Webber</t>
  </si>
  <si>
    <t xml:space="preserve">2658 SE 19th Ave  Cape Coral, FL 33904 </t>
  </si>
  <si>
    <t xml:space="preserve">339 NE 10th St  Cape Coral, FL 33909 </t>
  </si>
  <si>
    <t xml:space="preserve">2069 Everett Rd </t>
  </si>
  <si>
    <t>33909-1224</t>
  </si>
  <si>
    <t>J1</t>
  </si>
  <si>
    <t>Juan &amp; Yolanda Arevalo</t>
  </si>
  <si>
    <t xml:space="preserve">249 Clendenny Ave  Jersey City, NJ 07304-1112 </t>
  </si>
  <si>
    <t>03-44-26-13-00076.0150</t>
  </si>
  <si>
    <t>07-46-25-04-000r0.0180</t>
  </si>
  <si>
    <t>33909-4382</t>
  </si>
  <si>
    <t>Victor &amp; Hazel Menegigian</t>
  </si>
  <si>
    <t>Richard &amp; Patricia Moschberger</t>
  </si>
  <si>
    <t>Cape Coral Unit 34 Blk 2437 Pb 16 Pg 85 Lots 44 + 45</t>
  </si>
  <si>
    <t xml:space="preserve">121 NE 15th St </t>
  </si>
  <si>
    <t xml:space="preserve">7520 Duncrest Rd  Lake Worth, FL 33467-7813 </t>
  </si>
  <si>
    <t xml:space="preserve">7 Sudetenstr </t>
  </si>
  <si>
    <t xml:space="preserve">4112 NE 23rd Pl </t>
  </si>
  <si>
    <t>33904-2707</t>
  </si>
  <si>
    <t>33909-8410</t>
  </si>
  <si>
    <t>Charles &amp; For Granner</t>
  </si>
  <si>
    <t>Cape Coral Unit 36 Blk 2346 Pb 16 Pg 127 Lots 29 &amp; 30</t>
  </si>
  <si>
    <t>Prindiville</t>
  </si>
  <si>
    <t xml:space="preserve">10 Korytsas St  Kifissia Athens, GR 00145 </t>
  </si>
  <si>
    <t>11-44-25-l1-13000.0990</t>
  </si>
  <si>
    <t>03-44-26-01-00004.0050</t>
  </si>
  <si>
    <t xml:space="preserve">5182 Cypress Trail Resort Cir </t>
  </si>
  <si>
    <t>Cape Coral Unit 32 Blk 2119 Pb 16 Pg 4 Lots 11 + 12</t>
  </si>
  <si>
    <t>Joan &amp; Weile Liu</t>
  </si>
  <si>
    <t xml:space="preserve">8831 Woodgate Dr  Fort Myers, FL 33908 </t>
  </si>
  <si>
    <t xml:space="preserve">1404 NE 9th Pl  Cape Coral, FL 33909 </t>
  </si>
  <si>
    <t>60172-2800</t>
  </si>
  <si>
    <t>01-44-23-c1-02462.0030</t>
  </si>
  <si>
    <t>Barto</t>
  </si>
  <si>
    <t>Judith Lavian</t>
  </si>
  <si>
    <t>Cape Coral Unit 84 Blk 5554 Pb 24 Pg 31 Lots 7 + 8</t>
  </si>
  <si>
    <t xml:space="preserve">7753 S Westbrook Dr  Dubuque, IA 52002-9690 </t>
  </si>
  <si>
    <t>Cdd Portico</t>
  </si>
  <si>
    <t>07206-1131</t>
  </si>
  <si>
    <t xml:space="preserve">101 Pinegarden  Sour Lake, TX 77659-9268 </t>
  </si>
  <si>
    <t xml:space="preserve">1206 Westwood Dr </t>
  </si>
  <si>
    <t>20-43-24-c2-05665.0240</t>
  </si>
  <si>
    <t>Mcomber Dennis M Tr</t>
  </si>
  <si>
    <t xml:space="preserve">244 Country Rd D, Medford, NY 11763-1634 </t>
  </si>
  <si>
    <t>17-43-24-c2-05814.0230</t>
  </si>
  <si>
    <t xml:space="preserve">467 NE 3rd Pl  Cape Coral, FL 33909 </t>
  </si>
  <si>
    <t xml:space="preserve">249 NW 34th Ave </t>
  </si>
  <si>
    <t>Danilo Lazaro</t>
  </si>
  <si>
    <t>Wooster</t>
  </si>
  <si>
    <t>Suarez</t>
  </si>
  <si>
    <t>Madhavi</t>
  </si>
  <si>
    <t>47408-9303</t>
  </si>
  <si>
    <t>Cape Coral Unit 47 Pt 2 Blk 3518 Pb 23 Pg 125 Lots 7 + 8</t>
  </si>
  <si>
    <t xml:space="preserve">6017 Lindbrook Ave </t>
  </si>
  <si>
    <t>Fulton</t>
  </si>
  <si>
    <t>Lake Osborne</t>
  </si>
  <si>
    <t xml:space="preserve">3832 Hollycrest St  Fort Myers, FL 33905 </t>
  </si>
  <si>
    <t xml:space="preserve">7043 Brennan Pl </t>
  </si>
  <si>
    <t>Terri</t>
  </si>
  <si>
    <t xml:space="preserve">16 Holley St </t>
  </si>
  <si>
    <t>33619-8516</t>
  </si>
  <si>
    <t>Dung &amp; Hung Nguyen</t>
  </si>
  <si>
    <t xml:space="preserve">5312 Cypress Trail Resort Cir  Fort Myers, FL 33905 </t>
  </si>
  <si>
    <t>Cape Coral Unit 31 Blk 2081 Pb 14 Pg 161 Lots 18 + 19</t>
  </si>
  <si>
    <t>08807-3608</t>
  </si>
  <si>
    <t>Tiffany</t>
  </si>
  <si>
    <t xml:space="preserve">203 NE 19th Ter </t>
  </si>
  <si>
    <t>PO Box 10984</t>
  </si>
  <si>
    <t>Rogelio</t>
  </si>
  <si>
    <t xml:space="preserve">10031 Stonewood Dr  Fort Myers, FL 33905 </t>
  </si>
  <si>
    <t xml:space="preserve">917 Unice Ave N  Lehigh Acres, FL 33971-5207 </t>
  </si>
  <si>
    <t>33556-3127</t>
  </si>
  <si>
    <t># 84</t>
  </si>
  <si>
    <t>29-43-26-05-00091.0170</t>
  </si>
  <si>
    <t>Cape Coral Unit 33 Blk 2223 Pb 16 Pg 43 Lots 61 + 62</t>
  </si>
  <si>
    <t>33905-2507</t>
  </si>
  <si>
    <t>32a</t>
  </si>
  <si>
    <t>20-43-24-c3-05672.0550</t>
  </si>
  <si>
    <t>60010-9597</t>
  </si>
  <si>
    <t xml:space="preserve">4754 Tumbleweed Dr  Brighton, CO 80601-4648 </t>
  </si>
  <si>
    <t xml:space="preserve">522 NE 7th Ave  Cape Coral, FL 33909 </t>
  </si>
  <si>
    <t>14127-3963</t>
  </si>
  <si>
    <t xml:space="preserve">205 NE 31st Ter </t>
  </si>
  <si>
    <t>Nguyen Le</t>
  </si>
  <si>
    <t xml:space="preserve">2108 NE 43rd Ln </t>
  </si>
  <si>
    <t xml:space="preserve">3 Abingdon Ln  Scarsdale, NY 10583-6605 </t>
  </si>
  <si>
    <t>B10</t>
  </si>
  <si>
    <t>19-43-24-c1-05549.0230</t>
  </si>
  <si>
    <t xml:space="preserve">11740 Wild Flax Dr </t>
  </si>
  <si>
    <t>Kissimmee</t>
  </si>
  <si>
    <t>Cleophat</t>
  </si>
  <si>
    <t>19-43-24-c3-05613.0190</t>
  </si>
  <si>
    <t>Ashburton</t>
  </si>
  <si>
    <t xml:space="preserve">127 Meta St  Fort Myers, FL 33905 </t>
  </si>
  <si>
    <t>Harborage Subd Pb 38 Pg 7 Lot 40</t>
  </si>
  <si>
    <t xml:space="preserve">1008 NE 32nd Ln </t>
  </si>
  <si>
    <t xml:space="preserve">871 San Pedro Ave </t>
  </si>
  <si>
    <t xml:space="preserve">1114 NE 10th Ln  Cape Coral, FL 33909 </t>
  </si>
  <si>
    <t>Hastings</t>
  </si>
  <si>
    <t>Richard &amp; Roseann Parker</t>
  </si>
  <si>
    <t>33909-6813</t>
  </si>
  <si>
    <t xml:space="preserve">56 Muell St #7 </t>
  </si>
  <si>
    <t>Christian</t>
  </si>
  <si>
    <t xml:space="preserve">1101 Gadsden Ave  Silver Spring, MD 20905-3757 </t>
  </si>
  <si>
    <t>Abbington</t>
  </si>
  <si>
    <t xml:space="preserve">1549 Scandia Cir </t>
  </si>
  <si>
    <t xml:space="preserve">57 Ridge Cv  Saint Johns, FL 32259-7397 </t>
  </si>
  <si>
    <t xml:space="preserve">2117 NE 33rd Ter </t>
  </si>
  <si>
    <t>Darlene Schilling &amp; Ronald Ossi</t>
  </si>
  <si>
    <t>Cape Coral Unit 84 Blk 5559 Pb 24 Pg 32 Lots 20 + 21</t>
  </si>
  <si>
    <t>Packwood</t>
  </si>
  <si>
    <t>Cape Coral Unit 31 Blk 2049 Pb 14 Pg 157 Lots 37 + 38</t>
  </si>
  <si>
    <t>13-45-23-c4-00100.0350</t>
  </si>
  <si>
    <t xml:space="preserve">4105 Andalusia Blvd  Cape Coral, FL 33909 </t>
  </si>
  <si>
    <t>34986-1720</t>
  </si>
  <si>
    <t>33909-6524</t>
  </si>
  <si>
    <t>William Prange</t>
  </si>
  <si>
    <t>33904-8773</t>
  </si>
  <si>
    <t xml:space="preserve">18290 NW 10th St  Pembroke Pines, FL 33029-3667 </t>
  </si>
  <si>
    <t xml:space="preserve">9820 Belinder Rd </t>
  </si>
  <si>
    <t xml:space="preserve">9437 Silhouette Ln  Jacksonville, FL 32257-5750 </t>
  </si>
  <si>
    <t>Cape Coral Unit 84 Blk 5624 Pb 24 Pg 33 Lots 41 + 42</t>
  </si>
  <si>
    <t xml:space="preserve">Po Box 263 </t>
  </si>
  <si>
    <t>Kwong</t>
  </si>
  <si>
    <t>29061-9700</t>
  </si>
  <si>
    <t>Crystal Lakes Manufactured Home Comm Condo Or 2784/4003 Lot 289</t>
  </si>
  <si>
    <t>Camilleri</t>
  </si>
  <si>
    <t>18901-2823</t>
  </si>
  <si>
    <t>Payne</t>
  </si>
  <si>
    <t xml:space="preserve">25 Division St </t>
  </si>
  <si>
    <t xml:space="preserve">9116 Okla Dr </t>
  </si>
  <si>
    <t xml:space="preserve">3723 Tareco St </t>
  </si>
  <si>
    <t>Enrique</t>
  </si>
  <si>
    <t xml:space="preserve">5807 Francis Lewis Blvd </t>
  </si>
  <si>
    <t>Kurt</t>
  </si>
  <si>
    <t>33905-4442</t>
  </si>
  <si>
    <t>Cape Coral Unit 84 Blk 5550 Pb 24 Pg 39 Lots 23 + 24</t>
  </si>
  <si>
    <t>Beaver</t>
  </si>
  <si>
    <t xml:space="preserve">4145 NE 16th Ave </t>
  </si>
  <si>
    <t xml:space="preserve">400 Chopsey Hill Rd </t>
  </si>
  <si>
    <t>Catarina</t>
  </si>
  <si>
    <t>Harborage Subd Pb 38 Pg 8 Lot 47</t>
  </si>
  <si>
    <t xml:space="preserve">407 NE Juanita Pl </t>
  </si>
  <si>
    <t>03-44-26-09-00041.0180</t>
  </si>
  <si>
    <t>Aurie Patricio &amp; Ken Vo</t>
  </si>
  <si>
    <t>Sudeer Pothireddy &amp; Sindura Vedire</t>
  </si>
  <si>
    <t>33909-1562</t>
  </si>
  <si>
    <t>Roger &amp; Delores Larson</t>
  </si>
  <si>
    <t>01-44-23-c3-02428.0540</t>
  </si>
  <si>
    <t>Cape Coral Unit 85 Blk 5640 Pb 24 Pg 54 Lots 23 + 24</t>
  </si>
  <si>
    <t>Cape Coral Unit 17 Blk 1536 Pb 14 Pg 31 Lots 31 + 32</t>
  </si>
  <si>
    <t>Julius</t>
  </si>
  <si>
    <t>Grand Concourse</t>
  </si>
  <si>
    <t>Cypress Trail Rv Resort Ph 3 As Desc In Inst# 2015000085552 Lot 220</t>
  </si>
  <si>
    <t>Myron Layton</t>
  </si>
  <si>
    <t xml:space="preserve">524 Wayside Rd  Neptune, NJ 07753-3845 </t>
  </si>
  <si>
    <t xml:space="preserve">14 Langhaldenstrasse </t>
  </si>
  <si>
    <t>20-43-24-c3-05637.0160</t>
  </si>
  <si>
    <t>03-44-26-03-00012.0100</t>
  </si>
  <si>
    <t>03242-6026</t>
  </si>
  <si>
    <t>36-44-23-c4-00873.0080</t>
  </si>
  <si>
    <t>33909-1273</t>
  </si>
  <si>
    <t>18-43-24-c1-05727.0290</t>
  </si>
  <si>
    <t xml:space="preserve">1312 Diplomat Pkwy E </t>
  </si>
  <si>
    <t>Duong Tran &amp; Jennifer Nguyen</t>
  </si>
  <si>
    <t>Opitz</t>
  </si>
  <si>
    <t>Inlet Cove</t>
  </si>
  <si>
    <t>Lang</t>
  </si>
  <si>
    <t xml:space="preserve">2308 NE 33rd Ln </t>
  </si>
  <si>
    <t>For Ryan N Weisenborn Trust</t>
  </si>
  <si>
    <t xml:space="preserve">1421 8th St NE J1 </t>
  </si>
  <si>
    <t>Sheltra</t>
  </si>
  <si>
    <t xml:space="preserve">3405 NE 19th Pl </t>
  </si>
  <si>
    <t>11-44-25-09-00000.0090</t>
  </si>
  <si>
    <t xml:space="preserve">2212 NE 35th St  Cape Coral, FL 33909 </t>
  </si>
  <si>
    <t xml:space="preserve">10388 Nightwood Dr  Fort Myers, FL 33905 </t>
  </si>
  <si>
    <t xml:space="preserve">553 Sacramento St </t>
  </si>
  <si>
    <t xml:space="preserve">120 NW 87th Ave F204 </t>
  </si>
  <si>
    <t>19-43-24-c2-05595.0380</t>
  </si>
  <si>
    <t>Freierstr</t>
  </si>
  <si>
    <t>Natali</t>
  </si>
  <si>
    <t xml:space="preserve">48620 Flagstaff Rd </t>
  </si>
  <si>
    <t>Boise City</t>
  </si>
  <si>
    <t>Lila</t>
  </si>
  <si>
    <t>Cape Coral Unit 84 Blk 5606 Pb 24 Pg 42 Lots 13 + 14</t>
  </si>
  <si>
    <t xml:space="preserve">4661 Momany Park  Coloma, MI 49038-9196 </t>
  </si>
  <si>
    <t xml:space="preserve">1995 Sedgwick Ave 4g </t>
  </si>
  <si>
    <t>05-44-24-c2-03525.0360</t>
  </si>
  <si>
    <t>Koshy</t>
  </si>
  <si>
    <t>Tom &amp; Nancy Scobey</t>
  </si>
  <si>
    <t>20-43-24-c2-05663.0150</t>
  </si>
  <si>
    <t>Sublimity</t>
  </si>
  <si>
    <t xml:space="preserve">620 E Laverne Dr  Oak Creek, WI 53154-3029 </t>
  </si>
  <si>
    <t xml:space="preserve">533 NE 7th Ter </t>
  </si>
  <si>
    <t xml:space="preserve">1763 Rustic Ln  Keego Harbor, MI 48320-1131 </t>
  </si>
  <si>
    <t>Camilla</t>
  </si>
  <si>
    <t>Smokey Hollow</t>
  </si>
  <si>
    <t>Cape Coral Unit 87 Blk 5701 Pb 24 Pg 82 Lots 43 + 44</t>
  </si>
  <si>
    <t>19-43-24-c4-05554.0020</t>
  </si>
  <si>
    <t>25-43-23-c4-02300.b090</t>
  </si>
  <si>
    <t>Maxine</t>
  </si>
  <si>
    <t xml:space="preserve">21 Calle Alameda C </t>
  </si>
  <si>
    <t>Brickell Key</t>
  </si>
  <si>
    <t>11-44-25-04-0000b.0820</t>
  </si>
  <si>
    <t>Cossette</t>
  </si>
  <si>
    <t xml:space="preserve">1188 NE 44th Ln  Cape Coral, FL 33909 </t>
  </si>
  <si>
    <t xml:space="preserve">5600 Brightwood Dr  Fort Myers, FL 33905 </t>
  </si>
  <si>
    <t>33909-4638</t>
  </si>
  <si>
    <t>Kong</t>
  </si>
  <si>
    <t xml:space="preserve">18220 Chesapeake Ct </t>
  </si>
  <si>
    <t>Laxshmi</t>
  </si>
  <si>
    <t xml:space="preserve">1631 NE 34th St </t>
  </si>
  <si>
    <t xml:space="preserve">1819 NE 5th Ter </t>
  </si>
  <si>
    <t>29626-6448</t>
  </si>
  <si>
    <t>Nancy Lynch</t>
  </si>
  <si>
    <t>Cape Coral Unit 31 Blk 2046 Pb 14 Pg 154 Lots 53 + 54</t>
  </si>
  <si>
    <t>Cape Coral Unit 31 Blk 2065 Pb 14 Pg 161 Lots 17 + 18</t>
  </si>
  <si>
    <t>18-43-24-c2-05729.0080</t>
  </si>
  <si>
    <t>Cypress Woods Rv Resort Desc In Inst#2006-358211 Lot 180</t>
  </si>
  <si>
    <t xml:space="preserve">Bois Saint Charles </t>
  </si>
  <si>
    <t>31-43-24-c1-02162.0590</t>
  </si>
  <si>
    <t>Cape Coral Unit 88 Blk 5786 Pb 24 Pg 131 Lots 11 Thru 13</t>
  </si>
  <si>
    <t>Cape Coral Unit 21 Pb 13 Pg 156 Blk 655 Lots 58A + 58B</t>
  </si>
  <si>
    <t>PO Box 993747</t>
  </si>
  <si>
    <t xml:space="preserve">10266 Meadow Beauty Trl  Fort Myers, FL 33905 </t>
  </si>
  <si>
    <t xml:space="preserve">2021 NE 6th Pl </t>
  </si>
  <si>
    <t>Roe</t>
  </si>
  <si>
    <t>Krishna Doppalapudi &amp; Anuradha Jetty</t>
  </si>
  <si>
    <t xml:space="preserve">3313 SE 6th Ave  Cape Coral, FL 33904 </t>
  </si>
  <si>
    <t xml:space="preserve">25 Teaneck Dr  East Northport, NY 11731-2527 </t>
  </si>
  <si>
    <t>Gary &amp; Mary Rushlow</t>
  </si>
  <si>
    <t>Danilo Duque</t>
  </si>
  <si>
    <t>06-44-24-c4-02055.0240</t>
  </si>
  <si>
    <t>Michael &amp; Carolee Moxam</t>
  </si>
  <si>
    <t xml:space="preserve">473 Narragansett St NE </t>
  </si>
  <si>
    <t xml:space="preserve">5115 Cypress Trail Resort Cir  Fort Myers, FL 33905 </t>
  </si>
  <si>
    <t xml:space="preserve">10211 Nightwood Dr  Fort Myers, FL 33905 </t>
  </si>
  <si>
    <t>K0K 1L0</t>
  </si>
  <si>
    <t>Rahamans Estates A Replat Of Lots 3 4 9 and 10 Blk 1 Of Terry Tice + Vandawalkers As Desc In Inst #2021000291430 Lot 3</t>
  </si>
  <si>
    <t>33909-1023</t>
  </si>
  <si>
    <t>17-43-24-c2-05799.0010</t>
  </si>
  <si>
    <t>Kalata</t>
  </si>
  <si>
    <t>Miami Lakes</t>
  </si>
  <si>
    <t>11-44-25-06-0000d.1120</t>
  </si>
  <si>
    <t>Perry Tomg</t>
  </si>
  <si>
    <t>Mansour</t>
  </si>
  <si>
    <t>Patti</t>
  </si>
  <si>
    <t xml:space="preserve">1610 NE 33rd Ln  Cape Coral, FL 33909 </t>
  </si>
  <si>
    <t xml:space="preserve">5371 E 143rd Dr </t>
  </si>
  <si>
    <t xml:space="preserve">11 Cedar Rd  Winsted, CT 06098-1804 </t>
  </si>
  <si>
    <t>Trang</t>
  </si>
  <si>
    <t>01-44-23-c1-02418.0150</t>
  </si>
  <si>
    <t xml:space="preserve">1918 NE 18th Ave  Cape Coral, FL 33909 </t>
  </si>
  <si>
    <t>Bach</t>
  </si>
  <si>
    <t>33905-1911</t>
  </si>
  <si>
    <t>Leonidas</t>
  </si>
  <si>
    <t>Alma</t>
  </si>
  <si>
    <t xml:space="preserve">3022 NE 20th Ct </t>
  </si>
  <si>
    <t>Law Anna Field Tr</t>
  </si>
  <si>
    <t>Cape Coral Unit 85 Blk 5639 Pb 24 Pg 54 Lots 34 + 35</t>
  </si>
  <si>
    <t xml:space="preserve">637 Selborne Rd  Riverside, IL 60546-1746 </t>
  </si>
  <si>
    <t>Detringo</t>
  </si>
  <si>
    <t xml:space="preserve">132 Chysis Rd  Milpitas, CA 95035-8929 </t>
  </si>
  <si>
    <t xml:space="preserve">1116 NE 33rd Ter </t>
  </si>
  <si>
    <t>Kump</t>
  </si>
  <si>
    <t xml:space="preserve">12155 SW 27th St </t>
  </si>
  <si>
    <t>Lahav</t>
  </si>
  <si>
    <t>56055-2416</t>
  </si>
  <si>
    <t xml:space="preserve">2226 NE 24th Ter  Cape Coral, FL 33909 </t>
  </si>
  <si>
    <t xml:space="preserve">3569 NE 9th Pl  Cape Coral, FL 33909 </t>
  </si>
  <si>
    <t>Imelda</t>
  </si>
  <si>
    <t xml:space="preserve">1279 Nova Dr </t>
  </si>
  <si>
    <t>For Paulina M Batista Trust</t>
  </si>
  <si>
    <t xml:space="preserve">302 Diplomat Pkwy E  Cape Coral, FL 33909 </t>
  </si>
  <si>
    <t>San Francisco</t>
  </si>
  <si>
    <t>Chamberlain Patricia A Tr For Chamberlain Trust</t>
  </si>
  <si>
    <t>19-43-24-c1-05579.0580</t>
  </si>
  <si>
    <t xml:space="preserve">290 Calle Montecarlo </t>
  </si>
  <si>
    <t>Ralph Craig &amp; Joyce For</t>
  </si>
  <si>
    <t>Agen</t>
  </si>
  <si>
    <t xml:space="preserve">2020 NE 18th Ter </t>
  </si>
  <si>
    <t>Forest Hills</t>
  </si>
  <si>
    <t xml:space="preserve">312 NE 7th St </t>
  </si>
  <si>
    <t xml:space="preserve">7181 SE 173rd arlington Loop  the Villages, FL 32162-5330 </t>
  </si>
  <si>
    <t xml:space="preserve">3711 NE 12th Pl </t>
  </si>
  <si>
    <t xml:space="preserve">6312 Wolf Rd </t>
  </si>
  <si>
    <t>Rubio</t>
  </si>
  <si>
    <t>Janina Dilly</t>
  </si>
  <si>
    <t>Sardo</t>
  </si>
  <si>
    <t xml:space="preserve">1160 NE 44th Ln  Cape Coral, FL 33909 </t>
  </si>
  <si>
    <t xml:space="preserve">125 NE 15th St  Cape Coral, FL 33909 </t>
  </si>
  <si>
    <t>Bear Creek</t>
  </si>
  <si>
    <t>06-44-24-c4-02056.0040</t>
  </si>
  <si>
    <t xml:space="preserve">4418 New York Ave  Fort Myers, FL 33905 </t>
  </si>
  <si>
    <t xml:space="preserve">6521 Cedarwood Ave  Fort Myers, FL 33905 </t>
  </si>
  <si>
    <t>Putman</t>
  </si>
  <si>
    <t>Cypress Woods Rv Resort Unit 4 Pb 79 Pgs 68-71 Blk D Lot 50</t>
  </si>
  <si>
    <t>Roselene</t>
  </si>
  <si>
    <t>20720-4675</t>
  </si>
  <si>
    <t>John &amp; Carol Studley</t>
  </si>
  <si>
    <t>19-43-24-c4-05551.0130</t>
  </si>
  <si>
    <t>Garber</t>
  </si>
  <si>
    <t>Cape Coral Unit 87 Blk 5696 Pb 24 Pg 79 Lot 33</t>
  </si>
  <si>
    <t>Chemin Hauts De Grisy</t>
  </si>
  <si>
    <t xml:space="preserve">512 Diplomat Pkwy E  Cape Coral, FL 33909 </t>
  </si>
  <si>
    <t>Boim &amp; Irving Boim</t>
  </si>
  <si>
    <t xml:space="preserve">4207 S Dale Mabry Hwy #12210, Tampa, FL 33611-1443 </t>
  </si>
  <si>
    <t xml:space="preserve">2109 NE 17th Ter </t>
  </si>
  <si>
    <t>Macias</t>
  </si>
  <si>
    <t xml:space="preserve">1376 Dogwood Ln </t>
  </si>
  <si>
    <t>Pellville</t>
  </si>
  <si>
    <t xml:space="preserve">6114 Stratton Rd </t>
  </si>
  <si>
    <t>Cape Coral Unit 87 Blk 5732 Pb 24 Pg 87 Lots 27 + 28</t>
  </si>
  <si>
    <t xml:space="preserve">560 Montego Dr </t>
  </si>
  <si>
    <t>Lohmar Nr</t>
  </si>
  <si>
    <t>33905-5753</t>
  </si>
  <si>
    <t xml:space="preserve">1401 NE 23rd Ter  Cape Coral, FL 33909 </t>
  </si>
  <si>
    <t xml:space="preserve">1634 NE 37th St </t>
  </si>
  <si>
    <t>Cape Coral Unit 33 Blk 2225 Pb 16 Pg 45 Lots 10 + 11</t>
  </si>
  <si>
    <t>Lapis</t>
  </si>
  <si>
    <t>25-43-23-c2-02340.0490</t>
  </si>
  <si>
    <t xml:space="preserve">332 NE 27th St </t>
  </si>
  <si>
    <t xml:space="preserve">2817 Academy Blvd </t>
  </si>
  <si>
    <t xml:space="preserve">2728 Garden Dr N #309 </t>
  </si>
  <si>
    <t>31-44-24-c3-00618.0110</t>
  </si>
  <si>
    <t xml:space="preserve">PO Box 2261  Nantucket, MA 02584-2261 </t>
  </si>
  <si>
    <t xml:space="preserve">2624 NE 22nd Pl </t>
  </si>
  <si>
    <t>Perth Amboy</t>
  </si>
  <si>
    <t>Shaheed</t>
  </si>
  <si>
    <t xml:space="preserve">3138 NE 13th Ct </t>
  </si>
  <si>
    <t xml:space="preserve">833 NE 9th St  Cape Coral, FL 33909 </t>
  </si>
  <si>
    <t xml:space="preserve">2132 NE 33rd Ter  Cape Coral, FL 33909 </t>
  </si>
  <si>
    <t>Gary Mcgrath</t>
  </si>
  <si>
    <t>03051-6406</t>
  </si>
  <si>
    <t>14450-2705</t>
  </si>
  <si>
    <t>Pesaro</t>
  </si>
  <si>
    <t>John &amp; Helen Goldsberry</t>
  </si>
  <si>
    <t xml:space="preserve">1318 NE 5th Pl </t>
  </si>
  <si>
    <t>Leiendecker</t>
  </si>
  <si>
    <t>Cape Coral Unit 87 Blk 5742 Pb 24 Pg 70 Lots 30 + 31</t>
  </si>
  <si>
    <t>36-43-23-c3-02477.0410</t>
  </si>
  <si>
    <t xml:space="preserve">17 Moeller Crt </t>
  </si>
  <si>
    <t>Cape Coral Unit 17 Blk.1509 Pb 14 Pg 26 Lots 43 + 44</t>
  </si>
  <si>
    <t xml:space="preserve">9325 Vanderveer St </t>
  </si>
  <si>
    <t>25-43-23-c1-02348.0240</t>
  </si>
  <si>
    <t>Thach</t>
  </si>
  <si>
    <t>33012-6532</t>
  </si>
  <si>
    <t xml:space="preserve">58-60 Christchurch Rd  Ringwood, GB 00000 </t>
  </si>
  <si>
    <t xml:space="preserve">6850 North Dr  Fort Myers, FL 33905 </t>
  </si>
  <si>
    <t>Cape Coral Unit 32 Blk 2147 Pb 16 Pg 8 Lots 27 + 28</t>
  </si>
  <si>
    <t>Cape Coral Unit 88 Blk 5770 Pb 24 Pg 128 Lots 3 + 4</t>
  </si>
  <si>
    <t>Haddow</t>
  </si>
  <si>
    <t xml:space="preserve">105 NE 22nd Ave  Cape Coral, FL 33909 </t>
  </si>
  <si>
    <t xml:space="preserve">433 NE 17th Pl </t>
  </si>
  <si>
    <t>86th</t>
  </si>
  <si>
    <t>33909-6323</t>
  </si>
  <si>
    <t>Mui</t>
  </si>
  <si>
    <t>17-43-24-c4-05762.0130</t>
  </si>
  <si>
    <t xml:space="preserve">22 President St </t>
  </si>
  <si>
    <t xml:space="preserve">10343 Prairie Iris Dr  Fort Myers, FL 33905 </t>
  </si>
  <si>
    <t>R481</t>
  </si>
  <si>
    <t>Cape Coral Unit 33 Blk 2234 Pb 16 Pg 55 Lots 76 + 77</t>
  </si>
  <si>
    <t xml:space="preserve">2126 NE 1st Ave </t>
  </si>
  <si>
    <t xml:space="preserve">99 Providence Point Ln  Hartwell, GA 30643-8066 </t>
  </si>
  <si>
    <t>01867-2059</t>
  </si>
  <si>
    <t>25-44-24-15-00000.0020</t>
  </si>
  <si>
    <t>Cape Coral Unit 87 Blk 5721 Pb 24 Pg 80 Lots 17 + 18</t>
  </si>
  <si>
    <t xml:space="preserve">12 Idrettsvegen </t>
  </si>
  <si>
    <t>Pine Vale</t>
  </si>
  <si>
    <t xml:space="preserve">200 Ferry St A, Lafayette, IN 47901-1172 </t>
  </si>
  <si>
    <t>18-43-24-c1-05692.0270</t>
  </si>
  <si>
    <t>Celler</t>
  </si>
  <si>
    <t>Lehigh Acres Unit 4 Blk 19 Pb 26 Pg 6 Lot 10</t>
  </si>
  <si>
    <t>Fulbio Duron &amp; Valeria Medina</t>
  </si>
  <si>
    <t>Halgh &amp; Sheila Weekes</t>
  </si>
  <si>
    <t>Deborah Biller &amp; Estate American</t>
  </si>
  <si>
    <t>Cape Coral Unit 36 Blk 2323 Pb 16 Pg 125 Lots 25 + 26</t>
  </si>
  <si>
    <t>Vilella</t>
  </si>
  <si>
    <t>Leonard Bridge</t>
  </si>
  <si>
    <t>Hieu</t>
  </si>
  <si>
    <t xml:space="preserve">2420 NE 24th Ave </t>
  </si>
  <si>
    <t xml:space="preserve">2901 Academy Blvd </t>
  </si>
  <si>
    <t>80433-8603</t>
  </si>
  <si>
    <t xml:space="preserve">1902 Durden Pkwy </t>
  </si>
  <si>
    <t xml:space="preserve">2945 S Fm 116  Kempner, TX 76539-6813 </t>
  </si>
  <si>
    <t>Cape Coral Unit 32 Blk.2138 Pb 16 Pg 12 Lots 43 + 44</t>
  </si>
  <si>
    <t xml:space="preserve">1019 NE 34th St </t>
  </si>
  <si>
    <t xml:space="preserve">720 N Overlook Dr  Alexandria, VA 22305-1222 </t>
  </si>
  <si>
    <t xml:space="preserve">816 Durden Pkwy  Cape Coral, FL 33909 </t>
  </si>
  <si>
    <t>33909-1361</t>
  </si>
  <si>
    <t xml:space="preserve">1031 NE 12th Ter </t>
  </si>
  <si>
    <t>Pedro Garcia &amp; Mercedes Roque</t>
  </si>
  <si>
    <t>03-44-26-06-00030.0110</t>
  </si>
  <si>
    <t>Louise</t>
  </si>
  <si>
    <t xml:space="preserve">1914 NE 44th Ter </t>
  </si>
  <si>
    <t>80921-3781</t>
  </si>
  <si>
    <t>Durand Falls</t>
  </si>
  <si>
    <t>17-43-24-c1-05824.0120</t>
  </si>
  <si>
    <t xml:space="preserve">10327 Fire Flag Trl  Fort Myers, FL 33905 </t>
  </si>
  <si>
    <t>Tavormina</t>
  </si>
  <si>
    <t>Kuhl</t>
  </si>
  <si>
    <t>06-45-24-c4-00447.0030</t>
  </si>
  <si>
    <t xml:space="preserve">3924 NE 23rd Pl </t>
  </si>
  <si>
    <t xml:space="preserve">14220 Chetwood St  Fort Myers, FL 33905 </t>
  </si>
  <si>
    <t xml:space="preserve">6011 Higgins Ave  Fort Myers, FL 33905 </t>
  </si>
  <si>
    <t xml:space="preserve">112 Jacaranda Pkwy E  Cape Coral, FL 33909 </t>
  </si>
  <si>
    <t xml:space="preserve">1735 Blue Wing Ct  Redlands, CA 92374-2787 </t>
  </si>
  <si>
    <t>South Bradenton</t>
  </si>
  <si>
    <t>24-45-23-c1-00160.0260</t>
  </si>
  <si>
    <t xml:space="preserve">4116 NE 23rd Pl </t>
  </si>
  <si>
    <t>Hwy</t>
  </si>
  <si>
    <t>Cape Coral Unit 34 Blk 2452 Pb 16 Pg 86 Lots 40 + 41</t>
  </si>
  <si>
    <t>Aikman</t>
  </si>
  <si>
    <t>Christina Weaver</t>
  </si>
  <si>
    <t>33909-7399</t>
  </si>
  <si>
    <t>Beloit</t>
  </si>
  <si>
    <t xml:space="preserve">5736 Flamingo Dr </t>
  </si>
  <si>
    <t>Alan &amp; Wendy Gibbons</t>
  </si>
  <si>
    <t>33031-2745</t>
  </si>
  <si>
    <t xml:space="preserve">4117 NE 19th Pl </t>
  </si>
  <si>
    <t xml:space="preserve">1041 NE 40th Ter  Cape Coral, FL 33909 </t>
  </si>
  <si>
    <t>Chiorino</t>
  </si>
  <si>
    <t xml:space="preserve">602 NE 16th Ter  Cape Coral, FL 33909 </t>
  </si>
  <si>
    <t>Cape Coral Unit 35 Blk 2400 Pb 16 Pg 109 Lots 26 + 27</t>
  </si>
  <si>
    <t>49685-9629</t>
  </si>
  <si>
    <t xml:space="preserve">3706 the Barnyard G11 </t>
  </si>
  <si>
    <t xml:space="preserve">1113 NE 9th St  Cape Coral, FL 33909 </t>
  </si>
  <si>
    <t>Ovari</t>
  </si>
  <si>
    <t>Oak Ridge</t>
  </si>
  <si>
    <t xml:space="preserve">540 NE 113th St  Miami, FL 33161-6649 </t>
  </si>
  <si>
    <t>20105-5934</t>
  </si>
  <si>
    <t xml:space="preserve">1326 NE 13th Ave  Cape Coral, FL 33909 </t>
  </si>
  <si>
    <t xml:space="preserve">Po Box 330344 </t>
  </si>
  <si>
    <t>18-43-24-c4-05706.0210</t>
  </si>
  <si>
    <t>Lake Saint Louis</t>
  </si>
  <si>
    <t xml:space="preserve">8316 Clermont St  Tampa, FL 33637-6519 </t>
  </si>
  <si>
    <t xml:space="preserve">4142 NE 23rd Ave  Cape Coral, FL 33909 </t>
  </si>
  <si>
    <t>25-43-23-c2-02318.0310</t>
  </si>
  <si>
    <t>Robert &amp; Linda Wallace</t>
  </si>
  <si>
    <t>Maricela Rodriguez</t>
  </si>
  <si>
    <t>Cape Coral Unit 32 Blk.2131 Pb 16 Pg 10 + 13 Lots 7 8 + 9</t>
  </si>
  <si>
    <t xml:space="preserve">1008 NE 20th St </t>
  </si>
  <si>
    <t xml:space="preserve">6900 Westcliff Dr #603, Las Vegas, NV 89145 </t>
  </si>
  <si>
    <t>Bull Evelyn I Tr</t>
  </si>
  <si>
    <t>Alan Stetson &amp; James Dolan</t>
  </si>
  <si>
    <t>33909-4726</t>
  </si>
  <si>
    <t>Atlas</t>
  </si>
  <si>
    <t>Levano &amp; Mera Bravo</t>
  </si>
  <si>
    <t>Cape Coral Unit 88 Blk 5804 Pb 24 Pg 137 Lots 5 + 6</t>
  </si>
  <si>
    <t xml:space="preserve">5528/5530 Seventh Ave </t>
  </si>
  <si>
    <t xml:space="preserve">114 Moreland St </t>
  </si>
  <si>
    <t>36-43-23-c3-02479.0010</t>
  </si>
  <si>
    <t>25-43-23-c1-02319.0170</t>
  </si>
  <si>
    <t>Lovia Miller</t>
  </si>
  <si>
    <t>Lehigh Acres Unit 2 Blk 8 Pb 26 Pg 4 Lot 8</t>
  </si>
  <si>
    <t xml:space="preserve">1002 NE 15th Ter </t>
  </si>
  <si>
    <t xml:space="preserve">6045 Lacota Ave </t>
  </si>
  <si>
    <t xml:space="preserve">1326 SE 37th Ter </t>
  </si>
  <si>
    <t>33909-4437</t>
  </si>
  <si>
    <t xml:space="preserve">914 NE 15th Ln </t>
  </si>
  <si>
    <t>Eagle Lake</t>
  </si>
  <si>
    <t xml:space="preserve">1419 NE 1st Pl  Cape Coral, FL 33909 </t>
  </si>
  <si>
    <t xml:space="preserve">4665 Bay Shore Dr </t>
  </si>
  <si>
    <t>Alexandrina Santiago</t>
  </si>
  <si>
    <t>Cape Coral Unit 15 Blk.421 Pb 13 Pg 75 Lots 12 + 13</t>
  </si>
  <si>
    <t xml:space="preserve">62-06 Calle 72 #162, Bogota, CO </t>
  </si>
  <si>
    <t>Gramsey</t>
  </si>
  <si>
    <t>James &amp; Wilda Long</t>
  </si>
  <si>
    <t xml:space="preserve">3160 County Rd 3 </t>
  </si>
  <si>
    <t>06051-2706</t>
  </si>
  <si>
    <t>60940-5498</t>
  </si>
  <si>
    <t>32-43-24-c1-02232.0150</t>
  </si>
  <si>
    <t>Gary &amp; Lyudmila Murat</t>
  </si>
  <si>
    <t>Creep</t>
  </si>
  <si>
    <t>36-43-23-c1-02547.0510</t>
  </si>
  <si>
    <t>Lisa &amp; For Berkland</t>
  </si>
  <si>
    <t>Deflora</t>
  </si>
  <si>
    <t>John Mccaig</t>
  </si>
  <si>
    <t xml:space="preserve">1149 NE 36th Ln  Cape Coral, FL 33909 </t>
  </si>
  <si>
    <t>Cape Coral Unit 88 Blk 5817 Pb 24 Pg 139 Lots 47 + 48</t>
  </si>
  <si>
    <t>Luckett</t>
  </si>
  <si>
    <t>Andrey</t>
  </si>
  <si>
    <t>Brent</t>
  </si>
  <si>
    <t>Cape Coral Unit 32 Blk 2149 Pb 16 Pg 11 Lots 3 Thru 5</t>
  </si>
  <si>
    <t>31-43-24-c4-02109.0010</t>
  </si>
  <si>
    <t>Cape Coral Unit 84 Blk 5599 Pb 24 Pg 43 Lots 49 + 50</t>
  </si>
  <si>
    <t xml:space="preserve">3723 Kessler St </t>
  </si>
  <si>
    <t xml:space="preserve">1012 Van Siclen Ave  Brooklyn, NY 11207-9011 </t>
  </si>
  <si>
    <t xml:space="preserve">5668 Deer Valley Trl  Antioch, TN 37013-4262 </t>
  </si>
  <si>
    <t>Newport</t>
  </si>
  <si>
    <t xml:space="preserve">4241 NE 11th Ave </t>
  </si>
  <si>
    <t>Rosario</t>
  </si>
  <si>
    <t>Cape Coral Unit 36 Blk 2546 Pb 16 Pg 113 Lots 40 + 41</t>
  </si>
  <si>
    <t>Charly &amp; Claudette Francius-Figueres</t>
  </si>
  <si>
    <t xml:space="preserve">3720 NE 15th Pl  Cape Coral, FL 33909 </t>
  </si>
  <si>
    <t>97325-9718</t>
  </si>
  <si>
    <t xml:space="preserve">4316 NE 14th Ave  Cape Coral, FL 33909 </t>
  </si>
  <si>
    <t>Grace</t>
  </si>
  <si>
    <t>Pawtucket</t>
  </si>
  <si>
    <t xml:space="preserve">1475 Spring Creek Rd  Red Wing, MN 55066-1232 </t>
  </si>
  <si>
    <t>Kendrick &amp; Judith Peake</t>
  </si>
  <si>
    <t>46975-8517</t>
  </si>
  <si>
    <t>Neu Heimat</t>
  </si>
  <si>
    <t>Miltwood</t>
  </si>
  <si>
    <t>01-44-23-c1-02437.0440</t>
  </si>
  <si>
    <t>Tyte</t>
  </si>
  <si>
    <t>Rockdale</t>
  </si>
  <si>
    <t>Cape Coral Unit 85 Blk 5659 Pb 24 Pg 58 Lots 9 + 10</t>
  </si>
  <si>
    <t>Celestial</t>
  </si>
  <si>
    <t>33160-5273</t>
  </si>
  <si>
    <t>Chih Chen</t>
  </si>
  <si>
    <t>Rowe</t>
  </si>
  <si>
    <t>Throma Dyas &amp; Estate American</t>
  </si>
  <si>
    <t>East Boston</t>
  </si>
  <si>
    <t>Quincy</t>
  </si>
  <si>
    <t xml:space="preserve">7026 Stonewall Ridge Dr </t>
  </si>
  <si>
    <t>Cypress Woods Rv Resort Unit 4 Pb 79 Pgs 68-71 Blk D Lot 17</t>
  </si>
  <si>
    <t>Port Bolivar</t>
  </si>
  <si>
    <t xml:space="preserve">42 Park Pl 4c </t>
  </si>
  <si>
    <t>32223-1356</t>
  </si>
  <si>
    <t xml:space="preserve">5095 Jennifer Dr </t>
  </si>
  <si>
    <t>177th simons</t>
  </si>
  <si>
    <t>07002-1503</t>
  </si>
  <si>
    <t>02466-1109</t>
  </si>
  <si>
    <t>Cape Coral Unit 84 Blk 5550 Pb 24 Pg 39 Lots 21 + 22</t>
  </si>
  <si>
    <t xml:space="preserve">1714 NE 18th Pl  Cape Coral, FL 33909 </t>
  </si>
  <si>
    <t>01-44-23-c1-02439.0290</t>
  </si>
  <si>
    <t>31-43-24-c4-02143.0360</t>
  </si>
  <si>
    <t>11951-1303</t>
  </si>
  <si>
    <t>Buckingham Pk Re Blk B U-4 Blk 22 Pb 27 Pg 192 Lot 13</t>
  </si>
  <si>
    <t xml:space="preserve">97 Godwin Ave  Elmwood Park, NJ 07407-2817 </t>
  </si>
  <si>
    <t>Cape Coral Unit 47 Pt 2 Blk 3532 Pb 23 Pg 120 Lots 3 + 4</t>
  </si>
  <si>
    <t>18-43-24-c1-05721.0010</t>
  </si>
  <si>
    <t xml:space="preserve">2 E Prairie Ct </t>
  </si>
  <si>
    <t>12-44-23-c1-02406.0220</t>
  </si>
  <si>
    <t>Junction City</t>
  </si>
  <si>
    <t>Cape Coral Unit 36 Blk 2544 Pb 16 Pg 115 Lots 46 + 47</t>
  </si>
  <si>
    <t xml:space="preserve">15741 Chatfield Dr  Fort Myers, FL 33908 </t>
  </si>
  <si>
    <t xml:space="preserve">10665 Machrihanish Cir  San Antonio, FL 33576-4663 </t>
  </si>
  <si>
    <t xml:space="preserve">3713 W Gator Cir  Cape Coral, FL 33909 </t>
  </si>
  <si>
    <t xml:space="preserve">1248 NE 41st Ter </t>
  </si>
  <si>
    <t xml:space="preserve">40 Woodruff Ave #209, Brooklyn, NY 11226-1117 </t>
  </si>
  <si>
    <t>30114-5112</t>
  </si>
  <si>
    <t>Arevalo</t>
  </si>
  <si>
    <t>05-44-24-c2-03515.0580</t>
  </si>
  <si>
    <t xml:space="preserve">Strassbuck 85134 Stammham Ge #2 </t>
  </si>
  <si>
    <t>Larry &amp; Susan Bowman</t>
  </si>
  <si>
    <t xml:space="preserve">2763 NE 96th Pl </t>
  </si>
  <si>
    <t>Cordoves</t>
  </si>
  <si>
    <t>Chemtob</t>
  </si>
  <si>
    <t xml:space="preserve">223 NE 20th St  Cape Coral, FL 33909 </t>
  </si>
  <si>
    <t>Brookletts</t>
  </si>
  <si>
    <t>For Balaoing Family Trust</t>
  </si>
  <si>
    <t>Avenue Helene De Tournon</t>
  </si>
  <si>
    <t xml:space="preserve">29 Hitching Post Dr  Rolling Hills Estates, CA 90274-5169 </t>
  </si>
  <si>
    <t xml:space="preserve">2204 Gill St SE  Huntsville, AL 35801-2719 </t>
  </si>
  <si>
    <t>Boyce</t>
  </si>
  <si>
    <t xml:space="preserve">129 Du College Rue </t>
  </si>
  <si>
    <t>Dora Parra</t>
  </si>
  <si>
    <t>Dincer &amp; Patricia Ulku</t>
  </si>
  <si>
    <t xml:space="preserve">1818 NE 22nd Ave  Cape Coral, FL 33909 </t>
  </si>
  <si>
    <t>33909-7345</t>
  </si>
  <si>
    <t xml:space="preserve">3224 NE 13th Pl  Cape Coral, FL 33909 </t>
  </si>
  <si>
    <t xml:space="preserve">1247 NE 40th St  Cape Coral, FL 33909 </t>
  </si>
  <si>
    <t>19-43-24-c3-05619.0270</t>
  </si>
  <si>
    <t xml:space="preserve">5600 Cypress Woods Resort Dr  Fort Myers, FL 33905 </t>
  </si>
  <si>
    <t xml:space="preserve">5025 Sorrento Ct  Cape Coral, FL 33904 </t>
  </si>
  <si>
    <t>Phillip H Bartels Revocable Trust</t>
  </si>
  <si>
    <t>07080-2014</t>
  </si>
  <si>
    <t xml:space="preserve">326 NE 23rd St </t>
  </si>
  <si>
    <t xml:space="preserve">3 Devon Dr </t>
  </si>
  <si>
    <t>Amble</t>
  </si>
  <si>
    <t xml:space="preserve">1430 NE 1st Pl  Cape Coral, FL 33909 </t>
  </si>
  <si>
    <t>36-43-23-c4-02146.0750</t>
  </si>
  <si>
    <t xml:space="preserve">1715 NE 1st Ave </t>
  </si>
  <si>
    <t xml:space="preserve">9069 SW 22nd St C </t>
  </si>
  <si>
    <t xml:space="preserve">1675 NW 1st St </t>
  </si>
  <si>
    <t xml:space="preserve">11923 SW 12th Ter </t>
  </si>
  <si>
    <t xml:space="preserve">179 Hawthorne Ave  West Babylon, NY 11704-6740 </t>
  </si>
  <si>
    <t>10469-6329</t>
  </si>
  <si>
    <t xml:space="preserve">52 Oak Ave </t>
  </si>
  <si>
    <t xml:space="preserve">1920 S Ocean Dr 6d </t>
  </si>
  <si>
    <t xml:space="preserve">10 Dora Ave #615, Toronto, ON M6h 4J2 </t>
  </si>
  <si>
    <t>Pitman</t>
  </si>
  <si>
    <t>Wenger</t>
  </si>
  <si>
    <t>36-43-23-c1-02518.0440</t>
  </si>
  <si>
    <t>Krzysztof</t>
  </si>
  <si>
    <t xml:space="preserve">14 Calle Galleria </t>
  </si>
  <si>
    <t xml:space="preserve">10 Fichte St </t>
  </si>
  <si>
    <t>Cape Coral Unit 87 Blk 5701 Pb 24 Pg 82 Lots 41 + 42</t>
  </si>
  <si>
    <t xml:space="preserve">921 NE 2nd Pl </t>
  </si>
  <si>
    <t xml:space="preserve">1609 NE 6th Ave </t>
  </si>
  <si>
    <t>06-44-24-c2-02064.0140</t>
  </si>
  <si>
    <t xml:space="preserve">11511 Fox Sparrow Dr  Fort Myers, FL 33908 </t>
  </si>
  <si>
    <t xml:space="preserve">3626 NE 9th Ave  Cape Coral, FL 33909 </t>
  </si>
  <si>
    <t>Laverne</t>
  </si>
  <si>
    <t xml:space="preserve">908 NE 9th Ter  Cape Coral, FL 33909 </t>
  </si>
  <si>
    <t>Buckingham Pk Re Blk B U-3 Blk 13 Pb 27 Pg 190 Lot 29</t>
  </si>
  <si>
    <t xml:space="preserve">5036 White Sky Cir  Fort Myers, FL 33908 </t>
  </si>
  <si>
    <t xml:space="preserve">1403 NE 13th Pl  Cape Coral, FL 33909 </t>
  </si>
  <si>
    <t>Sara</t>
  </si>
  <si>
    <t>Cape Coral Unit 36 Blk 2346 Pb 16 Pg 124 Lots 7 &amp; 8</t>
  </si>
  <si>
    <t xml:space="preserve">1113 NE 5th Ave  Cape Coral, FL 33909 </t>
  </si>
  <si>
    <t xml:space="preserve">5265 Cypress Trail Resort Cir </t>
  </si>
  <si>
    <t>Kimani</t>
  </si>
  <si>
    <t>Paterson</t>
  </si>
  <si>
    <t>Cape Coral Unit 88 Blk 5793 Pb 24 Pg 130 Lots 25 + 26</t>
  </si>
  <si>
    <t>Fajardo</t>
  </si>
  <si>
    <t xml:space="preserve">118 Stedman St  Fayetteville, NC 28305-5042 </t>
  </si>
  <si>
    <t>Tolon</t>
  </si>
  <si>
    <t>33607-2918</t>
  </si>
  <si>
    <t xml:space="preserve">4661 Momany Park </t>
  </si>
  <si>
    <t>05-44-24-c1-03536.0050</t>
  </si>
  <si>
    <t>33903-2843</t>
  </si>
  <si>
    <t xml:space="preserve">413 NE 9th St  Cape Coral, FL 33909 </t>
  </si>
  <si>
    <t>Jesse</t>
  </si>
  <si>
    <t xml:space="preserve">15801 Cemetery Rd </t>
  </si>
  <si>
    <t>Cape Coral Unit 87 Blk 5709 Pb 24 Pg 71 Lots 29 + 30</t>
  </si>
  <si>
    <t>Garfield</t>
  </si>
  <si>
    <t xml:space="preserve">2200 NE 6th Ave  Cape Coral, FL 33909 </t>
  </si>
  <si>
    <t>Eliana</t>
  </si>
  <si>
    <t>13367-1510</t>
  </si>
  <si>
    <t>Hampden</t>
  </si>
  <si>
    <t>36-43-25-02-00000.0270</t>
  </si>
  <si>
    <t>Kerry Seher</t>
  </si>
  <si>
    <t xml:space="preserve">679 Racquet Club Rd #2, Weston, FL 33326-1865 </t>
  </si>
  <si>
    <t>PO Box 226</t>
  </si>
  <si>
    <t>Palmona Park Unit 1 Blk 21 Pb 7 Pg 54 Lot 23</t>
  </si>
  <si>
    <t xml:space="preserve">PO Box 107  Leipsic, OH 45856 </t>
  </si>
  <si>
    <t xml:space="preserve">327 NE 31st St </t>
  </si>
  <si>
    <t xml:space="preserve">2359 Avenida Primavera </t>
  </si>
  <si>
    <t xml:space="preserve">7341 NW 174th Ter #100, Hialeah, FL 33015-1132 </t>
  </si>
  <si>
    <t>Solimine</t>
  </si>
  <si>
    <t xml:space="preserve">1716 SW 77th Ter  Gainesville, FL 32607-3407 </t>
  </si>
  <si>
    <t>02035-3017</t>
  </si>
  <si>
    <t>44134-4646</t>
  </si>
  <si>
    <t>Nimphius</t>
  </si>
  <si>
    <t xml:space="preserve">15031 Willowwood Ct  Grand Haven, MI 49417-9148 </t>
  </si>
  <si>
    <t>08854-4532</t>
  </si>
  <si>
    <t>Cape Coral Unit 36 Blk 2331 Pb 16 Pg 129 Lots 7 + 8</t>
  </si>
  <si>
    <t>William &amp; Holly Prescott</t>
  </si>
  <si>
    <t>Cape Coral Unit 88 Blk 5774 Pb 24 Pg 128 Lots 37 + 38</t>
  </si>
  <si>
    <t>Marchant</t>
  </si>
  <si>
    <t>Tapia</t>
  </si>
  <si>
    <t>Paulette Espina</t>
  </si>
  <si>
    <t xml:space="preserve">6145 Hester Ave  Fort Myers, FL 33905 </t>
  </si>
  <si>
    <t xml:space="preserve">3830 NE 19th Pl  Cape Coral, FL 33909 </t>
  </si>
  <si>
    <t xml:space="preserve">212 Kay Jennings Cir </t>
  </si>
  <si>
    <t>119th</t>
  </si>
  <si>
    <t xml:space="preserve">20846 Pinar Trl </t>
  </si>
  <si>
    <t xml:space="preserve">617 NE 2nd Pl  Cape Coral, FL 33909 </t>
  </si>
  <si>
    <t xml:space="preserve">506 New St </t>
  </si>
  <si>
    <t>06-44-24-c3-02059.0530</t>
  </si>
  <si>
    <t xml:space="preserve">12580 Water Ln  Fort Myers, FL 33908 </t>
  </si>
  <si>
    <t xml:space="preserve">778 North Dr  Brick, NJ 08724-4814 </t>
  </si>
  <si>
    <t xml:space="preserve">3578 NE 8th Pl </t>
  </si>
  <si>
    <t xml:space="preserve">5310 Craftsman Dr  Parker, CO 80134-4538 </t>
  </si>
  <si>
    <t xml:space="preserve">6118 Laurelwood Dr </t>
  </si>
  <si>
    <t xml:space="preserve">1010 NE 34th Ln  Cape Coral, FL 33909 </t>
  </si>
  <si>
    <t>04-44-25-03-00008.3270</t>
  </si>
  <si>
    <t xml:space="preserve">1413 NE 13th St  Cape Coral, FL 33909 </t>
  </si>
  <si>
    <t xml:space="preserve">1840 Woodward Ave  North Fort Myers, FL 33903 </t>
  </si>
  <si>
    <t xml:space="preserve">441 NW 132nd Ct </t>
  </si>
  <si>
    <t>Cape Coral Unit 87 Blk 5684 Pb 24 Pg 74 Lots 9 + 10</t>
  </si>
  <si>
    <t xml:space="preserve">1213 NE 5th Ave </t>
  </si>
  <si>
    <t xml:space="preserve">331 NE 31st St  Cape Coral, FL 33909 </t>
  </si>
  <si>
    <t xml:space="preserve">4225 NE 19th Ave  Cape Coral, FL 33909 </t>
  </si>
  <si>
    <t>62812-1940</t>
  </si>
  <si>
    <t xml:space="preserve">2021 NE 7th Pl  Cape Coral, FL 33909 </t>
  </si>
  <si>
    <t xml:space="preserve">7913 Hidden Valley Dr  Papillion, NE 68046-4658 </t>
  </si>
  <si>
    <t>Cypress Trail Rv Resort Phase 2-A As Desc In Inst# 2014000026506 Lot 210</t>
  </si>
  <si>
    <t xml:space="preserve">216 SE 30th St </t>
  </si>
  <si>
    <t xml:space="preserve">475 Marconi Rue Loc, Laval, QC H7n 2C2 </t>
  </si>
  <si>
    <t xml:space="preserve">1418 NE 21st Ave  Cape Coral, FL 33909 </t>
  </si>
  <si>
    <t xml:space="preserve">10247 Meadow Beauty Trl  Fort Myers, FL 33905 </t>
  </si>
  <si>
    <t>11704-3109</t>
  </si>
  <si>
    <t>19-45-24-c2-00001.0160</t>
  </si>
  <si>
    <t>Flintlock</t>
  </si>
  <si>
    <t>Ormskirk</t>
  </si>
  <si>
    <t>PO Box 9205</t>
  </si>
  <si>
    <t>Cecilia Tengsico</t>
  </si>
  <si>
    <t xml:space="preserve">2214 NE 1st Pl </t>
  </si>
  <si>
    <t xml:space="preserve">3738 Tareco St </t>
  </si>
  <si>
    <t>Sun Copper</t>
  </si>
  <si>
    <t>Place</t>
  </si>
  <si>
    <t xml:space="preserve">W3124 Potter Rd  Elkhorn, WI 53121-4100 </t>
  </si>
  <si>
    <t xml:space="preserve">1517 NE 32nd Ln  Cape Coral, FL 33909 </t>
  </si>
  <si>
    <t>31-43-24-c1-02173.0220</t>
  </si>
  <si>
    <t xml:space="preserve">4142 NE 23rd Ave </t>
  </si>
  <si>
    <t>Paulina &amp; For Batista</t>
  </si>
  <si>
    <t>20-43-24-c1-05650.0290</t>
  </si>
  <si>
    <t xml:space="preserve">2026 NE 35th St </t>
  </si>
  <si>
    <t xml:space="preserve">4220 NE 19th Ave </t>
  </si>
  <si>
    <t>Elton</t>
  </si>
  <si>
    <t>Nautilus</t>
  </si>
  <si>
    <t xml:space="preserve">2633 Line 40 </t>
  </si>
  <si>
    <t>Kelcey</t>
  </si>
  <si>
    <t xml:space="preserve">1013 NE 16th Ter </t>
  </si>
  <si>
    <t>19428-1406</t>
  </si>
  <si>
    <t xml:space="preserve">3715 NE 12th Pl </t>
  </si>
  <si>
    <t>11-44-25-09-00000.2080</t>
  </si>
  <si>
    <t>29-43-24-c3-02287.0330</t>
  </si>
  <si>
    <t>Gricell</t>
  </si>
  <si>
    <t xml:space="preserve">14208 Bradshaw Dr  Silver Spring, MD 20905-6503 </t>
  </si>
  <si>
    <t xml:space="preserve">1511 16th Ave SW  Naples, FL 34117-4450 </t>
  </si>
  <si>
    <t>Mukwonago</t>
  </si>
  <si>
    <t xml:space="preserve">5463 Snell Ct SE  Prior Lake, MN 55372-4829 </t>
  </si>
  <si>
    <t xml:space="preserve">3117 NE Juanita Pl </t>
  </si>
  <si>
    <t>Cirenia Valdovinos &amp; Cirenia Hernandez</t>
  </si>
  <si>
    <t>10701-6721</t>
  </si>
  <si>
    <t>Cape Coral Unit 34 Blk 2463 Pb 16 Pg 81 Lots 16 + 17</t>
  </si>
  <si>
    <t>Raksit</t>
  </si>
  <si>
    <t>Clothier Springs</t>
  </si>
  <si>
    <t>La Mirada</t>
  </si>
  <si>
    <t xml:space="preserve">2550 NW 107th Ave  Coral Springs, FL 33065-3617 </t>
  </si>
  <si>
    <t>Gary Carlson &amp; Roger For</t>
  </si>
  <si>
    <t>Bullard Chapel</t>
  </si>
  <si>
    <t>Champion</t>
  </si>
  <si>
    <t>Mary &amp; For Olson</t>
  </si>
  <si>
    <t xml:space="preserve">16701 Amber Lk </t>
  </si>
  <si>
    <t>Patricia</t>
  </si>
  <si>
    <t xml:space="preserve">534 NE 5th Pl </t>
  </si>
  <si>
    <t xml:space="preserve">1204 NE Van Loon Ln  Cape Coral, FL 33909 </t>
  </si>
  <si>
    <t>Ray &amp; Katheryn Haycock</t>
  </si>
  <si>
    <t>33909-4236</t>
  </si>
  <si>
    <t xml:space="preserve">1702 NE 27th St </t>
  </si>
  <si>
    <t xml:space="preserve">4 Georg-Buchner-Str </t>
  </si>
  <si>
    <t>Gibula</t>
  </si>
  <si>
    <t xml:space="preserve">14564 Snow Lodge Rd </t>
  </si>
  <si>
    <t>Ashbury</t>
  </si>
  <si>
    <t>Cape Coral Unit 36 Pt.1 Blk.2509 Pb 23 Pg 90 Lots 12 + 13</t>
  </si>
  <si>
    <t>33909-7394</t>
  </si>
  <si>
    <t>Brenda</t>
  </si>
  <si>
    <t>PO Box 19332</t>
  </si>
  <si>
    <t>Mandie</t>
  </si>
  <si>
    <t>Santa Clara</t>
  </si>
  <si>
    <t>Kirwyn</t>
  </si>
  <si>
    <t xml:space="preserve">5609 Red Bird Ln  Fort Myers, FL 33908 </t>
  </si>
  <si>
    <t xml:space="preserve">709 W Oak St </t>
  </si>
  <si>
    <t>Cape Coral Unit 85 Blk 5646 Pb 24 Pg 56 Lots 5 + 6</t>
  </si>
  <si>
    <t>Holly Crest</t>
  </si>
  <si>
    <t>18-43-24-c4-05698.0110</t>
  </si>
  <si>
    <t>33097-1107</t>
  </si>
  <si>
    <t xml:space="preserve">10324 Prairie Iris Dr </t>
  </si>
  <si>
    <t>Cape Coral Unit 21 Blk 622 Pb 13 Pg 152 Lots 52 Thru 54</t>
  </si>
  <si>
    <t>36-44-23-c1-00922.0150</t>
  </si>
  <si>
    <t xml:space="preserve">1104 NE 32nd Ln  Cape Coral, FL 33909 </t>
  </si>
  <si>
    <t xml:space="preserve">141 Lenox Rd 3g, Brooklyn, NY 11226-8802 </t>
  </si>
  <si>
    <t>32-44-24-c2-01207.0140</t>
  </si>
  <si>
    <t>60462-2362</t>
  </si>
  <si>
    <t>07307-4778</t>
  </si>
  <si>
    <t xml:space="preserve">1706 NE 27th Ter  Cape Coral, FL 33909 </t>
  </si>
  <si>
    <t>Cape Coral Unit 33 Blk.2235 Pb 16 Pg 52 Lots 57 Thru 59</t>
  </si>
  <si>
    <t>17-43-24-c3-05798.0140</t>
  </si>
  <si>
    <t xml:space="preserve">62 Park Ter W A86 </t>
  </si>
  <si>
    <t>Woo Mei Yuan Tr</t>
  </si>
  <si>
    <t>Rolando</t>
  </si>
  <si>
    <t xml:space="preserve">1701 NW 126th Dr  Coral Springs, FL 33071-5413 </t>
  </si>
  <si>
    <t>Stockleybridge</t>
  </si>
  <si>
    <t>05-44-24-c2-03514.0290</t>
  </si>
  <si>
    <t xml:space="preserve">1417 NE 5th Pl </t>
  </si>
  <si>
    <t>19-43-24-c1-05570.0410</t>
  </si>
  <si>
    <t xml:space="preserve">13425 Marquette Blvd </t>
  </si>
  <si>
    <t>29-43-24-c4-02258.0450</t>
  </si>
  <si>
    <t xml:space="preserve">11466 NW 4th Ln </t>
  </si>
  <si>
    <t xml:space="preserve">9204 SE 177th simons Ln </t>
  </si>
  <si>
    <t>37013-4262</t>
  </si>
  <si>
    <t>33909-6460</t>
  </si>
  <si>
    <t xml:space="preserve">20772 Skimmer Ln  Huntington Beach, CA 92646-6547 </t>
  </si>
  <si>
    <t>Katty Gonzalez</t>
  </si>
  <si>
    <t>33909-1666</t>
  </si>
  <si>
    <t>65679-8234</t>
  </si>
  <si>
    <t>Cape Coral Unit 87 Blk 5721 Pb 24 Pg 80 Lots 15 + 16</t>
  </si>
  <si>
    <t>33909-3013</t>
  </si>
  <si>
    <t>Weatherly</t>
  </si>
  <si>
    <t xml:space="preserve">2703 NE 6th Pl </t>
  </si>
  <si>
    <t>Paul &amp; Julia Lanter</t>
  </si>
  <si>
    <t>Cape Coral Unit 31 Blk 2079 Pb 14 Pg 164 Lots 1 + 2</t>
  </si>
  <si>
    <t>Ravensworth</t>
  </si>
  <si>
    <t>Yechiel</t>
  </si>
  <si>
    <t xml:space="preserve">4240 NE 18th Ave </t>
  </si>
  <si>
    <t xml:space="preserve">24 Pixley Cres </t>
  </si>
  <si>
    <t>West Bloomfield</t>
  </si>
  <si>
    <t>Albertus</t>
  </si>
  <si>
    <t xml:space="preserve">234 W County Road 550 S </t>
  </si>
  <si>
    <t xml:space="preserve">14150 Chancellor St  Fort Myers, FL 33905 </t>
  </si>
  <si>
    <t>03-44-26-01-00004.0100</t>
  </si>
  <si>
    <t xml:space="preserve">4126 NE 20th Pl </t>
  </si>
  <si>
    <t xml:space="preserve">1802 NE 33rd St </t>
  </si>
  <si>
    <t>33909-8852</t>
  </si>
  <si>
    <t xml:space="preserve">Po Box 260443 </t>
  </si>
  <si>
    <t xml:space="preserve">3241 SW 104th Ct </t>
  </si>
  <si>
    <t>Cir</t>
  </si>
  <si>
    <t>Caleb Patrick &amp; Cale Hayes</t>
  </si>
  <si>
    <t xml:space="preserve">5135 White Sky Cir </t>
  </si>
  <si>
    <t>Cape Coral Unit 36 Blk 2317 Pb 16 Pg 126 Lots 13 + 14</t>
  </si>
  <si>
    <t xml:space="preserve">4729 Crestview Ave  Ypsilanti, MI 48197-3723 </t>
  </si>
  <si>
    <t xml:space="preserve">5730 SW 11th St </t>
  </si>
  <si>
    <t xml:space="preserve">12 C 21  Espoo, FI </t>
  </si>
  <si>
    <t xml:space="preserve">3759 NE 13th Pl  Cape Coral, FL 33909 </t>
  </si>
  <si>
    <t>19-43-24-c4-05563.0530</t>
  </si>
  <si>
    <t xml:space="preserve">3820 NE 9th Pl  Cape Coral, FL 33909 </t>
  </si>
  <si>
    <t>Patricia Cane &amp; Lynn Deakin</t>
  </si>
  <si>
    <t>40475-7980</t>
  </si>
  <si>
    <t>Hagerhill</t>
  </si>
  <si>
    <t xml:space="preserve">1819 NE 2nd Ave  Cape Coral, FL 33909 </t>
  </si>
  <si>
    <t>Darlene Brunn</t>
  </si>
  <si>
    <t>Norwood</t>
  </si>
  <si>
    <t xml:space="preserve">4045 18th Ave SE </t>
  </si>
  <si>
    <t>Route 776</t>
  </si>
  <si>
    <t>Rosemary Schotland</t>
  </si>
  <si>
    <t>James &amp; Tia Chanthamontry</t>
  </si>
  <si>
    <t xml:space="preserve">241 SE 31st St  Cape Coral, FL 33904 </t>
  </si>
  <si>
    <t>06878-1834</t>
  </si>
  <si>
    <t>11-44-25-05-0000c.0550</t>
  </si>
  <si>
    <t>Buckingham Pk Re Blk B U-4 Blk 20 Pb 27 Pg 192 Lot 4</t>
  </si>
  <si>
    <t xml:space="preserve">1414 NE 33rd Ln  Cape Coral, FL 33909 </t>
  </si>
  <si>
    <t>Cape Coral Unit 34 Blk 2392 Pb 16 Pg 77 Lots 27 + 28</t>
  </si>
  <si>
    <t>12572-1010</t>
  </si>
  <si>
    <t>Cape Coral Unit 84 Blk.5586 Pb 24 Pg 48 Lots 1 + 2</t>
  </si>
  <si>
    <t xml:space="preserve">205 NE 8th Ter </t>
  </si>
  <si>
    <t xml:space="preserve">4319 Gypsy Ct </t>
  </si>
  <si>
    <t>Mostafa</t>
  </si>
  <si>
    <t>Asilomar</t>
  </si>
  <si>
    <t>Treasure Island</t>
  </si>
  <si>
    <t>Maria Cancio</t>
  </si>
  <si>
    <t xml:space="preserve">5551 Cypress Woods Resort Dr </t>
  </si>
  <si>
    <t xml:space="preserve">1147 Hinchey Rd  Rochester, NY 14624-2761 </t>
  </si>
  <si>
    <t xml:space="preserve">12824 NW 11th Ter  Miami, FL 33182-1852 </t>
  </si>
  <si>
    <t>Kai Lu</t>
  </si>
  <si>
    <t>Westlake</t>
  </si>
  <si>
    <t>33905-7743</t>
  </si>
  <si>
    <t>Shahid</t>
  </si>
  <si>
    <t>04854-3630</t>
  </si>
  <si>
    <t xml:space="preserve">842 Goff St </t>
  </si>
  <si>
    <t>Lehigh Acres Unit 6 Blk 30 Pb 26 Pg 8 Lot 4</t>
  </si>
  <si>
    <t xml:space="preserve">6561 Cedarwood Ave  Fort Myers, FL 33905 </t>
  </si>
  <si>
    <t xml:space="preserve">4408 Ramsey Blvd </t>
  </si>
  <si>
    <t>Cape Coral Unit 14 Blk.528 Pb 13 Pg 66 Lots 69 Thru 72</t>
  </si>
  <si>
    <t>Cape Coral Unit 33 Blk 2230 Pb 16 Pg 48 Lots 35 + 36</t>
  </si>
  <si>
    <t xml:space="preserve">8618 Nottingham Pkwy </t>
  </si>
  <si>
    <t>Sunbonnet</t>
  </si>
  <si>
    <t xml:space="preserve">7485 NW 177th Ter  Hialeah, FL 33015-7161 </t>
  </si>
  <si>
    <t>Antoinette</t>
  </si>
  <si>
    <t xml:space="preserve">308 Shoreland Dr </t>
  </si>
  <si>
    <t>93065-4542</t>
  </si>
  <si>
    <t xml:space="preserve">3346 NE 13th Pl  Cape Coral, FL 33909 </t>
  </si>
  <si>
    <t xml:space="preserve">7506 Lilly St  Panama City, FL 32404-7715 </t>
  </si>
  <si>
    <t>Trapper John</t>
  </si>
  <si>
    <t>For Virginia Mortein-Marx Trust</t>
  </si>
  <si>
    <t xml:space="preserve">3706 Stagg Ct </t>
  </si>
  <si>
    <t>33909-1416</t>
  </si>
  <si>
    <t>02191-2021</t>
  </si>
  <si>
    <t>Cape Coral Unit 36 Blk 2173 Pb 16 Pg 118 Lots 42 + 43</t>
  </si>
  <si>
    <t xml:space="preserve">19920 Adams Rd  Fort Myers, FL 33908 </t>
  </si>
  <si>
    <t>Cape Coral Unit 7 Blk 368 Pb 12 Pg 105 Lots 43 + 44</t>
  </si>
  <si>
    <t xml:space="preserve">8535 Drake Ave  Skokie, IL 60076-2307 </t>
  </si>
  <si>
    <t>33909-7340</t>
  </si>
  <si>
    <t xml:space="preserve">30 SW 59th Ave </t>
  </si>
  <si>
    <t xml:space="preserve">19 B </t>
  </si>
  <si>
    <t xml:space="preserve">2116 NE 6th Ave  Cape Coral, FL 33909 </t>
  </si>
  <si>
    <t>01-44-23-c4-02419.0010</t>
  </si>
  <si>
    <t>Thomasville</t>
  </si>
  <si>
    <t xml:space="preserve">4200 Columbia Rd  Medina, OH 44256-7707 </t>
  </si>
  <si>
    <t>34119-2501</t>
  </si>
  <si>
    <t xml:space="preserve">10251 Meadow Beauty Trl  Fort Myers, FL 33905 </t>
  </si>
  <si>
    <t xml:space="preserve">14825 Oakwood Ct  Fort Myers, FL 33905 </t>
  </si>
  <si>
    <t xml:space="preserve">203 E Brunswick St </t>
  </si>
  <si>
    <t xml:space="preserve">4006 NE 23rd Pl  Cape Coral, FL 33909 </t>
  </si>
  <si>
    <t xml:space="preserve">1212 NE 12th St  Cape Coral, FL 33909 </t>
  </si>
  <si>
    <t xml:space="preserve">28501 Dino Cir </t>
  </si>
  <si>
    <t xml:space="preserve">188 Ramble Dr </t>
  </si>
  <si>
    <t>34114-7919</t>
  </si>
  <si>
    <t>Nadezhda</t>
  </si>
  <si>
    <t>33909-4285</t>
  </si>
  <si>
    <t>Luz Garcia</t>
  </si>
  <si>
    <t xml:space="preserve">914a Heritage Hls  Somers, NY 10589-3121 </t>
  </si>
  <si>
    <t>Mena</t>
  </si>
  <si>
    <t>Croquet</t>
  </si>
  <si>
    <t>33909-1901</t>
  </si>
  <si>
    <t>Tracey</t>
  </si>
  <si>
    <t>Cape Coral Unit 36 Blk 2543 Pb 16 Pg 118 Lots 39 + 40</t>
  </si>
  <si>
    <t xml:space="preserve">3 Keith Pl </t>
  </si>
  <si>
    <t>B007</t>
  </si>
  <si>
    <t xml:space="preserve">19 Northampton Rd  Lutherville Timonium, MD 21093-5108 </t>
  </si>
  <si>
    <t>Cox Brett Michael Tr</t>
  </si>
  <si>
    <t>Shavvy</t>
  </si>
  <si>
    <t>Cape Coral Unit 34 Blk 2450 Pb 16 Pg 84 Lots 1 + 2</t>
  </si>
  <si>
    <t xml:space="preserve">3736 NE 14th Ave  Cape Coral, FL 33909 </t>
  </si>
  <si>
    <t>Cape Coral Unit 36 Pt 1 Blk 2506 Pb 23 Pg 91 Lots 5 + 6</t>
  </si>
  <si>
    <t>12-46-23-02-00000.0090</t>
  </si>
  <si>
    <t>Frankhouser</t>
  </si>
  <si>
    <t>33905-6520</t>
  </si>
  <si>
    <t>Ching Chong</t>
  </si>
  <si>
    <t xml:space="preserve">801 Middle Rd  Fulton, IL 61252-1873 </t>
  </si>
  <si>
    <t>Edisley</t>
  </si>
  <si>
    <t xml:space="preserve">6 Tropicana Pkwy E  Cape Coral, FL 33909 </t>
  </si>
  <si>
    <t xml:space="preserve">2011 NE 27th Ter </t>
  </si>
  <si>
    <t xml:space="preserve">9435 Cumberland Hills Rd  Pinson, AL 35126-2038 </t>
  </si>
  <si>
    <t>South Holland</t>
  </si>
  <si>
    <t>For Fan Trust</t>
  </si>
  <si>
    <t xml:space="preserve">1625 NE 33rd Ter  Cape Coral, FL 33909 </t>
  </si>
  <si>
    <t xml:space="preserve">260 Parsons Dr </t>
  </si>
  <si>
    <t>11234-4710</t>
  </si>
  <si>
    <t xml:space="preserve">12822 Meadowbrook Ln </t>
  </si>
  <si>
    <t>36-43-23-c3-02497.0010</t>
  </si>
  <si>
    <t>05-45-24-c3-00564.0010</t>
  </si>
  <si>
    <t xml:space="preserve">100 W Rivercenter Blvd 3a, Covington, KY 41011-5816 </t>
  </si>
  <si>
    <t>33905-3465</t>
  </si>
  <si>
    <t>19-43-24-c3-05609.0490</t>
  </si>
  <si>
    <t>Cypress Woods Rv Resort Un 3 Desc In Pb 72 Pgs 92-95 Blk C Lot 87</t>
  </si>
  <si>
    <t xml:space="preserve">4007 NE 9th Ave </t>
  </si>
  <si>
    <t xml:space="preserve">1910 NE 13th Pl  Cape Coral, FL 33909 </t>
  </si>
  <si>
    <t xml:space="preserve">25502 Saddle Rock Pl </t>
  </si>
  <si>
    <t>33909-3351</t>
  </si>
  <si>
    <t xml:space="preserve">1433 NE 1st Ave  Cape Coral, FL 33909 </t>
  </si>
  <si>
    <t xml:space="preserve">1912 NE 33rd Ter  Cape Coral, FL 33909 </t>
  </si>
  <si>
    <t>PO Box 221</t>
  </si>
  <si>
    <t xml:space="preserve">1001 NE 5th Ave  Cape Coral, FL 33909 </t>
  </si>
  <si>
    <t>Mildred Hill &amp; Howard Hunt</t>
  </si>
  <si>
    <t>07002-1640</t>
  </si>
  <si>
    <t>Derek</t>
  </si>
  <si>
    <t>Kristin Milligan Trust</t>
  </si>
  <si>
    <t>36-44-23-c2-00901.0190</t>
  </si>
  <si>
    <t>Sergio &amp; Violeta Umali</t>
  </si>
  <si>
    <t xml:space="preserve">339 Diplomat Pkwy E  Cape Coral, FL 33909 </t>
  </si>
  <si>
    <t>Jessica</t>
  </si>
  <si>
    <t>Cape Coral Unit 33 Blk 2232 Pb 16 Pg 53 Lots 37 Thru 39</t>
  </si>
  <si>
    <t xml:space="preserve">7395 Shadyview Ave NW  Massillon, OH 44646-9084 </t>
  </si>
  <si>
    <t xml:space="preserve">5230 Cypress Trail Resort Cir </t>
  </si>
  <si>
    <t xml:space="preserve">4214 NE 17th Ave </t>
  </si>
  <si>
    <t>Cape Coral Unit 33 Blk.2238 Pb 16 Pg 52 Lots 13 + 14</t>
  </si>
  <si>
    <t xml:space="preserve">2126 NE 23rd Ter </t>
  </si>
  <si>
    <t xml:space="preserve">53-46 Ap 405 #14, Bogota, CO </t>
  </si>
  <si>
    <t xml:space="preserve">22832 114th Dr  Cambria Heights, NY 11411-1308 </t>
  </si>
  <si>
    <t xml:space="preserve">302 NE 11th St </t>
  </si>
  <si>
    <t>32-43-24-c1-02190.0240</t>
  </si>
  <si>
    <t>Soler</t>
  </si>
  <si>
    <t xml:space="preserve">5875 Brightwood Dr  Fort Myers, FL 33905 </t>
  </si>
  <si>
    <t>Hakan</t>
  </si>
  <si>
    <t>16-44-26-01-00032.0010</t>
  </si>
  <si>
    <t>Cleredene Sheriff Living Trust</t>
  </si>
  <si>
    <t>31-43-23-c3-04304.0010</t>
  </si>
  <si>
    <t>32-43-24-c3-02230.0420</t>
  </si>
  <si>
    <t xml:space="preserve">9 Stone Brooke Rd  Scarborough, ME 04074-9114 </t>
  </si>
  <si>
    <t>Tumialan</t>
  </si>
  <si>
    <t xml:space="preserve">PO Box 510374  Punta Gorda, FL 33951 </t>
  </si>
  <si>
    <t>04-44-26-01-00014.0000</t>
  </si>
  <si>
    <t xml:space="preserve">1528 NE 33rd Ln </t>
  </si>
  <si>
    <t xml:space="preserve">29 Blakelock Rd </t>
  </si>
  <si>
    <t xml:space="preserve">9033 Sorreno Ct  Naples, FL 34119-2002 </t>
  </si>
  <si>
    <t>Pixley</t>
  </si>
  <si>
    <t>Ridge</t>
  </si>
  <si>
    <t xml:space="preserve">2408 NE 6th Ave </t>
  </si>
  <si>
    <t>07-44-24-c4-03607.0030</t>
  </si>
  <si>
    <t>Marizu</t>
  </si>
  <si>
    <t>77041-5523</t>
  </si>
  <si>
    <t>Sobel-Kabakow</t>
  </si>
  <si>
    <t>Winter Garden</t>
  </si>
  <si>
    <t>Maria &amp; Alberto Acevedo</t>
  </si>
  <si>
    <t xml:space="preserve">80 Franklin St </t>
  </si>
  <si>
    <t>Delicia</t>
  </si>
  <si>
    <t xml:space="preserve">1905 NE 33rd Ter  Cape Coral, FL 33909 </t>
  </si>
  <si>
    <t>Harry &amp; Beth Hicks</t>
  </si>
  <si>
    <t>31-43-24-c3-02122.0330</t>
  </si>
  <si>
    <t>Cape Coral Unit 85 Blk 5632 Pb 24 Pg 50 Lots 29 + 30</t>
  </si>
  <si>
    <t>32824-9410</t>
  </si>
  <si>
    <t>25-43-23-c4-02355.0420</t>
  </si>
  <si>
    <t xml:space="preserve">1125 NE 125th St #101, North Miami, FL 33161-5014 </t>
  </si>
  <si>
    <t>33904-5518</t>
  </si>
  <si>
    <t xml:space="preserve">2330 NE 34th Ln </t>
  </si>
  <si>
    <t>Ari</t>
  </si>
  <si>
    <t xml:space="preserve">1017 NE 6th Ave </t>
  </si>
  <si>
    <t xml:space="preserve">2801 NE 6th Ave </t>
  </si>
  <si>
    <t>33909-6427</t>
  </si>
  <si>
    <t>Uniondale</t>
  </si>
  <si>
    <t xml:space="preserve">20 Coe Rd  Wolcott, CT 06716-2512 </t>
  </si>
  <si>
    <t>Cypress Trail Rv Resort As Desc In Inst# 2013000212499 Lot 469</t>
  </si>
  <si>
    <t>Specker</t>
  </si>
  <si>
    <t xml:space="preserve">2316 NE 28th St </t>
  </si>
  <si>
    <t>Joseph</t>
  </si>
  <si>
    <t xml:space="preserve">180 Rainbow Dr #8026, Livingston, TX 77399-1080 </t>
  </si>
  <si>
    <t xml:space="preserve">Loewenburg #20, Lohmar, DE 53797 </t>
  </si>
  <si>
    <t>Richard Holmquist &amp; Sowards Metz</t>
  </si>
  <si>
    <t>H073</t>
  </si>
  <si>
    <t>Ambler</t>
  </si>
  <si>
    <t>92661-1413</t>
  </si>
  <si>
    <t xml:space="preserve">1919 S Gator Cir </t>
  </si>
  <si>
    <t xml:space="preserve">26 N Millpage Dr </t>
  </si>
  <si>
    <t>12-44-23-c1-02364.0310</t>
  </si>
  <si>
    <t>Irvington</t>
  </si>
  <si>
    <t xml:space="preserve">2885 Alliston Loop  Dublin, CA 94568-4295 </t>
  </si>
  <si>
    <t>290th</t>
  </si>
  <si>
    <t xml:space="preserve">2321 NE 23rd Pl  Cape Coral, FL 33909 </t>
  </si>
  <si>
    <t>Munster</t>
  </si>
  <si>
    <t>19606-9515</t>
  </si>
  <si>
    <t>Cape Coral Unit 88 Blk 5787 Pb 24 Pg 131 Lots 13 + 14</t>
  </si>
  <si>
    <t>Parkridge</t>
  </si>
  <si>
    <t>Cusano</t>
  </si>
  <si>
    <t>Palmdale</t>
  </si>
  <si>
    <t xml:space="preserve">2213 NE 25th Ter  Cape Coral, FL 33909 </t>
  </si>
  <si>
    <t xml:space="preserve">470 Mississippi Ave  Fort Myers, FL 33905 </t>
  </si>
  <si>
    <t>Family &amp; Shelly Sevieri Family</t>
  </si>
  <si>
    <t>33467-7813</t>
  </si>
  <si>
    <t>Hartsville</t>
  </si>
  <si>
    <t xml:space="preserve">3922 NE 23rd Ave  Cape Coral, FL 33909 </t>
  </si>
  <si>
    <t>PO Box 363</t>
  </si>
  <si>
    <t>Holman</t>
  </si>
  <si>
    <t>H H &amp; Anneliese Roelle</t>
  </si>
  <si>
    <t xml:space="preserve">5226 Cypress Trail Resort Cir </t>
  </si>
  <si>
    <t xml:space="preserve">4651 Goebel Rd </t>
  </si>
  <si>
    <t xml:space="preserve">6020 Langdon Ave </t>
  </si>
  <si>
    <t>Crater</t>
  </si>
  <si>
    <t>19-43-24-c4-05564.0090</t>
  </si>
  <si>
    <t xml:space="preserve">4858 28th St S B1 </t>
  </si>
  <si>
    <t>Florin</t>
  </si>
  <si>
    <t xml:space="preserve">8961 SW 94th Ter </t>
  </si>
  <si>
    <t>03-44-26-11-00059.0170</t>
  </si>
  <si>
    <t>18-43-24-c1-05695.0210</t>
  </si>
  <si>
    <t>Torres</t>
  </si>
  <si>
    <t>Meemaa</t>
  </si>
  <si>
    <t>33909-5204</t>
  </si>
  <si>
    <t>Selborne</t>
  </si>
  <si>
    <t xml:space="preserve">2608 NE 5th Ave </t>
  </si>
  <si>
    <t xml:space="preserve">423 NE 20th St </t>
  </si>
  <si>
    <t>Cecelia</t>
  </si>
  <si>
    <t>Cape Coral Unit 87 Blk 5740 Pb 24 Pg 70 Lot 55</t>
  </si>
  <si>
    <t xml:space="preserve">4 Glykonos St  Athens, GR 00106 </t>
  </si>
  <si>
    <t xml:space="preserve"># 901 </t>
  </si>
  <si>
    <t>Cape Coral Unit 84 Blk 5591 Pb 24 Pg 44 Lots 57 + 58</t>
  </si>
  <si>
    <t>Palmetto Palms R V Resort Condo Ph 1 Or 1530 Pg 1466 Res Unit 47</t>
  </si>
  <si>
    <t>Valle-Yepez</t>
  </si>
  <si>
    <t>17-43-24-c1-05820.0170</t>
  </si>
  <si>
    <t xml:space="preserve">20 Wheatsheaf Rd </t>
  </si>
  <si>
    <t>20-43-24-c2-05658.0400</t>
  </si>
  <si>
    <t xml:space="preserve">5138 8 Line  Erin, ON N0b 1T0 </t>
  </si>
  <si>
    <t xml:space="preserve">2551 Dryden Cir  Fort Myers, FL 33905 </t>
  </si>
  <si>
    <t>Jefferson City</t>
  </si>
  <si>
    <t xml:space="preserve">4152 NE 10th Ave </t>
  </si>
  <si>
    <t>20720-4725</t>
  </si>
  <si>
    <t xml:space="preserve">3341 Storck Rd </t>
  </si>
  <si>
    <t xml:space="preserve">1721 NE 33rd Ter </t>
  </si>
  <si>
    <t xml:space="preserve">7289 Telephone Rd  Le Roy, NY 14482-8957 </t>
  </si>
  <si>
    <t>Martinsburg</t>
  </si>
  <si>
    <t>Decenzo</t>
  </si>
  <si>
    <t>County Road 30</t>
  </si>
  <si>
    <t xml:space="preserve">600 NW 6th St #202 </t>
  </si>
  <si>
    <t>Evangelos Pappas &amp; For Spyros</t>
  </si>
  <si>
    <t>Dhani</t>
  </si>
  <si>
    <t xml:space="preserve">9341 Buckingham Rd </t>
  </si>
  <si>
    <t xml:space="preserve">2521 NE 2nd Ave  Cape Coral, FL 33909 </t>
  </si>
  <si>
    <t xml:space="preserve">34 F 1 #3401, Tin Shui Wai N T, HK </t>
  </si>
  <si>
    <t>Faus</t>
  </si>
  <si>
    <t xml:space="preserve">207 NE 15th St </t>
  </si>
  <si>
    <t>Jorge &amp; For Amador</t>
  </si>
  <si>
    <t>Georgius &amp; Cecelia Destouche</t>
  </si>
  <si>
    <t>03-44-26-11-00058.0120</t>
  </si>
  <si>
    <t>Eliecerandres Acevedo</t>
  </si>
  <si>
    <t xml:space="preserve">PO Box 231  Fairhaven, MA 02719 </t>
  </si>
  <si>
    <t>11795-4217</t>
  </si>
  <si>
    <t>Reicks</t>
  </si>
  <si>
    <t>Damerow</t>
  </si>
  <si>
    <t>Mcfarland</t>
  </si>
  <si>
    <t xml:space="preserve">3400 NE 9th Pl  Cape Coral, FL 33909 </t>
  </si>
  <si>
    <t>Fountain</t>
  </si>
  <si>
    <t xml:space="preserve">2921 NE 1st Pl </t>
  </si>
  <si>
    <t>Garvelman</t>
  </si>
  <si>
    <t>71409-8619</t>
  </si>
  <si>
    <t>Beermann Egon Tr</t>
  </si>
  <si>
    <t>63628-8905</t>
  </si>
  <si>
    <t>Araceli</t>
  </si>
  <si>
    <t>Cape Coral Unit 33 Blk.2182 Pb 16 Pg 49 Lots 22 + 23</t>
  </si>
  <si>
    <t>C029</t>
  </si>
  <si>
    <t>20619-7067</t>
  </si>
  <si>
    <t>Ullmann</t>
  </si>
  <si>
    <t>Mcdowell</t>
  </si>
  <si>
    <t>11-44-25-05-0000c.0060</t>
  </si>
  <si>
    <t>33905-7542</t>
  </si>
  <si>
    <t>Talon</t>
  </si>
  <si>
    <t>Lenette S Roos Trust</t>
  </si>
  <si>
    <t xml:space="preserve">904 Taylor Rise </t>
  </si>
  <si>
    <t>Cape Coral Unit 87 Blk 5732 Pb 24 Pg 87 Lots 23 + 24</t>
  </si>
  <si>
    <t xml:space="preserve">32 Mansfield Dr </t>
  </si>
  <si>
    <t xml:space="preserve">4120 SW 26th St </t>
  </si>
  <si>
    <t>Huff</t>
  </si>
  <si>
    <t xml:space="preserve">160 Echo Dr </t>
  </si>
  <si>
    <t>01-44-23-c1-02463.0360</t>
  </si>
  <si>
    <t xml:space="preserve">6036 Stratton Rd </t>
  </si>
  <si>
    <t xml:space="preserve">2120 Andalusia Blvd  Cape Coral, FL 33909 </t>
  </si>
  <si>
    <t>Weissenburger</t>
  </si>
  <si>
    <t xml:space="preserve">2113 NE 27th St  Cape Coral, FL 33909 </t>
  </si>
  <si>
    <t xml:space="preserve">6106 Potomac Enclave Dr  Houston, TX 77057-1474 </t>
  </si>
  <si>
    <t>29-43-26-06-00070.0010</t>
  </si>
  <si>
    <t>FI</t>
  </si>
  <si>
    <t>Malcotti</t>
  </si>
  <si>
    <t>Cape Coral Unit 85 Blk 5637 Pb 24 Pg 51 Lots 34 + 35</t>
  </si>
  <si>
    <t>11-44-25-l1-12000.2850</t>
  </si>
  <si>
    <t xml:space="preserve">10228 Meadow Beauty Trl  Fort Myers, FL 33905 </t>
  </si>
  <si>
    <t>Cape Coral Unit 31 Blk 2040 Pb 14 Pg 158 Lots 24 + 25</t>
  </si>
  <si>
    <t>33067-2886</t>
  </si>
  <si>
    <t xml:space="preserve">95 Burgess Pl </t>
  </si>
  <si>
    <t xml:space="preserve">6 Winthrop Ave  Middletown, NY 10940-6018 </t>
  </si>
  <si>
    <t>Claude</t>
  </si>
  <si>
    <t>33909-4373</t>
  </si>
  <si>
    <t>John Mulholland</t>
  </si>
  <si>
    <t>For Ortiz Trust</t>
  </si>
  <si>
    <t>94539-7711</t>
  </si>
  <si>
    <t>11369-1845</t>
  </si>
  <si>
    <t>23238-4414</t>
  </si>
  <si>
    <t>Cypress Trail Rv Resort As Desc In Inst# 2013000212499 Lot 415</t>
  </si>
  <si>
    <t>25-43-23-c1-02302.0310</t>
  </si>
  <si>
    <t xml:space="preserve">3849 Hoffman St </t>
  </si>
  <si>
    <t>Everett Bay</t>
  </si>
  <si>
    <t>Dora</t>
  </si>
  <si>
    <t xml:space="preserve">3140 Vista Sandia </t>
  </si>
  <si>
    <t>Nathan</t>
  </si>
  <si>
    <t>Cindy</t>
  </si>
  <si>
    <t>Firmiez Faustin Tr</t>
  </si>
  <si>
    <t>Lehigh Acres Unit 5 Blk 24 Pb 26 Pg 7 Lot 6</t>
  </si>
  <si>
    <t>02919-2204</t>
  </si>
  <si>
    <t>Urbandale</t>
  </si>
  <si>
    <t xml:space="preserve">Po Box 524468 </t>
  </si>
  <si>
    <t>Cape Coral Unit 32 Blk 2147 Pb 16 Pg 8 Lots 23 + 24</t>
  </si>
  <si>
    <t>Mequon</t>
  </si>
  <si>
    <t>33909-1700</t>
  </si>
  <si>
    <t>Cervantes</t>
  </si>
  <si>
    <t>33909-3318</t>
  </si>
  <si>
    <t>Julia</t>
  </si>
  <si>
    <t xml:space="preserve">6261 Castlewood Cir  Fort Myers, FL 33905 </t>
  </si>
  <si>
    <t>11-45-24-03-00013.0070</t>
  </si>
  <si>
    <t xml:space="preserve">6423 Collins Ave #805 </t>
  </si>
  <si>
    <t xml:space="preserve">Im Wiesengrund 29 A </t>
  </si>
  <si>
    <t xml:space="preserve">3825 W Broad Ave  Spokane, WA 99205-6119 </t>
  </si>
  <si>
    <t xml:space="preserve">1323 NE 23rd St </t>
  </si>
  <si>
    <t xml:space="preserve">4828 Oak Arbor Dr </t>
  </si>
  <si>
    <t>Maria &amp; Raoul Yamio</t>
  </si>
  <si>
    <t>Cypress Trail Rv Resort Phase 4-A As Desc In Inst# 20160000135610 Lot 354</t>
  </si>
  <si>
    <t>Cape Coral Unit 87 Blk 5700 Pb 24 Pg 82 Lots 9 + 10</t>
  </si>
  <si>
    <t>18071-3522</t>
  </si>
  <si>
    <t>03-44-26-04-00019.0160</t>
  </si>
  <si>
    <t xml:space="preserve">2056 NE 18th St </t>
  </si>
  <si>
    <t>Ottumwa</t>
  </si>
  <si>
    <t>33904-4148</t>
  </si>
  <si>
    <t>Javed</t>
  </si>
  <si>
    <t>Harshavardha</t>
  </si>
  <si>
    <t>Finksburg</t>
  </si>
  <si>
    <t>77659-9268</t>
  </si>
  <si>
    <t>17-43-24-c1-05777.0170</t>
  </si>
  <si>
    <t>17-43-24-c1-05739.0130</t>
  </si>
  <si>
    <t>Utkin-Kupiedo</t>
  </si>
  <si>
    <t>01-44-23-c4-02446.0470</t>
  </si>
  <si>
    <t xml:space="preserve">2713 NE 20th Pl  Cape Coral, FL 33909 </t>
  </si>
  <si>
    <t xml:space="preserve">11631 Bubble Shell Dr </t>
  </si>
  <si>
    <t xml:space="preserve">3433 NE 10th Ave </t>
  </si>
  <si>
    <t>Buckingham Pk Re Blk B U-5 Blk 26 Pb 27 Pg 193 Lot 9</t>
  </si>
  <si>
    <t xml:space="preserve">1319 NE 20th Ave  Cape Coral, FL 33909 </t>
  </si>
  <si>
    <t>Gary &amp; Nancy Oversmith</t>
  </si>
  <si>
    <t>Adele</t>
  </si>
  <si>
    <t>33905-8711</t>
  </si>
  <si>
    <t xml:space="preserve">19681 Summerlin Rd #296, Fort Myers, FL 33908 </t>
  </si>
  <si>
    <t xml:space="preserve">2415 Centergate Dr #205 </t>
  </si>
  <si>
    <t>Little Neck</t>
  </si>
  <si>
    <t>Peter Nemethy</t>
  </si>
  <si>
    <t>17-43-24-c3-05783.0620</t>
  </si>
  <si>
    <t>Cape Coral Unit 35 Blk 2396 Pb 16 Pg 106 Lots 24 + 25</t>
  </si>
  <si>
    <t>Spencer</t>
  </si>
  <si>
    <t xml:space="preserve">10040 Stonewood Dr </t>
  </si>
  <si>
    <t xml:space="preserve">2267 Trawood Dr A2 </t>
  </si>
  <si>
    <t>Alice Conner</t>
  </si>
  <si>
    <t xml:space="preserve">2004 NE 6th Ave  Cape Coral, FL 33909 </t>
  </si>
  <si>
    <t xml:space="preserve">19808 NW 86th Ave </t>
  </si>
  <si>
    <t>06-44-24-c1-02068.0190</t>
  </si>
  <si>
    <t xml:space="preserve">7946 W Elmgrove Dr  Elmwood Park, IL 60707-1323 </t>
  </si>
  <si>
    <t xml:space="preserve">2010 NE 9th Ave  Cape Coral, FL 33909 </t>
  </si>
  <si>
    <t>30008-3684</t>
  </si>
  <si>
    <t xml:space="preserve">3708 NE 23rd Ave  Cape Coral, FL 33909 </t>
  </si>
  <si>
    <t xml:space="preserve"> Derbyshire, GB 00000 </t>
  </si>
  <si>
    <t xml:space="preserve">209 Sweet Gum </t>
  </si>
  <si>
    <t>Fernando Diaz</t>
  </si>
  <si>
    <t xml:space="preserve">912 NE 1st Ave  Cape Coral, FL 33909 </t>
  </si>
  <si>
    <t xml:space="preserve">10274 Meadow Beauty Trl  Fort Myers, FL 33905 </t>
  </si>
  <si>
    <t xml:space="preserve">3411 Park Dr  Cleveland, OH 44134-4646 </t>
  </si>
  <si>
    <t xml:space="preserve">6125 Laurelwood Dr  Fort Myers, FL 33905 </t>
  </si>
  <si>
    <t xml:space="preserve">25 Citation Cir </t>
  </si>
  <si>
    <t>Richard &amp; Carolyn Coradeschi</t>
  </si>
  <si>
    <t>19075-1250</t>
  </si>
  <si>
    <t xml:space="preserve">618 Jacaranda Pkwy E </t>
  </si>
  <si>
    <t>APN - FORMATTED</t>
  </si>
  <si>
    <t>11105-1834</t>
  </si>
  <si>
    <t xml:space="preserve">518 NE 7th Ave </t>
  </si>
  <si>
    <t>Mcgown</t>
  </si>
  <si>
    <t xml:space="preserve">3578 NE 9th Ave </t>
  </si>
  <si>
    <t>85032-4840</t>
  </si>
  <si>
    <t>Elkton</t>
  </si>
  <si>
    <t>Cape Coral Unit 47 Pt 2 Blk 3530 Pb 23 Pg 120 Lots 4 + 5</t>
  </si>
  <si>
    <t>Mcnaughton</t>
  </si>
  <si>
    <t xml:space="preserve">531 SE 30th Ter  Cape Coral, FL 33904 </t>
  </si>
  <si>
    <t>Wilson</t>
  </si>
  <si>
    <t>18-43-24-c3-05707.0120</t>
  </si>
  <si>
    <t xml:space="preserve">1723 NE 36th Ln </t>
  </si>
  <si>
    <t>03-44-26-14-00079.0020</t>
  </si>
  <si>
    <t>55436-1523</t>
  </si>
  <si>
    <t>92336-4037</t>
  </si>
  <si>
    <t>North Smithfield</t>
  </si>
  <si>
    <t xml:space="preserve">38 Mcculloch Dr  Dix Hills, NY 11746-8328 </t>
  </si>
  <si>
    <t>Ajabshir</t>
  </si>
  <si>
    <t>Bluffton</t>
  </si>
  <si>
    <t xml:space="preserve">346 NE 31st Ter </t>
  </si>
  <si>
    <t>Buckingham Park Ne Sec Blk 29 Pb 9 Pg 59 Lot 14</t>
  </si>
  <si>
    <t>Monitor</t>
  </si>
  <si>
    <t xml:space="preserve">NE 180th Dr #540 </t>
  </si>
  <si>
    <t xml:space="preserve">1810 NE 2nd Ter  Cape Coral, FL 33909 </t>
  </si>
  <si>
    <t xml:space="preserve">561 State St  North Fort Myers, FL 33903 </t>
  </si>
  <si>
    <t xml:space="preserve">340 N 20th St  Kenilworth, NJ 07033-1002 </t>
  </si>
  <si>
    <t>John Kiczalis</t>
  </si>
  <si>
    <t>85048-8204</t>
  </si>
  <si>
    <t xml:space="preserve">25 Liberty Ave  Staten Island, NY 10304-2812 </t>
  </si>
  <si>
    <t>33063-7619</t>
  </si>
  <si>
    <t>Cudahy</t>
  </si>
  <si>
    <t>Clifford Murakami</t>
  </si>
  <si>
    <t>Paula Williams</t>
  </si>
  <si>
    <t xml:space="preserve">11048 Stardust Dr  Fort Myers, FL 33908 </t>
  </si>
  <si>
    <t>96744-2004</t>
  </si>
  <si>
    <t>Aldie</t>
  </si>
  <si>
    <t>31-43-24-c4-02102.0170</t>
  </si>
  <si>
    <t>Southall</t>
  </si>
  <si>
    <t>the Kingdom Trust Company</t>
  </si>
  <si>
    <t xml:space="preserve">3810 Kittyhawk Dr </t>
  </si>
  <si>
    <t>Centreville</t>
  </si>
  <si>
    <t>Demarmels</t>
  </si>
  <si>
    <t>Cape Coral Unit 33 Blk 2230 Pb 16 Pg 48 Lots 33 + 34</t>
  </si>
  <si>
    <t>Cape Coral Unit 87 Blk 5703 Pb 24 Pg 72 Lots 29 + 30</t>
  </si>
  <si>
    <t xml:space="preserve">Carr 74 49a-04, Bogota Cindinamarca, CO </t>
  </si>
  <si>
    <t xml:space="preserve">34 Foley Rd </t>
  </si>
  <si>
    <t xml:space="preserve">3005 Irish Peach Dr </t>
  </si>
  <si>
    <t>33909-6226</t>
  </si>
  <si>
    <t>25-43-23-c2-02312.0270</t>
  </si>
  <si>
    <t>Allison &amp; Barry Gribbin</t>
  </si>
  <si>
    <t>33909-8907</t>
  </si>
  <si>
    <t xml:space="preserve">71 Camelot Dr </t>
  </si>
  <si>
    <t xml:space="preserve">1619 NE 36th St  Cape Coral, FL 33909 </t>
  </si>
  <si>
    <t>AE</t>
  </si>
  <si>
    <t>C078</t>
  </si>
  <si>
    <t>Saito</t>
  </si>
  <si>
    <t xml:space="preserve">4653 Brently Pl </t>
  </si>
  <si>
    <t>Harwood Heights</t>
  </si>
  <si>
    <t>Lehigh Acres Unit 11 Blk 55 Pb 26 Pg 14 Lot 25</t>
  </si>
  <si>
    <t xml:space="preserve">10218 Golden Eagle Dr </t>
  </si>
  <si>
    <t xml:space="preserve">45 Puritan Ave </t>
  </si>
  <si>
    <t>Jeffery &amp; Kimberly Petrie</t>
  </si>
  <si>
    <t xml:space="preserve">10063 Parkwood Dr </t>
  </si>
  <si>
    <t>Zaporta</t>
  </si>
  <si>
    <t xml:space="preserve">301 NE 24th Ter </t>
  </si>
  <si>
    <t>Classmannstr</t>
  </si>
  <si>
    <t>Morgantown</t>
  </si>
  <si>
    <t>Cape Coral Unit 36 Blk 2521 Pb 16 Pg 113 Lots 20 21 + 22</t>
  </si>
  <si>
    <t>60048-1905</t>
  </si>
  <si>
    <t>Miederhoff</t>
  </si>
  <si>
    <t xml:space="preserve">5490 Cypress Trail Resort Cir </t>
  </si>
  <si>
    <t>Brampton</t>
  </si>
  <si>
    <t>Cape Coral Unit 33 Blk 2234 Pb 16 Pg 54 Lots 26 + 27</t>
  </si>
  <si>
    <t>Robert</t>
  </si>
  <si>
    <t>Cape Coral Unit 32 Blk 2164 Pb 16 Pg 11 Lots 25 + 26</t>
  </si>
  <si>
    <t xml:space="preserve">1433 NE 1st Ave </t>
  </si>
  <si>
    <t>Niwot</t>
  </si>
  <si>
    <t xml:space="preserve">10131 Shadowood Ct </t>
  </si>
  <si>
    <t>Michael &amp; Kathleen Arth</t>
  </si>
  <si>
    <t>31-43-24-c1-02161.0100</t>
  </si>
  <si>
    <t>Anthony &amp; Sybil Augustin</t>
  </si>
  <si>
    <t xml:space="preserve">2 Shalimar Ct </t>
  </si>
  <si>
    <t xml:space="preserve">3753 NE 14th Pl </t>
  </si>
  <si>
    <t>17-43-24-c3-05785.0220</t>
  </si>
  <si>
    <t>Joel &amp; Scott Palladino</t>
  </si>
  <si>
    <t>Jutras</t>
  </si>
  <si>
    <t>Brevard</t>
  </si>
  <si>
    <t>Cypress Woods Rv Resort Ut 1 Pb 65 Pg 85 + 86 Blk B Lot 67</t>
  </si>
  <si>
    <t xml:space="preserve">4116 Garden Blvd  Cape Coral, FL 33909 </t>
  </si>
  <si>
    <t xml:space="preserve">355-32 Sp 901 #48, Medellin, CO </t>
  </si>
  <si>
    <t xml:space="preserve">7550 Amonde Way #1, Elk Grove, CA 95757-1768 </t>
  </si>
  <si>
    <t xml:space="preserve">2824 NE 3rd Ave </t>
  </si>
  <si>
    <t xml:space="preserve">Po Box 672064 </t>
  </si>
  <si>
    <t>29-43-24-c4-02283.0570</t>
  </si>
  <si>
    <t>Palmacea</t>
  </si>
  <si>
    <t xml:space="preserve">4149 NE 21st Pl  Cape Coral, FL 33909 </t>
  </si>
  <si>
    <t>Francisco &amp; Desiree Gonzalez</t>
  </si>
  <si>
    <t xml:space="preserve">5680 Brightwood Dr  Fort Myers, FL 33905 </t>
  </si>
  <si>
    <t xml:space="preserve">6356 Beechwood Ave </t>
  </si>
  <si>
    <t>05-44-25-p3-00800.005b</t>
  </si>
  <si>
    <t xml:space="preserve">255 Nyes Rd  Hummelstown, PA 17036-8637 </t>
  </si>
  <si>
    <t>Petri</t>
  </si>
  <si>
    <t>Massac</t>
  </si>
  <si>
    <t xml:space="preserve">2605 NE 7th Ave </t>
  </si>
  <si>
    <t>Gigliotti</t>
  </si>
  <si>
    <t xml:space="preserve">2216 NE 13th Ln </t>
  </si>
  <si>
    <t>New Canton</t>
  </si>
  <si>
    <t>06-46-24-18-00s00.0180</t>
  </si>
  <si>
    <t>Everett Kotkowski</t>
  </si>
  <si>
    <t>Marita</t>
  </si>
  <si>
    <t>Messina</t>
  </si>
  <si>
    <t>17-43-24-c2-05814.0270</t>
  </si>
  <si>
    <t>17-43-24-c4-05740.0230</t>
  </si>
  <si>
    <t xml:space="preserve">1712 Andalusia Blvd  Cape Coral, FL 33909 </t>
  </si>
  <si>
    <t>Fraschetti</t>
  </si>
  <si>
    <t>21826-1900</t>
  </si>
  <si>
    <t>40245-4436</t>
  </si>
  <si>
    <t>Cape Coral Unit 36 Blk 2544 Pb 16 Pg 115 Lots 42 + 43</t>
  </si>
  <si>
    <t>Cape Coral Unit 31 Blk 2068 Pb 14 Pg 163 Lots 45 46 + 47</t>
  </si>
  <si>
    <t xml:space="preserve">7609 34th Ave #123 </t>
  </si>
  <si>
    <t xml:space="preserve">104 Rue Du Chat Perche  Prevessin Moens, FR </t>
  </si>
  <si>
    <t>Raz</t>
  </si>
  <si>
    <t xml:space="preserve">1 Colonial Dr </t>
  </si>
  <si>
    <t xml:space="preserve">14190 Chancellor St  Fort Myers, FL 33905 </t>
  </si>
  <si>
    <t>Pormen Paul E Jr Tr</t>
  </si>
  <si>
    <t xml:space="preserve">3737 Tallman St </t>
  </si>
  <si>
    <t>Newfoundland</t>
  </si>
  <si>
    <t>John Roldan</t>
  </si>
  <si>
    <t xml:space="preserve">8005 Jasmine Blvd  Port Richey, FL 34668-3225 </t>
  </si>
  <si>
    <t>Charleston</t>
  </si>
  <si>
    <t>Cape Coral Unit 33 Blk.2238 Pb 16 Pg 52 Lots 11 + 12</t>
  </si>
  <si>
    <t>R134</t>
  </si>
  <si>
    <t xml:space="preserve">2028 NE 7th Ave  Cape Coral, FL 33909 </t>
  </si>
  <si>
    <t>25-43-23-c2-02333.0650</t>
  </si>
  <si>
    <t xml:space="preserve">138 W Northfield Rd  Livingston, NJ 07039-3737 </t>
  </si>
  <si>
    <t xml:space="preserve">11 Randolph Ave  Dumont, NJ 07628-1917 </t>
  </si>
  <si>
    <t>Barnesville</t>
  </si>
  <si>
    <t>Cape Coral Unit 88 Blk 5783 Pg 24 Pg 132 Lots 34 + 35</t>
  </si>
  <si>
    <t>Cypress Woods Rv Resort Desc In Inst#2006-358211 Lot 171</t>
  </si>
  <si>
    <t>Imperial Manor</t>
  </si>
  <si>
    <t>Avoca</t>
  </si>
  <si>
    <t>Nopdol &amp; Kelly Rutaivilavan</t>
  </si>
  <si>
    <t>Lynetta</t>
  </si>
  <si>
    <t xml:space="preserve">6941 SW 1st Ct  Pembroke Pines, FL 33023-1103 </t>
  </si>
  <si>
    <t>03-44-26-04-00016.0020</t>
  </si>
  <si>
    <t>03-44-26-06-00028.0010</t>
  </si>
  <si>
    <t>01-44-23-c4-02412.0660</t>
  </si>
  <si>
    <t xml:space="preserve">10 Fichtestr </t>
  </si>
  <si>
    <t>Sanderling</t>
  </si>
  <si>
    <t>Chabot</t>
  </si>
  <si>
    <t xml:space="preserve">2134 NE 34th Ter  Cape Coral, FL 33909 </t>
  </si>
  <si>
    <t xml:space="preserve">3639 NE 22nd Ave  Cape Coral, FL 33909 </t>
  </si>
  <si>
    <t xml:space="preserve">2026 NE 35th St  Cape Coral, FL 33909 </t>
  </si>
  <si>
    <t>29-43-24-c4-02284.0370</t>
  </si>
  <si>
    <t xml:space="preserve">58 Beechwood Ave  New Rochelle, NY 10801-6819 </t>
  </si>
  <si>
    <t>05-44-24-c2-03516.0430</t>
  </si>
  <si>
    <t xml:space="preserve">2313 Parkview Dr  Fort Myers, FL 33905 </t>
  </si>
  <si>
    <t>33076-2121</t>
  </si>
  <si>
    <t xml:space="preserve">710 Coral Dr  Cape Coral, FL 33904 </t>
  </si>
  <si>
    <t xml:space="preserve">5811 Pathwood Ct </t>
  </si>
  <si>
    <t>Ramon &amp; Marcela Dalmasso</t>
  </si>
  <si>
    <t xml:space="preserve">90 Willowbrook Dr </t>
  </si>
  <si>
    <t xml:space="preserve">4413 17th Pl SW </t>
  </si>
  <si>
    <t xml:space="preserve">PO Box 144  Brewerton, NY 13029 </t>
  </si>
  <si>
    <t>33904-8710</t>
  </si>
  <si>
    <t>Lehigh Acres W Pt Unit 1 Blk 3 Pb 26 Pg 2 Lot 46</t>
  </si>
  <si>
    <t xml:space="preserve">615 NE 11th Ter  Cape Coral, FL 33909 </t>
  </si>
  <si>
    <t>33428-2663</t>
  </si>
  <si>
    <t>34114-8936</t>
  </si>
  <si>
    <t xml:space="preserve">2121 NE 1st Ave  Cape Coral, FL 33909 </t>
  </si>
  <si>
    <t xml:space="preserve">96 County Road 170 </t>
  </si>
  <si>
    <t>San Simeon</t>
  </si>
  <si>
    <t>08-44-24-c2-01525.0910</t>
  </si>
  <si>
    <t xml:space="preserve">1342 SE 44th Ter  Cape Coral, FL 33904 </t>
  </si>
  <si>
    <t>17-43-24-c4-05741.0030</t>
  </si>
  <si>
    <t>36-43-23-c3-02146.0610</t>
  </si>
  <si>
    <t>Shore Front</t>
  </si>
  <si>
    <t>Cherokee</t>
  </si>
  <si>
    <t>Angela Satterthwaite</t>
  </si>
  <si>
    <t xml:space="preserve">4416 Ramsey Blvd  Cape Coral, FL 33909 </t>
  </si>
  <si>
    <t xml:space="preserve">1257 NE 41st St  Cape Coral, FL 33909 </t>
  </si>
  <si>
    <t>Cape Coral Unit 85 Blk 5672 Pb 24 Pg 51 Lots 51 + 52</t>
  </si>
  <si>
    <t>Sajeeve</t>
  </si>
  <si>
    <t xml:space="preserve">6136 Holt Ct  Fort Myers, FL 33905 </t>
  </si>
  <si>
    <t>Bradley Frieman</t>
  </si>
  <si>
    <t>33909-3117</t>
  </si>
  <si>
    <t>Sternig</t>
  </si>
  <si>
    <t>Ronald &amp; Diane Barnard</t>
  </si>
  <si>
    <t>11361-1023</t>
  </si>
  <si>
    <t xml:space="preserve">14030 Sanford Ave 4c </t>
  </si>
  <si>
    <t xml:space="preserve">10224 Yellowtop Trl </t>
  </si>
  <si>
    <t>Rossy Ceron</t>
  </si>
  <si>
    <t>Pekarek</t>
  </si>
  <si>
    <t>32117-2101</t>
  </si>
  <si>
    <t>Km4</t>
  </si>
  <si>
    <t xml:space="preserve">10011 Willowood Dr  Fort Myers, FL 33905 </t>
  </si>
  <si>
    <t>Ball</t>
  </si>
  <si>
    <t xml:space="preserve">514 NE 15th Ter </t>
  </si>
  <si>
    <t xml:space="preserve">Po Box 267 </t>
  </si>
  <si>
    <t>Lillian</t>
  </si>
  <si>
    <t>Odonnell James P Tr</t>
  </si>
  <si>
    <t xml:space="preserve">2629 NE 20th Pl  Cape Coral, FL 33909 </t>
  </si>
  <si>
    <t>Ren</t>
  </si>
  <si>
    <t>20-43-24-c3-05673.0390</t>
  </si>
  <si>
    <t>Cypress Trail Rv Resort Phase 2-A As Desc In Inst# 2014000026506 Lot 167</t>
  </si>
  <si>
    <t>Cape Coral Unit 88 Blk 5787 Pb 24 Pg 131 Lots 11 + 12</t>
  </si>
  <si>
    <t>Lucy Flaherty</t>
  </si>
  <si>
    <t>33909-1210</t>
  </si>
  <si>
    <t>33193-2601</t>
  </si>
  <si>
    <t>Cape Coral Unit 85 Blk 5647 Pb 24 Pg 56 Lots 41 + 42</t>
  </si>
  <si>
    <t xml:space="preserve">1504 NE 36th Ln </t>
  </si>
  <si>
    <t>34119-8911</t>
  </si>
  <si>
    <t>25-43-23-c1-02349.0570</t>
  </si>
  <si>
    <t xml:space="preserve">1600 Mara Dr </t>
  </si>
  <si>
    <t>Cape Coral Unit 36 Blk 2351 Pb 16 Pg 129 Lots 5 + 6</t>
  </si>
  <si>
    <t>32317-7280</t>
  </si>
  <si>
    <t>Forestier</t>
  </si>
  <si>
    <t xml:space="preserve">5214 Lake Ln </t>
  </si>
  <si>
    <t>01-44-23-c3-02459.0250</t>
  </si>
  <si>
    <t>Abts Darrell J Tr</t>
  </si>
  <si>
    <t>36-43-23-c2-02543.0010</t>
  </si>
  <si>
    <t>48183-2535</t>
  </si>
  <si>
    <t>Rue Pierre Semard</t>
  </si>
  <si>
    <t xml:space="preserve">511 NE 19th Ter  Cape Coral, FL 33909 </t>
  </si>
  <si>
    <t>Willemain-Burns</t>
  </si>
  <si>
    <t>Cape Coral Unit 36 Blk 2543 Pb 16 Pg 115 Lots 6 + 7</t>
  </si>
  <si>
    <t xml:space="preserve">19 Calle 160 #203, Bogota Cund, CO </t>
  </si>
  <si>
    <t xml:space="preserve">1307 NE 1st Ave  Cape Coral, FL 33909 </t>
  </si>
  <si>
    <t>33904-9497</t>
  </si>
  <si>
    <t xml:space="preserve">6900 Laughton Dr  Chesterfield, VA 23832-8372 </t>
  </si>
  <si>
    <t>134th</t>
  </si>
  <si>
    <t xml:space="preserve">PO Box 1126  Hayes, VA 23072-1126 </t>
  </si>
  <si>
    <t xml:space="preserve">2218 NE 2nd St </t>
  </si>
  <si>
    <t>99352-8918</t>
  </si>
  <si>
    <t>Jean Rosenbauer</t>
  </si>
  <si>
    <t>Wurtsboro</t>
  </si>
  <si>
    <t>Danly</t>
  </si>
  <si>
    <t>17-43-24-c2-05796.0400</t>
  </si>
  <si>
    <t xml:space="preserve">2660 S 62nd St </t>
  </si>
  <si>
    <t>Bailey</t>
  </si>
  <si>
    <t xml:space="preserve">16321 NW 11th St  Pembroke Pines, FL 33028-1121 </t>
  </si>
  <si>
    <t>Bay Ridge</t>
  </si>
  <si>
    <t xml:space="preserve">15132 SE Nia Dr  Happy Valley, OR 97086-4266 </t>
  </si>
  <si>
    <t>18-43-24-c1-05686.0230</t>
  </si>
  <si>
    <t>Emmanuel</t>
  </si>
  <si>
    <t>25-43-23-c1-02324.0250</t>
  </si>
  <si>
    <t>Cape Coral Unit 85 Blk 5666 Pb 24 Pg 53 Lots 50 + 51</t>
  </si>
  <si>
    <t>33904-4143</t>
  </si>
  <si>
    <t>01-44-23-c3-02427.0530</t>
  </si>
  <si>
    <t>19-43-24-c2-05588.0050</t>
  </si>
  <si>
    <t>Cape Coral Unit 84 Blk 5558 Pb 24 Pg 32 Lots 55 + 56</t>
  </si>
  <si>
    <t>Arun</t>
  </si>
  <si>
    <t xml:space="preserve">5356 Kings Way  Gladwin, MI 48624-8213 </t>
  </si>
  <si>
    <t>Olivier Dubois</t>
  </si>
  <si>
    <t>Cape Coral Unit 36 Blk 2335 Pb 16 Pg 130 Lots 27 + 28</t>
  </si>
  <si>
    <t xml:space="preserve">3003 NE 2nd Ave  Cape Coral, FL 33909 </t>
  </si>
  <si>
    <t xml:space="preserve">3401 W Gator Cir </t>
  </si>
  <si>
    <t xml:space="preserve">1023 NE 33rd Ln </t>
  </si>
  <si>
    <t xml:space="preserve">3717 NE 17th Ave  Cape Coral, FL 33909 </t>
  </si>
  <si>
    <t>91710-3896</t>
  </si>
  <si>
    <t>Cypress Woods Rv Resort Ut 1 Pb 65 Pg 85 + 86 Blk A Lot 27</t>
  </si>
  <si>
    <t>Cape Coral Unit 36 Part 1 Blk 2479 Pb 23 Pg 93 Lots 25 + 26</t>
  </si>
  <si>
    <t>Maria &amp; Tamara Romero</t>
  </si>
  <si>
    <t>Mark Burke</t>
  </si>
  <si>
    <t xml:space="preserve">1521 NE 17th Pl </t>
  </si>
  <si>
    <t>20-43-24-c2-05663.0190</t>
  </si>
  <si>
    <t xml:space="preserve">6525 Utopia Pkwy  Fresh Meadows, NY 11365-2149 </t>
  </si>
  <si>
    <t>17-43-24-c2-05812.0180</t>
  </si>
  <si>
    <t xml:space="preserve">826 Violet St </t>
  </si>
  <si>
    <t xml:space="preserve">36 Ludwig Prandtl St  Hendersonville, TN 37077 </t>
  </si>
  <si>
    <t>Rosales</t>
  </si>
  <si>
    <t xml:space="preserve">3100 NE 1st Ave  Cape Coral, FL 33909 </t>
  </si>
  <si>
    <t xml:space="preserve">2028 NE 34th Ln </t>
  </si>
  <si>
    <t>Steve Harless</t>
  </si>
  <si>
    <t xml:space="preserve">2828 NE 7th Pl  Cape Coral, FL 33909 </t>
  </si>
  <si>
    <t xml:space="preserve">3 Stewart Pl </t>
  </si>
  <si>
    <t xml:space="preserve">1406 NE 21st Ave </t>
  </si>
  <si>
    <t>Panny Paniagua</t>
  </si>
  <si>
    <t>Cattan</t>
  </si>
  <si>
    <t>Lorik Prelvukaj</t>
  </si>
  <si>
    <t>25-43-23-c1-02330.0570</t>
  </si>
  <si>
    <t>William &amp; Edna Segre</t>
  </si>
  <si>
    <t xml:space="preserve">20 Horseplay Ln  Lake Toxaway, NC 28747-7793 </t>
  </si>
  <si>
    <t xml:space="preserve">3734 NE 16th Ave </t>
  </si>
  <si>
    <t>32750-5463</t>
  </si>
  <si>
    <t xml:space="preserve">1727 Pettit Ave </t>
  </si>
  <si>
    <t>33909-4678</t>
  </si>
  <si>
    <t xml:space="preserve">5530 Cypress Woods Resort Dr  Fort Myers, FL 33905 </t>
  </si>
  <si>
    <t>H613</t>
  </si>
  <si>
    <t>11223-5902</t>
  </si>
  <si>
    <t>Woodward</t>
  </si>
  <si>
    <t xml:space="preserve">166 Flinchum Pl  Lexington, SC 29073-7095 </t>
  </si>
  <si>
    <t xml:space="preserve">1632 NE 176th St  North Miami Beach, FL 33162-1447 </t>
  </si>
  <si>
    <t>Yamile</t>
  </si>
  <si>
    <t xml:space="preserve">112 Star Shell Dr </t>
  </si>
  <si>
    <t xml:space="preserve">144 Beaver Run Dr </t>
  </si>
  <si>
    <t>William &amp; Anastacia Sardo</t>
  </si>
  <si>
    <t xml:space="preserve">19 Hoover Cres  Hamilton, ON L9a 3G9 </t>
  </si>
  <si>
    <t xml:space="preserve">104 Rich Dr </t>
  </si>
  <si>
    <t>94803-3801</t>
  </si>
  <si>
    <t>PO Box 129</t>
  </si>
  <si>
    <t xml:space="preserve">1530 Poinciana Ave </t>
  </si>
  <si>
    <t>Kristbergs</t>
  </si>
  <si>
    <t xml:space="preserve">4125 NE 16th Ave </t>
  </si>
  <si>
    <t>92821-4953</t>
  </si>
  <si>
    <t xml:space="preserve">706 Alexandria Dr  Naperville, IL 60565-3444 </t>
  </si>
  <si>
    <t>Ferrer</t>
  </si>
  <si>
    <t xml:space="preserve">1390 Quinlan Ave S </t>
  </si>
  <si>
    <t>Avihu Sitton</t>
  </si>
  <si>
    <t xml:space="preserve">3022 NE 6th Pl </t>
  </si>
  <si>
    <t>Cape Coral Unit 85 Blk 5637 Pb 24 Pg 51 Lots 32 + 33</t>
  </si>
  <si>
    <t xml:space="preserve">8 Acorn Pl </t>
  </si>
  <si>
    <t xml:space="preserve">5810 Pathwood Ct  Fort Myers, FL 33905 </t>
  </si>
  <si>
    <t>St Georges</t>
  </si>
  <si>
    <t>Yolaidys</t>
  </si>
  <si>
    <t xml:space="preserve">4520 La Salle Ave S  Saint Cloud, FL 34772-8398 </t>
  </si>
  <si>
    <t>Cape Coral Unit 84 Blk 5624 Pb 24 Pg 33 Lots 15 + 16</t>
  </si>
  <si>
    <t>Bernal</t>
  </si>
  <si>
    <t xml:space="preserve">11080 Gross Dr </t>
  </si>
  <si>
    <t>06-44-24-c4-02055.0280</t>
  </si>
  <si>
    <t>James Nyhus &amp; Monica Beeman</t>
  </si>
  <si>
    <t xml:space="preserve">25 Waterfront Dr </t>
  </si>
  <si>
    <t>Hoa Ly</t>
  </si>
  <si>
    <t xml:space="preserve">4113 NE 21st Pl </t>
  </si>
  <si>
    <t xml:space="preserve">5313 Cypress Trail Resort Cir </t>
  </si>
  <si>
    <t xml:space="preserve">14140 Cedardale St </t>
  </si>
  <si>
    <t>Shaughnessy</t>
  </si>
  <si>
    <t>St Catharines</t>
  </si>
  <si>
    <t>Richard &amp; Nancy Roy</t>
  </si>
  <si>
    <t>33904-5601</t>
  </si>
  <si>
    <t>Porto</t>
  </si>
  <si>
    <t>Peack</t>
  </si>
  <si>
    <t>Kishon</t>
  </si>
  <si>
    <t>33909-6510</t>
  </si>
  <si>
    <t xml:space="preserve">15 Du Domaine-De-L'escapade Ch </t>
  </si>
  <si>
    <t>60101-2016</t>
  </si>
  <si>
    <t xml:space="preserve">1800 S Ocean Dr #2305 </t>
  </si>
  <si>
    <t xml:space="preserve">2227 S 4th Ave </t>
  </si>
  <si>
    <t xml:space="preserve">320 NE 9th St  Cape Coral, FL 33909 </t>
  </si>
  <si>
    <t>33982-2373</t>
  </si>
  <si>
    <t>Aurora</t>
  </si>
  <si>
    <t xml:space="preserve">114 Carriage Ln  Bridgeport, WV 26330-1347 </t>
  </si>
  <si>
    <t>Cape Coral Unit 33 Blk.2259 Pb 16 Pg 59 Lots 43 + 44</t>
  </si>
  <si>
    <t xml:space="preserve">15215 E Colonial Dr </t>
  </si>
  <si>
    <t xml:space="preserve">1318 NE 9th Ave  Cape Coral, FL 33909 </t>
  </si>
  <si>
    <t>32779-7037</t>
  </si>
  <si>
    <t>19-43-24-c1-05546.0130</t>
  </si>
  <si>
    <t xml:space="preserve">1201 NE 12th St </t>
  </si>
  <si>
    <t>Frank Favuzzi</t>
  </si>
  <si>
    <t>Ft Myers Shores U 5 Blk 91 Pb 16 Pg 66 E 30 Ft Of Lot 73 + W 46 Ft Of Lot 74 As Desc In Inst#2009000177328</t>
  </si>
  <si>
    <t xml:space="preserve">2470 Kaley Walk NW </t>
  </si>
  <si>
    <t>11552-1526</t>
  </si>
  <si>
    <t>11740-1006</t>
  </si>
  <si>
    <t>Oak</t>
  </si>
  <si>
    <t xml:space="preserve">N5497 Evenson Rd  West Salem, WI 54669-9341 </t>
  </si>
  <si>
    <t xml:space="preserve">356 Liberty Hill Rd  Henniker, NH 03242-6026 </t>
  </si>
  <si>
    <t>Flynn</t>
  </si>
  <si>
    <t xml:space="preserve">23304 Walnut Hollow Ct </t>
  </si>
  <si>
    <t>Cape Coral Unit 33 Blk.2232 Pb 16 Pg 53 Lots 13 + 14</t>
  </si>
  <si>
    <t xml:space="preserve">5427/5429 Eleventh Ave </t>
  </si>
  <si>
    <t>Cyrway</t>
  </si>
  <si>
    <t>Cristobal</t>
  </si>
  <si>
    <t>33905-7308</t>
  </si>
  <si>
    <t>Burnley Lancashire</t>
  </si>
  <si>
    <t>15-44-24-03-00000.0240</t>
  </si>
  <si>
    <t xml:space="preserve">350 W Kirkwall Rd  Glendora, CA 91740-5540 </t>
  </si>
  <si>
    <t>Cape Coral Unit 34 Blk 2457 Pb 16 Pg 83 Lots 5 + 6</t>
  </si>
  <si>
    <t>Cape Coral Unit 84 Blk 5566 Pb 24 Pg 38 Lots 17 + 18</t>
  </si>
  <si>
    <t xml:space="preserve">1337 NE 32nd Ln </t>
  </si>
  <si>
    <t>19-43-24-c4-05551.0170</t>
  </si>
  <si>
    <t>01-44-23-c4-02468.0160</t>
  </si>
  <si>
    <t xml:space="preserve">3003 Wolverine Dr </t>
  </si>
  <si>
    <t>Aleccy</t>
  </si>
  <si>
    <t>03-44-26-04-00021.0050</t>
  </si>
  <si>
    <t xml:space="preserve">17 Prospect Ave </t>
  </si>
  <si>
    <t>11530-5423</t>
  </si>
  <si>
    <t xml:space="preserve">2011 NE 18th St </t>
  </si>
  <si>
    <t>Cape Coral Unit 87 Blk 5695 Pb 24 Pg 81 Lots 21 + 22</t>
  </si>
  <si>
    <t>Cape Coral Unit 88 Blk 5793 Pb 24 Pg 130 Lots 20 + 21</t>
  </si>
  <si>
    <t xml:space="preserve">10233 Meadow Beauty Trl </t>
  </si>
  <si>
    <t>Miguel &amp; Luz Quagliata</t>
  </si>
  <si>
    <t xml:space="preserve">1215 NE 9th Ter  Cape Coral, FL 33909 </t>
  </si>
  <si>
    <t>10710-5033</t>
  </si>
  <si>
    <t xml:space="preserve">2474 E 7th St  Brooklyn, NY 11235-6115 </t>
  </si>
  <si>
    <t xml:space="preserve">326 NE 11th Pl  Cape Coral, FL 33909 </t>
  </si>
  <si>
    <t>Somerworth</t>
  </si>
  <si>
    <t>Monmouth Junction</t>
  </si>
  <si>
    <t>Mark &amp; Sandra Geudtner</t>
  </si>
  <si>
    <t>Rosalina</t>
  </si>
  <si>
    <t>33909-2232</t>
  </si>
  <si>
    <t xml:space="preserve">2927 NE 5th Pl </t>
  </si>
  <si>
    <t xml:space="preserve">5309 Cypress Trail Resort Cir </t>
  </si>
  <si>
    <t>18-43-24-c2-05723.0330</t>
  </si>
  <si>
    <t xml:space="preserve">6012 Jadestone Ave  Fort Myers, FL 33905 </t>
  </si>
  <si>
    <t>12-46-23-04-00000.5260</t>
  </si>
  <si>
    <t>Cape Coral Unit 36 Blk 2338 Pb 16 Pg 124 Lots 63 + 64</t>
  </si>
  <si>
    <t>Everett</t>
  </si>
  <si>
    <t>Cape Coral Unit 87 Blk 5750 Pb 24 Pg 68 Lots 47 + 48</t>
  </si>
  <si>
    <t xml:space="preserve">2529 NE 19th Pl  Cape Coral, FL 33909 </t>
  </si>
  <si>
    <t>Augusta</t>
  </si>
  <si>
    <t xml:space="preserve">6511 Cedarwood Ave </t>
  </si>
  <si>
    <t xml:space="preserve">2319 NE 5th Pl </t>
  </si>
  <si>
    <t xml:space="preserve">656 G St NE  Washington, DC 20002-4306 </t>
  </si>
  <si>
    <t xml:space="preserve">2524 W Mesa Verde Dr  Beverly Hills, FL 34465-3078 </t>
  </si>
  <si>
    <t>Scott &amp; Stacy Koczara</t>
  </si>
  <si>
    <t xml:space="preserve">2624 Riviera Ct </t>
  </si>
  <si>
    <t xml:space="preserve">90 W 61st St  Hialeah, FL 33012-2637 </t>
  </si>
  <si>
    <t>Christina</t>
  </si>
  <si>
    <t xml:space="preserve">23 Anderson Rd  Wharton, NJ 07885-2038 </t>
  </si>
  <si>
    <t>05-44-24-c1-03529.0210</t>
  </si>
  <si>
    <t>C112</t>
  </si>
  <si>
    <t>25-43-23-c4-02300.a310</t>
  </si>
  <si>
    <t>Theinert</t>
  </si>
  <si>
    <t>25-43-23-c1-02348.0280</t>
  </si>
  <si>
    <t>Saltwater</t>
  </si>
  <si>
    <t xml:space="preserve">202 SE 45th Ter </t>
  </si>
  <si>
    <t>Emerald</t>
  </si>
  <si>
    <t xml:space="preserve">3 Rue Des Gravieres  Rixheim, FR </t>
  </si>
  <si>
    <t>Cape Coral Unit 47 Pt 2 Blk 3540 Pb 23 Pg 117 Lots 48 + 49</t>
  </si>
  <si>
    <t>Fulciniti</t>
  </si>
  <si>
    <t>Cape Coral Unit 84 Blk 5594 Pb 24 Pg 41 Lot 15</t>
  </si>
  <si>
    <t xml:space="preserve">11023 Viacha Dr </t>
  </si>
  <si>
    <t>Karl Windisch</t>
  </si>
  <si>
    <t xml:space="preserve">10255 Meadow Beauty Trl  Fort Myers, FL 33905 </t>
  </si>
  <si>
    <t>Mercedes Herrera</t>
  </si>
  <si>
    <t xml:space="preserve">8306 Clover Gardens Dr </t>
  </si>
  <si>
    <t>Cape Coral Unit 36 Blk 2344 Pb 16 Pg 121 Lots 5 + 6</t>
  </si>
  <si>
    <t>Francisco Diaz</t>
  </si>
  <si>
    <t>Hand</t>
  </si>
  <si>
    <t>Bonn</t>
  </si>
  <si>
    <t>Collier</t>
  </si>
  <si>
    <t xml:space="preserve">1320 Diplomat Pkwy E </t>
  </si>
  <si>
    <t>Jutta &amp; Guenter Ruths</t>
  </si>
  <si>
    <t xml:space="preserve">125 Shades Crest Rd  Birmingham, AL 35226-1075 </t>
  </si>
  <si>
    <t>Millbury</t>
  </si>
  <si>
    <t>20-43-24-c3-05671.0050</t>
  </si>
  <si>
    <t xml:space="preserve">8216 W Maple Ave </t>
  </si>
  <si>
    <t>Kim-Cuong</t>
  </si>
  <si>
    <t xml:space="preserve">3 Lynnwood Ct  Hampton Bays, NY 11946-2808 </t>
  </si>
  <si>
    <t xml:space="preserve">4433 Orchid Blvd  Cape Coral, FL 33904 </t>
  </si>
  <si>
    <t>Bosvet</t>
  </si>
  <si>
    <t>Pepple</t>
  </si>
  <si>
    <t xml:space="preserve">2802 SE 8th Ave  Cape Coral, FL 33904 </t>
  </si>
  <si>
    <t>Everett Brooks</t>
  </si>
  <si>
    <t>Rock</t>
  </si>
  <si>
    <t>George &amp; For Stewart</t>
  </si>
  <si>
    <t>Camanche</t>
  </si>
  <si>
    <t>Wayne &amp; Kathryn Stordy</t>
  </si>
  <si>
    <t>Errol &amp; Genevieve Cummings</t>
  </si>
  <si>
    <t xml:space="preserve">22 S Nashville Ave </t>
  </si>
  <si>
    <t>Cape Coral</t>
  </si>
  <si>
    <t xml:space="preserve">7 Eljema Frst  Piedmont, SC 29673-9155 </t>
  </si>
  <si>
    <t xml:space="preserve">5191 Cypress Trail Resort Cir  Fort Myers, FL 33905 </t>
  </si>
  <si>
    <t>Lehigh Acres Unit 8 Blk 38 Pb 26 Pg 10 Lot 3</t>
  </si>
  <si>
    <t>L6C 1Y7</t>
  </si>
  <si>
    <t xml:space="preserve">Po Box 218 </t>
  </si>
  <si>
    <t>Paul &amp; For Goodspeed</t>
  </si>
  <si>
    <t xml:space="preserve">14789 Martin Dr  Fort Myers, FL 33908 </t>
  </si>
  <si>
    <t xml:space="preserve">2396 Wingedfoot Dr </t>
  </si>
  <si>
    <t xml:space="preserve">300 E 33rd St </t>
  </si>
  <si>
    <t>Terence</t>
  </si>
  <si>
    <t xml:space="preserve">2017 NE 7th Pl </t>
  </si>
  <si>
    <t>06517-3423</t>
  </si>
  <si>
    <t>Cape Coral Unit 33 Blk 2234 Pb 16 Pg 54 Lots 24 + 25</t>
  </si>
  <si>
    <t>Cape Coral Unit 32 Blk 2164 Pb 16 Pg 11 Lots 23 + 24</t>
  </si>
  <si>
    <t>Emilia &amp; Zigmund Chudzik</t>
  </si>
  <si>
    <t>Hendrick</t>
  </si>
  <si>
    <t>Cape Coral Unit 87 Blk 5752 Pb 24 Pg 68 Lots 39 + 40</t>
  </si>
  <si>
    <t xml:space="preserve">131 Jersey St 2j </t>
  </si>
  <si>
    <t>Cape Coral Unit 21 Blk.821 Pb 13 Pg 149 Lots 33 + 34</t>
  </si>
  <si>
    <t xml:space="preserve">14685 Ali Ave  Cleveland, OH 44130-8831 </t>
  </si>
  <si>
    <t>Emerita</t>
  </si>
  <si>
    <t>32-43-24-c2-02230.0530</t>
  </si>
  <si>
    <t>53154-4255</t>
  </si>
  <si>
    <t>Papershell</t>
  </si>
  <si>
    <t>Retunda</t>
  </si>
  <si>
    <t>Motilal</t>
  </si>
  <si>
    <t>33909-3401</t>
  </si>
  <si>
    <t>32725-9617</t>
  </si>
  <si>
    <t xml:space="preserve">2514 NE Juanita Pl </t>
  </si>
  <si>
    <t xml:space="preserve">3933 NE 19th Ave  Cape Coral, FL 33909 </t>
  </si>
  <si>
    <t xml:space="preserve">15381 Cemetery Rd  Fort Myers, FL 33905 </t>
  </si>
  <si>
    <t>Cape Coral Unit 36 Blk 2527 Pb 16 Pg 114 Lots 5 Thru 7</t>
  </si>
  <si>
    <t xml:space="preserve">6150 Hepner Ave  Fort Myers, FL 33905 </t>
  </si>
  <si>
    <t>Khairulla</t>
  </si>
  <si>
    <t>Sabine Feldman</t>
  </si>
  <si>
    <t>34109-5934</t>
  </si>
  <si>
    <t xml:space="preserve">4222 NE 23rd Pl </t>
  </si>
  <si>
    <t>Iona Gardens Blk H Pb 17 Pg 72 Lot 25</t>
  </si>
  <si>
    <t xml:space="preserve">112 Marine Ave J2, Brooklyn, NY 11209-7224 </t>
  </si>
  <si>
    <t>19-43-24-c2-05593.0080</t>
  </si>
  <si>
    <t xml:space="preserve">2501 NE 19th Pl  Cape Coral, FL 33909 </t>
  </si>
  <si>
    <t xml:space="preserve">3804 Hyde Park Dr </t>
  </si>
  <si>
    <t>33901-5079</t>
  </si>
  <si>
    <t xml:space="preserve">2013 NE 7th Ave </t>
  </si>
  <si>
    <t xml:space="preserve">6101 Pelican Bay Blvd #704 </t>
  </si>
  <si>
    <t>For James H Jr &amp; Christine A Zeilenga Trust</t>
  </si>
  <si>
    <t xml:space="preserve">3624 NE 17th Pl </t>
  </si>
  <si>
    <t>Jerome</t>
  </si>
  <si>
    <t>Cypress Trail Rv Resort Phase 4-C Block A Lot 127 As Desc In Inst 2019000042424</t>
  </si>
  <si>
    <t>Cissell</t>
  </si>
  <si>
    <t>Cypress Trail Rv Resort Phase 2-A As Desc In Inst# 2014000026506 Lot 162</t>
  </si>
  <si>
    <t xml:space="preserve">5927 Brightwood Dr </t>
  </si>
  <si>
    <t xml:space="preserve">3575 Unique Cir  Fort Myers, FL 33908 </t>
  </si>
  <si>
    <t>Densel &amp; Yvonne Paul</t>
  </si>
  <si>
    <t xml:space="preserve">4945 S Tempe Way  Aurora, CO 80015-6786 </t>
  </si>
  <si>
    <t xml:space="preserve">PO Box 360750  Birmingham, AL 35236 </t>
  </si>
  <si>
    <t xml:space="preserve">57 Mansion Ave </t>
  </si>
  <si>
    <t>Cape Coral Unit 35 Blk 2393 Pb 16 Pg 108 Lots 14 + 15</t>
  </si>
  <si>
    <t xml:space="preserve">313 NE 10th Ter  Cape Coral, FL 33909 </t>
  </si>
  <si>
    <t xml:space="preserve">35 Ormskirk Ave #412 </t>
  </si>
  <si>
    <t>Bedford</t>
  </si>
  <si>
    <t>25-43-23-c2-02318.0350</t>
  </si>
  <si>
    <t>34120-7543</t>
  </si>
  <si>
    <t>08724-4814</t>
  </si>
  <si>
    <t>Cape Coral Unit 36 Blk 2526 Pb 16 Pg 117 Lots 46 + 47</t>
  </si>
  <si>
    <t xml:space="preserve">3526 NE 18th Pl </t>
  </si>
  <si>
    <t>34288-8427</t>
  </si>
  <si>
    <t xml:space="preserve">1902 NE 23rd Pl  Cape Coral, FL 33909 </t>
  </si>
  <si>
    <t xml:space="preserve">10039 Rambelwood Ct </t>
  </si>
  <si>
    <t>07652-3205</t>
  </si>
  <si>
    <t>Feng</t>
  </si>
  <si>
    <t>33909-4766</t>
  </si>
  <si>
    <t>25-43-23-c4-02298.b120</t>
  </si>
  <si>
    <t xml:space="preserve">2300 W 56th St  Hialeah, FL 33016-7203 </t>
  </si>
  <si>
    <t>Tamera</t>
  </si>
  <si>
    <t xml:space="preserve">8336 Thornapple River Dr SE  Caledonia, MI 49316-9568 </t>
  </si>
  <si>
    <t>33909-1319</t>
  </si>
  <si>
    <t>Ernest Berger</t>
  </si>
  <si>
    <t>R J &amp; D Hoover</t>
  </si>
  <si>
    <t>Ines</t>
  </si>
  <si>
    <t>19-43-24-c1-05581.0030</t>
  </si>
  <si>
    <t>Wigwam Park</t>
  </si>
  <si>
    <t xml:space="preserve">1749/1751 Beach Pkwy  Cape Coral, FL 33904 </t>
  </si>
  <si>
    <t>Roberto &amp; Eva Silva</t>
  </si>
  <si>
    <t>Mississauga</t>
  </si>
  <si>
    <t>Cape Coral Unit 21 Blk.634 Pb 13 Pg 160 Lots 43 + 44</t>
  </si>
  <si>
    <t>43201-3171</t>
  </si>
  <si>
    <t>33909-4477</t>
  </si>
  <si>
    <t xml:space="preserve">8490 SW 89th St  Miami, FL 33156-7372 </t>
  </si>
  <si>
    <t>Lake Edge</t>
  </si>
  <si>
    <t>Zimmerman</t>
  </si>
  <si>
    <t>My</t>
  </si>
  <si>
    <t xml:space="preserve">3016 SE 5th Ct </t>
  </si>
  <si>
    <t>Quintantilla</t>
  </si>
  <si>
    <t xml:space="preserve">10207 Butterweed Trl </t>
  </si>
  <si>
    <t xml:space="preserve">15 B  Pottenstein, DE 91278 </t>
  </si>
  <si>
    <t>Proffitt</t>
  </si>
  <si>
    <t>11554-5453</t>
  </si>
  <si>
    <t>Anthony Panaro</t>
  </si>
  <si>
    <t xml:space="preserve">9 Platanenweg </t>
  </si>
  <si>
    <t>07740-6146</t>
  </si>
  <si>
    <t>14th</t>
  </si>
  <si>
    <t>For Tripi Family Trust</t>
  </si>
  <si>
    <t>Lehigh Acres Unit 11 Blk 54 Pb 26 Pg 14 Lot 13</t>
  </si>
  <si>
    <t xml:space="preserve">1441 Rocky Ln </t>
  </si>
  <si>
    <t xml:space="preserve">444 NE 2nd Pl </t>
  </si>
  <si>
    <t>Robert Diponti</t>
  </si>
  <si>
    <t>Rony</t>
  </si>
  <si>
    <t>5th</t>
  </si>
  <si>
    <t>Ze</t>
  </si>
  <si>
    <t xml:space="preserve">141 Norfolk St 6c, New York, NY 10002-2374 </t>
  </si>
  <si>
    <t>33905-6423</t>
  </si>
  <si>
    <t>Bernath</t>
  </si>
  <si>
    <t xml:space="preserve">418 Spring Lake Dr  Quincy, IL 62305-6036 </t>
  </si>
  <si>
    <t>36-44-23-c3-00881.0160</t>
  </si>
  <si>
    <t xml:space="preserve">19 Robinson Ave  Medford, NY 11763-2614 </t>
  </si>
  <si>
    <t>Pedro Valdez</t>
  </si>
  <si>
    <t xml:space="preserve">3610 NE 18th Ave </t>
  </si>
  <si>
    <t>Francisca</t>
  </si>
  <si>
    <t xml:space="preserve">3578 NE 8th Pl  Cape Coral, FL 33909 </t>
  </si>
  <si>
    <t>Soddy Daisy</t>
  </si>
  <si>
    <t>31-43-24-c4-02103.0510</t>
  </si>
  <si>
    <t>31-43-24-c1-02169.0030</t>
  </si>
  <si>
    <t>Crystal Beach</t>
  </si>
  <si>
    <t>Chancellor</t>
  </si>
  <si>
    <t>Indar Avron &amp; Eitan Dotan</t>
  </si>
  <si>
    <t>William Gibbons</t>
  </si>
  <si>
    <t>Sidonie</t>
  </si>
  <si>
    <t>the Barnyard</t>
  </si>
  <si>
    <t>33904-5792</t>
  </si>
  <si>
    <t xml:space="preserve">1822 NE 40th Ln </t>
  </si>
  <si>
    <t>Berenger</t>
  </si>
  <si>
    <t xml:space="preserve">64 Farragut Ave  Hastings On Hudson, NY 10706-2307 </t>
  </si>
  <si>
    <t>Nanuet</t>
  </si>
  <si>
    <t>Fabio Velez</t>
  </si>
  <si>
    <t>Persaud</t>
  </si>
  <si>
    <t>Calle Andes</t>
  </si>
  <si>
    <t>James &amp; Patricia Ronay</t>
  </si>
  <si>
    <t xml:space="preserve">443 NE 8th Ter </t>
  </si>
  <si>
    <t>Norristown</t>
  </si>
  <si>
    <t xml:space="preserve">92 Pelham Rd  Wimbledon London, GB 00000 </t>
  </si>
  <si>
    <t>07-44-24-c4-03586.0010</t>
  </si>
  <si>
    <t>33909-3254</t>
  </si>
  <si>
    <t>Little Hampton</t>
  </si>
  <si>
    <t xml:space="preserve">3604 NE 22nd Ave </t>
  </si>
  <si>
    <t xml:space="preserve">5202 Marsh Mallow Trl  Fort Myers, FL 33905 </t>
  </si>
  <si>
    <t>Boettger</t>
  </si>
  <si>
    <t>19-43-24-c3-05622.0010</t>
  </si>
  <si>
    <t>Duncliffe</t>
  </si>
  <si>
    <t xml:space="preserve">1708 NE 7th Pl  Cape Coral, FL 33909 </t>
  </si>
  <si>
    <t xml:space="preserve">124 Utica Ave </t>
  </si>
  <si>
    <t>Mariana Park 1St Addn Pb 10 Pg 36 Pt Lot 9 N 125 Ft Of S 215 Ft</t>
  </si>
  <si>
    <t xml:space="preserve">1925 NE 33rd Ter </t>
  </si>
  <si>
    <t>Water Mill</t>
  </si>
  <si>
    <t xml:space="preserve">211 NE 12th Ct  Cape Coral, FL 33909 </t>
  </si>
  <si>
    <t xml:space="preserve">4842/48/50 Garcia Ave </t>
  </si>
  <si>
    <t>36-43-23-c2-02292.0240</t>
  </si>
  <si>
    <t>Matuschke</t>
  </si>
  <si>
    <t>Felicia Morales</t>
  </si>
  <si>
    <t>Patrick Shelton</t>
  </si>
  <si>
    <t xml:space="preserve">3101 NE 7th Ave  Cape Coral, FL 33909 </t>
  </si>
  <si>
    <t xml:space="preserve">2100 NE 7th Ave </t>
  </si>
  <si>
    <t xml:space="preserve">1907 NE 23rd Ave </t>
  </si>
  <si>
    <t>Josphina</t>
  </si>
  <si>
    <t>For Paul Morris Goodspeed Trust</t>
  </si>
  <si>
    <t xml:space="preserve">64 Glenroy Rd  London, ON N5z 4H4 </t>
  </si>
  <si>
    <t xml:space="preserve">3710 Kilarney St  Fort Myers, FL 33905 </t>
  </si>
  <si>
    <t>55075-1938</t>
  </si>
  <si>
    <t>33908-8269</t>
  </si>
  <si>
    <t xml:space="preserve">1130 Durden Pkwy </t>
  </si>
  <si>
    <t>Sainsurin</t>
  </si>
  <si>
    <t>For Bohne Family Realty Trust</t>
  </si>
  <si>
    <t>04074-8742</t>
  </si>
  <si>
    <t>Fonseca</t>
  </si>
  <si>
    <t xml:space="preserve">9503 San Marco Dr </t>
  </si>
  <si>
    <t xml:space="preserve">3831 Williamson Rd </t>
  </si>
  <si>
    <t xml:space="preserve">2029 NE 4th Pl  Cape Coral, FL 33909 </t>
  </si>
  <si>
    <t xml:space="preserve">3613 NE 18th Pl </t>
  </si>
  <si>
    <t>33909-7385</t>
  </si>
  <si>
    <t>Jorge Garcia</t>
  </si>
  <si>
    <t xml:space="preserve">1721 NE 15th Pl </t>
  </si>
  <si>
    <t>Michael &amp; Beverly Henderson</t>
  </si>
  <si>
    <t>Lake Of</t>
  </si>
  <si>
    <t xml:space="preserve">7442 S Village Dr </t>
  </si>
  <si>
    <t>Powers</t>
  </si>
  <si>
    <t>33909-6619</t>
  </si>
  <si>
    <t>Sudbury</t>
  </si>
  <si>
    <t xml:space="preserve">4421 Estates Rd  Davie, FL 33328-2501 </t>
  </si>
  <si>
    <t xml:space="preserve">1628 NE 27th Ter  Cape Coral, FL 33909 </t>
  </si>
  <si>
    <t>Luis Oliveros</t>
  </si>
  <si>
    <t xml:space="preserve">2236 Imperial Golf Course Blvd </t>
  </si>
  <si>
    <t>18040-1025</t>
  </si>
  <si>
    <t xml:space="preserve">632 W 200 N </t>
  </si>
  <si>
    <t xml:space="preserve">140 NE 51st St  Fort Lauderdale, FL 33334-1613 </t>
  </si>
  <si>
    <t>33905-4826</t>
  </si>
  <si>
    <t xml:space="preserve">12339 Johnson Rd </t>
  </si>
  <si>
    <t xml:space="preserve">5230 Pineland Daisy Trl  Fort Myers, FL 33905 </t>
  </si>
  <si>
    <t>34293-1903</t>
  </si>
  <si>
    <t xml:space="preserve">Calle Padres Constancio  Lima, PE </t>
  </si>
  <si>
    <t>Tuyet</t>
  </si>
  <si>
    <t xml:space="preserve">Po Box 873992 </t>
  </si>
  <si>
    <t>37212-2250</t>
  </si>
  <si>
    <t xml:space="preserve">2629 NE 20th Pl </t>
  </si>
  <si>
    <t xml:space="preserve">1819 NE 6th Ave  Cape Coral, FL 33909 </t>
  </si>
  <si>
    <t>33909-4712</t>
  </si>
  <si>
    <t>173rd</t>
  </si>
  <si>
    <t xml:space="preserve">1936 Kismet Pkwy E  Cape Coral, FL 33909 </t>
  </si>
  <si>
    <t>Cypress Trail Rv Resort Ph 3 As Desc In Inst# 2015000085552 Lot 67</t>
  </si>
  <si>
    <t>Seminole</t>
  </si>
  <si>
    <t xml:space="preserve">15837 SW 140th St </t>
  </si>
  <si>
    <t>Maria Sommo &amp; Christine Modica</t>
  </si>
  <si>
    <t xml:space="preserve">3722 NE 13th Ave  Cape Coral, FL 33909 </t>
  </si>
  <si>
    <t>Merced</t>
  </si>
  <si>
    <t>Northwood</t>
  </si>
  <si>
    <t xml:space="preserve">823 NE 11th Ter  Cape Coral, FL 33909 </t>
  </si>
  <si>
    <t>18-43-24-c3-05748.0100</t>
  </si>
  <si>
    <t xml:space="preserve">40 Calle 17  Medellin Antioqiua, CO </t>
  </si>
  <si>
    <t>Sava</t>
  </si>
  <si>
    <t>19333-1838</t>
  </si>
  <si>
    <t xml:space="preserve">15741 Cemetery Rd  Fort Myers, FL 33905 </t>
  </si>
  <si>
    <t>Cape Coral Unit 34 Blk 2463 Pb 16 Pg 81 Lots 10 + 11</t>
  </si>
  <si>
    <t>25-43-23-c2-02351.0400</t>
  </si>
  <si>
    <t>Sheppard</t>
  </si>
  <si>
    <t>Hu</t>
  </si>
  <si>
    <t xml:space="preserve">4027 NE 8th Pl  Cape Coral, FL 33909 </t>
  </si>
  <si>
    <t>Scoli</t>
  </si>
  <si>
    <t xml:space="preserve">5216 Marsh Mallow Trl </t>
  </si>
  <si>
    <t>Bonanni</t>
  </si>
  <si>
    <t>33440-5835</t>
  </si>
  <si>
    <t xml:space="preserve">376 Tremont Cir </t>
  </si>
  <si>
    <t>Bridgett</t>
  </si>
  <si>
    <t>31-43-24-c4-02105.0110</t>
  </si>
  <si>
    <t xml:space="preserve">455 NE 3rd Ave </t>
  </si>
  <si>
    <t>25-43-23-c4-02299.0010</t>
  </si>
  <si>
    <t>33909-1368</t>
  </si>
  <si>
    <t>06-46-24-15-00000.1740</t>
  </si>
  <si>
    <t>Cape Coral Unit 85 Blk 5637 Pb 24 Pg 51 Lots 30 + 31</t>
  </si>
  <si>
    <t xml:space="preserve">2127 Kismet Pkwy E  Cape Coral, FL 33909 </t>
  </si>
  <si>
    <t xml:space="preserve">PO Box 207001  New Haven, CT 06520-7001 </t>
  </si>
  <si>
    <t>PO Box 266</t>
  </si>
  <si>
    <t>33909-8843</t>
  </si>
  <si>
    <t xml:space="preserve">57 Mansion Ave  Yonkers, NY 10704-1158 </t>
  </si>
  <si>
    <t>Old Concord</t>
  </si>
  <si>
    <t>Cape Coral Unit 35 Blk 2410 Pb 16 Pg 110 Lots 46 Thru 48</t>
  </si>
  <si>
    <t>Cape Coral Unit 31 Blk 2099 Pb 14 Pg 160 Lots 22 Thru 24</t>
  </si>
  <si>
    <t xml:space="preserve">13458 Caribbean Blvd  Fort Myers, FL 33905 </t>
  </si>
  <si>
    <t>Cape Coral Unit 17 Blk 1525 Pb 14 Pg 32 Lots 67 + 68</t>
  </si>
  <si>
    <t>Cape Coral Unit 35 Blk.2368 Pb 16 Pg 101 Lots 1 + 2</t>
  </si>
  <si>
    <t>Newton Falls</t>
  </si>
  <si>
    <t>Olaya</t>
  </si>
  <si>
    <t xml:space="preserve">407 NE 25th Ave  Cape Coral, FL 33909 </t>
  </si>
  <si>
    <t xml:space="preserve">1108 NE 16th Ter </t>
  </si>
  <si>
    <t xml:space="preserve">12442 Dunraven Trl  Jacksonville, FL 32223-3526 </t>
  </si>
  <si>
    <t>Mill Plain</t>
  </si>
  <si>
    <t>Bilsky</t>
  </si>
  <si>
    <t xml:space="preserve">60 Distillerty Wharf </t>
  </si>
  <si>
    <t>Todd Scribner</t>
  </si>
  <si>
    <t xml:space="preserve">5918 Shell Ridge Dr </t>
  </si>
  <si>
    <t xml:space="preserve">509 N Montgomery St  Sedan, KS 67361-1025 </t>
  </si>
  <si>
    <t>07726-9583</t>
  </si>
  <si>
    <t>89148-5006</t>
  </si>
  <si>
    <t>Lehigh Acres Unit 13 Blk 75 Pb 26 Pg 18 Lot 17</t>
  </si>
  <si>
    <t>Christian Nassal</t>
  </si>
  <si>
    <t>Jean &amp; Laurina Bosvet</t>
  </si>
  <si>
    <t xml:space="preserve">309 NE 17th St  Cape Coral, FL 33909 </t>
  </si>
  <si>
    <t xml:space="preserve">1516 NE 41st St  Cape Coral, FL 33909 </t>
  </si>
  <si>
    <t>11-44-25-06-0000d.0820</t>
  </si>
  <si>
    <t xml:space="preserve">3014 SE 18th Pl </t>
  </si>
  <si>
    <t>Anette Hornung &amp; Karlheinz Horhung</t>
  </si>
  <si>
    <t>33612-3313</t>
  </si>
  <si>
    <t xml:space="preserve">8561 Eagle Run Dr  Boca Raton, FL 33434-5431 </t>
  </si>
  <si>
    <t xml:space="preserve">2042 NE 33rd Ln  Cape Coral, FL 33909 </t>
  </si>
  <si>
    <t xml:space="preserve">7899 W 16th Ave  Hialeah, FL 33014-3343 </t>
  </si>
  <si>
    <t>Roger Craven</t>
  </si>
  <si>
    <t>Edward Mcdonnell &amp; Mc For</t>
  </si>
  <si>
    <t>For Carol A Tilkens Trust</t>
  </si>
  <si>
    <t xml:space="preserve">10205 Gretchen Ct  Manassas, VA 20110-6012 </t>
  </si>
  <si>
    <t xml:space="preserve">3847 Highlight St </t>
  </si>
  <si>
    <t xml:space="preserve">1232 Route 20  West Lebanon, NY 12195 </t>
  </si>
  <si>
    <t>Cape Coral Unit 36 Blk 2535 Pb 16 Pg 118 Lots 1 + 2</t>
  </si>
  <si>
    <t>Melba</t>
  </si>
  <si>
    <t>08-45-24-c4-00367.0320</t>
  </si>
  <si>
    <t>18-43-24-c4-05683.0090</t>
  </si>
  <si>
    <t>Cypress Trail Rv Resort Phase 2-A As Desc In Inst# 2014000026506 Lot 250</t>
  </si>
  <si>
    <t xml:space="preserve">5871 Burrwood Ct  Fort Myers, FL 33905 </t>
  </si>
  <si>
    <t>20-44-26-00-00007.0000</t>
  </si>
  <si>
    <t xml:space="preserve">28 Avenue Amans Rodat </t>
  </si>
  <si>
    <t xml:space="preserve">4821 Marque Dr  New Orleans, LA 70127-3442 </t>
  </si>
  <si>
    <t>Knutti</t>
  </si>
  <si>
    <t>33125-2849</t>
  </si>
  <si>
    <t xml:space="preserve">2832 NE 2nd Ave  Cape Coral, FL 33909 </t>
  </si>
  <si>
    <t xml:space="preserve">1640 County Highway 42 </t>
  </si>
  <si>
    <t>23602-9088</t>
  </si>
  <si>
    <t>Russo</t>
  </si>
  <si>
    <t xml:space="preserve">133 S Church St  Woodstock, VA 22664-1718 </t>
  </si>
  <si>
    <t>Armas</t>
  </si>
  <si>
    <t>33909-2826</t>
  </si>
  <si>
    <t>03-44-26-12-00060.0190</t>
  </si>
  <si>
    <t>Li</t>
  </si>
  <si>
    <t xml:space="preserve">3354 SE 16th Pl  Cape Coral, FL 33904 </t>
  </si>
  <si>
    <t>33908-8215</t>
  </si>
  <si>
    <t xml:space="preserve">4 Boxwood Cir </t>
  </si>
  <si>
    <t xml:space="preserve">2010 NE 9th Ave </t>
  </si>
  <si>
    <t xml:space="preserve">909 NE Juanita Pl </t>
  </si>
  <si>
    <t xml:space="preserve">2100 NE 1st Ave </t>
  </si>
  <si>
    <t xml:space="preserve">2911 Gable Landing Ln </t>
  </si>
  <si>
    <t>Leesport</t>
  </si>
  <si>
    <t>Horizon</t>
  </si>
  <si>
    <t>28144-5712</t>
  </si>
  <si>
    <t>29-43-26-06-00068.0160</t>
  </si>
  <si>
    <t>Robert &amp; E Hackett</t>
  </si>
  <si>
    <t xml:space="preserve">4409 Reaves Rd </t>
  </si>
  <si>
    <t>Khairulla &amp; Feeza Khan</t>
  </si>
  <si>
    <t>03-44-26-02-00008.0020</t>
  </si>
  <si>
    <t xml:space="preserve">1510 NE 21st Ave </t>
  </si>
  <si>
    <t xml:space="preserve">1221 Richfield Ct </t>
  </si>
  <si>
    <t xml:space="preserve">18 Trottenstrasse </t>
  </si>
  <si>
    <t>03-44-25-03-0000c.0120</t>
  </si>
  <si>
    <t xml:space="preserve">PO Box 667  Langley, WA 98260 </t>
  </si>
  <si>
    <t>33909-7331</t>
  </si>
  <si>
    <t>29-43-24-c3-02287.0370</t>
  </si>
  <si>
    <t>Clara Madrid &amp; Carmenza Giraldo</t>
  </si>
  <si>
    <t xml:space="preserve">110 Gardiner Rd </t>
  </si>
  <si>
    <t>20-43-24-c2-05668.0220</t>
  </si>
  <si>
    <t xml:space="preserve">2100 Andalusia Blvd  Cape Coral, FL 33909 </t>
  </si>
  <si>
    <t xml:space="preserve">11856 Big Canoe  Big Canoe, GA 30143-5150 </t>
  </si>
  <si>
    <t xml:space="preserve">539 Retunda Pkwy W </t>
  </si>
  <si>
    <t>Cape Coral Unit 32 Blk.2103 Pb 16 Pg 5 Lots 33 + 34</t>
  </si>
  <si>
    <t>Todd &amp; Charlotte Hines</t>
  </si>
  <si>
    <t xml:space="preserve">25810 Hull Prairie Rd  Perrysburg, OH 43551-9781 </t>
  </si>
  <si>
    <t>16-44-26-07-00018.0060</t>
  </si>
  <si>
    <t>Somerset</t>
  </si>
  <si>
    <t>33909-1118</t>
  </si>
  <si>
    <t>Rajendra Pershadsingh</t>
  </si>
  <si>
    <t>33904-3367</t>
  </si>
  <si>
    <t>Maverick</t>
  </si>
  <si>
    <t>Beatriz Brykman</t>
  </si>
  <si>
    <t xml:space="preserve">1065 Washington Dr </t>
  </si>
  <si>
    <t>42701-6465</t>
  </si>
  <si>
    <t xml:space="preserve">4131 NE 21st Pl  Cape Coral, FL 33909 </t>
  </si>
  <si>
    <t>Charles Brown</t>
  </si>
  <si>
    <t xml:space="preserve">919 NE 23rd Ter </t>
  </si>
  <si>
    <t>Cape Coral Unit 87 Blk 5748 Pb 24 Pg 70 Lots 26 + 27</t>
  </si>
  <si>
    <t>Vigne</t>
  </si>
  <si>
    <t>31-43-24-c1-02172.0210</t>
  </si>
  <si>
    <t xml:space="preserve">1561 Glen Ln </t>
  </si>
  <si>
    <t>Jackie</t>
  </si>
  <si>
    <t>32-43-24-c1-02244.0110</t>
  </si>
  <si>
    <t>Urbino Julia Tr</t>
  </si>
  <si>
    <t>Cape Coral Unit 87 Blk 5750 Pb 24 Pg 68 Lots 45 + 46</t>
  </si>
  <si>
    <t>Cape Coral Unit 87 Blk 5726 Pb 24 Pg 85 Lot 26</t>
  </si>
  <si>
    <t>18-43-24-c4-05698.0150</t>
  </si>
  <si>
    <t>11566-2607</t>
  </si>
  <si>
    <t>Nassau</t>
  </si>
  <si>
    <t xml:space="preserve">2204 Havana Ave </t>
  </si>
  <si>
    <t>Jason</t>
  </si>
  <si>
    <t xml:space="preserve">4217 NE 20th Ct </t>
  </si>
  <si>
    <t>Pickering</t>
  </si>
  <si>
    <t xml:space="preserve">1403 SE 32nd Ter  Cape Coral, FL 33904 </t>
  </si>
  <si>
    <t xml:space="preserve">12252 Edgewater Dr </t>
  </si>
  <si>
    <t>Cape Coral Unit 84 Blk 5587 Pb 24 Pg 48 Lot 48</t>
  </si>
  <si>
    <t xml:space="preserve">6141 Higgins Ave  Fort Myers, FL 33905 </t>
  </si>
  <si>
    <t xml:space="preserve">13704 169th St </t>
  </si>
  <si>
    <t>Elaine &amp; For Cardin</t>
  </si>
  <si>
    <t xml:space="preserve">PO Box 52033  Sarasota, FL 34232 </t>
  </si>
  <si>
    <t>Cape Coral Unit 33 Blk.2217 Pb 16 Pg 43 Lots 47 + 48</t>
  </si>
  <si>
    <t>Lionel</t>
  </si>
  <si>
    <t xml:space="preserve">303 SE 27th St </t>
  </si>
  <si>
    <t>Varner Emma H Tr</t>
  </si>
  <si>
    <t xml:space="preserve">1313 NE 12th Ave  Cape Coral, FL 33909 </t>
  </si>
  <si>
    <t xml:space="preserve">PO Box 621  Winchester, NH 03470 </t>
  </si>
  <si>
    <t>34-43-24-01-00036.0110</t>
  </si>
  <si>
    <t>Cypress Woods Rv Resort Unit 4 Pb 79 Pgs 68-71 Blk D Lot 3</t>
  </si>
  <si>
    <t xml:space="preserve">4320 E 75th St </t>
  </si>
  <si>
    <t>06-44-24-c4-02040.0510</t>
  </si>
  <si>
    <t xml:space="preserve">1106 NE 39th St </t>
  </si>
  <si>
    <t>11710-5012</t>
  </si>
  <si>
    <t xml:space="preserve">2084 Harrison St  Petaluma, CA 94954-3860 </t>
  </si>
  <si>
    <t>Chauffours Abymes</t>
  </si>
  <si>
    <t>Hummelstown</t>
  </si>
  <si>
    <t xml:space="preserve">121 NE 20th Pl  Cape Coral, FL 33909 </t>
  </si>
  <si>
    <t>Soto</t>
  </si>
  <si>
    <t>Cape Coral Unit 36 Part 1 Blk 2546 Pb 23 Pg 94 Lots 3 + 4</t>
  </si>
  <si>
    <t xml:space="preserve">7121 E Arkansas Ave  Denver, CO 80224-2038 </t>
  </si>
  <si>
    <t>Hue</t>
  </si>
  <si>
    <t xml:space="preserve">4979 Cotton Rd  Silver Springs, NY 14550-9748 </t>
  </si>
  <si>
    <t>Villa Carolina</t>
  </si>
  <si>
    <t>33905-8614</t>
  </si>
  <si>
    <t>Route De Grenade</t>
  </si>
  <si>
    <t>11691-1118</t>
  </si>
  <si>
    <t xml:space="preserve">7864 NW 200th St </t>
  </si>
  <si>
    <t>46952-1278</t>
  </si>
  <si>
    <t xml:space="preserve">6106 Potomac Enclave Dr </t>
  </si>
  <si>
    <t xml:space="preserve">1104 NE 15th Ln </t>
  </si>
  <si>
    <t>25404-7011</t>
  </si>
  <si>
    <t>Oak Forest</t>
  </si>
  <si>
    <t>32163-5470</t>
  </si>
  <si>
    <t xml:space="preserve">616 Deer Creek North Shore Dr  Deerfield Beach, FL 33442-8463 </t>
  </si>
  <si>
    <t>Lincoln</t>
  </si>
  <si>
    <t xml:space="preserve">143 Myrtle Rd </t>
  </si>
  <si>
    <t>Cortland</t>
  </si>
  <si>
    <t>16-44-25-p1-0090b.0100</t>
  </si>
  <si>
    <t>Kingsbridge Garden</t>
  </si>
  <si>
    <t xml:space="preserve">30 Lucy Ct </t>
  </si>
  <si>
    <t>North Salt Lake</t>
  </si>
  <si>
    <t xml:space="preserve">2117 NE 33rd St  Cape Coral, FL 33909 </t>
  </si>
  <si>
    <t xml:space="preserve">1637 Morning Glory Ln #42 </t>
  </si>
  <si>
    <t>Kai</t>
  </si>
  <si>
    <t xml:space="preserve">4232 NE 20th Pl </t>
  </si>
  <si>
    <t>03-44-26-01-00004.0140</t>
  </si>
  <si>
    <t xml:space="preserve">12824 Buckhorn Creek St  Parker, CO 80134-6635 </t>
  </si>
  <si>
    <t>Ronson</t>
  </si>
  <si>
    <t>Santaquin</t>
  </si>
  <si>
    <t>33173-4060</t>
  </si>
  <si>
    <t>Winchester Center</t>
  </si>
  <si>
    <t xml:space="preserve">2505 169th St  Flushing, NY 11358-1113 </t>
  </si>
  <si>
    <t>Lehigh Acres Unit 6 Blk 27 Pb 26 Pg 8 Lot 3</t>
  </si>
  <si>
    <t xml:space="preserve">5696 Brightwood Dr  Fort Myers, FL 33905 </t>
  </si>
  <si>
    <t>44092-1220</t>
  </si>
  <si>
    <t>Aniello</t>
  </si>
  <si>
    <t>06-44-24-c2-02075.0300</t>
  </si>
  <si>
    <t>Marathon</t>
  </si>
  <si>
    <t xml:space="preserve">1213 14th St #197 </t>
  </si>
  <si>
    <t>For Steiner Family Trust</t>
  </si>
  <si>
    <t>33903-3513</t>
  </si>
  <si>
    <t xml:space="preserve">329 NE 26th Ter </t>
  </si>
  <si>
    <t>33909-5445</t>
  </si>
  <si>
    <t xml:space="preserve">2128 NE 28th St  Cape Coral, FL 33909 </t>
  </si>
  <si>
    <t xml:space="preserve">109 Lorah Ln  Junction City, KY 40440-9400 </t>
  </si>
  <si>
    <t>29-43-24-c3-02277.0110</t>
  </si>
  <si>
    <t xml:space="preserve">799 Overriver Dr  North Fort Myers, FL 33903 </t>
  </si>
  <si>
    <t>Cobbles</t>
  </si>
  <si>
    <t xml:space="preserve">3718 NE 17th Ave  Cape Coral, FL 33909 </t>
  </si>
  <si>
    <t>19-43-24-c4-05563.0570</t>
  </si>
  <si>
    <t xml:space="preserve">37w192 Win Haven Dr  Elgin, IL 60124-4892 </t>
  </si>
  <si>
    <t>Toler</t>
  </si>
  <si>
    <t>Cape Coral Unit 35 Blk 2409 Pb 16 Pg 110 Lots 29 + 30</t>
  </si>
  <si>
    <t>33012-7393</t>
  </si>
  <si>
    <t>36-43-23-c4-02513.0010</t>
  </si>
  <si>
    <t xml:space="preserve">7 Corners Ctr #223 </t>
  </si>
  <si>
    <t xml:space="preserve">120 St Amable Rang </t>
  </si>
  <si>
    <t>T T &amp; N Raptopulos</t>
  </si>
  <si>
    <t>Lakewood</t>
  </si>
  <si>
    <t>Sour Lake</t>
  </si>
  <si>
    <t>Cape Coral Unit 31 Blk.2068 Pb 14 Pg 163 Lots 61 + 62</t>
  </si>
  <si>
    <t>Falcione</t>
  </si>
  <si>
    <t>Cape Coral Unit 47 Pt 2 Blk 3528 Pb 23 Pg 117 Lots 9 + 10</t>
  </si>
  <si>
    <t>Cypress Trail Rv Resort Phase 4-C Block B Lot 455 As Desc In Inst 2019000042424</t>
  </si>
  <si>
    <t>Bhoorasingh</t>
  </si>
  <si>
    <t>Manheim</t>
  </si>
  <si>
    <t>33909-6418</t>
  </si>
  <si>
    <t>Sheraton</t>
  </si>
  <si>
    <t>16-44-26-06-00013.0130</t>
  </si>
  <si>
    <t>19-43-24-c4-05558.0050</t>
  </si>
  <si>
    <t xml:space="preserve">16595 De La </t>
  </si>
  <si>
    <t>Argese</t>
  </si>
  <si>
    <t xml:space="preserve">2428 NE 22nd Pl </t>
  </si>
  <si>
    <t xml:space="preserve">3132 NE 13th Pl  Cape Coral, FL 33909 </t>
  </si>
  <si>
    <t xml:space="preserve">3628 NE 17th Pl </t>
  </si>
  <si>
    <t>Mary Meadows</t>
  </si>
  <si>
    <t>William Grooms &amp; Laura Murray</t>
  </si>
  <si>
    <t xml:space="preserve">2 Rue De La Carmerie  Dampierre En Burly, FR </t>
  </si>
  <si>
    <t xml:space="preserve">11801 NW 27th St </t>
  </si>
  <si>
    <t>33909-4511</t>
  </si>
  <si>
    <t>33909-6129</t>
  </si>
  <si>
    <t>Bonalde</t>
  </si>
  <si>
    <t>Johnny &amp; Allie Wagster</t>
  </si>
  <si>
    <t>77584-5501</t>
  </si>
  <si>
    <t>20-43-24-c4-05633.0190</t>
  </si>
  <si>
    <t>White Clover Ben</t>
  </si>
  <si>
    <t xml:space="preserve">113 Prospect Hill Rd </t>
  </si>
  <si>
    <t xml:space="preserve">5811 Pathwood Ct  Fort Myers, FL 33905 </t>
  </si>
  <si>
    <t>Charles Lima</t>
  </si>
  <si>
    <t>33909-4222</t>
  </si>
  <si>
    <t>20-43-24-c2-05666.0130</t>
  </si>
  <si>
    <t>Buckingham Pk Re Blk B U-5 Blk 24 Pb 27 Pg 193 Lot 27</t>
  </si>
  <si>
    <t xml:space="preserve">237 NE 17th Pl </t>
  </si>
  <si>
    <t xml:space="preserve">924 NE 1st Pl  Cape Coral, FL 33909 </t>
  </si>
  <si>
    <t xml:space="preserve">3727 Teakwood St </t>
  </si>
  <si>
    <t xml:space="preserve">6121 Gallegos Dr </t>
  </si>
  <si>
    <t>Keadey</t>
  </si>
  <si>
    <t xml:space="preserve">623 Indies Rd </t>
  </si>
  <si>
    <t xml:space="preserve">1223 W 69th Ter  Kansas City, MO 64113-2054 </t>
  </si>
  <si>
    <t xml:space="preserve">6948 W Jennifer Dr </t>
  </si>
  <si>
    <t xml:space="preserve">2102 NE 1st Pl  Cape Coral, FL 33909 </t>
  </si>
  <si>
    <t xml:space="preserve">1325 Raymond Ave  Glendale, CA 91201-1439 </t>
  </si>
  <si>
    <t>Cape Coral Unit 33 Blk 2233 Pb 16 Pg 53 Lots 37 + 38</t>
  </si>
  <si>
    <t>25-43-23-c3-02345.0500</t>
  </si>
  <si>
    <t>Geary &amp; Lori Day</t>
  </si>
  <si>
    <t>Michelle Kritzinger</t>
  </si>
  <si>
    <t>11-44-25-l1-13000.0830</t>
  </si>
  <si>
    <t>Shannon</t>
  </si>
  <si>
    <t>33905-2140</t>
  </si>
  <si>
    <t xml:space="preserve">2302 NE 24th Ter </t>
  </si>
  <si>
    <t>55346-4412</t>
  </si>
  <si>
    <t xml:space="preserve">4392 W 117th Way #1, Westminster, CO 80031-5104 </t>
  </si>
  <si>
    <t>Newton Center</t>
  </si>
  <si>
    <t xml:space="preserve">1829 NE 21st St </t>
  </si>
  <si>
    <t xml:space="preserve">1251 NE 40th Ter  Cape Coral, FL 33909 </t>
  </si>
  <si>
    <t xml:space="preserve">2138 NE 20th Ter </t>
  </si>
  <si>
    <t>Cape Coral Unit 26 Blk 869 Pb 14 Pg 131 Lots 19 + 20</t>
  </si>
  <si>
    <t xml:space="preserve">15431 S Pratt Ln  Plainfield, IL 60544-2155 </t>
  </si>
  <si>
    <t>Mera</t>
  </si>
  <si>
    <t>Jennie Vu</t>
  </si>
  <si>
    <t>11236-3927</t>
  </si>
  <si>
    <t xml:space="preserve">756 Marina Rd  Murphysboro, IL 62966-4718 </t>
  </si>
  <si>
    <t>Cypress Woods Rv Resort Un 3 Desc In Pb 72 Pgs 92-95 Blk C Lot 24</t>
  </si>
  <si>
    <t xml:space="preserve">6358 Hitchin Post Way  Delray Beach, FL 33484-3575 </t>
  </si>
  <si>
    <t xml:space="preserve">4801 Mcgregor Blvd </t>
  </si>
  <si>
    <t xml:space="preserve">6421 Castlewood Cir  Fort Myers, FL 33905 </t>
  </si>
  <si>
    <t>33909-1941</t>
  </si>
  <si>
    <t>Faktorovich</t>
  </si>
  <si>
    <t>B047</t>
  </si>
  <si>
    <t>Cypress Trail Rv Resort Phase 2-B As Desc In Inst# 2015000013050 Lot 372</t>
  </si>
  <si>
    <t>Lehigh Acres Unit 11 Blk 56 Pb 26 Pg 14 Lot 23</t>
  </si>
  <si>
    <t>Holiday Travel Park Rv Condo Ph 1 Or 1557 Pg 1583 Unit 217</t>
  </si>
  <si>
    <t>KY</t>
  </si>
  <si>
    <t>Bexley</t>
  </si>
  <si>
    <t xml:space="preserve">14800 Maydale Ct </t>
  </si>
  <si>
    <t xml:space="preserve">3350 NE 13th Pl </t>
  </si>
  <si>
    <t>10453-5031</t>
  </si>
  <si>
    <t xml:space="preserve">5918 Burrwood Ct </t>
  </si>
  <si>
    <t>Schuerger Trust</t>
  </si>
  <si>
    <t>John Leon</t>
  </si>
  <si>
    <t>53rd</t>
  </si>
  <si>
    <t xml:space="preserve">2985 Ribbon Ct </t>
  </si>
  <si>
    <t xml:space="preserve">11650 Ariana Dr  Fort Myers, FL 33908 </t>
  </si>
  <si>
    <t>30044-3434</t>
  </si>
  <si>
    <t>Devi Yetcherla</t>
  </si>
  <si>
    <t>08-44-24-c3-01525.0350</t>
  </si>
  <si>
    <t>11-44-25-06-0000d.0330</t>
  </si>
  <si>
    <t>Annapolis Neck</t>
  </si>
  <si>
    <t xml:space="preserve">5234 Santa Rosa Ct </t>
  </si>
  <si>
    <t xml:space="preserve">22941 SW 56th Ave  Boca Raton, FL 33433-6236 </t>
  </si>
  <si>
    <t xml:space="preserve">1133 Roland St  Bellingham, WA 98229-2409 </t>
  </si>
  <si>
    <t>33909-3391</t>
  </si>
  <si>
    <t xml:space="preserve">9766 Ross Ave </t>
  </si>
  <si>
    <t xml:space="preserve">531 SE 30th Ter </t>
  </si>
  <si>
    <t>Cape Coral Unit 34 Blk 2452 Pb 16 Pg 86 Lots 12 + 13</t>
  </si>
  <si>
    <t>32128-3772</t>
  </si>
  <si>
    <t xml:space="preserve">3513 NE 12th Ave </t>
  </si>
  <si>
    <t xml:space="preserve">313 NE 10th Ter </t>
  </si>
  <si>
    <t xml:space="preserve">13223/225 1st St </t>
  </si>
  <si>
    <t xml:space="preserve">6015 Lindbrook Ave  Fort Myers, FL 33905 </t>
  </si>
  <si>
    <t>Le Nguyen</t>
  </si>
  <si>
    <t xml:space="preserve">22937 185th St NW </t>
  </si>
  <si>
    <t>Cape Coral Unit 32 Blk.2132 Pb 16 Pg 13 Lots 18 + 19</t>
  </si>
  <si>
    <t xml:space="preserve">1725 NE 12th St </t>
  </si>
  <si>
    <t xml:space="preserve">561 Jigok-Dong Giheung-Gu  Gyeonggi Do, KR 00446 </t>
  </si>
  <si>
    <t xml:space="preserve">1263 Little Whaleneck Rd  Merrick, NY 11566-1617 </t>
  </si>
  <si>
    <t>R037</t>
  </si>
  <si>
    <t>Kalman &amp; Iren Fodor</t>
  </si>
  <si>
    <t xml:space="preserve">205 Park Shore Dr E  Columbia, SC 29223-6018 </t>
  </si>
  <si>
    <t>Port Orange</t>
  </si>
  <si>
    <t xml:space="preserve">149 Dublin Dr  Lake Mary, FL 32746-3320 </t>
  </si>
  <si>
    <t>16105-4504</t>
  </si>
  <si>
    <t xml:space="preserve">13639 78th St NE </t>
  </si>
  <si>
    <t xml:space="preserve">216 Susan Ln </t>
  </si>
  <si>
    <t xml:space="preserve">607 Marcy Ave </t>
  </si>
  <si>
    <t xml:space="preserve">2615 NE 19th Ave  Cape Coral, FL 33909 </t>
  </si>
  <si>
    <t>PO Box 470229</t>
  </si>
  <si>
    <t>Cape Coral Unit 33 Blk 2178 Pb 16 Pg 53 Lots 28 Thru 30</t>
  </si>
  <si>
    <t xml:space="preserve">Im Wiesengrund 29 A  Muehltal, DE 64367 </t>
  </si>
  <si>
    <t>Craig Nevins &amp; Mary Cannon</t>
  </si>
  <si>
    <t>Garrett King</t>
  </si>
  <si>
    <t>Cape Coral Unit 31 Blk 2069 Pb 14 Pg 160 Lots 54 + 55</t>
  </si>
  <si>
    <t>33908-4760</t>
  </si>
  <si>
    <t xml:space="preserve">13b # 161-70 House </t>
  </si>
  <si>
    <t>Dawes</t>
  </si>
  <si>
    <t>11208-3515</t>
  </si>
  <si>
    <t>Cape Coral Unit 31 Blk 2059 Pb 14 Pg 159 Lots 33 + 34</t>
  </si>
  <si>
    <t>10956-2465</t>
  </si>
  <si>
    <t xml:space="preserve">805 North St </t>
  </si>
  <si>
    <t>Paul &amp; Rhonda Bennick</t>
  </si>
  <si>
    <t xml:space="preserve">528 Canal Way </t>
  </si>
  <si>
    <t>USA</t>
  </si>
  <si>
    <t xml:space="preserve">2244 Wiseman Crt  Mississauga, ON L5j 1P2 </t>
  </si>
  <si>
    <t>Hammocks</t>
  </si>
  <si>
    <t>Duenas</t>
  </si>
  <si>
    <t>Michael &amp; Lori Gosselin</t>
  </si>
  <si>
    <t>19-43-24-c4-05554.0110</t>
  </si>
  <si>
    <t>Argea Velasco &amp; Miguelito Salada</t>
  </si>
  <si>
    <t xml:space="preserve">2329 S 4th St #42 </t>
  </si>
  <si>
    <t xml:space="preserve">3318 NE 8th Pl </t>
  </si>
  <si>
    <t xml:space="preserve">12442 Dunraven Trl </t>
  </si>
  <si>
    <t xml:space="preserve">65 Huntingdale Blvd #905 </t>
  </si>
  <si>
    <t xml:space="preserve">2105 NE 16th Pl  Cape Coral, FL 33909 </t>
  </si>
  <si>
    <t>Lorain</t>
  </si>
  <si>
    <t>Uguz</t>
  </si>
  <si>
    <t>34119-2002</t>
  </si>
  <si>
    <t>Cape Coral Unit 32 Blk 2140 Pb 16 Pg 4 Lots 18 + 19</t>
  </si>
  <si>
    <t>17-43-24-c4-05764.0310</t>
  </si>
  <si>
    <t>Cape Coral Unit 32 Blk 2123 Pb 16 Pg 7 Lots 41 + 42</t>
  </si>
  <si>
    <t>13-45-23-c4-00126.0310</t>
  </si>
  <si>
    <t>Hoover</t>
  </si>
  <si>
    <t>08-44-24-c3-01509.0740</t>
  </si>
  <si>
    <t>31-43-24-c3-02122.0370</t>
  </si>
  <si>
    <t>Willilam</t>
  </si>
  <si>
    <t>33909-3309</t>
  </si>
  <si>
    <t xml:space="preserve">2742 NE 2nd Pl  Cape Coral, FL 33909 </t>
  </si>
  <si>
    <t>Avi</t>
  </si>
  <si>
    <t>33909-6467</t>
  </si>
  <si>
    <t>33314-4609</t>
  </si>
  <si>
    <t xml:space="preserve">2019 NE 33rd Ter </t>
  </si>
  <si>
    <t>Colony Oaks</t>
  </si>
  <si>
    <t xml:space="preserve">10240 Meadow Beauty Trl  Fort Myers, FL 33905 </t>
  </si>
  <si>
    <t>the Falls</t>
  </si>
  <si>
    <t xml:space="preserve">8009 Regent </t>
  </si>
  <si>
    <t>11-44-25-l1-13000.3160</t>
  </si>
  <si>
    <t xml:space="preserve">14060 Barkwood St </t>
  </si>
  <si>
    <t xml:space="preserve">927 NE 34th St  Cape Coral, FL 33909 </t>
  </si>
  <si>
    <t xml:space="preserve">1809 NE 36th Ln </t>
  </si>
  <si>
    <t>33909-4560</t>
  </si>
  <si>
    <t>11-44-25-05-0000c.1220</t>
  </si>
  <si>
    <t xml:space="preserve">161 Perfect Dr  Daytona Beach, FL 32124-2020 </t>
  </si>
  <si>
    <t>Clb</t>
  </si>
  <si>
    <t xml:space="preserve">191 Mastic Blvd </t>
  </si>
  <si>
    <t>Barybkina</t>
  </si>
  <si>
    <t>Cape Coral Unit 36 Blk 2535 Pb 16 Pg 118 Lots 10 + 11</t>
  </si>
  <si>
    <t>33905-8702</t>
  </si>
  <si>
    <t xml:space="preserve">Neu Heimat #20, Wheatland, MO 65779 </t>
  </si>
  <si>
    <t xml:space="preserve">25053 Cavalry Crossing Ln  Lawrenceburg, IN 47025-8589 </t>
  </si>
  <si>
    <t xml:space="preserve">16330 Lapwing Ln  Fort Myers, FL 33908 </t>
  </si>
  <si>
    <t>Janice Messenger</t>
  </si>
  <si>
    <t>Kevin Shannon</t>
  </si>
  <si>
    <t>60193-2834</t>
  </si>
  <si>
    <t>Maria Spangaro</t>
  </si>
  <si>
    <t>Oshotse</t>
  </si>
  <si>
    <t>Zeske</t>
  </si>
  <si>
    <t xml:space="preserve">1000 Gore St W </t>
  </si>
  <si>
    <t>Stoffers</t>
  </si>
  <si>
    <t>Mary Lynn Staley &amp; Warren Staley</t>
  </si>
  <si>
    <t>Mingo Junction</t>
  </si>
  <si>
    <t>De-Shalit</t>
  </si>
  <si>
    <t>Joao</t>
  </si>
  <si>
    <t xml:space="preserve">34510 Joel St  Chesterfield, MI 48047-2053 </t>
  </si>
  <si>
    <t xml:space="preserve">13440 Orange Grove Blvd  West Palm Beach, FL 33411-8480 </t>
  </si>
  <si>
    <t>60532-1551</t>
  </si>
  <si>
    <t>06906-2405</t>
  </si>
  <si>
    <t xml:space="preserve">27 Exchange St </t>
  </si>
  <si>
    <t>Cape Coral Unit 33 Blk.2226 Pb 16 Pg 46 Lots 43 + 44</t>
  </si>
  <si>
    <t>20-43-24-c4-05630.0050</t>
  </si>
  <si>
    <t>Diane Ronson</t>
  </si>
  <si>
    <t>11694-2079</t>
  </si>
  <si>
    <t>Jose Carcamo</t>
  </si>
  <si>
    <t xml:space="preserve">54398 White Spruce Ln </t>
  </si>
  <si>
    <t>Mcginn</t>
  </si>
  <si>
    <t>Romina</t>
  </si>
  <si>
    <t xml:space="preserve">2116 NE 16th Pl </t>
  </si>
  <si>
    <t xml:space="preserve">172 High Clear Dr  Stamford, CT 06905-3107 </t>
  </si>
  <si>
    <t>53092-5850</t>
  </si>
  <si>
    <t>Cape Coral Unit 31 Blk 2089 Pb 14 Pg 162 Lots 34 + 35</t>
  </si>
  <si>
    <t>Tarrytown</t>
  </si>
  <si>
    <t>25-43-23-c3-02174.0190</t>
  </si>
  <si>
    <t>Owen</t>
  </si>
  <si>
    <t xml:space="preserve">790 111th Ave N  Naples, FL 34108-1828 </t>
  </si>
  <si>
    <t>Norman</t>
  </si>
  <si>
    <t>33903-3312</t>
  </si>
  <si>
    <t>20659-2967</t>
  </si>
  <si>
    <t>Coneflower</t>
  </si>
  <si>
    <t>32-43-24-c2-02239.0010</t>
  </si>
  <si>
    <t xml:space="preserve">1853 NE 22nd Ter </t>
  </si>
  <si>
    <t>Pansy Crosley</t>
  </si>
  <si>
    <t>33909-5244</t>
  </si>
  <si>
    <t xml:space="preserve">1213 S Stiles St </t>
  </si>
  <si>
    <t>Citation</t>
  </si>
  <si>
    <t>Palmona Park Unit 1 Blk 35 Pb 7 Pg 54 Lots 15 Thru 17</t>
  </si>
  <si>
    <t>06-46-24-15-00000.2850</t>
  </si>
  <si>
    <t>Palm Beach</t>
  </si>
  <si>
    <t xml:space="preserve">11117 Van Wyck Expy </t>
  </si>
  <si>
    <t>For Danuta Madeyski Trust</t>
  </si>
  <si>
    <t xml:space="preserve">1076 Remsen Ave  Brooklyn, NY 11236-3452 </t>
  </si>
  <si>
    <t>Eldread &amp; Yvonne Cudjoe</t>
  </si>
  <si>
    <t>20906-2307</t>
  </si>
  <si>
    <t xml:space="preserve">3843 Highlight St  Fort Myers, FL 33905 </t>
  </si>
  <si>
    <t>Cape Coral Unit 35 Blk 2372 Pb 16 Pg 101 Lots 31 Thru 33</t>
  </si>
  <si>
    <t>36-43-23-c4-02475.0290</t>
  </si>
  <si>
    <t>Cape Coral Unit 85 Blk 5633 Pb 24 Pg 51 Lots 58 + 59</t>
  </si>
  <si>
    <t>31-43-24-c2-02138.0290</t>
  </si>
  <si>
    <t xml:space="preserve">569 Winter St </t>
  </si>
  <si>
    <t>Sebastian &amp; Joseph Thyiprambil</t>
  </si>
  <si>
    <t>03-44-26-04-00021.0100</t>
  </si>
  <si>
    <t>Lynnea</t>
  </si>
  <si>
    <t>Lehigh Acres Unit 8 Blk 35 Pb 26 Pg 10 Lot 20</t>
  </si>
  <si>
    <t xml:space="preserve">1904 NE 21st Pl </t>
  </si>
  <si>
    <t xml:space="preserve">1021 Ajay Dr  South Park, PA 15129-9560 </t>
  </si>
  <si>
    <t>08-44-24-c2-01522.0270</t>
  </si>
  <si>
    <t>08-44-24-c4-01534.0260</t>
  </si>
  <si>
    <t>54154-9676</t>
  </si>
  <si>
    <t>Cape Coral Unit 34 Blk 2450 Pb 16 Pg 84 Lots 61 + 62</t>
  </si>
  <si>
    <t>Cape Coral Unit 32 Blk 2143 Pb 16 Pg 3 Lots 8 + 9</t>
  </si>
  <si>
    <t>59102-2338</t>
  </si>
  <si>
    <t>Raymond &amp; Kirsten Hiltz</t>
  </si>
  <si>
    <t>33905-3162</t>
  </si>
  <si>
    <t xml:space="preserve">1041 S Collier Blvd #301, Marco Island, FL 34145-6430 </t>
  </si>
  <si>
    <t>Cape Coral Unit 32 Blk 2149 Pb 16 Pg 11 Lots 38 + 39</t>
  </si>
  <si>
    <t>Pierre Dujour</t>
  </si>
  <si>
    <t>Cape Coral Unit 32 Blk 2116 Pb 16 Pg 4 Lots 3 + 4</t>
  </si>
  <si>
    <t>Cypress Woods Rv Resort Un 3 Desc In Pb 72 Pgs 92-95 Blk C Lot 114</t>
  </si>
  <si>
    <t>Marion</t>
  </si>
  <si>
    <t>PO Box 76</t>
  </si>
  <si>
    <t xml:space="preserve">2787 Williamsburg Cir  Stow, OH 44224-5112 </t>
  </si>
  <si>
    <t>Waconia</t>
  </si>
  <si>
    <t>33909-6217</t>
  </si>
  <si>
    <t>Lovely</t>
  </si>
  <si>
    <t xml:space="preserve">812 N Frederick St  Arlington, VA 22205-1107 </t>
  </si>
  <si>
    <t>David &amp; Justina Peralta</t>
  </si>
  <si>
    <t>John Blank &amp; Diane Blanck</t>
  </si>
  <si>
    <t>Daniel &amp; For Clary</t>
  </si>
  <si>
    <t xml:space="preserve">928 Kismet Pkwy E </t>
  </si>
  <si>
    <t>C069</t>
  </si>
  <si>
    <t>Rua Enmanuel Rebelo Dos</t>
  </si>
  <si>
    <t>Osburn Thomas W Tr</t>
  </si>
  <si>
    <t xml:space="preserve">1912 NE 1st Ave </t>
  </si>
  <si>
    <t>Cape Coral Unit 35 Blk.2368 Pb 16 Pg 101 Lots 7 + 8</t>
  </si>
  <si>
    <t>Dekalb</t>
  </si>
  <si>
    <t>Hawryluk</t>
  </si>
  <si>
    <t>Mudersbach</t>
  </si>
  <si>
    <t>Heritage &amp; Steve Zachary</t>
  </si>
  <si>
    <t xml:space="preserve">3905 NE 9th Ave  Cape Coral, FL 33909 </t>
  </si>
  <si>
    <t>Alberto</t>
  </si>
  <si>
    <t xml:space="preserve">2265 SE 28th St </t>
  </si>
  <si>
    <t xml:space="preserve">1478 S Prairie Ave #1, Chicago, IL 60605-3344 </t>
  </si>
  <si>
    <t xml:space="preserve">25 Old Somerset Rd  Watchung, NJ 07069-6021 </t>
  </si>
  <si>
    <t>Cape Coral Unit 33 Blk 2236 Pb 16 Pg 52 Lots 21 + 22</t>
  </si>
  <si>
    <t>Burien</t>
  </si>
  <si>
    <t xml:space="preserve">1027 NE 10th Pl  Cape Coral, FL 33909 </t>
  </si>
  <si>
    <t>Der Buchsplitt 14</t>
  </si>
  <si>
    <t>55420-3050</t>
  </si>
  <si>
    <t xml:space="preserve">1925 Onondaga Rd </t>
  </si>
  <si>
    <t>Eagle Run</t>
  </si>
  <si>
    <t>Dasilva</t>
  </si>
  <si>
    <t>Cape Coral Unit 84 Blk 5559 Pb 24 Pg 33 Lots 16 + 17</t>
  </si>
  <si>
    <t>PO Box 1262</t>
  </si>
  <si>
    <t>Jennifer &amp; Marlene Logan</t>
  </si>
  <si>
    <t>Wenying</t>
  </si>
  <si>
    <t xml:space="preserve">1024 NE 34th Ter  Cape Coral, FL 33909 </t>
  </si>
  <si>
    <t xml:space="preserve">2102 NE 26th St </t>
  </si>
  <si>
    <t>17040-9304</t>
  </si>
  <si>
    <t>E4115</t>
  </si>
  <si>
    <t>Cape Coral Unit 87 Blk 5748 Pb 24 Pg 70 Lots 24 + 25</t>
  </si>
  <si>
    <t xml:space="preserve">1009 NE 39th Ter </t>
  </si>
  <si>
    <t xml:space="preserve">3218 Willow Terrace Dr  Kingwood, TX 77345-2401 </t>
  </si>
  <si>
    <t xml:space="preserve">2822 NE 6th Ave  Cape Coral, FL 33909 </t>
  </si>
  <si>
    <t>11-44-25-l1-12000.2890</t>
  </si>
  <si>
    <t>21042-2559</t>
  </si>
  <si>
    <t>Cape Coral Unit 33 Blk 2279 Pb 16 Pg 61 Lots 34 Thru 36</t>
  </si>
  <si>
    <t>Long Hill</t>
  </si>
  <si>
    <t xml:space="preserve">8 Opal Dr  Key West, FL 33040-5653 </t>
  </si>
  <si>
    <t>Mercedes</t>
  </si>
  <si>
    <t xml:space="preserve">14190 Callan St  Fort Myers, FL 33905 </t>
  </si>
  <si>
    <t>Oak Valley</t>
  </si>
  <si>
    <t xml:space="preserve">3222 NE 14th Ave </t>
  </si>
  <si>
    <t>33904-2738</t>
  </si>
  <si>
    <t xml:space="preserve">1306 NE 37th St </t>
  </si>
  <si>
    <t xml:space="preserve">1761 SE 46th Ln  Cape Coral, FL 33904 </t>
  </si>
  <si>
    <t xml:space="preserve">2118 NE 23rd Pl </t>
  </si>
  <si>
    <t>Foglia</t>
  </si>
  <si>
    <t>25-43-23-c3-02314.0340</t>
  </si>
  <si>
    <t>Estill Springs</t>
  </si>
  <si>
    <t>Mario &amp; Linda Vieira</t>
  </si>
  <si>
    <t xml:space="preserve">245 SW 35th Ave  Deerfield Beach, FL 33442-2371 </t>
  </si>
  <si>
    <t>Cape Coral Unit 85 Blk 5647 Pb 24 Pg 56 Lots 17 + 18</t>
  </si>
  <si>
    <t xml:space="preserve">43 Beach Rd #2 </t>
  </si>
  <si>
    <t>08088-8927</t>
  </si>
  <si>
    <t xml:space="preserve">11200 Long Rd </t>
  </si>
  <si>
    <t xml:space="preserve">602 Parkwood Dr  Long Beach, MS 39560-3820 </t>
  </si>
  <si>
    <t>Cape Coral Unit 84 Blk 5561 Pb 24 Pg 32 Lots 69 Thru 71</t>
  </si>
  <si>
    <t xml:space="preserve">19 NE 8th Ter  Cape Coral, FL 33909 </t>
  </si>
  <si>
    <t>Diaconescu Trust</t>
  </si>
  <si>
    <t xml:space="preserve">2337 NW 184th Ter </t>
  </si>
  <si>
    <t xml:space="preserve">3561 NE 10th Pl </t>
  </si>
  <si>
    <t xml:space="preserve">3420 NE 21st Pl </t>
  </si>
  <si>
    <t xml:space="preserve">3151 Ferndell Acres Dr </t>
  </si>
  <si>
    <t>Ft Myers Shores Unit 6 Blk 62 Pb 17 Pg 75 Lots 29 + 30</t>
  </si>
  <si>
    <t>Richard</t>
  </si>
  <si>
    <t>Ron &amp; Lisa Poole</t>
  </si>
  <si>
    <t>Sedigh</t>
  </si>
  <si>
    <t xml:space="preserve">1720 SW 65th Ave </t>
  </si>
  <si>
    <t>Alzubi</t>
  </si>
  <si>
    <t>07503-2763</t>
  </si>
  <si>
    <t>31-43-24-c3-02139.0030</t>
  </si>
  <si>
    <t xml:space="preserve">18219 Henley Rd  Jamaica, NY 11432-2308 </t>
  </si>
  <si>
    <t>33909-1451</t>
  </si>
  <si>
    <t>Huan</t>
  </si>
  <si>
    <t>Woods Vuletich &amp; For Woods</t>
  </si>
  <si>
    <t xml:space="preserve">4545 Palisade Ave 2b </t>
  </si>
  <si>
    <t xml:space="preserve">4195 Turnberry Cir #801 </t>
  </si>
  <si>
    <t>Cape Coral Unit 85 Blk 5633 Pb 24 Pg 50 Lots 31 + 32</t>
  </si>
  <si>
    <t xml:space="preserve">610 N Rock Island Rd #1 </t>
  </si>
  <si>
    <t>Cape Coral Unit 84 Blk 5617 Pb 24 Pg 34 Lots 25 + 26</t>
  </si>
  <si>
    <t>Reddy</t>
  </si>
  <si>
    <t>25-43-23-c2-02340.0330</t>
  </si>
  <si>
    <t>Rebecca Simpson</t>
  </si>
  <si>
    <t>Stephen &amp; Tami Marshall</t>
  </si>
  <si>
    <t>22551-8938</t>
  </si>
  <si>
    <t xml:space="preserve">2129 NE 4th Pl  Cape Coral, FL 33909 </t>
  </si>
  <si>
    <t>Peaceful Pines Mobile Vil Or 1312 Pg 450 Lot 19</t>
  </si>
  <si>
    <t>32312-3165</t>
  </si>
  <si>
    <t xml:space="preserve">217 NE 23rd St </t>
  </si>
  <si>
    <t xml:space="preserve">13401 W Calusa Club Dr </t>
  </si>
  <si>
    <t>Cape Coral Unit 36 Blk 2309 Pb 16 Pg 120 Lots 66 + 67</t>
  </si>
  <si>
    <t>Selena</t>
  </si>
  <si>
    <t>49130-9704</t>
  </si>
  <si>
    <t>Cape Coral Unit 33 Blk 2234 Pb 16 Pg 54 Lots 20 + 21</t>
  </si>
  <si>
    <t>Cape Coral Unit 87 Blk 5737 Pb 24 Pg 77 Lots 19 + 20</t>
  </si>
  <si>
    <t xml:space="preserve">2451 E 74th St  Brooklyn, NY 11234-6627 </t>
  </si>
  <si>
    <t xml:space="preserve">1410 NE 5th Ave </t>
  </si>
  <si>
    <t>Leung</t>
  </si>
  <si>
    <t>Hammonds</t>
  </si>
  <si>
    <t>Feuser</t>
  </si>
  <si>
    <t>29-43-24-c4-02253.0010</t>
  </si>
  <si>
    <t>Sabine</t>
  </si>
  <si>
    <t>Padina</t>
  </si>
  <si>
    <t>10930-2144</t>
  </si>
  <si>
    <t>Cape Coral Unit 33 Blk.2196 Pb 16 Pg 46 Lots 66 + 67</t>
  </si>
  <si>
    <t xml:space="preserve">Po Box 9768 </t>
  </si>
  <si>
    <t>25-43-23-c4-02354.0170</t>
  </si>
  <si>
    <t>Lehigh Acres Unit 12 Blk 66 Pb 26 Pg 15 Lot 8</t>
  </si>
  <si>
    <t>Buch Desantos</t>
  </si>
  <si>
    <t xml:space="preserve">2111 NE 4th Pl  Cape Coral, FL 33909 </t>
  </si>
  <si>
    <t xml:space="preserve">2213 Long Park Ave </t>
  </si>
  <si>
    <t>02-46-23-00-00006.0030</t>
  </si>
  <si>
    <t xml:space="preserve">29 Montilla Ave </t>
  </si>
  <si>
    <t>28031-7114</t>
  </si>
  <si>
    <t>Cape Coral Unit 36 Blk 2351 Pb 16 Pg 130 Lots 22 + 23</t>
  </si>
  <si>
    <t xml:space="preserve">1439 Oak Bluff Rd </t>
  </si>
  <si>
    <t xml:space="preserve">111 Regency Dr  Fishkill, NY 12524-4935 </t>
  </si>
  <si>
    <t xml:space="preserve">1 Impasse Joseph Lavarec </t>
  </si>
  <si>
    <t>Berreitter Viviane A Tr</t>
  </si>
  <si>
    <t>Spong</t>
  </si>
  <si>
    <t>33909-4816</t>
  </si>
  <si>
    <t xml:space="preserve">204 Oak Crest Dr </t>
  </si>
  <si>
    <t>Adamczak</t>
  </si>
  <si>
    <t>Vail</t>
  </si>
  <si>
    <t xml:space="preserve">4150 Painted Sky Rd  Reading, PA 19606-9515 </t>
  </si>
  <si>
    <t xml:space="preserve">6856 Birch Grove Rd  Saginaw, MN 55779-9448 </t>
  </si>
  <si>
    <t xml:space="preserve">118 Stedman St </t>
  </si>
  <si>
    <t xml:space="preserve">1122 NE 11th Ter  Cape Coral, FL 33909 </t>
  </si>
  <si>
    <t>33076-4504</t>
  </si>
  <si>
    <t>J &amp; For Mckee</t>
  </si>
  <si>
    <t>34772-8274</t>
  </si>
  <si>
    <t xml:space="preserve">1902 NE 8th Pl </t>
  </si>
  <si>
    <t xml:space="preserve">2802 SE 6th Ave  Cape Coral, FL 33904 </t>
  </si>
  <si>
    <t xml:space="preserve">3715 NE 12th Pl  Cape Coral, FL 33909 </t>
  </si>
  <si>
    <t>Cape Coral Unit 32 Blk 2153 Pb 16 Pg 13 Lots 29 + 30</t>
  </si>
  <si>
    <t>C015</t>
  </si>
  <si>
    <t xml:space="preserve">220 Old Colony Dr  New Castle, PA 16105-4504 </t>
  </si>
  <si>
    <t xml:space="preserve">4294 E Konker Rd </t>
  </si>
  <si>
    <t>Roxana</t>
  </si>
  <si>
    <t>Lehigh Acres Unit 2 Blk 7 Pb 26 Pg 4 Lot 26</t>
  </si>
  <si>
    <t>Kenner</t>
  </si>
  <si>
    <t>Lyndale</t>
  </si>
  <si>
    <t xml:space="preserve">1225 NE Juanita Pl </t>
  </si>
  <si>
    <t>Toledo Bend</t>
  </si>
  <si>
    <t>Norman &amp; Kathleen Lysiak</t>
  </si>
  <si>
    <t>25-43-23-c1-02330.0130</t>
  </si>
  <si>
    <t>Cape Coral Unit 88 Blk.5781 Pb 24 Pg 132 Lot 11</t>
  </si>
  <si>
    <t>Mari-Ynn</t>
  </si>
  <si>
    <t>Timberwood</t>
  </si>
  <si>
    <t xml:space="preserve">2832 NE 2nd Ave </t>
  </si>
  <si>
    <t>Pina</t>
  </si>
  <si>
    <t>Cape Coral Unit 84 Blk 5563 Pb 24 Pg 37 Lots 69 + 70</t>
  </si>
  <si>
    <t>33909-6266</t>
  </si>
  <si>
    <t>33909-1201</t>
  </si>
  <si>
    <t xml:space="preserve">7433 Big Cypress Dr </t>
  </si>
  <si>
    <t>06776-4652</t>
  </si>
  <si>
    <t xml:space="preserve">9822 SW 145th Pl  Miami, FL 33186-8416 </t>
  </si>
  <si>
    <t>33908-2477</t>
  </si>
  <si>
    <t xml:space="preserve">358 Southern Branch Dr </t>
  </si>
  <si>
    <t xml:space="preserve">17891 Altamirano Ln  Huntington Beach, CA 92647-6607 </t>
  </si>
  <si>
    <t>Steuwe</t>
  </si>
  <si>
    <t xml:space="preserve">2104 Andalusia Blvd  Cape Coral, FL 33909 </t>
  </si>
  <si>
    <t xml:space="preserve">105 Bay Dr </t>
  </si>
  <si>
    <t>Somerville</t>
  </si>
  <si>
    <t>76207-8724</t>
  </si>
  <si>
    <t>Lerch Forrest K Tr</t>
  </si>
  <si>
    <t>Melhus</t>
  </si>
  <si>
    <t xml:space="preserve">19 Robinson Ave </t>
  </si>
  <si>
    <t xml:space="preserve">1304 S Gator Cir  Cape Coral, FL 33909 </t>
  </si>
  <si>
    <t xml:space="preserve">3428 Kings Lair Dr </t>
  </si>
  <si>
    <t>Aaron &amp; Jacqueline Masters</t>
  </si>
  <si>
    <t>Willow Marsh</t>
  </si>
  <si>
    <t>Chet &amp; Leann Mcwilliams</t>
  </si>
  <si>
    <t>Bradenton</t>
  </si>
  <si>
    <t xml:space="preserve">1909 NE 18th Pl  Cape Coral, FL 33909 </t>
  </si>
  <si>
    <t xml:space="preserve">181 Munroe Falls Ave </t>
  </si>
  <si>
    <t>75071-1384</t>
  </si>
  <si>
    <t xml:space="preserve">19 Newberry St  Monroe, NY 10950 </t>
  </si>
  <si>
    <t>Behravesh</t>
  </si>
  <si>
    <t>Duc</t>
  </si>
  <si>
    <t xml:space="preserve">214 SE 29th St  Cape Coral, FL 33904 </t>
  </si>
  <si>
    <t>R1</t>
  </si>
  <si>
    <t xml:space="preserve">224 Willow Ave </t>
  </si>
  <si>
    <t>Tippecanoe</t>
  </si>
  <si>
    <t xml:space="preserve">1945 NE 14th St  Cape Coral, FL 33909 </t>
  </si>
  <si>
    <t xml:space="preserve">246 Conifer Ln </t>
  </si>
  <si>
    <t xml:space="preserve">1105 SE Dolan Dr  Grimes, IA 50111-1025 </t>
  </si>
  <si>
    <t>Dagmar Schmidt &amp; For East</t>
  </si>
  <si>
    <t>61734-1417</t>
  </si>
  <si>
    <t>Deland</t>
  </si>
  <si>
    <t>08638-2000</t>
  </si>
  <si>
    <t>19-43-24-c1-05577.0330</t>
  </si>
  <si>
    <t>Havle</t>
  </si>
  <si>
    <t xml:space="preserve">1213 NE 4th Pl  Cape Coral, FL 33909 </t>
  </si>
  <si>
    <t>Cape Coral Unit 84 Blk 5578 Pb 24 Pg 46 Lots 18 + 19</t>
  </si>
  <si>
    <t>Skaarup Elizabeth J Tr For Elizabeth J Skaarup Trust</t>
  </si>
  <si>
    <t xml:space="preserve">7998 SW 144th St </t>
  </si>
  <si>
    <t>89122-7503</t>
  </si>
  <si>
    <t>Edward &amp; Barbara Goodyear</t>
  </si>
  <si>
    <t>Salonga</t>
  </si>
  <si>
    <t>Monica</t>
  </si>
  <si>
    <t xml:space="preserve">5209 Pineland Daisy Trl </t>
  </si>
  <si>
    <t>Spoor</t>
  </si>
  <si>
    <t>20-43-24-c4-05637.0420</t>
  </si>
  <si>
    <t xml:space="preserve">3532 NE 18th Ave </t>
  </si>
  <si>
    <t>33054-6319</t>
  </si>
  <si>
    <t>48069-1219</t>
  </si>
  <si>
    <t xml:space="preserve">13 S Shore Dr  South Amboy, NJ 08879-3433 </t>
  </si>
  <si>
    <t xml:space="preserve">423 NE 25th St </t>
  </si>
  <si>
    <t>Cape Coral Unit 26 Blk.858 Pb 14 Pg 123 Lots 92 + 93</t>
  </si>
  <si>
    <t xml:space="preserve">2206 NE 35th Ln  Cape Coral, FL 33909 </t>
  </si>
  <si>
    <t xml:space="preserve">5855 Burrwood Ct </t>
  </si>
  <si>
    <t xml:space="preserve">1535 Eden Isle Blvd NE #264 </t>
  </si>
  <si>
    <t xml:space="preserve">1523 NE 36th Ln </t>
  </si>
  <si>
    <t>Lily</t>
  </si>
  <si>
    <t xml:space="preserve">4309 NE 20th Ct  Cape Coral, FL 33909 </t>
  </si>
  <si>
    <t xml:space="preserve">144 Woodmount Ave </t>
  </si>
  <si>
    <t xml:space="preserve">302 Grayling Dr </t>
  </si>
  <si>
    <t>65807-2031</t>
  </si>
  <si>
    <t xml:space="preserve">6121 NW 41st Dr  Coral Springs, FL 33067-3216 </t>
  </si>
  <si>
    <t>Venitia Real</t>
  </si>
  <si>
    <t>Lech &amp; Elizabeth Rembarz</t>
  </si>
  <si>
    <t xml:space="preserve">59 Prinzenstr </t>
  </si>
  <si>
    <t>31-43-24-c3-02141.0410</t>
  </si>
  <si>
    <t>33426-7815</t>
  </si>
  <si>
    <t>03-44-26-12-00064.0180</t>
  </si>
  <si>
    <t>Cape Coral Unit 34 Blk 2452 Pb 16 Pg 86 Lots 10 + 11</t>
  </si>
  <si>
    <t>11-44-25-10-00000.3580</t>
  </si>
  <si>
    <t xml:space="preserve">2010 NE 12th Ln  Cape Coral, FL 33909 </t>
  </si>
  <si>
    <t>Vanantwerp</t>
  </si>
  <si>
    <t xml:space="preserve">3925 NE 9th Ave </t>
  </si>
  <si>
    <t xml:space="preserve">2310 NE 35th St </t>
  </si>
  <si>
    <t>Odalys</t>
  </si>
  <si>
    <t>Cape Coral Unit 85 Blk 5673 Pb 24 Pg 52 Lots 1 + 2</t>
  </si>
  <si>
    <t>30311-3006</t>
  </si>
  <si>
    <t xml:space="preserve">2104 Andalusia Blvd </t>
  </si>
  <si>
    <t xml:space="preserve">357 W 55th St 5j </t>
  </si>
  <si>
    <t>Curtiss</t>
  </si>
  <si>
    <t xml:space="preserve">4189 Mcgregor Blvd  Fort Myers, FL 33901 </t>
  </si>
  <si>
    <t>10980-2643</t>
  </si>
  <si>
    <t xml:space="preserve">7768 N Roanoke Rd </t>
  </si>
  <si>
    <t>Longo</t>
  </si>
  <si>
    <t>Lippert</t>
  </si>
  <si>
    <t>Cape Coral Unit 31 Blk 2059 Pb 14 Pg 159 Lots 31 + 32</t>
  </si>
  <si>
    <t xml:space="preserve">1934 NE 15th Ln </t>
  </si>
  <si>
    <t xml:space="preserve">2835 Tomlinson Rd </t>
  </si>
  <si>
    <t>03-44-26-12-00063.0130</t>
  </si>
  <si>
    <t>Crendall</t>
  </si>
  <si>
    <t xml:space="preserve">3732 Teakwood St  Fort Myers, FL 33905 </t>
  </si>
  <si>
    <t>11-44-25-07-00000.1710</t>
  </si>
  <si>
    <t>Cape Coral Unit 32 Blk.2127 Pb 16 Pg 10 Lots 5 + 6</t>
  </si>
  <si>
    <t>Sommo</t>
  </si>
  <si>
    <t>Dariana</t>
  </si>
  <si>
    <t>33909-8408</t>
  </si>
  <si>
    <t>Yuhang Zhuo</t>
  </si>
  <si>
    <t xml:space="preserve">2028 NE 13th Ave </t>
  </si>
  <si>
    <t xml:space="preserve">6142 Higgins Ave  Fort Myers, FL 33905 </t>
  </si>
  <si>
    <t>Atglen</t>
  </si>
  <si>
    <t>Cypress Trail Rv Resort Phase 2-B As Desc In Inst# 2015000013050 Lot 427</t>
  </si>
  <si>
    <t xml:space="preserve">2325 NE 43rd Ln  Cape Coral, FL 33909 </t>
  </si>
  <si>
    <t>Hickory Grove</t>
  </si>
  <si>
    <t xml:space="preserve">13035 SW 2nd Ter </t>
  </si>
  <si>
    <t>40/49</t>
  </si>
  <si>
    <t xml:space="preserve">530 Pesaro Way </t>
  </si>
  <si>
    <t>Joseph &amp; Ma Lee</t>
  </si>
  <si>
    <t>33909-6501</t>
  </si>
  <si>
    <t xml:space="preserve">6401 Arbor Ave  Fort Myers, FL 33905 </t>
  </si>
  <si>
    <t xml:space="preserve">1036 NE 11th Ave </t>
  </si>
  <si>
    <t>Todd &amp; Bonnie Rohrbaugh</t>
  </si>
  <si>
    <t>61812-6861</t>
  </si>
  <si>
    <t xml:space="preserve">1013 Riverway Ln </t>
  </si>
  <si>
    <t>16-44-26-05-00009.0010</t>
  </si>
  <si>
    <t xml:space="preserve">1806 NE 23rd St </t>
  </si>
  <si>
    <t xml:space="preserve">2518 NE 6th Ave </t>
  </si>
  <si>
    <t>Cape Coral Unit 36 Blk 2330 Pb 16 Pg 129 Lots 13 + 14</t>
  </si>
  <si>
    <t xml:space="preserve">1125 NE 15th Ter  Cape Coral, FL 33909 </t>
  </si>
  <si>
    <t>Terrace</t>
  </si>
  <si>
    <t xml:space="preserve">78 Groton St </t>
  </si>
  <si>
    <t>Jose Palacios</t>
  </si>
  <si>
    <t>Thomas &amp; Crystal Birkmire</t>
  </si>
  <si>
    <t>01-44-23-c4-02411.0650</t>
  </si>
  <si>
    <t>31-43-24-c4-02143.0200</t>
  </si>
  <si>
    <t>33909-6212</t>
  </si>
  <si>
    <t>Cape Coral Unit 88 Blk 5802 Pb 24 Pg 136 Lots 33 + 34</t>
  </si>
  <si>
    <t>36-43-23-c3-02146.0650</t>
  </si>
  <si>
    <t xml:space="preserve">1130 NE 39th St </t>
  </si>
  <si>
    <t>Cypress Trail Rv Resort As Desc In Inst# 2013000212499 Lot 254</t>
  </si>
  <si>
    <t>Andre Niklaus &amp; For Alnes</t>
  </si>
  <si>
    <t xml:space="preserve">4285 13th Ave SW  Naples, FL 34116-5231 </t>
  </si>
  <si>
    <t>Buckingham Pk Re Blk B U-2 Blk 7 Pb 27 Pg 189 Lot 28</t>
  </si>
  <si>
    <t>Cape Coral Unit 84 Blk 5564 Pb 24 Pg 37 Lots 1 + 2</t>
  </si>
  <si>
    <t>47803-2079</t>
  </si>
  <si>
    <t>Christine &amp; For Papousek</t>
  </si>
  <si>
    <t>Cramer</t>
  </si>
  <si>
    <t xml:space="preserve">925 NE 5th Pl  Cape Coral, FL 33909 </t>
  </si>
  <si>
    <t>55779-9448</t>
  </si>
  <si>
    <t xml:space="preserve">2855 N University Dr #510, Coral Springs, FL 33065-1410 </t>
  </si>
  <si>
    <t>Dakota Ridge</t>
  </si>
  <si>
    <t>Lehigh Acres Unit 11 Blk 55 Pb 26 Pg 14 Lot 11</t>
  </si>
  <si>
    <t xml:space="preserve">6380 S Mitchell Manor Cir  Pinecrest, FL 33156-4827 </t>
  </si>
  <si>
    <t>Cape Coral Unit 17 Blk.1534 Pb 14 Pg 31 Lots 1 Thru 3</t>
  </si>
  <si>
    <t>Norwell</t>
  </si>
  <si>
    <t xml:space="preserve">64 Chemin Fons Vicaeii  New Woodstock, NY 13122 </t>
  </si>
  <si>
    <t xml:space="preserve">8561 Eagle Run Dr </t>
  </si>
  <si>
    <t>Mcginness</t>
  </si>
  <si>
    <t>Ledeanne</t>
  </si>
  <si>
    <t>Lam</t>
  </si>
  <si>
    <t>Kimberle</t>
  </si>
  <si>
    <t>Ricarte</t>
  </si>
  <si>
    <t>33909-1250</t>
  </si>
  <si>
    <t xml:space="preserve">3619 NE 9th Ave </t>
  </si>
  <si>
    <t>Qari</t>
  </si>
  <si>
    <t>08822-6809</t>
  </si>
  <si>
    <t>33904-9434</t>
  </si>
  <si>
    <t>Bathurst</t>
  </si>
  <si>
    <t>Jean-Ruth Dizon</t>
  </si>
  <si>
    <t>Simpsonville</t>
  </si>
  <si>
    <t xml:space="preserve">1610 NE 36th Ln </t>
  </si>
  <si>
    <t xml:space="preserve">1712 NE 1st Ave  Cape Coral, FL 33909 </t>
  </si>
  <si>
    <t>84121-3223</t>
  </si>
  <si>
    <t xml:space="preserve">922 NE 5th Pl </t>
  </si>
  <si>
    <t>17-43-24-c2-05804.0050</t>
  </si>
  <si>
    <t xml:space="preserve">5235 Pineland Daisy Trl  Fort Myers, FL 33905 </t>
  </si>
  <si>
    <t>Dalling</t>
  </si>
  <si>
    <t xml:space="preserve">229 SE 28th Ter  Cape Coral, FL 33904 </t>
  </si>
  <si>
    <t xml:space="preserve">1430 NE 34th St  Cape Coral, FL 33909 </t>
  </si>
  <si>
    <t xml:space="preserve">14081 Campus St  Fort Myers, FL 33905 </t>
  </si>
  <si>
    <t>Franey</t>
  </si>
  <si>
    <t xml:space="preserve">1118 NE 15th Ter  Cape Coral, FL 33909 </t>
  </si>
  <si>
    <t xml:space="preserve">1810 NE 11th Ln </t>
  </si>
  <si>
    <t>01-44-23-c3-02459.0290</t>
  </si>
  <si>
    <t>Palisades Park</t>
  </si>
  <si>
    <t>Cape Coral Unit 34 Blk 2447 Pb 16 Pg 81 Lots 85 + 86</t>
  </si>
  <si>
    <t>Skyl</t>
  </si>
  <si>
    <t xml:space="preserve">1206 NE 7th Ave  Cape Coral, FL 33909 </t>
  </si>
  <si>
    <t xml:space="preserve">1016 Jennings Rd </t>
  </si>
  <si>
    <t>34104-6613</t>
  </si>
  <si>
    <t xml:space="preserve">422 Wallis Farm Way  Marietta, GA 30064-5463 </t>
  </si>
  <si>
    <t>45th</t>
  </si>
  <si>
    <t>Chicory</t>
  </si>
  <si>
    <t xml:space="preserve">106 NE 11th St </t>
  </si>
  <si>
    <t xml:space="preserve">3101 NE Juanita Pl </t>
  </si>
  <si>
    <t xml:space="preserve">2715 62nd Ave E F11, Fife, WA 98424-3573 </t>
  </si>
  <si>
    <t xml:space="preserve">8914 201st St  Hollis, NY 11423-2106 </t>
  </si>
  <si>
    <t>11717-7911</t>
  </si>
  <si>
    <t>29-43-24-c3-02273.0160</t>
  </si>
  <si>
    <t>33909-5381</t>
  </si>
  <si>
    <t>Emily C Mercier &amp; Emily Mercier</t>
  </si>
  <si>
    <t>25-43-23-c4-02309.0240</t>
  </si>
  <si>
    <t>Jane Helikson</t>
  </si>
  <si>
    <t>Gypsy</t>
  </si>
  <si>
    <t xml:space="preserve">617 NE 2nd Pl </t>
  </si>
  <si>
    <t>F</t>
  </si>
  <si>
    <t>Jacqueline &amp; For Honeycutt</t>
  </si>
  <si>
    <t>Hagens</t>
  </si>
  <si>
    <t>49038-9196</t>
  </si>
  <si>
    <t>31-43-24-c1-02147.0130</t>
  </si>
  <si>
    <t>Hobbs</t>
  </si>
  <si>
    <t>Sandy Alias</t>
  </si>
  <si>
    <t>Cape Coral Unit 33 Blk 2239 Pb 16 Pg 55 Lots 49 + 50</t>
  </si>
  <si>
    <t xml:space="preserve">5212 Cypress Trail Resort Cir  Fort Myers, FL 33905 </t>
  </si>
  <si>
    <t>10469-1207</t>
  </si>
  <si>
    <t>33909-4615</t>
  </si>
  <si>
    <t>Cape Coral Unit 32 Blk 2149 Pb 16 Pg 11 Lots 36 + 37</t>
  </si>
  <si>
    <t>Lita</t>
  </si>
  <si>
    <t xml:space="preserve">1908 NE 21st Pl </t>
  </si>
  <si>
    <t xml:space="preserve">3611 NE 12th Ct </t>
  </si>
  <si>
    <t>05-44-24-c2-03518.0070</t>
  </si>
  <si>
    <t>Almonte</t>
  </si>
  <si>
    <t xml:space="preserve">39 Marcia Memorial Cir  Jackson, NJ 08527-3039 </t>
  </si>
  <si>
    <t>Lake Forest</t>
  </si>
  <si>
    <t>Troy Hills</t>
  </si>
  <si>
    <t>03-44-26-08-00036.0100</t>
  </si>
  <si>
    <t>Witherspoon</t>
  </si>
  <si>
    <t>Nye Wilma E Tr</t>
  </si>
  <si>
    <t xml:space="preserve">2202 NE 1st Pl  Cape Coral, FL 33909 </t>
  </si>
  <si>
    <t>Anthony Finkel</t>
  </si>
  <si>
    <t>Jen Chang</t>
  </si>
  <si>
    <t>04-44-25-03-00006.2390</t>
  </si>
  <si>
    <t xml:space="preserve">1710 NE 40th Ln  Cape Coral, FL 33909 </t>
  </si>
  <si>
    <t>32459-3329</t>
  </si>
  <si>
    <t xml:space="preserve">9510 Old Southwick Pass </t>
  </si>
  <si>
    <t xml:space="preserve">2100 NE 2nd Pl  Cape Coral, FL 33909 </t>
  </si>
  <si>
    <t>Lea</t>
  </si>
  <si>
    <t xml:space="preserve">5496 Cypress Trail Resort Cir  Fort Myers, FL 33905 </t>
  </si>
  <si>
    <t>Cypress Trail Rv Resort Ph 3 As Desc In Inst# 2015000085552 Lot 218</t>
  </si>
  <si>
    <t>32-43-24-c4-02224.0070</t>
  </si>
  <si>
    <t>01-44-23-c4-02413.0250</t>
  </si>
  <si>
    <t>Alfredo</t>
  </si>
  <si>
    <t xml:space="preserve">12721 Orange River Blvd  Fort Myers, FL 33905 </t>
  </si>
  <si>
    <t xml:space="preserve">2105 NE 23rd Ave </t>
  </si>
  <si>
    <t xml:space="preserve">10007 Parkwood Dr  Fort Myers, FL 33905 </t>
  </si>
  <si>
    <t xml:space="preserve">4148 NE 9th Pl  Cape Coral, FL 33909 </t>
  </si>
  <si>
    <t>Cape Coral Unit 12 Blk 591 Pb 13 Pg 51 Lots 16 + 17</t>
  </si>
  <si>
    <t xml:space="preserve">525 Leeward Ave </t>
  </si>
  <si>
    <t>Cape Coral Unit 84 Blk 5547 Pb 24 Pg 46 Lots 7 + 8</t>
  </si>
  <si>
    <t>Salome Demartinez</t>
  </si>
  <si>
    <t>Jennie</t>
  </si>
  <si>
    <t xml:space="preserve">698 Macalester St </t>
  </si>
  <si>
    <t>33071-7525</t>
  </si>
  <si>
    <t>For Doyle Family Trust</t>
  </si>
  <si>
    <t>Charles &amp; Wanetta Robinson</t>
  </si>
  <si>
    <t xml:space="preserve">921 NE 37th Ter  Cape Coral, FL 33909 </t>
  </si>
  <si>
    <t xml:space="preserve">1144 NE 3rd Ave  Cape Coral, FL 33909 </t>
  </si>
  <si>
    <t>Alicia</t>
  </si>
  <si>
    <t>106l</t>
  </si>
  <si>
    <t xml:space="preserve">299 Appley Ave  Libertyville, IL 60048-1905 </t>
  </si>
  <si>
    <t xml:space="preserve">2129 NE 25th Ter  Cape Coral, FL 33909 </t>
  </si>
  <si>
    <t>33013-1858</t>
  </si>
  <si>
    <t>01-44-23-c3-02428.0370</t>
  </si>
  <si>
    <t>Estate &amp; Santos Duke</t>
  </si>
  <si>
    <t>Phyllis &amp; For Steinbeck</t>
  </si>
  <si>
    <t xml:space="preserve">2218 NE 2nd St  Cape Coral, FL 33909 </t>
  </si>
  <si>
    <t>33196-6030</t>
  </si>
  <si>
    <t>PO Box 230-7050</t>
  </si>
  <si>
    <t>Cypress Trail Rv Resort Phase 2-B As Desc In Inst# 2015000013050 Lot 476</t>
  </si>
  <si>
    <t xml:space="preserve">3501 NE 17th Pl  Cape Coral, FL 33909 </t>
  </si>
  <si>
    <t>Jeffrey &amp; Mary Watson</t>
  </si>
  <si>
    <t>11554-3509</t>
  </si>
  <si>
    <t>17-43-24-c2-05799.0090</t>
  </si>
  <si>
    <t>Lehigh Acres Unit 2 Blk 7 Pb 26 Pg 4 Lot 21</t>
  </si>
  <si>
    <t>Kniskern</t>
  </si>
  <si>
    <t xml:space="preserve">819 Maumee St </t>
  </si>
  <si>
    <t xml:space="preserve">3604 Southside Blvd  Jacksonville, FL 32216-4636 </t>
  </si>
  <si>
    <t xml:space="preserve">220 NE 31st Ter  Cape Coral, FL 33909 </t>
  </si>
  <si>
    <t xml:space="preserve">7951 SW 197th Ter  Cutler Bay, FL 33189-2107 </t>
  </si>
  <si>
    <t>Cape Coral Unit 85 Blk 5647 Pb 24 Pg 56 Lots 15 + 16</t>
  </si>
  <si>
    <t>Elkhorn</t>
  </si>
  <si>
    <t>11-44-25-11-00000.2150</t>
  </si>
  <si>
    <t xml:space="preserve">519 NE 16th Ter  Cape Coral, FL 33909 </t>
  </si>
  <si>
    <t>Miguel &amp; Magaly Garcia</t>
  </si>
  <si>
    <t xml:space="preserve"># 29 </t>
  </si>
  <si>
    <t xml:space="preserve">56 Deerfield Dr </t>
  </si>
  <si>
    <t>08-44-24-c2-01528.0350</t>
  </si>
  <si>
    <t>12211-2216</t>
  </si>
  <si>
    <t>Brandis Saxony</t>
  </si>
  <si>
    <t xml:space="preserve">612 Jefferson St  Newburgh, IN 47630-1289 </t>
  </si>
  <si>
    <t>Cape Coral Unit 35 Blk 2413 Pb 16 Pg 110 Lots 95 + 96</t>
  </si>
  <si>
    <t>Lehigh Acres Unit 7 Blk 34 Pb 26 Pg 9 Lot 12</t>
  </si>
  <si>
    <t>34668-6206</t>
  </si>
  <si>
    <t xml:space="preserve">3565 NE 10th Pl </t>
  </si>
  <si>
    <t>Old Bridge</t>
  </si>
  <si>
    <t>Marie Ellers</t>
  </si>
  <si>
    <t>Cape Coral Unit 34 Blk 2468 Pb 16 Pg 75 Lots 28 + 29</t>
  </si>
  <si>
    <t>Lehigh Acres Unit 12 Blk 64 Pb 26 Pg 15 Lot 16</t>
  </si>
  <si>
    <t>98th</t>
  </si>
  <si>
    <t xml:space="preserve">11560 Blue Warbler Dr </t>
  </si>
  <si>
    <t>06-44-24-c2-02087.0210</t>
  </si>
  <si>
    <t>Lehigh Acres Unit 13 Blk 76 Pb 26 Pg 18 Lot 15</t>
  </si>
  <si>
    <t>Cape Coral Unit 36 Blk 2537 Pb 16 Pg 118 Lots 44 + 45</t>
  </si>
  <si>
    <t xml:space="preserve">338 Changebridge Rd  Pine Brook, NJ 07058-9805 </t>
  </si>
  <si>
    <t>Cape Coral Unit 35 Blk 2396 Pb 16 Pg 107 Lots 42 + 43</t>
  </si>
  <si>
    <t>Tredegar</t>
  </si>
  <si>
    <t xml:space="preserve">2138 County Route 26  Parish, NY 13131-3151 </t>
  </si>
  <si>
    <t>33905-5730</t>
  </si>
  <si>
    <t>Poinciana Park Blk 6 Pb 3 Pg 49 Lot 5 + W 20 Ft Lot 6</t>
  </si>
  <si>
    <t xml:space="preserve">214 NE 20th Ter  Cape Coral, FL 33909 </t>
  </si>
  <si>
    <t xml:space="preserve">3900 NE 8th Pl  Cape Coral, FL 33909 </t>
  </si>
  <si>
    <t>03-44-26-09-00044.0210</t>
  </si>
  <si>
    <t xml:space="preserve">1304 NE 1st Pl  Cape Coral, FL 33909 </t>
  </si>
  <si>
    <t>Cape Coral Unit 33 Blk 2185 Pb 16 Pg 51 Lots 21 + 22</t>
  </si>
  <si>
    <t xml:space="preserve">101 Petrus Ave  Staten Island, NY 10312-3711 </t>
  </si>
  <si>
    <t xml:space="preserve">805 NE 5th Ave </t>
  </si>
  <si>
    <t xml:space="preserve">30 Lucy Ct  Forest Hill, MD 21050-1773 </t>
  </si>
  <si>
    <t>Cape Coral Unit 47 Pt 2 Blk 2211A Pb 23 Pg 126 Lots 39 Thru 41</t>
  </si>
  <si>
    <t>Thien</t>
  </si>
  <si>
    <t>25-43-23-c1-02300.a830</t>
  </si>
  <si>
    <t>33908-6211</t>
  </si>
  <si>
    <t xml:space="preserve">1919 NE 27th Ter </t>
  </si>
  <si>
    <t>11-44-25-04-0000b.0650</t>
  </si>
  <si>
    <t>29730-4128</t>
  </si>
  <si>
    <t>Nasaysayan</t>
  </si>
  <si>
    <t>Charlotte</t>
  </si>
  <si>
    <t>Vernon Wiese &amp; Starlynn Stuhr</t>
  </si>
  <si>
    <t xml:space="preserve">706 Alexandria Dr </t>
  </si>
  <si>
    <t>Miro</t>
  </si>
  <si>
    <t xml:space="preserve">24 W Grove St  Bogota, NJ 07603-1042 </t>
  </si>
  <si>
    <t>19-43-24-c1-05545.0120</t>
  </si>
  <si>
    <t>Aston</t>
  </si>
  <si>
    <t xml:space="preserve">9643 River Trail Dr </t>
  </si>
  <si>
    <t xml:space="preserve">120 Janelle Blvd  Parsippany, NJ 07054-3453 </t>
  </si>
  <si>
    <t>Armando Ramon</t>
  </si>
  <si>
    <t xml:space="preserve">5071 Sussex Dr </t>
  </si>
  <si>
    <t xml:space="preserve">1738 NE 10th Ln </t>
  </si>
  <si>
    <t>Baelz</t>
  </si>
  <si>
    <t>Leonor Lara</t>
  </si>
  <si>
    <t xml:space="preserve">13 Rachmilevitch 1/1 </t>
  </si>
  <si>
    <t xml:space="preserve">34 Cabana Ave  North Fort Myers, FL 33903 </t>
  </si>
  <si>
    <t xml:space="preserve">11807 Crawford Rd W </t>
  </si>
  <si>
    <t xml:space="preserve">610 Sycamore Dr </t>
  </si>
  <si>
    <t xml:space="preserve">4309 NE 21st Ave  Cape Coral, FL 33909 </t>
  </si>
  <si>
    <t>For Lillian Wojcechowskyj Trust</t>
  </si>
  <si>
    <t xml:space="preserve">10115 Walker Springs Cv </t>
  </si>
  <si>
    <t>Juliet</t>
  </si>
  <si>
    <t>34689-5902</t>
  </si>
  <si>
    <t>Glen</t>
  </si>
  <si>
    <t xml:space="preserve">7 Ziegeleistr </t>
  </si>
  <si>
    <t xml:space="preserve">2600 NE Juanita Pl  Cape Coral, FL 33909 </t>
  </si>
  <si>
    <t>Cypress Woods Rv Resort Ut 1 Pb 65 Pg 85 + 86 Blk A Lot 13</t>
  </si>
  <si>
    <t xml:space="preserve">1533 S Gator Cir </t>
  </si>
  <si>
    <t>17-43-24-c1-05821.0550</t>
  </si>
  <si>
    <t>06-44-24-c4-02055.0070</t>
  </si>
  <si>
    <t>Videt</t>
  </si>
  <si>
    <t>For Ramnarine Trust</t>
  </si>
  <si>
    <t xml:space="preserve">13960 Binghampton Dr </t>
  </si>
  <si>
    <t xml:space="preserve">2609 NE 19th Ave  Cape Coral, FL 33909 </t>
  </si>
  <si>
    <t xml:space="preserve">4241 22nd Ave SW 85c, Naples, FL 34116-6481 </t>
  </si>
  <si>
    <t>31-44-24-c3-00618.0190</t>
  </si>
  <si>
    <t>86404-1450</t>
  </si>
  <si>
    <t xml:space="preserve">2 Okala Rd  East Weymouth, MA 02189-3036 </t>
  </si>
  <si>
    <t xml:space="preserve">249 Route De La Gorge </t>
  </si>
  <si>
    <t>Macon</t>
  </si>
  <si>
    <t xml:space="preserve">10103 Windy Knoll Ct </t>
  </si>
  <si>
    <t xml:space="preserve">89 Cooper Rd  West Haven, CT 06516-6903 </t>
  </si>
  <si>
    <t xml:space="preserve">1217 NE 15th Ter </t>
  </si>
  <si>
    <t xml:space="preserve">2742 NE 3rd Ave  Cape Coral, FL 33909 </t>
  </si>
  <si>
    <t xml:space="preserve">3771 La Rue St </t>
  </si>
  <si>
    <t>Steele</t>
  </si>
  <si>
    <t>Hughes</t>
  </si>
  <si>
    <t xml:space="preserve">12521 Mustang Dr </t>
  </si>
  <si>
    <t>33909-1506</t>
  </si>
  <si>
    <t xml:space="preserve">2008 NE Juanita Pl </t>
  </si>
  <si>
    <t>David &amp; Amy Shepherd</t>
  </si>
  <si>
    <t>Cape Coral Unit 47 Pt 2 Blk 3541 Pb 23 Pg 117 Lots 55 + 56</t>
  </si>
  <si>
    <t>17-43-24-c4-05760.0360</t>
  </si>
  <si>
    <t xml:space="preserve">109 NE 29th St </t>
  </si>
  <si>
    <t>14548-9348</t>
  </si>
  <si>
    <t>George Lerew &amp; Mark Holmes</t>
  </si>
  <si>
    <t>03-44-26-09-00045.0010</t>
  </si>
  <si>
    <t xml:space="preserve">8064 88th Ave  Woodhaven, NY 11421-2406 </t>
  </si>
  <si>
    <t>PO Box 404</t>
  </si>
  <si>
    <t>B3Z 1L1</t>
  </si>
  <si>
    <t>01013-1037</t>
  </si>
  <si>
    <t>Benjamin Beasley &amp; Barbara Ortman</t>
  </si>
  <si>
    <t>36-44-23-c3-00866.0880</t>
  </si>
  <si>
    <t>Hibiscus</t>
  </si>
  <si>
    <t xml:space="preserve">5 Olive Dr #3 </t>
  </si>
  <si>
    <t>60048-1205</t>
  </si>
  <si>
    <t>36-45-23-03-0000a.0400</t>
  </si>
  <si>
    <t>Legrande</t>
  </si>
  <si>
    <t>James &amp; Leudelva Tinglin</t>
  </si>
  <si>
    <t>33909-3245</t>
  </si>
  <si>
    <t xml:space="preserve">2109 NE 8th Pl  Cape Coral, FL 33909 </t>
  </si>
  <si>
    <t>Donavon &amp; Loretta Lueders</t>
  </si>
  <si>
    <t>94502-7076</t>
  </si>
  <si>
    <t xml:space="preserve">20410 Chingville Rd </t>
  </si>
  <si>
    <t>PO Box 115</t>
  </si>
  <si>
    <t xml:space="preserve">2333 Caroma Ln  West Palm Beach, FL 33415-7315 </t>
  </si>
  <si>
    <t xml:space="preserve">1792 Holly Grove Rd  Covington, TN 38019-5828 </t>
  </si>
  <si>
    <t xml:space="preserve">1029 NE 2nd St </t>
  </si>
  <si>
    <t xml:space="preserve">109 S Douglas Ave  Lyons, KS 67554-2624 </t>
  </si>
  <si>
    <t>Cape Coral Unit 33 Blk 2180 Pb 16 Pg 49 Lots 30 + 31 Less R/W Desc Inst #2006-453615</t>
  </si>
  <si>
    <t>Karl Hendrickson</t>
  </si>
  <si>
    <t>Gamponia Phoebe Tr</t>
  </si>
  <si>
    <t>36-43-23-c3-02146.0160</t>
  </si>
  <si>
    <t>25-43-23-c2-02346.0410</t>
  </si>
  <si>
    <t xml:space="preserve">1306 NE 10th Ave  Cape Coral, FL 33909 </t>
  </si>
  <si>
    <t>Cypress Trail Rv Resort Phase 4-A As Desc In Inst# 20160000135610 Lot 281</t>
  </si>
  <si>
    <t>Mckinley</t>
  </si>
  <si>
    <t xml:space="preserve">116 NE 27th Ter </t>
  </si>
  <si>
    <t>For Joseph Falk Trust</t>
  </si>
  <si>
    <t xml:space="preserve">31700 Telegraph Rd </t>
  </si>
  <si>
    <t>William Fedchak &amp; Barbara Ptak</t>
  </si>
  <si>
    <t>Kannankara</t>
  </si>
  <si>
    <t xml:space="preserve">1837 Waterloo Rd  Mogadore, OH 44260-9641 </t>
  </si>
  <si>
    <t>Shahabuddin</t>
  </si>
  <si>
    <t>Cape Coral Unit 36 Blk 2337 Pb 16 Pg 124 Lots 14 + 15</t>
  </si>
  <si>
    <t>96797-2738</t>
  </si>
  <si>
    <t>Javier</t>
  </si>
  <si>
    <t xml:space="preserve">443 Avalon Dr  Cape Coral, FL 33904 </t>
  </si>
  <si>
    <t xml:space="preserve">3150 Connecticut Ave  Naples, FL 34112-3825 </t>
  </si>
  <si>
    <t>Colts</t>
  </si>
  <si>
    <t>11360-2520</t>
  </si>
  <si>
    <t>Atkerson</t>
  </si>
  <si>
    <t xml:space="preserve">717 NE 5th Ave  Cape Coral, FL 33909 </t>
  </si>
  <si>
    <t>Cape Coral Unit 34 Blk 2436 Pb 16 Pg 85 Lots 61 + 62</t>
  </si>
  <si>
    <t>Valeska</t>
  </si>
  <si>
    <t xml:space="preserve">1621 NE 17th Ter  Cape Coral, FL 33909 </t>
  </si>
  <si>
    <t>Uyen Tieu</t>
  </si>
  <si>
    <t>Cape Coral Unit 32 Blk 2137 Pb 16 Pg 13 Lots 11 + 12</t>
  </si>
  <si>
    <t>33904-2821</t>
  </si>
  <si>
    <t>Chemin Ancien D Aix</t>
  </si>
  <si>
    <t xml:space="preserve">15321 SW 299th St </t>
  </si>
  <si>
    <t xml:space="preserve">6253 Windward Ln </t>
  </si>
  <si>
    <t>Kevin &amp; Kathleen Kent</t>
  </si>
  <si>
    <t>12-44-23-c4-02366.0010</t>
  </si>
  <si>
    <t xml:space="preserve">5299 Cypress Trail Resort Cir  Fort Myers, FL 33905 </t>
  </si>
  <si>
    <t xml:space="preserve">2105 Lakebreeze Way </t>
  </si>
  <si>
    <t>Donatila Sanjuan</t>
  </si>
  <si>
    <t xml:space="preserve">324 SE 30th St  Cape Coral, FL 33904 </t>
  </si>
  <si>
    <t>Cape Coral Unit 87 Blk 5739 Pb 24 Pg 77 Lot 10</t>
  </si>
  <si>
    <t>33901-5016</t>
  </si>
  <si>
    <t xml:space="preserve">10074 Parkwood Dr </t>
  </si>
  <si>
    <t xml:space="preserve">312 NE 24th Ter </t>
  </si>
  <si>
    <t xml:space="preserve">2217 SW 117th Ave  Miramar, FL 33025-5646 </t>
  </si>
  <si>
    <t>19-43-24-c1-05580.0270</t>
  </si>
  <si>
    <t xml:space="preserve">10 Dale Trl  Hopatcong, NJ 07843-1240 </t>
  </si>
  <si>
    <t>Cape Coral Unit 84 Blk 5578 Pb 24 Pg 46 Lots 16 + 17</t>
  </si>
  <si>
    <t>Landry</t>
  </si>
  <si>
    <t>Cape Coral Unit 85 Blk 5636 Pb 24 Pg 50 Lots 40 + 41</t>
  </si>
  <si>
    <t>Kurt Labrie &amp; Stephanie Clark-Labrie</t>
  </si>
  <si>
    <t xml:space="preserve">900 NE 12th St  Cape Coral, FL 33909 </t>
  </si>
  <si>
    <t xml:space="preserve">2019 NE 34th St </t>
  </si>
  <si>
    <t>For David &amp; Susan Peterson Trust</t>
  </si>
  <si>
    <t>06759-2905</t>
  </si>
  <si>
    <t>Sireesh Gavini &amp; Satya Devara</t>
  </si>
  <si>
    <t>Sunwood</t>
  </si>
  <si>
    <t xml:space="preserve">1616 Dpto #206, Lima, PE 00011 </t>
  </si>
  <si>
    <t>32765-9155</t>
  </si>
  <si>
    <t>34109-7321</t>
  </si>
  <si>
    <t>For Arthur V &amp; Frances E Strock Trust</t>
  </si>
  <si>
    <t xml:space="preserve">1223 NE 1st Pl </t>
  </si>
  <si>
    <t xml:space="preserve">3824 Heyburn St  Fort Myers, FL 33905 </t>
  </si>
  <si>
    <t>25-43-23-c2-02347.0210</t>
  </si>
  <si>
    <t>Hopatcong</t>
  </si>
  <si>
    <t>Kazue Tyte</t>
  </si>
  <si>
    <t>Scheiwiller</t>
  </si>
  <si>
    <t>33065-3265</t>
  </si>
  <si>
    <t>01-44-23-c2-02452.0270</t>
  </si>
  <si>
    <t xml:space="preserve">1714 NE 44th St </t>
  </si>
  <si>
    <t xml:space="preserve">6381 Castlewood Cir </t>
  </si>
  <si>
    <t>33909-4414</t>
  </si>
  <si>
    <t xml:space="preserve">14 Mabolo Rd Northern Hills Malab </t>
  </si>
  <si>
    <t>17-43-24-c1-05823.0150</t>
  </si>
  <si>
    <t>Bayway</t>
  </si>
  <si>
    <t>For Mei Yuan Woo Trust</t>
  </si>
  <si>
    <t xml:space="preserve">2288 Goldenrod Trl  Brookings, SD 57006-2974 </t>
  </si>
  <si>
    <t>Cape Coral Unit 84 Blk 5583 Pb 24 Pg 48 Lots 17 + 18</t>
  </si>
  <si>
    <t>Portico Ph Iv Lot 108 As Desc In Inst 2020000068824</t>
  </si>
  <si>
    <t>33004-3622</t>
  </si>
  <si>
    <t>Commack</t>
  </si>
  <si>
    <t>Gueyikian</t>
  </si>
  <si>
    <t xml:space="preserve">250 President St #807, Baltimore, MD 21202-4485 </t>
  </si>
  <si>
    <t xml:space="preserve">1024 Lewis Run Rd </t>
  </si>
  <si>
    <t>Rolando Perez &amp; Yaney Milian</t>
  </si>
  <si>
    <t xml:space="preserve">2304 NE Juanita Pl  Cape Coral, FL 33909 </t>
  </si>
  <si>
    <t>60659-5011</t>
  </si>
  <si>
    <t xml:space="preserve">245 Pine St  Elizabethport, NJ 07206-2312 </t>
  </si>
  <si>
    <t>33908-3102</t>
  </si>
  <si>
    <t>PO Box 1366</t>
  </si>
  <si>
    <t xml:space="preserve">4404 King Rd  Hamptonville, NC 27020-8161 </t>
  </si>
  <si>
    <t>Cape Coral Unit 87 Blk 5726 Pb 24 Pg 85 Lots 44 + 45</t>
  </si>
  <si>
    <t>Ruth &amp; For Lim</t>
  </si>
  <si>
    <t>25-43-23-c4-02303.0210</t>
  </si>
  <si>
    <t>Leanne Iravani</t>
  </si>
  <si>
    <t xml:space="preserve">44 Zimmerstr  Pelican, LA 71063 </t>
  </si>
  <si>
    <t xml:space="preserve">534 NE 5th Pl  Cape Coral, FL 33909 </t>
  </si>
  <si>
    <t>Shearer</t>
  </si>
  <si>
    <t>22042-3849</t>
  </si>
  <si>
    <t>33174-1771</t>
  </si>
  <si>
    <t xml:space="preserve">80 Franklin St  Belleville, NJ 07109-4013 </t>
  </si>
  <si>
    <t xml:space="preserve">13738 SW 157th Ter </t>
  </si>
  <si>
    <t>Cape Coral Unit 33 Blk.2239 Pb 16 Pg 55 Lots 30 + 31</t>
  </si>
  <si>
    <t>Jeffrey &amp; Rosalie Luzadas</t>
  </si>
  <si>
    <t xml:space="preserve">1330 NE 37th St </t>
  </si>
  <si>
    <t>46218-4623</t>
  </si>
  <si>
    <t xml:space="preserve">1406 NE 4th Pl </t>
  </si>
  <si>
    <t xml:space="preserve">28095 E 91st St S  Broken Arrow, OK 74014-7894 </t>
  </si>
  <si>
    <t xml:space="preserve">1010 Kismet Pkwy E  Cape Coral, FL 33909 </t>
  </si>
  <si>
    <t>36-43-23-c1-02547.0590</t>
  </si>
  <si>
    <t>Bonifield</t>
  </si>
  <si>
    <t>48138-1133</t>
  </si>
  <si>
    <t xml:space="preserve">6580 Maytree Cir </t>
  </si>
  <si>
    <t>Buchrainstrasse</t>
  </si>
  <si>
    <t xml:space="preserve">300 Falmouth Rd 14a, Mashpee, MA 02649-2693 </t>
  </si>
  <si>
    <t xml:space="preserve">22435 SW 61st Way B225, Boca Raton, FL 33428-6152 </t>
  </si>
  <si>
    <t xml:space="preserve">17919 Kindle Ct  Lakeville, MN 55044-6852 </t>
  </si>
  <si>
    <t>Derek Danh</t>
  </si>
  <si>
    <t>91411-1425</t>
  </si>
  <si>
    <t xml:space="preserve">1033 NE 18th Ter  Cape Coral, FL 33909 </t>
  </si>
  <si>
    <t>19-43-24-c3-05609.0330</t>
  </si>
  <si>
    <t xml:space="preserve">608 Christie St </t>
  </si>
  <si>
    <t>101st</t>
  </si>
  <si>
    <t xml:space="preserve">Hyde Park </t>
  </si>
  <si>
    <t>Whiteville</t>
  </si>
  <si>
    <t>Velez</t>
  </si>
  <si>
    <t xml:space="preserve">3450 SW 141st Ave #7 </t>
  </si>
  <si>
    <t>Lakeland</t>
  </si>
  <si>
    <t xml:space="preserve">3856 Hoffman St  Fort Myers, FL 33905 </t>
  </si>
  <si>
    <t xml:space="preserve">620 SE 30th Ln  Cape Coral, FL 33904 </t>
  </si>
  <si>
    <t xml:space="preserve">2912 NE Juanita Pl </t>
  </si>
  <si>
    <t>Cape Coral Unit 87 Blk 5683 Pb 24 Pg 74 Lots 15 + 16</t>
  </si>
  <si>
    <t>Mary Ranck</t>
  </si>
  <si>
    <t>33905-3016</t>
  </si>
  <si>
    <t>11718-1008</t>
  </si>
  <si>
    <t>Morphew</t>
  </si>
  <si>
    <t>Sharah</t>
  </si>
  <si>
    <t xml:space="preserve">1000 Brickell Plz #2806 </t>
  </si>
  <si>
    <t>Cape Coral Unit 85 Blk 5673 Pb 24 Pg 52 Lots 7 + 8</t>
  </si>
  <si>
    <t>Williams W T Subd Pb 1 Pg 41 Lots Pt Of 4 + 5</t>
  </si>
  <si>
    <t xml:space="preserve">2025 NE 5th Pl </t>
  </si>
  <si>
    <t>Sierra View</t>
  </si>
  <si>
    <t>Ralph &amp; Dorothy Clark</t>
  </si>
  <si>
    <t>32-43-24-c4-02199.0560</t>
  </si>
  <si>
    <t>11-44-25-04-0000a.0360</t>
  </si>
  <si>
    <t xml:space="preserve">4242 NW 2nd St #1001, Miami, FL 33126-5484 </t>
  </si>
  <si>
    <t xml:space="preserve">4004 SE Sunrise Dr  Camas, WA 98607-9459 </t>
  </si>
  <si>
    <t>Cape Coral Unit 33 Blk 2203 Pb 16 Pg 45 Lots 33 + 34</t>
  </si>
  <si>
    <t xml:space="preserve">2306 NE 34th Ln  Cape Coral, FL 33909 </t>
  </si>
  <si>
    <t>25-43-23-c4-02304.0010</t>
  </si>
  <si>
    <t>Chasse</t>
  </si>
  <si>
    <t xml:space="preserve">1625 Lake Meadow Cir S  Brandon, FL 33510-4030 </t>
  </si>
  <si>
    <t xml:space="preserve">15539 SW 13th Cir  Ocala, FL 34473-8837 </t>
  </si>
  <si>
    <t>Cape Coral Unit 32 Blk.2139 Pb 16 Pg 7 Lots 3 + 4</t>
  </si>
  <si>
    <t>Cape Coral Unit 31 Blk.2047 Pb 14 Pg 157 Lots 1 + 2</t>
  </si>
  <si>
    <t>33909-2817</t>
  </si>
  <si>
    <t xml:space="preserve">67 Viktoriastrasse  Wuppertal 1, DE 42115 </t>
  </si>
  <si>
    <t>33909-3294</t>
  </si>
  <si>
    <t xml:space="preserve">546 Regency Dr  Fishkill, NY 12524-4939 </t>
  </si>
  <si>
    <t>Alsop</t>
  </si>
  <si>
    <t xml:space="preserve">5497 9th Line  Beeton, ON L0g 1A0 </t>
  </si>
  <si>
    <t xml:space="preserve">4318 Garden Blvd </t>
  </si>
  <si>
    <t>Josif</t>
  </si>
  <si>
    <t xml:space="preserve">1028 NE 6th Pl  Cape Coral, FL 33909 </t>
  </si>
  <si>
    <t xml:space="preserve">Psc 10 Box 451 </t>
  </si>
  <si>
    <t>Luis Carvajal</t>
  </si>
  <si>
    <t>1506w</t>
  </si>
  <si>
    <t xml:space="preserve">316 NE 19th Ave  Cape Coral, FL 33909 </t>
  </si>
  <si>
    <t xml:space="preserve">1253 2nd St  Fort Myers, FL 33905 </t>
  </si>
  <si>
    <t xml:space="preserve">525 NE 15th Ter </t>
  </si>
  <si>
    <t>Ruhee</t>
  </si>
  <si>
    <t xml:space="preserve">4136 NE 21st Pl </t>
  </si>
  <si>
    <t>36-43-23-c2-02292.0280</t>
  </si>
  <si>
    <t>Londonderry</t>
  </si>
  <si>
    <t>Cape Coral Unit 31 Blk.2067 Pb 14 Pg 154 Lots 58 + 59</t>
  </si>
  <si>
    <t>Bibiana</t>
  </si>
  <si>
    <t>36-43-23-c4-02513.0540</t>
  </si>
  <si>
    <t xml:space="preserve">97 George Rd  Emerson, NJ 07630-1353 </t>
  </si>
  <si>
    <t>07728-3304</t>
  </si>
  <si>
    <t xml:space="preserve">1224 NE 19th Pl  Cape Coral, FL 33909 </t>
  </si>
  <si>
    <t>19-43-24-c1-05550.0150</t>
  </si>
  <si>
    <t>Nimmer</t>
  </si>
  <si>
    <t xml:space="preserve">21335 NE 19th Ct </t>
  </si>
  <si>
    <t xml:space="preserve">7 Hovey Pond Dr  North Grafton, MA 01536-1577 </t>
  </si>
  <si>
    <t>16g</t>
  </si>
  <si>
    <t>20-43-24-c1-05645.0090</t>
  </si>
  <si>
    <t>Connie</t>
  </si>
  <si>
    <t>01220-9505</t>
  </si>
  <si>
    <t>Quincey Stokelin</t>
  </si>
  <si>
    <t>Coconut Creek</t>
  </si>
  <si>
    <t>07109-2824</t>
  </si>
  <si>
    <t>Anthon Taylor &amp; Naquisha Thomas</t>
  </si>
  <si>
    <t>Grunstein</t>
  </si>
  <si>
    <t>33904-2870</t>
  </si>
  <si>
    <t xml:space="preserve">1725 NE 5th Pl  Cape Coral, FL 33909 </t>
  </si>
  <si>
    <t>Salinas Point</t>
  </si>
  <si>
    <t>12-44-23-c1-02400.0760</t>
  </si>
  <si>
    <t xml:space="preserve">539 Boxford Rd </t>
  </si>
  <si>
    <t>William &amp; For Knipper</t>
  </si>
  <si>
    <t xml:space="preserve">124 NW 45th Ave  Plantation, FL 33317-3124 </t>
  </si>
  <si>
    <t>Mahejan</t>
  </si>
  <si>
    <t xml:space="preserve">3224 SE 5th Ave </t>
  </si>
  <si>
    <t xml:space="preserve">16321 NW 11th St </t>
  </si>
  <si>
    <t xml:space="preserve">1325 SE 32nd Ter  Cape Coral, FL 33904 </t>
  </si>
  <si>
    <t>01902-1030</t>
  </si>
  <si>
    <t>Lehigh Acres E Pt Unit 14 Blk 77 Pb 26 Pg 19 Lot 23</t>
  </si>
  <si>
    <t>11-44-25-04-0000b.0160</t>
  </si>
  <si>
    <t>Pinero</t>
  </si>
  <si>
    <t>Sigsworth</t>
  </si>
  <si>
    <t>08807-3286</t>
  </si>
  <si>
    <t xml:space="preserve">1224 NE 12th St </t>
  </si>
  <si>
    <t>Carlos Gomez</t>
  </si>
  <si>
    <t xml:space="preserve">1710 Cornwallis Pkwy  Cape Coral, FL 33904-4056 </t>
  </si>
  <si>
    <t>Thoiry</t>
  </si>
  <si>
    <t>Hyde</t>
  </si>
  <si>
    <t>Starlynn</t>
  </si>
  <si>
    <t>Donna &amp; Kingdom Southerland</t>
  </si>
  <si>
    <t xml:space="preserve">10225 Butterweed Trl </t>
  </si>
  <si>
    <t xml:space="preserve">1903 NE 20th St </t>
  </si>
  <si>
    <t>55309-8206</t>
  </si>
  <si>
    <t>Jack &amp; Teresa Wieske</t>
  </si>
  <si>
    <t>Cape Coral Unit 87 Blk 5694 Pb 24 Pg 81 Lots 55 + 56</t>
  </si>
  <si>
    <t>Cape Coral Unit 11 Blk 544 Pb 13 Pg 45 Lots 34 + 35</t>
  </si>
  <si>
    <t xml:space="preserve">1112 SE 30th Ter  Cape Coral, FL 33904 </t>
  </si>
  <si>
    <t xml:space="preserve">1107 NE 37th Ter </t>
  </si>
  <si>
    <t xml:space="preserve">5045 W Diversey Ave  Chicago, IL 60639-1609 </t>
  </si>
  <si>
    <t>Unity Heights Blk 6 Pb 5 Pg 8 Lot 2</t>
  </si>
  <si>
    <t xml:space="preserve">2008 NE Juanita Pl  Cape Coral, FL 33909 </t>
  </si>
  <si>
    <t>33909-2071</t>
  </si>
  <si>
    <t>Cape Coral Unit 36 Blk 2517 Pb 16 Pg 116 Lots 62 + 63</t>
  </si>
  <si>
    <t>Cape Coral Unit 32 Blk 2105 Pb 16 Pg 5 Lots 11 + 12</t>
  </si>
  <si>
    <t xml:space="preserve">E8829 Erickson Rd </t>
  </si>
  <si>
    <t>Jillian</t>
  </si>
  <si>
    <t xml:space="preserve">2302 NE 16th Ter </t>
  </si>
  <si>
    <t>33903-2820</t>
  </si>
  <si>
    <t>Cape Coral Unit 33 Blk.2254 Pb 16 Pg 57 Lots 54 + 55</t>
  </si>
  <si>
    <t>Villa</t>
  </si>
  <si>
    <t>Belovs</t>
  </si>
  <si>
    <t>Pendergast</t>
  </si>
  <si>
    <t xml:space="preserve">6741 Buckingham Rd  Fort Myers, FL 33905 </t>
  </si>
  <si>
    <t>Boise</t>
  </si>
  <si>
    <t xml:space="preserve">2639 211th St </t>
  </si>
  <si>
    <t xml:space="preserve">2013 NE 6th Ave </t>
  </si>
  <si>
    <t>Fulmer</t>
  </si>
  <si>
    <t xml:space="preserve">10255 Meadow Beauty Trl </t>
  </si>
  <si>
    <t>Cape Coral Unit 36 Blk 2341 Pb 16 Pg 121 Lots 19 + 20</t>
  </si>
  <si>
    <t>Jose &amp; Rogeria Jauregui</t>
  </si>
  <si>
    <t xml:space="preserve">143 Tieline Rd  Grove City, PA 16127-6229 </t>
  </si>
  <si>
    <t>33909-4463</t>
  </si>
  <si>
    <t>33186-8931</t>
  </si>
  <si>
    <t xml:space="preserve">2032 NE 40th St  Cape Coral, FL 33909 </t>
  </si>
  <si>
    <t>33905-8605</t>
  </si>
  <si>
    <t xml:space="preserve">1337 NE 33rd St  Cape Coral, FL 33909 </t>
  </si>
  <si>
    <t xml:space="preserve">6034 Stratton Rd  Fort Myers, FL 33905 </t>
  </si>
  <si>
    <t>Lu</t>
  </si>
  <si>
    <t>Zella Woodruff</t>
  </si>
  <si>
    <t xml:space="preserve">3590 Trinity Pl </t>
  </si>
  <si>
    <t>Kramerage</t>
  </si>
  <si>
    <t>Schene</t>
  </si>
  <si>
    <t xml:space="preserve">3223 Aquia Dr  Stafford, VA 22554-2606 </t>
  </si>
  <si>
    <t>Dakota</t>
  </si>
  <si>
    <t xml:space="preserve">721 NE 19th Ter  Cape Coral, FL 33909 </t>
  </si>
  <si>
    <t xml:space="preserve">1606 Ferris Ave </t>
  </si>
  <si>
    <t>M6H 4J2</t>
  </si>
  <si>
    <t>01-44-23-c1-02462.0400</t>
  </si>
  <si>
    <t>Cape Coral Unit 88 Blk 5762 Pb 24 Pg 134 Lots 37 + 38</t>
  </si>
  <si>
    <t>17-43-24-c4-05774.0130</t>
  </si>
  <si>
    <t>Hernandez &amp; Hernandez Rodriguez</t>
  </si>
  <si>
    <t>Ellen</t>
  </si>
  <si>
    <t>Cari</t>
  </si>
  <si>
    <t>44883-3465</t>
  </si>
  <si>
    <t>Anastacia</t>
  </si>
  <si>
    <t>Cypress Trail Rv Resort Ph 4-B As Desc In Inst# 2017000057565 Lot 79</t>
  </si>
  <si>
    <t xml:space="preserve">PO Box 163  Eden Valley, MN 55329 </t>
  </si>
  <si>
    <t>Tremblay</t>
  </si>
  <si>
    <t>Port Reading</t>
  </si>
  <si>
    <t>Clint</t>
  </si>
  <si>
    <t xml:space="preserve">16797 NW 91st Ct </t>
  </si>
  <si>
    <t>33909-8883</t>
  </si>
  <si>
    <t>Cape Coral Unit 84 Blk 5596 Pb 24 Pg 41 Lots 13 + 14</t>
  </si>
  <si>
    <t>19-43-24-c1-05567.0060</t>
  </si>
  <si>
    <t>Ricardo Suarez</t>
  </si>
  <si>
    <t>Blagnac</t>
  </si>
  <si>
    <t xml:space="preserve">3722 Tracy St </t>
  </si>
  <si>
    <t>Cape Coral Unit 87 Blk 5721 Pb 24 Pg 80 Lot 29</t>
  </si>
  <si>
    <t xml:space="preserve">301 NE 30th Ter </t>
  </si>
  <si>
    <t>180th</t>
  </si>
  <si>
    <t xml:space="preserve">60985 Bachelor View Rd </t>
  </si>
  <si>
    <t>Logan Murdock</t>
  </si>
  <si>
    <t>Timothy &amp; Karen Johnides</t>
  </si>
  <si>
    <t xml:space="preserve">4691 Kingston Rd #49, Toronto, ON M1e 2R1 </t>
  </si>
  <si>
    <t xml:space="preserve">2608 NE 5th Pl </t>
  </si>
  <si>
    <t xml:space="preserve">1010 Nautical Dr </t>
  </si>
  <si>
    <t>Cape Coral Unit 84 Blk 5597 Pb 24 Pg 43 Lots 24 + 25</t>
  </si>
  <si>
    <t>Cape Coral Unit 21 Blk.611 Pb 13 Pg 155 Lots 22 + 23</t>
  </si>
  <si>
    <t xml:space="preserve">2205 NE 9th Ave  Cape Coral, FL 33909 </t>
  </si>
  <si>
    <t xml:space="preserve">6 Chestnut Dr  Doylestown, PA 18901-4710 </t>
  </si>
  <si>
    <t>Roza</t>
  </si>
  <si>
    <t xml:space="preserve">3643 NE 11th Ave  Cape Coral, FL 33909 </t>
  </si>
  <si>
    <t>11-44-25-06-0000d.0860</t>
  </si>
  <si>
    <t>32-43-24-c3-02196.0480</t>
  </si>
  <si>
    <t>Martin Ricciuti</t>
  </si>
  <si>
    <t xml:space="preserve">376 Monterey Pl </t>
  </si>
  <si>
    <t>Kelsey</t>
  </si>
  <si>
    <t xml:space="preserve">18535 Fogel Rd  Churubusco, IN 46723-9236 </t>
  </si>
  <si>
    <t xml:space="preserve">2752 SW 13th St </t>
  </si>
  <si>
    <t>Joel &amp; Nadezhda Maunu</t>
  </si>
  <si>
    <t>Rodney &amp; Nancy Blakeway</t>
  </si>
  <si>
    <t xml:space="preserve">3030 SW 98th Ave </t>
  </si>
  <si>
    <t>54667-8135</t>
  </si>
  <si>
    <t>Evangelista</t>
  </si>
  <si>
    <t xml:space="preserve">333 N University Dr #416, Plantation, FL 33324-2027 </t>
  </si>
  <si>
    <t>17-43-24-c3-05795.0570</t>
  </si>
  <si>
    <t>Cape Coral Unit 36 Blk 2324 Pb 16 Pg 125 Lots 15 + 16</t>
  </si>
  <si>
    <t>03-44-26-04-00018.0200</t>
  </si>
  <si>
    <t xml:space="preserve">1047 Mahuron Rd </t>
  </si>
  <si>
    <t>Cape Coral Unit 31 Blk 2068 Pb 14 Pg 163 Lots 63 Thru 65</t>
  </si>
  <si>
    <t xml:space="preserve">1931 SW 126th Ct  Miami, FL 33175-1427 </t>
  </si>
  <si>
    <t>Chets Creek</t>
  </si>
  <si>
    <t>Tekla</t>
  </si>
  <si>
    <t xml:space="preserve">704 NE 2nd Ave </t>
  </si>
  <si>
    <t>Udel Maldonado</t>
  </si>
  <si>
    <t>Bosart</t>
  </si>
  <si>
    <t>33905-4327</t>
  </si>
  <si>
    <t>Gadsden</t>
  </si>
  <si>
    <t>Cape Coral Unit 84 Blk 5550 Pb 24 Pg 39 Lot 29</t>
  </si>
  <si>
    <t>33908-8255</t>
  </si>
  <si>
    <t>Pi</t>
  </si>
  <si>
    <t xml:space="preserve">4162 Worlington Ter </t>
  </si>
  <si>
    <t>Cape Coral Unit 84 Blk 5619 Pb 24 Pg 33 Lots 48 + 49</t>
  </si>
  <si>
    <t xml:space="preserve">1105 SE Dolan Dr </t>
  </si>
  <si>
    <t>33909-4213</t>
  </si>
  <si>
    <t xml:space="preserve">2748 NE 6th Ave  Cape Coral, FL 33909 </t>
  </si>
  <si>
    <t>Materesita</t>
  </si>
  <si>
    <t>03-44-26-02-00008.0060</t>
  </si>
  <si>
    <t xml:space="preserve">339 Kismet Pkwy E  Cape Coral, FL 33909 </t>
  </si>
  <si>
    <t>Caputo</t>
  </si>
  <si>
    <t>33-44-24-c1-01236.0230</t>
  </si>
  <si>
    <t xml:space="preserve">2417 NE 6th Pl  Cape Coral, FL 33909 </t>
  </si>
  <si>
    <t>Sebastian Dolecki &amp; Joanna Dolecka</t>
  </si>
  <si>
    <t>20-43-24-c2-05668.0260</t>
  </si>
  <si>
    <t xml:space="preserve">107 Ferry St </t>
  </si>
  <si>
    <t>Cape Coral Unit 31 Blk 2037 Pb 14 Pg 158 Lots 18 + 19</t>
  </si>
  <si>
    <t xml:space="preserve">110 Lionhead Trai  Scarborough, ON M1b 2J8 </t>
  </si>
  <si>
    <t>Huu Nguyen &amp; Thi Le</t>
  </si>
  <si>
    <t>Robert Rodio</t>
  </si>
  <si>
    <t xml:space="preserve">300 10th St W  Hastings, MN 55033-2028 </t>
  </si>
  <si>
    <t>33905-2131</t>
  </si>
  <si>
    <t>36-44-23-c4-00867.0130</t>
  </si>
  <si>
    <t>03-44-26-08-00036.0090</t>
  </si>
  <si>
    <t>Bruce Moskowitz</t>
  </si>
  <si>
    <t>31-43-24-c3-02115.0530</t>
  </si>
  <si>
    <t>Tafton</t>
  </si>
  <si>
    <t xml:space="preserve">12040 NE 16th Ave #212, Miami, FL 33161-6536 </t>
  </si>
  <si>
    <t xml:space="preserve">5306 SW 138th Pl </t>
  </si>
  <si>
    <t xml:space="preserve">39 Barwick St </t>
  </si>
  <si>
    <t>11-44-25-08-00000.2520</t>
  </si>
  <si>
    <t>Cape Coral Unit 32 Blk.2121 Pb 16 Pg 7 Lots 33 + 34</t>
  </si>
  <si>
    <t>14086-2628</t>
  </si>
  <si>
    <t>20-43-24-c1-05597.0350</t>
  </si>
  <si>
    <t xml:space="preserve">6151 Stratton Rd </t>
  </si>
  <si>
    <t>Cypress Trail Rv Resort Phase 2-A As Desc In Inst# 2014000026506 Lot 208</t>
  </si>
  <si>
    <t>Cedar</t>
  </si>
  <si>
    <t>33909-1932</t>
  </si>
  <si>
    <t>Cypress Trail Rv Resort Ph 3 As Desc In Inst# 2015000085552 Lot 53</t>
  </si>
  <si>
    <t>Leovina Labot-Rama &amp; Jennifer Rama</t>
  </si>
  <si>
    <t>18-43-24-c4-05698.0190</t>
  </si>
  <si>
    <t>M4V 2V5</t>
  </si>
  <si>
    <t>PO Box 432565</t>
  </si>
  <si>
    <t>De Vendee</t>
  </si>
  <si>
    <t xml:space="preserve">3726 Teakwood St  Fort Myers, FL 33905 </t>
  </si>
  <si>
    <t xml:space="preserve">10609 Keysville Rd  Emmitsburg, MD 21727-8117 </t>
  </si>
  <si>
    <t>Cres</t>
  </si>
  <si>
    <t>Jorge Delgado</t>
  </si>
  <si>
    <t xml:space="preserve">340 N 20th St </t>
  </si>
  <si>
    <t>Darwin</t>
  </si>
  <si>
    <t>31-43-24-c4-02101.0210</t>
  </si>
  <si>
    <t>Yeung</t>
  </si>
  <si>
    <t xml:space="preserve">3845 Highlight St </t>
  </si>
  <si>
    <t>Cape Coral Unit 84 Blk 5552 Pb 24 Pg 38 Lots 15 + 16</t>
  </si>
  <si>
    <t xml:space="preserve">790 Clarkson Ave #1, Brooklyn, NY 11203-2202 </t>
  </si>
  <si>
    <t xml:space="preserve">4225 NE 23rd Pl  Cape Coral, FL 33909 </t>
  </si>
  <si>
    <t xml:space="preserve">26 Glenn Rd </t>
  </si>
  <si>
    <t>Cape Coral Unit 84 Blk 5555 Pb 24 Pg 32 Lots 15 + 16</t>
  </si>
  <si>
    <t xml:space="preserve">1440 NE 34th St  Cape Coral, FL 33909 </t>
  </si>
  <si>
    <t xml:space="preserve">2900 NE 4th Pl  Cape Coral, FL 33909 </t>
  </si>
  <si>
    <t xml:space="preserve">3626 NE 18th Ave  Cape Coral, FL 33909 </t>
  </si>
  <si>
    <t>Ryder</t>
  </si>
  <si>
    <t>Kenny Boyd</t>
  </si>
  <si>
    <t xml:space="preserve">430 NE 5th Pl </t>
  </si>
  <si>
    <t>Frank Duque</t>
  </si>
  <si>
    <t>06-44-24-c3-02060.0220</t>
  </si>
  <si>
    <t>Feeza</t>
  </si>
  <si>
    <t xml:space="preserve">71 Lambert St  Narragansett, RI 02882-3503 </t>
  </si>
  <si>
    <t>33905-8654</t>
  </si>
  <si>
    <t xml:space="preserve">10335 Fire Flag Trl </t>
  </si>
  <si>
    <t>R028</t>
  </si>
  <si>
    <t>Cape Coral Unit 36 Blk 2337 Pb 16 Pg 124 Lots 12 + 13</t>
  </si>
  <si>
    <t xml:space="preserve">2305 NE 33rd Ln </t>
  </si>
  <si>
    <t xml:space="preserve">3715 Tallman St </t>
  </si>
  <si>
    <t xml:space="preserve">250 Prospect Ave  Revere, MA 02151-3818 </t>
  </si>
  <si>
    <t>Reno</t>
  </si>
  <si>
    <t xml:space="preserve">6530 Arbor Ave  Fort Myers, FL 33905 </t>
  </si>
  <si>
    <t>31-43-24-c1-02173.0050</t>
  </si>
  <si>
    <t>Chaves</t>
  </si>
  <si>
    <t xml:space="preserve">340 Jacaranda Pkwy E </t>
  </si>
  <si>
    <t xml:space="preserve">915 NE 23rd St </t>
  </si>
  <si>
    <t>Winters</t>
  </si>
  <si>
    <t xml:space="preserve">5211 S Aviemore Dr  Springfield, MO 65809-4680 </t>
  </si>
  <si>
    <t>18-43-24-c3-05752.0370</t>
  </si>
  <si>
    <t xml:space="preserve">1305 NE Juanita Pl  Cape Coral, FL 33909 </t>
  </si>
  <si>
    <t>Hernandez</t>
  </si>
  <si>
    <t xml:space="preserve">2015 NE 20th Ct  Cape Coral, FL 33909 </t>
  </si>
  <si>
    <t>Rajesh Darbhanga</t>
  </si>
  <si>
    <t>33905-3300</t>
  </si>
  <si>
    <t>Stultz</t>
  </si>
  <si>
    <t xml:space="preserve">Po Box 188 </t>
  </si>
  <si>
    <t>Hazlet Township</t>
  </si>
  <si>
    <t>33909-5485</t>
  </si>
  <si>
    <t>Michael &amp; Joanna Browning</t>
  </si>
  <si>
    <t>33177-7155</t>
  </si>
  <si>
    <t>33189-1341</t>
  </si>
  <si>
    <t xml:space="preserve">702 Pilot Knob Ave  Montrose, CO 81403-4706 </t>
  </si>
  <si>
    <t xml:space="preserve">10 Skipworth Green Cir  Richmond, VA 23294 </t>
  </si>
  <si>
    <t xml:space="preserve">4307 Lang Ave </t>
  </si>
  <si>
    <t xml:space="preserve">3117 NE 7th Pl </t>
  </si>
  <si>
    <t xml:space="preserve">3225 Mcleod Dr #777 </t>
  </si>
  <si>
    <t>Weismiller</t>
  </si>
  <si>
    <t>Cape Coral Unit 36 Blk 2547 Pb 16 Pg 113 Lots 20 + 21</t>
  </si>
  <si>
    <t>Cape Coral Unit 35 Blk 2396 Pb 16 Pg 103 Lots 4 + 5</t>
  </si>
  <si>
    <t>Hawk View</t>
  </si>
  <si>
    <t>16-44-26-04-00003.006a</t>
  </si>
  <si>
    <t xml:space="preserve">1018 NE 33rd St </t>
  </si>
  <si>
    <t xml:space="preserve">664 Palm Lake Dr  Naples, FL 34104-5406 </t>
  </si>
  <si>
    <t>94122-3305</t>
  </si>
  <si>
    <t>70123-2915</t>
  </si>
  <si>
    <t xml:space="preserve">7825 Park Ave  Houma, LA 70364-3112 </t>
  </si>
  <si>
    <t xml:space="preserve">3524 SE 10th Pl  Cape Coral, FL 33904 </t>
  </si>
  <si>
    <t>Cape Coral Unit 32 Blk.2161 Pb 16 Pg 11 Lots 3 + 4</t>
  </si>
  <si>
    <t xml:space="preserve">123 Kismet Pkwy E  Cape Coral, FL 33909 </t>
  </si>
  <si>
    <t xml:space="preserve">15217 Alexis Dr </t>
  </si>
  <si>
    <t xml:space="preserve">3003 NE 4th Ave  Cape Coral, FL 33909 </t>
  </si>
  <si>
    <t>19-43-24-c2-05753.0360</t>
  </si>
  <si>
    <t xml:space="preserve">5340 Beaufort Ave  Baltimore, MD 21215-4649 </t>
  </si>
  <si>
    <t xml:space="preserve">203 Hillcrest Dr </t>
  </si>
  <si>
    <t>08852-2337</t>
  </si>
  <si>
    <t xml:space="preserve">4117 NE 22nd Pl </t>
  </si>
  <si>
    <t>Cape Coral Unit 33 Blk 2236 Pb 16 Pg 52 Lots 4 + 5</t>
  </si>
  <si>
    <t xml:space="preserve">3848 Hopevale St </t>
  </si>
  <si>
    <t>33905-7720</t>
  </si>
  <si>
    <t>56073-5012</t>
  </si>
  <si>
    <t xml:space="preserve">703 E 800 w Rd  Tower Hill, IL 62571 </t>
  </si>
  <si>
    <t>00771-9787</t>
  </si>
  <si>
    <t xml:space="preserve">18412 Anicio Gallo Dr </t>
  </si>
  <si>
    <t>Robb</t>
  </si>
  <si>
    <t>Chalut</t>
  </si>
  <si>
    <t>Borges</t>
  </si>
  <si>
    <t>03-44-26-03-00015.0120</t>
  </si>
  <si>
    <t>Leroy</t>
  </si>
  <si>
    <t>11216-1937</t>
  </si>
  <si>
    <t>33909-9224</t>
  </si>
  <si>
    <t xml:space="preserve">2200 NE 2nd Pl  Cape Coral, FL 33909 </t>
  </si>
  <si>
    <t>Samuel Chacon</t>
  </si>
  <si>
    <t xml:space="preserve">3454 NE 11th Pl  Cape Coral, FL 33909 </t>
  </si>
  <si>
    <t>33909-6458</t>
  </si>
  <si>
    <t>07632-2036</t>
  </si>
  <si>
    <t>Maudier</t>
  </si>
  <si>
    <t xml:space="preserve">2028 NE 34th Ter </t>
  </si>
  <si>
    <t>17-43-24-c3-05786.0110</t>
  </si>
  <si>
    <t>Elsa Mora</t>
  </si>
  <si>
    <t>Montenegro</t>
  </si>
  <si>
    <t>Edwinna Kozlowski</t>
  </si>
  <si>
    <t>Cape Coral Unit 25 Blk 884 Pb 14 Pg 92 Lots 9 + 10</t>
  </si>
  <si>
    <t xml:space="preserve">PO Box 469  Onsted, MI 49265 </t>
  </si>
  <si>
    <t>Cape Coral Unit 35 Blk 2362 Pb 16 Pg 105 Lots 7 + 8</t>
  </si>
  <si>
    <t xml:space="preserve">8563 Woodgrove Harbor Ln </t>
  </si>
  <si>
    <t>Medina Gomez &amp; Parra Castro</t>
  </si>
  <si>
    <t xml:space="preserve">3833/3835 Hollycrest St  Fort Myers, FL 33905 </t>
  </si>
  <si>
    <t>Farah</t>
  </si>
  <si>
    <t>Cape Coral Unit 84 Blk 5583 Pb 24 Pg 48 Lots 15 + 16</t>
  </si>
  <si>
    <t>08816-2147</t>
  </si>
  <si>
    <t xml:space="preserve">1810 SW Sth Ave </t>
  </si>
  <si>
    <t xml:space="preserve">1933 Cornwallis Pkwy  Cape Coral, FL 33904 </t>
  </si>
  <si>
    <t>PO Box 1111</t>
  </si>
  <si>
    <t xml:space="preserve">13 Apt 402  Bogota, CO </t>
  </si>
  <si>
    <t>33909-1104</t>
  </si>
  <si>
    <t>Richard &amp; Maria Urban</t>
  </si>
  <si>
    <t>Stanley Camiel &amp; Ann Pearlman</t>
  </si>
  <si>
    <t>60010-1896</t>
  </si>
  <si>
    <t>29-43-24-c4-02258.0280</t>
  </si>
  <si>
    <t>Parque De Leon Blk 10 Pb 6 Pg 72 Lot 5 + Sw 1/2 Vacated Elvas Ave</t>
  </si>
  <si>
    <t>Mara Koehler</t>
  </si>
  <si>
    <t>03-44-26-13-00076.0030</t>
  </si>
  <si>
    <t xml:space="preserve">3449 NE 8th Pl </t>
  </si>
  <si>
    <t xml:space="preserve">623 SE 31st St </t>
  </si>
  <si>
    <t>33909-4262</t>
  </si>
  <si>
    <t>Auf Den Hohen</t>
  </si>
  <si>
    <t>33020-6445</t>
  </si>
  <si>
    <t>33909-1496</t>
  </si>
  <si>
    <t>Red Oak Creek</t>
  </si>
  <si>
    <t>Sigal</t>
  </si>
  <si>
    <t>George Mcclory &amp; Carolann Bonifield</t>
  </si>
  <si>
    <t>Webb &amp; Linda Sledge</t>
  </si>
  <si>
    <t>Moshe Aharon</t>
  </si>
  <si>
    <t xml:space="preserve">1410 NE Juanita Pl </t>
  </si>
  <si>
    <t xml:space="preserve">1007 NE 13th Ave  Cape Coral, FL 33909 </t>
  </si>
  <si>
    <t>Salahuddin</t>
  </si>
  <si>
    <t xml:space="preserve">2801 Forman Rd </t>
  </si>
  <si>
    <t xml:space="preserve">69 Buckingham Dr </t>
  </si>
  <si>
    <t>Finley</t>
  </si>
  <si>
    <t xml:space="preserve">15031 Meadowlake St </t>
  </si>
  <si>
    <t xml:space="preserve">23371 Mulholland Dr #443, Woodland Hills, CA 91364-2734 </t>
  </si>
  <si>
    <t>Cape Coral Unit 35 Blk 2397 Pb 16 Pg 106 Lots 17 + 18</t>
  </si>
  <si>
    <t xml:space="preserve">1266 NE 41st Ter  Cape Coral, FL 33909 </t>
  </si>
  <si>
    <t>Helen &amp; For Queisser</t>
  </si>
  <si>
    <t xml:space="preserve">10231 Surfwood Ct </t>
  </si>
  <si>
    <t xml:space="preserve">402 Lake Shore Rd  Putnam Valley, NY 10579-1338 </t>
  </si>
  <si>
    <t>Cape Coral Unit 36 Blk 2335 Pb 16 Pg 127 Lots 63 + 64</t>
  </si>
  <si>
    <t>Raeanne</t>
  </si>
  <si>
    <t>Allensworth</t>
  </si>
  <si>
    <t xml:space="preserve">124 Main St </t>
  </si>
  <si>
    <t xml:space="preserve">1246 NE 40th Ter  Cape Coral, FL 33909 </t>
  </si>
  <si>
    <t xml:space="preserve">4314 Lakeway Dr  Orlando, FL 32839-1030 </t>
  </si>
  <si>
    <t xml:space="preserve">Po Box 276 </t>
  </si>
  <si>
    <t>Ale Bazyhan</t>
  </si>
  <si>
    <t>Trina R Spangler Trust</t>
  </si>
  <si>
    <t>20-43-24-c2-05665.0120</t>
  </si>
  <si>
    <t xml:space="preserve">1047 NE 40th St </t>
  </si>
  <si>
    <t xml:space="preserve">821 NE 44th St  Cape Coral, FL 33909 </t>
  </si>
  <si>
    <t>Mirasua &amp; Lidia Miranda</t>
  </si>
  <si>
    <t>6n702</t>
  </si>
  <si>
    <t xml:space="preserve">822 Diplomat Pkwy E  Cape Coral, FL 33909 </t>
  </si>
  <si>
    <t xml:space="preserve">216 SE 29th Ter  Cape Coral, FL 33904 </t>
  </si>
  <si>
    <t>Cape Coral Unit 87 Blk 5683 Pb 24 Pg 74 Lots 13 + 14</t>
  </si>
  <si>
    <t>Greenwood Park Blk 5 Pb 5 Pg 59 Pt Lots 1 + 2 the E 60 Ft</t>
  </si>
  <si>
    <t>33909-1981</t>
  </si>
  <si>
    <t xml:space="preserve">7925 Asheville Hwy  Knoxville, TN 37924-3004 </t>
  </si>
  <si>
    <t xml:space="preserve">5250 Cypress Trail Resort Cir  Fort Myers, FL 33905 </t>
  </si>
  <si>
    <t>Flitsch</t>
  </si>
  <si>
    <t>07-45-24-c1-00259.0260</t>
  </si>
  <si>
    <t>Welton-Beatty</t>
  </si>
  <si>
    <t>33904-7195</t>
  </si>
  <si>
    <t>Ruben &amp; Luis Arguelles</t>
  </si>
  <si>
    <t>94087-4017</t>
  </si>
  <si>
    <t xml:space="preserve">6255 W Temperance Rd  Ottawa Lake, MI 49267-8732 </t>
  </si>
  <si>
    <t>Emile</t>
  </si>
  <si>
    <t xml:space="preserve">6031 Tabor Ave  Fort Myers, FL 33905 </t>
  </si>
  <si>
    <t>Cape Coral Unit 84 Blk 5557 Pb 24 Pg 33 Lots 27 Thru 29</t>
  </si>
  <si>
    <t xml:space="preserve">4026 NE 23rd Pl </t>
  </si>
  <si>
    <t>Cypress Woods Rv Resort Un 3 Desc In Pb 72 Pgs 92-95 Blk C Lot 105</t>
  </si>
  <si>
    <t>Anthony &amp; Loretta Minieri</t>
  </si>
  <si>
    <t>Rodny</t>
  </si>
  <si>
    <t xml:space="preserve">2532 NE 20th Ave  Cape Coral, FL 33909 </t>
  </si>
  <si>
    <t xml:space="preserve">PO Box 843  Port Chester, NY 10573 </t>
  </si>
  <si>
    <t>81st circle</t>
  </si>
  <si>
    <t>19-43-24-c3-05611.0220</t>
  </si>
  <si>
    <t>Clearbrook</t>
  </si>
  <si>
    <t>Kingston</t>
  </si>
  <si>
    <t>18034-8814</t>
  </si>
  <si>
    <t xml:space="preserve">10320 Prairie Iris Dr  Fort Myers, FL 33905 </t>
  </si>
  <si>
    <t xml:space="preserve">502 NE 20th Ter  Cape Coral, FL 33909 </t>
  </si>
  <si>
    <t xml:space="preserve">900 Hamilton Dr  Allen, TX 75002-8167 </t>
  </si>
  <si>
    <t>Vaughan</t>
  </si>
  <si>
    <t>11-44-25-06-0000d.0370</t>
  </si>
  <si>
    <t xml:space="preserve">1403 SE 32nd Ter </t>
  </si>
  <si>
    <t>Cape Coral Unit 85 Blk 5646 Pb 24 Pg 55 Lots 27 + 28</t>
  </si>
  <si>
    <t>20-43-24-c3-05672.0430</t>
  </si>
  <si>
    <t xml:space="preserve">2779 Woodland Ave  Norristown, PA 19403-1677 </t>
  </si>
  <si>
    <t xml:space="preserve">468 NE 3rd Pl </t>
  </si>
  <si>
    <t>Bobby</t>
  </si>
  <si>
    <t>Cape Coral Unit 88 Blk 5776 Pb 24 Pg 134 Lots 7 + 8</t>
  </si>
  <si>
    <t>Marisol &amp; For Echevarria</t>
  </si>
  <si>
    <t>48842-8602</t>
  </si>
  <si>
    <t xml:space="preserve">611 Morris Park Ave  Bronx, NY 10460-2534 </t>
  </si>
  <si>
    <t>Penny</t>
  </si>
  <si>
    <t>Marianne</t>
  </si>
  <si>
    <t xml:space="preserve">1169 NE 44th Ln  Cape Coral, FL 33909 </t>
  </si>
  <si>
    <t>Cape Coral Unit 33 Blk 2277 Pb 16 Pg 58 Lots 3 + 4</t>
  </si>
  <si>
    <t>R077</t>
  </si>
  <si>
    <t>Cape Coral Unit 88 Blk 5761 Pb 24 Pg 134 Lots 12 + 13</t>
  </si>
  <si>
    <t xml:space="preserve">2330 NE 34th Ln  Cape Coral, FL 33909 </t>
  </si>
  <si>
    <t>33909-2665</t>
  </si>
  <si>
    <t xml:space="preserve">1516 San Pedro Rd NE </t>
  </si>
  <si>
    <t>34-43-24-01-00033.0010</t>
  </si>
  <si>
    <t xml:space="preserve">6052 Jonathan Ave  Fort Myers, FL 33905 </t>
  </si>
  <si>
    <t xml:space="preserve">Enrique #265, Santiago, CL 83200 </t>
  </si>
  <si>
    <t>02673-2559</t>
  </si>
  <si>
    <t>37215-5001</t>
  </si>
  <si>
    <t>Curridabat</t>
  </si>
  <si>
    <t xml:space="preserve">1333 S Ocean Blvd #518, Pompano Beach, FL 33062-6928 </t>
  </si>
  <si>
    <t xml:space="preserve">10268 Meadow Beauty Trl </t>
  </si>
  <si>
    <t>Mount Home Church</t>
  </si>
  <si>
    <t>Pecan</t>
  </si>
  <si>
    <t xml:space="preserve">1229 NE 5th Pl </t>
  </si>
  <si>
    <t>60th</t>
  </si>
  <si>
    <t>55125-4913</t>
  </si>
  <si>
    <t xml:space="preserve">935 Iris Dr  North Fort Myers, FL 33903 </t>
  </si>
  <si>
    <t xml:space="preserve">PO Box 977  Troy, OH 45373 </t>
  </si>
  <si>
    <t>46250-2208</t>
  </si>
  <si>
    <t>R J R &amp; Shirley Popielarz</t>
  </si>
  <si>
    <t xml:space="preserve">8910 SW Umatilla St </t>
  </si>
  <si>
    <t>Sewpersaud Jagroop</t>
  </si>
  <si>
    <t xml:space="preserve">1905 NE 1st Pl </t>
  </si>
  <si>
    <t>33909-6404</t>
  </si>
  <si>
    <t>Khellah</t>
  </si>
  <si>
    <t>Cape Coral Unit 36 Pt 1 Blk 2481 Pb 23 Pg 90 Lots 52 + 53</t>
  </si>
  <si>
    <t>Lehigh Acres Unit 14 Blk 84 Pg 26 Pg 20 Lot 5</t>
  </si>
  <si>
    <t xml:space="preserve">2706 NE 6th Ave  Cape Coral, FL 33909 </t>
  </si>
  <si>
    <t xml:space="preserve">246 Caravan Cir </t>
  </si>
  <si>
    <t xml:space="preserve">PO Box 971107  Coconut Creek, FL 33097-1107 </t>
  </si>
  <si>
    <t>Cape Coral Unit 32 Blk 2149 Pb 16 Pg 11 Lots 32 + 33</t>
  </si>
  <si>
    <t>PO Box 508</t>
  </si>
  <si>
    <t>Hendersonville</t>
  </si>
  <si>
    <t xml:space="preserve">70 Center Rd  Woodbridge, CT 06525-1633 </t>
  </si>
  <si>
    <t xml:space="preserve">Po Box 207001 </t>
  </si>
  <si>
    <t>Lake Peekskill</t>
  </si>
  <si>
    <t>03-44-26-05-00025.0020</t>
  </si>
  <si>
    <t xml:space="preserve">9321 Buckingham Rd  Fort Myers, FL 33905 </t>
  </si>
  <si>
    <t>32832-6959</t>
  </si>
  <si>
    <t xml:space="preserve">54089 Rienas Ln </t>
  </si>
  <si>
    <t xml:space="preserve">Theodor-Heuss Street A </t>
  </si>
  <si>
    <t xml:space="preserve">21 Calle 163 #85, Bogota Cund, CO </t>
  </si>
  <si>
    <t>3f</t>
  </si>
  <si>
    <t xml:space="preserve">511 Jersey Ave  Elizabeth, NJ 07202-1725 </t>
  </si>
  <si>
    <t xml:space="preserve">1027 NE 34th Ter </t>
  </si>
  <si>
    <t>Cypress Trail Rv Resort Phase 4-A As Desc In Inst# 20160000135610 Lot 385</t>
  </si>
  <si>
    <t>29-43-24-c4-02256.0190</t>
  </si>
  <si>
    <t>Lemon</t>
  </si>
  <si>
    <t xml:space="preserve">221 Turnberry Ct N </t>
  </si>
  <si>
    <t>Benedict</t>
  </si>
  <si>
    <t>Ryan &amp; For Weisenborn</t>
  </si>
  <si>
    <t xml:space="preserve">523 NE 5th Ave </t>
  </si>
  <si>
    <t xml:space="preserve">1508 NE 34th Ln </t>
  </si>
  <si>
    <t>Northampton</t>
  </si>
  <si>
    <t>72076-3311</t>
  </si>
  <si>
    <t>11-44-25-05-0000c.1260</t>
  </si>
  <si>
    <t xml:space="preserve">6113 Holt Ct </t>
  </si>
  <si>
    <t>Senad</t>
  </si>
  <si>
    <t>34117-9192</t>
  </si>
  <si>
    <t xml:space="preserve">225 List Rd  Palm Beach, FL 33480-3225 </t>
  </si>
  <si>
    <t xml:space="preserve">1104 Garfield St </t>
  </si>
  <si>
    <t>33904-2925</t>
  </si>
  <si>
    <t>Hanehes</t>
  </si>
  <si>
    <t xml:space="preserve">24871 Somerby Dr  Chantilly, VA 20152-5953 </t>
  </si>
  <si>
    <t>29-43-24-c3-02280.0330</t>
  </si>
  <si>
    <t xml:space="preserve">18244 Pioneer Rd </t>
  </si>
  <si>
    <t>18-45-24-c4-00039.0030</t>
  </si>
  <si>
    <t>Cadolzburg</t>
  </si>
  <si>
    <t>Wayne &amp; Mary Roach</t>
  </si>
  <si>
    <t>11-44-25-11-00000.2200</t>
  </si>
  <si>
    <t>Cape Coral Unit 35 Blk 2386 Pb 16 Pg 111 Lots 45 + 46</t>
  </si>
  <si>
    <t>Strader</t>
  </si>
  <si>
    <t>Gitit</t>
  </si>
  <si>
    <t>31-43-24-c1-02161.0670</t>
  </si>
  <si>
    <t>Cape Coral Unit 33 Blk 2271 Pb 16 Pg 58 Lots 26 + 27</t>
  </si>
  <si>
    <t>11735-6508</t>
  </si>
  <si>
    <t>Randy Weishaar</t>
  </si>
  <si>
    <t xml:space="preserve">4113 NE 23rd Pl </t>
  </si>
  <si>
    <t xml:space="preserve">34 Rue De La Matelotte </t>
  </si>
  <si>
    <t>Tallyrand</t>
  </si>
  <si>
    <t>Cyndy Joan Sawyer Living Trust</t>
  </si>
  <si>
    <t>Cypress Woods Rv Resort Un 3 Desc In Pb 72 Pgs 92-95 Blk C Lot 10</t>
  </si>
  <si>
    <t>41139-1755</t>
  </si>
  <si>
    <t>Ben Rafols &amp; Estate American</t>
  </si>
  <si>
    <t>Cape Coral Unit 84 Blk 5564 Pb 24 Pg 37 Lots 73 + 74</t>
  </si>
  <si>
    <t xml:space="preserve">26 Johannisstrasse </t>
  </si>
  <si>
    <t>Cameron Station</t>
  </si>
  <si>
    <t xml:space="preserve">1438 NE 2nd Ter  Cape Coral, FL 33909 </t>
  </si>
  <si>
    <t>B033</t>
  </si>
  <si>
    <t>Myrta Pound</t>
  </si>
  <si>
    <t xml:space="preserve">345 E 39th Pl  Hialeah, FL 33013-2263 </t>
  </si>
  <si>
    <t>Venice Gardens</t>
  </si>
  <si>
    <t>Tanis</t>
  </si>
  <si>
    <t xml:space="preserve">12094 NW 76th Pl  Parkland, FL 33076-4504 </t>
  </si>
  <si>
    <t>Pisano</t>
  </si>
  <si>
    <t>Holmquist</t>
  </si>
  <si>
    <t xml:space="preserve">1013 NE 14th Ter </t>
  </si>
  <si>
    <t xml:space="preserve">121 Ridgeland Dr </t>
  </si>
  <si>
    <t>18-43-24-c1-05695.0290</t>
  </si>
  <si>
    <t>Liliana</t>
  </si>
  <si>
    <t>Lehigh Acres Unit 7 Blk 33 Pb 26 Pg 9 Lot 26</t>
  </si>
  <si>
    <t xml:space="preserve">5750 Cypress Woods Resort Dr  Fort Myers, FL 33905 </t>
  </si>
  <si>
    <t>33909-4807</t>
  </si>
  <si>
    <t>33909-5284</t>
  </si>
  <si>
    <t>PO Box 13</t>
  </si>
  <si>
    <t>Jonathan &amp; Gila Kurtz</t>
  </si>
  <si>
    <t>Juan Serrano</t>
  </si>
  <si>
    <t>33908-4261</t>
  </si>
  <si>
    <t>Tam &amp; Tammy Nguyen</t>
  </si>
  <si>
    <t xml:space="preserve">80 Ripley St </t>
  </si>
  <si>
    <t xml:space="preserve">215 Lockwood Ct </t>
  </si>
  <si>
    <t>Cape Coral Unit 84 Blk 5587 Pb 24 Pg 44 Lots 25 + 26</t>
  </si>
  <si>
    <t>Blacksburg</t>
  </si>
  <si>
    <t xml:space="preserve">308 Aviation Pkwy </t>
  </si>
  <si>
    <t xml:space="preserve">50 Island Dr </t>
  </si>
  <si>
    <t>Bachta</t>
  </si>
  <si>
    <t xml:space="preserve">Access Undetermined  North Fort Myers, FL 33903 </t>
  </si>
  <si>
    <t>Buckingham Pk Re Blk B U-5 Blk 29 Pb 27 Pg 193 Lot 8</t>
  </si>
  <si>
    <t>WA</t>
  </si>
  <si>
    <t>11-44-25-04-0000b.0700</t>
  </si>
  <si>
    <t>Duc Nguyen &amp; Sandy Duong</t>
  </si>
  <si>
    <t>C006</t>
  </si>
  <si>
    <t>01-45-23-c1-00858.0920</t>
  </si>
  <si>
    <t>03-44-26-04-00021.0140</t>
  </si>
  <si>
    <t>Cape Coral Unit 36 Blk 2523 Pb 16 Pg 114 Lots 34 + 35</t>
  </si>
  <si>
    <t>Cypress Trail Rv Resort Phase 4-C Block B Lot 442 As Desc In Inst 2019000042424</t>
  </si>
  <si>
    <t xml:space="preserve">706 NE 12th St </t>
  </si>
  <si>
    <t xml:space="preserve">1323 NE 23rd St  Cape Coral, FL 33909 </t>
  </si>
  <si>
    <t xml:space="preserve">6044 Houston Ave  Fort Myers, FL 33905 </t>
  </si>
  <si>
    <t>Mobilehaven Estates Unrec Blk B Lot 48</t>
  </si>
  <si>
    <t>Le Pere School</t>
  </si>
  <si>
    <t xml:space="preserve">2112 NE 2nd Ave </t>
  </si>
  <si>
    <t>R023</t>
  </si>
  <si>
    <t>Zamboanga City</t>
  </si>
  <si>
    <t xml:space="preserve">2318 NE 20th Ave  Cape Coral, FL 33909 </t>
  </si>
  <si>
    <t>Undercliff</t>
  </si>
  <si>
    <t>10314-3109</t>
  </si>
  <si>
    <t xml:space="preserve">2723 NE 5th Pl  Cape Coral, FL 33909 </t>
  </si>
  <si>
    <t xml:space="preserve">956 Whalebone Bay Dr </t>
  </si>
  <si>
    <t>31-43-24-c1-02162.0470</t>
  </si>
  <si>
    <t>Daniel Balks</t>
  </si>
  <si>
    <t xml:space="preserve">Campisa Bloque P #9, San Pedro Sula, HN 21101 </t>
  </si>
  <si>
    <t>33909-6257</t>
  </si>
  <si>
    <t xml:space="preserve">1987 Anniston Dr  the Villages, FL 32162-4383 </t>
  </si>
  <si>
    <t>Cape Coral Unit 34 Blk.2433 Pb 16 Pg 82 Lots 7 8</t>
  </si>
  <si>
    <t>Reynoza</t>
  </si>
  <si>
    <t xml:space="preserve">16560 Deer Path Ln </t>
  </si>
  <si>
    <t>Nancy Larner</t>
  </si>
  <si>
    <t>33909-8938</t>
  </si>
  <si>
    <t>Cape Coral Unit 36 Blk 2316 Pb 16 Pg 123 Lots 33 + 34</t>
  </si>
  <si>
    <t>Rothstein</t>
  </si>
  <si>
    <t>Charles &amp; For Ringler</t>
  </si>
  <si>
    <t xml:space="preserve">2 NE 9th St  Cape Coral, FL 33909 </t>
  </si>
  <si>
    <t>Windgate</t>
  </si>
  <si>
    <t xml:space="preserve">3630 12th Ave NE </t>
  </si>
  <si>
    <t>06-44-24-c4-02055.0120</t>
  </si>
  <si>
    <t>Cape Coral Unit 36 Pt 1 Blk 2476 Pb 23 Pg 89 Lots 36 + 37</t>
  </si>
  <si>
    <t>Big Pine Key</t>
  </si>
  <si>
    <t>N2A 3V4</t>
  </si>
  <si>
    <t xml:space="preserve">3610 NE 21st Pl  Cape Coral, FL 33909 </t>
  </si>
  <si>
    <t>92677-6315</t>
  </si>
  <si>
    <t xml:space="preserve">Po Box 781 </t>
  </si>
  <si>
    <t xml:space="preserve">1242 NE 40th St  Cape Coral, FL 33909 </t>
  </si>
  <si>
    <t>Linh Tong &amp; Huan Tran</t>
  </si>
  <si>
    <t>06-44-24-c2-02095.0430</t>
  </si>
  <si>
    <t>Cape Coral Unit 32 Blk.2172 Pb 16 Pg 8 Lots 21 + 22</t>
  </si>
  <si>
    <t>Cape Coral Unit 34 Blk.2460 Pb 16 Pg 86 Lots 33 + 34</t>
  </si>
  <si>
    <t>18-43-24-c1-05696.0090</t>
  </si>
  <si>
    <t>33029-5300</t>
  </si>
  <si>
    <t>Favuzzi</t>
  </si>
  <si>
    <t>33904-5833</t>
  </si>
  <si>
    <t>Samyukta</t>
  </si>
  <si>
    <t xml:space="preserve">236 Pressler Rd </t>
  </si>
  <si>
    <t>Rogelio &amp; Ermalyn King</t>
  </si>
  <si>
    <t xml:space="preserve">411 Congress St W </t>
  </si>
  <si>
    <t>Belki Cabral</t>
  </si>
  <si>
    <t>Menefee</t>
  </si>
  <si>
    <t xml:space="preserve">3749 NE 16th Pl </t>
  </si>
  <si>
    <t xml:space="preserve">1912 NE 6th Ave </t>
  </si>
  <si>
    <t>08088-9341</t>
  </si>
  <si>
    <t>Harshavardha Challa</t>
  </si>
  <si>
    <t>03811-5113</t>
  </si>
  <si>
    <t>32563-5623</t>
  </si>
  <si>
    <t>Le Roy</t>
  </si>
  <si>
    <t>Lone Tree</t>
  </si>
  <si>
    <t>Julio Cruz</t>
  </si>
  <si>
    <t>Reynol</t>
  </si>
  <si>
    <t>Mario Jarrin</t>
  </si>
  <si>
    <t>Paraggi</t>
  </si>
  <si>
    <t xml:space="preserve">417 Delgado Dr  Baton Rouge, LA 70808-4725 </t>
  </si>
  <si>
    <t>Gianni &amp; Shirley Barnea</t>
  </si>
  <si>
    <t>54217-1053</t>
  </si>
  <si>
    <t>Majestic</t>
  </si>
  <si>
    <t>Three Rivers</t>
  </si>
  <si>
    <t>Crosley</t>
  </si>
  <si>
    <t>Richmond Hill</t>
  </si>
  <si>
    <t>Jeanette Brito</t>
  </si>
  <si>
    <t xml:space="preserve">31 Horseshoe Bend Rd </t>
  </si>
  <si>
    <t xml:space="preserve">3342 Lawson Ln </t>
  </si>
  <si>
    <t>Mariano</t>
  </si>
  <si>
    <t xml:space="preserve">3 Route De Colombey </t>
  </si>
  <si>
    <t>Arlington Pb 16 Pg 38-39 Lot 304</t>
  </si>
  <si>
    <t xml:space="preserve">9800 SW 49th St  Miami, FL 33165-6314 </t>
  </si>
  <si>
    <t>25-43-23-c3-02314.0380</t>
  </si>
  <si>
    <t xml:space="preserve">2 Colletto Ct  Edison, NJ 08817-2280 </t>
  </si>
  <si>
    <t>Christen</t>
  </si>
  <si>
    <t>Cape Coral Unit 87 Blk 5706 Pb 24 Pg 71 Lots 53 + 54</t>
  </si>
  <si>
    <t>Lou</t>
  </si>
  <si>
    <t xml:space="preserve">1220 NE 6th Pl </t>
  </si>
  <si>
    <t xml:space="preserve">1205 NE 10th St </t>
  </si>
  <si>
    <t xml:space="preserve">1433 NE 19th Ave  Cape Coral, FL 33909 </t>
  </si>
  <si>
    <t>Dennis Manganello &amp; For Avenue</t>
  </si>
  <si>
    <t>Alward</t>
  </si>
  <si>
    <t>Cape Coral Unit 36 Blk 2544 Pb 16 Pg 115 Lots 11 + 12</t>
  </si>
  <si>
    <t>Cape Coral Unit 32 Blk 2143 Pb 16 Pg 6 Lots 20 Thru 22</t>
  </si>
  <si>
    <t>Mehlville</t>
  </si>
  <si>
    <t>Cape Coral Unit 33 Blk.2226 Pb 16 Pg 46 Lots 17 + 18</t>
  </si>
  <si>
    <t>Brande</t>
  </si>
  <si>
    <t>19-43-24-c4-05551.0010</t>
  </si>
  <si>
    <t xml:space="preserve">5541 S Langston Rd </t>
  </si>
  <si>
    <t>Brunhilde</t>
  </si>
  <si>
    <t xml:space="preserve">830 NE 34th Ter </t>
  </si>
  <si>
    <t xml:space="preserve">2113 NE 15th St </t>
  </si>
  <si>
    <t>77057-1474</t>
  </si>
  <si>
    <t xml:space="preserve">1511 Panama St  Mishawaka, IN 46544-4624 </t>
  </si>
  <si>
    <t xml:space="preserve">7889 E 106th St #2010 </t>
  </si>
  <si>
    <t xml:space="preserve">802 Amherst Dr  Waxahachie, TX 75165-4671 </t>
  </si>
  <si>
    <t xml:space="preserve">440 E 79th St 16g, New York, NY 10075-1463 </t>
  </si>
  <si>
    <t xml:space="preserve">1614 NE 2nd Ave </t>
  </si>
  <si>
    <t>John &amp; Sharon Smith</t>
  </si>
  <si>
    <t>Cape Coral Unit 85 Blk 5633 Pb 24 Pg 51 Lots 51 + 52</t>
  </si>
  <si>
    <t>Kristen</t>
  </si>
  <si>
    <t>Cerruti</t>
  </si>
  <si>
    <t>33909-7426</t>
  </si>
  <si>
    <t xml:space="preserve">18911 N Fruitport Rd </t>
  </si>
  <si>
    <t>33909-1491</t>
  </si>
  <si>
    <t>Cape Coral Unit 34 Blk 2466 Pb 16 Pg 77 Lots 13 + 14</t>
  </si>
  <si>
    <t xml:space="preserve">4130 E Gator Cir  Cape Coral, FL 33909 </t>
  </si>
  <si>
    <t>Komarowski</t>
  </si>
  <si>
    <t>09-44-25-15-0000c.0010</t>
  </si>
  <si>
    <t>02346-3137</t>
  </si>
  <si>
    <t>Cape Coral Unit 84 Blk 5586 Pb 24 Pg 48 Lots 25 + 26</t>
  </si>
  <si>
    <t>Gentile</t>
  </si>
  <si>
    <t xml:space="preserve">3421 Andalusia Blvd </t>
  </si>
  <si>
    <t xml:space="preserve">3706 Kilarney St  Fort Myers, FL 33905 </t>
  </si>
  <si>
    <t>06-44-24-c1-02097.0090</t>
  </si>
  <si>
    <t>Subhash Chugh</t>
  </si>
  <si>
    <t>Booth Meadow</t>
  </si>
  <si>
    <t xml:space="preserve">36 Orchard Rd  Loogootee, IN 47553-9366 </t>
  </si>
  <si>
    <t>Cape Coral Unit 11 Blk.572 Pb 13 Pg 48 Lots 57 + 58</t>
  </si>
  <si>
    <t xml:space="preserve">1105 Alexander Ave </t>
  </si>
  <si>
    <t xml:space="preserve">1047 Janet Ave </t>
  </si>
  <si>
    <t xml:space="preserve">323 NE 23rd St </t>
  </si>
  <si>
    <t xml:space="preserve">1807 N Gator Cir  Cape Coral, FL 33909 </t>
  </si>
  <si>
    <t>10473-3711</t>
  </si>
  <si>
    <t xml:space="preserve">4545 Palisade Ave 2b, Union City, NJ 07087-7531 </t>
  </si>
  <si>
    <t xml:space="preserve">2309 NE 33rd Ln </t>
  </si>
  <si>
    <t>Adolfo &amp; Minda Robles</t>
  </si>
  <si>
    <t>Roberta</t>
  </si>
  <si>
    <t xml:space="preserve">426 Walnut St </t>
  </si>
  <si>
    <t>Kerri</t>
  </si>
  <si>
    <t xml:space="preserve">2101 NE 34th Ter  Cape Coral, FL 33909 </t>
  </si>
  <si>
    <t>Feiner</t>
  </si>
  <si>
    <t>Faribault</t>
  </si>
  <si>
    <t>25-43-23-c4-02309.0770</t>
  </si>
  <si>
    <t>Patrick &amp; Linda Healy</t>
  </si>
  <si>
    <t>Elisa Diez</t>
  </si>
  <si>
    <t xml:space="preserve">3898 Parkers Fry </t>
  </si>
  <si>
    <t xml:space="preserve">3211 NE 14th Ct </t>
  </si>
  <si>
    <t xml:space="preserve">10023 Rambelwood Ct </t>
  </si>
  <si>
    <t>Kirk</t>
  </si>
  <si>
    <t>North River</t>
  </si>
  <si>
    <t xml:space="preserve">22a Marion St  Natick, MA 01760-3620 </t>
  </si>
  <si>
    <t>H017</t>
  </si>
  <si>
    <t xml:space="preserve">8306 Salford Way </t>
  </si>
  <si>
    <t>77494-1739</t>
  </si>
  <si>
    <t xml:space="preserve">2032 NW 184th Way </t>
  </si>
  <si>
    <t>05-44-24-c2-2220a.0310</t>
  </si>
  <si>
    <t>Grey Feather</t>
  </si>
  <si>
    <t>02-44-25-03-00024.0000</t>
  </si>
  <si>
    <t xml:space="preserve">2702 NE 7th Ave  Cape Coral, FL 33909 </t>
  </si>
  <si>
    <t>Woods Chapel</t>
  </si>
  <si>
    <t>18-43-24-c1-05690.0300</t>
  </si>
  <si>
    <t>Tung</t>
  </si>
  <si>
    <t>20-43-24-c1-05648.0030</t>
  </si>
  <si>
    <t>20-43-24-c2-05656.0390</t>
  </si>
  <si>
    <t>Glenroy</t>
  </si>
  <si>
    <t>06-45-24-c2-00500.0350</t>
  </si>
  <si>
    <t xml:space="preserve">6016 Jadestone Ave </t>
  </si>
  <si>
    <t>Holiday Travel Park R V Condo Ph 2 Or 1557 Pg 1600 Unit 491</t>
  </si>
  <si>
    <t xml:space="preserve">3282 Laurel Dale Dr  Tampa, FL 33618-1031 </t>
  </si>
  <si>
    <t>Ross Crouch</t>
  </si>
  <si>
    <t xml:space="preserve">1412 NE 5th Pl </t>
  </si>
  <si>
    <t>Zedro</t>
  </si>
  <si>
    <t>Santiago-Munoz</t>
  </si>
  <si>
    <t xml:space="preserve">16330 Lapwing Ln </t>
  </si>
  <si>
    <t>Denny</t>
  </si>
  <si>
    <t>For Anderson &amp; Kayla J Montgomery Trust</t>
  </si>
  <si>
    <t>33905-4410</t>
  </si>
  <si>
    <t xml:space="preserve">4864 Buckboard Way </t>
  </si>
  <si>
    <t>33904-5005</t>
  </si>
  <si>
    <t>C055</t>
  </si>
  <si>
    <t>Mendota</t>
  </si>
  <si>
    <t>33905-8709</t>
  </si>
  <si>
    <t>Kolojeski</t>
  </si>
  <si>
    <t xml:space="preserve">212 NE 18th St </t>
  </si>
  <si>
    <t xml:space="preserve">496 NE 4th Pl  Cape Coral, FL 33909 </t>
  </si>
  <si>
    <t xml:space="preserve">400 N Spruce St </t>
  </si>
  <si>
    <t xml:space="preserve">205 W End Ave </t>
  </si>
  <si>
    <t>11-44-25-10-00000.4740</t>
  </si>
  <si>
    <t xml:space="preserve">410 S Ware Blvd #607 </t>
  </si>
  <si>
    <t xml:space="preserve">26056 W Marlin Dr </t>
  </si>
  <si>
    <t>Cape Coral Unit 87 Blk 5726 Pb 24 Pg 85 Lots 40 + 41</t>
  </si>
  <si>
    <t xml:space="preserve">365 W Jamestown Ave </t>
  </si>
  <si>
    <t xml:space="preserve">9560 SW 107th Ave #202 </t>
  </si>
  <si>
    <t xml:space="preserve">3812 Wind Dancer Cir </t>
  </si>
  <si>
    <t xml:space="preserve">PO Box 310239  Atlanta, GA 31131 </t>
  </si>
  <si>
    <t xml:space="preserve">2010 NE 18th Ave </t>
  </si>
  <si>
    <t>Zacaria</t>
  </si>
  <si>
    <t>33407-6848</t>
  </si>
  <si>
    <t>Providence Forge</t>
  </si>
  <si>
    <t>33909-1241</t>
  </si>
  <si>
    <t>30078-2116</t>
  </si>
  <si>
    <t xml:space="preserve">8318 Wahl Manor Ct </t>
  </si>
  <si>
    <t>54962-9626</t>
  </si>
  <si>
    <t>Cape Coral Unit 33 Blk 2182 Pb 16 Pg 49 Lots 77 + 78</t>
  </si>
  <si>
    <t>Marthia Smith</t>
  </si>
  <si>
    <t xml:space="preserve">655 Hillside Rd SE  New Prague, MN 56071-4033 </t>
  </si>
  <si>
    <t>33903-3608</t>
  </si>
  <si>
    <t>Zaslavskaya</t>
  </si>
  <si>
    <t xml:space="preserve">40 Frazer Dr  Greenlawn, NY 11740-2007 </t>
  </si>
  <si>
    <t>09-44-25-06-0000d.0360</t>
  </si>
  <si>
    <t>03-44-26-11-00055.0060</t>
  </si>
  <si>
    <t>33177-1275</t>
  </si>
  <si>
    <t>Zalman Labkowski</t>
  </si>
  <si>
    <t>L9A 3G9</t>
  </si>
  <si>
    <t xml:space="preserve">2441 Gorno St  Trenton, MI 48183-2540 </t>
  </si>
  <si>
    <t xml:space="preserve">2589 Quails Run  Mississauga, ON L5m 5J9 </t>
  </si>
  <si>
    <t>Donald Rose</t>
  </si>
  <si>
    <t xml:space="preserve">5683 SW 129th Pl </t>
  </si>
  <si>
    <t>Guy</t>
  </si>
  <si>
    <t>25-43-23-c3-02341.0110</t>
  </si>
  <si>
    <t>Cypress Woods Rv Resort Ut 1 Pb 65 Pg 85 + 86 Blk B Lot 44</t>
  </si>
  <si>
    <t>10530-2312</t>
  </si>
  <si>
    <t>Fallbrook</t>
  </si>
  <si>
    <t>Arshad Ali &amp; Shadida Parveen</t>
  </si>
  <si>
    <t>Saint-Donat-De-Montcalm</t>
  </si>
  <si>
    <t>33545-2204</t>
  </si>
  <si>
    <t xml:space="preserve">6105 Higgins Ave </t>
  </si>
  <si>
    <t>Juan Garcia &amp; Victoria Martinez</t>
  </si>
  <si>
    <t xml:space="preserve">1320 Kismet Pkwy E </t>
  </si>
  <si>
    <t>C C &amp; Margaret Molloy</t>
  </si>
  <si>
    <t xml:space="preserve">309 Whittemore Dr </t>
  </si>
  <si>
    <t xml:space="preserve">2212 NE 9th Pl  Cape Coral, FL 33909 </t>
  </si>
  <si>
    <t xml:space="preserve">112 Green Bank Way  Harleysville, PA 19438-3081 </t>
  </si>
  <si>
    <t>33316-1914</t>
  </si>
  <si>
    <t xml:space="preserve">Urb Quintas Del Rey </t>
  </si>
  <si>
    <t>11-44-25-09-00000.2450</t>
  </si>
  <si>
    <t xml:space="preserve">5517 Cypress Trail Resort Cir  Fort Myers, FL 33905 </t>
  </si>
  <si>
    <t xml:space="preserve">PO Box 759  Hazard, KY 41702 </t>
  </si>
  <si>
    <t>31-43-24-c1-02161.0180</t>
  </si>
  <si>
    <t xml:space="preserve">5282 Hawk Hollow Dr E </t>
  </si>
  <si>
    <t>Sunflower</t>
  </si>
  <si>
    <t>Emmanuel Thouny</t>
  </si>
  <si>
    <t xml:space="preserve">4341 Ironwood Ave  Seal Beach, CA 90740-2923 </t>
  </si>
  <si>
    <t>Four Moons Irrevocable Trust</t>
  </si>
  <si>
    <t xml:space="preserve">6 Fountain View Blvd  North Fort Myers, FL 33903 </t>
  </si>
  <si>
    <t xml:space="preserve">6038 Island Harbor Rd  Sebastian, FL 32958-4710 </t>
  </si>
  <si>
    <t xml:space="preserve">9101 W Sunrise Blvd  Plantation, FL 33322-5220 </t>
  </si>
  <si>
    <t>Cape Coral Unit 36 Blk 2354 Pb 16 Pg 119 Lots 17 + 18</t>
  </si>
  <si>
    <t>Cape Coral Unit 15 Blk.497 Pg 13 Pg 71 Lots 5 + 6</t>
  </si>
  <si>
    <t xml:space="preserve">3801 La Rue St  Fort Myers, FL 33905 </t>
  </si>
  <si>
    <t>33901-8851</t>
  </si>
  <si>
    <t xml:space="preserve">175 Leham St  Fort Bragg, NC 28307-3481 </t>
  </si>
  <si>
    <t>C6</t>
  </si>
  <si>
    <t>Alain</t>
  </si>
  <si>
    <t>33935-6525</t>
  </si>
  <si>
    <t>Putnam Valley</t>
  </si>
  <si>
    <t>33904-3408</t>
  </si>
  <si>
    <t xml:space="preserve">40 Wildwood Dr </t>
  </si>
  <si>
    <t>25-43-23-c1-02319.0050</t>
  </si>
  <si>
    <t xml:space="preserve">1911 N Bosart Ave  Indianapolis, IN 46218-4623 </t>
  </si>
  <si>
    <t>Kevin &amp; Palema Foster</t>
  </si>
  <si>
    <t>Voltaire</t>
  </si>
  <si>
    <t>06-44-24-c4-02049.0280</t>
  </si>
  <si>
    <t xml:space="preserve">12250 SW 129th Ct #108, Miami, FL 33186-6492 </t>
  </si>
  <si>
    <t xml:space="preserve">8229 N 7 Rd </t>
  </si>
  <si>
    <t xml:space="preserve">4544 SW 128th Pl </t>
  </si>
  <si>
    <t>Cape Coral Unit 85 Blk 5646 Pb 24 Pg 55 Lots 25 + 26</t>
  </si>
  <si>
    <t>31-43-24-c3-02141.0450</t>
  </si>
  <si>
    <t>Ivette Cruz &amp; Pablo Laucerica</t>
  </si>
  <si>
    <t>Lehigh Acres Unit 8 Blk 37 Pb 26 Pg 10 Lot 21</t>
  </si>
  <si>
    <t>Grainne</t>
  </si>
  <si>
    <t xml:space="preserve">4552 N 800 W  West Lafayette, IN 47906-9455 </t>
  </si>
  <si>
    <t>11-44-25-l1-13000.1010</t>
  </si>
  <si>
    <t>Chad</t>
  </si>
  <si>
    <t xml:space="preserve">3074 Saturn Cir </t>
  </si>
  <si>
    <t>27215-4679</t>
  </si>
  <si>
    <t xml:space="preserve">25885 Trabuco Rd #182, Lake Forest, CA 92630-6639 </t>
  </si>
  <si>
    <t xml:space="preserve">3852 Insdale St  Fort Myers, FL 33905 </t>
  </si>
  <si>
    <t>T Pittman</t>
  </si>
  <si>
    <t>Battaglia</t>
  </si>
  <si>
    <t>27540-7293</t>
  </si>
  <si>
    <t>Raritan</t>
  </si>
  <si>
    <t>Water Lilly</t>
  </si>
  <si>
    <t>90808-2043</t>
  </si>
  <si>
    <t>08-44-24-c1-01535.0090</t>
  </si>
  <si>
    <t xml:space="preserve">68 E 1st St </t>
  </si>
  <si>
    <t>62521-2554</t>
  </si>
  <si>
    <t>Wursag</t>
  </si>
  <si>
    <t>Monticello</t>
  </si>
  <si>
    <t>Roderick Kim</t>
  </si>
  <si>
    <t xml:space="preserve">1713 NE 41st St </t>
  </si>
  <si>
    <t>Harris</t>
  </si>
  <si>
    <t xml:space="preserve">521 Meadowood Dr </t>
  </si>
  <si>
    <t xml:space="preserve">2101 NE 25th Ter  Cape Coral, FL 33909 </t>
  </si>
  <si>
    <t xml:space="preserve">3250 60th St SW  Naples, FL 34116-7413 </t>
  </si>
  <si>
    <t>Cape Coral Unit 85 Blk 5662 Pb 24 Pg 58 Lots 34 + 35</t>
  </si>
  <si>
    <t>Frank Kazanowski</t>
  </si>
  <si>
    <t>11-44-25-07-00000.1750</t>
  </si>
  <si>
    <t>06340-5010</t>
  </si>
  <si>
    <t xml:space="preserve">3727 Teakwood St  Fort Myers, FL 33905 </t>
  </si>
  <si>
    <t>Robert &amp; Carol Place</t>
  </si>
  <si>
    <t>12-44-23-c3-03600.0150</t>
  </si>
  <si>
    <t xml:space="preserve">3738 Kenyon St  Fort Myers, FL 33905 </t>
  </si>
  <si>
    <t xml:space="preserve">409 N Main St  Seminole, TX 79360-3661 </t>
  </si>
  <si>
    <t>Reiniel</t>
  </si>
  <si>
    <t xml:space="preserve">6137 Higgins Ave  Fort Myers, FL 33905 </t>
  </si>
  <si>
    <t xml:space="preserve">508 Diplomat Pkwy E  Cape Coral, FL 33909 </t>
  </si>
  <si>
    <t>146th</t>
  </si>
  <si>
    <t>Rico</t>
  </si>
  <si>
    <t>Bellerive</t>
  </si>
  <si>
    <t>Katie &amp; Daniel Wilson</t>
  </si>
  <si>
    <t>Buckingham Pk Re Blk B U-5 Blk 29 Pb 27 Pg 193 Lot 3</t>
  </si>
  <si>
    <t>Cape Coral Unit 26 Blk 849 Pb 14 Pg 122 Lots 22 + 23</t>
  </si>
  <si>
    <t>Cape Coral Unit 34 Blk 2460 Pb 16 Pg 83 Lots 31 + 32</t>
  </si>
  <si>
    <t xml:space="preserve">6019 Tabor Ave </t>
  </si>
  <si>
    <t>01-45-23-c2-00423.0250</t>
  </si>
  <si>
    <t>C001</t>
  </si>
  <si>
    <t>49240-7800</t>
  </si>
  <si>
    <t>Mario Alonso</t>
  </si>
  <si>
    <t>Cape Coral Unit 84 Blk 5567 Pb 24 Pg 40 Lots 18 + 19</t>
  </si>
  <si>
    <t xml:space="preserve">3816 Hyde Park Dr  Fort Myers, FL 33905 </t>
  </si>
  <si>
    <t>Waterway Estates Unit 2 Blk 4 Pb 12 Pg 65 Lot 27</t>
  </si>
  <si>
    <t>16-44-26-05-00009.0050</t>
  </si>
  <si>
    <t>Cape Coral Unit 88 Blk 5779 Pb 24 Pg 135 Lots 11 + 12</t>
  </si>
  <si>
    <t xml:space="preserve">3713 NE 11th Pl  Cape Coral, FL 33909 </t>
  </si>
  <si>
    <t>Buckingham Park N.E.Sec. Blk.32 Pb 9 Pg 59 Lot 1</t>
  </si>
  <si>
    <t xml:space="preserve">409 Shady Ln </t>
  </si>
  <si>
    <t xml:space="preserve">13407 Electron Dr </t>
  </si>
  <si>
    <t>Abdelkrim Oummadi</t>
  </si>
  <si>
    <t xml:space="preserve">5250 Birch Bark Dr  Hoffman Estates, IL 60192-4141 </t>
  </si>
  <si>
    <t>Tarzana</t>
  </si>
  <si>
    <t>07307-4010</t>
  </si>
  <si>
    <t>36-43-23-c3-02481.0520</t>
  </si>
  <si>
    <t>R</t>
  </si>
  <si>
    <t>03-44-26-08-00039.0030</t>
  </si>
  <si>
    <t>01-44-23-c4-02411.0690</t>
  </si>
  <si>
    <t>33909-6252</t>
  </si>
  <si>
    <t xml:space="preserve">1455 Rail Head Blvd </t>
  </si>
  <si>
    <t xml:space="preserve">3512 NE 18th Ave </t>
  </si>
  <si>
    <t xml:space="preserve">1702 NE 18th Pl </t>
  </si>
  <si>
    <t>Chemin Du Crosery</t>
  </si>
  <si>
    <t>07836-9091</t>
  </si>
  <si>
    <t>Kolp</t>
  </si>
  <si>
    <t>33909-8933</t>
  </si>
  <si>
    <t xml:space="preserve">312 NE 31st St  Cape Coral, FL 33909 </t>
  </si>
  <si>
    <t>Sheryl &amp; For Wilkie</t>
  </si>
  <si>
    <t xml:space="preserve">6630 Arbor Ave  Fort Myers, FL 33905 </t>
  </si>
  <si>
    <t>Macciocchi</t>
  </si>
  <si>
    <t>10589-3121</t>
  </si>
  <si>
    <t xml:space="preserve">1113/1115 NE 10th Ter  Cape Coral, FL 33909 </t>
  </si>
  <si>
    <t xml:space="preserve">11130 N Brighton Pl  Mequon, WI 53097-3437 </t>
  </si>
  <si>
    <t>Cape Coral Unit 47 Pt 2 Blk 3511 Pb 23 Pg 124 Lots 61 + 62</t>
  </si>
  <si>
    <t>Frank Oppel</t>
  </si>
  <si>
    <t>Fred &amp; Michelle Nason</t>
  </si>
  <si>
    <t>Cypress Woods Rv Resort Desc In Inst#2006-358211 Lot 169</t>
  </si>
  <si>
    <t>10460-2534</t>
  </si>
  <si>
    <t>32-45-24-01-0000c.007a</t>
  </si>
  <si>
    <t xml:space="preserve">1204 NE Van Loon Ln </t>
  </si>
  <si>
    <t>Celano</t>
  </si>
  <si>
    <t>Cape Coral Unit 47 Pt 2 Blk 3519 Pb 23 Pg 122 Lots 10 + 11</t>
  </si>
  <si>
    <t>Ussac</t>
  </si>
  <si>
    <t xml:space="preserve">218 NE 21st St </t>
  </si>
  <si>
    <t>West Haven</t>
  </si>
  <si>
    <t>Bradshaw</t>
  </si>
  <si>
    <t>11-44-25-06-0000d.0910</t>
  </si>
  <si>
    <t>Danny &amp; Robert Ungerer</t>
  </si>
  <si>
    <t>Lois</t>
  </si>
  <si>
    <t>Parrondo</t>
  </si>
  <si>
    <t>24210-8977</t>
  </si>
  <si>
    <t>Cape Coral Unit 84 Blk 5564 Pb 24 Pg 37 Lots 71 + 72</t>
  </si>
  <si>
    <t xml:space="preserve">10339 Prairie Iris Dr  Fort Myers, FL 33905 </t>
  </si>
  <si>
    <t>11801-3717</t>
  </si>
  <si>
    <t>Cape Coral Unit 36 Blk 2341 Pb 16 Pg 121 Lots 85 + 86</t>
  </si>
  <si>
    <t xml:space="preserve">4041 NE 19th Ave  Cape Coral, FL 33909 </t>
  </si>
  <si>
    <t xml:space="preserve">Korte #28, Hamburg, DE 22397 </t>
  </si>
  <si>
    <t>32-43-24-c1-02189.0030</t>
  </si>
  <si>
    <t>N5194</t>
  </si>
  <si>
    <t>Farm Road 197</t>
  </si>
  <si>
    <t>Coral Springs</t>
  </si>
  <si>
    <t>Cypress Woods Rv Resort Ut 1 Pb 65 Pg 85 + 86 Blk B Lot 93</t>
  </si>
  <si>
    <t>35-45-23-14-00000.0110</t>
  </si>
  <si>
    <t xml:space="preserve">160 Echo Dr  Chambersburg, PA 17202-3308 </t>
  </si>
  <si>
    <t>16-44-26-04-00003.0320</t>
  </si>
  <si>
    <t xml:space="preserve">1859 Palm Dr  Fort Myers, FL 33907 </t>
  </si>
  <si>
    <t>Garretson</t>
  </si>
  <si>
    <t xml:space="preserve">115 N Shelly Ave  Reddick, IL 60961-9508 </t>
  </si>
  <si>
    <t>Mettmann</t>
  </si>
  <si>
    <t>Karen</t>
  </si>
  <si>
    <t xml:space="preserve">812 NE 43rd Ln </t>
  </si>
  <si>
    <t xml:space="preserve">5983 Brightwood Dr </t>
  </si>
  <si>
    <t xml:space="preserve">1718 NE 33rd St  Cape Coral, FL 33909 </t>
  </si>
  <si>
    <t>02119-2496</t>
  </si>
  <si>
    <t xml:space="preserve">3 Lynnwood Ct </t>
  </si>
  <si>
    <t xml:space="preserve">2321 NE 39th St </t>
  </si>
  <si>
    <t xml:space="preserve">2010 NE 12th Ln </t>
  </si>
  <si>
    <t>Cape Coral Unit 36 Blk 2305 Pb 16 Pg 123 Lots 44 + 45</t>
  </si>
  <si>
    <t>Catalina</t>
  </si>
  <si>
    <t xml:space="preserve">128 SW Grove Ave  Port Saint Lucie, FL 34983-3016 </t>
  </si>
  <si>
    <t>Abe</t>
  </si>
  <si>
    <t xml:space="preserve">14108 Angell St </t>
  </si>
  <si>
    <t xml:space="preserve">14150 Cherrydale St  Fort Myers, FL 33905 </t>
  </si>
  <si>
    <t>Deborah Fry &amp; Richard Bergstrom</t>
  </si>
  <si>
    <t xml:space="preserve">2318 NE 6th Ave </t>
  </si>
  <si>
    <t>31-43-24-c1-02147.0170</t>
  </si>
  <si>
    <t xml:space="preserve">6 Fernanne Dr  Tiny, ON L0l 2J0 </t>
  </si>
  <si>
    <t>Ricky</t>
  </si>
  <si>
    <t>33909-4655</t>
  </si>
  <si>
    <t>Juan &amp; Tamara Herrera</t>
  </si>
  <si>
    <t>Michael &amp; Jerome Dziatlik</t>
  </si>
  <si>
    <t>Thomas + Johnson 1St Addn Tice Blk B Pb 5 Pg 52 Lots 1 Thru 8</t>
  </si>
  <si>
    <t xml:space="preserve">892 White Clover Ben Rd  Detroit Lakes, MN 56501 </t>
  </si>
  <si>
    <t>Frei Rodriguez</t>
  </si>
  <si>
    <t>Cypress Woods Rv Resort Unit 4 Pb 79 Pgs 68-71 Blk D Lot 39</t>
  </si>
  <si>
    <t xml:space="preserve">3330 NE 9th Ave  Cape Coral, FL 33909 </t>
  </si>
  <si>
    <t>32789-4023</t>
  </si>
  <si>
    <t xml:space="preserve">1303 Kingsbury Dr A, Hanover Park, IL 60133-2525 </t>
  </si>
  <si>
    <t>Olympia Heights</t>
  </si>
  <si>
    <t>199th</t>
  </si>
  <si>
    <t>Jaskunas</t>
  </si>
  <si>
    <t xml:space="preserve">18 Ruhee Gdns  Freeport, TT </t>
  </si>
  <si>
    <t xml:space="preserve">57 Knollwood Dr  Bethel, CT 06801-2315 </t>
  </si>
  <si>
    <t>33155-5717</t>
  </si>
  <si>
    <t>17-43-24-c1-05818.0160</t>
  </si>
  <si>
    <t>Valmonte</t>
  </si>
  <si>
    <t>33166-5973</t>
  </si>
  <si>
    <t xml:space="preserve">5271 Cypress Trail Resort Cir </t>
  </si>
  <si>
    <t xml:space="preserve">5415 Rural Ave  Lowville, NY 13367-1510 </t>
  </si>
  <si>
    <t>Lia</t>
  </si>
  <si>
    <t>Ariel</t>
  </si>
  <si>
    <t>Eric &amp; Edwin Bresciani</t>
  </si>
  <si>
    <t xml:space="preserve">33 Oberdorfstrasse  Horgen, CH 00000 </t>
  </si>
  <si>
    <t>Erick Sobalvarro &amp; Farah Arostegui</t>
  </si>
  <si>
    <t>16-44-26-08-00028.0100</t>
  </si>
  <si>
    <t>Wiesbaden</t>
  </si>
  <si>
    <t>03-44-26-13-00072.0080</t>
  </si>
  <si>
    <t>Katherine &amp; For Belles</t>
  </si>
  <si>
    <t>Guillermina</t>
  </si>
  <si>
    <t xml:space="preserve">7395 Shadyview Ave NW </t>
  </si>
  <si>
    <t>03-44-26-12-00061.0080</t>
  </si>
  <si>
    <t>12-45-23-c4-00218.0140</t>
  </si>
  <si>
    <t>Shoreline</t>
  </si>
  <si>
    <t xml:space="preserve">7404 SW 129th Ct  Miami, FL 33183-3452 </t>
  </si>
  <si>
    <t>33909-5339</t>
  </si>
  <si>
    <t xml:space="preserve">15061 Cemetery Rd  Fort Myers, FL 33905 </t>
  </si>
  <si>
    <t xml:space="preserve">14812 John Mcneely Ave #32, El Paso, TX 79938-2848 </t>
  </si>
  <si>
    <t>Papini</t>
  </si>
  <si>
    <t>Southside</t>
  </si>
  <si>
    <t>Cape Coral Unit 36 Blk 2316 Pb 16 Pg 126 Lots 49 + 50</t>
  </si>
  <si>
    <t xml:space="preserve">2181 E 38th St 1s </t>
  </si>
  <si>
    <t>Tirikos</t>
  </si>
  <si>
    <t xml:space="preserve">2 NE 20th St </t>
  </si>
  <si>
    <t>Lehigh Acres Unit 4 Blk 18 Pb 26 Pg 6 Lot 17</t>
  </si>
  <si>
    <t xml:space="preserve">2915 W Wilder Ave </t>
  </si>
  <si>
    <t>84081-5094</t>
  </si>
  <si>
    <t xml:space="preserve">1401 Camelot Dr  Easton, PA 18045-2144 </t>
  </si>
  <si>
    <t xml:space="preserve">11620 Ficus St </t>
  </si>
  <si>
    <t>MAIL UNIT NUMBER</t>
  </si>
  <si>
    <t>06607-1637</t>
  </si>
  <si>
    <t>Cape Coral Unit 84 Blk 5604 Pb 24 Pg 42 Lots 67 + 68</t>
  </si>
  <si>
    <t>19-45-24-c1-00014.0310</t>
  </si>
  <si>
    <t>Estevez-Rivera</t>
  </si>
  <si>
    <t xml:space="preserve">6011 Langdon Ave </t>
  </si>
  <si>
    <t>12-46-23-05-00000.2950</t>
  </si>
  <si>
    <t>215th</t>
  </si>
  <si>
    <t>Barba</t>
  </si>
  <si>
    <t xml:space="preserve">1818 NE 22nd Ter </t>
  </si>
  <si>
    <t xml:space="preserve">1416 NE 37th St </t>
  </si>
  <si>
    <t>95304-9447</t>
  </si>
  <si>
    <t>11-44-25-11-00000.2190</t>
  </si>
  <si>
    <t>Renaud &amp; Carine Dumoulin</t>
  </si>
  <si>
    <t>Polijczuh</t>
  </si>
  <si>
    <t xml:space="preserve">2215 NE 22nd Ave  Cape Coral, FL 33909 </t>
  </si>
  <si>
    <t>Cape Coral Unit 87 Blk 5748 Pb 24 Pg 69 Lot 1</t>
  </si>
  <si>
    <t xml:space="preserve">9068 Libra Dr </t>
  </si>
  <si>
    <t>20-43-24-c1-05650.0170</t>
  </si>
  <si>
    <t xml:space="preserve">14181 Chancellor St  Fort Myers, FL 33905 </t>
  </si>
  <si>
    <t>Cape Coral Unit 36 Blk 2293 Pb 16 Pg 120 Lots 7 + 8</t>
  </si>
  <si>
    <t>Janelle</t>
  </si>
  <si>
    <t>Treeline</t>
  </si>
  <si>
    <t>29-43-24-c3-02287.0210</t>
  </si>
  <si>
    <t>Benanti</t>
  </si>
  <si>
    <t>Via Teca</t>
  </si>
  <si>
    <t>Margot</t>
  </si>
  <si>
    <t xml:space="preserve">2013 NE 15th Ln </t>
  </si>
  <si>
    <t xml:space="preserve">11473 Sanderling Dr  Wellington, FL 33414-5831 </t>
  </si>
  <si>
    <t>Cape Coral Unit 34 Blk 2466 Pb 16 Pg 77 Lots 11 + 12</t>
  </si>
  <si>
    <t>33905-7677</t>
  </si>
  <si>
    <t>Mill</t>
  </si>
  <si>
    <t>Cape Coral Unit 33 Blk.2179 Pb 16 Pg 53 Lots 1 + 2</t>
  </si>
  <si>
    <t>02132-7702</t>
  </si>
  <si>
    <t xml:space="preserve">875 Brompton Ct  Newport News, VA 23608-9322 </t>
  </si>
  <si>
    <t xml:space="preserve">123 Meade Dr </t>
  </si>
  <si>
    <t>18-43-24-c2-05715.0240</t>
  </si>
  <si>
    <t xml:space="preserve">PO Box 5007  IL 60836 </t>
  </si>
  <si>
    <t>Cape Coral Unit 85 Blk 5633 Pb 24 Pg 50 Lots 5 + 6</t>
  </si>
  <si>
    <t>60659-3655</t>
  </si>
  <si>
    <t>Cape Coral Unit 33 Blk 2274 Pb 16 Pg 61 Lots 8 + 9</t>
  </si>
  <si>
    <t>Thomas &amp; Gayan Anys</t>
  </si>
  <si>
    <t>Nora Perry</t>
  </si>
  <si>
    <t xml:space="preserve">10705 Alloway Dr </t>
  </si>
  <si>
    <t xml:space="preserve">6040 Langdon Ave  Fort Myers, FL 33905 </t>
  </si>
  <si>
    <t xml:space="preserve">3104 E 48th Pl </t>
  </si>
  <si>
    <t>Cape Coral Unit 36 Blk 2350 Pb 16 Pg 129 Lots 19 + 20</t>
  </si>
  <si>
    <t>Aberdeen</t>
  </si>
  <si>
    <t>Blvd</t>
  </si>
  <si>
    <t>25-43-23-c1-02300.a870</t>
  </si>
  <si>
    <t>33144-2434</t>
  </si>
  <si>
    <t>Buckingham Park Ne Sec Blk 21 Pb 9 Pg 59 Lots 6 - 9</t>
  </si>
  <si>
    <t xml:space="preserve">4217 NE 20th Ct  Cape Coral, FL 33909 </t>
  </si>
  <si>
    <t>07003-3139</t>
  </si>
  <si>
    <t>32-43-24-c4-02207.0450</t>
  </si>
  <si>
    <t>Cape Coral Unit 36 Blk 2299 Pb 16 Pg 119 Lots 1 + 2</t>
  </si>
  <si>
    <t xml:space="preserve">4 Durham St  Ajax, ON L1s 1W8 </t>
  </si>
  <si>
    <t>11-44-25-05-0000c.0680</t>
  </si>
  <si>
    <t xml:space="preserve">1716 NE 1st Ave </t>
  </si>
  <si>
    <t>Zhen</t>
  </si>
  <si>
    <t>Missoula</t>
  </si>
  <si>
    <t xml:space="preserve">793 Summer St  Marshfield, MA 02050-5934 </t>
  </si>
  <si>
    <t>Joaquim Horta</t>
  </si>
  <si>
    <t xml:space="preserve">3165 Auburn Folsom Rd  Newcastle, CA 95658-9715 </t>
  </si>
  <si>
    <t>19-43-24-c4-05562.0610</t>
  </si>
  <si>
    <t>Lipps Emily W Tr</t>
  </si>
  <si>
    <t>Amorelli</t>
  </si>
  <si>
    <t>Albert &amp; Carol Radulovich</t>
  </si>
  <si>
    <t xml:space="preserve">1135 River Rd  North Fort Myers, FL 33903 </t>
  </si>
  <si>
    <t>18-45-24-c4-00022.0420</t>
  </si>
  <si>
    <t>17-43-24-c3-05798.0020</t>
  </si>
  <si>
    <t>33909-4601</t>
  </si>
  <si>
    <t>L1C 6N1</t>
  </si>
  <si>
    <t>33904-7338</t>
  </si>
  <si>
    <t>Margie</t>
  </si>
  <si>
    <t>Thomas &amp; Erlinda Newell</t>
  </si>
  <si>
    <t>Middleburg</t>
  </si>
  <si>
    <t>Cypress Woods Rv Resort Ut 1 Pb 65 Pg 85 + 86 Blk A Lot 53</t>
  </si>
  <si>
    <t>Cape Coral Unit 31 Blk 2032 Pb 14 Pg 159 Lots 5 + 6</t>
  </si>
  <si>
    <t>07027-1213</t>
  </si>
  <si>
    <t>Cape Coral Unit 34 Blk 2426 Pb 16 Pg 82 Lots 29 + 30</t>
  </si>
  <si>
    <t xml:space="preserve">1 Kinellan Rd  Glasgow, GB 00000 </t>
  </si>
  <si>
    <t>Black-Gordon</t>
  </si>
  <si>
    <t xml:space="preserve">6370 Maytree Cir  Fort Myers, FL 33905 </t>
  </si>
  <si>
    <t>22151-2431</t>
  </si>
  <si>
    <t xml:space="preserve">28 Long Hill Dr </t>
  </si>
  <si>
    <t xml:space="preserve">5943 Brightwood Dr  Fort Myers, FL 33905 </t>
  </si>
  <si>
    <t xml:space="preserve">2212 NE 15th Ave </t>
  </si>
  <si>
    <t xml:space="preserve">5187 SE 17th St </t>
  </si>
  <si>
    <t>Cape Coral Unit 84 Blk 5579 Pb 24 Pg 48 Lots 11 + 12</t>
  </si>
  <si>
    <t>Dedham</t>
  </si>
  <si>
    <t>Collyer</t>
  </si>
  <si>
    <t>Cape Coral Unit 36 Pt 1 Blk 2508 Pb 23 Pg 92 Lots 17 + 18</t>
  </si>
  <si>
    <t xml:space="preserve">1111 Crandon Blvd A1002, Key Biscayne, FL 33149-2618 </t>
  </si>
  <si>
    <t xml:space="preserve">1506 NE 13th Pl  Cape Coral, FL 33909 </t>
  </si>
  <si>
    <t>08817-3341</t>
  </si>
  <si>
    <t xml:space="preserve">6827 Eagles Landing Ct  Pacific, MO 63069-2612 </t>
  </si>
  <si>
    <t>Dennis Seecharan &amp; Sanita Kunjan</t>
  </si>
  <si>
    <t xml:space="preserve">342 Empire Ave </t>
  </si>
  <si>
    <t xml:space="preserve">8341 Buckingham Rd  Fort Myers, FL 33905 </t>
  </si>
  <si>
    <t>Kenneth &amp; For Drake</t>
  </si>
  <si>
    <t>33905-3007</t>
  </si>
  <si>
    <t xml:space="preserve">1818 NE 22nd Ter  Cape Coral, FL 33909 </t>
  </si>
  <si>
    <t>Stamford</t>
  </si>
  <si>
    <t>33909-6340</t>
  </si>
  <si>
    <t xml:space="preserve">1220 NE 13th Ave </t>
  </si>
  <si>
    <t xml:space="preserve">3743 Kelsey St </t>
  </si>
  <si>
    <t>53158-1809</t>
  </si>
  <si>
    <t xml:space="preserve">78 Hacienda Blvd  Fort Myers, FL 33905 </t>
  </si>
  <si>
    <t xml:space="preserve">429 NE 19th Ter </t>
  </si>
  <si>
    <t xml:space="preserve">1903 NE 2nd Ter  Cape Coral, FL 33909 </t>
  </si>
  <si>
    <t>201st</t>
  </si>
  <si>
    <t>25-43-23-c1-02350.0010</t>
  </si>
  <si>
    <t xml:space="preserve">39 Garden Cir  Bridgeport, WV 26330-1367 </t>
  </si>
  <si>
    <t xml:space="preserve">757 Washington St S </t>
  </si>
  <si>
    <t>River Hollow</t>
  </si>
  <si>
    <t xml:space="preserve">1007 NE 37th Ter  Cape Coral, FL 33909 </t>
  </si>
  <si>
    <t>James Gettys &amp; Yolanda Exum</t>
  </si>
  <si>
    <t xml:space="preserve">1506 NE 13th Pl </t>
  </si>
  <si>
    <t xml:space="preserve">3745 SE 1st Ave </t>
  </si>
  <si>
    <t>Cypress Trail Resort</t>
  </si>
  <si>
    <t>25-43-23-c4-02300.a390</t>
  </si>
  <si>
    <t>Cypress Woods Rv Resort Unit 4 Pb 79 Pgs 68-71 Blk D Lot 88</t>
  </si>
  <si>
    <t>07011-1010</t>
  </si>
  <si>
    <t xml:space="preserve">2624 Clinton St </t>
  </si>
  <si>
    <t xml:space="preserve">20772 Skimmer Ln </t>
  </si>
  <si>
    <t>Calle 142</t>
  </si>
  <si>
    <t>33909-3285</t>
  </si>
  <si>
    <t>Emile Intondi</t>
  </si>
  <si>
    <t xml:space="preserve">918 NE 2nd Pl  Cape Coral, FL 33909 </t>
  </si>
  <si>
    <t xml:space="preserve">16 Cornerstone Rd </t>
  </si>
  <si>
    <t xml:space="preserve">2006 NE 17th Ave  Cape Coral, FL 33909 </t>
  </si>
  <si>
    <t xml:space="preserve">15571 Empress Ave N </t>
  </si>
  <si>
    <t xml:space="preserve">5010 Inshore Landing Dr </t>
  </si>
  <si>
    <t xml:space="preserve">37w192 Win Haven Dr </t>
  </si>
  <si>
    <t xml:space="preserve">2317 Altamont Ave </t>
  </si>
  <si>
    <t>06-46-24-15-00000.0210</t>
  </si>
  <si>
    <t>36-43-23-c1-02517.0030</t>
  </si>
  <si>
    <t>PO Box 2526</t>
  </si>
  <si>
    <t>Cape Coral Unit 33 Blk 2228 Pb 16 Pg 47 Lots 26 + 27</t>
  </si>
  <si>
    <t>25-43-23-c2-02346.0450</t>
  </si>
  <si>
    <t>Scheir</t>
  </si>
  <si>
    <t xml:space="preserve">5214 Marsh Mallow Trl  Fort Myers, FL 33905 </t>
  </si>
  <si>
    <t xml:space="preserve">11805 Chantilly Ln  Bowie, MD 20721-2132 </t>
  </si>
  <si>
    <t>Cape Coral Unit 34 Blk 2423 Pb 16 Pg 76 Lots 45 + 46</t>
  </si>
  <si>
    <t>33909-2519</t>
  </si>
  <si>
    <t xml:space="preserve">1814 NE 2nd Pl </t>
  </si>
  <si>
    <t xml:space="preserve">2310 NE 35th Ter </t>
  </si>
  <si>
    <t>Druid</t>
  </si>
  <si>
    <t>Cape Coral Unit 87 Blk 5740 Pb 24 Pg 69 Lots 18 + 19</t>
  </si>
  <si>
    <t xml:space="preserve">1703 NE 12th St </t>
  </si>
  <si>
    <t>For Forrest K Lerch Trust</t>
  </si>
  <si>
    <t xml:space="preserve">2825 NE 4th Pl  Cape Coral, FL 33909 </t>
  </si>
  <si>
    <t>46239-1051</t>
  </si>
  <si>
    <t xml:space="preserve">420 NE 20th St </t>
  </si>
  <si>
    <t xml:space="preserve">Po Box 654953 </t>
  </si>
  <si>
    <t>Steve &amp; Sandra Ketcham</t>
  </si>
  <si>
    <t>Schaefer</t>
  </si>
  <si>
    <t xml:space="preserve">23688 Dunston Rd  Novi, MI 48375-3342 </t>
  </si>
  <si>
    <t xml:space="preserve">2316 NE 19th Pl </t>
  </si>
  <si>
    <t>Cape Coral Unit 84 Blk 5577 Pb 24 Pg 45 Lots 25 + 26</t>
  </si>
  <si>
    <t>Cape Coral Unit 35 Blk 2397 Pb 16 Pg 106 Lots 13 + 14</t>
  </si>
  <si>
    <t>Springlake</t>
  </si>
  <si>
    <t>Howard</t>
  </si>
  <si>
    <t xml:space="preserve">41 E Litchfield Rd S  Litchfield, CT 06759-2905 </t>
  </si>
  <si>
    <t>San Dimas</t>
  </si>
  <si>
    <t>Batavia</t>
  </si>
  <si>
    <t>08820-4602</t>
  </si>
  <si>
    <t>Main</t>
  </si>
  <si>
    <t xml:space="preserve">1516 NE 13th St  Cape Coral, FL 33909 </t>
  </si>
  <si>
    <t>60618-2306</t>
  </si>
  <si>
    <t xml:space="preserve">4216 NE 18th Ave </t>
  </si>
  <si>
    <t xml:space="preserve">1906 Hedgewood Dr  Bloomington, IL 61704-2422 </t>
  </si>
  <si>
    <t xml:space="preserve">387 S Main St  Wallingford, CT 06492-4608 </t>
  </si>
  <si>
    <t xml:space="preserve">2608 NE 5th Ave  Cape Coral, FL 33909 </t>
  </si>
  <si>
    <t>11-44-25-05-0000c.0430</t>
  </si>
  <si>
    <t xml:space="preserve">2022 NE 34th Ter  Cape Coral, FL 33909 </t>
  </si>
  <si>
    <t xml:space="preserve">401 Miltwood Dr  Greensboro, NC 27455-2707 </t>
  </si>
  <si>
    <t>26th</t>
  </si>
  <si>
    <t>Gildea</t>
  </si>
  <si>
    <t>92630-6639</t>
  </si>
  <si>
    <t>32707-3425</t>
  </si>
  <si>
    <t>33186-6409</t>
  </si>
  <si>
    <t>33179-3551</t>
  </si>
  <si>
    <t>Sarah</t>
  </si>
  <si>
    <t>Dennis &amp; Louise Guptill</t>
  </si>
  <si>
    <t>Southbridge</t>
  </si>
  <si>
    <t>Naresh</t>
  </si>
  <si>
    <t>Fox Woods</t>
  </si>
  <si>
    <t>Cape Coral Unit 36 Blk 2354 Pb 16 Pg 119 Lots 15 + 16</t>
  </si>
  <si>
    <t xml:space="preserve">2704 Sterling Ct </t>
  </si>
  <si>
    <t>20-43-24-c4-05633.0030</t>
  </si>
  <si>
    <t>33904-6600</t>
  </si>
  <si>
    <t xml:space="preserve">412 NE 25th Ter  Cape Coral, FL 33909 </t>
  </si>
  <si>
    <t xml:space="preserve">20-40 Guayano  Gobles, MI 49055 </t>
  </si>
  <si>
    <t xml:space="preserve">3 Fairfield Rd  Massapequa, NY 11758-5802 </t>
  </si>
  <si>
    <t>John &amp; Carol Jackson</t>
  </si>
  <si>
    <t>36-43-23-c4-02476.0420</t>
  </si>
  <si>
    <t>10-46-23-02-00000.0260</t>
  </si>
  <si>
    <t>K &amp; Carol Wiemelt</t>
  </si>
  <si>
    <t>Jean &amp; Craig Somers</t>
  </si>
  <si>
    <t>North Miami Beach</t>
  </si>
  <si>
    <t>31-43-24-c2-02139.0420</t>
  </si>
  <si>
    <t xml:space="preserve">3139 Jacaranda Pkwy E </t>
  </si>
  <si>
    <t xml:space="preserve">100 NW Jackie Ave  Grain Valley, MO 64029-8005 </t>
  </si>
  <si>
    <t>Cape Coral Unit 47 Pt 2 Blk 3511 Pb 23 Pg 123 Lots 24 + 25</t>
  </si>
  <si>
    <t>Sinha</t>
  </si>
  <si>
    <t>33334-1429</t>
  </si>
  <si>
    <t>Vercelote</t>
  </si>
  <si>
    <t>Kristine</t>
  </si>
  <si>
    <t xml:space="preserve">3517 Castle Rock Ct </t>
  </si>
  <si>
    <t xml:space="preserve">3038 Tiemann Ave </t>
  </si>
  <si>
    <t>33175-4638</t>
  </si>
  <si>
    <t xml:space="preserve">236 Hillside Ave #1 </t>
  </si>
  <si>
    <t>Falls</t>
  </si>
  <si>
    <t xml:space="preserve">339 NE 23rd Ter  Cape Coral, FL 33909 </t>
  </si>
  <si>
    <t xml:space="preserve">3246 NE 9th Ave  Cape Coral, FL 33909 </t>
  </si>
  <si>
    <t xml:space="preserve">1426 NE 6th Pl  Cape Coral, FL 33909 </t>
  </si>
  <si>
    <t xml:space="preserve">1065 Borghese Ln #2105, Naples, FL 34114-7919 </t>
  </si>
  <si>
    <t>33909-4454</t>
  </si>
  <si>
    <t xml:space="preserve">2747 Jackson St  Fort Myers, FL 33901 </t>
  </si>
  <si>
    <t>Americas</t>
  </si>
  <si>
    <t xml:space="preserve">1325 SE 32nd Ter </t>
  </si>
  <si>
    <t>Cape Coral Unit 36 Blk 2346 Pb 16 Pg 127 Lots 27 + 28</t>
  </si>
  <si>
    <t>33909-1007</t>
  </si>
  <si>
    <t>Roy &amp; Mae Limestall</t>
  </si>
  <si>
    <t>22066-2216</t>
  </si>
  <si>
    <t xml:space="preserve">10377 Nightwood Dr  Fort Myers, FL 33905 </t>
  </si>
  <si>
    <t xml:space="preserve">4520 Sand Pit Rd </t>
  </si>
  <si>
    <t xml:space="preserve">213 Hill St </t>
  </si>
  <si>
    <t xml:space="preserve">335 NE 29th Ter  Cape Coral, FL 33909 </t>
  </si>
  <si>
    <t>Alfords</t>
  </si>
  <si>
    <t xml:space="preserve">1706 NE 10th Ter  Cape Coral, FL 33909 </t>
  </si>
  <si>
    <t>H100</t>
  </si>
  <si>
    <t>Cape Coral Unit 84 Blk 5550 Pb 24 Pg 46 Lots 3 + 4</t>
  </si>
  <si>
    <t xml:space="preserve">8816 Le Pere School Rd </t>
  </si>
  <si>
    <t>Jevnick</t>
  </si>
  <si>
    <t>Christopher &amp; Elizabeth Seufert</t>
  </si>
  <si>
    <t xml:space="preserve">9711 Hammocks Blvd #106, Miami, FL 33196-1555 </t>
  </si>
  <si>
    <t>16-44-26-07-00022.0130</t>
  </si>
  <si>
    <t xml:space="preserve">2451 Lefferts Pl  Bellmore, NY 11710-4418 </t>
  </si>
  <si>
    <t xml:space="preserve">10979 Innisbrooke Ln </t>
  </si>
  <si>
    <t>Lehigh Acres Unit 6 Blk 28 Pb 26 Pg 8 Lot 1</t>
  </si>
  <si>
    <t>Chinga</t>
  </si>
  <si>
    <t xml:space="preserve">5840 Maplewood Ct  Fort Myers, FL 33905 </t>
  </si>
  <si>
    <t>17349-9195</t>
  </si>
  <si>
    <t xml:space="preserve">3656 Mathews Rd  Burdett, NY 14818-9728 </t>
  </si>
  <si>
    <t xml:space="preserve">1815 Andalusia Blvd  Cape Coral, FL 33909 </t>
  </si>
  <si>
    <t>Bui</t>
  </si>
  <si>
    <t>29-43-26-03-00037.0320</t>
  </si>
  <si>
    <t>Stephanie Namuo &amp; the Kingdom</t>
  </si>
  <si>
    <t>06-44-24-c2-02084.0110</t>
  </si>
  <si>
    <t xml:space="preserve">PO Box 2087  Palos Verdes Peninsula, CA 90274-8087 </t>
  </si>
  <si>
    <t xml:space="preserve">1612 NE 10th Ln  Cape Coral, FL 33909 </t>
  </si>
  <si>
    <t>Diem Nguyen</t>
  </si>
  <si>
    <t>Bacon</t>
  </si>
  <si>
    <t>Suitland</t>
  </si>
  <si>
    <t xml:space="preserve">2203 NE 17th Ave </t>
  </si>
  <si>
    <t>Cape Coral Unit 84 Blk 5567 Pb 24 Pg 40 Lots 16 + 17</t>
  </si>
  <si>
    <t>03254-4758</t>
  </si>
  <si>
    <t xml:space="preserve">3928 NE 23rd Pl  Cape Coral, FL 33909 </t>
  </si>
  <si>
    <t>25-43-23-c2-02348.0050</t>
  </si>
  <si>
    <t xml:space="preserve">2117 NE 17th Ter  Cape Coral, FL 33909 </t>
  </si>
  <si>
    <t>Cape Coral Unit 33 Blk 2281 Pb 16 Pg 60 Lots 1 Thru 3</t>
  </si>
  <si>
    <t>Torrejon</t>
  </si>
  <si>
    <t>Phelps</t>
  </si>
  <si>
    <t>Garnet Ridge</t>
  </si>
  <si>
    <t xml:space="preserve">3718 Kelsey St </t>
  </si>
  <si>
    <t xml:space="preserve">10054 Parkwood Dr </t>
  </si>
  <si>
    <t>Brittany &amp; Kenneth Marsch</t>
  </si>
  <si>
    <t>Devon Chase</t>
  </si>
  <si>
    <t>48867-8825</t>
  </si>
  <si>
    <t>Cypress Woods Rv Resort Unit 4 Pb 79 Pgs 68-71 Blk D Lot 34</t>
  </si>
  <si>
    <t>36-43-23-c1-02520.0460</t>
  </si>
  <si>
    <t>Cypress Trail Rv Resort Phase 2-A As Desc In Inst# 2014000026506 Lot 4</t>
  </si>
  <si>
    <t>Watertown</t>
  </si>
  <si>
    <t>33909-3231</t>
  </si>
  <si>
    <t>13820-6588</t>
  </si>
  <si>
    <t>Veliz</t>
  </si>
  <si>
    <t xml:space="preserve">4214 NE 21st Pl  Cape Coral, FL 33909 </t>
  </si>
  <si>
    <t>Pfaltzgraff</t>
  </si>
  <si>
    <t>Goodwin</t>
  </si>
  <si>
    <t xml:space="preserve">14130 Roof St </t>
  </si>
  <si>
    <t xml:space="preserve">3 S Greenleaf St G </t>
  </si>
  <si>
    <t>Guardado</t>
  </si>
  <si>
    <t>36-43-23-c4-02507.0260</t>
  </si>
  <si>
    <t>Lehigh Acres Unit 14 E Pt Blk 79 Pb 26 Pg 19 Lot 2</t>
  </si>
  <si>
    <t>05-44-24-c2-03511.0030</t>
  </si>
  <si>
    <t xml:space="preserve">2034 Mount Vernon Dr  Waukesha, WI 53186-2664 </t>
  </si>
  <si>
    <t>Carmen Depasquale</t>
  </si>
  <si>
    <t xml:space="preserve">1031 NE 12th Ter  Cape Coral, FL 33909 </t>
  </si>
  <si>
    <t>25-43-23-c4-02304.0050</t>
  </si>
  <si>
    <t>79th</t>
  </si>
  <si>
    <t xml:space="preserve">2014 NE 2nd Ter  Cape Coral, FL 33909 </t>
  </si>
  <si>
    <t xml:space="preserve">328 E Mulberry St </t>
  </si>
  <si>
    <t xml:space="preserve">2105 NE 6th Pl </t>
  </si>
  <si>
    <t>19-43-24-c3-05622.0090</t>
  </si>
  <si>
    <t>Piney Branch</t>
  </si>
  <si>
    <t xml:space="preserve">1846 Lake Shore Dr </t>
  </si>
  <si>
    <t xml:space="preserve">737 S Easy St </t>
  </si>
  <si>
    <t xml:space="preserve">652 Bleeker St  Charlottesville, VA 22903-3665 </t>
  </si>
  <si>
    <t>Lidia Kokoszka</t>
  </si>
  <si>
    <t>Paryse</t>
  </si>
  <si>
    <t>Lehigh Acres Unit 12 Blk 60 Pb 26 Pg 16 Lot 13</t>
  </si>
  <si>
    <t xml:space="preserve">391 Oasis Park Rd  Fort Myers, FL 33905 </t>
  </si>
  <si>
    <t>34120-5345</t>
  </si>
  <si>
    <t>32-43-24-c3-02230.0300</t>
  </si>
  <si>
    <t>Marco Dorazio</t>
  </si>
  <si>
    <t>Tsegai &amp; Mehret Berhane</t>
  </si>
  <si>
    <t xml:space="preserve">4440 Scott Ave  Fort Myers, FL 33905 </t>
  </si>
  <si>
    <t>33904-3006</t>
  </si>
  <si>
    <t>Pietro Freddi</t>
  </si>
  <si>
    <t>Cape Coral Unit 25 Blk 883 Pb 14 Pg 91 Lots 25 + 26</t>
  </si>
  <si>
    <t xml:space="preserve">3507 W Gator Cir </t>
  </si>
  <si>
    <t xml:space="preserve">14309 Oviedo Pl  Fort Myers, FL 33905 </t>
  </si>
  <si>
    <t>Cape Coral Unit 35 Blk 2413 Pb 16 Pg 109 Lots 11 + 12</t>
  </si>
  <si>
    <t xml:space="preserve">Po Box 144 </t>
  </si>
  <si>
    <t xml:space="preserve">3026 NE Juanita Pl </t>
  </si>
  <si>
    <t>Arroyo Rocio Tr</t>
  </si>
  <si>
    <t>Rampp</t>
  </si>
  <si>
    <t>19-43-24-c1-05550.0190</t>
  </si>
  <si>
    <t>01-44-23-c3-02393.0140</t>
  </si>
  <si>
    <t xml:space="preserve">348 NE 26th Ter  Cape Coral, FL 33909 </t>
  </si>
  <si>
    <t>Robert Nhan</t>
  </si>
  <si>
    <t xml:space="preserve">3526 NE 18th Pl  Cape Coral, FL 33909 </t>
  </si>
  <si>
    <t xml:space="preserve">5919 Brightwood Dr  Fort Myers, FL 33905 </t>
  </si>
  <si>
    <t>Trackers</t>
  </si>
  <si>
    <t>33180-4815</t>
  </si>
  <si>
    <t>Agan &amp; Alma Trumic</t>
  </si>
  <si>
    <t xml:space="preserve">4268 Arlington Ave </t>
  </si>
  <si>
    <t>Jones</t>
  </si>
  <si>
    <t>23322-8066</t>
  </si>
  <si>
    <t xml:space="preserve">2116 NE 24th Ter  Cape Coral, FL 33909 </t>
  </si>
  <si>
    <t>Rodoif Loureiro</t>
  </si>
  <si>
    <t>Cape Coral Unit 36 Blk 2341 Pb 16 Pg 121 Lots 40 Thru 42</t>
  </si>
  <si>
    <t xml:space="preserve">1257 NE 41st St </t>
  </si>
  <si>
    <t>Manilla</t>
  </si>
  <si>
    <t>Lewry</t>
  </si>
  <si>
    <t>Dyer</t>
  </si>
  <si>
    <t>Hereford</t>
  </si>
  <si>
    <t xml:space="preserve">5415 Rural Ave </t>
  </si>
  <si>
    <t>Clementina Zapata &amp; Anthony Fontalvo</t>
  </si>
  <si>
    <t>Ashwood</t>
  </si>
  <si>
    <t>Heyburn</t>
  </si>
  <si>
    <t>Buckingham Pk Re Blk B U-5 Blk 30 Pb 27 Pg 193 Lot 12</t>
  </si>
  <si>
    <t>Cypress Trail Rv Resort Ph 3 As Desc In Inst# 2015000085552 Lot 44</t>
  </si>
  <si>
    <t>11-44-25-l1-13000.3000</t>
  </si>
  <si>
    <t>Puppy Dog</t>
  </si>
  <si>
    <t xml:space="preserve">1401 NE 39th St  Cape Coral, FL 33909 </t>
  </si>
  <si>
    <t>18-43-24-c4-05702.0390</t>
  </si>
  <si>
    <t>Montwill</t>
  </si>
  <si>
    <t>Jay &amp; For Cutler</t>
  </si>
  <si>
    <t>590th</t>
  </si>
  <si>
    <t>Roger Sharpe</t>
  </si>
  <si>
    <t xml:space="preserve">1004 NE 23rd Ter  Cape Coral, FL 33909 </t>
  </si>
  <si>
    <t>33905-7672</t>
  </si>
  <si>
    <t>Walpole</t>
  </si>
  <si>
    <t xml:space="preserve">2206 NE 13th Ave </t>
  </si>
  <si>
    <t xml:space="preserve">707 Fulmer Ave  Stroudsburg, PA 18360-2236 </t>
  </si>
  <si>
    <t>19-43-24-c2-05605.0490</t>
  </si>
  <si>
    <t>33909-1634</t>
  </si>
  <si>
    <t>Cape Coral Unit 84 Blk 5620 Pb 24 Pg 34 Lots 47 + 48</t>
  </si>
  <si>
    <t>Kalama</t>
  </si>
  <si>
    <t xml:space="preserve">9339 Teresa Trl </t>
  </si>
  <si>
    <t>04074-9114</t>
  </si>
  <si>
    <t xml:space="preserve">59-31 Calle 66 #9 </t>
  </si>
  <si>
    <t xml:space="preserve">8131 Pecan Ter </t>
  </si>
  <si>
    <t>33909-4792</t>
  </si>
  <si>
    <t xml:space="preserve">6 Schuyler Pl </t>
  </si>
  <si>
    <t>Frank Kokernak &amp; For Realty</t>
  </si>
  <si>
    <t>Dulles</t>
  </si>
  <si>
    <t xml:space="preserve">2108 NE 36th Ter </t>
  </si>
  <si>
    <t xml:space="preserve">5541 Cypress Woods Resort Dr  Fort Myers, FL 33905 </t>
  </si>
  <si>
    <t>Cypress Trail Rv Resort Phase 4-A As Desc In Inst# 20160000135610 Lot 288</t>
  </si>
  <si>
    <t>Dunsmuir</t>
  </si>
  <si>
    <t>Ozone Park</t>
  </si>
  <si>
    <t xml:space="preserve">11550 County Road 632  Blue Ridge, TX 75424-2908 </t>
  </si>
  <si>
    <t>29585-2474</t>
  </si>
  <si>
    <t xml:space="preserve">5216 Cypress Trail Resort Cir </t>
  </si>
  <si>
    <t>Cape Coral Unit 33 Blk 2252 Pb 16 Pg 58 Lots 19 + 20</t>
  </si>
  <si>
    <t>Buckingham Park N E Sec Blk 23 Pb 9 Pg 62 Nwly 1/2 Of Lot 15</t>
  </si>
  <si>
    <t xml:space="preserve">35 Lisle St </t>
  </si>
  <si>
    <t xml:space="preserve">8 Powelton Rd </t>
  </si>
  <si>
    <t xml:space="preserve">429 NE 19th Ter  Cape Coral, FL 33909 </t>
  </si>
  <si>
    <t xml:space="preserve">1615 SW 15th Ter </t>
  </si>
  <si>
    <t>18-43-24-c3-05748.0180</t>
  </si>
  <si>
    <t>Schuth</t>
  </si>
  <si>
    <t xml:space="preserve">427 NE 15th St </t>
  </si>
  <si>
    <t>State Road 57</t>
  </si>
  <si>
    <t>Oak Hill</t>
  </si>
  <si>
    <t xml:space="preserve">4109 NE 23rd Pl  Cape Coral, FL 33909 </t>
  </si>
  <si>
    <t xml:space="preserve">3176 Marigold Cir  Diamond Bar, CA 91765-3778 </t>
  </si>
  <si>
    <t xml:space="preserve">2100 NE 7th Pl  Cape Coral, FL 33909 </t>
  </si>
  <si>
    <t xml:space="preserve">7 Chemin De Mireille  Thonon, FR </t>
  </si>
  <si>
    <t>Eastwood</t>
  </si>
  <si>
    <t>27020-8161</t>
  </si>
  <si>
    <t xml:space="preserve">1815 NE 23rd Ter  Cape Coral, FL 33909 </t>
  </si>
  <si>
    <t>Cape Coral Unit 33 Blk.2248 Pb 16 Pg 58 Lots 1 + 2</t>
  </si>
  <si>
    <t>B225</t>
  </si>
  <si>
    <t>60192-1754</t>
  </si>
  <si>
    <t>19-43-24-c1-05579.0510</t>
  </si>
  <si>
    <t xml:space="preserve">1049 NE 42nd Ave  Homestead, FL 33033-5903 </t>
  </si>
  <si>
    <t>Thomas Vigne</t>
  </si>
  <si>
    <t xml:space="preserve">3215 NE 13th Pl  Cape Coral, FL 33909 </t>
  </si>
  <si>
    <t>Fresh Meadows</t>
  </si>
  <si>
    <t>Pearson</t>
  </si>
  <si>
    <t>Muhamed</t>
  </si>
  <si>
    <t xml:space="preserve">8063 Counselor Rd  Manassas, VA 20112-4758 </t>
  </si>
  <si>
    <t>Roderick</t>
  </si>
  <si>
    <t>89081-3155</t>
  </si>
  <si>
    <t>Sycamore</t>
  </si>
  <si>
    <t>29-43-24-c3-02277.0430</t>
  </si>
  <si>
    <t>Cape Coral Unit 11 Blk.566 Pb 13 Pg 44 Lots 41 + 42</t>
  </si>
  <si>
    <t>Harleysville</t>
  </si>
  <si>
    <t>11-44-25-l1-1400a.1450</t>
  </si>
  <si>
    <t>Diawantie</t>
  </si>
  <si>
    <t xml:space="preserve">26 Davison Ave  East Rockaway, NY 11518-1308 </t>
  </si>
  <si>
    <t>30017-2969</t>
  </si>
  <si>
    <t>Estriplet</t>
  </si>
  <si>
    <t xml:space="preserve">5232 Cypress Trail Resort Cir </t>
  </si>
  <si>
    <t xml:space="preserve">1009 NE 13th Pl  Cape Coral, FL 33909 </t>
  </si>
  <si>
    <t>For William Grice Revocable Trust</t>
  </si>
  <si>
    <t>Cape Coral Unit 87 Blk 5747 Pb 24 Pg 70 Lot 20</t>
  </si>
  <si>
    <t>36-43-23-c3-02502.0330</t>
  </si>
  <si>
    <t>Fallens</t>
  </si>
  <si>
    <t>07940-1100</t>
  </si>
  <si>
    <t>Cypress Trail Rv Resort Phase 2-A As Desc In Inst# 2014000026506 Lot 75</t>
  </si>
  <si>
    <t>Indiana</t>
  </si>
  <si>
    <t>33909-2029</t>
  </si>
  <si>
    <t>Phillip Duong &amp; Jessica Bach</t>
  </si>
  <si>
    <t>18-43-24-c2-05736.0130</t>
  </si>
  <si>
    <t xml:space="preserve">1513 Jacaranda Pkwy E </t>
  </si>
  <si>
    <t>20175-7510</t>
  </si>
  <si>
    <t xml:space="preserve">928 Wellington St  London, ON N6a 3S9 </t>
  </si>
  <si>
    <t>Quoc Vanvannguyen &amp; Lisa Tran</t>
  </si>
  <si>
    <t xml:space="preserve">4215 Forder Heights Dr  Saint Louis, MO 63129-3066 </t>
  </si>
  <si>
    <t>Ta Doar</t>
  </si>
  <si>
    <t xml:space="preserve">6133 Hellman Ave  Fort Myers, FL 33905 </t>
  </si>
  <si>
    <t>Mount Whitney</t>
  </si>
  <si>
    <t>Frase</t>
  </si>
  <si>
    <t>Albert Lea</t>
  </si>
  <si>
    <t>28655-6405</t>
  </si>
  <si>
    <t>H2V 4K9</t>
  </si>
  <si>
    <t>Hansenn-Przyblya</t>
  </si>
  <si>
    <t xml:space="preserve">24 Kismet Pkwy E </t>
  </si>
  <si>
    <t xml:space="preserve">25 Dutton St  Ridley Park, PA 19078-2324 </t>
  </si>
  <si>
    <t>Dania</t>
  </si>
  <si>
    <t>Cypress Woods Rv Resort Unit 4 Pb 79 Pgs 68-71 Blk D Lot 102</t>
  </si>
  <si>
    <t>33909-9215</t>
  </si>
  <si>
    <t>Cape Coral Unit 36 Blk 2531 Pb 16 Pg 117 Lots 26 + 27</t>
  </si>
  <si>
    <t>Tuong-Linh</t>
  </si>
  <si>
    <t xml:space="preserve">19681 Summerlin Rd #695, Fort Myers, FL 33908 </t>
  </si>
  <si>
    <t>Moran</t>
  </si>
  <si>
    <t>Hon</t>
  </si>
  <si>
    <t xml:space="preserve">PO Box 781  Andalusia, IL 61232 </t>
  </si>
  <si>
    <t xml:space="preserve">PO Box 127892  Hialeah, FL 33012-1631 </t>
  </si>
  <si>
    <t>F20</t>
  </si>
  <si>
    <t>Cape Coral Unit 85 Blk 5671 Pb 24 Pg 51 Lot 58</t>
  </si>
  <si>
    <t>Fountain View Rv Resort Or 1627 Pg 0179 Lot 246</t>
  </si>
  <si>
    <t>Cape Coral Unit 84 Blk 5586 Pb 24 Pg 48 Lots 21 + 22</t>
  </si>
  <si>
    <t xml:space="preserve">2577 E Sundance Dr  Sandy, UT 84093-1818 </t>
  </si>
  <si>
    <t>11-44-25-09-00000.1620</t>
  </si>
  <si>
    <t xml:space="preserve">11751 Ariana Dr  Fort Myers, FL 33908 </t>
  </si>
  <si>
    <t xml:space="preserve">1350 S Wood Ave B19 </t>
  </si>
  <si>
    <t>Brimfield</t>
  </si>
  <si>
    <t xml:space="preserve">4128 NE 10th Ave </t>
  </si>
  <si>
    <t>08807-1822</t>
  </si>
  <si>
    <t xml:space="preserve">1708 NE 7th Pl </t>
  </si>
  <si>
    <t>Cape Coral Unit 33 Blk.2198 Pb 16 Pg 46 Lots 29 + 30</t>
  </si>
  <si>
    <t xml:space="preserve">203 Silverwood Dr  Mansfield, TX 76063-8637 </t>
  </si>
  <si>
    <t xml:space="preserve">1026 NE 2nd Ave </t>
  </si>
  <si>
    <t xml:space="preserve">2515 NE 1st Ave </t>
  </si>
  <si>
    <t>Cameron</t>
  </si>
  <si>
    <t>32164-7982</t>
  </si>
  <si>
    <t xml:space="preserve">855 Favony Ave </t>
  </si>
  <si>
    <t>Pettit</t>
  </si>
  <si>
    <t>33904-3344</t>
  </si>
  <si>
    <t>77399-1086</t>
  </si>
  <si>
    <t xml:space="preserve">1921 Tourangeau Rd  Windsor, ON N8w 4N4 </t>
  </si>
  <si>
    <t xml:space="preserve">350 W 37th St 14j </t>
  </si>
  <si>
    <t xml:space="preserve">204 NE 18th St  Cape Coral, FL 33909 </t>
  </si>
  <si>
    <t xml:space="preserve">101 NE 12th Ln </t>
  </si>
  <si>
    <t xml:space="preserve">23885 N Beard Ave  Lakeville, MN 55044-7146 </t>
  </si>
  <si>
    <t xml:space="preserve">Willow Tree Farm  Doncaster S Yorks, GB 00000 </t>
  </si>
  <si>
    <t xml:space="preserve">5516 Park Rd  Fort Myers, FL 33908 </t>
  </si>
  <si>
    <t xml:space="preserve">5227 Pineland Daisy Trl  Fort Myers, FL 33905 </t>
  </si>
  <si>
    <t>25-43-23-c3-02352.0220</t>
  </si>
  <si>
    <t xml:space="preserve">2109 NE 15th St  Cape Coral, FL 33909 </t>
  </si>
  <si>
    <t>Shelmith Mamo &amp; Isaac Gatumia</t>
  </si>
  <si>
    <t>33179-1268</t>
  </si>
  <si>
    <t>Rodolfo &amp; Maria Quintanilla</t>
  </si>
  <si>
    <t xml:space="preserve">15688 Park View Dr  Newbury, OH 44065-9573 </t>
  </si>
  <si>
    <t>33156-6338</t>
  </si>
  <si>
    <t xml:space="preserve">3100 NE 1st Ave </t>
  </si>
  <si>
    <t>Centre</t>
  </si>
  <si>
    <t xml:space="preserve">1006 NE 6th Pl  Cape Coral, FL 33909 </t>
  </si>
  <si>
    <t>32-43-26-l2-26000.0160</t>
  </si>
  <si>
    <t>84058-5251</t>
  </si>
  <si>
    <t>33134-1431</t>
  </si>
  <si>
    <t>Lugg</t>
  </si>
  <si>
    <t>56071-4033</t>
  </si>
  <si>
    <t>Sushkiw Alexandra Tr</t>
  </si>
  <si>
    <t xml:space="preserve">5228 Cypress Trail Resort Cir </t>
  </si>
  <si>
    <t>An</t>
  </si>
  <si>
    <t xml:space="preserve">30 Scheteligstrabe </t>
  </si>
  <si>
    <t xml:space="preserve">6414 W Annandale Way </t>
  </si>
  <si>
    <t>Rs6</t>
  </si>
  <si>
    <t xml:space="preserve">303 NE 25th Ter </t>
  </si>
  <si>
    <t>11-44-25-08-00000.2560</t>
  </si>
  <si>
    <t>Effing</t>
  </si>
  <si>
    <t xml:space="preserve">1415 NE 33rd Ter </t>
  </si>
  <si>
    <t>Canonsburg</t>
  </si>
  <si>
    <t>Cape Coral Unit 36 Pt 1 Blk 2508 Pb 23 Pg 92 Lots 15 + 16</t>
  </si>
  <si>
    <t xml:space="preserve">14126 71st Rd </t>
  </si>
  <si>
    <t>Lawrenceville</t>
  </si>
  <si>
    <t>Cyril</t>
  </si>
  <si>
    <t>Cypress Trail Rv Resort Phase 2-A As Desc In Inst# 2014000026506 Lot 248</t>
  </si>
  <si>
    <t>not Given</t>
  </si>
  <si>
    <t>Mery</t>
  </si>
  <si>
    <t xml:space="preserve">1375 SW 17th St  Miami, FL 33145-1625 </t>
  </si>
  <si>
    <t xml:space="preserve">2880 Meridian Dr </t>
  </si>
  <si>
    <t>Xue</t>
  </si>
  <si>
    <t>Damian</t>
  </si>
  <si>
    <t xml:space="preserve">155 N End Rd </t>
  </si>
  <si>
    <t>03-44-26-14-00078.0100</t>
  </si>
  <si>
    <t>For Leo C Jr &amp; Mary A Momany Trust</t>
  </si>
  <si>
    <t>65753-9482</t>
  </si>
  <si>
    <t>Gangadeen</t>
  </si>
  <si>
    <t xml:space="preserve">1516 NE 36th Ter  Cape Coral, FL 33909 </t>
  </si>
  <si>
    <t xml:space="preserve">1205 NE 13th Ave </t>
  </si>
  <si>
    <t xml:space="preserve">8360 SW 138th Ter  Palmetto Bay, FL 33158-1062 </t>
  </si>
  <si>
    <t>03-44-26-11-00055.0110</t>
  </si>
  <si>
    <t>Nancy Lugo</t>
  </si>
  <si>
    <t>Cris</t>
  </si>
  <si>
    <t>Rs-1</t>
  </si>
  <si>
    <t>Empress</t>
  </si>
  <si>
    <t>33909-1683</t>
  </si>
  <si>
    <t xml:space="preserve">6119 Humboldt Ave  Fort Myers, FL 33905 </t>
  </si>
  <si>
    <t xml:space="preserve">1001 NE 34th Ter </t>
  </si>
  <si>
    <t>Leonidas &amp; Sonia Ayestas</t>
  </si>
  <si>
    <t>Edgardo Mesina</t>
  </si>
  <si>
    <t>Brenda Kastner</t>
  </si>
  <si>
    <t>Beg Se Cor Of Sec Ru W Alg S Li Of Sec 598.31 Ft Th N 692.16 Ft Th E 607.21 Ft</t>
  </si>
  <si>
    <t>33909-7329</t>
  </si>
  <si>
    <t xml:space="preserve">2109 NE 15th Pl </t>
  </si>
  <si>
    <t>Tzahi</t>
  </si>
  <si>
    <t>Cape Coral Unit 33 Blk.2208 Pb 16 Pg 41 Lots 53 + 54</t>
  </si>
  <si>
    <t xml:space="preserve">6156 Humboldt Ave </t>
  </si>
  <si>
    <t>Cape Coral Unit 56 Blk 4038 Pb 19 Pg 110 Lots 23 + 24</t>
  </si>
  <si>
    <t xml:space="preserve">230-7050 PO Box 230-7050  Acworth, GA 30101 </t>
  </si>
  <si>
    <t>36-43-23-c2-02545.0230</t>
  </si>
  <si>
    <t>West Park</t>
  </si>
  <si>
    <t>Cape Coral Unit 33 Blk 2228 Pb 16 Pg 47 Lots 24 + 25</t>
  </si>
  <si>
    <t>David &amp; Melissa Settle</t>
  </si>
  <si>
    <t xml:space="preserve">2515 NE 1st Ave  Cape Coral, FL 33909 </t>
  </si>
  <si>
    <t xml:space="preserve">212 Jarvis St  Charleston, WV 25302-4613 </t>
  </si>
  <si>
    <t xml:space="preserve">3838 Huntley St </t>
  </si>
  <si>
    <t>32-43-24-c2-02244.0130</t>
  </si>
  <si>
    <t>Manuel &amp; Julia Santos</t>
  </si>
  <si>
    <t>Jasmina Abarca</t>
  </si>
  <si>
    <t>Victor &amp; Margarita Bitong</t>
  </si>
  <si>
    <t>06-44-24-c3-02060.0260</t>
  </si>
  <si>
    <t>05495-7154</t>
  </si>
  <si>
    <t>Jakse</t>
  </si>
  <si>
    <t>75093-8502</t>
  </si>
  <si>
    <t>Cypress Trail Rv Resort Phase 2-A As Desc In Inst# 2014000026506 Lot 21</t>
  </si>
  <si>
    <t>R068</t>
  </si>
  <si>
    <t xml:space="preserve">1801 Virginia St  Flatwoods, KY 41139-1755 </t>
  </si>
  <si>
    <t>Sandwich</t>
  </si>
  <si>
    <t>33140-3854</t>
  </si>
  <si>
    <t>17-43-24-c2-05798.0620</t>
  </si>
  <si>
    <t xml:space="preserve">5644 Desertgold Dr  Cincinnati, OH 45247-3575 </t>
  </si>
  <si>
    <t>Seite</t>
  </si>
  <si>
    <t>T1X 1E8</t>
  </si>
  <si>
    <t>Roderic &amp; Margaret Dickinson</t>
  </si>
  <si>
    <t xml:space="preserve">1913 NE 2nd Pl </t>
  </si>
  <si>
    <t>08757-2513</t>
  </si>
  <si>
    <t xml:space="preserve">1121 2nd St A </t>
  </si>
  <si>
    <t>Cape Coral Unit 34 Blk 2437 Pb 16 Pg 81 Lots 33 + 34</t>
  </si>
  <si>
    <t>Bohne Carl Tr</t>
  </si>
  <si>
    <t xml:space="preserve">46 NE 173rd St </t>
  </si>
  <si>
    <t>25-43-23-c1-02326.0470</t>
  </si>
  <si>
    <t>Danh</t>
  </si>
  <si>
    <t xml:space="preserve">2092 E Tobago Cir  Fort Myers, FL 33905 </t>
  </si>
  <si>
    <t xml:space="preserve">2602 NE 1st Ave </t>
  </si>
  <si>
    <t>Presidio</t>
  </si>
  <si>
    <t>24-45-23-c2-00141.0320</t>
  </si>
  <si>
    <t xml:space="preserve">48 Wallasey Ave </t>
  </si>
  <si>
    <t>Mountain Sights</t>
  </si>
  <si>
    <t>Gesellschaft Arena</t>
  </si>
  <si>
    <t>Vassiliki</t>
  </si>
  <si>
    <t xml:space="preserve">3138 NE 14th Pl </t>
  </si>
  <si>
    <t xml:space="preserve">1117 NE 36th St  Cape Coral, FL 33909 </t>
  </si>
  <si>
    <t>Cape Coral Unit 36 Blk 2309 Pb 16 Pg 120 Lots 36 + 37</t>
  </si>
  <si>
    <t xml:space="preserve">4222 NE 23rd Ave </t>
  </si>
  <si>
    <t>87109-6306</t>
  </si>
  <si>
    <t xml:space="preserve">1718 NE 2nd Pl  Cape Coral, FL 33909 </t>
  </si>
  <si>
    <t xml:space="preserve">89 Walnut Rd </t>
  </si>
  <si>
    <t>10023-4804</t>
  </si>
  <si>
    <t xml:space="preserve">2645 W Marion Ave #213, Punta Gorda, FL 33950-5900 </t>
  </si>
  <si>
    <t xml:space="preserve">10409 Nightwood Dr </t>
  </si>
  <si>
    <t xml:space="preserve">3816 NE 23rd Pl  Cape Coral, FL 33909 </t>
  </si>
  <si>
    <t>Thorngate</t>
  </si>
  <si>
    <t>17-43-24-c2-05807.0030</t>
  </si>
  <si>
    <t>Edward Manzi</t>
  </si>
  <si>
    <t>Loren</t>
  </si>
  <si>
    <t>Paola Barroso</t>
  </si>
  <si>
    <t>Cape Coral Unit 87 Blk 5728 Pb 24 Pg 85 Lots 19 + 20</t>
  </si>
  <si>
    <t>33909-6106</t>
  </si>
  <si>
    <t xml:space="preserve">1860 Haring St  Brooklyn, NY 11229-3210 </t>
  </si>
  <si>
    <t>Cape Coral Unit 47 Pt 2 Blk 3511 Pb 23 Pg 122 Lots 7 + 8</t>
  </si>
  <si>
    <t>Manuel &amp; Virginia Santiago</t>
  </si>
  <si>
    <t xml:space="preserve">3848/3850 Hillandale St  Fort Myers, FL 33905 </t>
  </si>
  <si>
    <t>Blommer</t>
  </si>
  <si>
    <t>32-43-24-c4-02226.0250</t>
  </si>
  <si>
    <t xml:space="preserve">849 NE 38th Ter </t>
  </si>
  <si>
    <t>19-43-24-c2-05603.0150</t>
  </si>
  <si>
    <t xml:space="preserve">2602 Stafford Woods Pl  Plant City, FL 33565-6140 </t>
  </si>
  <si>
    <t xml:space="preserve">2760 Garland Rd </t>
  </si>
  <si>
    <t>Big Stone Gap</t>
  </si>
  <si>
    <t>03-44-26-13-00074.0220</t>
  </si>
  <si>
    <t>Indian</t>
  </si>
  <si>
    <t>Avihu</t>
  </si>
  <si>
    <t xml:space="preserve">2602 NE 3rd Ave </t>
  </si>
  <si>
    <t>33909-6498</t>
  </si>
  <si>
    <t>Cypress Trail Rv Resort Phase 4-A As Desc In Inst# 20160000135610 Lot 376</t>
  </si>
  <si>
    <t>Brummett</t>
  </si>
  <si>
    <t xml:space="preserve">1 Impasse Joseph Lavarec  Ussac, FR </t>
  </si>
  <si>
    <t>Lehigh Acres Unit 12 Blk 66 Pb 26 Pg 15 Lot 12</t>
  </si>
  <si>
    <t>Cape Coral Unit 36 Blk 2351 Pb 16 Pg 127 Lots 38 + 39</t>
  </si>
  <si>
    <t>Mcafee</t>
  </si>
  <si>
    <t>Caterina</t>
  </si>
  <si>
    <t>William &amp; Kingdom Heller</t>
  </si>
  <si>
    <t xml:space="preserve">1105 NE 6th Ave </t>
  </si>
  <si>
    <t>Bartels</t>
  </si>
  <si>
    <t xml:space="preserve">10218 Golden Eagle Dr  Largo, FL 33778-3830 </t>
  </si>
  <si>
    <t xml:space="preserve">4233 SE 8th Ave  Cape Coral, FL 33904 </t>
  </si>
  <si>
    <t>45419-2135</t>
  </si>
  <si>
    <t xml:space="preserve">1803 NE 10th Ave  Cape Coral, FL 33909 </t>
  </si>
  <si>
    <t>Cape Coral Unit 36 Blk 2295 Pb 16 Pg 119 Lots 21 + 22</t>
  </si>
  <si>
    <t>33909-4591</t>
  </si>
  <si>
    <t>Troy</t>
  </si>
  <si>
    <t>Ramo Libic</t>
  </si>
  <si>
    <t>33027-2636</t>
  </si>
  <si>
    <t>South Rockwood</t>
  </si>
  <si>
    <t>33175-1039</t>
  </si>
  <si>
    <t xml:space="preserve">4412 SW 50th St </t>
  </si>
  <si>
    <t>Terre Haute</t>
  </si>
  <si>
    <t xml:space="preserve">21 NE 7th Ter </t>
  </si>
  <si>
    <t xml:space="preserve">4104 NE 14th Pl  Cape Coral, FL 33909 </t>
  </si>
  <si>
    <t xml:space="preserve">2050 SE Doverbrook St </t>
  </si>
  <si>
    <t>Agnes</t>
  </si>
  <si>
    <t>33901-8558</t>
  </si>
  <si>
    <t xml:space="preserve">20532 SW 122nd Ave </t>
  </si>
  <si>
    <t xml:space="preserve">516 NE 16th Ter </t>
  </si>
  <si>
    <t>Ligia</t>
  </si>
  <si>
    <t xml:space="preserve">4560 Sandfort Rd  Seale, AL 36875-3310 </t>
  </si>
  <si>
    <t>12-46-23-03-00000.1270</t>
  </si>
  <si>
    <t>33908-2802</t>
  </si>
  <si>
    <t>08-45-24-c4-00364.0260</t>
  </si>
  <si>
    <t xml:space="preserve">3160 County Rd 3  Carrying Place, ON K0k 1L0 </t>
  </si>
  <si>
    <t xml:space="preserve">2012 NE 7th Pl </t>
  </si>
  <si>
    <t xml:space="preserve">10231 Butterweed Trl  Fort Myers, FL 33905 </t>
  </si>
  <si>
    <t xml:space="preserve">5 Bergst </t>
  </si>
  <si>
    <t>Spitz</t>
  </si>
  <si>
    <t>For R &amp; D Iossi Living Trust</t>
  </si>
  <si>
    <t>18017-9333</t>
  </si>
  <si>
    <t xml:space="preserve">1810 NE 27th Ter  Cape Coral, FL 33909 </t>
  </si>
  <si>
    <t xml:space="preserve">308 Aviation Pkwy  Cape Coral, FL 33904 </t>
  </si>
  <si>
    <t xml:space="preserve">2206 NE 27th Ter </t>
  </si>
  <si>
    <t>Milicich</t>
  </si>
  <si>
    <t>Bondar</t>
  </si>
  <si>
    <t>20-43-24-c3-05671.0670</t>
  </si>
  <si>
    <t>W 1/2 Of S125ft Of W150ft Of W 1/2 Of E 1/2 Of Sw 1/4 Of Nw 1/4 Ofse1/4Lsrd</t>
  </si>
  <si>
    <t>B024</t>
  </si>
  <si>
    <t>33144-5108</t>
  </si>
  <si>
    <t xml:space="preserve">216 NE 31st Ter  Cape Coral, FL 33909 </t>
  </si>
  <si>
    <t>Cape Coral Unit 84 Blk 5567 Pb 24 Pg 40 Lots 14 + 15</t>
  </si>
  <si>
    <t>07047-2521</t>
  </si>
  <si>
    <t>Michael Karichkowsky</t>
  </si>
  <si>
    <t xml:space="preserve">28 Jackson Rd </t>
  </si>
  <si>
    <t xml:space="preserve">234 W County Road 550 S  Paoli, IN 47454-9416 </t>
  </si>
  <si>
    <t>33189-3038</t>
  </si>
  <si>
    <t>25-43-23-c1-02326.0220</t>
  </si>
  <si>
    <t>33904-7132</t>
  </si>
  <si>
    <t xml:space="preserve">5983 Brightwood Dr  Fort Myers, FL 33905 </t>
  </si>
  <si>
    <t xml:space="preserve">161 Terhune Ave </t>
  </si>
  <si>
    <t>Buckingham Pk Re Blk B U-3 Blk 13 Pb 27 Pg 190 Lot 41</t>
  </si>
  <si>
    <t xml:space="preserve">21 Taunton Ave  Mattapan, MA 02126 </t>
  </si>
  <si>
    <t>Teddy</t>
  </si>
  <si>
    <t>33607-3418</t>
  </si>
  <si>
    <t xml:space="preserve">1405 NE 33rd Ln  Cape Coral, FL 33909 </t>
  </si>
  <si>
    <t>B-35</t>
  </si>
  <si>
    <t>Royal Palm Park</t>
  </si>
  <si>
    <t xml:space="preserve">1906 NE 16th Pl </t>
  </si>
  <si>
    <t>Robert Koch</t>
  </si>
  <si>
    <t>Pericles</t>
  </si>
  <si>
    <t>Meza</t>
  </si>
  <si>
    <t>34669-8521</t>
  </si>
  <si>
    <t xml:space="preserve">1117 NE 7th Pl </t>
  </si>
  <si>
    <t>17-43-24-c2-05814.0150</t>
  </si>
  <si>
    <t xml:space="preserve">131 Melrose St  Auburndale, MA 02466-1109 </t>
  </si>
  <si>
    <t xml:space="preserve">278 Abbey Dr </t>
  </si>
  <si>
    <t>33904-4077</t>
  </si>
  <si>
    <t>11691-1433</t>
  </si>
  <si>
    <t>Cape Coral Unit 35 Blk.2415 Pb 16 Pg 104 Lots 1 + 2</t>
  </si>
  <si>
    <t xml:space="preserve">3607 NE 19th Ave  Cape Coral, FL 33909 </t>
  </si>
  <si>
    <t>33909-4509</t>
  </si>
  <si>
    <t>Nuview Trust Company</t>
  </si>
  <si>
    <t>25-43-23-c1-02328.0070</t>
  </si>
  <si>
    <t>Acero</t>
  </si>
  <si>
    <t>Steven &amp; For Froehlich</t>
  </si>
  <si>
    <t>Mirada As Desc In Inst# 2016000041909 Tract C</t>
  </si>
  <si>
    <t xml:space="preserve">2015 Jennifer Pl </t>
  </si>
  <si>
    <t>32-44-24-c3-01175.0070</t>
  </si>
  <si>
    <t>R014</t>
  </si>
  <si>
    <t>Misleidy Cano</t>
  </si>
  <si>
    <t>25-43-23-c2-02333.0530</t>
  </si>
  <si>
    <t>Spink</t>
  </si>
  <si>
    <t>3r</t>
  </si>
  <si>
    <t>Bostick</t>
  </si>
  <si>
    <t>01821-2832</t>
  </si>
  <si>
    <t xml:space="preserve">5644 Aspen Ln </t>
  </si>
  <si>
    <t>Anys</t>
  </si>
  <si>
    <t xml:space="preserve">5065 SW 164th Ave  Miramar, FL 33027-4950 </t>
  </si>
  <si>
    <t>Longwater Chase</t>
  </si>
  <si>
    <t xml:space="preserve">3108 NW 55th St  Miami, FL 33142-2840 </t>
  </si>
  <si>
    <t>Longenecker</t>
  </si>
  <si>
    <t xml:space="preserve">1018 NE 15th St  Cape Coral, FL 33909 </t>
  </si>
  <si>
    <t>Thomas Zeske</t>
  </si>
  <si>
    <t>94546-3340</t>
  </si>
  <si>
    <t>01-44-23-c2-02431.0220</t>
  </si>
  <si>
    <t xml:space="preserve">12580 Water Ln </t>
  </si>
  <si>
    <t xml:space="preserve">5808 Countryview Ter </t>
  </si>
  <si>
    <t xml:space="preserve">2812 NE 6th Pl </t>
  </si>
  <si>
    <t>Cape Coral Unit 47 Part 2 Blk 3514 Pb 23 Pg 125 Lots 59 + 60</t>
  </si>
  <si>
    <t>Cape Coral Unit 84 Blk 5549 Pb 24 Pg 46 Lots 51 + 52</t>
  </si>
  <si>
    <t>05-44-24-c2-03516.0310</t>
  </si>
  <si>
    <t xml:space="preserve">85 Putnam Rd </t>
  </si>
  <si>
    <t xml:space="preserve">1620 NE 17th Ter </t>
  </si>
  <si>
    <t xml:space="preserve">1148 NE 39th St </t>
  </si>
  <si>
    <t>Egolf</t>
  </si>
  <si>
    <t>Haybach</t>
  </si>
  <si>
    <t>Pine Manor Unit 3 Blk 13 Pb 10 Pg 93 Lot 7</t>
  </si>
  <si>
    <t xml:space="preserve">406 N Burson Ave  Bogart, GA 30622-1688 </t>
  </si>
  <si>
    <t>49418-8336</t>
  </si>
  <si>
    <t xml:space="preserve">19730 NE 12th Ct </t>
  </si>
  <si>
    <t>Jasmatee &amp; For Ramnarine</t>
  </si>
  <si>
    <t xml:space="preserve">830 Glen Oak Dr </t>
  </si>
  <si>
    <t xml:space="preserve">14442 Rosewood Rd </t>
  </si>
  <si>
    <t>Landherr</t>
  </si>
  <si>
    <t>48328-4294</t>
  </si>
  <si>
    <t xml:space="preserve">N Der Buchsplitt 14 A, Superior, MT 59872 </t>
  </si>
  <si>
    <t>Roach</t>
  </si>
  <si>
    <t xml:space="preserve">16340 N Oleander Dr </t>
  </si>
  <si>
    <t>33909-1939</t>
  </si>
  <si>
    <t xml:space="preserve">2302 NE 36th St  Cape Coral, FL 33909 </t>
  </si>
  <si>
    <t xml:space="preserve">5870 Pathwood Ct  Fort Myers, FL 33905 </t>
  </si>
  <si>
    <t xml:space="preserve">507 Karcher Ave  Tallahassee, FL 32317-7280 </t>
  </si>
  <si>
    <t>Carlos Corugedo</t>
  </si>
  <si>
    <t>Cape Coral Unit 87 Blk 5736 Pb 24 Pg 77 Lots 49 + 50</t>
  </si>
  <si>
    <t xml:space="preserve">4 Residence Le Pavillon  Chauffours Abymes, FR </t>
  </si>
  <si>
    <t xml:space="preserve">127 NE 23rd Ter </t>
  </si>
  <si>
    <t xml:space="preserve">6049 Joplin Ave </t>
  </si>
  <si>
    <t>Cape Coral Unit 36 Blk 2353 Pb 16 Pg 120 Lots 46 + 47</t>
  </si>
  <si>
    <t xml:space="preserve">14819 SW 177th Ter </t>
  </si>
  <si>
    <t xml:space="preserve">372 Floyd Dr  Odessa, TX 79766-1105 </t>
  </si>
  <si>
    <t xml:space="preserve">315 Yarmouth St  Norfolk, VA 23510-1201 </t>
  </si>
  <si>
    <t xml:space="preserve">4460 Pine Rd  Fort Myers, FL 33908 </t>
  </si>
  <si>
    <t xml:space="preserve">45 Kingsbridge Garden Cir #1202, Mississauga, ON L5r 3K4 </t>
  </si>
  <si>
    <t>Overiver Shores Pb 9 Pg 75 Lot 31 + W 1/2 Lot 30</t>
  </si>
  <si>
    <t>Martin &amp; For Sica</t>
  </si>
  <si>
    <t>Sarah Rengifo</t>
  </si>
  <si>
    <t>Segundo Gonzalez</t>
  </si>
  <si>
    <t>03-44-26-01-00001.0080</t>
  </si>
  <si>
    <t xml:space="preserve">Po Box 255 </t>
  </si>
  <si>
    <t>01-44-23-c4-02444.0010</t>
  </si>
  <si>
    <t xml:space="preserve">7466 SW 112th Pl </t>
  </si>
  <si>
    <t>Keetch</t>
  </si>
  <si>
    <t>Ralph &amp; Rita Pickett</t>
  </si>
  <si>
    <t>94530-4110</t>
  </si>
  <si>
    <t xml:space="preserve">1815 Concession Rd 10  Blackstock, ON L0b 1B0 </t>
  </si>
  <si>
    <t>Cypress Trail Rv Resort As Desc In Inst# 2013000212499 Lot 197</t>
  </si>
  <si>
    <t>Cape Coral Unit 33 Blk.2267 Pb 16 Pg 61 Lots 51 + 52</t>
  </si>
  <si>
    <t>Alice Kearns</t>
  </si>
  <si>
    <t>29-43-24-c4-02285.0050</t>
  </si>
  <si>
    <t>Saint Albans</t>
  </si>
  <si>
    <t>89128-3193</t>
  </si>
  <si>
    <t xml:space="preserve">114 W Broadway St  Bardstown, KY 40004-1425 </t>
  </si>
  <si>
    <t>32801-2060</t>
  </si>
  <si>
    <t xml:space="preserve">1909 NE 19th Pl </t>
  </si>
  <si>
    <t xml:space="preserve">2925 NE 4th Pl  Cape Coral, FL 33909 </t>
  </si>
  <si>
    <t>33023-4435</t>
  </si>
  <si>
    <t xml:space="preserve">13201/203 1st St </t>
  </si>
  <si>
    <t>Vantassell</t>
  </si>
  <si>
    <t xml:space="preserve">511 NE 15th St  Cape Coral, FL 33909 </t>
  </si>
  <si>
    <t xml:space="preserve">17 Wedgewood Dr  Haverhill, MA 01830-6785 </t>
  </si>
  <si>
    <t xml:space="preserve">1700 S Prospect Ave </t>
  </si>
  <si>
    <t xml:space="preserve">11296 Moonshine Creek Cir  Orlando, FL 32825-7231 </t>
  </si>
  <si>
    <t>Cape Coral Unit 88 Blk 5781 Pb 24 Pg 132 Lots 27 + 28</t>
  </si>
  <si>
    <t>Shawomet</t>
  </si>
  <si>
    <t>Ormond Beach</t>
  </si>
  <si>
    <t>19-43-24-c2-05593.0450</t>
  </si>
  <si>
    <t>Bartletts Vision</t>
  </si>
  <si>
    <t xml:space="preserve">2401 Fairview Dr </t>
  </si>
  <si>
    <t>Cape Coral Unit 36 Blk 2514 Pb 16 Pg 113 Lots 51 + 52</t>
  </si>
  <si>
    <t xml:space="preserve">916 NE 32nd St </t>
  </si>
  <si>
    <t>Lucciana &amp; Chamorro Barreto</t>
  </si>
  <si>
    <t>Klaus</t>
  </si>
  <si>
    <t>Gallo-Cifuentes</t>
  </si>
  <si>
    <t>Cape Coral Unit 87 Blk 5707 Pb 24 Pg 72 Lots 2 + 3</t>
  </si>
  <si>
    <t>33904-2965</t>
  </si>
  <si>
    <t>Seymour</t>
  </si>
  <si>
    <t>Lehigh Acres W 1/2 Ut 13 Blk 74 Pb 26 Pg 18 Lot 15</t>
  </si>
  <si>
    <t>Eastview</t>
  </si>
  <si>
    <t xml:space="preserve">1127 NW 33rd Ave </t>
  </si>
  <si>
    <t>Caron Lawrence &amp; John Murray</t>
  </si>
  <si>
    <t>17-43-24-c3-05783.0010</t>
  </si>
  <si>
    <t>Linda Bengivenga &amp; Francis Zommer</t>
  </si>
  <si>
    <t>Gurnee</t>
  </si>
  <si>
    <t>33909-5221</t>
  </si>
  <si>
    <t xml:space="preserve">333 E Chestnut St  Lancaster, PA 17602-2707 </t>
  </si>
  <si>
    <t>Eugene</t>
  </si>
  <si>
    <t xml:space="preserve">3 Fairfield Rd </t>
  </si>
  <si>
    <t>Adrianna Diaz</t>
  </si>
  <si>
    <t>Ojeda</t>
  </si>
  <si>
    <t>18-43-24-c3-05750.0070</t>
  </si>
  <si>
    <t xml:space="preserve">624 Oak St  Copiague, NY 11726-3217 </t>
  </si>
  <si>
    <t>Cypress Woods Rv Resort Un 3 Desc In Pb 72 Pgs 92-95 Blk C Lot 50</t>
  </si>
  <si>
    <t xml:space="preserve">610 Jacaranda Pkwy E </t>
  </si>
  <si>
    <t>61048-9143</t>
  </si>
  <si>
    <t>33318-5548</t>
  </si>
  <si>
    <t>Linh Hoang &amp; Peter Truong</t>
  </si>
  <si>
    <t xml:space="preserve">6150 Whitaker Rd  Naples, FL 34112-2966 </t>
  </si>
  <si>
    <t>H008</t>
  </si>
  <si>
    <t xml:space="preserve">2002 NE 44th Ter  Cape Coral, FL 33909 </t>
  </si>
  <si>
    <t>10314-7912</t>
  </si>
  <si>
    <t>Bruscargin</t>
  </si>
  <si>
    <t xml:space="preserve">16 Lark Pl  Old Bridge, NJ 08857-3062 </t>
  </si>
  <si>
    <t xml:space="preserve">2031 NE 28th St </t>
  </si>
  <si>
    <t>32-43-24-c1-02247.0870</t>
  </si>
  <si>
    <t xml:space="preserve">1815 NE 23rd Ter </t>
  </si>
  <si>
    <t>11-44-25-l1-1400b.4610</t>
  </si>
  <si>
    <t>33905-7727</t>
  </si>
  <si>
    <t xml:space="preserve">337 NE 5th Ter </t>
  </si>
  <si>
    <t>06-44-24-c1-02100.0240</t>
  </si>
  <si>
    <t>Cape Coral Unit 84 Blk 5602 Pb 24 Pg 43 Lots 17 + 18</t>
  </si>
  <si>
    <t xml:space="preserve">19a-59 Calle 118 #504, Bogota, CO </t>
  </si>
  <si>
    <t>Cape Coral Unit 33 Blk.2238 Pb 16 Pg 52 Lots 69 + 70</t>
  </si>
  <si>
    <t>Glenn &amp; Carolyn Hamilton</t>
  </si>
  <si>
    <t>Curtis Tang</t>
  </si>
  <si>
    <t>Cape Coral Unit 33 Blk 2182 Pb 16 Pg 53 Lots 42 + 43</t>
  </si>
  <si>
    <t>Lorna</t>
  </si>
  <si>
    <t>Connaughton</t>
  </si>
  <si>
    <t>Marlon Velez</t>
  </si>
  <si>
    <t>55423-4357</t>
  </si>
  <si>
    <t>Zeithammel</t>
  </si>
  <si>
    <t xml:space="preserve">655 Getman Rd </t>
  </si>
  <si>
    <t>74137-4938</t>
  </si>
  <si>
    <t>Saturne</t>
  </si>
  <si>
    <t xml:space="preserve">627 NE 23rd Ter  Cape Coral, FL 33909 </t>
  </si>
  <si>
    <t>24-45-23-c1-00154.0100</t>
  </si>
  <si>
    <t>33909-4558</t>
  </si>
  <si>
    <t>C046</t>
  </si>
  <si>
    <t>For Trb Revocable Trust</t>
  </si>
  <si>
    <t>Elana Wolin</t>
  </si>
  <si>
    <t xml:space="preserve">14171 Chetwood St </t>
  </si>
  <si>
    <t xml:space="preserve">1321 NE 9th St  Cape Coral, FL 33909 </t>
  </si>
  <si>
    <t>Cape Coral Unit 33 Blk 2255 Pb 16 Pg 57 Lots 72 + 73</t>
  </si>
  <si>
    <t xml:space="preserve">2502 NE 23rd Ave </t>
  </si>
  <si>
    <t>Barnea</t>
  </si>
  <si>
    <t>Cape Coral Unit 33 Blk.2248 Pb 16 Pg 58 Lots 7 + 8</t>
  </si>
  <si>
    <t>14612-1491</t>
  </si>
  <si>
    <t xml:space="preserve">509 Kismet Pkwy E  Cape Coral, FL 33909 </t>
  </si>
  <si>
    <t>R063</t>
  </si>
  <si>
    <t>William Burwell</t>
  </si>
  <si>
    <t xml:space="preserve">1722 NE 33rd Ter  Cape Coral, FL 33909 </t>
  </si>
  <si>
    <t xml:space="preserve">PO Box 186 Stn Main  Parry Sound, ON P2a 2X3 </t>
  </si>
  <si>
    <t xml:space="preserve">1750 NE 37th Ave  Homestead, FL 33033-5661 </t>
  </si>
  <si>
    <t>36-43-23-c3-02509.0460</t>
  </si>
  <si>
    <t>33414-4910</t>
  </si>
  <si>
    <t>55122-8802</t>
  </si>
  <si>
    <t xml:space="preserve">503 Diplomat Pkwy E </t>
  </si>
  <si>
    <t>36-43-23-c1-02528.0140</t>
  </si>
  <si>
    <t>Lehigh Acres Unit 14 Blk 83 Pb 26 Pg 20 Lot 3</t>
  </si>
  <si>
    <t xml:space="preserve">1004 7th St </t>
  </si>
  <si>
    <t>32-43-24-c1-02227.0040</t>
  </si>
  <si>
    <t>Maria Cabrera</t>
  </si>
  <si>
    <t xml:space="preserve">2741 NE 2nd Pl </t>
  </si>
  <si>
    <t xml:space="preserve">5841 Brightwood Dr </t>
  </si>
  <si>
    <t>Michael &amp; Sally Stephens</t>
  </si>
  <si>
    <t xml:space="preserve">3749 NE 15th Pl  Cape Coral, FL 33909 </t>
  </si>
  <si>
    <t xml:space="preserve">5959 Brightwood Dr  Fort Myers, FL 33905 </t>
  </si>
  <si>
    <t>19-43-24-c1-05551.0530</t>
  </si>
  <si>
    <t>Victoria</t>
  </si>
  <si>
    <t>Dasgupta</t>
  </si>
  <si>
    <t>Cape Coral Unit 33 Blk 2243 Pb 16 Pg 55 Lots 19 + 20</t>
  </si>
  <si>
    <t>45385-2204</t>
  </si>
  <si>
    <t>01845-2573</t>
  </si>
  <si>
    <t>Thomas Glenn</t>
  </si>
  <si>
    <t>John &amp; For Norton</t>
  </si>
  <si>
    <t>Ortman</t>
  </si>
  <si>
    <t>Yusmaily</t>
  </si>
  <si>
    <t>Aly</t>
  </si>
  <si>
    <t>G Herrera</t>
  </si>
  <si>
    <t xml:space="preserve">1010 Kismet Pkwy E </t>
  </si>
  <si>
    <t xml:space="preserve">5 Cultural Park Blvd N  Cape Coral, FL 33909 </t>
  </si>
  <si>
    <t>Donald &amp; Liscent Maxwell</t>
  </si>
  <si>
    <t>Overview</t>
  </si>
  <si>
    <t xml:space="preserve">4418 SE 20th Ave </t>
  </si>
  <si>
    <t>Cape Coral Unit 34 Blk 2425 Pb 16 Pg 79 Lots 18 + 19</t>
  </si>
  <si>
    <t>Enrique Ochoa</t>
  </si>
  <si>
    <t>06810-6419</t>
  </si>
  <si>
    <t>33904-5873</t>
  </si>
  <si>
    <t>Umlesh</t>
  </si>
  <si>
    <t xml:space="preserve">912 NE 1st Ave </t>
  </si>
  <si>
    <t>33905-1831</t>
  </si>
  <si>
    <t xml:space="preserve">1237 SE 40th St </t>
  </si>
  <si>
    <t>98021-7991</t>
  </si>
  <si>
    <t xml:space="preserve">PO Box 432565  Miami, FL 33243-2565 </t>
  </si>
  <si>
    <t>Marti</t>
  </si>
  <si>
    <t xml:space="preserve">569 Peter Paul Dr  West Islip, NY 11795-3513 </t>
  </si>
  <si>
    <t>RI</t>
  </si>
  <si>
    <t>Cape Coral Unit 88 Blk 5812 Pb 24 Pg 139 Lot 25</t>
  </si>
  <si>
    <t xml:space="preserve">3853 Granger Willows Dr  Medina, OH 44256-7330 </t>
  </si>
  <si>
    <t xml:space="preserve">4405 NE 21st Ct </t>
  </si>
  <si>
    <t>25-43-23-c2-02332.0240</t>
  </si>
  <si>
    <t>19-43-24-c1-05546.0010</t>
  </si>
  <si>
    <t>Sunny Bak</t>
  </si>
  <si>
    <t>New Bedford Sharon</t>
  </si>
  <si>
    <t>Cape Coral Unit 87 Blk 5723 Pb 24 Pg 85 Lots 3 + 4</t>
  </si>
  <si>
    <t xml:space="preserve">122 Maybrook Rd </t>
  </si>
  <si>
    <t>03-44-26-14-00081.0040</t>
  </si>
  <si>
    <t>2b</t>
  </si>
  <si>
    <t xml:space="preserve">2044 Bahama Ave </t>
  </si>
  <si>
    <t>Rosalie &amp; For Metric</t>
  </si>
  <si>
    <t>Braun</t>
  </si>
  <si>
    <t xml:space="preserve">2710 Central Ave </t>
  </si>
  <si>
    <t>19-43-24-c3-05624.0230</t>
  </si>
  <si>
    <t xml:space="preserve">1928 NE 15th Pl  Cape Coral, FL 33909 </t>
  </si>
  <si>
    <t>20-43-24-c3-05671.0180</t>
  </si>
  <si>
    <t xml:space="preserve">21 Laarsveld  Geel, BE </t>
  </si>
  <si>
    <t>Hingham</t>
  </si>
  <si>
    <t>Dana Bone</t>
  </si>
  <si>
    <t>Berteau</t>
  </si>
  <si>
    <t xml:space="preserve">17 Wedgewood Dr </t>
  </si>
  <si>
    <t xml:space="preserve">3019 SE 145th Ave  Portland, OR 97236-2503 </t>
  </si>
  <si>
    <t>Roselle Park</t>
  </si>
  <si>
    <t xml:space="preserve">1881 S Main St  Washington, PA 15301-8893 </t>
  </si>
  <si>
    <t>Jose Betancur &amp; Marcela Restrepo</t>
  </si>
  <si>
    <t>Maran</t>
  </si>
  <si>
    <t>Velazquez</t>
  </si>
  <si>
    <t xml:space="preserve">489 Main St </t>
  </si>
  <si>
    <t>An Tran &amp; Dat Vu</t>
  </si>
  <si>
    <t>Cape Coral Unit 36 Blk 2300B Pb 16 Pg 125 Lots 41 + 42</t>
  </si>
  <si>
    <t>Gleyden</t>
  </si>
  <si>
    <t xml:space="preserve">26 NE 24th Ter  Cape Coral, FL 33909 </t>
  </si>
  <si>
    <t>Cape Coral Unit 33 Blk 2228 Pb 16 Pg 47 Lots 22 + 23</t>
  </si>
  <si>
    <t>Cape Coral Unit 36 Blk 2506 Pb 23 Pg 91 Lots 11 + 12</t>
  </si>
  <si>
    <t>Ft.Myers Shores Unit 6 Blk 58 Pb 17 Pg 75 Lots 51 + 52</t>
  </si>
  <si>
    <t xml:space="preserve">9791 Cattail Ct  Fort Myers, FL 33905 </t>
  </si>
  <si>
    <t xml:space="preserve">2680 Scotti Rd  Wentzville, MO 63385-7136 </t>
  </si>
  <si>
    <t>Kristin</t>
  </si>
  <si>
    <t xml:space="preserve">3311 NE 9th Ave </t>
  </si>
  <si>
    <t>Cape Coral Unit 36 Blk 2526 Pb 16 Pg 114 Lots 21 Thru 23</t>
  </si>
  <si>
    <t>98059-4888</t>
  </si>
  <si>
    <t>Severine</t>
  </si>
  <si>
    <t xml:space="preserve">1907 NE 5th Ter  Cape Coral, FL 33909 </t>
  </si>
  <si>
    <t>Cape Coral Unit 84 Blk 5554 Pb 24 Pb 31 Lots 11 + 12</t>
  </si>
  <si>
    <t>Cape Coral Unit 32 Blk 2106 Pb 16 Pg 5 Lots 37 + 38</t>
  </si>
  <si>
    <t xml:space="preserve">1825 NE 5th Ave </t>
  </si>
  <si>
    <t>Luiz Chavez</t>
  </si>
  <si>
    <t xml:space="preserve">2841 NW 134th St </t>
  </si>
  <si>
    <t>Cape Coral Unit 32 Blk 2144 Pb 16 Pg 5 Lots 5 + 6</t>
  </si>
  <si>
    <t>America Outdoors Camper Resort 1 Condo Blk B Or 1673 Pg 2487 Unit 59</t>
  </si>
  <si>
    <t xml:space="preserve">11 Utica St  Elmont, NY 11003-5039 </t>
  </si>
  <si>
    <t>Cape Coral Unit 87 Blk 5706 Pb 24 Pg 76 Lots 69 Thru 71</t>
  </si>
  <si>
    <t>Cape Coral Unit 33 Blk.2190 Pb 16 Pg 49 Lots 29 + 30</t>
  </si>
  <si>
    <t>Habib Elkorm &amp; Suzanne Awad</t>
  </si>
  <si>
    <t xml:space="preserve">6059 Higgins Ave  Fort Myers, FL 33905 </t>
  </si>
  <si>
    <t>12-46-23-04-00000.5140</t>
  </si>
  <si>
    <t>98051-9714</t>
  </si>
  <si>
    <t>Harewood</t>
  </si>
  <si>
    <t xml:space="preserve">328 Colony Oaks Dr  Buckhannon, WV 26201-5158 </t>
  </si>
  <si>
    <t>Fee</t>
  </si>
  <si>
    <t>19-43-24-c2-05590.0310</t>
  </si>
  <si>
    <t>Drager</t>
  </si>
  <si>
    <t>Brognano</t>
  </si>
  <si>
    <t>36-43-23-c3-02477.0330</t>
  </si>
  <si>
    <t xml:space="preserve">2606 NE 1st Ave </t>
  </si>
  <si>
    <t>Elmbrook</t>
  </si>
  <si>
    <t>Cape Coral Unit 17 Blk 1535 Pb 14 Pg 32 Lots 101 + 102</t>
  </si>
  <si>
    <t>Puritan</t>
  </si>
  <si>
    <t>Parkers</t>
  </si>
  <si>
    <t>33909-1738</t>
  </si>
  <si>
    <t>Sunderland</t>
  </si>
  <si>
    <t xml:space="preserve">7692 N County Road 800 W </t>
  </si>
  <si>
    <t xml:space="preserve">1205 NE 23rd Ter </t>
  </si>
  <si>
    <t>Deshaies</t>
  </si>
  <si>
    <t>33903-4311</t>
  </si>
  <si>
    <t xml:space="preserve">4118 E Gator Cir  Cape Coral, FL 33909 </t>
  </si>
  <si>
    <t>33908-3873</t>
  </si>
  <si>
    <t>33909-6243</t>
  </si>
  <si>
    <t>Lee &amp; Donna Daunce</t>
  </si>
  <si>
    <t>Elena</t>
  </si>
  <si>
    <t xml:space="preserve">6129 Hershey Ave </t>
  </si>
  <si>
    <t xml:space="preserve">1400 SE 29th Ter </t>
  </si>
  <si>
    <t>Muriel</t>
  </si>
  <si>
    <t xml:space="preserve">15525 Cairnryan Ct </t>
  </si>
  <si>
    <t>Qari &amp; Faiza Yahya</t>
  </si>
  <si>
    <t>Norman &amp; Joann Transue</t>
  </si>
  <si>
    <t>C095</t>
  </si>
  <si>
    <t>02151-3818</t>
  </si>
  <si>
    <t>Himet</t>
  </si>
  <si>
    <t>Kingsport</t>
  </si>
  <si>
    <t xml:space="preserve">2719 NE 5th Pl  Cape Coral, FL 33909 </t>
  </si>
  <si>
    <t xml:space="preserve">503 Conestoga Rd </t>
  </si>
  <si>
    <t>35-43-25-07-0000c.0070</t>
  </si>
  <si>
    <t>Avegliano</t>
  </si>
  <si>
    <t>36-43-23-c1-02290.0580</t>
  </si>
  <si>
    <t xml:space="preserve">1508 NE 33rd Ter  Cape Coral, FL 33909 </t>
  </si>
  <si>
    <t xml:space="preserve">4729 Ramsey St </t>
  </si>
  <si>
    <t xml:space="preserve">4110 Prospect Dr  Carmichael, CA 95608-2011 </t>
  </si>
  <si>
    <t>47203-9392</t>
  </si>
  <si>
    <t xml:space="preserve">2716 NE 2nd Pl </t>
  </si>
  <si>
    <t>11-44-25-10-00000.4780</t>
  </si>
  <si>
    <t xml:space="preserve">13691 Gavina Ave #508 </t>
  </si>
  <si>
    <t xml:space="preserve">427 NE 15th St  Cape Coral, FL 33909 </t>
  </si>
  <si>
    <t xml:space="preserve">907 SE 26th St </t>
  </si>
  <si>
    <t>44904-1037</t>
  </si>
  <si>
    <t>33179-1351</t>
  </si>
  <si>
    <t>Pratico</t>
  </si>
  <si>
    <t xml:space="preserve">709 SE 43rd St </t>
  </si>
  <si>
    <t>Suwanee</t>
  </si>
  <si>
    <t xml:space="preserve">1 Turning Shore Dr  South Barrington, IL 60010-9597 </t>
  </si>
  <si>
    <t>07029-1740</t>
  </si>
  <si>
    <t xml:space="preserve">1226 NE Juanita Pl </t>
  </si>
  <si>
    <t>Denise &amp; Brian Kerr</t>
  </si>
  <si>
    <t>Cape Coral Unit 6 Pt.3 Blk.71 Pb 11 Pg 74 Lots 19 + 20</t>
  </si>
  <si>
    <t xml:space="preserve">10 Spring Harbor Cir  Columbus, GA 31904-4616 </t>
  </si>
  <si>
    <t>Palm Harbor</t>
  </si>
  <si>
    <t>19-43-24-c1-05580.0110</t>
  </si>
  <si>
    <t>34120-1945</t>
  </si>
  <si>
    <t>27616-5996</t>
  </si>
  <si>
    <t>33903-3648</t>
  </si>
  <si>
    <t>ME</t>
  </si>
  <si>
    <t>Raeford</t>
  </si>
  <si>
    <t>Michael Kiser</t>
  </si>
  <si>
    <t>28409-4502</t>
  </si>
  <si>
    <t xml:space="preserve">1008 NE Juanita Pl </t>
  </si>
  <si>
    <t>17-43-24-c1-05824.0040</t>
  </si>
  <si>
    <t>Eitan</t>
  </si>
  <si>
    <t>Leonard Mckinnon</t>
  </si>
  <si>
    <t>Crested Hawk</t>
  </si>
  <si>
    <t>18-43-24-c1-05691.0140</t>
  </si>
  <si>
    <t xml:space="preserve">1005 NE 13th Pl </t>
  </si>
  <si>
    <t>Adeline</t>
  </si>
  <si>
    <t>Mark &amp; Rosa Grant</t>
  </si>
  <si>
    <t>Maynard</t>
  </si>
  <si>
    <t xml:space="preserve">1014 NE 15th Ln </t>
  </si>
  <si>
    <t>Cecilia Matias</t>
  </si>
  <si>
    <t>Cypress Woods Rv Resort Ut 1 Pb 65 Pg 85 + 86 Blk B Lot 84</t>
  </si>
  <si>
    <t>Sonya Gonzalez</t>
  </si>
  <si>
    <t xml:space="preserve">3627 NE 9th Ave  Cape Coral, FL 33909 </t>
  </si>
  <si>
    <t>36-43-23-c1-02546.0630</t>
  </si>
  <si>
    <t xml:space="preserve">816 Vogiantzis Pkwy </t>
  </si>
  <si>
    <t>Nicholson</t>
  </si>
  <si>
    <t xml:space="preserve">PO Box 154  Mulberry, IN 46058 </t>
  </si>
  <si>
    <t>11-44-25-09-00000.2490</t>
  </si>
  <si>
    <t>American &amp; Maria Chatman</t>
  </si>
  <si>
    <t xml:space="preserve">2104 NE 6th St  Cape Coral, FL 33909 </t>
  </si>
  <si>
    <t>12-44-23-c2-02362.0030</t>
  </si>
  <si>
    <t>Morris &amp; Joyce Gural</t>
  </si>
  <si>
    <t>Monika</t>
  </si>
  <si>
    <t>State Highway 68</t>
  </si>
  <si>
    <t xml:space="preserve">5770 Pathwood Ct </t>
  </si>
  <si>
    <t xml:space="preserve">902 NE 16th Ter </t>
  </si>
  <si>
    <t>48088-3137</t>
  </si>
  <si>
    <t xml:space="preserve">3687 Asperwood Cir  Coconut Creek, FL 33073-2259 </t>
  </si>
  <si>
    <t xml:space="preserve">Pk 8500 Bp, Uturoa Tahiti, PF 98735 </t>
  </si>
  <si>
    <t>48091-1033</t>
  </si>
  <si>
    <t>91384-3806</t>
  </si>
  <si>
    <t>Meleky</t>
  </si>
  <si>
    <t xml:space="preserve">13525 Maryearl Ct </t>
  </si>
  <si>
    <t xml:space="preserve">11925 NE 2nd Ave 215b </t>
  </si>
  <si>
    <t xml:space="preserve">1329 NE 19th St </t>
  </si>
  <si>
    <t xml:space="preserve">44 Hampstead Dr  Webster, NY 14580-7102 </t>
  </si>
  <si>
    <t xml:space="preserve">32347 County Road 12 </t>
  </si>
  <si>
    <t xml:space="preserve">14331 Skyview Dr  Piedmont, OK 73078-9449 </t>
  </si>
  <si>
    <t xml:space="preserve">3931 NE 21st Pl  Cape Coral, FL 33909 </t>
  </si>
  <si>
    <t>33909-4357</t>
  </si>
  <si>
    <t>Changebridge</t>
  </si>
  <si>
    <t>46322-3471</t>
  </si>
  <si>
    <t xml:space="preserve">1003 NE 33rd Ter </t>
  </si>
  <si>
    <t>Cape Coral Unit 19 Blk.1213 Pb 13 Pg 127 Lots 42 + 43</t>
  </si>
  <si>
    <t>For Jerry Lee &amp; Lauri Ann Miller Living Trust</t>
  </si>
  <si>
    <t>11-44-25-l1-13000.1050</t>
  </si>
  <si>
    <t>Eamon &amp; Teresa Cassidy</t>
  </si>
  <si>
    <t xml:space="preserve">1804 Whitesboro St 1f, Utica, NY 13502-3720 </t>
  </si>
  <si>
    <t>Apollo</t>
  </si>
  <si>
    <t xml:space="preserve">15460 River By Rd </t>
  </si>
  <si>
    <t xml:space="preserve">1 Lerchenbuckl </t>
  </si>
  <si>
    <t>299th</t>
  </si>
  <si>
    <t>33543-4040</t>
  </si>
  <si>
    <t>Mrj Property Ventures Llc</t>
  </si>
  <si>
    <t>H003</t>
  </si>
  <si>
    <t>Sciolino</t>
  </si>
  <si>
    <t>Sebren</t>
  </si>
  <si>
    <t>Reed Creek</t>
  </si>
  <si>
    <t xml:space="preserve">3429 W Gator Cir </t>
  </si>
  <si>
    <t>Michael Cohaut</t>
  </si>
  <si>
    <t xml:space="preserve">3711 SE 1st Pl </t>
  </si>
  <si>
    <t xml:space="preserve">3535 NE 19th Ave  Cape Coral, FL 33909 </t>
  </si>
  <si>
    <t>Farkas</t>
  </si>
  <si>
    <t xml:space="preserve">524 SE 26th Ter </t>
  </si>
  <si>
    <t xml:space="preserve">4435 SE 20th Pl  Cape Coral, FL 33904 </t>
  </si>
  <si>
    <t>Leo-Paul</t>
  </si>
  <si>
    <t>07-46-25-04-0000b.0410</t>
  </si>
  <si>
    <t>Luigi Esposito</t>
  </si>
  <si>
    <t xml:space="preserve">4348 NE 9th Ct </t>
  </si>
  <si>
    <t xml:space="preserve">359 Skidmore Rd </t>
  </si>
  <si>
    <t xml:space="preserve">5801 Brightwood Dr  Fort Myers, FL 33905 </t>
  </si>
  <si>
    <t>16-44-26-05-00007.0240</t>
  </si>
  <si>
    <t>Cape Coral Unit 87 Blk 5688 Pb 24 Pg 83 Lots 25 + 26</t>
  </si>
  <si>
    <t>Tradewind</t>
  </si>
  <si>
    <t xml:space="preserve">1563 Madre Dr  Foristell, MO 63348-1059 </t>
  </si>
  <si>
    <t>Ciriaco &amp; Fe Arevalo</t>
  </si>
  <si>
    <t xml:space="preserve">18220 Chipstead Dr </t>
  </si>
  <si>
    <t xml:space="preserve">3435 Bee Ridge Rd #203, Sarasota, FL 34239-7225 </t>
  </si>
  <si>
    <t>11-44-25-07-00000.1790</t>
  </si>
  <si>
    <t xml:space="preserve">923 NE 17th Ter  Cape Coral, FL 33909 </t>
  </si>
  <si>
    <t xml:space="preserve">205 NE 5th Ter </t>
  </si>
  <si>
    <t xml:space="preserve">Po Box 310239 </t>
  </si>
  <si>
    <t>Snyder &amp; Jeffrey Snyder Family</t>
  </si>
  <si>
    <t xml:space="preserve">9808 S Bullard Chapel Rd  Tishomingo, OK 73460-3714 </t>
  </si>
  <si>
    <t>Dhanessur</t>
  </si>
  <si>
    <t>57th</t>
  </si>
  <si>
    <t>1042e</t>
  </si>
  <si>
    <t>Abduljabbar</t>
  </si>
  <si>
    <t>11-44-25-04-0000a.0200</t>
  </si>
  <si>
    <t xml:space="preserve">Po Box 736 </t>
  </si>
  <si>
    <t>Chris &amp; Vickie Nytko</t>
  </si>
  <si>
    <t>Cape Coral Unit 36 Blk 2518 Pb 16 Pg 116 Lots 56 + 57</t>
  </si>
  <si>
    <t>Gorman</t>
  </si>
  <si>
    <t>C041</t>
  </si>
  <si>
    <t>01845-1606</t>
  </si>
  <si>
    <t>33909-6581</t>
  </si>
  <si>
    <t>April &amp; Joshua White</t>
  </si>
  <si>
    <t>33351-5358</t>
  </si>
  <si>
    <t>36-43-23-c4-02488.0090</t>
  </si>
  <si>
    <t>16-44-26-05-00009.0090</t>
  </si>
  <si>
    <t>33569-6552</t>
  </si>
  <si>
    <t xml:space="preserve">2514 NE Juanita Pl  Cape Coral, FL 33909 </t>
  </si>
  <si>
    <t>33909-3134</t>
  </si>
  <si>
    <t xml:space="preserve">2042 NE 33rd Ln </t>
  </si>
  <si>
    <t>17-43-24-c1-05761.0240</t>
  </si>
  <si>
    <t xml:space="preserve">435 Cedar Run Dock Rd </t>
  </si>
  <si>
    <t xml:space="preserve">3311 NE 20th Ave </t>
  </si>
  <si>
    <t>03-44-26-08-00039.0070</t>
  </si>
  <si>
    <t>36-43-23-c1-02517.0560</t>
  </si>
  <si>
    <t>Cape Coral Unit 36 Pt 1 Blk 2505 Pb 23 Pg 92 Lots 3 + 4</t>
  </si>
  <si>
    <t xml:space="preserve">3830 Highlight St </t>
  </si>
  <si>
    <t>Cypress Trail Rv Resort Phase 2-A As Desc In Inst# 2014000026506 Lot 184</t>
  </si>
  <si>
    <t>61252-1873</t>
  </si>
  <si>
    <t xml:space="preserve">13 Fishermans Cir #2, Ormond Beach, FL 32174-9124 </t>
  </si>
  <si>
    <t>16-43-24-01-00000.0060</t>
  </si>
  <si>
    <t xml:space="preserve">35517 Skyview Dr </t>
  </si>
  <si>
    <t xml:space="preserve">27421 Retreat Kanaskat Rd SE </t>
  </si>
  <si>
    <t xml:space="preserve">3809 NE 10th Pl  Cape Coral, FL 33909 </t>
  </si>
  <si>
    <t>Iroquois</t>
  </si>
  <si>
    <t>Saint Dizier</t>
  </si>
  <si>
    <t>11-44-25-08-00000.1730</t>
  </si>
  <si>
    <t xml:space="preserve">5453 Cypress Trail Resort Cir </t>
  </si>
  <si>
    <t xml:space="preserve">1124 NE 32nd St  Cape Coral, FL 33909 </t>
  </si>
  <si>
    <t>28-43-24-l2-01000.3470</t>
  </si>
  <si>
    <t xml:space="preserve">19681 Summerlin Rd #612 </t>
  </si>
  <si>
    <t>Cape Coral Unit 35 Blk 2364 Pb 16 Pg 105 Lots 9 + 10</t>
  </si>
  <si>
    <t>Vijaykumar &amp; For Amin</t>
  </si>
  <si>
    <t>Joseph &amp; Sandra Truncale</t>
  </si>
  <si>
    <t>Cape Coral Unit 88 Blk 5764 Pb 24 Pg 128 Lots 21 + 22</t>
  </si>
  <si>
    <t>60452-2027</t>
  </si>
  <si>
    <t>Sifuentes</t>
  </si>
  <si>
    <t>Cape Coral Unit 19 Blk 1205 Pb 13 Pg 132 Lots 24 + 25</t>
  </si>
  <si>
    <t>Cape Coral Unit 36 Blk 2330 Pb 16 Pg 129 Lots 5 + 6</t>
  </si>
  <si>
    <t>33904-2710</t>
  </si>
  <si>
    <t>Cape Coral Unit 32 Blk 2173 Pb 16 Pg 11 Lots 25 26 + 27</t>
  </si>
  <si>
    <t>Burnsville</t>
  </si>
  <si>
    <t>Owego</t>
  </si>
  <si>
    <t xml:space="preserve">7350 Point Of Rocks Rd </t>
  </si>
  <si>
    <t xml:space="preserve">321 NE 13th Ter </t>
  </si>
  <si>
    <t xml:space="preserve">45a Des Merisiers Ave </t>
  </si>
  <si>
    <t>19-43-24-c3-05619.0190</t>
  </si>
  <si>
    <t>Equity &amp; Ira Renko</t>
  </si>
  <si>
    <t>For Stephen Yan Mi &amp; Sue Saw Yean Lau Trust</t>
  </si>
  <si>
    <t>11-44-25-06-0000d.0950</t>
  </si>
  <si>
    <t>Glenn &amp; Arlene Steeves</t>
  </si>
  <si>
    <t>Lehigh Acres E Pt Unit 14 Blk 79 Pb 26 Pg 19 Lot 7</t>
  </si>
  <si>
    <t>60565-2615</t>
  </si>
  <si>
    <t xml:space="preserve">3826 NE 23rd Pl  Cape Coral, FL 33909 </t>
  </si>
  <si>
    <t xml:space="preserve">9 Bateman St  Roslindale, MA 02131-4902 </t>
  </si>
  <si>
    <t>Juan Bermudez</t>
  </si>
  <si>
    <t xml:space="preserve">4140 NE 10th Pl  Cape Coral, FL 33909 </t>
  </si>
  <si>
    <t xml:space="preserve">3723 NE 16th Pl </t>
  </si>
  <si>
    <t>Hancock Estates Pb 33 Pg 50 Lot 7</t>
  </si>
  <si>
    <t>20-43-24-c4-05633.0560</t>
  </si>
  <si>
    <t xml:space="preserve">1882 Hickory Point Rd  Troy, KS 66087-4021 </t>
  </si>
  <si>
    <t xml:space="preserve">132 S Center St </t>
  </si>
  <si>
    <t>Bronx</t>
  </si>
  <si>
    <t xml:space="preserve">299 Appley Ave </t>
  </si>
  <si>
    <t>Cauwels</t>
  </si>
  <si>
    <t>Gloria Huamani</t>
  </si>
  <si>
    <t>Evansville</t>
  </si>
  <si>
    <t xml:space="preserve">3016 Carriage Dr SW  Cedar Rapids, IA 52404-3836 </t>
  </si>
  <si>
    <t xml:space="preserve">1707 NE 5th Ter </t>
  </si>
  <si>
    <t>Darlyne Richardson</t>
  </si>
  <si>
    <t xml:space="preserve">9731 SW 16th St  Pembroke Pines, FL 33025-3659 </t>
  </si>
  <si>
    <t>Pamela</t>
  </si>
  <si>
    <t>31-43-24-c2-02132.0090</t>
  </si>
  <si>
    <t>36-43-23-c1-02518.0360</t>
  </si>
  <si>
    <t xml:space="preserve">19230 E Country Club Dr  Miami, FL 33180-4815 </t>
  </si>
  <si>
    <t xml:space="preserve">112 Reesman Dr  Aliquippa, PA 15001-9127 </t>
  </si>
  <si>
    <t>Mileblock</t>
  </si>
  <si>
    <t xml:space="preserve">4125 13th Ave SW </t>
  </si>
  <si>
    <t>20-43-24-c2-05666.0500</t>
  </si>
  <si>
    <t>Karin</t>
  </si>
  <si>
    <t>Walnut St 19404 Green</t>
  </si>
  <si>
    <t>B2</t>
  </si>
  <si>
    <t xml:space="preserve">5791 Pathwood Ct  Fort Myers, FL 33905 </t>
  </si>
  <si>
    <t>Ana Garcia</t>
  </si>
  <si>
    <t xml:space="preserve">63 Baur St  West Babylon, NY 11704-3331 </t>
  </si>
  <si>
    <t xml:space="preserve">126 Dana Ln  Meriden, CT 06451-5032 </t>
  </si>
  <si>
    <t>Franze</t>
  </si>
  <si>
    <t xml:space="preserve">14220 Streamstown Ct </t>
  </si>
  <si>
    <t>25-43-23-c3-02293.0410</t>
  </si>
  <si>
    <t>Ernesto &amp; Milagros Hernandez</t>
  </si>
  <si>
    <t>33909-4303</t>
  </si>
  <si>
    <t>Nanshanlu Huliqu</t>
  </si>
  <si>
    <t>Joann &amp; For Tripi</t>
  </si>
  <si>
    <t>R1-D</t>
  </si>
  <si>
    <t>David Canal 2017 Family Trust</t>
  </si>
  <si>
    <t xml:space="preserve">2307 Fox Hills Dr #302 </t>
  </si>
  <si>
    <t>Gerald &amp; Clearnese Smith</t>
  </si>
  <si>
    <t>33909-1537</t>
  </si>
  <si>
    <t xml:space="preserve">415 Wischman Ave  Oreland, PA 19075-1250 </t>
  </si>
  <si>
    <t xml:space="preserve">82 Crestwood Dr  Stamford, CT 06905-2705 </t>
  </si>
  <si>
    <t>Cape Coral Unit 36 Pt 1 Blk 2477 Pb 23 Pg 90 Lots 24 + 25</t>
  </si>
  <si>
    <t>Bernard &amp; Preciosa Purisima</t>
  </si>
  <si>
    <t>Cape Coral Unit 36 Blk 2172 Pb 16 Pg 115 Lots 35 + 36</t>
  </si>
  <si>
    <t xml:space="preserve">2600 Island Blvd #2804 </t>
  </si>
  <si>
    <t>33909-4695</t>
  </si>
  <si>
    <t xml:space="preserve">3224 NE 15th Pl  Cape Coral, FL 33909 </t>
  </si>
  <si>
    <t>West Allis</t>
  </si>
  <si>
    <t>19-43-24-c4-05566.0590</t>
  </si>
  <si>
    <t>Cape Coral Unit 34 Blk 2437 Pb 16 Pg 82 Lots 56 + 57</t>
  </si>
  <si>
    <t>Cypress Woods Rv Resort Unit 4 Pb 79 Pgs 68-71 Blk D Lot 79</t>
  </si>
  <si>
    <t xml:space="preserve">17 Parsborough Crt </t>
  </si>
  <si>
    <t>33909-1248</t>
  </si>
  <si>
    <t>19-43-24-c4-05559.0220</t>
  </si>
  <si>
    <t xml:space="preserve">423 NE 25th St  Cape Coral, FL 33909 </t>
  </si>
  <si>
    <t>Cape Coral Unit 84 Blk 5574 Pb 24 Pg 36 Lots 7 + 8</t>
  </si>
  <si>
    <t>Clearnese</t>
  </si>
  <si>
    <t xml:space="preserve">966 Pine Valley Cir </t>
  </si>
  <si>
    <t xml:space="preserve">931 Eagle Rd  Huntingdon Valley, PA 19006-1228 </t>
  </si>
  <si>
    <t xml:space="preserve">16830 NW 82nd Ave </t>
  </si>
  <si>
    <t>De La Reserve</t>
  </si>
  <si>
    <t>Jonathan Harbour U-1 Pb 45 Pg 10 Lot 22 + Boat Slip 33</t>
  </si>
  <si>
    <t xml:space="preserve">9625 Bay Point Dr </t>
  </si>
  <si>
    <t xml:space="preserve">2534 NE 19th Pl  Cape Coral, FL 33909 </t>
  </si>
  <si>
    <t>N Miami Beach</t>
  </si>
  <si>
    <t>Camanchile Dr Balingbing</t>
  </si>
  <si>
    <t xml:space="preserve">3731 Kelsey St  Fort Myers, FL 33905 </t>
  </si>
  <si>
    <t>78640-5961</t>
  </si>
  <si>
    <t>Jesus</t>
  </si>
  <si>
    <t xml:space="preserve">7 Flamingo Cir </t>
  </si>
  <si>
    <t>39325-8811</t>
  </si>
  <si>
    <t>Alexei</t>
  </si>
  <si>
    <t>Jorge &amp; Beatriz Morejon</t>
  </si>
  <si>
    <t>Cape Coral Unit 5 Blk.118 Pb 11 Pg 84 Lots 39 + 40</t>
  </si>
  <si>
    <t>Uwe Hoeckelmann</t>
  </si>
  <si>
    <t>33161-6162</t>
  </si>
  <si>
    <t>65109-2028</t>
  </si>
  <si>
    <t xml:space="preserve">28 Jackson Rd  Poughkeepsie, NY 12603-6037 </t>
  </si>
  <si>
    <t>PO Box 920</t>
  </si>
  <si>
    <t xml:space="preserve">1004 NE 20th St  Cape Coral, FL 33909 </t>
  </si>
  <si>
    <t xml:space="preserve">611 E Locust St </t>
  </si>
  <si>
    <t>Nancy Fong</t>
  </si>
  <si>
    <t>For James F &amp; Kelly S Hawkins Trust</t>
  </si>
  <si>
    <t>Greendale</t>
  </si>
  <si>
    <t xml:space="preserve">106 Chapin Lake Trl </t>
  </si>
  <si>
    <t>Shapiro</t>
  </si>
  <si>
    <t>Cape Coral Unit 33 Blk.2264 Pb 16 Pg 59 Lots 39 + 40</t>
  </si>
  <si>
    <t xml:space="preserve">5726 Pink Panther Dr </t>
  </si>
  <si>
    <t>11-44-25-06-0000d.0700</t>
  </si>
  <si>
    <t>Parsborough</t>
  </si>
  <si>
    <t>Zoran</t>
  </si>
  <si>
    <t>For Samson Trust</t>
  </si>
  <si>
    <t>Valesky</t>
  </si>
  <si>
    <t>Maho</t>
  </si>
  <si>
    <t>33909-5379</t>
  </si>
  <si>
    <t xml:space="preserve">17541 NW 49th Ave </t>
  </si>
  <si>
    <t xml:space="preserve">2137 NE 25th Ter </t>
  </si>
  <si>
    <t xml:space="preserve">9978 Villa Dr  Belcher, LA 71004-3808 </t>
  </si>
  <si>
    <t xml:space="preserve">5066 Sorrento Ct </t>
  </si>
  <si>
    <t>Gunderhauser</t>
  </si>
  <si>
    <t>Los Altos</t>
  </si>
  <si>
    <t>Cape Coral Unit 47 Pt 2 Blk 3529 Pb 23 Pg 126 Lots 5 Thru 7</t>
  </si>
  <si>
    <t>10930-2715</t>
  </si>
  <si>
    <t>Gloria &amp; E Sauk</t>
  </si>
  <si>
    <t xml:space="preserve">334 NE 25th Ter  Cape Coral, FL 33909 </t>
  </si>
  <si>
    <t>Lehigh Acres Unit 9 Blk 46 Pb 26 Pg 11 Lot 4</t>
  </si>
  <si>
    <t xml:space="preserve">690 NE 179th Ter </t>
  </si>
  <si>
    <t>19701-2582</t>
  </si>
  <si>
    <t>Isabel</t>
  </si>
  <si>
    <t>Andrew &amp; Judith Perry</t>
  </si>
  <si>
    <t xml:space="preserve">5855 N Sheridan Rd 19j, Chicago, IL 60660-3845 </t>
  </si>
  <si>
    <t>Rony &amp; Gissella Mazariegos</t>
  </si>
  <si>
    <t>Emigsville</t>
  </si>
  <si>
    <t>29-43-24-c4-02255.0720</t>
  </si>
  <si>
    <t>Einwich</t>
  </si>
  <si>
    <t>Lehigh Acres Unit 11 Blk 55 Pb 26 Pg 14 Lot 7</t>
  </si>
  <si>
    <t xml:space="preserve">9775 NW 123rd Ter  Hialeah, FL 33018-2950 </t>
  </si>
  <si>
    <t xml:space="preserve">1 Concord Rd </t>
  </si>
  <si>
    <t xml:space="preserve">1319 NE 23rd Ave </t>
  </si>
  <si>
    <t xml:space="preserve">1675 Appaloosa Way </t>
  </si>
  <si>
    <t>Cape Coral Unit 84 Blk 5548 Pb 24 Pg 39 Lots 21 + 22</t>
  </si>
  <si>
    <t>R118</t>
  </si>
  <si>
    <t>Marco Island</t>
  </si>
  <si>
    <t>Cypress Trail Rv Resort Ph 4-B As Desc In Inst# 2017000057565 Lot 316</t>
  </si>
  <si>
    <t>03-44-26-12-00060.0070</t>
  </si>
  <si>
    <t>Cypress Woods Rv Resort Desc In Inst#2006-358211 Lot 155</t>
  </si>
  <si>
    <t xml:space="preserve">930 Durden Pkwy </t>
  </si>
  <si>
    <t xml:space="preserve">2310 NE 20th Ave </t>
  </si>
  <si>
    <t>31-43-24-c1-02173.0140</t>
  </si>
  <si>
    <t>Gravois Mills</t>
  </si>
  <si>
    <t>Cape Coral Unit 33 Blk.2234 Pb 16 Pg 54 Lots 1 + 2</t>
  </si>
  <si>
    <t xml:space="preserve">21340 NE 8th Ct #3 </t>
  </si>
  <si>
    <t>31-44-24-c2-00635.0290</t>
  </si>
  <si>
    <t>Clint Cisneros</t>
  </si>
  <si>
    <t xml:space="preserve">623 Indies Rd  Summerland Key, FL 33042-5407 </t>
  </si>
  <si>
    <t>Derogatis</t>
  </si>
  <si>
    <t xml:space="preserve">9195 NW 45th St </t>
  </si>
  <si>
    <t>Sindy</t>
  </si>
  <si>
    <t>Kimberlyn</t>
  </si>
  <si>
    <t xml:space="preserve">1029 NE 36th Ter </t>
  </si>
  <si>
    <t xml:space="preserve">5710 Cypress Woods Resort Dr </t>
  </si>
  <si>
    <t>Cape Coral Unit 88 Blk 5814 Pb 24 Pg 139 Lots 19 + 20</t>
  </si>
  <si>
    <t>Connie Hanson</t>
  </si>
  <si>
    <t xml:space="preserve">2101 NE 7th Ave </t>
  </si>
  <si>
    <t>Petaluma</t>
  </si>
  <si>
    <t xml:space="preserve">4000 NE 20th Pl  Cape Coral, FL 33909 </t>
  </si>
  <si>
    <t>12-45-23-c3-00289.0100</t>
  </si>
  <si>
    <t>Haque</t>
  </si>
  <si>
    <t xml:space="preserve">1628 NE 10th Ter  Cape Coral, FL 33909 </t>
  </si>
  <si>
    <t xml:space="preserve">2409 Conway Blvd  Port Charlotte, FL 33952-5608 </t>
  </si>
  <si>
    <t>Mary &amp; For Taschler</t>
  </si>
  <si>
    <t>Haverhill</t>
  </si>
  <si>
    <t xml:space="preserve">315 NE 15th St  Cape Coral, FL 33909 </t>
  </si>
  <si>
    <t>Raymond</t>
  </si>
  <si>
    <t>Cape Coral Unit 88 Blk.5780 Pb 24 Pg 136 Lots 47 + 48</t>
  </si>
  <si>
    <t>01-44-23-c1-02436.0070</t>
  </si>
  <si>
    <t xml:space="preserve">2720 NE 7th Pl  Cape Coral, FL 33909 </t>
  </si>
  <si>
    <t xml:space="preserve">700 Hollywood Pl </t>
  </si>
  <si>
    <t>33510-4030</t>
  </si>
  <si>
    <t>Wild</t>
  </si>
  <si>
    <t xml:space="preserve">3317 NE 13th Ave  Cape Coral, FL 33909 </t>
  </si>
  <si>
    <t>Sharengaowa</t>
  </si>
  <si>
    <t xml:space="preserve">2121 NE 4th Ave  Cape Coral, FL 33909 </t>
  </si>
  <si>
    <t xml:space="preserve">60 Impasse Des Bergers  St Chaptes, FR </t>
  </si>
  <si>
    <t xml:space="preserve">4203 NE 15th Pl  Cape Coral, FL 33909 </t>
  </si>
  <si>
    <t>33909-6837</t>
  </si>
  <si>
    <t>Nilda</t>
  </si>
  <si>
    <t>12-45-23-c1-00248.0290</t>
  </si>
  <si>
    <t>Eastland</t>
  </si>
  <si>
    <t>Henry &amp; Shirley Niemi</t>
  </si>
  <si>
    <t>Cape Coral Unit 88 Blk 5786 Pb 24 Pg 131 Lots 9 + 10</t>
  </si>
  <si>
    <t>Mason</t>
  </si>
  <si>
    <t>Appley</t>
  </si>
  <si>
    <t xml:space="preserve">3821 NE 17th Ave  Cape Coral, FL 33909 </t>
  </si>
  <si>
    <t>For Rosemarie Marra Trust</t>
  </si>
  <si>
    <t>Cape Coral Unit 85 Blk 5672 Pb 24 Pg 51 Lot 56</t>
  </si>
  <si>
    <t>29-43-24-c4-02256.0520</t>
  </si>
  <si>
    <t xml:space="preserve">315 NE 6th Ter </t>
  </si>
  <si>
    <t>Danuta &amp; For Madeyski</t>
  </si>
  <si>
    <t xml:space="preserve">12651 Water Ln </t>
  </si>
  <si>
    <t xml:space="preserve">18412 Anicio Gallo Dr  Pflugerville, TX 78660-4672 </t>
  </si>
  <si>
    <t>Kevin Chiu</t>
  </si>
  <si>
    <t xml:space="preserve">5112 Cypress Trail Resort Cir  Fort Myers, FL 33905 </t>
  </si>
  <si>
    <t>Oxon Hill</t>
  </si>
  <si>
    <t>Cape Coral Unit 36 Blk 2340 Pb 16 Pg 127 Lots 47 + 48</t>
  </si>
  <si>
    <t>Ashley</t>
  </si>
  <si>
    <t xml:space="preserve">222 Tropicana Pkwy E </t>
  </si>
  <si>
    <t>127th</t>
  </si>
  <si>
    <t>Royal Palm Park Pb 4 Pg 70 Lot 30 As Desc In Or 392 Pg 581</t>
  </si>
  <si>
    <t>For Thomas F &amp; Mary Jo C Lowe Trust</t>
  </si>
  <si>
    <t>Patrick &amp; Diana Obrien</t>
  </si>
  <si>
    <t>Cape Coral Unit 6 Pt 3 Blk 77 Pb 11 Pg 71 Lots 24 + 25</t>
  </si>
  <si>
    <t>Odenwaldstrasse</t>
  </si>
  <si>
    <t>Anthony &amp; Marlene Silva</t>
  </si>
  <si>
    <t>Armando Otero</t>
  </si>
  <si>
    <t>Forrest &amp; For Lerch</t>
  </si>
  <si>
    <t>32806-3362</t>
  </si>
  <si>
    <t>33909-4641</t>
  </si>
  <si>
    <t xml:space="preserve">10066 Parkwood Dr  Fort Myers, FL 33905 </t>
  </si>
  <si>
    <t xml:space="preserve">18219 Henley Rd </t>
  </si>
  <si>
    <t>11-44-25-09-00000.0300</t>
  </si>
  <si>
    <t>Lucas</t>
  </si>
  <si>
    <t xml:space="preserve">1716 NE 6th Ave </t>
  </si>
  <si>
    <t>Newington</t>
  </si>
  <si>
    <t>Lehigh Acres Unit 9 Blk 46 Pb 26 Pg 11 Lot 12</t>
  </si>
  <si>
    <t>Cape Coral Unit 21 Blk.651 Pb 13 Pg 161 Lots 1 + 2</t>
  </si>
  <si>
    <t>For Olimpia Barrera Trust</t>
  </si>
  <si>
    <t>18-43-24-c4-05680.0080</t>
  </si>
  <si>
    <t>Montoya</t>
  </si>
  <si>
    <t>Longwood</t>
  </si>
  <si>
    <t>Bolivar Peninsula</t>
  </si>
  <si>
    <t>Felicity</t>
  </si>
  <si>
    <t xml:space="preserve">PO Box 4  Newark Valley, NY 13811 </t>
  </si>
  <si>
    <t xml:space="preserve">10335 Annaberg Ct </t>
  </si>
  <si>
    <t>Cape Coral Unit 36 Blk 2351 Pb 16 Pg 127 Lots 34 + 35</t>
  </si>
  <si>
    <t>33909-1586</t>
  </si>
  <si>
    <t xml:space="preserve">6478 W Lone Wash Way </t>
  </si>
  <si>
    <t>Ahsanullah</t>
  </si>
  <si>
    <t xml:space="preserve">3812 NE 23rd Pl </t>
  </si>
  <si>
    <t xml:space="preserve">1027 NE 40th Ter </t>
  </si>
  <si>
    <t>Alan</t>
  </si>
  <si>
    <t>18-43-24-c3-05752.0210</t>
  </si>
  <si>
    <t xml:space="preserve">5670 Cypress Woods Resort Dr </t>
  </si>
  <si>
    <t>11-44-25-l1-13000.0960</t>
  </si>
  <si>
    <t>Plantation</t>
  </si>
  <si>
    <t xml:space="preserve">252 Parkside Dr </t>
  </si>
  <si>
    <t>Sainte-Elisabeth</t>
  </si>
  <si>
    <t>Cape Coral Unit 36 Blk 2350 Pb 16 Pg 128 Lots 37 + 38</t>
  </si>
  <si>
    <t xml:space="preserve">6590 NW 5th St </t>
  </si>
  <si>
    <t xml:space="preserve">1313 NE 7th Ave  Cape Coral, FL 33909 </t>
  </si>
  <si>
    <t>Mack</t>
  </si>
  <si>
    <t xml:space="preserve">4637 Elvas Ave </t>
  </si>
  <si>
    <t xml:space="preserve">473 Moore Ave  New Castle, PA 16101-1605 </t>
  </si>
  <si>
    <t>16-44-26-08-00026.0050</t>
  </si>
  <si>
    <t>Khemraj</t>
  </si>
  <si>
    <t xml:space="preserve">825 Pine St </t>
  </si>
  <si>
    <t>Cape Coral Unit 84 Blk 5567 Pb 24 Pg 40 Lots 10 + 11</t>
  </si>
  <si>
    <t>Nelson Torna</t>
  </si>
  <si>
    <t>Rook</t>
  </si>
  <si>
    <t>10462-4801</t>
  </si>
  <si>
    <t>Holiday Travel Park Rv Condo Ph 1 Or 1557 Pg 1583 Unit 347</t>
  </si>
  <si>
    <t>19-43-24-c2-05753.0200</t>
  </si>
  <si>
    <t xml:space="preserve">1823 NE 17th Pl </t>
  </si>
  <si>
    <t xml:space="preserve">6650 SW 80th Ave  Miami, FL 33143-2634 </t>
  </si>
  <si>
    <t xml:space="preserve">11315 Calgary Cir  Tampa, FL 33624-4804 </t>
  </si>
  <si>
    <t>Brevett</t>
  </si>
  <si>
    <t>Connie May &amp; James Green</t>
  </si>
  <si>
    <t>Cape Coral Unit 32 Blk 2113 Pb 16 Pg 6 Lots 21 + 22</t>
  </si>
  <si>
    <t xml:space="preserve">324 Jacaranda Pkwy E  Cape Coral, FL 33909 </t>
  </si>
  <si>
    <t xml:space="preserve">2032 NE 18th Ter  Cape Coral, FL 33909 </t>
  </si>
  <si>
    <t>Richard Gardner</t>
  </si>
  <si>
    <t xml:space="preserve">127 NE 23rd St </t>
  </si>
  <si>
    <t xml:space="preserve">487 N Quarry View Pl </t>
  </si>
  <si>
    <t xml:space="preserve">1009 NE 5th Pl </t>
  </si>
  <si>
    <t>Saxony</t>
  </si>
  <si>
    <t xml:space="preserve">5212 Snyder Ave </t>
  </si>
  <si>
    <t>Cesar &amp; Emerita Samson</t>
  </si>
  <si>
    <t>11-44-25-05-0000c.0470</t>
  </si>
  <si>
    <t>31-43-24-c4-02111.0070</t>
  </si>
  <si>
    <t>33065-1895</t>
  </si>
  <si>
    <t xml:space="preserve">1811 NE 2nd Ave </t>
  </si>
  <si>
    <t xml:space="preserve">1327 NE 11th Ter  Cape Coral, FL 33909 </t>
  </si>
  <si>
    <t>Heiligenstein</t>
  </si>
  <si>
    <t xml:space="preserve">6538 Collins Ave  Miami Beach, FL 33141-4694 </t>
  </si>
  <si>
    <t xml:space="preserve">21384 W Preston Ct </t>
  </si>
  <si>
    <t>Orange River</t>
  </si>
  <si>
    <t>Bonnie Gillmore</t>
  </si>
  <si>
    <t>Morganville</t>
  </si>
  <si>
    <t>Hintergasse</t>
  </si>
  <si>
    <t>18-43-24-c3-05753.0010</t>
  </si>
  <si>
    <t xml:space="preserve">4077 Pine Ridge Ln </t>
  </si>
  <si>
    <t>20-43-24-c4-05633.0070</t>
  </si>
  <si>
    <t xml:space="preserve">10243 Meadow Beauty Trl </t>
  </si>
  <si>
    <t>08757-2901</t>
  </si>
  <si>
    <t xml:space="preserve">9300 W Flagler St #224, Miami, FL 33174-3456 </t>
  </si>
  <si>
    <t>Magallanes</t>
  </si>
  <si>
    <t>Cape Coral Unit 32 Blk.2120 Pb 16 Pg 4 Lots 25 + 26</t>
  </si>
  <si>
    <t xml:space="preserve">3829 Hyde Park Dr  Fort Myers, FL 33905 </t>
  </si>
  <si>
    <t xml:space="preserve">806 NE 39th St  Cape Coral, FL 33909 </t>
  </si>
  <si>
    <t xml:space="preserve">2316 W 141st St  Overland Park, KS 66224-4550 </t>
  </si>
  <si>
    <t>Tieline</t>
  </si>
  <si>
    <t xml:space="preserve">3520 NE 18th Ave  Cape Coral, FL 33909 </t>
  </si>
  <si>
    <t>Cape Coral Unit 36 Blk 2517 Pb 16 Pg 116 Lots 3 + 4</t>
  </si>
  <si>
    <t xml:space="preserve">2101 NE 1st Ave </t>
  </si>
  <si>
    <t xml:space="preserve">13101 SW 209th St </t>
  </si>
  <si>
    <t xml:space="preserve">15914 Berlin Station Rd </t>
  </si>
  <si>
    <t>Long Park</t>
  </si>
  <si>
    <t xml:space="preserve">831 Clawson Pl #2108, Fort Mill, SC 29715-8950 </t>
  </si>
  <si>
    <t xml:space="preserve">3233 NE 13th Ave </t>
  </si>
  <si>
    <t>Dorren &amp; For Nicoli</t>
  </si>
  <si>
    <t>Hacienda</t>
  </si>
  <si>
    <t>Nathan &amp; Samuel Zemel</t>
  </si>
  <si>
    <t>Cape Coral Unit 85 Blk 5644 Pb 24 Pg 55 Lots 39 + 40</t>
  </si>
  <si>
    <t xml:space="preserve">339 NE 25th St  Cape Coral, FL 33909 </t>
  </si>
  <si>
    <t xml:space="preserve">1012 NE 32nd St  Cape Coral, FL 33909 </t>
  </si>
  <si>
    <t>Green Valley</t>
  </si>
  <si>
    <t xml:space="preserve">1576 Veracruz Ln </t>
  </si>
  <si>
    <t xml:space="preserve">561 Jigok-Dong Giheung-Gu </t>
  </si>
  <si>
    <t xml:space="preserve">1509 S Gator Cir  Cape Coral, FL 33909 </t>
  </si>
  <si>
    <t>David &amp; Diane Commens</t>
  </si>
  <si>
    <t>Freda Gentry</t>
  </si>
  <si>
    <t>Crump</t>
  </si>
  <si>
    <t>Steven &amp; Chere Pearson</t>
  </si>
  <si>
    <t xml:space="preserve">2207 NE 21st Pl  Cape Coral, FL 33909 </t>
  </si>
  <si>
    <t>13021-9269</t>
  </si>
  <si>
    <t>33904-3296</t>
  </si>
  <si>
    <t>Margaret Combs</t>
  </si>
  <si>
    <t xml:space="preserve">7 Old Dunhams Corner Way  Edgartown, MA 02539-7727 </t>
  </si>
  <si>
    <t>Arlington</t>
  </si>
  <si>
    <t xml:space="preserve">7550 Amonde Way #1 </t>
  </si>
  <si>
    <t xml:space="preserve">3618 E Gator Cir  Cape Coral, FL 33909 </t>
  </si>
  <si>
    <t xml:space="preserve">7 Flamingo Cir  Shrewsbury, MA 01545-2186 </t>
  </si>
  <si>
    <t xml:space="preserve">11 E Shelby St  Worcester, MA 01605-3041 </t>
  </si>
  <si>
    <t>07-44-24-c3-01485.0050</t>
  </si>
  <si>
    <t>11203-3709</t>
  </si>
  <si>
    <t>07305-4897</t>
  </si>
  <si>
    <t>Lan Nguyen</t>
  </si>
  <si>
    <t>Couacaud</t>
  </si>
  <si>
    <t xml:space="preserve">2303 NE 15th Ln  Cape Coral, FL 33909 </t>
  </si>
  <si>
    <t>Razvi</t>
  </si>
  <si>
    <t xml:space="preserve">1309 Ridge St </t>
  </si>
  <si>
    <t>31-44-24-c4-00827.0070</t>
  </si>
  <si>
    <t xml:space="preserve">5840 W 75th Pl  Burbank, IL 60459-3201 </t>
  </si>
  <si>
    <t xml:space="preserve">2905 NE 4th Ave  Cape Coral, FL 33909 </t>
  </si>
  <si>
    <t>Caloosa</t>
  </si>
  <si>
    <t>Zorita</t>
  </si>
  <si>
    <t xml:space="preserve">117 SE 28th Ter  Cape Coral, FL 33904 </t>
  </si>
  <si>
    <t>Encarnacion</t>
  </si>
  <si>
    <t xml:space="preserve">2209 NE 14th Pl  Cape Coral, FL 33909 </t>
  </si>
  <si>
    <t>Hennessy</t>
  </si>
  <si>
    <t>20165-5780</t>
  </si>
  <si>
    <t>David Sherman</t>
  </si>
  <si>
    <t>Forrest &amp; Christine Terry</t>
  </si>
  <si>
    <t>Artesian</t>
  </si>
  <si>
    <t xml:space="preserve">1428 Wright Ave </t>
  </si>
  <si>
    <t>Meredith</t>
  </si>
  <si>
    <t xml:space="preserve">2430 Bill Smith Rd  Conroe, TX 77384-4406 </t>
  </si>
  <si>
    <t xml:space="preserve">448 Waterleaf Ct </t>
  </si>
  <si>
    <t xml:space="preserve">20 Chicory Ln </t>
  </si>
  <si>
    <t>Cape Coral Unit 84 Blk 5620 Pb 24 Pg 34 Lots 41 + 42</t>
  </si>
  <si>
    <t>Hendley</t>
  </si>
  <si>
    <t>20-43-24-c1-05649.0410</t>
  </si>
  <si>
    <t>25-43-23-c2-02348.0090</t>
  </si>
  <si>
    <t xml:space="preserve">6502 Suson Oaks Dr </t>
  </si>
  <si>
    <t>Henry Smith</t>
  </si>
  <si>
    <t>Amos</t>
  </si>
  <si>
    <t xml:space="preserve">4828 Oak Arbor Dr  Valdosta, GA 31602-4905 </t>
  </si>
  <si>
    <t xml:space="preserve">2 Kidd St </t>
  </si>
  <si>
    <t>15317-2367</t>
  </si>
  <si>
    <t xml:space="preserve">Po Box 405 </t>
  </si>
  <si>
    <t>Tinlin</t>
  </si>
  <si>
    <t>Cordova</t>
  </si>
  <si>
    <t>Jarmila</t>
  </si>
  <si>
    <t>33183-2260</t>
  </si>
  <si>
    <t>Cape Coral Unit 87 Blk 5753 Pb 24 Pg 69 Lots 36 + 37</t>
  </si>
  <si>
    <t xml:space="preserve">750 NW 4th St </t>
  </si>
  <si>
    <t>Cypress Woods Rv Resort Unit 4 Pb 79 Pgs 68-71 Blk D Lot 74</t>
  </si>
  <si>
    <t>Masar</t>
  </si>
  <si>
    <t>Cape Coral Unit 36 Blk 2298B Pb 16 Pg 122 Lots 12 + 13</t>
  </si>
  <si>
    <t xml:space="preserve">1107 NE 39th St </t>
  </si>
  <si>
    <t xml:space="preserve">1350 S Wood Ave B19, Linden, NJ 07036-4655 </t>
  </si>
  <si>
    <t>33909-3271</t>
  </si>
  <si>
    <t>86305-4802</t>
  </si>
  <si>
    <t xml:space="preserve">8027 Lake Dr #204, Doral, FL 33166-7772 </t>
  </si>
  <si>
    <t xml:space="preserve">129 NE 31st Ter </t>
  </si>
  <si>
    <t>Osliris Barrios &amp; Carlos Fuentes</t>
  </si>
  <si>
    <t xml:space="preserve">20034 SW 123rd Dr </t>
  </si>
  <si>
    <t>Hewlett</t>
  </si>
  <si>
    <t>Ferro</t>
  </si>
  <si>
    <t>Dexter</t>
  </si>
  <si>
    <t>60605-3344</t>
  </si>
  <si>
    <t>Brian &amp; Melissa Miller</t>
  </si>
  <si>
    <t>03-44-26-09-00040.0100</t>
  </si>
  <si>
    <t>11746-8201</t>
  </si>
  <si>
    <t>Enel Joseph</t>
  </si>
  <si>
    <t xml:space="preserve">2830 Lantern Hill Ave </t>
  </si>
  <si>
    <t xml:space="preserve">3441 NE 8th Pl  Cape Coral, FL 33909 </t>
  </si>
  <si>
    <t>05-44-24-c2-03511.0070</t>
  </si>
  <si>
    <t xml:space="preserve">6138 Hughes Ave  Fort Myers, FL 33905 </t>
  </si>
  <si>
    <t>25-43-23-c4-02304.0090</t>
  </si>
  <si>
    <t xml:space="preserve">311 NE 25th St  Cape Coral, FL 33909 </t>
  </si>
  <si>
    <t xml:space="preserve">9816 SW 110th St </t>
  </si>
  <si>
    <t xml:space="preserve">401 Aviation Pkwy </t>
  </si>
  <si>
    <t>Gaylen Ohman</t>
  </si>
  <si>
    <t>Przeslak</t>
  </si>
  <si>
    <t>59105-3816</t>
  </si>
  <si>
    <t>32-43-24-c1-02190.0160</t>
  </si>
  <si>
    <t>Antonia</t>
  </si>
  <si>
    <t xml:space="preserve">376 Mallard Dr  Weston, FL 33327-1118 </t>
  </si>
  <si>
    <t xml:space="preserve">5199 Cypress Trail Resort Cir  Fort Myers, FL 33905 </t>
  </si>
  <si>
    <t>33909-2897</t>
  </si>
  <si>
    <t xml:space="preserve">917 NE 10th Pl </t>
  </si>
  <si>
    <t xml:space="preserve">2319 NE 35th Ln </t>
  </si>
  <si>
    <t>Linda Calvert</t>
  </si>
  <si>
    <t xml:space="preserve">2302 NE 6th Pl  Cape Coral, FL 33909 </t>
  </si>
  <si>
    <t xml:space="preserve">2621 NE 7th Ave </t>
  </si>
  <si>
    <t>Donna Fekette</t>
  </si>
  <si>
    <t xml:space="preserve">7207 Westover Way </t>
  </si>
  <si>
    <t>Ringler Charles H Tr</t>
  </si>
  <si>
    <t>Jaimes</t>
  </si>
  <si>
    <t>34120-4908</t>
  </si>
  <si>
    <t>Zbigniew Ecker</t>
  </si>
  <si>
    <t>Dahlienweg</t>
  </si>
  <si>
    <t>Moose Jaw</t>
  </si>
  <si>
    <t>33012-4164</t>
  </si>
  <si>
    <t>Catherine Mcarthy</t>
  </si>
  <si>
    <t xml:space="preserve">1226 NE 11th Ter </t>
  </si>
  <si>
    <t>Bobo</t>
  </si>
  <si>
    <t>Glage</t>
  </si>
  <si>
    <t>03053-2270</t>
  </si>
  <si>
    <t xml:space="preserve">965 Township Road 296 </t>
  </si>
  <si>
    <t>31-43-24-c3-02094.0060</t>
  </si>
  <si>
    <t xml:space="preserve">1810 SW 5th Ave #801 </t>
  </si>
  <si>
    <t xml:space="preserve">4418 Garden Blvd </t>
  </si>
  <si>
    <t>Carmen Rodriguez</t>
  </si>
  <si>
    <t xml:space="preserve">4027 NE 9th Ave </t>
  </si>
  <si>
    <t>Jonestown</t>
  </si>
  <si>
    <t>Cape Coral Unit 84 Blk 5602 Pb 24 Pg 43 Lots 13 + 14</t>
  </si>
  <si>
    <t>Basye</t>
  </si>
  <si>
    <t xml:space="preserve">404 SE 33rd St </t>
  </si>
  <si>
    <t>Anna &amp; Krzysztof Geca</t>
  </si>
  <si>
    <t>34293-1920</t>
  </si>
  <si>
    <t>81223-9325</t>
  </si>
  <si>
    <t>David &amp; Patricia Jury</t>
  </si>
  <si>
    <t>62573-2100</t>
  </si>
  <si>
    <t>Hew</t>
  </si>
  <si>
    <t>01-44-23-c1-02440.0050</t>
  </si>
  <si>
    <t xml:space="preserve">2721 Jackson Pike  Batavia, OH 45103-8447 </t>
  </si>
  <si>
    <t>19-43-24-c4-05560.0310</t>
  </si>
  <si>
    <t>Cape Coral Unit 46 Blk 3594 Pb 17 Pg 123 Lots 54 + 55</t>
  </si>
  <si>
    <t>Cape Coral Unit 33 Blk 2237 Pb 16 Pg 48 Lots 49 + 50</t>
  </si>
  <si>
    <t>Cape Coral Unit 84 Blk 5586 Pb 24 Pg 48 Lots 13 Thru 15</t>
  </si>
  <si>
    <t xml:space="preserve">965 Tiara Trl </t>
  </si>
  <si>
    <t>Gary Fortner</t>
  </si>
  <si>
    <t>35763-9135</t>
  </si>
  <si>
    <t>55419-5320</t>
  </si>
  <si>
    <t xml:space="preserve">9538 Summer Hollow Dr </t>
  </si>
  <si>
    <t>Fountain View Rv Resort Or 1627 Pg 0179 Lot 6</t>
  </si>
  <si>
    <t>Cape Coral Unit 33 Blk 2287 Pb 16 Pg 57 Lots 3 + 4</t>
  </si>
  <si>
    <t>11-44-25-l1-13000.3040</t>
  </si>
  <si>
    <t>For Molly E Oconnor Trust</t>
  </si>
  <si>
    <t>Joel Klass</t>
  </si>
  <si>
    <t>Burson</t>
  </si>
  <si>
    <t xml:space="preserve">2128 NE 23rd Ter </t>
  </si>
  <si>
    <t xml:space="preserve">322 NE 11th St </t>
  </si>
  <si>
    <t xml:space="preserve">8610 11th Ave S  Minneapolis, MN 55420-3050 </t>
  </si>
  <si>
    <t>Baumann</t>
  </si>
  <si>
    <t>27-43-24-13-00002.0090</t>
  </si>
  <si>
    <t>Richard &amp; Cheryl Richardson</t>
  </si>
  <si>
    <t xml:space="preserve">4790 W 3rd Ave </t>
  </si>
  <si>
    <t>Cape Coral Unit 36 Blk 2543 Pb 16 Pg 118 Lots 47 + 48</t>
  </si>
  <si>
    <t>Cape Coral Unit 36 Blk 2172 Pb 16 Pg 115 Lots 33 + 34</t>
  </si>
  <si>
    <t>11-44-25-05-0000c.1100</t>
  </si>
  <si>
    <t xml:space="preserve">9-24 Calle 115 #703, Bogota Cund, CO </t>
  </si>
  <si>
    <t>Bettye Hooker</t>
  </si>
  <si>
    <t xml:space="preserve">11 Nutgrove St  White Plains, NY 10606-2414 </t>
  </si>
  <si>
    <t xml:space="preserve">4104 NE 9th Pl  Cape Coral, FL 33909 </t>
  </si>
  <si>
    <t>75002-8167</t>
  </si>
  <si>
    <t xml:space="preserve">32478 Ute Trl </t>
  </si>
  <si>
    <t xml:space="preserve">2023 Berrien Dr  Deltona, FL 32738-9517 </t>
  </si>
  <si>
    <t xml:space="preserve">4305 NE 20th Ct </t>
  </si>
  <si>
    <t xml:space="preserve">7285 W 2nd Ct </t>
  </si>
  <si>
    <t xml:space="preserve">2722 SE 24th Pl </t>
  </si>
  <si>
    <t xml:space="preserve">1026 NE 5th Pl </t>
  </si>
  <si>
    <t>Traverse City</t>
  </si>
  <si>
    <t>33909-0908</t>
  </si>
  <si>
    <t>60102-1743</t>
  </si>
  <si>
    <t>Pedro Ruiz</t>
  </si>
  <si>
    <t>Carolyn Gray</t>
  </si>
  <si>
    <t>Vera &amp; Giovanni Angelini</t>
  </si>
  <si>
    <t>Cape Coral Unit 47 Pt 2 Blk 3532 Pb 23 Pg 126 Lots 37 + 38</t>
  </si>
  <si>
    <t xml:space="preserve">1739 NE 1st Ave </t>
  </si>
  <si>
    <t>Russ</t>
  </si>
  <si>
    <t>James &amp; Helga Homa</t>
  </si>
  <si>
    <t>Lilia Tchepoi Forbang &amp; Thomas Forbang</t>
  </si>
  <si>
    <t>33150-1538</t>
  </si>
  <si>
    <t>Bessie</t>
  </si>
  <si>
    <t>33909-5413</t>
  </si>
  <si>
    <t>Sutton</t>
  </si>
  <si>
    <t>Cape Coral Unit 35 Blk.2415 Pb 16 Pg 104 Lots 9 + 10</t>
  </si>
  <si>
    <t xml:space="preserve">72 Hitchcock Rd </t>
  </si>
  <si>
    <t>33905-8685</t>
  </si>
  <si>
    <t>Tu</t>
  </si>
  <si>
    <t xml:space="preserve">4234 NE 23rd Ave  Cape Coral, FL 33909 </t>
  </si>
  <si>
    <t>07481-2146</t>
  </si>
  <si>
    <t>Dirk Hoffman</t>
  </si>
  <si>
    <t>Carlos Orozco</t>
  </si>
  <si>
    <t>01-44-23-c3-02422.0170</t>
  </si>
  <si>
    <t xml:space="preserve">132 Hobart St </t>
  </si>
  <si>
    <t xml:space="preserve">2133 NE 33rd Ln </t>
  </si>
  <si>
    <t xml:space="preserve">1922 NE 17th Ave  Cape Coral, FL 33909 </t>
  </si>
  <si>
    <t xml:space="preserve">5841 Brightwood Dr  Fort Myers, FL 33905 </t>
  </si>
  <si>
    <t xml:space="preserve">212 NE 6th St </t>
  </si>
  <si>
    <t>22305-1222</t>
  </si>
  <si>
    <t>Steven &amp; Catherine Marano</t>
  </si>
  <si>
    <t>No 70 Changfeng</t>
  </si>
  <si>
    <t>07843-1240</t>
  </si>
  <si>
    <t>For Patricia M Abrams Trust</t>
  </si>
  <si>
    <t xml:space="preserve">612 45th Ave  Amana, IA 52203-8026 </t>
  </si>
  <si>
    <t>Toms River</t>
  </si>
  <si>
    <t xml:space="preserve">1775 Georgian Heights Blvd  Waubaushene, ON L0k 2C0 </t>
  </si>
  <si>
    <t>29-43-24-c3-02277.0470</t>
  </si>
  <si>
    <t>17-43-24-c1-05820.0090</t>
  </si>
  <si>
    <t xml:space="preserve">1225 NE 2nd Ave  Cape Coral, FL 33909 </t>
  </si>
  <si>
    <t>Pascal</t>
  </si>
  <si>
    <t xml:space="preserve">8211 Buckingham Rd </t>
  </si>
  <si>
    <t>Cypress Woods Rv Resort Unit 4 Pb 79 Pgs 68-71 Blk D Lot 20</t>
  </si>
  <si>
    <t>Brugeille</t>
  </si>
  <si>
    <t>Patel Bipin K Tr</t>
  </si>
  <si>
    <t xml:space="preserve">62 Woodbury Dr </t>
  </si>
  <si>
    <t>16-43-24-01-00000.2050</t>
  </si>
  <si>
    <t xml:space="preserve">6037 Joplin Ave  Fort Myers, FL 33905 </t>
  </si>
  <si>
    <t>Sidonie Decourt</t>
  </si>
  <si>
    <t xml:space="preserve">3404 NE 9th Pl  Cape Coral, FL 33909 </t>
  </si>
  <si>
    <t>Via Samborondon Km</t>
  </si>
  <si>
    <t xml:space="preserve">1918 NE 18th Ave </t>
  </si>
  <si>
    <t>Bolanos</t>
  </si>
  <si>
    <t>Cape Coral Unit 35 Blk 2386 Pb 16 Pg 111 Lots 15 + 16</t>
  </si>
  <si>
    <t>09-44-23-c2-03775.0490</t>
  </si>
  <si>
    <t>Fox Fire Estates</t>
  </si>
  <si>
    <t>Emmett</t>
  </si>
  <si>
    <t>Myrta</t>
  </si>
  <si>
    <t xml:space="preserve">Bois Saint Charles  Hyeres, FR </t>
  </si>
  <si>
    <t>Leanne</t>
  </si>
  <si>
    <t>Raptopulos</t>
  </si>
  <si>
    <t>La Vieve</t>
  </si>
  <si>
    <t>33909-2843</t>
  </si>
  <si>
    <t xml:space="preserve">3210 NE 13th Ct  Cape Coral, FL 33909 </t>
  </si>
  <si>
    <t>33908-8232</t>
  </si>
  <si>
    <t xml:space="preserve">15323 SW 53rd Ter </t>
  </si>
  <si>
    <t>13-45-23-c1-00098.0240</t>
  </si>
  <si>
    <t xml:space="preserve">1526 NE 37th St </t>
  </si>
  <si>
    <t>Cape Coral Unit 87 Blk 5693 Pb 24 Pg 81 Lots 11 Thru 13</t>
  </si>
  <si>
    <t xml:space="preserve">2213 NE 13th Ave  Cape Coral, FL 33909 </t>
  </si>
  <si>
    <t>Parl In W 1/2 S Of Orange Grove Blvd As Desc In Or 1955 Pg 1110</t>
  </si>
  <si>
    <t>Maggard</t>
  </si>
  <si>
    <t xml:space="preserve">2313 Parkview Dr </t>
  </si>
  <si>
    <t>56529-1636</t>
  </si>
  <si>
    <t xml:space="preserve">5227 Cypress Trail Resort Cir  Fort Myers, FL 33905 </t>
  </si>
  <si>
    <t xml:space="preserve">309 Kismet Pkwy E  Cape Coral, FL 33909 </t>
  </si>
  <si>
    <t xml:space="preserve">1000 NE 44th Ln </t>
  </si>
  <si>
    <t>Osliris</t>
  </si>
  <si>
    <t xml:space="preserve">6381 Castlewood Cir  Fort Myers, FL 33905 </t>
  </si>
  <si>
    <t>Goebel</t>
  </si>
  <si>
    <t>01-44-23-c1-02463.0280</t>
  </si>
  <si>
    <t>17-43-24-c1-05776.0290</t>
  </si>
  <si>
    <t>Bart &amp; Denise Vidal</t>
  </si>
  <si>
    <t xml:space="preserve">8732 Birchwood Dr  Newport, MI 48166-9333 </t>
  </si>
  <si>
    <t>Jannik</t>
  </si>
  <si>
    <t>33025-5646</t>
  </si>
  <si>
    <t>Hinso</t>
  </si>
  <si>
    <t xml:space="preserve">11671 Dwarf Ginseng Dr </t>
  </si>
  <si>
    <t xml:space="preserve">1409 NE 23rd Ter </t>
  </si>
  <si>
    <t>American &amp; Amanda Phan</t>
  </si>
  <si>
    <t>60093-1505</t>
  </si>
  <si>
    <t>Roof</t>
  </si>
  <si>
    <t>Cape Coral Unit 87 Blk 5682 Pb 24 Pg 74 Lots 33 + 34</t>
  </si>
  <si>
    <t>Xi</t>
  </si>
  <si>
    <t xml:space="preserve">Rua Manoel Rebelo Dos Santos  Hondo, NM 88336 </t>
  </si>
  <si>
    <t xml:space="preserve">2028 NE 34th Ln  Cape Coral, FL 33909 </t>
  </si>
  <si>
    <t>07410-5205</t>
  </si>
  <si>
    <t xml:space="preserve">1622 NE 23rd Ter </t>
  </si>
  <si>
    <t>Urb Previ Callao Lima</t>
  </si>
  <si>
    <t xml:space="preserve">2044 NE 34th Ln </t>
  </si>
  <si>
    <t>Kim Tran &amp; Angelica Nguyen</t>
  </si>
  <si>
    <t xml:space="preserve">1513 NE 13th Ave </t>
  </si>
  <si>
    <t xml:space="preserve">2901 NE 5th Ave  Cape Coral, FL 33909 </t>
  </si>
  <si>
    <t>Fairview Beach</t>
  </si>
  <si>
    <t>Dori Family</t>
  </si>
  <si>
    <t xml:space="preserve">2710 Ashwood St </t>
  </si>
  <si>
    <t xml:space="preserve">1821 NE 27th St  Cape Coral, FL 33909 </t>
  </si>
  <si>
    <t>25-43-23-c3-02352.0260</t>
  </si>
  <si>
    <t xml:space="preserve">2208 NE 16th Pl  Cape Coral, FL 33909 </t>
  </si>
  <si>
    <t>North Palm Beach</t>
  </si>
  <si>
    <t>Dayan Perez</t>
  </si>
  <si>
    <t xml:space="preserve">1901 SE 36th Ter </t>
  </si>
  <si>
    <t>Willey</t>
  </si>
  <si>
    <t>Grote-Morphew</t>
  </si>
  <si>
    <t>19-43-24-c2-05601.0590</t>
  </si>
  <si>
    <t>50071-7541</t>
  </si>
  <si>
    <t>33909-1620</t>
  </si>
  <si>
    <t>Crozet</t>
  </si>
  <si>
    <t xml:space="preserve">52 Maxim Dr </t>
  </si>
  <si>
    <t>Sarah Mwangi</t>
  </si>
  <si>
    <t>Meutsch</t>
  </si>
  <si>
    <t>29-43-24-c4-02278.0210</t>
  </si>
  <si>
    <t>80031-5104</t>
  </si>
  <si>
    <t>Danson</t>
  </si>
  <si>
    <t>Walid Chaer</t>
  </si>
  <si>
    <t xml:space="preserve">2220 NE 33rd Ln </t>
  </si>
  <si>
    <t>Daniel &amp; Clara Austin</t>
  </si>
  <si>
    <t>Mahalas</t>
  </si>
  <si>
    <t>29-43-24-c3-02267.0210</t>
  </si>
  <si>
    <t xml:space="preserve">3734 NE 13th Ave </t>
  </si>
  <si>
    <t>Diawantie Jadoonauth</t>
  </si>
  <si>
    <t xml:space="preserve">7 Sugar Hollow Ln </t>
  </si>
  <si>
    <t xml:space="preserve">2210 NE 23rd Pl  Cape Coral, FL 33909 </t>
  </si>
  <si>
    <t>33909-1331</t>
  </si>
  <si>
    <t>Calle 78</t>
  </si>
  <si>
    <t xml:space="preserve">2120 Jefferson Ave #2 </t>
  </si>
  <si>
    <t>17-43-24-c1-05777.0090</t>
  </si>
  <si>
    <t>Damien</t>
  </si>
  <si>
    <t>Cape Coral Unit 84 Blk 5550 Pb 24 Pg 46 Lots 15 + 16</t>
  </si>
  <si>
    <t>17-43-24-c1-05739.0050</t>
  </si>
  <si>
    <t>Cape Coral Unit 36 Blk 2351 Pb 16 Pg 127 Lots 32 + 33</t>
  </si>
  <si>
    <t>53714-3450</t>
  </si>
  <si>
    <t xml:space="preserve">10420 Clark Rd </t>
  </si>
  <si>
    <t>32-43-24-c4-02202.0010</t>
  </si>
  <si>
    <t xml:space="preserve">1640 County Highway 42  Shelbyville, IL 62565-4611 </t>
  </si>
  <si>
    <t xml:space="preserve">219-2 Kita Yamata Tsuzuki-Ku Yokoham  Kanagawa, JP 00224 </t>
  </si>
  <si>
    <t xml:space="preserve">4006 NE 9th Pl </t>
  </si>
  <si>
    <t>10954-1032</t>
  </si>
  <si>
    <t>Esther</t>
  </si>
  <si>
    <t>Pravin Vichare</t>
  </si>
  <si>
    <t>Villalba</t>
  </si>
  <si>
    <t xml:space="preserve">3 Grand Rue </t>
  </si>
  <si>
    <t xml:space="preserve">4151 Silver Sword Ct  North Fort Myers, FL 33903 </t>
  </si>
  <si>
    <t>25-43-23-c2-02340.0210</t>
  </si>
  <si>
    <t>Cape Coral Unit 88 Blk 5824 Pb 24 Pg 143 Lots 31 + 32</t>
  </si>
  <si>
    <t>Longview</t>
  </si>
  <si>
    <t>33905-8631</t>
  </si>
  <si>
    <t>Hibbing</t>
  </si>
  <si>
    <t xml:space="preserve">16764 SW 10th St </t>
  </si>
  <si>
    <t>19-43-24-c1-05575.0610</t>
  </si>
  <si>
    <t xml:space="preserve">Po Box 653 </t>
  </si>
  <si>
    <t>Picasso</t>
  </si>
  <si>
    <t>17-43-24-c3-05783.0540</t>
  </si>
  <si>
    <t>M M &amp; Carolyn Kozlowski</t>
  </si>
  <si>
    <t xml:space="preserve">834 NE 11th St  Cape Coral, FL 33909 </t>
  </si>
  <si>
    <t>Cape Coral Unit 36 Blk 2350 Pb 16 Pg 128 Lots 35 + 36</t>
  </si>
  <si>
    <t xml:space="preserve">316 Lindder Dr  Sevierville, TN 37876-1196 </t>
  </si>
  <si>
    <t xml:space="preserve">3745 Michigan Ave  Fort Myers, FL 33905 </t>
  </si>
  <si>
    <t>49759-9797</t>
  </si>
  <si>
    <t xml:space="preserve">1614 Rosebud Ln  Greenwood, IN 46143-7848 </t>
  </si>
  <si>
    <t xml:space="preserve">1822 NE 20th Ter  Cape Coral, FL 33909 </t>
  </si>
  <si>
    <t>33909-7369</t>
  </si>
  <si>
    <t>Parl In N E 1/4 Of S E 1/4 As Desc In Or 0627 Pg 0165</t>
  </si>
  <si>
    <t>Cape Coral Unit 33 Blk 2241 Pb 16 Pg 55 Lots 12 + 13</t>
  </si>
  <si>
    <t>Xiamen</t>
  </si>
  <si>
    <t>Devendra &amp; Shardha Cyrol</t>
  </si>
  <si>
    <t>Orfan</t>
  </si>
  <si>
    <t>Kappock</t>
  </si>
  <si>
    <t>Naranjo</t>
  </si>
  <si>
    <t>33155-4132</t>
  </si>
  <si>
    <t>Lary Obando &amp; Natalia Chaves</t>
  </si>
  <si>
    <t>Cape Coral Unit 85 Blk 5671 Pb 24 Pg 52 Lot 30</t>
  </si>
  <si>
    <t>Morse</t>
  </si>
  <si>
    <t>33018-4156</t>
  </si>
  <si>
    <t>33909-5462</t>
  </si>
  <si>
    <t xml:space="preserve">2033 NE 5th Ave  Cape Coral, FL 33909 </t>
  </si>
  <si>
    <t>Zimmel</t>
  </si>
  <si>
    <t xml:space="preserve">1925 NE 16th Pl </t>
  </si>
  <si>
    <t xml:space="preserve">1706 NE 42nd Ter  Cape Coral, FL 33909 </t>
  </si>
  <si>
    <t>Barbara Mirand &amp; Rosilina Camara</t>
  </si>
  <si>
    <t>18-43-24-c2-05732.0230</t>
  </si>
  <si>
    <t>Odessa</t>
  </si>
  <si>
    <t xml:space="preserve">122 Ramsdell Rd </t>
  </si>
  <si>
    <t>Loefflad Don J Tr</t>
  </si>
  <si>
    <t>Fayetteville</t>
  </si>
  <si>
    <t>33909-2015</t>
  </si>
  <si>
    <t>08502-5108</t>
  </si>
  <si>
    <t>Dale Robbins &amp; Renee Stratton</t>
  </si>
  <si>
    <t xml:space="preserve">6580 Maytree Cir  Fort Myers, FL 33905 </t>
  </si>
  <si>
    <t>Cape Coral Unit 47 Pt 2 Blk 3513 Pb 23 Pg 123 Lots 32 Thru 34</t>
  </si>
  <si>
    <t xml:space="preserve">8069 Green Lake Dr  Liberty Township, OH 45044-9475 </t>
  </si>
  <si>
    <t>Dickie</t>
  </si>
  <si>
    <t xml:space="preserve">5947 Maleville Ave </t>
  </si>
  <si>
    <t>Champigny</t>
  </si>
  <si>
    <t>33905-2903</t>
  </si>
  <si>
    <t>Luis Galvis &amp; Luz Mora</t>
  </si>
  <si>
    <t>Luis Paez</t>
  </si>
  <si>
    <t xml:space="preserve">244 Pond View Ln </t>
  </si>
  <si>
    <t>30-43-26-02-00029.0180</t>
  </si>
  <si>
    <t>33909-9201</t>
  </si>
  <si>
    <t xml:space="preserve">350 Padiham Rd  Burnley Lancashire, GB 00000 </t>
  </si>
  <si>
    <t>19-43-24-c3-05574.0140</t>
  </si>
  <si>
    <t>Cape Coral Unit 47 Part 2 Blk.3526 Pb 23 Pg 122 Lots 7 + 8</t>
  </si>
  <si>
    <t>County Road 7160</t>
  </si>
  <si>
    <t xml:space="preserve">4 Residence Le Pavillon </t>
  </si>
  <si>
    <t>34953-1533</t>
  </si>
  <si>
    <t xml:space="preserve">1380 High St  Bridgewater, MA 02324-1920 </t>
  </si>
  <si>
    <t>33909-6435</t>
  </si>
  <si>
    <t>60554-5453</t>
  </si>
  <si>
    <t xml:space="preserve">510 NE 16th Pl </t>
  </si>
  <si>
    <t>Therrien</t>
  </si>
  <si>
    <t>19-43-24-c1-05576.0410</t>
  </si>
  <si>
    <t>91364-2734</t>
  </si>
  <si>
    <t>Cape Coral Unit 87 Blk 5684 Pb 24 Pg 82 Lots 25 + 26</t>
  </si>
  <si>
    <t>17-43-24-c2-05807.0070</t>
  </si>
  <si>
    <t xml:space="preserve">1650 Pangola Dr  North Fort Myers, FL 33903 </t>
  </si>
  <si>
    <t>Calle Montecarlo</t>
  </si>
  <si>
    <t>07438-9791</t>
  </si>
  <si>
    <t xml:space="preserve">1070 8th Ter N  Naples, FL 34102-5410 </t>
  </si>
  <si>
    <t>Edilia Bofill</t>
  </si>
  <si>
    <t xml:space="preserve">603 Argyle Pl  Bellmore, NY 11710-3962 </t>
  </si>
  <si>
    <t>Michael &amp; Stephanie Wichert</t>
  </si>
  <si>
    <t xml:space="preserve">824 NE 16th Ter </t>
  </si>
  <si>
    <t>33909-6146</t>
  </si>
  <si>
    <t>Pinar</t>
  </si>
  <si>
    <t>18-43-24-c4-05700.0090</t>
  </si>
  <si>
    <t>Cape Coral Unit 35 Blk 2380 Pb 16 Pg 106 Lots 43 + 44</t>
  </si>
  <si>
    <t>Bradford Pepple &amp; Marcia Cuff</t>
  </si>
  <si>
    <t>Hatidza</t>
  </si>
  <si>
    <t>33024-6868</t>
  </si>
  <si>
    <t>31-43-24-c1-02148.0300</t>
  </si>
  <si>
    <t>33013-2024</t>
  </si>
  <si>
    <t xml:space="preserve">1524 S Gator Cir </t>
  </si>
  <si>
    <t xml:space="preserve">367 Du Croi  Rosemere, QC J7a 4J1 </t>
  </si>
  <si>
    <t xml:space="preserve">4250 Pine Rd  Fort Myers, FL 33908 </t>
  </si>
  <si>
    <t>Nielsen</t>
  </si>
  <si>
    <t>Se</t>
  </si>
  <si>
    <t>Lamboy</t>
  </si>
  <si>
    <t>60134-3943</t>
  </si>
  <si>
    <t>01-44-23-c1-02461.0190</t>
  </si>
  <si>
    <t xml:space="preserve">5817 Brightwood Dr  Fort Myers, FL 33905 </t>
  </si>
  <si>
    <t xml:space="preserve">1521 NE 18th Ave </t>
  </si>
  <si>
    <t xml:space="preserve">14501 Dew Dr  Bowie, MD 20721-3094 </t>
  </si>
  <si>
    <t xml:space="preserve">10309 Fire Flag Trl  Fort Myers, FL 33905 </t>
  </si>
  <si>
    <t>29-43-24-c3-02276.0180</t>
  </si>
  <si>
    <t xml:space="preserve">2036 NE 20th Ter  Cape Coral, FL 33909 </t>
  </si>
  <si>
    <t xml:space="preserve">315 Shore Dr </t>
  </si>
  <si>
    <t>E4W 1S8</t>
  </si>
  <si>
    <t>Lehigh Acres Unit 5 Blk 25 Pb 26 Pg 32 Lot 9</t>
  </si>
  <si>
    <t>Claude Chalut &amp; Marie Mathieu</t>
  </si>
  <si>
    <t xml:space="preserve">3132 NE 13th Pl </t>
  </si>
  <si>
    <t>85310-3499</t>
  </si>
  <si>
    <t xml:space="preserve">2925 NE 6th Ave  Cape Coral, FL 33909 </t>
  </si>
  <si>
    <t xml:space="preserve">1801 NE 12th Pl </t>
  </si>
  <si>
    <t>32-43-24-c4-02225.0240</t>
  </si>
  <si>
    <t>32-45-24-02-0000d.0110</t>
  </si>
  <si>
    <t>Castillo</t>
  </si>
  <si>
    <t>31-43-24-c2-02155.0610</t>
  </si>
  <si>
    <t>Sundown</t>
  </si>
  <si>
    <t>Thrush</t>
  </si>
  <si>
    <t>Fair Oaks</t>
  </si>
  <si>
    <t>03-44-26-08-00039.0120</t>
  </si>
  <si>
    <t>Moises Marin</t>
  </si>
  <si>
    <t xml:space="preserve">3231 NE 14th Ave  Cape Coral, FL 33909 </t>
  </si>
  <si>
    <t>For Willme E Nye Trust</t>
  </si>
  <si>
    <t xml:space="preserve">1805 NE 27th Ter  Cape Coral, FL 33909 </t>
  </si>
  <si>
    <t xml:space="preserve">3843 Hillandale St  Fort Myers, FL 33905 </t>
  </si>
  <si>
    <t>20-43-24-c4-05637.0300</t>
  </si>
  <si>
    <t>11-44-25-l1-12000.3400</t>
  </si>
  <si>
    <t>79702-7984</t>
  </si>
  <si>
    <t>33905-7718</t>
  </si>
  <si>
    <t>84004-1369</t>
  </si>
  <si>
    <t xml:space="preserve">3 Route De Colombey  Arnancourt, FR </t>
  </si>
  <si>
    <t xml:space="preserve">112 NE 15th Ter  Cape Coral, FL 33909 </t>
  </si>
  <si>
    <t>Peralta Gerardo Tr</t>
  </si>
  <si>
    <t>Madden</t>
  </si>
  <si>
    <t>Mustafa</t>
  </si>
  <si>
    <t>03-44-26-13-00075.0060</t>
  </si>
  <si>
    <t>Land Trust Service Corporation</t>
  </si>
  <si>
    <t>Cape Coral Unit 87 Blk 5753 Pb 24 Pg 69 Lots 34 + 35</t>
  </si>
  <si>
    <t>Victor &amp; Lucia Fernandes</t>
  </si>
  <si>
    <t xml:space="preserve">260 William St </t>
  </si>
  <si>
    <t xml:space="preserve">7311 W 29th Way </t>
  </si>
  <si>
    <t>03-44-26-10-00052.0070</t>
  </si>
  <si>
    <t xml:space="preserve">113 S Federal Hwy  Dania, FL 33004-3622 </t>
  </si>
  <si>
    <t>03-44-26-12-00064.0060</t>
  </si>
  <si>
    <t>Queisser Helen L Tr</t>
  </si>
  <si>
    <t>12-46-24-24-0000a.0180</t>
  </si>
  <si>
    <t xml:space="preserve">Po Box 371 </t>
  </si>
  <si>
    <t>Boodhoo</t>
  </si>
  <si>
    <t>17-43-24-c2-05814.0190</t>
  </si>
  <si>
    <t xml:space="preserve">930 NE 23rd Ter </t>
  </si>
  <si>
    <t>Ramble</t>
  </si>
  <si>
    <t>33909-7315</t>
  </si>
  <si>
    <t xml:space="preserve">3 Grandview Rd </t>
  </si>
  <si>
    <t>Sitton</t>
  </si>
  <si>
    <t>Greensboro</t>
  </si>
  <si>
    <t>Lehigh Acres Unit 3 Blk 13 Pb 26 Pg 5 Lot 26</t>
  </si>
  <si>
    <t>Easton</t>
  </si>
  <si>
    <t>Calix</t>
  </si>
  <si>
    <t>33909-4549</t>
  </si>
  <si>
    <t>Elizabeth Gonzalez &amp; Beatriz Baldovino</t>
  </si>
  <si>
    <t xml:space="preserve">4016 NE 12th Ct  Cape Coral, FL 33909 </t>
  </si>
  <si>
    <t xml:space="preserve">337 NE 29th St  Cape Coral, FL 33909 </t>
  </si>
  <si>
    <t>WY</t>
  </si>
  <si>
    <t>Stony Brook</t>
  </si>
  <si>
    <t>Cape Coral Unit 32 Blk 2143 Pb 16 Pg 6 Lots 30 + 31</t>
  </si>
  <si>
    <t xml:space="preserve">Paseo Real </t>
  </si>
  <si>
    <t>Gonzalez Roberto C Tr</t>
  </si>
  <si>
    <t xml:space="preserve">3609 NE 20th Pl  Cape Coral, FL 33909 </t>
  </si>
  <si>
    <t xml:space="preserve">3538 Depassier Way  Alameda, CA 94502-7076 </t>
  </si>
  <si>
    <t>Palmetto Palms Rv Resort Condo Ph 5 Or 1530 Pg 1466 Res Unit 695</t>
  </si>
  <si>
    <t>Scott &amp; Michelle Fitch</t>
  </si>
  <si>
    <t>R054</t>
  </si>
  <si>
    <t>Indianapolis City (Balance)</t>
  </si>
  <si>
    <t>118a</t>
  </si>
  <si>
    <t xml:space="preserve">401 NE 15th St </t>
  </si>
  <si>
    <t xml:space="preserve">316 Main St  New Milford, NJ 07646-1219 </t>
  </si>
  <si>
    <t xml:space="preserve">834 NE 1st Pl  Cape Coral, FL 33909 </t>
  </si>
  <si>
    <t xml:space="preserve">24 Bluegrass Ln  Commack, NY 11725-1402 </t>
  </si>
  <si>
    <t>Iona Gardens Blk A Pb 17 Pg 72 Lot 40</t>
  </si>
  <si>
    <t>68135-1303</t>
  </si>
  <si>
    <t>Cape Coral Unit 33 Blk 2286 Pb 16 Pg 60 Lots 5 + 6</t>
  </si>
  <si>
    <t>Moonsammy</t>
  </si>
  <si>
    <t>Brown River</t>
  </si>
  <si>
    <t xml:space="preserve">3031 NE 1st Ave  Cape Coral, FL 33909 </t>
  </si>
  <si>
    <t>33175-7042</t>
  </si>
  <si>
    <t>33611-1443</t>
  </si>
  <si>
    <t xml:space="preserve">2001 NE 33rd Ln </t>
  </si>
  <si>
    <t xml:space="preserve">7835 Young Ave NE </t>
  </si>
  <si>
    <t xml:space="preserve">3523 NE 19th Pl  Cape Coral, FL 33909 </t>
  </si>
  <si>
    <t>Sunmeadow</t>
  </si>
  <si>
    <t xml:space="preserve">2324 153rd Ln NW </t>
  </si>
  <si>
    <t xml:space="preserve">1129 Jacaranda Pkwy E </t>
  </si>
  <si>
    <t xml:space="preserve">499 Broadway #387, Bangor, ME 04401-3460 </t>
  </si>
  <si>
    <t xml:space="preserve">468 County Road 4387  Decatur, TX 76234-7773 </t>
  </si>
  <si>
    <t xml:space="preserve">1202 Regent St  Madison, WI 53715-3600 </t>
  </si>
  <si>
    <t xml:space="preserve">1904 S Ocean Dr #803, Hallandale Beach, FL 33009-5908 </t>
  </si>
  <si>
    <t>Cape Coral Unit 84 Blk 5551 Pb 24 Pg 38 Lots 33 + 34</t>
  </si>
  <si>
    <t xml:space="preserve">2236 NE 13th Ln </t>
  </si>
  <si>
    <t xml:space="preserve">10067 Parkwood Dr  Fort Myers, FL 33905 </t>
  </si>
  <si>
    <t>01-44-23-c2-02457.0380</t>
  </si>
  <si>
    <t xml:space="preserve">18321 SW 135th Ave  Miami, FL 33177-7155 </t>
  </si>
  <si>
    <t>Cape Coral Unit 84 Blk 5602 Pb 24 Pg 43 Lots 11 + 12</t>
  </si>
  <si>
    <t>33156-4438</t>
  </si>
  <si>
    <t>33904-8630</t>
  </si>
  <si>
    <t>Maria &amp; Steven Evans</t>
  </si>
  <si>
    <t>Cape Coral Unit 35 Blk 2381 Pb 16 Pg 106 Lots 7 + 8</t>
  </si>
  <si>
    <t xml:space="preserve">119 Butternut Flts  Beach Lake, PA 18405-8415 </t>
  </si>
  <si>
    <t>18-43-24-c3-05586.0180</t>
  </si>
  <si>
    <t>95035-4702</t>
  </si>
  <si>
    <t>Lithonia</t>
  </si>
  <si>
    <t xml:space="preserve">9700 Il Route 176  Crystal Lake, IL 60014-3944 </t>
  </si>
  <si>
    <t>36-43-23-c2-02542.0130</t>
  </si>
  <si>
    <t>29-43-26-05-00090.0080</t>
  </si>
  <si>
    <t xml:space="preserve">1780 Us Highway 13 N  Gates, NC 27937-9591 </t>
  </si>
  <si>
    <t>Schilbrack</t>
  </si>
  <si>
    <t>Lehigh Acres E Pt Unit 14 Blk 79 Pb 26 Pg 19 Lot 10</t>
  </si>
  <si>
    <t xml:space="preserve">12250 SW 129th Ct #108 </t>
  </si>
  <si>
    <t>Dubhe</t>
  </si>
  <si>
    <t>33909-3326</t>
  </si>
  <si>
    <t xml:space="preserve">5221 Pineland Daisy Trl </t>
  </si>
  <si>
    <t>Alfida</t>
  </si>
  <si>
    <t>Cape Coral Unit 33 Blk 2249 Pb 16 Pg 58 Lots 20 + 21</t>
  </si>
  <si>
    <t>Phidd</t>
  </si>
  <si>
    <t>33909-6484</t>
  </si>
  <si>
    <t xml:space="preserve">3515 Ayrshire Cir  Melbourne, FL 32940-8604 </t>
  </si>
  <si>
    <t>Mariana Gaudry</t>
  </si>
  <si>
    <t>Daniel Mcshea</t>
  </si>
  <si>
    <t>Zunilda Duque</t>
  </si>
  <si>
    <t xml:space="preserve">635 Everdell Ave </t>
  </si>
  <si>
    <t xml:space="preserve">2020 NE 5th Pl </t>
  </si>
  <si>
    <t>05-44-24-c1-03542.0340</t>
  </si>
  <si>
    <t xml:space="preserve">1311 SE 35th Ter </t>
  </si>
  <si>
    <t xml:space="preserve">1400 NE 19th Ave  Cape Coral, FL 33909 </t>
  </si>
  <si>
    <t xml:space="preserve">1900 Muliner Ave </t>
  </si>
  <si>
    <t>01-44-23-c4-02444.0050</t>
  </si>
  <si>
    <t xml:space="preserve">3924 NE 9th Pl  Cape Coral, FL 33909 </t>
  </si>
  <si>
    <t xml:space="preserve">149 White Birch Rd </t>
  </si>
  <si>
    <t>Strater</t>
  </si>
  <si>
    <t xml:space="preserve">463 NE 5th Ave  Cape Coral, FL 33909 </t>
  </si>
  <si>
    <t xml:space="preserve">4421 Estates Rd </t>
  </si>
  <si>
    <t>Cape Coral Unit 17 Blk 1537 Pb 14 Pg 35 Lots 17 + 18</t>
  </si>
  <si>
    <t>Beach Lake</t>
  </si>
  <si>
    <t>Joseph &amp; Susan Truitt</t>
  </si>
  <si>
    <t>Zierhut</t>
  </si>
  <si>
    <t>02895-4306</t>
  </si>
  <si>
    <t>Jorge Rodriguez</t>
  </si>
  <si>
    <t xml:space="preserve">1710 Cornwallis Pkwy </t>
  </si>
  <si>
    <t>John &amp; Marcia Mccormack</t>
  </si>
  <si>
    <t>Brookstone</t>
  </si>
  <si>
    <t>Ahmad</t>
  </si>
  <si>
    <t xml:space="preserve">1924 NE 19th Ave  Cape Coral, FL 33909 </t>
  </si>
  <si>
    <t xml:space="preserve">1907 NE 23rd Ave  Cape Coral, FL 33909 </t>
  </si>
  <si>
    <t>01-44-23-c3-02459.0170</t>
  </si>
  <si>
    <t>Ezekiel</t>
  </si>
  <si>
    <t>B010</t>
  </si>
  <si>
    <t xml:space="preserve">9321 Buckingham Rd </t>
  </si>
  <si>
    <t>32-43-24-c3-02236.0420</t>
  </si>
  <si>
    <t>Wm &amp; Evelyn Hannum</t>
  </si>
  <si>
    <t xml:space="preserve">684 Sunnyside Ave  Norristown, PA 19403-1739 </t>
  </si>
  <si>
    <t xml:space="preserve">5032 Jericho Ave </t>
  </si>
  <si>
    <t>Anthony Longo</t>
  </si>
  <si>
    <t>Cape Coral Unit 34 Blk 2459 Pb 16 Pg 80 Lots 19 + 20</t>
  </si>
  <si>
    <t xml:space="preserve">37180 Rickard Ln  North Fort Myers, FL 33917-5929 </t>
  </si>
  <si>
    <t xml:space="preserve">6117 Holt Ct </t>
  </si>
  <si>
    <t>Cape Coral Unit 11 Blk 544 Pb 13 Pg 47 Lots 58 Thru 59</t>
  </si>
  <si>
    <t>17-43-24-c1-05819.0050</t>
  </si>
  <si>
    <t>33165-4305</t>
  </si>
  <si>
    <t>17-43-24-c2-05796.0320</t>
  </si>
  <si>
    <t xml:space="preserve">335 NE 16th Ter  Cape Coral, FL 33909 </t>
  </si>
  <si>
    <t xml:space="preserve">17229 Baraga Plains Rd </t>
  </si>
  <si>
    <t>Old Hanover</t>
  </si>
  <si>
    <t>33909-5261</t>
  </si>
  <si>
    <t xml:space="preserve">35 Trailside Cir  Saco, ME 04072-1663 </t>
  </si>
  <si>
    <t>Eyal</t>
  </si>
  <si>
    <t xml:space="preserve">3711 River Point Dr </t>
  </si>
  <si>
    <t xml:space="preserve">1622 NE 35th Ln </t>
  </si>
  <si>
    <t>18-43-24-c1-05686.0150</t>
  </si>
  <si>
    <t>Olin White</t>
  </si>
  <si>
    <t xml:space="preserve">6025 Thorpe Ave  Fort Myers, FL 33905 </t>
  </si>
  <si>
    <t xml:space="preserve">5150 Cypress Trail Resort Cir  Fort Myers, FL 33905 </t>
  </si>
  <si>
    <t xml:space="preserve">1427 Weeping Willow Ct  Cape Coral, FL 33909 </t>
  </si>
  <si>
    <t>18-43-24-c3-05712.0070</t>
  </si>
  <si>
    <t>Welland</t>
  </si>
  <si>
    <t>Douglas &amp; Janice Bobo</t>
  </si>
  <si>
    <t>08-44-24-c3-01512.0310</t>
  </si>
  <si>
    <t>La Veze</t>
  </si>
  <si>
    <t>Rahula</t>
  </si>
  <si>
    <t>Holiday Travel Park Rv Condo Ph 1 Or 1557 Pg 1583 Unit 283</t>
  </si>
  <si>
    <t>Cape Coral Unit 36 Pt 1 Blk 2476 Pb 23 Pg 89 Lots 42 Thru 44</t>
  </si>
  <si>
    <t xml:space="preserve">19681 Summerlin Rd #162, Fort Myers, FL 33908 </t>
  </si>
  <si>
    <t>Lutherville Timonium</t>
  </si>
  <si>
    <t xml:space="preserve">22 Balfrinstrasse </t>
  </si>
  <si>
    <t>01-45-23-c2-00432.0060</t>
  </si>
  <si>
    <t>Palmetto Palms Rv Resort Condo Ph 4 Or 1530 Pg 1466 Res Unit 406</t>
  </si>
  <si>
    <t xml:space="preserve">1524 NE 36th Ln </t>
  </si>
  <si>
    <t>33904-3978</t>
  </si>
  <si>
    <t>2n</t>
  </si>
  <si>
    <t xml:space="preserve">10380 Nightwood Dr </t>
  </si>
  <si>
    <t>11361-2793</t>
  </si>
  <si>
    <t>Cindy Nguyen</t>
  </si>
  <si>
    <t>Cheryl Rogers</t>
  </si>
  <si>
    <t xml:space="preserve">918 NE 34th St  Cape Coral, FL 33909 </t>
  </si>
  <si>
    <t>Robert Sercombe &amp; Mary Chase</t>
  </si>
  <si>
    <t>Ismael &amp; Manuela Torres</t>
  </si>
  <si>
    <t xml:space="preserve">1012 Nameoke St 1f </t>
  </si>
  <si>
    <t>C086</t>
  </si>
  <si>
    <t xml:space="preserve">1 Leibnizstr  Stadtbergen, DE 86391 </t>
  </si>
  <si>
    <t>BC</t>
  </si>
  <si>
    <t>Bottlebrush</t>
  </si>
  <si>
    <t>Cape Coral Unit 84 Blk 5559 Pb 24 Pg 33 Lots 5 + 6</t>
  </si>
  <si>
    <t xml:space="preserve">251 Ohio St #104, Pasadena, CA 91106-5410 </t>
  </si>
  <si>
    <t>Cape Coral Unit 88 Blk.5800 Pb 24 Pg 136 Lots 37 + 38</t>
  </si>
  <si>
    <t xml:space="preserve">1134 NE Juanita Pl </t>
  </si>
  <si>
    <t>Holly Springs</t>
  </si>
  <si>
    <t>Big Cypress</t>
  </si>
  <si>
    <t xml:space="preserve">314 NE 17th Pl  Cape Coral, FL 33909 </t>
  </si>
  <si>
    <t>Unhye</t>
  </si>
  <si>
    <t>33909-2691</t>
  </si>
  <si>
    <t>Cape Coral Unit 87 Blk 5682 Pb 24 Pg 74 Lots 31 + 32</t>
  </si>
  <si>
    <t>Beverly Barry</t>
  </si>
  <si>
    <t xml:space="preserve">6036 Jonathan Ave </t>
  </si>
  <si>
    <t>17-45-24-c1-00075.0960</t>
  </si>
  <si>
    <t xml:space="preserve">8018 Big Top Dr </t>
  </si>
  <si>
    <t xml:space="preserve">1910 Andalusia Blvd  Cape Coral, FL 33909 </t>
  </si>
  <si>
    <t>10003-5521</t>
  </si>
  <si>
    <t>Lemonville</t>
  </si>
  <si>
    <t xml:space="preserve">2808 NE 7th Pl </t>
  </si>
  <si>
    <t>27262-5017</t>
  </si>
  <si>
    <t>08062-9590</t>
  </si>
  <si>
    <t>San Borja Norte</t>
  </si>
  <si>
    <t>Sanchez Galiano &amp; Garmendia Hechavarria</t>
  </si>
  <si>
    <t xml:space="preserve">6014 Lindbrook Ave </t>
  </si>
  <si>
    <t xml:space="preserve">2302 NE 7th Ave  Cape Coral, FL 33909 </t>
  </si>
  <si>
    <t>Cape Coral Unit 84 Blk 5589 Pb 24 Pg 44 Lots 3 + 4</t>
  </si>
  <si>
    <t>32-43-24-c1-02227.0080</t>
  </si>
  <si>
    <t xml:space="preserve">842 Goff St  Nashville, TN 37208-1552 </t>
  </si>
  <si>
    <t xml:space="preserve">18w745 18th St </t>
  </si>
  <si>
    <t xml:space="preserve">3354 W Berteau Ave  Chicago, IL 60618-2306 </t>
  </si>
  <si>
    <t xml:space="preserve">7 Ernest Ave  Hyde Park, MA 02136-1910 </t>
  </si>
  <si>
    <t>Fate Anderson</t>
  </si>
  <si>
    <t>Danilo</t>
  </si>
  <si>
    <t xml:space="preserve">3300 N State Road 7 F501 </t>
  </si>
  <si>
    <t>33908-4548</t>
  </si>
  <si>
    <t xml:space="preserve">389a Portsmouth Dr </t>
  </si>
  <si>
    <t>25-44-24-p1-0350d.0060</t>
  </si>
  <si>
    <t xml:space="preserve">1401 NE 14th St  Cape Coral, FL 33909 </t>
  </si>
  <si>
    <t>Ruben Manriquez</t>
  </si>
  <si>
    <t>33909-6430</t>
  </si>
  <si>
    <t>Accident</t>
  </si>
  <si>
    <t xml:space="preserve">2048 NE 34th Ln </t>
  </si>
  <si>
    <t>Lawrence</t>
  </si>
  <si>
    <t xml:space="preserve">2180 Poinciana Blvd </t>
  </si>
  <si>
    <t xml:space="preserve">2616 NE 7th Pl  Cape Coral, FL 33909 </t>
  </si>
  <si>
    <t>Alisa</t>
  </si>
  <si>
    <t>Wilderness</t>
  </si>
  <si>
    <t xml:space="preserve">200 N 67th Ave  Hollywood, FL 33024-7502 </t>
  </si>
  <si>
    <t>Diplomat</t>
  </si>
  <si>
    <t xml:space="preserve">7 S Pond Rd </t>
  </si>
  <si>
    <t xml:space="preserve">834 NE 1st Pl </t>
  </si>
  <si>
    <t xml:space="preserve">4103 Carriage Dr H1 </t>
  </si>
  <si>
    <t xml:space="preserve">128 Diana Ave  Fort Myers, FL 33905 </t>
  </si>
  <si>
    <t xml:space="preserve">1/3/9 Dietmayrg </t>
  </si>
  <si>
    <t xml:space="preserve">5531 Winter Brook Dr </t>
  </si>
  <si>
    <t xml:space="preserve">1903 NE 23rd Pl  Cape Coral, FL 33909 </t>
  </si>
  <si>
    <t xml:space="preserve">178 Lodi St </t>
  </si>
  <si>
    <t>Peter Fotopoulos</t>
  </si>
  <si>
    <t xml:space="preserve">3509 NE 19th Pl  Cape Coral, FL 33909 </t>
  </si>
  <si>
    <t>33909-3375</t>
  </si>
  <si>
    <t>25-43-23-c2-02332.0280</t>
  </si>
  <si>
    <t>Lehigh Acres Unit 13 Blk 74 Pb 26 Pg 18 Lot 22</t>
  </si>
  <si>
    <t>Odiot</t>
  </si>
  <si>
    <t xml:space="preserve">40 Queen Mary St </t>
  </si>
  <si>
    <t>Cape Coral Unit 34 Blk 2054 Pb 16 Pg 80 Lots 20 21 + 22</t>
  </si>
  <si>
    <t>Lissette</t>
  </si>
  <si>
    <t xml:space="preserve">10979 Innisbrooke Ln  Fishers, IN 46037-8815 </t>
  </si>
  <si>
    <t>07920-2754</t>
  </si>
  <si>
    <t>Monique</t>
  </si>
  <si>
    <t>Abalone</t>
  </si>
  <si>
    <t>Carlos &amp; Dina Heredia</t>
  </si>
  <si>
    <t xml:space="preserve">1426 NE 33rd Ter </t>
  </si>
  <si>
    <t>Bachert</t>
  </si>
  <si>
    <t>Black</t>
  </si>
  <si>
    <t xml:space="preserve">348 Greylock Pkwy </t>
  </si>
  <si>
    <t>55345-2831</t>
  </si>
  <si>
    <t>Robert &amp; Gail Malt</t>
  </si>
  <si>
    <t>Lehigh Acres Unit 4 Blk 21 Pb 26 Pg 6 Lot 8</t>
  </si>
  <si>
    <t xml:space="preserve">2004 NE 1st Pl </t>
  </si>
  <si>
    <t>Cape Coral Unit 36 Blk 2316 Pb 16 Pg 126 Lots 19 + 20</t>
  </si>
  <si>
    <t>Savina</t>
  </si>
  <si>
    <t xml:space="preserve">650 Ocean Ave #106 </t>
  </si>
  <si>
    <t xml:space="preserve">9560 SW 107th Ave #202, Miami, FL 33176-2790 </t>
  </si>
  <si>
    <t xml:space="preserve">3805 Heyburn St  Fort Myers, FL 33905 </t>
  </si>
  <si>
    <t xml:space="preserve">12830 W Burleigh Rd </t>
  </si>
  <si>
    <t>06470-1468</t>
  </si>
  <si>
    <t>33909-0702</t>
  </si>
  <si>
    <t xml:space="preserve">1813 NE 35th St </t>
  </si>
  <si>
    <t xml:space="preserve">4105 NE 9th Pl </t>
  </si>
  <si>
    <t>Nancy Thomas</t>
  </si>
  <si>
    <t>Cape Coral Unit 36 Blk 2306 Pb 16 Pg 123 Lots 37 + 38</t>
  </si>
  <si>
    <t>33498-6338</t>
  </si>
  <si>
    <t>CN</t>
  </si>
  <si>
    <t>Cape Coral Unit 84 Blk 5604 Pb 24 Pg 42 Lots 37 + 38</t>
  </si>
  <si>
    <t xml:space="preserve">1585 Mullet Ln </t>
  </si>
  <si>
    <t>33909-4348</t>
  </si>
  <si>
    <t>Cape Coral Unit 85 Blk 5633 Pb 24 Pg 51 Lot 56</t>
  </si>
  <si>
    <t>01-44-23-c2-02426.025a</t>
  </si>
  <si>
    <t>33239-8748</t>
  </si>
  <si>
    <t>33908-3325</t>
  </si>
  <si>
    <t xml:space="preserve">423 NE 20th St  Cape Coral, FL 33909 </t>
  </si>
  <si>
    <t>Lehigh Acres E Pt Unit 1 Blk 6 Pb 26 Pg 3 Lot 16</t>
  </si>
  <si>
    <t xml:space="preserve">1611 NE 36th Ln </t>
  </si>
  <si>
    <t>105th</t>
  </si>
  <si>
    <t xml:space="preserve">1313 NE 33rd Ln  Cape Coral, FL 33909 </t>
  </si>
  <si>
    <t>11-44-25-05-0000c.0520</t>
  </si>
  <si>
    <t>Howes</t>
  </si>
  <si>
    <t xml:space="preserve">4392 W 117th Way  Westminster, CO 80031-5104 </t>
  </si>
  <si>
    <t xml:space="preserve">2626 Shriver Dr </t>
  </si>
  <si>
    <t xml:space="preserve">5214 Marsh Mallow Trl </t>
  </si>
  <si>
    <t>Cape Coral Unit 87 Blk 5725 Pb 24 Pg 81 Lots 7 + 8</t>
  </si>
  <si>
    <t>Helmut &amp; Edith Schumann</t>
  </si>
  <si>
    <t>Laurina</t>
  </si>
  <si>
    <t>Silcock</t>
  </si>
  <si>
    <t>03-44-24-10-00000.024a</t>
  </si>
  <si>
    <t xml:space="preserve">3601 NE 17th Ave </t>
  </si>
  <si>
    <t xml:space="preserve">6 Square Arthur Ridbaud  Cholet, FR </t>
  </si>
  <si>
    <t>Sybil</t>
  </si>
  <si>
    <t>Boxwood</t>
  </si>
  <si>
    <t>Colette Trudelle</t>
  </si>
  <si>
    <t>Cape Coral Unit 87 Blk 5729 Pb 24 Pg 87 Lots 82 + 83</t>
  </si>
  <si>
    <t>2632railsi</t>
  </si>
  <si>
    <t xml:space="preserve">20 Westview St </t>
  </si>
  <si>
    <t xml:space="preserve">507 NE 17th Ter </t>
  </si>
  <si>
    <t>Yuri</t>
  </si>
  <si>
    <t>33312-3313</t>
  </si>
  <si>
    <t>George Pattison</t>
  </si>
  <si>
    <t>Deshane</t>
  </si>
  <si>
    <t xml:space="preserve">601 S Washington St #516, Seattle, WA 98104-3702 </t>
  </si>
  <si>
    <t xml:space="preserve">6670 School Ln  Fort Myers, FL 33905 </t>
  </si>
  <si>
    <t>Cape Coral Unit 33 Blk.2229 Pb 16 Pg 47 Lots 32 + 33</t>
  </si>
  <si>
    <t>Lyon</t>
  </si>
  <si>
    <t xml:space="preserve">13738 SW 157th Ter  Miami, FL 33177-1275 </t>
  </si>
  <si>
    <t xml:space="preserve">39332 Wilford St </t>
  </si>
  <si>
    <t>Cedardale</t>
  </si>
  <si>
    <t>Mccann</t>
  </si>
  <si>
    <t xml:space="preserve">618 SE 33rd Ter  Cape Coral, FL 33904 </t>
  </si>
  <si>
    <t xml:space="preserve">1418 NE 16th Pl  Cape Coral, FL 33909 </t>
  </si>
  <si>
    <t xml:space="preserve">2600 W Sunrise Lakes Dr #312 </t>
  </si>
  <si>
    <t>Elpine</t>
  </si>
  <si>
    <t>Christy</t>
  </si>
  <si>
    <t xml:space="preserve">Calle Rivas Davila #137, Aragua, VE </t>
  </si>
  <si>
    <t>C032</t>
  </si>
  <si>
    <t xml:space="preserve">4618 SE 20th Pl </t>
  </si>
  <si>
    <t>17-43-24-c1-05823.0280</t>
  </si>
  <si>
    <t xml:space="preserve">3570 NE 8th Pl  Cape Coral, FL 33909 </t>
  </si>
  <si>
    <t>63040-1684</t>
  </si>
  <si>
    <t>Gaspar</t>
  </si>
  <si>
    <t>Cape Coral Unit 34 Blk 2463 Pb 16 Pg 84 Lots 38 + 39</t>
  </si>
  <si>
    <t xml:space="preserve">15018 10th Ave </t>
  </si>
  <si>
    <t>Cape Coral Unit 35 Blk 2380 Pb 16 Pg 106 Lots 41 + 42</t>
  </si>
  <si>
    <t>Terrance &amp; Robin Karda</t>
  </si>
  <si>
    <t xml:space="preserve">111 Westmar Dr  Rochester, NY 14624-2537 </t>
  </si>
  <si>
    <t>44820-9595</t>
  </si>
  <si>
    <t>51201-2017</t>
  </si>
  <si>
    <t>33903-4351</t>
  </si>
  <si>
    <t>Matthias Kemmer &amp; Simone Hoefer</t>
  </si>
  <si>
    <t>Guy &amp; Augusta Brognano</t>
  </si>
  <si>
    <t>12563-2228</t>
  </si>
  <si>
    <t xml:space="preserve">2135 NE 34th Ln </t>
  </si>
  <si>
    <t>33909-6283</t>
  </si>
  <si>
    <t>17-43-24-c4-05762.0090</t>
  </si>
  <si>
    <t>36-43-23-c3-02146.0040</t>
  </si>
  <si>
    <t>Dolores Lowe &amp; Hudson Herbert</t>
  </si>
  <si>
    <t>Robinhood</t>
  </si>
  <si>
    <t>Michael Plambeck</t>
  </si>
  <si>
    <t>Victory</t>
  </si>
  <si>
    <t>Zommer</t>
  </si>
  <si>
    <t>South Barre</t>
  </si>
  <si>
    <t>GB</t>
  </si>
  <si>
    <t xml:space="preserve">703 Kismet Pkwy E  Cape Coral, FL 33909 </t>
  </si>
  <si>
    <t xml:space="preserve">4945 S Tempe Way </t>
  </si>
  <si>
    <t>02062-1344</t>
  </si>
  <si>
    <t xml:space="preserve">3243 Andalusia Blvd  Cape Coral, FL 33909 </t>
  </si>
  <si>
    <t xml:space="preserve">3805 Johnson St </t>
  </si>
  <si>
    <t>Dell</t>
  </si>
  <si>
    <t>Valeria</t>
  </si>
  <si>
    <t xml:space="preserve">102 NE 12th Ter </t>
  </si>
  <si>
    <t xml:space="preserve">10 Sturbridge Ct </t>
  </si>
  <si>
    <t>Patsy Hajcak</t>
  </si>
  <si>
    <t xml:space="preserve">1511 NE 18th St  Cape Coral, FL 33909 </t>
  </si>
  <si>
    <t>Paula Gigliotti</t>
  </si>
  <si>
    <t xml:space="preserve">6450 W Berteau Ave #309, Chicago, IL 60634-6243 </t>
  </si>
  <si>
    <t>Stanley Garlepied</t>
  </si>
  <si>
    <t>18-43-24-c4-05579.0230</t>
  </si>
  <si>
    <t xml:space="preserve">1305 NE 36th Ln </t>
  </si>
  <si>
    <t xml:space="preserve">2519 NE 5th Pl </t>
  </si>
  <si>
    <t xml:space="preserve">2002 Durden Pkwy  Cape Coral, FL 33909 </t>
  </si>
  <si>
    <t xml:space="preserve">2619 Hc 1 </t>
  </si>
  <si>
    <t>Aguado</t>
  </si>
  <si>
    <t xml:space="preserve">752 Pine Vale Dr  Naples, FL 34104-5435 </t>
  </si>
  <si>
    <t xml:space="preserve">6047 Joplin Ave  Fort Myers, FL 33905 </t>
  </si>
  <si>
    <t>17-43-24-c4-05761.0040</t>
  </si>
  <si>
    <t>Randolph Fossum</t>
  </si>
  <si>
    <t>33905-3435</t>
  </si>
  <si>
    <t xml:space="preserve">2104 NE 13th Ln </t>
  </si>
  <si>
    <t xml:space="preserve">3000 Allenby Dr  Raleigh, NC 27604-5802 </t>
  </si>
  <si>
    <t xml:space="preserve">18101 Country Rd #86, Esparto, CA 95627 </t>
  </si>
  <si>
    <t xml:space="preserve">1624 NE 7th Ave  Cape Coral, FL 33909 </t>
  </si>
  <si>
    <t xml:space="preserve">5219 Pineland Daisy Trl  Fort Myers, FL 33905 </t>
  </si>
  <si>
    <t>36-43-23-c3-02478.0170</t>
  </si>
  <si>
    <t>Cape Coral Unit 36 Blk 2294 Pb 16 Pg 120 Lots 9 + 10</t>
  </si>
  <si>
    <t xml:space="preserve">769 Curran Rd </t>
  </si>
  <si>
    <t>Cape Coral Unit 88 Blk 5783 Pb 24 Pg 132 Lots 56 + 57</t>
  </si>
  <si>
    <t>19438-3081</t>
  </si>
  <si>
    <t xml:space="preserve">8551 Buckingham Rd  Fort Myers, FL 33905 </t>
  </si>
  <si>
    <t>Quail</t>
  </si>
  <si>
    <t>N2K 3N5</t>
  </si>
  <si>
    <t>Ramsey</t>
  </si>
  <si>
    <t xml:space="preserve">5224 Pineland Daisy Trl  Fort Myers, FL 33905 </t>
  </si>
  <si>
    <t>Landing</t>
  </si>
  <si>
    <t xml:space="preserve">823 NE 34th Ter  Cape Coral, FL 33909 </t>
  </si>
  <si>
    <t>32-43-24-c1-02179.0340</t>
  </si>
  <si>
    <t>25-43-23-c3-02341.0190</t>
  </si>
  <si>
    <t>63141-7601</t>
  </si>
  <si>
    <t xml:space="preserve">1620 NE 2nd Ave  Cape Coral, FL 33909 </t>
  </si>
  <si>
    <t>158th</t>
  </si>
  <si>
    <t>Balram</t>
  </si>
  <si>
    <t xml:space="preserve">2214 NE 13th Ave  Cape Coral, FL 33909 </t>
  </si>
  <si>
    <t>Cape Coral Unit 47 Pt 2 Blk 3529 Pb 23 Pg 121 Lots 21 Thru 23</t>
  </si>
  <si>
    <t>Gregory Starkey</t>
  </si>
  <si>
    <t>23666-5331</t>
  </si>
  <si>
    <t>Lehigh Acres Unit 9 Blk 41 Pb 26 Pg 11 Lot 20</t>
  </si>
  <si>
    <t xml:space="preserve">825 Pine St  Tarpon Springs, FL 34689-5902 </t>
  </si>
  <si>
    <t>20-43-24-c1-05605.0330</t>
  </si>
  <si>
    <t>Nytko</t>
  </si>
  <si>
    <t>Cape Coral Unit 33 Blk 2229 Pb 16 Pg 47 Lots 49 + 50</t>
  </si>
  <si>
    <t xml:space="preserve">2104 NE 22nd Ave </t>
  </si>
  <si>
    <t>20-43-24-c2-05668.0630</t>
  </si>
  <si>
    <t xml:space="preserve">2888 Aspen Lake Dr NE #300, Minneapolis, MN 55449-7507 </t>
  </si>
  <si>
    <t>Ontario</t>
  </si>
  <si>
    <t xml:space="preserve">3206 Wisconsin Ave </t>
  </si>
  <si>
    <t xml:space="preserve">511 Diplomat Pkwy E </t>
  </si>
  <si>
    <t>Juliana &amp; Katarina Lutz</t>
  </si>
  <si>
    <t>12-44-23-c2-02362.0070</t>
  </si>
  <si>
    <t>25-43-23-c2-02318.0270</t>
  </si>
  <si>
    <t>Rojek</t>
  </si>
  <si>
    <t>33909-7452</t>
  </si>
  <si>
    <t xml:space="preserve">1913 NE 17th Ter </t>
  </si>
  <si>
    <t>Graciela</t>
  </si>
  <si>
    <t>Patrigna</t>
  </si>
  <si>
    <t xml:space="preserve">9677 Sessions Rd </t>
  </si>
  <si>
    <t>Krystal Gomez</t>
  </si>
  <si>
    <t xml:space="preserve">213 Sun Cir </t>
  </si>
  <si>
    <t>Fredis Velasquez</t>
  </si>
  <si>
    <t>Cd George Trust</t>
  </si>
  <si>
    <t>Pomann</t>
  </si>
  <si>
    <t>33909-1239</t>
  </si>
  <si>
    <t>Sayegh</t>
  </si>
  <si>
    <t>33905-2212</t>
  </si>
  <si>
    <t xml:space="preserve">1300 SE 4th Ave #1 </t>
  </si>
  <si>
    <t xml:space="preserve">3314 Giles Pl </t>
  </si>
  <si>
    <t>11763-2614</t>
  </si>
  <si>
    <t xml:space="preserve">27 Ulrich Rd </t>
  </si>
  <si>
    <t>Cape Coral Unit 87 Blk 5703 Pb 24 Pg 72 Lots 35 + 36</t>
  </si>
  <si>
    <t>Jacqueline Soler</t>
  </si>
  <si>
    <t xml:space="preserve">2102 NE 26th St  Cape Coral, FL 33909 </t>
  </si>
  <si>
    <t xml:space="preserve">1106 NE 32nd St </t>
  </si>
  <si>
    <t>08019-2221</t>
  </si>
  <si>
    <t>Cape Coral Unit 33 Blk 2238 Pb 16 Pg 52 Lots 35 + 36</t>
  </si>
  <si>
    <t>02635-2633</t>
  </si>
  <si>
    <t xml:space="preserve">3806 W Gator Cir  Cape Coral, FL 33909 </t>
  </si>
  <si>
    <t>11-44-25-l1-13000.1090</t>
  </si>
  <si>
    <t>Jo Steuwe</t>
  </si>
  <si>
    <t xml:space="preserve">18w745 18th St  Lombard, IL 60148-5075 </t>
  </si>
  <si>
    <t>Hinson Leota Tr</t>
  </si>
  <si>
    <t>Glen Cove</t>
  </si>
  <si>
    <t>07094-4120</t>
  </si>
  <si>
    <t>Joseph Nigro</t>
  </si>
  <si>
    <t xml:space="preserve">1719 NE 10th Ave  Cape Coral, FL 33909 </t>
  </si>
  <si>
    <t xml:space="preserve">4007 NE 9th Ave  Cape Coral, FL 33909 </t>
  </si>
  <si>
    <t>Costa</t>
  </si>
  <si>
    <t xml:space="preserve">18539 SW 12th St </t>
  </si>
  <si>
    <t>Tide Marsh As Desc In Instrument 2021000273072 Lot 28</t>
  </si>
  <si>
    <t xml:space="preserve">1222 Silver Perch Ave </t>
  </si>
  <si>
    <t>Jose &amp; Stella Evangelista</t>
  </si>
  <si>
    <t xml:space="preserve">103 Beecher Rd  North Babylon, NY 11703-3928 </t>
  </si>
  <si>
    <t xml:space="preserve">2021 NE 1st Pl </t>
  </si>
  <si>
    <t>Branavan</t>
  </si>
  <si>
    <t>20155-4832</t>
  </si>
  <si>
    <t>16-44-26-05-00007.0280</t>
  </si>
  <si>
    <t>Guillermo</t>
  </si>
  <si>
    <t xml:space="preserve">10309 Nightwood Dr  Fort Myers, FL 33905 </t>
  </si>
  <si>
    <t>34986-3043</t>
  </si>
  <si>
    <t>Horace Earle</t>
  </si>
  <si>
    <t>Cape Coral Unit 36 Blk 2312 Pb 16 Pg 127 Lots 31 + 32</t>
  </si>
  <si>
    <t>33186-6380</t>
  </si>
  <si>
    <t>35071-2857</t>
  </si>
  <si>
    <t xml:space="preserve">1481 Henderson Rd  Chesnee, SC 29323-9318 </t>
  </si>
  <si>
    <t>Riko</t>
  </si>
  <si>
    <t>11-44-25-04-0000a.0240</t>
  </si>
  <si>
    <t xml:space="preserve">71 Oakland St </t>
  </si>
  <si>
    <t>33909-8910</t>
  </si>
  <si>
    <t>Rishkovoy</t>
  </si>
  <si>
    <t>34113-7681</t>
  </si>
  <si>
    <t>03743-4538</t>
  </si>
  <si>
    <t>C081</t>
  </si>
  <si>
    <t>18-43-24-c4-05701.0430</t>
  </si>
  <si>
    <t xml:space="preserve">54089 Rienas Ln  Shelby Township, MI 48315-1221 </t>
  </si>
  <si>
    <t>R109</t>
  </si>
  <si>
    <t>Hc 1</t>
  </si>
  <si>
    <t>07032-2017</t>
  </si>
  <si>
    <t xml:space="preserve">161 Terhune Ave  Jersey City, NJ 07305-2046 </t>
  </si>
  <si>
    <t>Kennesaw</t>
  </si>
  <si>
    <t>Ciriaco</t>
  </si>
  <si>
    <t>Cypress Trail Rv Resort Ph 4-B As Desc In Inst# 2017000057565 Lot 307</t>
  </si>
  <si>
    <t>03052-8019</t>
  </si>
  <si>
    <t>Cypress Woods Rv Resort Desc In Inst#2006-358211 Lot 146</t>
  </si>
  <si>
    <t>Zeeshan Afzal</t>
  </si>
  <si>
    <t xml:space="preserve">419 NE 31st Ter  Cape Coral, FL 33909 </t>
  </si>
  <si>
    <t>33904-4946</t>
  </si>
  <si>
    <t xml:space="preserve">921 NE 11th Ter  Cape Coral, FL 33909 </t>
  </si>
  <si>
    <t>34215-2566</t>
  </si>
  <si>
    <t>Argyle</t>
  </si>
  <si>
    <t xml:space="preserve">218 Bostick Rd  Bowling Green, FL 33834-4037 </t>
  </si>
  <si>
    <t>Cape Coral Unit 88 Blk 5782 Pb 24 Pg 132 Lots 32 + 33</t>
  </si>
  <si>
    <t>Cape Coral Unit 84 Blk 5593 Pb 24 Pg 44 Lots 54 + 55</t>
  </si>
  <si>
    <t xml:space="preserve">5265 Cypress Trail Resort Cir  Fort Myers, FL 33905 </t>
  </si>
  <si>
    <t>Cape Coral Unit 85 Blk 5635 Pb 24 Pg 50 Lots 45 + 46</t>
  </si>
  <si>
    <t>Lehigh Acres Unit 3 Blk 12 Pb 26 Pg 5 Lot 5</t>
  </si>
  <si>
    <t>Cape Coral Unit 33 Blk 2279 Pb 16 Pg 61 Lots 32 + 33</t>
  </si>
  <si>
    <t xml:space="preserve">955 W Tropicana Ct  Kissimmee, FL 34741-1022 </t>
  </si>
  <si>
    <t>Peterson Russell E Tr</t>
  </si>
  <si>
    <t xml:space="preserve">1013 NE 12th Ter </t>
  </si>
  <si>
    <t>36-43-23-c4-02513.0420</t>
  </si>
  <si>
    <t>91006-2817</t>
  </si>
  <si>
    <t>Schaumburg</t>
  </si>
  <si>
    <t>Dos</t>
  </si>
  <si>
    <t>47906-1544</t>
  </si>
  <si>
    <t>Lana</t>
  </si>
  <si>
    <t>11-44-25-08-00000.1770</t>
  </si>
  <si>
    <t>19-43-24-c1-05550.0030</t>
  </si>
  <si>
    <t>32-43-24-c1-02182.0770</t>
  </si>
  <si>
    <t>18-43-24-c2-05729.0820</t>
  </si>
  <si>
    <t xml:space="preserve">1711 NE 44th Ter  Cape Coral, FL 33909 </t>
  </si>
  <si>
    <t>18-43-24-c3-05747.0220</t>
  </si>
  <si>
    <t xml:space="preserve">1026 Anclote Dr  Tarpon Springs, FL 34689-2015 </t>
  </si>
  <si>
    <t>44889-9555</t>
  </si>
  <si>
    <t>85206-5051</t>
  </si>
  <si>
    <t xml:space="preserve">3860 Highlight St  Fort Myers, FL 33905 </t>
  </si>
  <si>
    <t xml:space="preserve">4108 NE 15th Ave  Cape Coral, FL 33909 </t>
  </si>
  <si>
    <t>16-44-26-05-00008.0080</t>
  </si>
  <si>
    <t>Nate Dewsnup</t>
  </si>
  <si>
    <t>57108-2238</t>
  </si>
  <si>
    <t>Cypress Woods Rv Resort Ut 1 Pb 65 Pg 85 + 86 Blk B Lot 70</t>
  </si>
  <si>
    <t>53126-9641</t>
  </si>
  <si>
    <t>33909-6828</t>
  </si>
  <si>
    <t>Run</t>
  </si>
  <si>
    <t>Calvelo</t>
  </si>
  <si>
    <t>32-43-24-c2-02188.0250</t>
  </si>
  <si>
    <t>Congress</t>
  </si>
  <si>
    <t>34-43-24-01-00039.0170</t>
  </si>
  <si>
    <t xml:space="preserve">505 NE 25th Ave  Cape Coral, FL 33909 </t>
  </si>
  <si>
    <t>Kindle</t>
  </si>
  <si>
    <t xml:space="preserve">1121 Labelle Vista Dr </t>
  </si>
  <si>
    <t>Dennis &amp; Judith Mcomber</t>
  </si>
  <si>
    <t xml:space="preserve">1900 NE 1st Pl </t>
  </si>
  <si>
    <t xml:space="preserve">9806 Emnora Ln </t>
  </si>
  <si>
    <t>Harry &amp; Sylvia Tracy</t>
  </si>
  <si>
    <t>San Luis Obispo</t>
  </si>
  <si>
    <t xml:space="preserve">4143 NE 9th Ave  Cape Coral, FL 33909 </t>
  </si>
  <si>
    <t>34117-4719</t>
  </si>
  <si>
    <t>Nason</t>
  </si>
  <si>
    <t>Nunez</t>
  </si>
  <si>
    <t>06-44-24-c2-02076.0510</t>
  </si>
  <si>
    <t>Liana Pasquale &amp; Liana For</t>
  </si>
  <si>
    <t xml:space="preserve">1029 29th St  Moline, IL 61265-2352 </t>
  </si>
  <si>
    <t xml:space="preserve">330 NE 10th Ter </t>
  </si>
  <si>
    <t xml:space="preserve">1121 NE 32nd Ter </t>
  </si>
  <si>
    <t xml:space="preserve">33 Universal Ter </t>
  </si>
  <si>
    <t>Pimmit Hills</t>
  </si>
  <si>
    <t>33909-4632</t>
  </si>
  <si>
    <t xml:space="preserve">275 Ocean Ave #11, Brooklyn, NY 11225-5522 </t>
  </si>
  <si>
    <t xml:space="preserve">306 Falcongate Dr  Monmouth Junction, NJ 08852-2337 </t>
  </si>
  <si>
    <t>55113-6638</t>
  </si>
  <si>
    <t xml:space="preserve">5125 Oxford Dr  Sarasota, FL 34242-1409 </t>
  </si>
  <si>
    <t>Emanuel &amp; Mary Lanzon</t>
  </si>
  <si>
    <t xml:space="preserve">Spocker Weg 35 Pl  Eggenstein, DE 76344 </t>
  </si>
  <si>
    <t>Sandown</t>
  </si>
  <si>
    <t xml:space="preserve">PO Box 186  Allegany, NY 14706 </t>
  </si>
  <si>
    <t>227th</t>
  </si>
  <si>
    <t>Gary Paull</t>
  </si>
  <si>
    <t xml:space="preserve">24301 SW 192nd Ave </t>
  </si>
  <si>
    <t>Lindsay</t>
  </si>
  <si>
    <t>33909-4343</t>
  </si>
  <si>
    <t>R T R &amp; Kathleen Hagkull</t>
  </si>
  <si>
    <t>44145-3219</t>
  </si>
  <si>
    <t>John &amp; Lori Shambaugh</t>
  </si>
  <si>
    <t>Lehigh Acres Unit 13 E 1/2 Blk 70 Pb 26 Pg 17 Lot 8</t>
  </si>
  <si>
    <t>Menio</t>
  </si>
  <si>
    <t xml:space="preserve">3018 NE 7th Ave  Cape Coral, FL 33909 </t>
  </si>
  <si>
    <t>33908-3320</t>
  </si>
  <si>
    <t>Ocean Isle Beach</t>
  </si>
  <si>
    <t>Eric &amp; Stephanie Anzelc</t>
  </si>
  <si>
    <t>25-43-23-c2-02351.0320</t>
  </si>
  <si>
    <t xml:space="preserve">1619 NE 36th Ter </t>
  </si>
  <si>
    <t xml:space="preserve">1912 NE 4th Ave </t>
  </si>
  <si>
    <t>Lake Harbor</t>
  </si>
  <si>
    <t>Cypress Trail Rv Resort Ph 3 As Desc In Inst# 2015000085552 Lot 235</t>
  </si>
  <si>
    <t>02631-2404</t>
  </si>
  <si>
    <t xml:space="preserve">1418 5th St  West Babylon, NY 11704-4540 </t>
  </si>
  <si>
    <t>Hunter</t>
  </si>
  <si>
    <t>Keith B Soltese &amp; Kathleen Soltese</t>
  </si>
  <si>
    <t>Magruder Ofelia A Tr</t>
  </si>
  <si>
    <t>Clos Aubry Le Bordes</t>
  </si>
  <si>
    <t>31-43-24-c4-02105.0030</t>
  </si>
  <si>
    <t>33304-4503</t>
  </si>
  <si>
    <t xml:space="preserve">1621 Edith Esplanade </t>
  </si>
  <si>
    <t>Adonai</t>
  </si>
  <si>
    <t xml:space="preserve">5657 Brightwood Dr </t>
  </si>
  <si>
    <t>Croce</t>
  </si>
  <si>
    <t xml:space="preserve">5205 Marsh Mallow Trl  Fort Myers, FL 33905 </t>
  </si>
  <si>
    <t xml:space="preserve">Po Box 470229 </t>
  </si>
  <si>
    <t>Cape Coral Unit 46 Blk 3593 Pb 17 Pg 123 Lots 17 + 18</t>
  </si>
  <si>
    <t>PO Box 186</t>
  </si>
  <si>
    <t xml:space="preserve">43 Vinton Rd </t>
  </si>
  <si>
    <t>Cape Coral Unit 32 Blk 2138 Pb 16 Pg 9 Lots 19 + 20</t>
  </si>
  <si>
    <t xml:space="preserve"> Theziers, FR </t>
  </si>
  <si>
    <t xml:space="preserve">4029 NE 9th Pl  Cape Coral, FL 33909 </t>
  </si>
  <si>
    <t>33543-3941</t>
  </si>
  <si>
    <t>63348-1059</t>
  </si>
  <si>
    <t xml:space="preserve">2624 NE 22nd Pl  Cape Coral, FL 33909 </t>
  </si>
  <si>
    <t>33909-5316</t>
  </si>
  <si>
    <t>02777-4708</t>
  </si>
  <si>
    <t xml:space="preserve">3857 Heyburn St  Fort Myers, FL 33905 </t>
  </si>
  <si>
    <t xml:space="preserve">38 Clubhouse Dr  Cromwell, CT 06416-2562 </t>
  </si>
  <si>
    <t>Holstein</t>
  </si>
  <si>
    <t xml:space="preserve">1955 Mendocino St </t>
  </si>
  <si>
    <t xml:space="preserve">824 Vogiantzis Pkwy </t>
  </si>
  <si>
    <t>33905-3523</t>
  </si>
  <si>
    <t xml:space="preserve">5201 Skylark Ct </t>
  </si>
  <si>
    <t>75424-2373</t>
  </si>
  <si>
    <t>Fox Crest</t>
  </si>
  <si>
    <t>Cape Coral Unit 36 Blk 2340 Pb 16 Pg 127 Lots 41 + 42</t>
  </si>
  <si>
    <t>Herson</t>
  </si>
  <si>
    <t>Palmetto Estates</t>
  </si>
  <si>
    <t>Somers</t>
  </si>
  <si>
    <t xml:space="preserve">547 Brookfield Dr </t>
  </si>
  <si>
    <t>Siscoe Linda K Tr</t>
  </si>
  <si>
    <t xml:space="preserve">5226 Marsh Mallow Trl  Fort Myers, FL 33905 </t>
  </si>
  <si>
    <t>17-43-24-c1-05739.0100</t>
  </si>
  <si>
    <t>Abarca</t>
  </si>
  <si>
    <t>L5R 1T9</t>
  </si>
  <si>
    <t>Britton</t>
  </si>
  <si>
    <t xml:space="preserve">11856 Big Canoe </t>
  </si>
  <si>
    <t xml:space="preserve">4244 NE 17th Ave  Cape Coral, FL 33909 </t>
  </si>
  <si>
    <t xml:space="preserve">2325 NE 43rd Ln </t>
  </si>
  <si>
    <t xml:space="preserve">PO Box 9768  Naples, FL 34101-9768 </t>
  </si>
  <si>
    <t xml:space="preserve">6138 Hutton Ct </t>
  </si>
  <si>
    <t xml:space="preserve">63 Coley St  Woodbridge, NJ 07095-2826 </t>
  </si>
  <si>
    <t>11-44-25-06-0000d.0740</t>
  </si>
  <si>
    <t>Peggy &amp; Lonnie Sochor</t>
  </si>
  <si>
    <t>33065-4652</t>
  </si>
  <si>
    <t>Lehigh Acres Unit 12 Blk 67 Pb 26 Pg 15 Lot 2</t>
  </si>
  <si>
    <t>33909-3120</t>
  </si>
  <si>
    <t xml:space="preserve">1910 NE 10th Pl  Cape Coral, FL 33909 </t>
  </si>
  <si>
    <t>Beg Se Cor Ne 1/4 Of Nw 1/4 N 90 Ft W 210 Ft S 90 Ft E To Pob</t>
  </si>
  <si>
    <t>Lehigh Acres Unit 11 Blk 58 Pb 26 Pg 14 Lot 8</t>
  </si>
  <si>
    <t>James &amp; Carol Snyder</t>
  </si>
  <si>
    <t xml:space="preserve">1925 NE 16th Pl  Cape Coral, FL 33909 </t>
  </si>
  <si>
    <t>2rs</t>
  </si>
  <si>
    <t xml:space="preserve">1660 Apollo Way </t>
  </si>
  <si>
    <t>Claudette</t>
  </si>
  <si>
    <t>Nancy Davis &amp; Imogene Williams</t>
  </si>
  <si>
    <t xml:space="preserve">101 NE 19th Ter </t>
  </si>
  <si>
    <t>Cape Coral Unit 9 Blk 259 Pb 13 Pg 10 Lot 26</t>
  </si>
  <si>
    <t>Cypress Trail Rv Resort Phase 2-A As Desc In Inst# 2014000026506 Lot 170</t>
  </si>
  <si>
    <t>Lazaro Catalan &amp; Maria Gutierrez</t>
  </si>
  <si>
    <t>Suzhen</t>
  </si>
  <si>
    <t>Miji</t>
  </si>
  <si>
    <t>43452-2906</t>
  </si>
  <si>
    <t>92nd</t>
  </si>
  <si>
    <t xml:space="preserve">1202 NW 141st Ave  Pembroke Pines, FL 33028-2367 </t>
  </si>
  <si>
    <t>R158</t>
  </si>
  <si>
    <t xml:space="preserve">147 N 2350 east Rd </t>
  </si>
  <si>
    <t xml:space="preserve">2711 NE 1st Pl </t>
  </si>
  <si>
    <t xml:space="preserve">7708 Richard St </t>
  </si>
  <si>
    <t xml:space="preserve">323 NE 19th Ter  Cape Coral, FL 33909 </t>
  </si>
  <si>
    <t>Deerfield</t>
  </si>
  <si>
    <t>Cape Coral Unit 36 Blk 2350 Pb 16 Pg 128 Lots 31 + 32</t>
  </si>
  <si>
    <t>Eddy &amp; Fanny Haroun</t>
  </si>
  <si>
    <t xml:space="preserve">202 Lake Placid Dr </t>
  </si>
  <si>
    <t>Cape Coral Unit 17 Pt 1 Blk 1545 Pb 23 Pg 4 Lots 43 + 44</t>
  </si>
  <si>
    <t xml:space="preserve">242 SW Eyerly Ave  Port Saint Lucie, FL 34983-2582 </t>
  </si>
  <si>
    <t>10023-2502</t>
  </si>
  <si>
    <t xml:space="preserve">3735 Trent St  Fort Myers, FL 33905 </t>
  </si>
  <si>
    <t>Southeast</t>
  </si>
  <si>
    <t>Joseph &amp; Joseph Guinta</t>
  </si>
  <si>
    <t>Mcphee</t>
  </si>
  <si>
    <t>Schoten</t>
  </si>
  <si>
    <t xml:space="preserve">3704 Stagg Ct </t>
  </si>
  <si>
    <t xml:space="preserve">14 Old Cut Blvd  Port Rowan, ON N0e 1M0 </t>
  </si>
  <si>
    <t>Cape Coral Unit 17 Blk 1496 Pb 14 Pg 29 Lots 33 + 34</t>
  </si>
  <si>
    <t xml:space="preserve">380 Green Acres Dr </t>
  </si>
  <si>
    <t>Osmar</t>
  </si>
  <si>
    <t>06-44-24-c1-02067.0110</t>
  </si>
  <si>
    <t>Zulma</t>
  </si>
  <si>
    <t>Stanley Jakse</t>
  </si>
  <si>
    <t>32809-6657</t>
  </si>
  <si>
    <t xml:space="preserve">4433 Orchid Blvd </t>
  </si>
  <si>
    <t>Cape Coral Unit 84 Blk 5611 Pb 24 Pg 35 Lots 1 + 2</t>
  </si>
  <si>
    <t>14845-1388</t>
  </si>
  <si>
    <t>Cabo Rojo</t>
  </si>
  <si>
    <t xml:space="preserve">1730 NE 13th St </t>
  </si>
  <si>
    <t xml:space="preserve">920 NE 18th St  Cape Coral, FL 33909 </t>
  </si>
  <si>
    <t>Orange Harbor Co-Op As Desc In Inst# 2012000226486 Lot 213</t>
  </si>
  <si>
    <t xml:space="preserve">1110 NE 39th Ter  Cape Coral, FL 33909 </t>
  </si>
  <si>
    <t>Sysol</t>
  </si>
  <si>
    <t xml:space="preserve">1802 NE 44th St </t>
  </si>
  <si>
    <t>Kang-Ni Chen</t>
  </si>
  <si>
    <t>Macaluso James Tr</t>
  </si>
  <si>
    <t>Rene &amp; Migdalia Gonzalez</t>
  </si>
  <si>
    <t>Hickory</t>
  </si>
  <si>
    <t>Wirtz</t>
  </si>
  <si>
    <t>For Franklin S &amp; Edith F Seiling Trust</t>
  </si>
  <si>
    <t xml:space="preserve">1319 SE 31st St  Cape Coral, FL 33904 </t>
  </si>
  <si>
    <t>For Russell E Peterson Trust</t>
  </si>
  <si>
    <t>08648-3266</t>
  </si>
  <si>
    <t xml:space="preserve">2301 Laguna Cir #1506, North Miami, FL 33181-1175 </t>
  </si>
  <si>
    <t xml:space="preserve">6009 Juliet Ave  Fort Myers, FL 33905 </t>
  </si>
  <si>
    <t>Cypress Woods Rv Resort Ut 1 Pb 65 Pg 85 + 86 Blk A Lot 30</t>
  </si>
  <si>
    <t>Muniz</t>
  </si>
  <si>
    <t xml:space="preserve">41762 123rd St  Langford, SD 57454-5823 </t>
  </si>
  <si>
    <t>Hickory Ridge</t>
  </si>
  <si>
    <t>David &amp; Michelle Willoughby</t>
  </si>
  <si>
    <t xml:space="preserve">4477 Duffield Rd  Flushing, MI 48433-9710 </t>
  </si>
  <si>
    <t>18-43-24-c4-05698.0070</t>
  </si>
  <si>
    <t xml:space="preserve">78 Quiet Woods Rd  East Hampton, CT 06424-1811 </t>
  </si>
  <si>
    <t>05-45-24-c4-00572.0570</t>
  </si>
  <si>
    <t>38th</t>
  </si>
  <si>
    <t>33909-1523</t>
  </si>
  <si>
    <t xml:space="preserve">280 S Summit Ave C-2, Oakbrook Terrace, IL 60181-3905 </t>
  </si>
  <si>
    <t xml:space="preserve">238 N High St </t>
  </si>
  <si>
    <t xml:space="preserve">2133 NE 17th St </t>
  </si>
  <si>
    <t>36-43-23-c4-02512.0130</t>
  </si>
  <si>
    <t xml:space="preserve">31700 Telegraph Rd  Bingham Farms, MI 48025-3407 </t>
  </si>
  <si>
    <t>32-43-24-c2-02185.0110</t>
  </si>
  <si>
    <t>Reinaldo</t>
  </si>
  <si>
    <t>Zeno</t>
  </si>
  <si>
    <t>12-44-23-c2-02396.0420</t>
  </si>
  <si>
    <t>19-43-24-c1-05570.0370</t>
  </si>
  <si>
    <t xml:space="preserve">10 Riverside Industrial Est  Nelson Lancashire, GB 00000 </t>
  </si>
  <si>
    <t>33018-7403</t>
  </si>
  <si>
    <t xml:space="preserve">7634 Hewes Rd  Bergen, NY 14416-9537 </t>
  </si>
  <si>
    <t xml:space="preserve">1816 W Jetton Ave </t>
  </si>
  <si>
    <t xml:space="preserve">12774 W Lone Tree Trl  Peoria, AZ 85383-2494 </t>
  </si>
  <si>
    <t>Robert &amp; Richard Harvey</t>
  </si>
  <si>
    <t>Than</t>
  </si>
  <si>
    <t>Royal Palm Park Pb 4 Pg 70 Lot 10</t>
  </si>
  <si>
    <t>Cape Coral Unit 7 Blk.371 Pb 12 Pg 115 Lots 11 + 12</t>
  </si>
  <si>
    <t>Carlstadt</t>
  </si>
  <si>
    <t xml:space="preserve">34 NE 8th Ter  Cape Coral, FL 33909 </t>
  </si>
  <si>
    <t xml:space="preserve">3525 86th St 1fl, Jackson Heights, NY 11372-5615 </t>
  </si>
  <si>
    <t>37076-3620</t>
  </si>
  <si>
    <t>07869-3405</t>
  </si>
  <si>
    <t>Frst</t>
  </si>
  <si>
    <t>Cape Coral Unit 47 Pt 2 Blk 3511 Pb 23 Pg 123 Lots 32 Thru 34</t>
  </si>
  <si>
    <t>Roseto</t>
  </si>
  <si>
    <t>Cape Coral Unit 36 Blk 2521 Pb 16 Pg 113 Lots 7 Thru 9</t>
  </si>
  <si>
    <t>B114</t>
  </si>
  <si>
    <t>49685-8650</t>
  </si>
  <si>
    <t>34103-3574</t>
  </si>
  <si>
    <t xml:space="preserve">4110 NE 23rd Pl </t>
  </si>
  <si>
    <t>18-43-24-c3-05752.0250</t>
  </si>
  <si>
    <t xml:space="preserve">191 Mastic Blvd  Mastic, NY 11950-3340 </t>
  </si>
  <si>
    <t>Lehigh Acres Unit 5 Blk 23 Pb 26 Pg 7 Lot 9</t>
  </si>
  <si>
    <t xml:space="preserve">21 Raven Glass Ln  Bluffton, SC 29909-7107 </t>
  </si>
  <si>
    <t>03-44-26-01-00004.0060</t>
  </si>
  <si>
    <t>33909-2207</t>
  </si>
  <si>
    <t>Lauderhill</t>
  </si>
  <si>
    <t>Armando Perez</t>
  </si>
  <si>
    <t>Kupai</t>
  </si>
  <si>
    <t>Hurtado</t>
  </si>
  <si>
    <t xml:space="preserve">3618 NE 21st Ave  Cape Coral, FL 33909 </t>
  </si>
  <si>
    <t>16-44-26-08-00026.0090</t>
  </si>
  <si>
    <t>Ricarte &amp; Olivia Cariaga</t>
  </si>
  <si>
    <t>Cape Coral Unit 88 Blk 5783 Pb 24 Pg 132 Lots 54 + 55</t>
  </si>
  <si>
    <t>Richard Lopitz</t>
  </si>
  <si>
    <t>20112-4758</t>
  </si>
  <si>
    <t xml:space="preserve">430 State St  North Fort Myers, FL 33903 </t>
  </si>
  <si>
    <t xml:space="preserve">4075 Victoria Dr  Hoffman Estates, IL 60192-1754 </t>
  </si>
  <si>
    <t>Ext</t>
  </si>
  <si>
    <t>Golden Eagle</t>
  </si>
  <si>
    <t xml:space="preserve">7234 67th Pl </t>
  </si>
  <si>
    <t>18-43-24-c2-05729.0330</t>
  </si>
  <si>
    <t xml:space="preserve">1126 NE 39th St </t>
  </si>
  <si>
    <t>Espinel</t>
  </si>
  <si>
    <t xml:space="preserve">900 Edlu Ct </t>
  </si>
  <si>
    <t xml:space="preserve">27 Singerstrasse  Brimfield, MA 01010 </t>
  </si>
  <si>
    <t xml:space="preserve">919 NE 12th St  Cape Coral, FL 33909 </t>
  </si>
  <si>
    <t>48375-3579</t>
  </si>
  <si>
    <t>Muhammad Khan</t>
  </si>
  <si>
    <t>Richard Smith</t>
  </si>
  <si>
    <t>Cape Coral Unit 87 Blk 5753 Pb 24 Pg 69 Lots 30 + 31</t>
  </si>
  <si>
    <t>62432-2229</t>
  </si>
  <si>
    <t>Guillermo Diaz</t>
  </si>
  <si>
    <t>Leaf Shade</t>
  </si>
  <si>
    <t>33016-6433</t>
  </si>
  <si>
    <t>19-43-24-c3-05611.0350</t>
  </si>
  <si>
    <t>17-43-24-c3-05793.0360</t>
  </si>
  <si>
    <t xml:space="preserve">531 Patriot Ct  Gurnee, IL 60031-4494 </t>
  </si>
  <si>
    <t xml:space="preserve">1410 NE 11th St </t>
  </si>
  <si>
    <t>33909-6338</t>
  </si>
  <si>
    <t xml:space="preserve">19710 NE 13th Ct  Miami, FL 33179-3551 </t>
  </si>
  <si>
    <t>06902-1417</t>
  </si>
  <si>
    <t>Lake Havasu City</t>
  </si>
  <si>
    <t>Runyan</t>
  </si>
  <si>
    <t>Myron</t>
  </si>
  <si>
    <t xml:space="preserve">17201 Jackson Trl </t>
  </si>
  <si>
    <t>Rudolph</t>
  </si>
  <si>
    <t xml:space="preserve">110 NE 8th Pl  Cape Coral, FL 33909 </t>
  </si>
  <si>
    <t>Kensington</t>
  </si>
  <si>
    <t xml:space="preserve">2432 Pinefield Rd </t>
  </si>
  <si>
    <t xml:space="preserve">4215 Forder Heights Dr </t>
  </si>
  <si>
    <t>33909-4431</t>
  </si>
  <si>
    <t>Thomas &amp; For Merlino</t>
  </si>
  <si>
    <t xml:space="preserve">225 NE 24th Ter </t>
  </si>
  <si>
    <t>Dagart</t>
  </si>
  <si>
    <t xml:space="preserve">2924 NE 7th Pl </t>
  </si>
  <si>
    <t>Cape Coral Unit 33 Blk 2284 Pb 16 Pg 54 Lots 76 + 77</t>
  </si>
  <si>
    <t>J L J &amp; Juanata Ray</t>
  </si>
  <si>
    <t>Michael Malagon</t>
  </si>
  <si>
    <t>11203-4412</t>
  </si>
  <si>
    <t>Cecilio</t>
  </si>
  <si>
    <t>20-43-24-c3-05639.0010</t>
  </si>
  <si>
    <t xml:space="preserve">PO Box 4779  IL 38523 </t>
  </si>
  <si>
    <t xml:space="preserve">2612 NE 21st Pl  Cape Coral, FL 33909 </t>
  </si>
  <si>
    <t>Cypress Woods Rv Resort Un 3 Desc In Pb 72 Pgs 92-95 Blk C Lot 3</t>
  </si>
  <si>
    <t>08-44-24-c4-01535.0470</t>
  </si>
  <si>
    <t xml:space="preserve">424 NE 9th St  Cape Coral, FL 33909 </t>
  </si>
  <si>
    <t>Brulhart</t>
  </si>
  <si>
    <t>33909-1376</t>
  </si>
  <si>
    <t>Douglass Daley</t>
  </si>
  <si>
    <t xml:space="preserve">2208 SE 32nd St </t>
  </si>
  <si>
    <t xml:space="preserve">681 E 47th St </t>
  </si>
  <si>
    <t>33909-6823</t>
  </si>
  <si>
    <t xml:space="preserve">33 Sturgis Rd  Edison, NJ 08817-4039 </t>
  </si>
  <si>
    <t>02141-1343</t>
  </si>
  <si>
    <t>Rui</t>
  </si>
  <si>
    <t>Andres</t>
  </si>
  <si>
    <t>20745-1509</t>
  </si>
  <si>
    <t>For Arthur E &amp; Jo Ann Mcelrath Living Trust</t>
  </si>
  <si>
    <t>Chavaria</t>
  </si>
  <si>
    <t>Dayagdag</t>
  </si>
  <si>
    <t xml:space="preserve">2310 NE 35th St  Cape Coral, FL 33909 </t>
  </si>
  <si>
    <t xml:space="preserve">PO Box 398748  Miami Beach, FL 33239-8748 </t>
  </si>
  <si>
    <t xml:space="preserve">8985 Harding Ave </t>
  </si>
  <si>
    <t>20-43-24-c3-05671.0510</t>
  </si>
  <si>
    <t>Vivian Murph &amp; Christine Frederick</t>
  </si>
  <si>
    <t>Milla</t>
  </si>
  <si>
    <t>Barranquitas</t>
  </si>
  <si>
    <t>08755-1486</t>
  </si>
  <si>
    <t>Ortiz Joel &amp; Gabriela A Tr</t>
  </si>
  <si>
    <t>85295-7243</t>
  </si>
  <si>
    <t xml:space="preserve">1710 NE 40th Ln </t>
  </si>
  <si>
    <t xml:space="preserve">516 Crested Hawk Rdg  Canton, GA 30114-5112 </t>
  </si>
  <si>
    <t xml:space="preserve">1036 NE 44th St </t>
  </si>
  <si>
    <t>Palmona Park Unit 2 Blk.21 Pb 7 Pg 56-57 Lot 21</t>
  </si>
  <si>
    <t>19-43-24-c3-05612.0150</t>
  </si>
  <si>
    <t>Shady</t>
  </si>
  <si>
    <t>Sylvie Gravel &amp; Stephanie Beaulier</t>
  </si>
  <si>
    <t xml:space="preserve">155 Cort Ln  Tavernier, FL 33070-3002 </t>
  </si>
  <si>
    <t xml:space="preserve">Po Box 264 </t>
  </si>
  <si>
    <t>28227-8680</t>
  </si>
  <si>
    <t>Devri Kemble &amp; Sheila Jackson</t>
  </si>
  <si>
    <t xml:space="preserve">100 Pringle Ave #650 </t>
  </si>
  <si>
    <t>Lehigh Acres Unit 1 Blk 2 Pb 26 Pg 2 Lot 8</t>
  </si>
  <si>
    <t>Cape Coral Unit 36 Pt 1 Blk 2500 Pb 23 Pg 93 Lots 29 + 30</t>
  </si>
  <si>
    <t xml:space="preserve">7812 Bergenline Ave  North Bergen, NJ 07047-4954 </t>
  </si>
  <si>
    <t>Cypress Woods Rv Resort Unit 4 Pb 79 Pgs 68-71 Blk D Lot 11</t>
  </si>
  <si>
    <t>Rene Garcia</t>
  </si>
  <si>
    <t>Cape Coral Unit 36 Blk 2325 Pb 16 Pg 127 Lots 53 + 54</t>
  </si>
  <si>
    <t xml:space="preserve">836/838 NE 15th Ln  Cape Coral, FL 33909 </t>
  </si>
  <si>
    <t>Monogram</t>
  </si>
  <si>
    <t>Craig Ralph Tr</t>
  </si>
  <si>
    <t>Sang</t>
  </si>
  <si>
    <t>10026-1239</t>
  </si>
  <si>
    <t>33322-5220</t>
  </si>
  <si>
    <t xml:space="preserve">3607 NE 12th Ct </t>
  </si>
  <si>
    <t xml:space="preserve">719 Thrush Ave  West Hempstead, NY 11552-3813 </t>
  </si>
  <si>
    <t>33015-1132</t>
  </si>
  <si>
    <t xml:space="preserve">PO Box 220  Gibbstown, NJ 08027 </t>
  </si>
  <si>
    <t>11693-1412</t>
  </si>
  <si>
    <t>Brykman</t>
  </si>
  <si>
    <t>33903-2809</t>
  </si>
  <si>
    <t>Trindade</t>
  </si>
  <si>
    <t>32-43-24-c3-02222.0210</t>
  </si>
  <si>
    <t>St Martinstr</t>
  </si>
  <si>
    <t>Timothy Sauvageau</t>
  </si>
  <si>
    <t>Mariana Giurovici</t>
  </si>
  <si>
    <t xml:space="preserve">2007 NE 17th Ter </t>
  </si>
  <si>
    <t xml:space="preserve">507 Steuben St </t>
  </si>
  <si>
    <t>33905-5714</t>
  </si>
  <si>
    <t>07-45-24-c1-00270.0010</t>
  </si>
  <si>
    <t>Cape Coral Unit 35 Blk 2409 Pb 16 Pg 110 Lots 37 + 38</t>
  </si>
  <si>
    <t xml:space="preserve">6012 Stratton Rd </t>
  </si>
  <si>
    <t xml:space="preserve">2747 NE 6th Pl  Cape Coral, FL 33909 </t>
  </si>
  <si>
    <t>Puig</t>
  </si>
  <si>
    <t xml:space="preserve">124 Jacaranda Pkwy E </t>
  </si>
  <si>
    <t>William &amp; Dawn Goddard</t>
  </si>
  <si>
    <t>Palmona Park Unit 1 Blk 47 Pb 7 Pg 54 Lot 17 + E 15 Ft Lot 18</t>
  </si>
  <si>
    <t>33909-5600</t>
  </si>
  <si>
    <t xml:space="preserve">Jose Ma Vigil #3114, Greentown, OH 44630 </t>
  </si>
  <si>
    <t xml:space="preserve">2046 NE 25th St </t>
  </si>
  <si>
    <t xml:space="preserve">76 Kelvin Ave  Staten Island, NY 10306-3713 </t>
  </si>
  <si>
    <t>Cypress Woods Rv Resort Unit 4 Pb 79 Pgs 68-71 Blk D Lot 133</t>
  </si>
  <si>
    <t xml:space="preserve">1703 NE 34th Ln  Cape Coral, FL 33909 </t>
  </si>
  <si>
    <t>03-44-26-10-00049.0170</t>
  </si>
  <si>
    <t>Cape Coral Unit 85 Blk 5635 Pb 24 Pg 50 Lots 43 + 44</t>
  </si>
  <si>
    <t xml:space="preserve">1117 NE 5th Ave  Cape Coral, FL 33909 </t>
  </si>
  <si>
    <t xml:space="preserve">27017 15th Ave NE  Arlington, WA 98223-9186 </t>
  </si>
  <si>
    <t xml:space="preserve">29 Rue Florian </t>
  </si>
  <si>
    <t xml:space="preserve">1610 Eagle Eye Rd </t>
  </si>
  <si>
    <t>10302-2042</t>
  </si>
  <si>
    <t xml:space="preserve">41008 Pacer Ln  Paeonian Springs, VA 20129-1840 </t>
  </si>
  <si>
    <t>West Miami</t>
  </si>
  <si>
    <t xml:space="preserve">329 NE 30th Ter </t>
  </si>
  <si>
    <t>Latraverse &amp; Jacqueline Robinson</t>
  </si>
  <si>
    <t xml:space="preserve">2116 NE Juanita Pl  Cape Coral, FL 33909 </t>
  </si>
  <si>
    <t xml:space="preserve">1329 Ridge St  Naples, FL 34103-4209 </t>
  </si>
  <si>
    <t>42071-8921</t>
  </si>
  <si>
    <t>11412-2925</t>
  </si>
  <si>
    <t>92706-1424</t>
  </si>
  <si>
    <t xml:space="preserve">2019 NE 25th Ter  Cape Coral, FL 33909 </t>
  </si>
  <si>
    <t xml:space="preserve">340 E 5th St #103 </t>
  </si>
  <si>
    <t xml:space="preserve">3348 Garden Blvd  Cape Coral, FL 33909 </t>
  </si>
  <si>
    <t>Sovereign</t>
  </si>
  <si>
    <t xml:space="preserve">10326 Venitia Real Ave #111 </t>
  </si>
  <si>
    <t xml:space="preserve">203 Devon St 2l </t>
  </si>
  <si>
    <t xml:space="preserve">2745 NE 7th Pl  Cape Coral, FL 33909 </t>
  </si>
  <si>
    <t>PO Box 2</t>
  </si>
  <si>
    <t>Buckingham Pk Re Blk B U-2 Blk 5 Pb 27 Pg 189 Lot 8</t>
  </si>
  <si>
    <t xml:space="preserve">11928 Pericles Dr  Rancho Cordova, CA 95742-8078 </t>
  </si>
  <si>
    <t>Lehigh Acres Unit 14 Blk 78 Pb 26 Pg 20 Lot 5</t>
  </si>
  <si>
    <t>Paul &amp; Patricia Borgen</t>
  </si>
  <si>
    <t>Cape Coral Unit 33 Blk 2285 Pb 16 Pg 60 Lots 57 + 58</t>
  </si>
  <si>
    <t>Varghese &amp; Susan Johnson</t>
  </si>
  <si>
    <t>Robert Carr &amp; Patricia Hand</t>
  </si>
  <si>
    <t>Lapeer</t>
  </si>
  <si>
    <t xml:space="preserve">Po Box 681744 </t>
  </si>
  <si>
    <t xml:space="preserve">8591 Buckingham Rd  Fort Myers, FL 33905 </t>
  </si>
  <si>
    <t xml:space="preserve">11880 Pine Ave </t>
  </si>
  <si>
    <t>Ajay</t>
  </si>
  <si>
    <t xml:space="preserve">1820 NE 19th Pl </t>
  </si>
  <si>
    <t>Harold &amp; Martha Feltis</t>
  </si>
  <si>
    <t xml:space="preserve">401 Wilma Ave  Fort Myers, FL 33905 </t>
  </si>
  <si>
    <t>Michael Boyle</t>
  </si>
  <si>
    <t>Indianapolis</t>
  </si>
  <si>
    <t>Cape Coral Unit 36 Pt.1 Blk.2481 Pb 23 Pg 90 Lots 1 + 2</t>
  </si>
  <si>
    <t xml:space="preserve">5168 Morris Thomas Rd  Hermantown, MN 55810-9718 </t>
  </si>
  <si>
    <t>11542-2634</t>
  </si>
  <si>
    <t>Waymond</t>
  </si>
  <si>
    <t xml:space="preserve">5934 Brightwood Dr  Fort Myers, FL 33905 </t>
  </si>
  <si>
    <t>11211-3070</t>
  </si>
  <si>
    <t xml:space="preserve">7 Theo Champion St </t>
  </si>
  <si>
    <t xml:space="preserve">4072 Oakview Dr #10, Punta Gorda, FL 33980-2210 </t>
  </si>
  <si>
    <t>13-46-24-07-0000c.0440</t>
  </si>
  <si>
    <t>Cape Coral Unit 31 Blk 2077 Pb 14 Pg 164 Lots 34 + 35</t>
  </si>
  <si>
    <t>10956-6124</t>
  </si>
  <si>
    <t>33909-3229</t>
  </si>
  <si>
    <t xml:space="preserve">671 Targee St </t>
  </si>
  <si>
    <t xml:space="preserve">223 NE 15th St  Cape Coral, FL 33909 </t>
  </si>
  <si>
    <t xml:space="preserve">Urb Fajardo Gdns </t>
  </si>
  <si>
    <t>25-43-23-c4-02355.0380</t>
  </si>
  <si>
    <t xml:space="preserve">5174 Cypress Trail Resort Cir </t>
  </si>
  <si>
    <t xml:space="preserve">3680 Biltz Rd </t>
  </si>
  <si>
    <t>32-43-24-c2-02238.0130</t>
  </si>
  <si>
    <t xml:space="preserve">1853 NE 23rd St  Cape Coral, FL 33909 </t>
  </si>
  <si>
    <t>Cape Coral Unit 85 Blk 5632 Pb 24 Pg 50 Lots 31 + 32</t>
  </si>
  <si>
    <t>Felix Perez &amp; Carmen Rivera</t>
  </si>
  <si>
    <t>Juanita Turk &amp; Sarah Davenport</t>
  </si>
  <si>
    <t>11-44-25-l1-13000.3080</t>
  </si>
  <si>
    <t xml:space="preserve">20811 San Simeon Way #101, Miami, FL 33179-1832 </t>
  </si>
  <si>
    <t>33909-4480</t>
  </si>
  <si>
    <t xml:space="preserve">10075 Rambelwood Ct  Fort Myers, FL 33905 </t>
  </si>
  <si>
    <t xml:space="preserve">1000 NE 43rd Ter </t>
  </si>
  <si>
    <t xml:space="preserve">3757 NE 14th Pl  Cape Coral, FL 33909 </t>
  </si>
  <si>
    <t>11-44-25-05-0000c.1140</t>
  </si>
  <si>
    <t xml:space="preserve">24957 222nd Ave  Monticello, IA 52310-7852 </t>
  </si>
  <si>
    <t>Cocoa Beach</t>
  </si>
  <si>
    <t>Piedra Falls</t>
  </si>
  <si>
    <t xml:space="preserve">1018 NE 2nd Pl </t>
  </si>
  <si>
    <t xml:space="preserve">3138 NE 14th Pl  Cape Coral, FL 33909 </t>
  </si>
  <si>
    <t>97062-9341</t>
  </si>
  <si>
    <t xml:space="preserve">1026 NE 15th Ln  Cape Coral, FL 33909 </t>
  </si>
  <si>
    <t>33909-1033</t>
  </si>
  <si>
    <t xml:space="preserve">137 Cultural Park Blvd N  Cape Coral, FL 33909 </t>
  </si>
  <si>
    <t xml:space="preserve">593 Riverside Dr 3a, New York, NY 10031-8021 </t>
  </si>
  <si>
    <t xml:space="preserve">10441 117th St  South Richmond Hill, NY 11419-2713 </t>
  </si>
  <si>
    <t xml:space="preserve">1216 Hazelwood Dr </t>
  </si>
  <si>
    <t>Portobello</t>
  </si>
  <si>
    <t>Cape Coral Unit 31 Blk 2039 Pb 14 Pg 158 Lots 17 + 18</t>
  </si>
  <si>
    <t>For Bozana Taseski Trust</t>
  </si>
  <si>
    <t>27587-9040</t>
  </si>
  <si>
    <t xml:space="preserve">5190 Cypress Trail Resort Cir </t>
  </si>
  <si>
    <t>Donald &amp; Virginia Ellis</t>
  </si>
  <si>
    <t xml:space="preserve">118 SE 41st St </t>
  </si>
  <si>
    <t>Ledeanne Mallette</t>
  </si>
  <si>
    <t>Robert Sigsworth</t>
  </si>
  <si>
    <t>Cypress Trail Rv Resort Ph 4-B As Desc In Inst# 2017000057565 Lot 96</t>
  </si>
  <si>
    <t>Cape Coral Unit 84 Blk 5620 Pb 24 Pg 34 Lots 15 + 16</t>
  </si>
  <si>
    <t xml:space="preserve">410 NE 23rd Ave  Cape Coral, FL 33909 </t>
  </si>
  <si>
    <t>25-43-23-c3-02343.0330</t>
  </si>
  <si>
    <t>19-43-24-c2-05595.0140</t>
  </si>
  <si>
    <t>Gertrude</t>
  </si>
  <si>
    <t>36-43-23-c4-02507.0090</t>
  </si>
  <si>
    <t>Trent</t>
  </si>
  <si>
    <t xml:space="preserve">242 Bradford Ave </t>
  </si>
  <si>
    <t xml:space="preserve">200 Morse Plz </t>
  </si>
  <si>
    <t>Quispe</t>
  </si>
  <si>
    <t>Cape Coral Unit 33 Blk.2267 Pb 16 Pg 61 Lots 21 + 22</t>
  </si>
  <si>
    <t>Ha Tran</t>
  </si>
  <si>
    <t>98052-4304</t>
  </si>
  <si>
    <t xml:space="preserve">7717 Lasata Ln </t>
  </si>
  <si>
    <t xml:space="preserve">411 Walnut St #11318, Green Cove Springs, FL 32043-3443 </t>
  </si>
  <si>
    <t>Xu</t>
  </si>
  <si>
    <t>43162-9540</t>
  </si>
  <si>
    <t>James Douglas &amp; Estate American</t>
  </si>
  <si>
    <t>33909-2006</t>
  </si>
  <si>
    <t xml:space="preserve">12505 111th Ave </t>
  </si>
  <si>
    <t xml:space="preserve">7 Rue Fosdse A Boire  Chauvighy, FR </t>
  </si>
  <si>
    <t xml:space="preserve">1514 NE 19th Pl </t>
  </si>
  <si>
    <t xml:space="preserve">5668 Deer Valley Trl </t>
  </si>
  <si>
    <t>Hechavarria</t>
  </si>
  <si>
    <t>Murphy</t>
  </si>
  <si>
    <t>Haddon Township</t>
  </si>
  <si>
    <t xml:space="preserve">145 Elmira Loop 4e </t>
  </si>
  <si>
    <t xml:space="preserve">1402 NE 15th St </t>
  </si>
  <si>
    <t>Timbercreek</t>
  </si>
  <si>
    <t xml:space="preserve">3916 NE 15th Pl  Cape Coral, FL 33909 </t>
  </si>
  <si>
    <t>Trust Income Equity Llc</t>
  </si>
  <si>
    <t xml:space="preserve">313 SE 31st Ter </t>
  </si>
  <si>
    <t>New Woodstock</t>
  </si>
  <si>
    <t>01-44-23-c2-02460.0610</t>
  </si>
  <si>
    <t>Heron Ridge</t>
  </si>
  <si>
    <t xml:space="preserve">1542 Sun Meadow Dr  Orlando, FL 32824-5077 </t>
  </si>
  <si>
    <t xml:space="preserve">5249 NW 7th St #112 </t>
  </si>
  <si>
    <t>Ernest &amp; Ivy Eccleston</t>
  </si>
  <si>
    <t xml:space="preserve">11313 NW 59th Ter  Doral, FL 33178-2838 </t>
  </si>
  <si>
    <t>Cape Coral Unit 36 Blk 2322 Pb 16 Pg 126 Lots 3 + 4</t>
  </si>
  <si>
    <t xml:space="preserve">11055 Sunglow Ln </t>
  </si>
  <si>
    <t xml:space="preserve">3222 Natoma Way </t>
  </si>
  <si>
    <t>Cape Coral Unit 35 Blk 2414 Pb 16 Pg 107 Lots 5 + 6</t>
  </si>
  <si>
    <t>03-44-26-11-00058.0080</t>
  </si>
  <si>
    <t xml:space="preserve">318 NE 6th St </t>
  </si>
  <si>
    <t>33903-2858</t>
  </si>
  <si>
    <t>Lynne Anderson &amp; Donald Sparks</t>
  </si>
  <si>
    <t>Dayan</t>
  </si>
  <si>
    <t>Woodhill</t>
  </si>
  <si>
    <t>Cypress Trail Rv Resort Ph 4-B As Desc In Inst# 2017000057565 Lot 101</t>
  </si>
  <si>
    <t xml:space="preserve">4988 Grey Feather Cir </t>
  </si>
  <si>
    <t xml:space="preserve">9621 Ridgeside Ct </t>
  </si>
  <si>
    <t>36-43-23-c3-02509.0300</t>
  </si>
  <si>
    <t>Dorothy &amp; For Hall</t>
  </si>
  <si>
    <t>Shawn Kerns</t>
  </si>
  <si>
    <t>01-44-23-c4-02422.0150</t>
  </si>
  <si>
    <t>Patrick &amp; Regina Zollo</t>
  </si>
  <si>
    <t>Cape Coral Unit 26 Blk.864 Pb 14 Pg 128 Lots 53 + 54</t>
  </si>
  <si>
    <t>Chere</t>
  </si>
  <si>
    <t xml:space="preserve">3504 Stockwood St </t>
  </si>
  <si>
    <t>Bothell East</t>
  </si>
  <si>
    <t>33904-8386</t>
  </si>
  <si>
    <t>Keefer</t>
  </si>
  <si>
    <t xml:space="preserve">5916 Las Virgenes Rd #589, Calabasas, CA 91302-2671 </t>
  </si>
  <si>
    <t>R295</t>
  </si>
  <si>
    <t xml:space="preserve">2225 De Navarra Pkwy </t>
  </si>
  <si>
    <t>33909-8818</t>
  </si>
  <si>
    <t xml:space="preserve">21 Laarsveld  Geel 1, BE </t>
  </si>
  <si>
    <t xml:space="preserve">1018 Hancock St  Brooklyn, NY 11221-4817 </t>
  </si>
  <si>
    <t xml:space="preserve">1822 NE 20th Ter </t>
  </si>
  <si>
    <t>G G &amp; Margery Hubbard</t>
  </si>
  <si>
    <t>29-43-24-c3-02252.0190</t>
  </si>
  <si>
    <t>Caribbean</t>
  </si>
  <si>
    <t>Thomas &amp; Karen Patrick</t>
  </si>
  <si>
    <t>20-43-24-c1-05646.0310</t>
  </si>
  <si>
    <t>Benjamin Grubb</t>
  </si>
  <si>
    <t xml:space="preserve">818 Diplomat Pkwy E  Cape Coral, FL 33909 </t>
  </si>
  <si>
    <t xml:space="preserve">7c-80 Calle 139 #303 </t>
  </si>
  <si>
    <t>120th</t>
  </si>
  <si>
    <t>Browning</t>
  </si>
  <si>
    <t>32811-5574</t>
  </si>
  <si>
    <t>Castaneda</t>
  </si>
  <si>
    <t>Manapurathu &amp; Mary Mathew</t>
  </si>
  <si>
    <t>Cape Coral Unit 32 Blk 2148 Pb 16 Pg 9 Lots 26 + 27</t>
  </si>
  <si>
    <t>Abdool</t>
  </si>
  <si>
    <t xml:space="preserve">4116 Garden Blvd </t>
  </si>
  <si>
    <t>Montagno</t>
  </si>
  <si>
    <t>R-1B</t>
  </si>
  <si>
    <t>Board</t>
  </si>
  <si>
    <t xml:space="preserve">10113 Theden Cir </t>
  </si>
  <si>
    <t>Walton Meadow</t>
  </si>
  <si>
    <t>20-43-24-c2-05659.0160</t>
  </si>
  <si>
    <t>Thousand Oaks</t>
  </si>
  <si>
    <t xml:space="preserve">3523 NE 17th Ave </t>
  </si>
  <si>
    <t>Aviation</t>
  </si>
  <si>
    <t>33015-4546</t>
  </si>
  <si>
    <t>06606-3804</t>
  </si>
  <si>
    <t xml:space="preserve">911 NE 36th St </t>
  </si>
  <si>
    <t>Lehigh Acres Unit 4 Blk21 Pb 26 Pg 6 Lot 3</t>
  </si>
  <si>
    <t>Vassar</t>
  </si>
  <si>
    <t xml:space="preserve">429 NE 17th Ter </t>
  </si>
  <si>
    <t xml:space="preserve">1320 N Abalone Ter  Hernando, FL 34442-3300 </t>
  </si>
  <si>
    <t xml:space="preserve">22 Balfrinstrasse  Visplvs, CH 03930 </t>
  </si>
  <si>
    <t>Friedman</t>
  </si>
  <si>
    <t>Sterling Trust Company</t>
  </si>
  <si>
    <t>01-44-23-c1-02450.0410</t>
  </si>
  <si>
    <t xml:space="preserve">113 NE 7th Pl </t>
  </si>
  <si>
    <t>Jackob</t>
  </si>
  <si>
    <t>Kramarz</t>
  </si>
  <si>
    <t xml:space="preserve">10265 Meadow Beauty Trl </t>
  </si>
  <si>
    <t>Niklaus Andre Daniel Tr</t>
  </si>
  <si>
    <t>Manoj</t>
  </si>
  <si>
    <t>Merrlyn L Seefeldt Trust</t>
  </si>
  <si>
    <t xml:space="preserve">2323 Unity Ave  Fort Myers, FL 33901 </t>
  </si>
  <si>
    <t xml:space="preserve">73 Bay Shore Rd  Bay Shore, NY 11706-3608 </t>
  </si>
  <si>
    <t xml:space="preserve">3218 Willow Terrace Dr </t>
  </si>
  <si>
    <t xml:space="preserve">1951 Goblet Cove St  Kissimmee, FL 34746-2997 </t>
  </si>
  <si>
    <t xml:space="preserve">1413 NE Juanita Pl  Cape Coral, FL 33909 </t>
  </si>
  <si>
    <t>62260-3523</t>
  </si>
  <si>
    <t>West Verandah</t>
  </si>
  <si>
    <t>01-44-23-c2-02432.0590</t>
  </si>
  <si>
    <t xml:space="preserve">26118 Langston Ave B </t>
  </si>
  <si>
    <t>06-45-24-c4-00452.0560</t>
  </si>
  <si>
    <t>Gade Reddy</t>
  </si>
  <si>
    <t>31-43-24-c3-02203.0330</t>
  </si>
  <si>
    <t>32-43-24-c2-02236.0040</t>
  </si>
  <si>
    <t xml:space="preserve">2346 Felicity Pl  North Port, FL 34289-1408 </t>
  </si>
  <si>
    <t xml:space="preserve">4420 6th Ave SE </t>
  </si>
  <si>
    <t xml:space="preserve">14939 257th St  Rosedale, NY 11422-2848 </t>
  </si>
  <si>
    <t xml:space="preserve">34 Cabana Ave </t>
  </si>
  <si>
    <t>Guillaume</t>
  </si>
  <si>
    <t>Sonia</t>
  </si>
  <si>
    <t>Cape Coral Unit 87 Blk 5747 Pb 24 Pg 70 Lots 13 + 14</t>
  </si>
  <si>
    <t xml:space="preserve">2206 NE 35th Ln </t>
  </si>
  <si>
    <t>59011-1166</t>
  </si>
  <si>
    <t>Trujillo Alto</t>
  </si>
  <si>
    <t xml:space="preserve">1529 Southeast Dr  South Bend, IN 46614-1524 </t>
  </si>
  <si>
    <t>33909-7306</t>
  </si>
  <si>
    <t xml:space="preserve">7420 Chatham St  Springfield, VA 22151-3117 </t>
  </si>
  <si>
    <t>Kiscona</t>
  </si>
  <si>
    <t>Harvey Sainsbury</t>
  </si>
  <si>
    <t>Glenda</t>
  </si>
  <si>
    <t>F Paterno B &amp; Christine Inosanto</t>
  </si>
  <si>
    <t>Michael &amp; Sallyann Stephens</t>
  </si>
  <si>
    <t xml:space="preserve">3325 Andalusia Blvd  Cape Coral, FL 33909 </t>
  </si>
  <si>
    <t xml:space="preserve">1619 NE 34th Ln  Cape Coral, FL 33909 </t>
  </si>
  <si>
    <t>Charles Hoffman</t>
  </si>
  <si>
    <t xml:space="preserve">5135 White Sky Cir  Fort Myers, FL 33908 </t>
  </si>
  <si>
    <t xml:space="preserve">1113/1115 NE 10th Ter </t>
  </si>
  <si>
    <t>25-43-23-c2-02340.0250</t>
  </si>
  <si>
    <t>Ronald Morgan</t>
  </si>
  <si>
    <t>Wulff</t>
  </si>
  <si>
    <t>Cape Coral Unit 31 Blk 2059 Pb 14 Pg 156 Lots 47 + 48</t>
  </si>
  <si>
    <t xml:space="preserve">13 Sullivan St </t>
  </si>
  <si>
    <t>Enriquez Zapata &amp; Salazar Vela</t>
  </si>
  <si>
    <t xml:space="preserve">1123 NE 39th St  Cape Coral, FL 33909 </t>
  </si>
  <si>
    <t>80013-1656</t>
  </si>
  <si>
    <t>Cape Coral Unit 84 Blk 5574 Pb 24 Pg 36 Lots 14 + 15</t>
  </si>
  <si>
    <t xml:space="preserve">5607 Straight Way </t>
  </si>
  <si>
    <t xml:space="preserve">2523 NE 7th Pl  Cape Coral, FL 33909 </t>
  </si>
  <si>
    <t xml:space="preserve">2739 NE 6th Ave  Cape Coral, FL 33909 </t>
  </si>
  <si>
    <t>Spainer</t>
  </si>
  <si>
    <t xml:space="preserve">1722 NE 13th Pl </t>
  </si>
  <si>
    <t>Averman</t>
  </si>
  <si>
    <t>Cort</t>
  </si>
  <si>
    <t xml:space="preserve">8106 W Point Dr  Springfield, VA 22153-3020 </t>
  </si>
  <si>
    <t>Diego</t>
  </si>
  <si>
    <t>Ft Myers Shores Unit 2 Blk 29 Pb 10 Pg 7 Lot 18</t>
  </si>
  <si>
    <t>Dale</t>
  </si>
  <si>
    <t>Waltham</t>
  </si>
  <si>
    <t xml:space="preserve">1713 NE 7th Ave </t>
  </si>
  <si>
    <t>Shrub Oak</t>
  </si>
  <si>
    <t>18-43-24-c3-05743.0270</t>
  </si>
  <si>
    <t xml:space="preserve">10071 Stonewood Dr </t>
  </si>
  <si>
    <t xml:space="preserve">719 Charlemagne Blvd </t>
  </si>
  <si>
    <t xml:space="preserve">2428 NE 22nd Pl  Cape Coral, FL 33909 </t>
  </si>
  <si>
    <t>Austinburg</t>
  </si>
  <si>
    <t xml:space="preserve">3516 NE 17th Pl </t>
  </si>
  <si>
    <t>Dumont</t>
  </si>
  <si>
    <t>18-43-24-c2-05732.0270</t>
  </si>
  <si>
    <t>03-44-26-11-00054.0140</t>
  </si>
  <si>
    <t>33909-2055</t>
  </si>
  <si>
    <t>36-43-23-c1-02531.0410</t>
  </si>
  <si>
    <t>Kathryn &amp; Gary Beck</t>
  </si>
  <si>
    <t>33903-2804</t>
  </si>
  <si>
    <t xml:space="preserve">608 Wildwood Pkwy </t>
  </si>
  <si>
    <t>Jaquelin Terrones</t>
  </si>
  <si>
    <t>Chicca Family Trust</t>
  </si>
  <si>
    <t>Lanzon</t>
  </si>
  <si>
    <t xml:space="preserve">683 Wade Rd SE  Owens Cross Roads, AL 35763-9135 </t>
  </si>
  <si>
    <t>Romil Sawali</t>
  </si>
  <si>
    <t>Alice Stevenson &amp; Jane Hiscox</t>
  </si>
  <si>
    <t>Cape Coral Unit 87 Blk 5698 Pb 24 Pg 75 Lots 19 + 20</t>
  </si>
  <si>
    <t xml:space="preserve">4800 Cedar Hammock Ct </t>
  </si>
  <si>
    <t xml:space="preserve">2821 NE 5th Ave </t>
  </si>
  <si>
    <t xml:space="preserve">2139 NE 27th Ter </t>
  </si>
  <si>
    <t>Brian Dean</t>
  </si>
  <si>
    <t xml:space="preserve">3307 255th St  Little Neck, NY 11363-1412 </t>
  </si>
  <si>
    <t xml:space="preserve">1516 NE 15th Ter </t>
  </si>
  <si>
    <t xml:space="preserve">5521 NW 180th Ter </t>
  </si>
  <si>
    <t>Lelanis</t>
  </si>
  <si>
    <t>31-43-24-c2-02133.0220</t>
  </si>
  <si>
    <t>31-43-24-c4-02145.0210</t>
  </si>
  <si>
    <t>12569-5500</t>
  </si>
  <si>
    <t xml:space="preserve">112 Tally Dr </t>
  </si>
  <si>
    <t>Marcellinogiuliana</t>
  </si>
  <si>
    <t>33909-6475</t>
  </si>
  <si>
    <t xml:space="preserve">13863 SW 152nd Ter  Miami, FL 33177-1190 </t>
  </si>
  <si>
    <t>Washburn</t>
  </si>
  <si>
    <t>Alexandra &amp; For Sushkiw</t>
  </si>
  <si>
    <t>25-43-23-c1-02330.0050</t>
  </si>
  <si>
    <t>Panorama City</t>
  </si>
  <si>
    <t>Cole</t>
  </si>
  <si>
    <t xml:space="preserve">20538 Marlin St </t>
  </si>
  <si>
    <t>21703-4410</t>
  </si>
  <si>
    <t>Cape Coral Unit 32 Blk 2153 Pb 16 Pg 12 Lots 11 + 12</t>
  </si>
  <si>
    <t>Heather Jean</t>
  </si>
  <si>
    <t xml:space="preserve">3299 W 96th Pl  Hialeah, FL 33018-2039 </t>
  </si>
  <si>
    <t xml:space="preserve">1918 NE 17th Ave </t>
  </si>
  <si>
    <t xml:space="preserve">18 Cobbles Cres </t>
  </si>
  <si>
    <t>Cape Coral Unit 33 Blk 2199 Pb 16 Pg 45 Lots 77 + 78</t>
  </si>
  <si>
    <t xml:space="preserve">336 NE 26th St  Cape Coral, FL 33909 </t>
  </si>
  <si>
    <t>Lehigh Acres Unit 7 Blk 32 Pb 26 Pg 9 Lot 12</t>
  </si>
  <si>
    <t>Roberta Lees</t>
  </si>
  <si>
    <t>Robert-Koch-Str</t>
  </si>
  <si>
    <t>33909-1121</t>
  </si>
  <si>
    <t>Gondola</t>
  </si>
  <si>
    <t>33909-8867</t>
  </si>
  <si>
    <t>Charles &amp; Barbara Schroeder</t>
  </si>
  <si>
    <t xml:space="preserve">3005 Irish Peach Dr  Winter Garden, FL 34787-5675 </t>
  </si>
  <si>
    <t xml:space="preserve">2100 NE 13th Ln  Cape Coral, FL 33909 </t>
  </si>
  <si>
    <t>16-44-26-05-00007.0330</t>
  </si>
  <si>
    <t>75028-3229</t>
  </si>
  <si>
    <t>18-43-24-c4-05707.0020</t>
  </si>
  <si>
    <t>Cypress Trail Rv Resort Phase 2-A As Desc In Inst# 2014000026506 Lot 19</t>
  </si>
  <si>
    <t>Michael &amp; Rita Pardun</t>
  </si>
  <si>
    <t xml:space="preserve">1107 NE 10th Pl </t>
  </si>
  <si>
    <t>Cape Coral Unit 85 Blk 5664 Pb 24 Pg 58 Lots 31 Thru 33</t>
  </si>
  <si>
    <t xml:space="preserve">1320 NE 23rd Ter </t>
  </si>
  <si>
    <t>Lacsamana M &amp; Josefina Tr</t>
  </si>
  <si>
    <t xml:space="preserve">5 Russell Ave </t>
  </si>
  <si>
    <t>Mckay</t>
  </si>
  <si>
    <t>32-43-24-c1-02200.0440</t>
  </si>
  <si>
    <t xml:space="preserve">3721 Kessler St </t>
  </si>
  <si>
    <t>Brooklyn</t>
  </si>
  <si>
    <t xml:space="preserve">4089 Tamiami Trl N A104 </t>
  </si>
  <si>
    <t>20-43-24-c2-05657.0070</t>
  </si>
  <si>
    <t>Jeffrey Zwanziger</t>
  </si>
  <si>
    <t>32-43-24-c4-02197.0090</t>
  </si>
  <si>
    <t>Herzon Rios</t>
  </si>
  <si>
    <t xml:space="preserve">10334 Prairie Iris Dr  Fort Myers, FL 33905 </t>
  </si>
  <si>
    <t xml:space="preserve">1810 SW 5th Ave  Miami, FL 33129-1008 </t>
  </si>
  <si>
    <t xml:space="preserve">1955 Bellingham Ct </t>
  </si>
  <si>
    <t xml:space="preserve">7730 NW 50th St #507 </t>
  </si>
  <si>
    <t xml:space="preserve">3941 Ely Ave  Bronx, NY 10466-5016 </t>
  </si>
  <si>
    <t>33905-1720</t>
  </si>
  <si>
    <t>Darlin</t>
  </si>
  <si>
    <t xml:space="preserve">Macarthur Highway Matina Unit  Davao City, PH </t>
  </si>
  <si>
    <t>18-43-24-c4-05699.0410</t>
  </si>
  <si>
    <t>33908-2882</t>
  </si>
  <si>
    <t>32-43-24-c1-02202.0290</t>
  </si>
  <si>
    <t>19-43-24-c1-05577.0250</t>
  </si>
  <si>
    <t>Oldsmar</t>
  </si>
  <si>
    <t>34748-7872</t>
  </si>
  <si>
    <t>46140-1927</t>
  </si>
  <si>
    <t>John &amp; Debra Shulse</t>
  </si>
  <si>
    <t xml:space="preserve">824 NE 44th St </t>
  </si>
  <si>
    <t>Dalraida</t>
  </si>
  <si>
    <t>Cape Coral Unit 87 Blk 5752 Pb 24 Pg 68 Lots 43 + 44</t>
  </si>
  <si>
    <t>60630-1716</t>
  </si>
  <si>
    <t>Cypress Trail Rv Resort Phase 2-A As Desc In Inst# 2014000026506 Lot 274</t>
  </si>
  <si>
    <t xml:space="preserve">1501 NE 13th Pl  Cape Coral, FL 33909 </t>
  </si>
  <si>
    <t>Ronald Houck</t>
  </si>
  <si>
    <t>20-43-24-c4-05637.0340</t>
  </si>
  <si>
    <t xml:space="preserve">2301 NE 35th Ter </t>
  </si>
  <si>
    <t>Cape Coral Unit 33 Blk.2227 Pb 16 Pg 50 Lot 1 + Lt 45 Blk 2226</t>
  </si>
  <si>
    <t>Evan</t>
  </si>
  <si>
    <t xml:space="preserve">19201 SW 39th Ct  Miramar, FL 33029-2744 </t>
  </si>
  <si>
    <t>Township Road 296</t>
  </si>
  <si>
    <t xml:space="preserve">1501 NE 43rd Ter </t>
  </si>
  <si>
    <t>Randal N Birkelbach and Edith J Birkelbach Revocable Living</t>
  </si>
  <si>
    <t xml:space="preserve">4441 NE Connection Ave  Cape Coral, FL 33909 </t>
  </si>
  <si>
    <t>Grasso</t>
  </si>
  <si>
    <t>Hugh &amp; Peggy Smith</t>
  </si>
  <si>
    <t>Peter Gentile</t>
  </si>
  <si>
    <t xml:space="preserve">1215 NE 5th Pl  Cape Coral, FL 33909 </t>
  </si>
  <si>
    <t xml:space="preserve">4 Ikiaweg  Middle River, MD 21220 </t>
  </si>
  <si>
    <t>Cape Coral Unit 87 Blk 5742 Pb 24 Pg 69 Lots 46 + 47</t>
  </si>
  <si>
    <t xml:space="preserve">3445 NE 11th Pl  Cape Coral, FL 33909 </t>
  </si>
  <si>
    <t xml:space="preserve">4101 NE 16th Ave </t>
  </si>
  <si>
    <t>Rs-D</t>
  </si>
  <si>
    <t>33901-2518</t>
  </si>
  <si>
    <t xml:space="preserve">PO Box 1023  Jamesport, NY 11947-1023 </t>
  </si>
  <si>
    <t>31-43-24-c2-02130.0330</t>
  </si>
  <si>
    <t xml:space="preserve">1918 Andalusia Blvd  Cape Coral, FL 33909 </t>
  </si>
  <si>
    <t>11228-2013</t>
  </si>
  <si>
    <t>Emilie</t>
  </si>
  <si>
    <t xml:space="preserve">PO Box 3794  Huntington Beach, CA 92605-3794 </t>
  </si>
  <si>
    <t xml:space="preserve">10091 Parkwood Dr </t>
  </si>
  <si>
    <t xml:space="preserve">6 Hunns Lake Rd  Stanfordville, NY 12581-5937 </t>
  </si>
  <si>
    <t>Cape Coral Unit 35 Blk 2411 Pb 16 Pg 110 Lots 65 Thru 68</t>
  </si>
  <si>
    <t>Odom</t>
  </si>
  <si>
    <t xml:space="preserve">351 NE 19th Ter </t>
  </si>
  <si>
    <t>Brian &amp; Eva Vargyas</t>
  </si>
  <si>
    <t xml:space="preserve">2035 NE 34th St </t>
  </si>
  <si>
    <t>Littlefield</t>
  </si>
  <si>
    <t xml:space="preserve">4323 NE 13th Pl </t>
  </si>
  <si>
    <t>R094</t>
  </si>
  <si>
    <t>Logan</t>
  </si>
  <si>
    <t>Bitong</t>
  </si>
  <si>
    <t>Twilight</t>
  </si>
  <si>
    <t>Winding Creek</t>
  </si>
  <si>
    <t xml:space="preserve">3311 NE 9th Ave  Cape Coral, FL 33909 </t>
  </si>
  <si>
    <t>Yang Chen</t>
  </si>
  <si>
    <t xml:space="preserve">1001 NE 4th Pl  Cape Coral, FL 33909 </t>
  </si>
  <si>
    <t xml:space="preserve">4140 NE 9th Pl  Cape Coral, FL 33909 </t>
  </si>
  <si>
    <t xml:space="preserve">PO Box 304  Paxton, IL 60957 </t>
  </si>
  <si>
    <t>33129-1825</t>
  </si>
  <si>
    <t>11-44-25-07-00000.1630</t>
  </si>
  <si>
    <t>Chrisanne Montano</t>
  </si>
  <si>
    <t xml:space="preserve">11023 Viacha Dr  San Diego, CA 92124-3424 </t>
  </si>
  <si>
    <t xml:space="preserve">479 Lous Frederic Ducres </t>
  </si>
  <si>
    <t>33909-1916</t>
  </si>
  <si>
    <t>Cape Coral Unit 36 Blk 2345 Pb 16 Pg 124 Lots 46 + 47</t>
  </si>
  <si>
    <t>Cape Coral Unit 36 Blk 2355 Pb 16 Pg 120 Lots 70 + 71</t>
  </si>
  <si>
    <t xml:space="preserve">4414 NE 22nd Ave </t>
  </si>
  <si>
    <t>Cape Coral Unit 84 Blk 5551 Pb 24 Pg 39 Lots 53 + 54</t>
  </si>
  <si>
    <t xml:space="preserve">5214 Pineland Daisy Trl </t>
  </si>
  <si>
    <t xml:space="preserve">10641 Brookview Dr  Zeeland, MI 49464-6823 </t>
  </si>
  <si>
    <t>87031-9042</t>
  </si>
  <si>
    <t>Glen Burnie</t>
  </si>
  <si>
    <t xml:space="preserve">500 Three Islands Blvd L27, Hallandale Beach, FL 33009-2801 </t>
  </si>
  <si>
    <t xml:space="preserve">10380 S State Rd  Goodrich, MI 48438-8883 </t>
  </si>
  <si>
    <t>33909-6421</t>
  </si>
  <si>
    <t xml:space="preserve">1242 SW Pine Island Rd #42 </t>
  </si>
  <si>
    <t xml:space="preserve">2210 NE 2nd St  Cape Coral, FL 33909 </t>
  </si>
  <si>
    <t xml:space="preserve">Po Box 52033 </t>
  </si>
  <si>
    <t>Cobra</t>
  </si>
  <si>
    <t>28906-5425</t>
  </si>
  <si>
    <t>Cape Coral Unit 36 Pt 1 Blk 2494 Pb 23 Pg 91 Lots 7 + 8</t>
  </si>
  <si>
    <t xml:space="preserve">1401 Howlett Cir </t>
  </si>
  <si>
    <t>Cape Coral Unit 87 Blk 5706 Pb 24 Pg 71 Lot 48</t>
  </si>
  <si>
    <t xml:space="preserve">3713 Kelsey St </t>
  </si>
  <si>
    <t xml:space="preserve">3607 NE 12th Ct  Cape Coral, FL 33909 </t>
  </si>
  <si>
    <t xml:space="preserve">14602 Old Olga Rd </t>
  </si>
  <si>
    <t>Cape Coral Unit 34 Blk 2439 Pb 16 Pg 84 Lots 29 Thru 31</t>
  </si>
  <si>
    <t>33909-6132</t>
  </si>
  <si>
    <t xml:space="preserve">105 Orchard St  Adams, MA 01220-9505 </t>
  </si>
  <si>
    <t># 7</t>
  </si>
  <si>
    <t>33467-7033</t>
  </si>
  <si>
    <t xml:space="preserve">10260 NW 63rd Ter #214, Doral, FL 33178-3076 </t>
  </si>
  <si>
    <t>Cypress Trail Rv Resort As Desc In Inst# 2013000212499 Lot 174</t>
  </si>
  <si>
    <t>33909-3366</t>
  </si>
  <si>
    <t>Makarowski</t>
  </si>
  <si>
    <t>Waynesboro</t>
  </si>
  <si>
    <t>32-43-24-c1-02285.0010</t>
  </si>
  <si>
    <t xml:space="preserve">165 Fitzmaurice St </t>
  </si>
  <si>
    <t>Cape Coral Unit 84 Blk 5576 Pb 24 Pg 45 Lots 41 + 42</t>
  </si>
  <si>
    <t>Sd Highway 20</t>
  </si>
  <si>
    <t xml:space="preserve">10900 Cobble Run </t>
  </si>
  <si>
    <t>Ashburn</t>
  </si>
  <si>
    <t>36-44-23-c1-00925.0050</t>
  </si>
  <si>
    <t>10606-3616</t>
  </si>
  <si>
    <t>Iowa City</t>
  </si>
  <si>
    <t>12-44-23-c3-03594.0270</t>
  </si>
  <si>
    <t xml:space="preserve">4132 NE 22nd Ave </t>
  </si>
  <si>
    <t>Allen &amp; Elizabeth Skaarup</t>
  </si>
  <si>
    <t xml:space="preserve">910 NE 23rd Ter </t>
  </si>
  <si>
    <t>Cape Coral Unit 47 Pt 2 Blk 3528 Pb 23 Pg 116 Lots 28 + 29</t>
  </si>
  <si>
    <t>Cape Coral Unit 36 Blk 2353 Pb 16 Pg 120 Lots 14 + 15</t>
  </si>
  <si>
    <t>Sirus</t>
  </si>
  <si>
    <t>91784-7987</t>
  </si>
  <si>
    <t xml:space="preserve">422 Dickinson Rd  Wenonah, NJ 08090-1309 </t>
  </si>
  <si>
    <t>19-43-24-c3-05619.0030</t>
  </si>
  <si>
    <t>Meriam</t>
  </si>
  <si>
    <t>Jersey</t>
  </si>
  <si>
    <t xml:space="preserve">161 Perfect Dr </t>
  </si>
  <si>
    <t>Amanda &amp; For Gustafson</t>
  </si>
  <si>
    <t xml:space="preserve">3608 Nixon Rd  Holiday, FL 34691-3275 </t>
  </si>
  <si>
    <t>Ahmed</t>
  </si>
  <si>
    <t>21029-1820</t>
  </si>
  <si>
    <t xml:space="preserve">38 Sharon Dr  Coram, NY 11727-1923 </t>
  </si>
  <si>
    <t xml:space="preserve">2125 NE 10th Pl </t>
  </si>
  <si>
    <t xml:space="preserve">1317 NE 9th Ave </t>
  </si>
  <si>
    <t>Dong</t>
  </si>
  <si>
    <t>Cobb &amp; Pauline Tarpley</t>
  </si>
  <si>
    <t>B050</t>
  </si>
  <si>
    <t xml:space="preserve">4101 NE 10th Pl </t>
  </si>
  <si>
    <t>Ceredo</t>
  </si>
  <si>
    <t>County Highway 42</t>
  </si>
  <si>
    <t>33905-7704</t>
  </si>
  <si>
    <t>PO Box 2150</t>
  </si>
  <si>
    <t>Sheryl E Wilkie &amp; Sheryl Wilkie</t>
  </si>
  <si>
    <t>03-44-26-13-00071.0160</t>
  </si>
  <si>
    <t xml:space="preserve">15346 Myrtle St  Fort Myers, FL 33908 </t>
  </si>
  <si>
    <t xml:space="preserve">171 Bear Creek Rd </t>
  </si>
  <si>
    <t xml:space="preserve">27 Old Gate Ln  Stony Point, NY 10980 </t>
  </si>
  <si>
    <t>Schraen</t>
  </si>
  <si>
    <t xml:space="preserve">5151 Cypress Trail Resort Cir </t>
  </si>
  <si>
    <t>Rehgebirgsstrasse</t>
  </si>
  <si>
    <t>Cape Coral Unit 36 Blk 2294 Pb 16 Pg 120 Lots 22 + 23</t>
  </si>
  <si>
    <t xml:space="preserve">15 Edmands Rd #414, Framingham, MA 01701-3079 </t>
  </si>
  <si>
    <t>33444-1702</t>
  </si>
  <si>
    <t>17-43-24-c2-05796.0360</t>
  </si>
  <si>
    <t>Yi Jiang</t>
  </si>
  <si>
    <t>Cannon</t>
  </si>
  <si>
    <t>18-43-24-c1-05686.0190</t>
  </si>
  <si>
    <t>99645-6972</t>
  </si>
  <si>
    <t xml:space="preserve">6800 Columbia Ave 3v, North Bergen, NJ 07047-3632 </t>
  </si>
  <si>
    <t>Lourdes Dejesus</t>
  </si>
  <si>
    <t xml:space="preserve">5258 Cypress Trail Resort Cir  Fort Myers, FL 33905 </t>
  </si>
  <si>
    <t>Bothell</t>
  </si>
  <si>
    <t xml:space="preserve">908 Kismet Pkwy E </t>
  </si>
  <si>
    <t>Cape Coral Unit 34 Blk 2461 Pb 16 Pg 84 Lots 42 Thru 44</t>
  </si>
  <si>
    <t>Camden</t>
  </si>
  <si>
    <t>16-44-26-08-00029.0030</t>
  </si>
  <si>
    <t>Maybrook</t>
  </si>
  <si>
    <t>Linda Mayer &amp; John Lynch</t>
  </si>
  <si>
    <t>33909-4535</t>
  </si>
  <si>
    <t>13-45-23-c4-00150.0550</t>
  </si>
  <si>
    <t>19-43-24-c4-05566.0430</t>
  </si>
  <si>
    <t>Tioga</t>
  </si>
  <si>
    <t>Roscoe</t>
  </si>
  <si>
    <t>Merryknoll</t>
  </si>
  <si>
    <t xml:space="preserve">3690 Maple Ave </t>
  </si>
  <si>
    <t>Culpeper</t>
  </si>
  <si>
    <t>Baptiste</t>
  </si>
  <si>
    <t>Nermin</t>
  </si>
  <si>
    <t xml:space="preserve">1082 Harmony Ln  Clermont, FL 34711-9019 </t>
  </si>
  <si>
    <t>Tomg</t>
  </si>
  <si>
    <t>Cape Coral Unit 87 Blk 5706 Pb 24 Pg 72 Lots 3 + 4</t>
  </si>
  <si>
    <t>R040</t>
  </si>
  <si>
    <t xml:space="preserve">1830 NE 11th Ln </t>
  </si>
  <si>
    <t>44081-9539</t>
  </si>
  <si>
    <t>Tramontana</t>
  </si>
  <si>
    <t xml:space="preserve">2800 NE 6th Pl  Cape Coral, FL 33909 </t>
  </si>
  <si>
    <t>12-46-23-02-00000.0340</t>
  </si>
  <si>
    <t xml:space="preserve">2900 NE 5th Pl </t>
  </si>
  <si>
    <t xml:space="preserve">1 Equity Way </t>
  </si>
  <si>
    <t>Mishawaka</t>
  </si>
  <si>
    <t>Narragansett Villas</t>
  </si>
  <si>
    <t>Theresa Williamson &amp; William Mosher</t>
  </si>
  <si>
    <t xml:space="preserve">56 Nathan Cutler Dr </t>
  </si>
  <si>
    <t>Carolina Vergara</t>
  </si>
  <si>
    <t xml:space="preserve">3321 NE 15th Pl  Cape Coral, FL 33909 </t>
  </si>
  <si>
    <t xml:space="preserve">PO Box 76  Clintondale, NY 12515 </t>
  </si>
  <si>
    <t>Harry Ha</t>
  </si>
  <si>
    <t xml:space="preserve">25 Dutton St </t>
  </si>
  <si>
    <t>01-44-23-c4-02413.0170</t>
  </si>
  <si>
    <t>Phuong Le</t>
  </si>
  <si>
    <t xml:space="preserve">16540 Arbor Ridge Dr  Fort Myers, FL 33908 </t>
  </si>
  <si>
    <t>Cape Coral Unit 87 Blk 5726 Pb 24 Pg 85 Lots 4 + 5</t>
  </si>
  <si>
    <t>36-43-23-c2-02527.0360</t>
  </si>
  <si>
    <t>CZ</t>
  </si>
  <si>
    <t>Stephen &amp; Novia Chang</t>
  </si>
  <si>
    <t>44145-4373</t>
  </si>
  <si>
    <t>Lazy River</t>
  </si>
  <si>
    <t>Indira</t>
  </si>
  <si>
    <t xml:space="preserve">5742 Burrwood Ct </t>
  </si>
  <si>
    <t>Chatfield</t>
  </si>
  <si>
    <t>Hausbach</t>
  </si>
  <si>
    <t xml:space="preserve">5691 Cypress Woods Resort Dr  Fort Myers, FL 33905 </t>
  </si>
  <si>
    <t>11-44-25-11-00000.0620</t>
  </si>
  <si>
    <t xml:space="preserve">109 NE 29th St  Cape Coral, FL 33909 </t>
  </si>
  <si>
    <t>American &amp; Maria Angela Garcia</t>
  </si>
  <si>
    <t>20-43-24-c4-05636.0050</t>
  </si>
  <si>
    <t xml:space="preserve">6010 SW 9th Ter  West Miami, FL 33144-5002 </t>
  </si>
  <si>
    <t xml:space="preserve">1 Kinellan Rd </t>
  </si>
  <si>
    <t>33909-5219</t>
  </si>
  <si>
    <t>Tallahassee</t>
  </si>
  <si>
    <t>Cape Coral Unit 35 Blk 2404 Pb 16 Pg 109 Lots 26 + 27</t>
  </si>
  <si>
    <t>Cape Coral Unit 35 Blk.2361 Pb 16 Pg 105 Lots 17 + 18</t>
  </si>
  <si>
    <t>Paul Samuel</t>
  </si>
  <si>
    <t>Ashley Suddarth</t>
  </si>
  <si>
    <t>31-44-24-c2-00640.0650</t>
  </si>
  <si>
    <t>Somerton</t>
  </si>
  <si>
    <t xml:space="preserve">1122 NE 11th Ter </t>
  </si>
  <si>
    <t>40299-2307</t>
  </si>
  <si>
    <t xml:space="preserve">119 Dehaven Dr #236, Yonkers, NY 10703-1310 </t>
  </si>
  <si>
    <t>PF</t>
  </si>
  <si>
    <t>33909-3312</t>
  </si>
  <si>
    <t>Pilot</t>
  </si>
  <si>
    <t xml:space="preserve">339 Diplomat Pkwy E </t>
  </si>
  <si>
    <t>57501-3135</t>
  </si>
  <si>
    <t xml:space="preserve">2220 NE 26th Ter  Cape Coral, FL 33909 </t>
  </si>
  <si>
    <t xml:space="preserve">4549 E Riverside Dr </t>
  </si>
  <si>
    <t>33909-6470</t>
  </si>
  <si>
    <t>Cape Coral Unit 36 Blk 2327B Pb 16 Pg 128 Lots 33 34 + 35</t>
  </si>
  <si>
    <t>Americas Cup</t>
  </si>
  <si>
    <t xml:space="preserve">9301 SW 13th St </t>
  </si>
  <si>
    <t>Cape Coral Unit 46 Blk 3586 Pb 17 Pg 126 Lots 41 + 42</t>
  </si>
  <si>
    <t xml:space="preserve">1407 NE 33rd St </t>
  </si>
  <si>
    <t xml:space="preserve">Clemensstrasse 19 A </t>
  </si>
  <si>
    <t xml:space="preserve">11702 SW 144th Ct </t>
  </si>
  <si>
    <t>Cape Coral Unit 84 Blk 5595 Pb 24 Pg 41 Lots 14 + 15</t>
  </si>
  <si>
    <t>Seidenberg Sharon Tr</t>
  </si>
  <si>
    <t xml:space="preserve">152 Ginger Hill Ct  Glen Carbon, IL 62034-3506 </t>
  </si>
  <si>
    <t>Meadowlake</t>
  </si>
  <si>
    <t>20-43-24-c1-05650.0050</t>
  </si>
  <si>
    <t xml:space="preserve">20 Atlas Ln  Hicksville, NY 11801-4418 </t>
  </si>
  <si>
    <t xml:space="preserve">27 Fichter St </t>
  </si>
  <si>
    <t>Ciraco</t>
  </si>
  <si>
    <t>Sengs Subd No 2 Pb 10 Pg 20 Lot 43</t>
  </si>
  <si>
    <t>33319-2466</t>
  </si>
  <si>
    <t xml:space="preserve">Po Box 181 </t>
  </si>
  <si>
    <t xml:space="preserve">4418 NE Connection Ave  Cape Coral, FL 33909 </t>
  </si>
  <si>
    <t xml:space="preserve">2016 NE 6th Pl </t>
  </si>
  <si>
    <t xml:space="preserve">26 NE 9th Ave </t>
  </si>
  <si>
    <t xml:space="preserve">85 Chemin Du Beav Veze </t>
  </si>
  <si>
    <t>Cape Coral Unit 36 Pt 1 Blk 2501 Pb 23 Pg 93 Lots 35 + 36</t>
  </si>
  <si>
    <t xml:space="preserve">9 Chapel St  Newburyport, MA 01950-2005 </t>
  </si>
  <si>
    <t xml:space="preserve">1810 SW 5th Ave 2a </t>
  </si>
  <si>
    <t xml:space="preserve">7819 79th Pl </t>
  </si>
  <si>
    <t>Arletfia &amp; Larry Jackson</t>
  </si>
  <si>
    <t xml:space="preserve">3716 NE 15th Pl </t>
  </si>
  <si>
    <t>Urquico</t>
  </si>
  <si>
    <t xml:space="preserve">Po Box 83 </t>
  </si>
  <si>
    <t>Nettie &amp; For Reynolds</t>
  </si>
  <si>
    <t>25-43-23-c1-02300.a750</t>
  </si>
  <si>
    <t>Marin</t>
  </si>
  <si>
    <t xml:space="preserve">1729 NE 6th Pl </t>
  </si>
  <si>
    <t xml:space="preserve">7660 Hawk View Rd </t>
  </si>
  <si>
    <t xml:space="preserve">1607 Harbor Pointe Pkwy  Atlanta, GA 30350-5838 </t>
  </si>
  <si>
    <t xml:space="preserve">1905 Cannon Ct  Schaumburg, IL 60193-2302 </t>
  </si>
  <si>
    <t>33909-4388</t>
  </si>
  <si>
    <t>For Linda K Siscoe Trust</t>
  </si>
  <si>
    <t>Lehigh Acres Unit 12 W Pt Blk 68 Pb 26 Pg 16 Lots 9 + 10</t>
  </si>
  <si>
    <t>David &amp; Laura Medina</t>
  </si>
  <si>
    <t>John &amp; For Manhardt</t>
  </si>
  <si>
    <t xml:space="preserve">1512 NE 19th Ave </t>
  </si>
  <si>
    <t xml:space="preserve">1814 SE 44th St </t>
  </si>
  <si>
    <t xml:space="preserve">308 Shoreland Dr  Fort Myers, FL 33905 </t>
  </si>
  <si>
    <t>Lehigh Acres Unit 9 Blk 45 Pb 26 Pg 11 Lot 4</t>
  </si>
  <si>
    <t xml:space="preserve">11666 NW 91st Ave  Hialeah, FL 33018-4157 </t>
  </si>
  <si>
    <t xml:space="preserve">2558 SE Rookery Dr #2307, Naples, FL 34114 </t>
  </si>
  <si>
    <t>Rathbun</t>
  </si>
  <si>
    <t xml:space="preserve">6240 Astoria Ave </t>
  </si>
  <si>
    <t xml:space="preserve">52 Miller Rd  Broad Brook, CT 06016-9676 </t>
  </si>
  <si>
    <t xml:space="preserve">1874 Hart St 2l </t>
  </si>
  <si>
    <t>75078-2069</t>
  </si>
  <si>
    <t xml:space="preserve">7402 21st Ave  East Elmhurst, NY 11370-1119 </t>
  </si>
  <si>
    <t xml:space="preserve">5273 Cypress Trail Resort Cir </t>
  </si>
  <si>
    <t>H034</t>
  </si>
  <si>
    <t xml:space="preserve">1096 Home Ave </t>
  </si>
  <si>
    <t>Cape Coral Unit 47 Pt 2 Blk 3521 Pb 23 Pg 125 Lots 23 Thru 25</t>
  </si>
  <si>
    <t xml:space="preserve">641 Woodside Ave </t>
  </si>
  <si>
    <t>33905-1829</t>
  </si>
  <si>
    <t>Springdale</t>
  </si>
  <si>
    <t xml:space="preserve">321 NE 43rd St </t>
  </si>
  <si>
    <t xml:space="preserve">1401 E Navajo Dr #506, Hobbs, NM 88240-9437 </t>
  </si>
  <si>
    <t xml:space="preserve">1102 Mccormick Dr  Fenton, MI 48430-1507 </t>
  </si>
  <si>
    <t>Zunilda</t>
  </si>
  <si>
    <t>25-43-23-c4-02307.0070</t>
  </si>
  <si>
    <t>Akron</t>
  </si>
  <si>
    <t>Cape Coral Unit 88 Blk 5799 Pb 24 Pg 137 Lots 49 + 50</t>
  </si>
  <si>
    <t>Gable Landing</t>
  </si>
  <si>
    <t>33904-3964</t>
  </si>
  <si>
    <t>Cape Coral Unit 84 Blk 5559 Pb 24 Pg 31 Lots 64 + 65</t>
  </si>
  <si>
    <t>Waded</t>
  </si>
  <si>
    <t>18-43-24-c2-05723.0290</t>
  </si>
  <si>
    <t xml:space="preserve">191 Lexington Ave </t>
  </si>
  <si>
    <t>97229-8204</t>
  </si>
  <si>
    <t>Regalado</t>
  </si>
  <si>
    <t>Pistakee Lake</t>
  </si>
  <si>
    <t xml:space="preserve">19681 Summerlin Rd #202 </t>
  </si>
  <si>
    <t>34120-1437</t>
  </si>
  <si>
    <t>William &amp; Mary Robins</t>
  </si>
  <si>
    <t>Cape Coral Unit 33 Blk 2202 Pb 16 Pg 45 Lots 33 + 34</t>
  </si>
  <si>
    <t>33909-8901</t>
  </si>
  <si>
    <t>C072</t>
  </si>
  <si>
    <t xml:space="preserve">97 Evans Ave  Freeport, NY 11520-1405 </t>
  </si>
  <si>
    <t xml:space="preserve">2104 NE 22nd Ave  Cape Coral, FL 33909 </t>
  </si>
  <si>
    <t xml:space="preserve">3742 NE 13th Ave  Cape Coral, FL 33909 </t>
  </si>
  <si>
    <t>64029-8005</t>
  </si>
  <si>
    <t>Cape Coral Unit 36 Pt 1 Blk 2512 Pb 23 Pg 88 Lots 7 + 8</t>
  </si>
  <si>
    <t xml:space="preserve">3745 SE 1st Ave  Cape Coral, FL 33904 </t>
  </si>
  <si>
    <t>11-44-25-l1-13000.0800</t>
  </si>
  <si>
    <t xml:space="preserve">86 New Hackensack Rd </t>
  </si>
  <si>
    <t>Raleigh</t>
  </si>
  <si>
    <t>Edgardo</t>
  </si>
  <si>
    <t>33909-3165</t>
  </si>
  <si>
    <t>Itzig</t>
  </si>
  <si>
    <t xml:space="preserve">6123 Holt Ct </t>
  </si>
  <si>
    <t>John Hung</t>
  </si>
  <si>
    <t>19078-2324</t>
  </si>
  <si>
    <t>M8X 2T1</t>
  </si>
  <si>
    <t xml:space="preserve">1340 NE 33rd St </t>
  </si>
  <si>
    <t>Liliana &amp; Manual Vazquez</t>
  </si>
  <si>
    <t>Wakako</t>
  </si>
  <si>
    <t>Oscar Alvarez</t>
  </si>
  <si>
    <t>Lavian</t>
  </si>
  <si>
    <t xml:space="preserve">10181 Shadowood Ct  Fort Myers, FL 33905 </t>
  </si>
  <si>
    <t>Cape Coral Unit 36 Blk 2340 Pb 16 Pg 127 Lots 17 + 18</t>
  </si>
  <si>
    <t>33173-1014</t>
  </si>
  <si>
    <t>Danny &amp; Susan Vandyke</t>
  </si>
  <si>
    <t>10463-6430</t>
  </si>
  <si>
    <t>Deeanna</t>
  </si>
  <si>
    <t>25-43-23-c1-02321.0070</t>
  </si>
  <si>
    <t>Cape Coral Unit 32 Blk.2138 Pb 16 Pg 9 Lots 15 + 16</t>
  </si>
  <si>
    <t>36-43-23-c3-02146.0080</t>
  </si>
  <si>
    <t>07206-1622</t>
  </si>
  <si>
    <t>Lehigh Acres Unit 10 Blk 49 Pb 26 Pg 12 Lot 17</t>
  </si>
  <si>
    <t>Yelena</t>
  </si>
  <si>
    <t xml:space="preserve">1021 NE 2nd Ave  Cape Coral, FL 33909 </t>
  </si>
  <si>
    <t xml:space="preserve">3715 Trent St </t>
  </si>
  <si>
    <t xml:space="preserve">1918 NE 17th Ave  Cape Coral, FL 33909 </t>
  </si>
  <si>
    <t>Cape Coral Unit 36 Blk 2533 Pb 16 Pg 117 Lots 28 + 29</t>
  </si>
  <si>
    <t xml:space="preserve">1217 SE 31st St  Cape Coral, FL 33904 </t>
  </si>
  <si>
    <t>06-44-24-c1-02097.0510</t>
  </si>
  <si>
    <t xml:space="preserve">4868 Archie Ln  Fort Myers, FL 33905 </t>
  </si>
  <si>
    <t>29-43-24-c4-02259.0010</t>
  </si>
  <si>
    <t>Thomas Kuchera &amp; Josephine Celano</t>
  </si>
  <si>
    <t xml:space="preserve">2415 NE 20th Ave  Cape Coral, FL 33909 </t>
  </si>
  <si>
    <t xml:space="preserve">311 NE 25th St </t>
  </si>
  <si>
    <t>33904-2741</t>
  </si>
  <si>
    <t xml:space="preserve">40 Palomino Dr </t>
  </si>
  <si>
    <t>Santos &amp; Rosa Cuevas</t>
  </si>
  <si>
    <t xml:space="preserve">8615 Kenton Rd </t>
  </si>
  <si>
    <t>Stone Investment &amp; Steven Stone</t>
  </si>
  <si>
    <t xml:space="preserve">3811 2nd Ave SE </t>
  </si>
  <si>
    <t xml:space="preserve">811 W Oriole Way </t>
  </si>
  <si>
    <t>17-43-24-c4-05761.0080</t>
  </si>
  <si>
    <t xml:space="preserve">1045 White Alder Ave  Chula Vista, CA 91914-2609 </t>
  </si>
  <si>
    <t xml:space="preserve">4409 NE 15th Ave </t>
  </si>
  <si>
    <t>Nussdorf</t>
  </si>
  <si>
    <t>Ft Myers Shores Unit 5 Blk 84 Pb 16 Pg 69 Lot 39</t>
  </si>
  <si>
    <t xml:space="preserve">5269 Cypress Trail Resort Cir </t>
  </si>
  <si>
    <t>Divina Reyes</t>
  </si>
  <si>
    <t>Manuel &amp; Kathleen Sousa</t>
  </si>
  <si>
    <t xml:space="preserve">5 Durlacher St </t>
  </si>
  <si>
    <t xml:space="preserve">PO Box 86  Reedsville, WV 26547 </t>
  </si>
  <si>
    <t>Cape Coral Unit 87 Blk 5752 Pb 24 Pg 68 Lots 41 + 42</t>
  </si>
  <si>
    <t xml:space="preserve">531 NE 5th Pl </t>
  </si>
  <si>
    <t>33909-3361</t>
  </si>
  <si>
    <t>Chanhassen</t>
  </si>
  <si>
    <t>33905-7503</t>
  </si>
  <si>
    <t xml:space="preserve">404 SE 29th St  Cape Coral, FL 33904 </t>
  </si>
  <si>
    <t xml:space="preserve">1729 NE 16th Pl </t>
  </si>
  <si>
    <t>Manuel Aguiar &amp; For Cape</t>
  </si>
  <si>
    <t>Fraser</t>
  </si>
  <si>
    <t xml:space="preserve">1417 NE 37th St </t>
  </si>
  <si>
    <t>Mabry</t>
  </si>
  <si>
    <t>69th</t>
  </si>
  <si>
    <t>Cape Coral Unit 25 Blk.823 Pb 14 Pg 93 Lots 18 + 19</t>
  </si>
  <si>
    <t>25-43-23-c2-02347.0130</t>
  </si>
  <si>
    <t>Cape Coral Unit 32 Blk 2138 Pb 16 Pg 12 Lots 37 + 38</t>
  </si>
  <si>
    <t>Cape Coral Unit 87 Blk 5742 Pb 24 Pg 69 Lots 44 + 45</t>
  </si>
  <si>
    <t>Peter Lemcke &amp; Peter For</t>
  </si>
  <si>
    <t>Cape Coral Unit 85 Blk 5642 Pb 24 Pg 55 Lots 17 + 18</t>
  </si>
  <si>
    <t>01-44-23-c2-02452.0190</t>
  </si>
  <si>
    <t>Reder</t>
  </si>
  <si>
    <t>19-43-24-c3-05608.0450</t>
  </si>
  <si>
    <t xml:space="preserve">519 NE 5th Ave </t>
  </si>
  <si>
    <t>Durango</t>
  </si>
  <si>
    <t>Rosewood</t>
  </si>
  <si>
    <t>33909-4334</t>
  </si>
  <si>
    <t>For David H Gruber &amp; Cindy L Gruber Trust</t>
  </si>
  <si>
    <t>Doncaster S Yorks</t>
  </si>
  <si>
    <t>Central Islip</t>
  </si>
  <si>
    <t>Cape Coral Unit 84 Blk 5605 Pb 24 Pg 42 Lots 9 + 10</t>
  </si>
  <si>
    <t>Pulpit</t>
  </si>
  <si>
    <t>Carett</t>
  </si>
  <si>
    <t>Anuradha</t>
  </si>
  <si>
    <t>Aleman</t>
  </si>
  <si>
    <t xml:space="preserve">2226 NE 24th Ter </t>
  </si>
  <si>
    <t xml:space="preserve">2741 Garnet Ridge Dr B </t>
  </si>
  <si>
    <t>75002-1649</t>
  </si>
  <si>
    <t xml:space="preserve">3719 NE 12th Ave </t>
  </si>
  <si>
    <t xml:space="preserve">349 Kingston Dr S  Fort Myers, FL 33905 </t>
  </si>
  <si>
    <t>33033-6231</t>
  </si>
  <si>
    <t xml:space="preserve">483 Bush Rd  Atglen, PA 19310-9686 </t>
  </si>
  <si>
    <t xml:space="preserve">26 Windmill Rd </t>
  </si>
  <si>
    <t>Sehija &amp; Senad Muminovic</t>
  </si>
  <si>
    <t xml:space="preserve">2307 NE 16th Ter  Cape Coral, FL 33909 </t>
  </si>
  <si>
    <t>25-43-23-c4-02298.b080</t>
  </si>
  <si>
    <t>33908-3022</t>
  </si>
  <si>
    <t xml:space="preserve">1819 NE 13th Ter  Cape Coral, FL 33909 </t>
  </si>
  <si>
    <t>33904-5817</t>
  </si>
  <si>
    <t>Geo &amp; Norabell Diener</t>
  </si>
  <si>
    <t>16-44-26-07-00022.0010</t>
  </si>
  <si>
    <t xml:space="preserve">1723 NE 33rd St  Cape Coral, FL 33909 </t>
  </si>
  <si>
    <t>32-43-24-c1-02244.0560</t>
  </si>
  <si>
    <t>Marsyal &amp; Rustica Atienza</t>
  </si>
  <si>
    <t>Lake Bosse View</t>
  </si>
  <si>
    <t>Sindura</t>
  </si>
  <si>
    <t>Shrs</t>
  </si>
  <si>
    <t xml:space="preserve">10090 Stonewood Dr  Fort Myers, FL 33905 </t>
  </si>
  <si>
    <t>33904-3910</t>
  </si>
  <si>
    <t xml:space="preserve">1403 NE 18th Ter </t>
  </si>
  <si>
    <t>Abigail Tamru</t>
  </si>
  <si>
    <t>29-43-26-03-00037.0200</t>
  </si>
  <si>
    <t xml:space="preserve">1105 Colts Cir </t>
  </si>
  <si>
    <t xml:space="preserve">260 Shelton Cir  Temple, GA 30179-5496 </t>
  </si>
  <si>
    <t>Marshall</t>
  </si>
  <si>
    <t xml:space="preserve">5100 Cypress Trail Resort Cir </t>
  </si>
  <si>
    <t>Poway</t>
  </si>
  <si>
    <t>Cape Coral Unit 34 Blk 2466 Pb 16 Pg 75 Lots 77 + 78</t>
  </si>
  <si>
    <t xml:space="preserve">511 NE 15th St </t>
  </si>
  <si>
    <t>Grizel</t>
  </si>
  <si>
    <t>Burdett</t>
  </si>
  <si>
    <t xml:space="preserve">1216 NE 12th Pl  Cape Coral, FL 33909 </t>
  </si>
  <si>
    <t>Maritza</t>
  </si>
  <si>
    <t xml:space="preserve">1216 N Gator Cir </t>
  </si>
  <si>
    <t>33410-1456</t>
  </si>
  <si>
    <t xml:space="preserve">210 Holder Farm Rd  Lewisville, NC 27023-8373 </t>
  </si>
  <si>
    <t xml:space="preserve">828 Vogiantzis Pkwy  Cape Coral, FL 33909 </t>
  </si>
  <si>
    <t xml:space="preserve">1330 NE 33rd Ter  Cape Coral, FL 33909 </t>
  </si>
  <si>
    <t>Cozumel</t>
  </si>
  <si>
    <t>William S Venizelos Trust</t>
  </si>
  <si>
    <t>Derrick</t>
  </si>
  <si>
    <t>19-43-24-c3-05609.0250</t>
  </si>
  <si>
    <t xml:space="preserve">1704 N Bell St #208, Fremont, NE 68025-3159 </t>
  </si>
  <si>
    <t xml:space="preserve">1423 SE 32nd Ter  Cape Coral, FL 33904 </t>
  </si>
  <si>
    <t>12-46-23-06-00000.6950</t>
  </si>
  <si>
    <t xml:space="preserve">3914 Wasp St </t>
  </si>
  <si>
    <t xml:space="preserve">1725 NE Juanita Pl  Cape Coral, FL 33909 </t>
  </si>
  <si>
    <t xml:space="preserve">2204 NE 14th Pl </t>
  </si>
  <si>
    <t>33904-5360</t>
  </si>
  <si>
    <t>60477-2035</t>
  </si>
  <si>
    <t xml:space="preserve">2070 20th Ln 6a </t>
  </si>
  <si>
    <t>Salamia</t>
  </si>
  <si>
    <t>Pacheco</t>
  </si>
  <si>
    <t>For John Nicholas Schultheis Trust</t>
  </si>
  <si>
    <t>West Barnstable</t>
  </si>
  <si>
    <t xml:space="preserve">1911 NW North River Dr 216b, Miami, FL 33125-2270 </t>
  </si>
  <si>
    <t>31-43-24-c1-02161.0600</t>
  </si>
  <si>
    <t>Annie Yu &amp; Mingqian He</t>
  </si>
  <si>
    <t>07-45-24-c4-00330.0210</t>
  </si>
  <si>
    <t>Cape Coral Unit 33 Blk.2239 Pb 16 Pg 52 Lots 1 + 2</t>
  </si>
  <si>
    <t xml:space="preserve">438 Clark St </t>
  </si>
  <si>
    <t>36-43-23-c1-02515.0790</t>
  </si>
  <si>
    <t>Cape Coral Unit 32 Blk 2162 Pb 16 Pg 11 Lots 47 + 48</t>
  </si>
  <si>
    <t>Moreno</t>
  </si>
  <si>
    <t>31-43-24-c4-02103.0470</t>
  </si>
  <si>
    <t>German</t>
  </si>
  <si>
    <t>94521-2760</t>
  </si>
  <si>
    <t>33909-8950</t>
  </si>
  <si>
    <t>Elmsbrook</t>
  </si>
  <si>
    <t>33176-4803</t>
  </si>
  <si>
    <t>Pearl</t>
  </si>
  <si>
    <t>33909-5503</t>
  </si>
  <si>
    <t>Jaggernauth</t>
  </si>
  <si>
    <t xml:space="preserve">1947 SE 32nd Ter  Cape Coral, FL 33904 </t>
  </si>
  <si>
    <t xml:space="preserve">4832 E Riverside Dr  Fort Myers, FL 33905 </t>
  </si>
  <si>
    <t>Pacer</t>
  </si>
  <si>
    <t>25526-9784</t>
  </si>
  <si>
    <t>01-44-23-c3-02422.0260</t>
  </si>
  <si>
    <t>Mark Boyhan</t>
  </si>
  <si>
    <t>13-45-23-c4-00148.0710</t>
  </si>
  <si>
    <t>Vanessa</t>
  </si>
  <si>
    <t>07-45-24-c3-00331.0070</t>
  </si>
  <si>
    <t>Cape Coral Unit 31 Blk 2068 Pb 14 Pg 163 Lots 53 + 54</t>
  </si>
  <si>
    <t>33186-7001</t>
  </si>
  <si>
    <t>33908-1714</t>
  </si>
  <si>
    <t>Gulf Breeze</t>
  </si>
  <si>
    <t>37122-4484</t>
  </si>
  <si>
    <t xml:space="preserve">1631 NE 23rd Ter  Cape Coral, FL 33909 </t>
  </si>
  <si>
    <t xml:space="preserve">19503 Kilfinan St  Porter Ranch, CA 91326-4003 </t>
  </si>
  <si>
    <t>Fullmer</t>
  </si>
  <si>
    <t>Kingsley Chase</t>
  </si>
  <si>
    <t>33312-3609</t>
  </si>
  <si>
    <t xml:space="preserve">12899 NW 2nd St  Miami, FL 33182-1103 </t>
  </si>
  <si>
    <t>Candida &amp; Osvaldo Cabrera</t>
  </si>
  <si>
    <t>Wesley Chapel</t>
  </si>
  <si>
    <t xml:space="preserve">105 Orchard St </t>
  </si>
  <si>
    <t>Mones</t>
  </si>
  <si>
    <t>25-43-23-c4-02296.0320</t>
  </si>
  <si>
    <t>Yalamanchili</t>
  </si>
  <si>
    <t>Lara</t>
  </si>
  <si>
    <t>57469-1255</t>
  </si>
  <si>
    <t xml:space="preserve">Po Box 75341 </t>
  </si>
  <si>
    <t xml:space="preserve">130 Deming Ln </t>
  </si>
  <si>
    <t>Aide</t>
  </si>
  <si>
    <t xml:space="preserve">109 NE 12th Ln  Cape Coral, FL 33909 </t>
  </si>
  <si>
    <t>16-44-26-08-00030.0120</t>
  </si>
  <si>
    <t>Cape Coral Unit 85 Blk 5637 Pb 24 Pg 54 Lots 3 + 4</t>
  </si>
  <si>
    <t>Ted</t>
  </si>
  <si>
    <t xml:space="preserve">523 State St </t>
  </si>
  <si>
    <t>Paradowski</t>
  </si>
  <si>
    <t>Studley</t>
  </si>
  <si>
    <t>33904-5959</t>
  </si>
  <si>
    <t xml:space="preserve">318 Wilderness Dr  Boyce, LA 71409-8619 </t>
  </si>
  <si>
    <t xml:space="preserve">2129 NE 10th Pl </t>
  </si>
  <si>
    <t xml:space="preserve">111 Roe St  Glencoe, ON N0l 1M0 </t>
  </si>
  <si>
    <t>Chollette-Wilson</t>
  </si>
  <si>
    <t xml:space="preserve">941 Gleasman Rd  Roscoe, IL 61073-8293 </t>
  </si>
  <si>
    <t>33909-6868</t>
  </si>
  <si>
    <t xml:space="preserve">1409 Andalusia Blvd  Cape Coral, FL 33909 </t>
  </si>
  <si>
    <t>16-44-26-01-00029.0070</t>
  </si>
  <si>
    <t>Cypress Woods Rv Resort Ut 1 Pb 65 Pg 85 + 86 Blk A Lot 21</t>
  </si>
  <si>
    <t>Rosanna</t>
  </si>
  <si>
    <t>34711-6263</t>
  </si>
  <si>
    <t>Ganem</t>
  </si>
  <si>
    <t>Anh Dang</t>
  </si>
  <si>
    <t xml:space="preserve">456 NE 1st Pl </t>
  </si>
  <si>
    <t xml:space="preserve">522 NE 5th Ct </t>
  </si>
  <si>
    <t>Kiczalis</t>
  </si>
  <si>
    <t>33909-6579</t>
  </si>
  <si>
    <t xml:space="preserve">514 NE 18th St </t>
  </si>
  <si>
    <t>Barrett</t>
  </si>
  <si>
    <t xml:space="preserve">4226 NE 23rd Pl  Cape Coral, FL 33909 </t>
  </si>
  <si>
    <t xml:space="preserve">303 NE 17th Pl </t>
  </si>
  <si>
    <t xml:space="preserve">2429 NE 7th Ave </t>
  </si>
  <si>
    <t>Cape Coral Unit 88 Blk 5815 Pb 24 Pg 139 Lots 9 + 10</t>
  </si>
  <si>
    <t>Andalusia</t>
  </si>
  <si>
    <t>Clara Ayala</t>
  </si>
  <si>
    <t>Fowlerville</t>
  </si>
  <si>
    <t xml:space="preserve">300 Diplomat Pkwy #806, Hallandale Beach, FL 33009-3797 </t>
  </si>
  <si>
    <t xml:space="preserve">5112 Cypress Trail Resort Cir </t>
  </si>
  <si>
    <t>10-46-24-l4-16000.0280</t>
  </si>
  <si>
    <t>J2</t>
  </si>
  <si>
    <t>33909-1225</t>
  </si>
  <si>
    <t>30331-7681</t>
  </si>
  <si>
    <t>11801-4418</t>
  </si>
  <si>
    <t>Cape Coral Unit 33 Blk 2284 Pb 16 Pg 59 Lots 37 + 38</t>
  </si>
  <si>
    <t xml:space="preserve">5700 SW 127th Ave #1112 </t>
  </si>
  <si>
    <t>Cape Coral Unit 34 Blk.2392 Pb 16 Pg 77 Lots 21 + 22</t>
  </si>
  <si>
    <t>06604-1426</t>
  </si>
  <si>
    <t xml:space="preserve">17 Rue De La Penze </t>
  </si>
  <si>
    <t xml:space="preserve">1013 NE 15th St  Cape Coral, FL 33909 </t>
  </si>
  <si>
    <t>Lindsey</t>
  </si>
  <si>
    <t xml:space="preserve">1380 High St </t>
  </si>
  <si>
    <t xml:space="preserve">2530 Bellaire St </t>
  </si>
  <si>
    <t>18-43-24-c3-05748.0060</t>
  </si>
  <si>
    <t>33909-4383</t>
  </si>
  <si>
    <t xml:space="preserve">39 Morgan Rd </t>
  </si>
  <si>
    <t>32-43-24-c4-02227.0420</t>
  </si>
  <si>
    <t>Paul &amp; Victoria Lopiccolo</t>
  </si>
  <si>
    <t>10009-2733</t>
  </si>
  <si>
    <t>Cape Coral Unit 21 Blk.660 Pb 13 Pg 159 Lots 37 + 38</t>
  </si>
  <si>
    <t>01-44-25-01-00011.0010</t>
  </si>
  <si>
    <t>33012-2407</t>
  </si>
  <si>
    <t xml:space="preserve">1148 Pulaski Hwy 107-31, Bear, DE 19701-1305 </t>
  </si>
  <si>
    <t>George Droke &amp; Myra Mcdonald</t>
  </si>
  <si>
    <t>Apostolos &amp; Morfia Alexiadis</t>
  </si>
  <si>
    <t>01-44-23-c1-02462.0320</t>
  </si>
  <si>
    <t xml:space="preserve">1101 N Gator Cir </t>
  </si>
  <si>
    <t xml:space="preserve">2901 Academy Blvd  Cape Coral, FL 33904 </t>
  </si>
  <si>
    <t>Ariane Degunzburg</t>
  </si>
  <si>
    <t>Cape Coral Unit 35 Blk 2404 Pb 16 Pg 109 Lots 24 + 25</t>
  </si>
  <si>
    <t>For Cain Family Trust</t>
  </si>
  <si>
    <t xml:space="preserve">Po Box 30007 </t>
  </si>
  <si>
    <t>Peace</t>
  </si>
  <si>
    <t>11-44-25-l1-1400a.1330</t>
  </si>
  <si>
    <t>18901-4710</t>
  </si>
  <si>
    <t xml:space="preserve">222 NE 13th Ave </t>
  </si>
  <si>
    <t>Cape Coral Unit 33 Blk.2223 Pb 16 Pg 43 Lots 42 + 43</t>
  </si>
  <si>
    <t>11421-2406</t>
  </si>
  <si>
    <t>Voraruk</t>
  </si>
  <si>
    <t>Prior Lake</t>
  </si>
  <si>
    <t>79360-3661</t>
  </si>
  <si>
    <t xml:space="preserve">1819 NE 19th Pl </t>
  </si>
  <si>
    <t>Pussywillow</t>
  </si>
  <si>
    <t>11429-1319</t>
  </si>
  <si>
    <t xml:space="preserve">8027 Lake Dr #204 </t>
  </si>
  <si>
    <t xml:space="preserve">3148 Lucerne Ct </t>
  </si>
  <si>
    <t xml:space="preserve">4013 E Gator Cir  Cape Coral, FL 33909 </t>
  </si>
  <si>
    <t>Mclaughlin</t>
  </si>
  <si>
    <t xml:space="preserve">5591 Cypress Woods Resort Dr </t>
  </si>
  <si>
    <t xml:space="preserve">2684 55th Ter SW </t>
  </si>
  <si>
    <t>46947-6797</t>
  </si>
  <si>
    <t>Cape Coral Unit 33 Blk 2228 Pb 16 Pg 46 Lots 9 + 10</t>
  </si>
  <si>
    <t xml:space="preserve">411 Walnut St #12312 </t>
  </si>
  <si>
    <t>Cape Coral Unit 88 Blk 5770 Pb 24 Pg 128 Lots 25 + 26</t>
  </si>
  <si>
    <t>John Pelaez</t>
  </si>
  <si>
    <t xml:space="preserve">121 NE 15th St  Cape Coral, FL 33909 </t>
  </si>
  <si>
    <t>20-43-24-c2-05667.0380</t>
  </si>
  <si>
    <t>Jose Martinez</t>
  </si>
  <si>
    <t>Pine Grove</t>
  </si>
  <si>
    <t>Cape Coral Unit 33 Blk 2285 Pb 16 Pg 60 Lots 52 + 53</t>
  </si>
  <si>
    <t>Miriam Rodrigues</t>
  </si>
  <si>
    <t>Bamboo</t>
  </si>
  <si>
    <t>139th</t>
  </si>
  <si>
    <t xml:space="preserve">3315 NE 8th Pl  Cape Coral, FL 33909 </t>
  </si>
  <si>
    <t>Joseph &amp; Marie Smith</t>
  </si>
  <si>
    <t>11223-6002</t>
  </si>
  <si>
    <t>Mostefai</t>
  </si>
  <si>
    <t>32-43-24-c4-02228.0220</t>
  </si>
  <si>
    <t>Ricardo Lozano &amp; Ana Pinzon</t>
  </si>
  <si>
    <t xml:space="preserve">92-1160 Pueonani St  Kapolei, HI 96707-2838 </t>
  </si>
  <si>
    <t>25-43-23-c2-02335.0750</t>
  </si>
  <si>
    <t xml:space="preserve">11200 NW 59th Ct </t>
  </si>
  <si>
    <t>25-43-23-c4-02309.0700</t>
  </si>
  <si>
    <t>Pigeon</t>
  </si>
  <si>
    <t xml:space="preserve">13 Royal Ct At Waterford </t>
  </si>
  <si>
    <t>Jacqueline &amp; John Markham</t>
  </si>
  <si>
    <t xml:space="preserve">2723 NE 6th Pl </t>
  </si>
  <si>
    <t>21769-7889</t>
  </si>
  <si>
    <t>Mini</t>
  </si>
  <si>
    <t>Cape Coral Unit 31 Blk 2059 Pb 14 Pg 156 Lots 43 + 44</t>
  </si>
  <si>
    <t xml:space="preserve">1806 NE 23rd Ter </t>
  </si>
  <si>
    <t>60004-5867</t>
  </si>
  <si>
    <t>Durham</t>
  </si>
  <si>
    <t>Larry &amp; Darlene Morrison</t>
  </si>
  <si>
    <t xml:space="preserve">6191 E Vernon St </t>
  </si>
  <si>
    <t>33905-4247</t>
  </si>
  <si>
    <t xml:space="preserve">408 NE 25th Ave </t>
  </si>
  <si>
    <t>Peter</t>
  </si>
  <si>
    <t xml:space="preserve">11633 Princess Margaret Ct  Montgomery, TX 77316-3616 </t>
  </si>
  <si>
    <t>V7E 3N2</t>
  </si>
  <si>
    <t xml:space="preserve">1217 NE 15th Ter  Cape Coral, FL 33909 </t>
  </si>
  <si>
    <t xml:space="preserve">5209 Lake Edge Dr </t>
  </si>
  <si>
    <t>Selin Santos</t>
  </si>
  <si>
    <t>Thomas &amp; Cheryl Tokar</t>
  </si>
  <si>
    <t>33909-6814</t>
  </si>
  <si>
    <t xml:space="preserve">15224 SW 168th St  Miami, FL 33187 </t>
  </si>
  <si>
    <t>03-44-26-14-00079.0030</t>
  </si>
  <si>
    <t>Cape Coral Unit 36 Blk 2537 Pb 16 Pg 115 Lots 57 + 58</t>
  </si>
  <si>
    <t xml:space="preserve">1704 NE 23rd Ter  Cape Coral, FL 33909 </t>
  </si>
  <si>
    <t>36-43-23-c2-02544.0310</t>
  </si>
  <si>
    <t xml:space="preserve">4800 Cedar Hammock Ct  Fort Myers, FL 33905 </t>
  </si>
  <si>
    <t xml:space="preserve">4426 Washington St </t>
  </si>
  <si>
    <t>Cape Coral Unit 33 Blk.2179 Pb 16 Pg 53 Lots 34 + 35</t>
  </si>
  <si>
    <t xml:space="preserve">10803 37th Ave 3r </t>
  </si>
  <si>
    <t>Cape Coral Unit 34 Blk 2467 Pb 16 Pg 75 Lots 15 + 16</t>
  </si>
  <si>
    <t>33909-6525</t>
  </si>
  <si>
    <t>07666-3224</t>
  </si>
  <si>
    <t xml:space="preserve">1721 NE 36th Ln </t>
  </si>
  <si>
    <t xml:space="preserve">321 NE 13th Ter  Cape Coral, FL 33909 </t>
  </si>
  <si>
    <t xml:space="preserve">901 N 30th St  Renton, WA 98056-2152 </t>
  </si>
  <si>
    <t>20-43-24-c2-05641.0010</t>
  </si>
  <si>
    <t>Aldyth</t>
  </si>
  <si>
    <t>Gladis Decastillo</t>
  </si>
  <si>
    <t>Big Bluff</t>
  </si>
  <si>
    <t xml:space="preserve">7619 Drew Ave  Burr Ridge, IL 60527-6948 </t>
  </si>
  <si>
    <t>Kris</t>
  </si>
  <si>
    <t xml:space="preserve">4205 Garden Blvd </t>
  </si>
  <si>
    <t xml:space="preserve">5728 Brightwood Dr </t>
  </si>
  <si>
    <t xml:space="preserve">1606 Ferris Ave  Orlando, FL 32803-1810 </t>
  </si>
  <si>
    <t>32-43-24-c1-02244.0070</t>
  </si>
  <si>
    <t>Rao</t>
  </si>
  <si>
    <t xml:space="preserve">3251 NE 9th Ave  Cape Coral, FL 33909 </t>
  </si>
  <si>
    <t>92683-4511</t>
  </si>
  <si>
    <t>25-43-23-c1-02327.b060</t>
  </si>
  <si>
    <t>For Escano Trust</t>
  </si>
  <si>
    <t>Waco</t>
  </si>
  <si>
    <t>New Freedom</t>
  </si>
  <si>
    <t xml:space="preserve">1006 Kismet Pkwy E </t>
  </si>
  <si>
    <t>Soviero</t>
  </si>
  <si>
    <t xml:space="preserve">1365 SW 154th Ct  Miami, FL 33194-2641 </t>
  </si>
  <si>
    <t>Faktorovich Bella</t>
  </si>
  <si>
    <t>Maggio</t>
  </si>
  <si>
    <t>Gill</t>
  </si>
  <si>
    <t>Ft Myers Shores Unit 2 Blk 29 Pb 10 Pg 7 Lots 54 + 55</t>
  </si>
  <si>
    <t>Michael &amp; Catherine Thornhill</t>
  </si>
  <si>
    <t xml:space="preserve">2200 NE 5th Ave  Cape Coral, FL 33909 </t>
  </si>
  <si>
    <t xml:space="preserve">5234 Cypress Trail Resort Cir </t>
  </si>
  <si>
    <t xml:space="preserve">2506 NE 7th Pl </t>
  </si>
  <si>
    <t>33909-1563</t>
  </si>
  <si>
    <t xml:space="preserve">17171 Park Row #100, Houston, TX 77084-4935 </t>
  </si>
  <si>
    <t xml:space="preserve">202 NE 20th St </t>
  </si>
  <si>
    <t xml:space="preserve">3916 NE 10th Pl  Cape Coral, FL 33909 </t>
  </si>
  <si>
    <t>Beline</t>
  </si>
  <si>
    <t xml:space="preserve">185 Audubon Ave #35, New York, NY 10033-8732 </t>
  </si>
  <si>
    <t>Wesley</t>
  </si>
  <si>
    <t>33905-5705</t>
  </si>
  <si>
    <t>36-43-23-c4-02512.0170</t>
  </si>
  <si>
    <t>L3S 3E1</t>
  </si>
  <si>
    <t>Cape Coral Unit 85 Blk 5674 Pb 24 Pg 52 Lots 54 Thru 56</t>
  </si>
  <si>
    <t>25-43-23-c4-02295.0030</t>
  </si>
  <si>
    <t>Salas</t>
  </si>
  <si>
    <t>For Mary M Alberts Trust</t>
  </si>
  <si>
    <t xml:space="preserve">4434 NE 11th Pl  Cape Coral, FL 33909 </t>
  </si>
  <si>
    <t xml:space="preserve">3541 NE 20th Pl  Cape Coral, FL 33909 </t>
  </si>
  <si>
    <t xml:space="preserve">6049 Higgins Ave </t>
  </si>
  <si>
    <t>Cape Coral Unit 36 Blk 2340 Pb 16 Pg 127 Lots 15 + 16</t>
  </si>
  <si>
    <t>Cheraft</t>
  </si>
  <si>
    <t xml:space="preserve">22416 137th Ave </t>
  </si>
  <si>
    <t>36-43-23-c2-02545.0110</t>
  </si>
  <si>
    <t xml:space="preserve">5980 Lake Osborne Dr  Lake Worth, FL 33461-6173 </t>
  </si>
  <si>
    <t>Miszkiewicz</t>
  </si>
  <si>
    <t xml:space="preserve">2120 NE 6th Ave </t>
  </si>
  <si>
    <t>Lanh</t>
  </si>
  <si>
    <t>PO Box 172</t>
  </si>
  <si>
    <t xml:space="preserve">314 NE 13th Ter  Cape Coral, FL 33909 </t>
  </si>
  <si>
    <t>Hugo Boonen</t>
  </si>
  <si>
    <t>19-43-24-c2-05602.0230</t>
  </si>
  <si>
    <t>Glen Riddle Lima</t>
  </si>
  <si>
    <t>Cape Coral Unit 47 Pt 2 Blk 3542 Pb 23 Pg 118 Lots 50 + 51</t>
  </si>
  <si>
    <t>33909-5302</t>
  </si>
  <si>
    <t>Raina</t>
  </si>
  <si>
    <t>Romulo Reyes</t>
  </si>
  <si>
    <t xml:space="preserve">9321 Heath Rd </t>
  </si>
  <si>
    <t xml:space="preserve">1715 NE 34th St </t>
  </si>
  <si>
    <t xml:space="preserve">3744 NE 15th Pl  Cape Coral, FL 33909 </t>
  </si>
  <si>
    <t xml:space="preserve">1717 N Gator Cir </t>
  </si>
  <si>
    <t>Cape Coral Unit 36 Blk 2293 Pb 16 Pg 121 Lots 22 + 23</t>
  </si>
  <si>
    <t>33917-5929</t>
  </si>
  <si>
    <t xml:space="preserve">130 NE 15th Ter </t>
  </si>
  <si>
    <t xml:space="preserve">180 Summit Ave </t>
  </si>
  <si>
    <t>20-43-24-c2-05663.0440</t>
  </si>
  <si>
    <t>Luis Vasconez &amp; Elsa Acosta</t>
  </si>
  <si>
    <t>Streamwood</t>
  </si>
  <si>
    <t xml:space="preserve">1513 NE 35th Ln </t>
  </si>
  <si>
    <t>Cape Coral Unit 87 Blk 5731 Pb 24 Pg 87 Lot 18</t>
  </si>
  <si>
    <t>34-43-24-01-00035.0020</t>
  </si>
  <si>
    <t>William &amp; Leo Delay</t>
  </si>
  <si>
    <t xml:space="preserve">113 NE 12th Ter </t>
  </si>
  <si>
    <t>35-44-24-p3-02200.0060</t>
  </si>
  <si>
    <t xml:space="preserve">10354 Prairie Iris Dr </t>
  </si>
  <si>
    <t xml:space="preserve">771 Safari Rd  Millgrove, ON L0r 1V0 </t>
  </si>
  <si>
    <t xml:space="preserve">69 Buckingham Dr  Jackson, NJ 08527-2633 </t>
  </si>
  <si>
    <t>the Woodlands</t>
  </si>
  <si>
    <t>Bala</t>
  </si>
  <si>
    <t>Goelz</t>
  </si>
  <si>
    <t xml:space="preserve">750 NW 4th St  Grants Pass, OR 97526-1517 </t>
  </si>
  <si>
    <t>33904-8524</t>
  </si>
  <si>
    <t>Kradjian</t>
  </si>
  <si>
    <t>10312-6538</t>
  </si>
  <si>
    <t>85260-6651</t>
  </si>
  <si>
    <t>Chesterfield</t>
  </si>
  <si>
    <t>19-43-24-c4-05556.0160</t>
  </si>
  <si>
    <t>David T Renk Ira</t>
  </si>
  <si>
    <t>Tiffany Smith</t>
  </si>
  <si>
    <t>Albuquerque</t>
  </si>
  <si>
    <t>Cape Coral Unit 32 Blk 2148 Pb 16 Pg 9 Lots 21 + 22</t>
  </si>
  <si>
    <t>Mary Jane Messer Revocable Trust</t>
  </si>
  <si>
    <t>Cape Coral Unit 31 Blk 2060 Pb 14 Pg 156 Lots 4 + 5</t>
  </si>
  <si>
    <t>19-43-24-c2-05753.0280</t>
  </si>
  <si>
    <t xml:space="preserve">3845 Highlight St  Fort Myers, FL 33905 </t>
  </si>
  <si>
    <t>Cohaut</t>
  </si>
  <si>
    <t xml:space="preserve">20040 W Oakmont Cir </t>
  </si>
  <si>
    <t xml:space="preserve">10452 Nightwood Dr  Fort Myers, FL 33905 </t>
  </si>
  <si>
    <t>Cypress Trail Rv Resort Phase 4-C Block A Lot 128 As Desc In Inst 2019000042424</t>
  </si>
  <si>
    <t>19-43-24-c2-05603.0030</t>
  </si>
  <si>
    <t>Danville</t>
  </si>
  <si>
    <t>Cypress Trail Rv Resort Ph 4-B As Desc In Inst# 2017000057565 Lot 342</t>
  </si>
  <si>
    <t>03-44-26-13-00074.0100</t>
  </si>
  <si>
    <t>19-43-24-c3-05611.0390</t>
  </si>
  <si>
    <t>Hernando</t>
  </si>
  <si>
    <t>94080-5941</t>
  </si>
  <si>
    <t>Ethan Minkel</t>
  </si>
  <si>
    <t>16-44-26-06-00013.0090</t>
  </si>
  <si>
    <t>03-44-26-10-00051.0110</t>
  </si>
  <si>
    <t xml:space="preserve">328 Colony Oaks Dr </t>
  </si>
  <si>
    <t>17-43-24-c3-05786.0030</t>
  </si>
  <si>
    <t>Jan &amp; Caroline Burte</t>
  </si>
  <si>
    <t>03-44-26-12-00063.0100</t>
  </si>
  <si>
    <t>Gloria Sanmiguel &amp; Marcos Cornillot</t>
  </si>
  <si>
    <t xml:space="preserve">17 Nevada Ave </t>
  </si>
  <si>
    <t>Michael Meyer</t>
  </si>
  <si>
    <t>L4E 3M7</t>
  </si>
  <si>
    <t>Mary Mosey</t>
  </si>
  <si>
    <t>Kenneth &amp; Virginia Edwards</t>
  </si>
  <si>
    <t xml:space="preserve">1145 NE 36th Ln  Cape Coral, FL 33909 </t>
  </si>
  <si>
    <t>11207-9011</t>
  </si>
  <si>
    <t>18-43-24-c1-05689.0130</t>
  </si>
  <si>
    <t>44053-1482</t>
  </si>
  <si>
    <t>18-45-24-c4-00022.0290</t>
  </si>
  <si>
    <t>33909-4471</t>
  </si>
  <si>
    <t>Littleford</t>
  </si>
  <si>
    <t xml:space="preserve">4138 NE 20th Ct  Cape Coral, FL 33909 </t>
  </si>
  <si>
    <t>Mavireddi</t>
  </si>
  <si>
    <t>07462-3002</t>
  </si>
  <si>
    <t>Cape Coral Unit 4 Pt 2 Blk 135 Pb 12 Pg 15 Lots 35 + 36</t>
  </si>
  <si>
    <t>Cape Coral Unit 26 Blk.879 Pb 14 Pg 130 Lots 27 + 28</t>
  </si>
  <si>
    <t>33909-1024</t>
  </si>
  <si>
    <t>06-44-24-c4-02057.0380</t>
  </si>
  <si>
    <t>Palmona Park Unit 1 Blk 39 Pb 7 Pg 54 West 25 Ft Of Lot 2 + All Of Lot 3</t>
  </si>
  <si>
    <t xml:space="preserve">Eschweiler #16 </t>
  </si>
  <si>
    <t>01-44-23-c2-02457.0470</t>
  </si>
  <si>
    <t>Harborview</t>
  </si>
  <si>
    <t xml:space="preserve">10320 Prairie Iris Dr </t>
  </si>
  <si>
    <t>Andy Kien</t>
  </si>
  <si>
    <t>Park View</t>
  </si>
  <si>
    <t>Lake Jane</t>
  </si>
  <si>
    <t>08-45-24-c4-00364.0140</t>
  </si>
  <si>
    <t>Tarpley</t>
  </si>
  <si>
    <t>Cape Coral Unit 85 Blk 5668 Pb 24 Pg 53 Lots 22 + 23</t>
  </si>
  <si>
    <t>Perrysburg</t>
  </si>
  <si>
    <t>Charlotte King</t>
  </si>
  <si>
    <t>Lilly</t>
  </si>
  <si>
    <t xml:space="preserve">120 Montgomery St G2, Bloomfield, NJ 07003-6054 </t>
  </si>
  <si>
    <t>33909-6863</t>
  </si>
  <si>
    <t>46204-1915</t>
  </si>
  <si>
    <t>Abelardo</t>
  </si>
  <si>
    <t>Mastic Beach</t>
  </si>
  <si>
    <t xml:space="preserve">2020 NE 5th Pl  Cape Coral, FL 33909 </t>
  </si>
  <si>
    <t>Koziol</t>
  </si>
  <si>
    <t xml:space="preserve">8897 Vergennes St SE </t>
  </si>
  <si>
    <t>Jose Lopez</t>
  </si>
  <si>
    <t xml:space="preserve">301 NW 146th St </t>
  </si>
  <si>
    <t xml:space="preserve">6440 SW 138th Ct 402b, Miami, FL 33183-2079 </t>
  </si>
  <si>
    <t>33909-3416</t>
  </si>
  <si>
    <t>20-43-24-c3-05671.0550</t>
  </si>
  <si>
    <t>Tonne</t>
  </si>
  <si>
    <t>34243-7921</t>
  </si>
  <si>
    <t>Elaine Robertson</t>
  </si>
  <si>
    <t>Mai Warren</t>
  </si>
  <si>
    <t>25-43-23-c3-02345.0460</t>
  </si>
  <si>
    <t xml:space="preserve">4200 Woodcreek Dr  Ypsilanti, MI 48197-6100 </t>
  </si>
  <si>
    <t>Eldridge</t>
  </si>
  <si>
    <t>11-44-25-l1-13000.0790</t>
  </si>
  <si>
    <t>Joseph Csernik &amp; Penny Pattee</t>
  </si>
  <si>
    <t xml:space="preserve">3603 NE 19th Ave </t>
  </si>
  <si>
    <t xml:space="preserve">16239 NW 79th Ave </t>
  </si>
  <si>
    <t xml:space="preserve">3513 NE 12th Ave  Cape Coral, FL 33909 </t>
  </si>
  <si>
    <t xml:space="preserve">68 Rte Roger Brun </t>
  </si>
  <si>
    <t>02-44-24-04-00014.0010</t>
  </si>
  <si>
    <t>Cape Coral Unit 36 Blk 2331 Pb 16 Pg 130 Lots 18 + 19</t>
  </si>
  <si>
    <t>Gabriella &amp; Michael Frenzel</t>
  </si>
  <si>
    <t>11756-2132</t>
  </si>
  <si>
    <t>33158-1341</t>
  </si>
  <si>
    <t>22003-2554</t>
  </si>
  <si>
    <t>Sochor</t>
  </si>
  <si>
    <t>10033-8732</t>
  </si>
  <si>
    <t xml:space="preserve">162 Pershing Rd </t>
  </si>
  <si>
    <t xml:space="preserve">2224 NE 6th Ave  Cape Coral, FL 33909 </t>
  </si>
  <si>
    <t xml:space="preserve">13074 Salinas Point Way  Delray Beach, FL 33446-5627 </t>
  </si>
  <si>
    <t>Cypress Woods Rv Resort Unit 4 Pb 79 Pgs 68-71 Blk D Lot 51</t>
  </si>
  <si>
    <t xml:space="preserve">6145 Herrick Ave  Fort Myers, FL 33905 </t>
  </si>
  <si>
    <t xml:space="preserve">4311 Coronado Pkwy  Cape Coral, FL 33904 </t>
  </si>
  <si>
    <t>19-43-24-c2-05753.0030</t>
  </si>
  <si>
    <t>Kugler</t>
  </si>
  <si>
    <t>06-45-24-c3-00531.0620</t>
  </si>
  <si>
    <t xml:space="preserve">2208 NE 14th Pl </t>
  </si>
  <si>
    <t>Newkirk</t>
  </si>
  <si>
    <t xml:space="preserve">74 Harrasserstrasse  Pocatello, ID 83209 </t>
  </si>
  <si>
    <t xml:space="preserve">2106 NE 2nd St  Cape Coral, FL 33909 </t>
  </si>
  <si>
    <t xml:space="preserve">1555 SW 143rd Ct </t>
  </si>
  <si>
    <t>21054-1907</t>
  </si>
  <si>
    <t>31-44-24-c4-00605.0130</t>
  </si>
  <si>
    <t>Middle River</t>
  </si>
  <si>
    <t xml:space="preserve">1966 Knox St  San Fernando, CA 91340-1017 </t>
  </si>
  <si>
    <t>Roger Castilla &amp; Roger Castilla</t>
  </si>
  <si>
    <t>Edgewood</t>
  </si>
  <si>
    <t>12a</t>
  </si>
  <si>
    <t>Dolores Martirez</t>
  </si>
  <si>
    <t>11-44-25-06-0000d.0290</t>
  </si>
  <si>
    <t xml:space="preserve">4110 NE 20th Ct  Cape Coral, FL 33909 </t>
  </si>
  <si>
    <t>03-44-26-13-00071.0210</t>
  </si>
  <si>
    <t xml:space="preserve">1504 NE 35th Ter </t>
  </si>
  <si>
    <t>Dehoyos</t>
  </si>
  <si>
    <t xml:space="preserve">121 NE 17th Ter </t>
  </si>
  <si>
    <t>Maria Botero</t>
  </si>
  <si>
    <t xml:space="preserve">2618 NE 1st Ave  Cape Coral, FL 33909 </t>
  </si>
  <si>
    <t>25-43-23-c3-02308.0220</t>
  </si>
  <si>
    <t xml:space="preserve">227 NE 19th Ter </t>
  </si>
  <si>
    <t>Nave</t>
  </si>
  <si>
    <t xml:space="preserve">52 Druid Ln  Riverside, CT 06878-1834 </t>
  </si>
  <si>
    <t xml:space="preserve">247 Fairview Ave </t>
  </si>
  <si>
    <t xml:space="preserve">5910 Maplewood Ct </t>
  </si>
  <si>
    <t xml:space="preserve">2430 Bill Smith Rd </t>
  </si>
  <si>
    <t>19-43-24-c1-05549.0030</t>
  </si>
  <si>
    <t>Cape Coral Unit 31 Blk 2067 Pb 14 Pg 164 Lots 54 + 55</t>
  </si>
  <si>
    <t xml:space="preserve">1503 NE 13th Ter  Cape Coral, FL 33909 </t>
  </si>
  <si>
    <t xml:space="preserve">28 Avenue Amans Rodat  Rodez, FR </t>
  </si>
  <si>
    <t>Chamblee</t>
  </si>
  <si>
    <t xml:space="preserve">3995 SW 4th St </t>
  </si>
  <si>
    <t>Cape Coral Unit 36 Blk 2351 Pb 16 Pg 124 Lots 78 + 79</t>
  </si>
  <si>
    <t xml:space="preserve">3631 NE 22nd Ave  Cape Coral, FL 33909 </t>
  </si>
  <si>
    <t>61615-4303</t>
  </si>
  <si>
    <t>03-44-26-14-00084.0060</t>
  </si>
  <si>
    <t xml:space="preserve">1224 E 93rd St </t>
  </si>
  <si>
    <t>Houma</t>
  </si>
  <si>
    <t xml:space="preserve">10337 SW 7th St  Miami, FL 33174-1771 </t>
  </si>
  <si>
    <t xml:space="preserve">10223 Butterweed Trl </t>
  </si>
  <si>
    <t xml:space="preserve">24540 Harborview Rd G1, Punta Gorda, FL 33980-2425 </t>
  </si>
  <si>
    <t xml:space="preserve">1907 NE 44th Ter </t>
  </si>
  <si>
    <t xml:space="preserve">19621 N Tamiami Trl #19, North Fort Myers, FL 33903 </t>
  </si>
  <si>
    <t>East Meadow</t>
  </si>
  <si>
    <t xml:space="preserve">26 Main St #3, North Andover, MA 01845-2573 </t>
  </si>
  <si>
    <t xml:space="preserve">3 W Custer St </t>
  </si>
  <si>
    <t xml:space="preserve">3081 Robertson Bridge Rd  Grants Pass, OR 97526-8241 </t>
  </si>
  <si>
    <t xml:space="preserve">904 NE 9th Ter  Cape Coral, FL 33909 </t>
  </si>
  <si>
    <t>220th</t>
  </si>
  <si>
    <t>Svetlana Zaslavskaya</t>
  </si>
  <si>
    <t xml:space="preserve">4324 Atwood Dr  Orlando, FL 32828-6490 </t>
  </si>
  <si>
    <t>Jeanne Meyers &amp; Deborah Zalik</t>
  </si>
  <si>
    <t>Joachim &amp; Ursula Brands</t>
  </si>
  <si>
    <t>Linda &amp; Warren Johnson</t>
  </si>
  <si>
    <t>Cape Coral Unit 87 Blk.5730 Pb 24 Pg 87 Lots 49 + 50</t>
  </si>
  <si>
    <t xml:space="preserve">2603 NE 1st Ave </t>
  </si>
  <si>
    <t>Jesus &amp; Fredy Fernandez</t>
  </si>
  <si>
    <t xml:space="preserve">3139 NE 14th Pl </t>
  </si>
  <si>
    <t xml:space="preserve">4017 SE 12th Ave </t>
  </si>
  <si>
    <t>Cape Coral Unit 33 Blk 2240 Pb 16 Pg 55 Lots 42 + 43</t>
  </si>
  <si>
    <t>19-43-24-c4-05554.0070</t>
  </si>
  <si>
    <t xml:space="preserve">3462 Parmly Rd  Perry, OH 44081-9539 </t>
  </si>
  <si>
    <t>Richard Swawola &amp; Gina Blume</t>
  </si>
  <si>
    <t>19150-1902</t>
  </si>
  <si>
    <t xml:space="preserve">14120 Benedict St </t>
  </si>
  <si>
    <t>Gary A Schreiner Trust</t>
  </si>
  <si>
    <t>William Santiago &amp; Sandra Sarmiento</t>
  </si>
  <si>
    <t xml:space="preserve">109 Holly Tree Dr  Crossville, TN 38555 </t>
  </si>
  <si>
    <t>33015-4248</t>
  </si>
  <si>
    <t xml:space="preserve">1125 NE 33rd St </t>
  </si>
  <si>
    <t xml:space="preserve">5216 Pineland Daisy Trl  Fort Myers, FL 33905 </t>
  </si>
  <si>
    <t xml:space="preserve">204 Mooring Dr  Cotuit, MA 02635-2633 </t>
  </si>
  <si>
    <t xml:space="preserve">935 Waring Ave  Bronx, NY 10469-4733 </t>
  </si>
  <si>
    <t>Cuiping</t>
  </si>
  <si>
    <t xml:space="preserve">13534 SW 42nd Ter  Miami, FL 33165 </t>
  </si>
  <si>
    <t>Byron</t>
  </si>
  <si>
    <t xml:space="preserve">4 Nelkenweg  Malsch, DE 69254 </t>
  </si>
  <si>
    <t>Rinku</t>
  </si>
  <si>
    <t>03-44-26-13-00072.0010</t>
  </si>
  <si>
    <t>Scott &amp; For Johnk</t>
  </si>
  <si>
    <t>Lehgih Acres Unit 8 Blk 35 Pb 26 Pg 10 Lot 11</t>
  </si>
  <si>
    <t>Red Rock</t>
  </si>
  <si>
    <t>01-44-23-c2-02453.0530</t>
  </si>
  <si>
    <t xml:space="preserve">Auf Den Hohen #1 </t>
  </si>
  <si>
    <t xml:space="preserve">3617 NE 22nd Ave </t>
  </si>
  <si>
    <t>33909-3269</t>
  </si>
  <si>
    <t xml:space="preserve">2626 Shriver Dr  Fort Myers, FL 33901 </t>
  </si>
  <si>
    <t xml:space="preserve">9542 Sunflower St  Rancho Cucamonga, CA 91737-2275 </t>
  </si>
  <si>
    <t xml:space="preserve">PO Box 474  Denville, NJ 07834 </t>
  </si>
  <si>
    <t>Cape Coral Unit 33 Blk 2284 Pb 16 Pg 59 Lots 35 + 36</t>
  </si>
  <si>
    <t>Cape Coral Unit 31 Blk 2064 Pb 14 Pg 165 Lots 20 + 21</t>
  </si>
  <si>
    <t>Cape Coral Unit 84 Blk 5576 Pb 24 Pg 46 Lots 63 + 64</t>
  </si>
  <si>
    <t>Laetitia</t>
  </si>
  <si>
    <t>Commodore</t>
  </si>
  <si>
    <t xml:space="preserve">131 Melrose St </t>
  </si>
  <si>
    <t>Precipice</t>
  </si>
  <si>
    <t>Jamie Duarte &amp; Flointina Avila</t>
  </si>
  <si>
    <t>Beloit Woods</t>
  </si>
  <si>
    <t xml:space="preserve">3419 S Ocean Blvd C, Highland Beach, FL 33487-2518 </t>
  </si>
  <si>
    <t>Susan &amp; Charles Voigt</t>
  </si>
  <si>
    <t>Willie &amp; Lincoln Woods</t>
  </si>
  <si>
    <t>Santa Rosa Beach</t>
  </si>
  <si>
    <t>Lehigh Acres Unit 8 Blk 35 Pb 26 Pg 10 Lot 3</t>
  </si>
  <si>
    <t>Tonia</t>
  </si>
  <si>
    <t>America Outdoors Camper Resort 1 Condo Blk R Or 1673 Pg 2487 Unit 1B</t>
  </si>
  <si>
    <t>11-44-25-05-0000c.1180</t>
  </si>
  <si>
    <t>Cape Coral Unit 84 Blk 5599 Pb 24 Pg 43 Lots 23 + 24</t>
  </si>
  <si>
    <t>Guillermo &amp; Helena Valencia</t>
  </si>
  <si>
    <t xml:space="preserve">4107 NE 105th Ave </t>
  </si>
  <si>
    <t xml:space="preserve">13 Talos Way </t>
  </si>
  <si>
    <t>Dallas</t>
  </si>
  <si>
    <t>29-43-24-c3-02280.0250</t>
  </si>
  <si>
    <t>Robert &amp; Renee Acosta</t>
  </si>
  <si>
    <t>Aldea Investment Corp</t>
  </si>
  <si>
    <t xml:space="preserve">3 Keith Pl  Poughkeepsie, NY 12603-4703 </t>
  </si>
  <si>
    <t>Rolling Hills Estates</t>
  </si>
  <si>
    <t>94560-5421</t>
  </si>
  <si>
    <t>Modesto &amp; Ivonne Perera</t>
  </si>
  <si>
    <t>Woelbing Eric Tr</t>
  </si>
  <si>
    <t xml:space="preserve">C26 F Block </t>
  </si>
  <si>
    <t>01-44-23-c4-02421.0390</t>
  </si>
  <si>
    <t xml:space="preserve">18 NE 11th Ln </t>
  </si>
  <si>
    <t>Cape Coral Unit 36 Blk 2348 Pb 16 Pg 129 Lots 5 + 6</t>
  </si>
  <si>
    <t>Iglesias</t>
  </si>
  <si>
    <t>Schnett</t>
  </si>
  <si>
    <t>Strong</t>
  </si>
  <si>
    <t xml:space="preserve">819 NE 34th Ter  Cape Coral, FL 33909 </t>
  </si>
  <si>
    <t xml:space="preserve">3618 Mistletoe St </t>
  </si>
  <si>
    <t>Cordell Labrier</t>
  </si>
  <si>
    <t xml:space="preserve">4132 NE 22nd Ave  Cape Coral, FL 33909 </t>
  </si>
  <si>
    <t>Weigele Paul Tr</t>
  </si>
  <si>
    <t>Put</t>
  </si>
  <si>
    <t>33909-5493</t>
  </si>
  <si>
    <t>33905-7607</t>
  </si>
  <si>
    <t xml:space="preserve">417 Woodhill Rd  Wayne, PA 19087-2224 </t>
  </si>
  <si>
    <t>Paul Conner &amp; For Prc</t>
  </si>
  <si>
    <t xml:space="preserve">16331 Neptune Ln  Fort Myers, FL 33908 </t>
  </si>
  <si>
    <t>Cape Coral Unit 32 Blk.2128 Pb 16 Pg 10 Lots 26 + 27</t>
  </si>
  <si>
    <t>Hilltop</t>
  </si>
  <si>
    <t xml:space="preserve">618 NE 20th St  Cape Coral, FL 33909 </t>
  </si>
  <si>
    <t>Charles Vanness</t>
  </si>
  <si>
    <t xml:space="preserve">5015 Dogwood Cir  Sedalia, MO 65301-8900 </t>
  </si>
  <si>
    <t xml:space="preserve">114 SW 61st Ave </t>
  </si>
  <si>
    <t xml:space="preserve">782 Old Hanover Rd  Spring Grove, PA 17362-8912 </t>
  </si>
  <si>
    <t>33909-4727</t>
  </si>
  <si>
    <t>Cape Coral Unit 36 Blk 2343 Pb 16 Pg 121 Lots 81 + 82</t>
  </si>
  <si>
    <t xml:space="preserve">5478 Cypress Trail Resort Cir </t>
  </si>
  <si>
    <t>33905-5700</t>
  </si>
  <si>
    <t xml:space="preserve">1914 NE 44th Ter  Cape Coral, FL 33909 </t>
  </si>
  <si>
    <t>Sax</t>
  </si>
  <si>
    <t xml:space="preserve">278 Snow Ridge Dr </t>
  </si>
  <si>
    <t>04-44-25-03-00006.2110</t>
  </si>
  <si>
    <t xml:space="preserve">14249 Canarias Dr  Winter Garden, FL 34787-9324 </t>
  </si>
  <si>
    <t xml:space="preserve">52 Miller Rd </t>
  </si>
  <si>
    <t>Shell Ridge</t>
  </si>
  <si>
    <t>Ferguson</t>
  </si>
  <si>
    <t xml:space="preserve">301 Main St </t>
  </si>
  <si>
    <t>Lehigh Acres Unit 2 Blk 8 Pb 26 Pg 4 Lot 9</t>
  </si>
  <si>
    <t xml:space="preserve">PO Box 220479  Dorchester, MA 02122 </t>
  </si>
  <si>
    <t>33909-9232</t>
  </si>
  <si>
    <t>11-44-25-04-0000b.0620</t>
  </si>
  <si>
    <t>33909-4438</t>
  </si>
  <si>
    <t xml:space="preserve">29 NW 107th St </t>
  </si>
  <si>
    <t>01-44-23-c2-02460.0650</t>
  </si>
  <si>
    <t>03-44-26-04-00021.0060</t>
  </si>
  <si>
    <t>Eugene &amp; Mary Sacco</t>
  </si>
  <si>
    <t xml:space="preserve">4418 Garden Blvd  Cape Coral, FL 33909 </t>
  </si>
  <si>
    <t xml:space="preserve">2835 Tomlinson Rd  Mason, MI 48854-9716 </t>
  </si>
  <si>
    <t xml:space="preserve">11022 Sunburst Ln </t>
  </si>
  <si>
    <t xml:space="preserve">1315 Diplomat Pkwy E  Cape Coral, FL 33909 </t>
  </si>
  <si>
    <t>Silock</t>
  </si>
  <si>
    <t>03-44-26-14-00080.0120</t>
  </si>
  <si>
    <t>Aaron &amp; Helen Rice</t>
  </si>
  <si>
    <t xml:space="preserve">8321 Buckingham Rd </t>
  </si>
  <si>
    <t>Cape Coral Unit 84 Blk 5613 Pb 24 Pg 35 Lots 23 + 24</t>
  </si>
  <si>
    <t>Torsten</t>
  </si>
  <si>
    <t xml:space="preserve">4627 Tennessee Way  Fort Myers, FL 33905 </t>
  </si>
  <si>
    <t>Sequoia</t>
  </si>
  <si>
    <t>H7H 2Z9</t>
  </si>
  <si>
    <t xml:space="preserve">19 Barrington Rd </t>
  </si>
  <si>
    <t>Whitmer</t>
  </si>
  <si>
    <t>Erl</t>
  </si>
  <si>
    <t>Grassmeade</t>
  </si>
  <si>
    <t>Peterson Maurie W Tr</t>
  </si>
  <si>
    <t>Thomas Pham</t>
  </si>
  <si>
    <t>Cape Coral Unit 94 Blk 6010 Pb 25 Pg 36 Lots 15 + 16</t>
  </si>
  <si>
    <t xml:space="preserve">1116 Laguna Ave #4, Burlingame, CA 94010-3513 </t>
  </si>
  <si>
    <t>Dijon</t>
  </si>
  <si>
    <t>33909-8858</t>
  </si>
  <si>
    <t>Cape Coral Unit 84 Blk 5602 Pb 24 Pg 42 Lots 49 + 50</t>
  </si>
  <si>
    <t xml:space="preserve">1 Feldstrasse  Eunice, MO 65468 </t>
  </si>
  <si>
    <t xml:space="preserve">2051 NE 20th Ter </t>
  </si>
  <si>
    <t xml:space="preserve">3581 NE 9th Pl </t>
  </si>
  <si>
    <t>Cape Coral Unit 87 Blk 5710 Pb 24 Pg 75 Lot 30</t>
  </si>
  <si>
    <t>Elvia</t>
  </si>
  <si>
    <t xml:space="preserve">PO Box 680654  Marietta, GA 30068 </t>
  </si>
  <si>
    <t xml:space="preserve">4948 Sorrento Ct </t>
  </si>
  <si>
    <t>Sandra Lobaton &amp; Luis Cancelado</t>
  </si>
  <si>
    <t>Cunningham</t>
  </si>
  <si>
    <t>03-44-26-04-00020.0010</t>
  </si>
  <si>
    <t>Charles &amp; Betty Baumann</t>
  </si>
  <si>
    <t>Melva</t>
  </si>
  <si>
    <t>80120-5203</t>
  </si>
  <si>
    <t>Delorie</t>
  </si>
  <si>
    <t xml:space="preserve">124 NW 45th Ave </t>
  </si>
  <si>
    <t>28-43-26-06-00058.0510</t>
  </si>
  <si>
    <t>Olsson</t>
  </si>
  <si>
    <t xml:space="preserve">3141 Victory Blvd  Staten Island, NY 10314-6719 </t>
  </si>
  <si>
    <t xml:space="preserve">2907 NE 5th Pl </t>
  </si>
  <si>
    <t>Endlichhofer</t>
  </si>
  <si>
    <t>Cape Coral Unit 17 Blk 1525 Pb 14 Pg 33 Lots 13 + 14</t>
  </si>
  <si>
    <t xml:space="preserve">1921 SE 26th Ter </t>
  </si>
  <si>
    <t xml:space="preserve">2639 Consejo Rd </t>
  </si>
  <si>
    <t>Sayreville</t>
  </si>
  <si>
    <t>07010-2505</t>
  </si>
  <si>
    <t xml:space="preserve">802 Amherst Dr </t>
  </si>
  <si>
    <t xml:space="preserve">4176 Derby Dr </t>
  </si>
  <si>
    <t>Herland</t>
  </si>
  <si>
    <t>F Pratico</t>
  </si>
  <si>
    <t>Medel</t>
  </si>
  <si>
    <t>07936-2508</t>
  </si>
  <si>
    <t>Ralph Anteby</t>
  </si>
  <si>
    <t>Maria Lorenzo</t>
  </si>
  <si>
    <t>Us Highway 13</t>
  </si>
  <si>
    <t>Cape Coral Unit 36 Blk 2530 Pb 16 Pg 117 Lots 59 + 60</t>
  </si>
  <si>
    <t xml:space="preserve">303 SE 27th St  Cape Coral, FL 33904 </t>
  </si>
  <si>
    <t xml:space="preserve">1912 NE 44th St </t>
  </si>
  <si>
    <t>33909-3215</t>
  </si>
  <si>
    <t>30101-6818</t>
  </si>
  <si>
    <t xml:space="preserve">1213 NE 37th Ter </t>
  </si>
  <si>
    <t xml:space="preserve">4401 Seville Ln </t>
  </si>
  <si>
    <t>29-43-24-c3-02251.0180</t>
  </si>
  <si>
    <t xml:space="preserve">Enrique #265 </t>
  </si>
  <si>
    <t xml:space="preserve">15049 Sixes Rd </t>
  </si>
  <si>
    <t>Cape Coral Unit 26 Blk.862 Pb 14 Pg 129 Lots 17 + 18</t>
  </si>
  <si>
    <t>Jack &amp; Mazie Pinnock</t>
  </si>
  <si>
    <t xml:space="preserve">3 Dover Ct </t>
  </si>
  <si>
    <t>Ft Myers Shores Unit 2 Blk 29 Pb 10 Pg 7 Lots 52 + 53</t>
  </si>
  <si>
    <t xml:space="preserve">2336 Imperial Golf Course Blvd </t>
  </si>
  <si>
    <t xml:space="preserve">303 2nd St </t>
  </si>
  <si>
    <t>19-43-24-c1-05579.0380</t>
  </si>
  <si>
    <t xml:space="preserve">3721 Trent St </t>
  </si>
  <si>
    <t xml:space="preserve">12020 SW 4th Ter  Miami, FL 33184-1617 </t>
  </si>
  <si>
    <t>Thomas Haupt</t>
  </si>
  <si>
    <t>Cape Coral Unit 88 Blk 5796 Pb 24 Pg 137 Lots 36 + 37</t>
  </si>
  <si>
    <t>Cape Coral Unit 12 Blk.593 Pb 13 Pg 53 Lots 15 + 16</t>
  </si>
  <si>
    <t xml:space="preserve">31 Princess St  Dundas, ON L9h 2X6 </t>
  </si>
  <si>
    <t xml:space="preserve">Po Box 25366 </t>
  </si>
  <si>
    <t>11727-1923</t>
  </si>
  <si>
    <t xml:space="preserve">1404 S Gator Cir  Cape Coral, FL 33909 </t>
  </si>
  <si>
    <t>Rull</t>
  </si>
  <si>
    <t xml:space="preserve">2616 NE 22nd Ave </t>
  </si>
  <si>
    <t>Curry</t>
  </si>
  <si>
    <t xml:space="preserve">917 NE 11th Ter  Cape Coral, FL 33909 </t>
  </si>
  <si>
    <t xml:space="preserve">3608 NE 9th Ave  Cape Coral, FL 33909 </t>
  </si>
  <si>
    <t>Cape Coral Unit 84 Blk 5599 Pb 24 Pg 43 Lots 3 + 4</t>
  </si>
  <si>
    <t>Sterling Heights</t>
  </si>
  <si>
    <t xml:space="preserve">1324 NE 33rd Ter  Cape Coral, FL 33909 </t>
  </si>
  <si>
    <t>Wiseman</t>
  </si>
  <si>
    <t>Glendora</t>
  </si>
  <si>
    <t xml:space="preserve">2528 NE Juanita Pl </t>
  </si>
  <si>
    <t xml:space="preserve">11548 SW 142nd Ave  Miami, FL 33186-7001 </t>
  </si>
  <si>
    <t>20-43-24-c1-05647.0150</t>
  </si>
  <si>
    <t xml:space="preserve">2605 NE 7th Pl </t>
  </si>
  <si>
    <t>Carrie Pauline</t>
  </si>
  <si>
    <t xml:space="preserve">119 Radcliff Ave  Port Washington, NY 11050-1616 </t>
  </si>
  <si>
    <t>Im Wiesengrund 29 A</t>
  </si>
  <si>
    <t>33909-7346</t>
  </si>
  <si>
    <t>Taunton</t>
  </si>
  <si>
    <t xml:space="preserve">1018 N Somers Ave  Fremont, NE 68025-3912 </t>
  </si>
  <si>
    <t>Cape Coral Unit 32 Blk 2102 Pb 16 Pg 2 Lots 35 + 36</t>
  </si>
  <si>
    <t>Cypress Trail Rv Resort Ph 4-B As Desc In Inst# 2017000057565 Lot 82</t>
  </si>
  <si>
    <t xml:space="preserve">1511 NE 18th St </t>
  </si>
  <si>
    <t>Scheteligstrabe</t>
  </si>
  <si>
    <t xml:space="preserve">2112 NE 43rd Ln  Cape Coral, FL 33909 </t>
  </si>
  <si>
    <t xml:space="preserve">3769 NE 16th Pl </t>
  </si>
  <si>
    <t xml:space="preserve">216 NE 25th Ter </t>
  </si>
  <si>
    <t xml:space="preserve">6623 Hidden Woods Trl </t>
  </si>
  <si>
    <t xml:space="preserve">1626/1628 NE 8th Pl  Cape Coral, FL 33909 </t>
  </si>
  <si>
    <t xml:space="preserve">1625 NE 23rd St  Cape Coral, FL 33909 </t>
  </si>
  <si>
    <t xml:space="preserve">117 Meemaa Ave  Fairfax, CA 94930 </t>
  </si>
  <si>
    <t xml:space="preserve">3411 NE 13th Pl </t>
  </si>
  <si>
    <t>Jakub</t>
  </si>
  <si>
    <t>Audrey</t>
  </si>
  <si>
    <t>Orange Harbor Co-Op As Desc In Inst# 2012000226486 Lot 308</t>
  </si>
  <si>
    <t>15129-9560</t>
  </si>
  <si>
    <t>Baumgart</t>
  </si>
  <si>
    <t xml:space="preserve">1912 NE 1st Ave  Cape Coral, FL 33909 </t>
  </si>
  <si>
    <t>53115-2464</t>
  </si>
  <si>
    <t xml:space="preserve">2534 Stagecoach Trl S </t>
  </si>
  <si>
    <t xml:space="preserve">249 SE 28th Ter  Cape Coral, FL 33904 </t>
  </si>
  <si>
    <t>34787-5675</t>
  </si>
  <si>
    <t>Bur Oak</t>
  </si>
  <si>
    <t xml:space="preserve">1630 NE 34th St  Cape Coral, FL 33909 </t>
  </si>
  <si>
    <t>Midlothian</t>
  </si>
  <si>
    <t>Northglenn</t>
  </si>
  <si>
    <t xml:space="preserve">14060 Cedardale St  Fort Myers, FL 33905 </t>
  </si>
  <si>
    <t>33904-4241</t>
  </si>
  <si>
    <t>45015-1960</t>
  </si>
  <si>
    <t xml:space="preserve">5508 N Chard Rd  Pickford, MI 49774-9070 </t>
  </si>
  <si>
    <t xml:space="preserve">103 Westley Rd </t>
  </si>
  <si>
    <t xml:space="preserve">4440 Selhurst Rd  North Olmsted, OH 44070-2613 </t>
  </si>
  <si>
    <t xml:space="preserve">2007 NE 17th Ter  Cape Coral, FL 33909 </t>
  </si>
  <si>
    <t xml:space="preserve">14551 Jonathan Harbour Dr  Fort Myers, FL 33908 </t>
  </si>
  <si>
    <t>61265-2352</t>
  </si>
  <si>
    <t xml:space="preserve">1517 NE 35th Ln </t>
  </si>
  <si>
    <t>Mario Heitz</t>
  </si>
  <si>
    <t>33909-1907</t>
  </si>
  <si>
    <t>Pnes</t>
  </si>
  <si>
    <t xml:space="preserve">11318 E 1650th Ave  Hidalgo, IL 62432-2229 </t>
  </si>
  <si>
    <t>Sadorf</t>
  </si>
  <si>
    <t>24-45-23-c1-00148.0390</t>
  </si>
  <si>
    <t xml:space="preserve">1415 NE 20th Ave </t>
  </si>
  <si>
    <t xml:space="preserve">1025 NE 5th Ave  Cape Coral, FL 33909 </t>
  </si>
  <si>
    <t>Elizabeth J Bracey Partridge Exempt Trust</t>
  </si>
  <si>
    <t xml:space="preserve">6139 Hester Ave </t>
  </si>
  <si>
    <t>80228-2701</t>
  </si>
  <si>
    <t>Cape Coral Unit 88 Blk 5774 Pb 24 Pg 134 Lots 9 + 10</t>
  </si>
  <si>
    <t>Chen Su</t>
  </si>
  <si>
    <t xml:space="preserve">11318 E 1650th Ave </t>
  </si>
  <si>
    <t>Taeb</t>
  </si>
  <si>
    <t>Noel</t>
  </si>
  <si>
    <t>33909-1618</t>
  </si>
  <si>
    <t>Simone</t>
  </si>
  <si>
    <t>Torre Dela &amp; Yuleisy Basallo</t>
  </si>
  <si>
    <t>Cape Coral Unit 87 Blk 5742 Pb 24 Pg 69 Lots 40 + 41</t>
  </si>
  <si>
    <t xml:space="preserve">9126 Jasmine Ln </t>
  </si>
  <si>
    <t>Ann-Marie Wellington-Greenlee</t>
  </si>
  <si>
    <t>Cape Coral Unit 88 Blk 5796 Pb 24 Pg 131 Lots 24 + 25</t>
  </si>
  <si>
    <t>08854-2141</t>
  </si>
  <si>
    <t xml:space="preserve">2112 NE 6th Ave  Cape Coral, FL 33909 </t>
  </si>
  <si>
    <t>Cape Coral Unit 35 Blk 2415 Pb 16 Pg 104 Lots 23 + 24</t>
  </si>
  <si>
    <t>Pineda</t>
  </si>
  <si>
    <t>84th</t>
  </si>
  <si>
    <t xml:space="preserve">6149 Laurelwood Dr </t>
  </si>
  <si>
    <t>Bergenline</t>
  </si>
  <si>
    <t>33909-6123</t>
  </si>
  <si>
    <t>Lakeway</t>
  </si>
  <si>
    <t>Ira Financial Trust</t>
  </si>
  <si>
    <t>Fornecker</t>
  </si>
  <si>
    <t xml:space="preserve">1408 NE 43rd Ter </t>
  </si>
  <si>
    <t>18-43-24-c4-05684.0390</t>
  </si>
  <si>
    <t xml:space="preserve">127 Meta St </t>
  </si>
  <si>
    <t xml:space="preserve">10600 Menaul Blvd NE </t>
  </si>
  <si>
    <t>Redwood</t>
  </si>
  <si>
    <t xml:space="preserve">5213 Marsh Mallow Trl </t>
  </si>
  <si>
    <t xml:space="preserve">1410 NE 5th Ave  Cape Coral, FL 33909 </t>
  </si>
  <si>
    <t>Cape Coral Unit 36 Blk 2520 Pb 16 Pg 113 Lots 50 + 51</t>
  </si>
  <si>
    <t>Pepper Sage</t>
  </si>
  <si>
    <t>Buckingham Pk Re Blk B U-5 Blk 24 Pb 27 Pg 193 Lot 21</t>
  </si>
  <si>
    <t xml:space="preserve">5830 SW 64th Ave </t>
  </si>
  <si>
    <t>Randle</t>
  </si>
  <si>
    <t xml:space="preserve">4426 NE Connection Ave  Cape Coral, FL 33909 </t>
  </si>
  <si>
    <t>Cass Brook</t>
  </si>
  <si>
    <t xml:space="preserve">569 NE 5th St  Cape Coral, FL 33909 </t>
  </si>
  <si>
    <t xml:space="preserve">2133 NE 23rd Ter  Cape Coral, FL 33909 </t>
  </si>
  <si>
    <t>Cape Coral Unit 36 Pt 1 Blk 2146 Pb 23 Pg 94 Lots 28 + 29</t>
  </si>
  <si>
    <t>43220-4934</t>
  </si>
  <si>
    <t>25-43-23-c2-02317.0310</t>
  </si>
  <si>
    <t xml:space="preserve">3613 NE 8th Pl  Cape Coral, FL 33909 </t>
  </si>
  <si>
    <t>James &amp; For Macaluso</t>
  </si>
  <si>
    <t xml:space="preserve">3838 Unique Cir </t>
  </si>
  <si>
    <t xml:space="preserve">6153 Higgins Ave </t>
  </si>
  <si>
    <t xml:space="preserve">16 Bromley Ln  Manchester Township, NJ 08759-7323 </t>
  </si>
  <si>
    <t xml:space="preserve">6673 Cherry Grove Cir  Orlando, FL 32809-6657 </t>
  </si>
  <si>
    <t xml:space="preserve">Santa Clara </t>
  </si>
  <si>
    <t>Cape Coral Unit 84 Blk 5566 Pb 24 Pg 38 Lots 29 + 30</t>
  </si>
  <si>
    <t>Minaya</t>
  </si>
  <si>
    <t xml:space="preserve">522 Coral Dr </t>
  </si>
  <si>
    <t xml:space="preserve">4014 E Gator Cir  Cape Coral, FL 33909 </t>
  </si>
  <si>
    <t>31-43-24-c1-02148.0380</t>
  </si>
  <si>
    <t>Terrie &amp; Mark Rees</t>
  </si>
  <si>
    <t>Pemberton</t>
  </si>
  <si>
    <t xml:space="preserve">1207 Towlston Rd  Great Falls, VA 22066-2216 </t>
  </si>
  <si>
    <t xml:space="preserve">2436 Walton Ave #1 </t>
  </si>
  <si>
    <t>Enzo</t>
  </si>
  <si>
    <t>Paul Emmons</t>
  </si>
  <si>
    <t>36-43-23-c3-02478.0010</t>
  </si>
  <si>
    <t>Charles Vars</t>
  </si>
  <si>
    <t xml:space="preserve">1732 NE 12th Ter  Cape Coral, FL 33909 </t>
  </si>
  <si>
    <t>Cape Coral Unit 46 Blk 3590 Pb 17 Pg 127 Lots 52 + 53</t>
  </si>
  <si>
    <t>Zimmerstr</t>
  </si>
  <si>
    <t xml:space="preserve">1309 NE 34th Ln </t>
  </si>
  <si>
    <t xml:space="preserve">5842 W Gunnison St </t>
  </si>
  <si>
    <t>David Gooch &amp; Brian Sternig</t>
  </si>
  <si>
    <t xml:space="preserve">PO Box 2430  Pensacola, FL 32513-2400 </t>
  </si>
  <si>
    <t>Cape Coral Unit 36 Pt 1 Blk 2513 Pb 23 Pg 91 Lots 54 + 55</t>
  </si>
  <si>
    <t xml:space="preserve">1325 NE 18th Ter </t>
  </si>
  <si>
    <t>Shiloh</t>
  </si>
  <si>
    <t>Cape Coral Unit 36 Blk 2538 Pb 16 Pg 115 Lots 1 + 2</t>
  </si>
  <si>
    <t>Mark &amp; Debra Townsend</t>
  </si>
  <si>
    <t>Mildrede</t>
  </si>
  <si>
    <t>Vandenberg</t>
  </si>
  <si>
    <t>Cypress Trail Rv Resort Phase 2-A As Desc In Inst# 2014000026506 Lot 211</t>
  </si>
  <si>
    <t>Cape Coral Unit 85 Blk 5658 Pb 24 Pg 54 Lots 23 + 24</t>
  </si>
  <si>
    <t xml:space="preserve">330 NE 17th St </t>
  </si>
  <si>
    <t>05-44-24-c1-03531.0600</t>
  </si>
  <si>
    <t xml:space="preserve">11101 Sunburst Ln  Fort Myers, FL 33908 </t>
  </si>
  <si>
    <t>San Bernardino</t>
  </si>
  <si>
    <t>Bahlinger</t>
  </si>
  <si>
    <t>Leocadio Correa</t>
  </si>
  <si>
    <t xml:space="preserve">56 Deerfield Dr  Hurricane, WV 25526-9784 </t>
  </si>
  <si>
    <t xml:space="preserve">420 Wayne Ave  Indialantic, FL 32903-4237 </t>
  </si>
  <si>
    <t>18-43-24-c4-05685.0190</t>
  </si>
  <si>
    <t>Stackyard</t>
  </si>
  <si>
    <t>KS</t>
  </si>
  <si>
    <t>20-43-24-c1-05650.0580</t>
  </si>
  <si>
    <t>17-43-24-c3-05797.0630</t>
  </si>
  <si>
    <t>Joselito &amp; Imelda David</t>
  </si>
  <si>
    <t xml:space="preserve">3007 NE 5th Pl  Cape Coral, FL 33909 </t>
  </si>
  <si>
    <t>Propnetscenter Propnetscenter</t>
  </si>
  <si>
    <t xml:space="preserve">109 NE 8th Pl </t>
  </si>
  <si>
    <t xml:space="preserve">14 Northern Dr </t>
  </si>
  <si>
    <t>27023-8373</t>
  </si>
  <si>
    <t xml:space="preserve">112 W Wooster St  Danbury, CT 06810-7635 </t>
  </si>
  <si>
    <t>Knoxville</t>
  </si>
  <si>
    <t xml:space="preserve">7810 34th Ave 3a </t>
  </si>
  <si>
    <t>Scheibach</t>
  </si>
  <si>
    <t>Kenneth Peters</t>
  </si>
  <si>
    <t xml:space="preserve">14411 Vernida Ave  Charlevoix, MI 49720-8960 </t>
  </si>
  <si>
    <t>78704-2048</t>
  </si>
  <si>
    <t>34109-4378</t>
  </si>
  <si>
    <t>33909-4526</t>
  </si>
  <si>
    <t xml:space="preserve">1301 Caloosa Vista Rd </t>
  </si>
  <si>
    <t>Malou</t>
  </si>
  <si>
    <t>Spicer</t>
  </si>
  <si>
    <t>60018-1932</t>
  </si>
  <si>
    <t>Berkshire</t>
  </si>
  <si>
    <t>Sherwood Oaks</t>
  </si>
  <si>
    <t>Wtr &amp; Kendra Allison</t>
  </si>
  <si>
    <t xml:space="preserve">615 Summit Rd  Union, NJ 07083-7760 </t>
  </si>
  <si>
    <t>J &amp; Roblin Beck</t>
  </si>
  <si>
    <t>Rte Roger Brun</t>
  </si>
  <si>
    <t>Highland Village</t>
  </si>
  <si>
    <t xml:space="preserve">15607 Darwin Ct </t>
  </si>
  <si>
    <t>48042-1009</t>
  </si>
  <si>
    <t>33126-3376</t>
  </si>
  <si>
    <t>12208-1808</t>
  </si>
  <si>
    <t>Edmands</t>
  </si>
  <si>
    <t>Michele Irmen &amp; Estate American</t>
  </si>
  <si>
    <t xml:space="preserve">5317 Cypress Trail Resort Cir </t>
  </si>
  <si>
    <t xml:space="preserve">1410 NE 12th Pl </t>
  </si>
  <si>
    <t xml:space="preserve">1003 NE 13th Ave </t>
  </si>
  <si>
    <t xml:space="preserve">4120 NE 10th Pl </t>
  </si>
  <si>
    <t xml:space="preserve">2135 NE 34th Ln  Cape Coral, FL 33909 </t>
  </si>
  <si>
    <t xml:space="preserve">2173 1st St  Norco, CA 92860-3106 </t>
  </si>
  <si>
    <t xml:space="preserve">40 La Fonda Ln  North Fort Myers, FL 33903 </t>
  </si>
  <si>
    <t xml:space="preserve">48620 Flagstaff Rd  Fremont, CA 94539-7711 </t>
  </si>
  <si>
    <t>33186-8416</t>
  </si>
  <si>
    <t xml:space="preserve">Access Undetermined  Fort Myers, FL 33905 </t>
  </si>
  <si>
    <t>Cape Coral Unit 36 Blk 2351 Pb 16 Pg 124 Lots 76 + 77</t>
  </si>
  <si>
    <t>Cape Coral Unit 88 Blk 5827 Pb 24 Pg 142 Lots 32 + 33</t>
  </si>
  <si>
    <t>Crk</t>
  </si>
  <si>
    <t>Guevara</t>
  </si>
  <si>
    <t xml:space="preserve">1016 NE 32nd Ln  Cape Coral, FL 33909 </t>
  </si>
  <si>
    <t xml:space="preserve">17136 Fontana Ln </t>
  </si>
  <si>
    <t>20-43-24-c1-05599.0410</t>
  </si>
  <si>
    <t>34101-9596</t>
  </si>
  <si>
    <t xml:space="preserve">2519 NE 7th Pl  Cape Coral, FL 33909 </t>
  </si>
  <si>
    <t xml:space="preserve">4424 New York Ave  Fort Myers, FL 33905 </t>
  </si>
  <si>
    <t xml:space="preserve">10690 NW 6th St  Coral Springs, FL 33071-7933 </t>
  </si>
  <si>
    <t xml:space="preserve">10417 Nightwood Dr </t>
  </si>
  <si>
    <t>20-43-24-c1-05644.0010</t>
  </si>
  <si>
    <t>Cape Coral Unit 84 Blk 5580 Pb 24 Pg 47 Lots 9 + 10</t>
  </si>
  <si>
    <t>Sample</t>
  </si>
  <si>
    <t>Torrey</t>
  </si>
  <si>
    <t>Iowa</t>
  </si>
  <si>
    <t xml:space="preserve">900 NE 12th St </t>
  </si>
  <si>
    <t xml:space="preserve">128 N Route 303 #3, Congers, NY 10920-1769 </t>
  </si>
  <si>
    <t>Lech</t>
  </si>
  <si>
    <t xml:space="preserve">2011 NE 1st Ave </t>
  </si>
  <si>
    <t>Cator</t>
  </si>
  <si>
    <t>Laura Lindgren</t>
  </si>
  <si>
    <t>11-44-25-07-00000.1670</t>
  </si>
  <si>
    <t>Yit</t>
  </si>
  <si>
    <t>Sas</t>
  </si>
  <si>
    <t>Lawrence &amp; Sue Loss</t>
  </si>
  <si>
    <t>Cape Coral Unit 84 Blk 5603 Pb 24 Pg 42 Lots 67 + 68</t>
  </si>
  <si>
    <t>33909-1956</t>
  </si>
  <si>
    <t>Cape Coral Unit 47 Blk 3527 Pb 23 Pg 122 Lots 29 + 30</t>
  </si>
  <si>
    <t xml:space="preserve">6451 Buckingham Rd  Fort Myers, FL 33905 </t>
  </si>
  <si>
    <t>19142-3030</t>
  </si>
  <si>
    <t>24551-4136</t>
  </si>
  <si>
    <t>53125-1179</t>
  </si>
  <si>
    <t>Petrus</t>
  </si>
  <si>
    <t>Jack Griggs</t>
  </si>
  <si>
    <t xml:space="preserve">2855 N University Dr #510 </t>
  </si>
  <si>
    <t>Wibrew</t>
  </si>
  <si>
    <t>Ursula</t>
  </si>
  <si>
    <t>17-43-24-c1-05761.0120</t>
  </si>
  <si>
    <t>13-44-25-00-00002.1030</t>
  </si>
  <si>
    <t xml:space="preserve">41 S Douglas St </t>
  </si>
  <si>
    <t xml:space="preserve">145 SE 25th Rd #504, Miami, FL 33129-2401 </t>
  </si>
  <si>
    <t>36-43-23-c3-02481.0440</t>
  </si>
  <si>
    <t>Eduard</t>
  </si>
  <si>
    <t xml:space="preserve">2014 NE 2nd Ter </t>
  </si>
  <si>
    <t>Grifton</t>
  </si>
  <si>
    <t>Matilda</t>
  </si>
  <si>
    <t xml:space="preserve">Marie-Curie-Str15 </t>
  </si>
  <si>
    <t xml:space="preserve">2821 NE 4th Ave </t>
  </si>
  <si>
    <t>33909-8853</t>
  </si>
  <si>
    <t xml:space="preserve">4001 NE 23rd Pl </t>
  </si>
  <si>
    <t xml:space="preserve">114 Walnut Dr </t>
  </si>
  <si>
    <t>Cheyenne</t>
  </si>
  <si>
    <t>Fairport</t>
  </si>
  <si>
    <t xml:space="preserve">346 Thompson Mill Rd </t>
  </si>
  <si>
    <t>19-43-24-c3-05617.0220</t>
  </si>
  <si>
    <t>Yamio</t>
  </si>
  <si>
    <t>Barcelona</t>
  </si>
  <si>
    <t>Mark Froelich &amp; Gregory Borbas</t>
  </si>
  <si>
    <t xml:space="preserve">5860 Maplewood Ct </t>
  </si>
  <si>
    <t>27560-6738</t>
  </si>
  <si>
    <t>01-45-23-c2-00460.0160</t>
  </si>
  <si>
    <t xml:space="preserve">1623 Dickinson Rd </t>
  </si>
  <si>
    <t>Deborah Perry</t>
  </si>
  <si>
    <t>Abedin</t>
  </si>
  <si>
    <t xml:space="preserve">2102 NE 19th Pl  Cape Coral, FL 33909 </t>
  </si>
  <si>
    <t>10453-2765</t>
  </si>
  <si>
    <t>Jasmine Goris</t>
  </si>
  <si>
    <t>36-43-23-c2-02541.0160</t>
  </si>
  <si>
    <t>Lafayette &amp; Elizabeth Lamb</t>
  </si>
  <si>
    <t>31-43-24-c4-02142.0110</t>
  </si>
  <si>
    <t>Cape Coral Unit 84 Blk 5605 Pb 24 Pg 42 Lots 59 + 60</t>
  </si>
  <si>
    <t>Zionsville</t>
  </si>
  <si>
    <t xml:space="preserve">1074 S Verde Santa Fe Pkwy </t>
  </si>
  <si>
    <t xml:space="preserve">257 S Cypress Rd #420, Pompano Beach, FL 33060-7032 </t>
  </si>
  <si>
    <t>11-44-25-06-0000d.0830</t>
  </si>
  <si>
    <t xml:space="preserve">501 3rd St NE  Hankinson, ND 58041-4044 </t>
  </si>
  <si>
    <t xml:space="preserve">3923 NE 21st Pl </t>
  </si>
  <si>
    <t>Dorothy Monter</t>
  </si>
  <si>
    <t>08-45-24-c1-00392.0390</t>
  </si>
  <si>
    <t>Cape Coral Unit 36 Blk 2518 Pb 16 Pg 117 Lots 36 + 37</t>
  </si>
  <si>
    <t>Karen and Nathan Grannick Revocable Living Trust</t>
  </si>
  <si>
    <t xml:space="preserve">9025 Madrid Cir </t>
  </si>
  <si>
    <t xml:space="preserve">1511 Panama St </t>
  </si>
  <si>
    <t>Rodeo</t>
  </si>
  <si>
    <t xml:space="preserve">1119 NE 36th Ter  Cape Coral, FL 33909 </t>
  </si>
  <si>
    <t xml:space="preserve">3706 Kilarney St </t>
  </si>
  <si>
    <t xml:space="preserve">3713 NE 13th Pl  Cape Coral, FL 33909 </t>
  </si>
  <si>
    <t xml:space="preserve">1409 NE 5th Pl  Cape Coral, FL 33909 </t>
  </si>
  <si>
    <t>Cape Coral Unit 88 Blk 5770 Pb 24 Pg 128 Lots 21 + 22</t>
  </si>
  <si>
    <t xml:space="preserve">273 Lake Dr </t>
  </si>
  <si>
    <t xml:space="preserve">2 White St </t>
  </si>
  <si>
    <t xml:space="preserve">1001 Pendleton Cir </t>
  </si>
  <si>
    <t xml:space="preserve">1101 SE 38th St  Cape Coral, FL 33904 </t>
  </si>
  <si>
    <t xml:space="preserve">216 S We Go Trl </t>
  </si>
  <si>
    <t>Cape Coral Unit 32 Blk.2128 Pb 16 Pg 10 Lots 24 + 25</t>
  </si>
  <si>
    <t>78653-3620</t>
  </si>
  <si>
    <t>Oummade</t>
  </si>
  <si>
    <t>33905-7744</t>
  </si>
  <si>
    <t>Lehigh Acres Unit 6 Blk 30 Pb 26 Pg 8 Lot 5</t>
  </si>
  <si>
    <t>PR</t>
  </si>
  <si>
    <t xml:space="preserve">3354 W Berteau Ave </t>
  </si>
  <si>
    <t xml:space="preserve">14221 County Road 633 </t>
  </si>
  <si>
    <t>Colonna</t>
  </si>
  <si>
    <t>60517-1707</t>
  </si>
  <si>
    <t>06-44-24-c4-02045.0260</t>
  </si>
  <si>
    <t>Jonathan Lafrance</t>
  </si>
  <si>
    <t>06-45-24-c2-00508.0690</t>
  </si>
  <si>
    <t>Marcus Alan J Tr</t>
  </si>
  <si>
    <t>Oeding</t>
  </si>
  <si>
    <t xml:space="preserve">10665 Machrihanish Cir </t>
  </si>
  <si>
    <t xml:space="preserve">1913 NE 5th Ave </t>
  </si>
  <si>
    <t xml:space="preserve">229 NE 31st St  Cape Coral, FL 33909 </t>
  </si>
  <si>
    <t>Cape Coral Unit 46 Blk 3586 Pb 17 Pg 126 Lots 16 + 17</t>
  </si>
  <si>
    <t xml:space="preserve">8014 Tauren Ct  Naples, FL 34119-7716 </t>
  </si>
  <si>
    <t>33909-1417</t>
  </si>
  <si>
    <t>36-43-23-c3-02484.0090</t>
  </si>
  <si>
    <t>33186-1568</t>
  </si>
  <si>
    <t xml:space="preserve">2034 NE 9th Ave  Cape Coral, FL 33909 </t>
  </si>
  <si>
    <t>16-44-26-06-00017.0080</t>
  </si>
  <si>
    <t>Sallutal</t>
  </si>
  <si>
    <t>18-43-24-c4-05682.0050</t>
  </si>
  <si>
    <t>Zawadzki</t>
  </si>
  <si>
    <t xml:space="preserve">335 NE 7th Ter </t>
  </si>
  <si>
    <t>33909-4575</t>
  </si>
  <si>
    <t xml:space="preserve">5174 Cypress Trail Resort Cir  Fort Myers, FL 33905 </t>
  </si>
  <si>
    <t xml:space="preserve">23604 48th Ave W </t>
  </si>
  <si>
    <t>48603-3635</t>
  </si>
  <si>
    <t>18-45-24-c4-00026.0280</t>
  </si>
  <si>
    <t xml:space="preserve">2301 NE 34th Ter </t>
  </si>
  <si>
    <t>33156-2361</t>
  </si>
  <si>
    <t>Braintree</t>
  </si>
  <si>
    <t>Joaquim</t>
  </si>
  <si>
    <t>Lakeside</t>
  </si>
  <si>
    <t>Cape Coral Unit 36 Blk 2355 Pb 16 Pg 120 Lots 44 + 45</t>
  </si>
  <si>
    <t xml:space="preserve">53 Prospect St #610 </t>
  </si>
  <si>
    <t>18-43-24-c4-05710.0240</t>
  </si>
  <si>
    <t>R080</t>
  </si>
  <si>
    <t>Cape Coral Unit 34 Blk 2422 Pb 16 Pg 76 Lots 45 + 46</t>
  </si>
  <si>
    <t>Turnberry</t>
  </si>
  <si>
    <t>Gary &amp; Josephine Snyder</t>
  </si>
  <si>
    <t>Empire</t>
  </si>
  <si>
    <t xml:space="preserve">Hyde Park  San Juan, PR 00927 </t>
  </si>
  <si>
    <t xml:space="preserve">1112 NE 33rd Ln </t>
  </si>
  <si>
    <t>Ronald &amp; Margaret Bodnar</t>
  </si>
  <si>
    <t xml:space="preserve">1047 NE 40th St  Cape Coral, FL 33909 </t>
  </si>
  <si>
    <t>Benedetto</t>
  </si>
  <si>
    <t xml:space="preserve">60 Vassar Ave  Newark, NJ 07112-2310 </t>
  </si>
  <si>
    <t>Vineland</t>
  </si>
  <si>
    <t>Cape Coral Unit 85 Blk 5641 Pb 24 Pg 54 Lots 27 + 28</t>
  </si>
  <si>
    <t xml:space="preserve">2223 NE 36th St  Cape Coral, FL 33909 </t>
  </si>
  <si>
    <t>Cape Coral Unit 34 Blk 2466 Pb 16 Pg 77 Lots 7 + 8</t>
  </si>
  <si>
    <t>Port Chester</t>
  </si>
  <si>
    <t xml:space="preserve">3601 E Gator Cir </t>
  </si>
  <si>
    <t>06-44-24-c1-02073.0520</t>
  </si>
  <si>
    <t>Cape Coral Unit 17 Blk.1512 Pb 14 Pg 27 Lots 21 + 22</t>
  </si>
  <si>
    <t>Tania</t>
  </si>
  <si>
    <t>B008</t>
  </si>
  <si>
    <t xml:space="preserve">8751 Lakefront Ct </t>
  </si>
  <si>
    <t>Rodriguez</t>
  </si>
  <si>
    <t>66085-4504</t>
  </si>
  <si>
    <t>Fountain View Rv Resort Or 1627 Pg 0179 Lot 68</t>
  </si>
  <si>
    <t xml:space="preserve">543 Tropicana Pkwy E </t>
  </si>
  <si>
    <t xml:space="preserve">1223 W 69th Ter </t>
  </si>
  <si>
    <t>Stephen &amp; Megan Perron</t>
  </si>
  <si>
    <t>Regina</t>
  </si>
  <si>
    <t xml:space="preserve">8241 NW 11th St #460 </t>
  </si>
  <si>
    <t>117th</t>
  </si>
  <si>
    <t xml:space="preserve">3215 NE 15th Ave </t>
  </si>
  <si>
    <t>06-44-24-c3-02059.0330</t>
  </si>
  <si>
    <t xml:space="preserve">50 Guion Pl 10c, New Rochelle, NY 10801-5521 </t>
  </si>
  <si>
    <t>Skimmer</t>
  </si>
  <si>
    <t>11-44-25-11-00000.0660</t>
  </si>
  <si>
    <t>Skyline Woods S/D Pb 39 Pg 69 Lot 24</t>
  </si>
  <si>
    <t>Valeriy</t>
  </si>
  <si>
    <t>Cape Coral Unit 33 Blk.2280 Pb 16 Pg 60 Lots 41 + 42</t>
  </si>
  <si>
    <t xml:space="preserve">1815 NE 10th Ave </t>
  </si>
  <si>
    <t>08619-4406</t>
  </si>
  <si>
    <t>PO Box 511</t>
  </si>
  <si>
    <t xml:space="preserve">315 Emerson Mill Rd </t>
  </si>
  <si>
    <t>33165-5843</t>
  </si>
  <si>
    <t>Sheth</t>
  </si>
  <si>
    <t>Palm</t>
  </si>
  <si>
    <t>Trailwood</t>
  </si>
  <si>
    <t>Laing</t>
  </si>
  <si>
    <t>Cape Coral Unit 33 Blk 2278 Pb 16 Pg 60 Lots 17 + 18</t>
  </si>
  <si>
    <t xml:space="preserve">1840 Broadway Blvd </t>
  </si>
  <si>
    <t>33909-3352</t>
  </si>
  <si>
    <t>05-44-24-c2-03511.0440</t>
  </si>
  <si>
    <t>61008-4329</t>
  </si>
  <si>
    <t xml:space="preserve">19123 SW 60th Ct 4a </t>
  </si>
  <si>
    <t>Cape Coral Unit 88 Blk 5796 Pb 24 Pg 137 Lots 34 + 35</t>
  </si>
  <si>
    <t xml:space="preserve">6015 Lindbrook Ave </t>
  </si>
  <si>
    <t xml:space="preserve">201 NE 31st St  Cape Coral, FL 33909 </t>
  </si>
  <si>
    <t xml:space="preserve">215 Mason St </t>
  </si>
  <si>
    <t>Marsh Mallow</t>
  </si>
  <si>
    <t xml:space="preserve">11890 NW 81st Ct </t>
  </si>
  <si>
    <t>Pelican</t>
  </si>
  <si>
    <t xml:space="preserve">2000 NE 6th Ave  Cape Coral, FL 33909 </t>
  </si>
  <si>
    <t>Nelida Gonzales &amp; Simeon Ayquipa</t>
  </si>
  <si>
    <t xml:space="preserve">2126 NE 33rd Ln  Cape Coral, FL 33909 </t>
  </si>
  <si>
    <t>Cape Coral Unit 31 Blk 2055 Pb 14 Pg 157 Lots 7 + 8</t>
  </si>
  <si>
    <t>29-43-24-c3-02287.0130</t>
  </si>
  <si>
    <t>AK</t>
  </si>
  <si>
    <t>Cardona</t>
  </si>
  <si>
    <t>11-44-25-l1-1400b.4480</t>
  </si>
  <si>
    <t xml:space="preserve">Po Box 5007 </t>
  </si>
  <si>
    <t>Ramirez</t>
  </si>
  <si>
    <t xml:space="preserve">Po Box 185 </t>
  </si>
  <si>
    <t>Sheryl E Wilkie Revocable Trust</t>
  </si>
  <si>
    <t xml:space="preserve">2916 NE 2nd Ave  Cape Coral, FL 33909 </t>
  </si>
  <si>
    <t xml:space="preserve">1213 NE 4th Pl </t>
  </si>
  <si>
    <t xml:space="preserve">2928 NE 3rd Ave  Cape Coral, FL 33909 </t>
  </si>
  <si>
    <t>Dominek</t>
  </si>
  <si>
    <t xml:space="preserve">39 Shaul-Hamelech Bv  Tel Aviv, IL 64928 </t>
  </si>
  <si>
    <t xml:space="preserve">10241 NW 75th Ter  Doral, FL 33178-3394 </t>
  </si>
  <si>
    <t>Jovanny</t>
  </si>
  <si>
    <t>Efrain</t>
  </si>
  <si>
    <t>Cape Coral Unit 87 Blk 5752 Pb 24 Pg 71 Lots 7 + 8</t>
  </si>
  <si>
    <t>36-43-23-c2-02344.0220</t>
  </si>
  <si>
    <t xml:space="preserve">662 NE 5th Pl </t>
  </si>
  <si>
    <t>Roselle</t>
  </si>
  <si>
    <t>Kershaw</t>
  </si>
  <si>
    <t xml:space="preserve">2111 NE 16th Ter </t>
  </si>
  <si>
    <t>07069-6021</t>
  </si>
  <si>
    <t xml:space="preserve">414 W Lake St 1w, Petoskey, MI 49770-2284 </t>
  </si>
  <si>
    <t>33161-4445</t>
  </si>
  <si>
    <t xml:space="preserve">15261 Cemetery Rd </t>
  </si>
  <si>
    <t>20-43-24-c4-05631.0350</t>
  </si>
  <si>
    <t xml:space="preserve">4024 NE 9th Ave </t>
  </si>
  <si>
    <t>17042-9458</t>
  </si>
  <si>
    <t xml:space="preserve">1406 NE 11th St  Cape Coral, FL 33909 </t>
  </si>
  <si>
    <t>Thompson</t>
  </si>
  <si>
    <t xml:space="preserve">49256 Prospect Ct </t>
  </si>
  <si>
    <t xml:space="preserve">4009 NE 22nd Pl </t>
  </si>
  <si>
    <t xml:space="preserve">7 Theodor-Heuss-Strasse </t>
  </si>
  <si>
    <t>Cape Coral Unit 35 Blk 2406 Pb 16 Pg 104 Lots 3 + 4</t>
  </si>
  <si>
    <t>33909-4810</t>
  </si>
  <si>
    <t>10466-5016</t>
  </si>
  <si>
    <t>08-44-25-p3-04800.0320</t>
  </si>
  <si>
    <t>Chillicothe</t>
  </si>
  <si>
    <t>County Road 4387</t>
  </si>
  <si>
    <t xml:space="preserve">2692 S Falcon View Dr  Tucson, AZ 85713-4384 </t>
  </si>
  <si>
    <t>Paul &amp; Diane Stieler</t>
  </si>
  <si>
    <t xml:space="preserve">8325 Hc 64  Patillas, PR 00723-9718 </t>
  </si>
  <si>
    <t>33908-2639</t>
  </si>
  <si>
    <t>Manthey</t>
  </si>
  <si>
    <t>Beach 117th</t>
  </si>
  <si>
    <t>Valorie</t>
  </si>
  <si>
    <t xml:space="preserve">74 Parkside Dr </t>
  </si>
  <si>
    <t>33909-4521</t>
  </si>
  <si>
    <t>Pamela Gailliard</t>
  </si>
  <si>
    <t>33156-7372</t>
  </si>
  <si>
    <t xml:space="preserve">431 E Rossetti Dr  Nokomis, FL 34275-3598 </t>
  </si>
  <si>
    <t>Cueto</t>
  </si>
  <si>
    <t>50278-8614</t>
  </si>
  <si>
    <t xml:space="preserve">1615 NE 36th St  Cape Coral, FL 33909 </t>
  </si>
  <si>
    <t xml:space="preserve">440 N Limestone St  Springfield, OH 45503-4116 </t>
  </si>
  <si>
    <t xml:space="preserve">15270 SW 41st Ter  Miami, FL 33185-4761 </t>
  </si>
  <si>
    <t xml:space="preserve">273 Beaumont St </t>
  </si>
  <si>
    <t>33144-3327</t>
  </si>
  <si>
    <t xml:space="preserve">8 Lydia Ln  Garden City, NY 11530-5423 </t>
  </si>
  <si>
    <t>For William H Knipper Iv Trust</t>
  </si>
  <si>
    <t>44870-9733</t>
  </si>
  <si>
    <t>River Styx</t>
  </si>
  <si>
    <t>33024-3824</t>
  </si>
  <si>
    <t xml:space="preserve">1718 Capitol Ave </t>
  </si>
  <si>
    <t>21146-3904</t>
  </si>
  <si>
    <t>Jayne Haynes</t>
  </si>
  <si>
    <t xml:space="preserve">154 Highview Ave  Staten Island, NY 10301-1346 </t>
  </si>
  <si>
    <t>33909-6260</t>
  </si>
  <si>
    <t>Fusia</t>
  </si>
  <si>
    <t xml:space="preserve">6261 Castlewood Cir </t>
  </si>
  <si>
    <t>Oberaudorf</t>
  </si>
  <si>
    <t>Charlie</t>
  </si>
  <si>
    <t xml:space="preserve">Po Box 1111 </t>
  </si>
  <si>
    <t xml:space="preserve">510 NE 25th Ter  Cape Coral, FL 33909 </t>
  </si>
  <si>
    <t xml:space="preserve">9630 Firenze Cir  Naples, FL 34113-7708 </t>
  </si>
  <si>
    <t>Kiem</t>
  </si>
  <si>
    <t>03-46-23-03-00000.0330</t>
  </si>
  <si>
    <t xml:space="preserve">308 NE 7th St  Cape Coral, FL 33909 </t>
  </si>
  <si>
    <t xml:space="preserve">200 NE 23rd Ter  Cape Coral, FL 33909 </t>
  </si>
  <si>
    <t>Herbert &amp; Doris Kissel</t>
  </si>
  <si>
    <t xml:space="preserve">186 Rainbow Dr #8650, Livingston, TX 77399-1086 </t>
  </si>
  <si>
    <t xml:space="preserve">900 NE 20th St </t>
  </si>
  <si>
    <t xml:space="preserve">13451 Beloit Woods Ln </t>
  </si>
  <si>
    <t>Watermark</t>
  </si>
  <si>
    <t>Lawson</t>
  </si>
  <si>
    <t>11-44-25-l1-13000.0840</t>
  </si>
  <si>
    <t>Cape Coral Unit 88 Blk 5825 Pg 24 Pg 141 Lots 28 + 29</t>
  </si>
  <si>
    <t>20-43-24-c4-05632.0150</t>
  </si>
  <si>
    <t>Bonner Springs</t>
  </si>
  <si>
    <t>Cape Coral Unit 85 Blk 5656 Pb 24 Pg 57 Lots 47 + 48</t>
  </si>
  <si>
    <t>Papavero</t>
  </si>
  <si>
    <t>08805-1608</t>
  </si>
  <si>
    <t>17112-8640</t>
  </si>
  <si>
    <t>Hieu Truong &amp; Tu Luu</t>
  </si>
  <si>
    <t>33909-5205</t>
  </si>
  <si>
    <t>Luis &amp; Carmen Rodriguez</t>
  </si>
  <si>
    <t>01-44-23-c3-02424.0390</t>
  </si>
  <si>
    <t>Mesa</t>
  </si>
  <si>
    <t xml:space="preserve">11781 Holiday Condo Dr </t>
  </si>
  <si>
    <t>Urbano &amp; Margaret Petrizza</t>
  </si>
  <si>
    <t xml:space="preserve">2130 NE 33rd Ln </t>
  </si>
  <si>
    <t xml:space="preserve">6510 Maytree Cir </t>
  </si>
  <si>
    <t>Northbrook</t>
  </si>
  <si>
    <t>Adrian &amp; Evelyn Villarin</t>
  </si>
  <si>
    <t>Cape Coral Unit 36 Pt 1 Blk 2513 Pb 23 Pg 91 Lots 52 + 53</t>
  </si>
  <si>
    <t>Kingsbridge</t>
  </si>
  <si>
    <t xml:space="preserve">15316 Markham Dr  Clermont, FL 34714-6654 </t>
  </si>
  <si>
    <t xml:space="preserve">11 Stillwater Rd #1 </t>
  </si>
  <si>
    <t xml:space="preserve">13 Bahnhofstrasse </t>
  </si>
  <si>
    <t>Cape Coral Unit 84 Blk 5593 Pb 24 Pg 41 Lots 8 + 9</t>
  </si>
  <si>
    <t xml:space="preserve">5730 Cypress Woods Resort Dr </t>
  </si>
  <si>
    <t xml:space="preserve">20960 Evergreen Trl  North Royalton, OH 44133-6190 </t>
  </si>
  <si>
    <t>Madison</t>
  </si>
  <si>
    <t>02726-3124</t>
  </si>
  <si>
    <t>29-43-24-c4-02259.0050</t>
  </si>
  <si>
    <t>Cape Coral Unit 33 Blk.2236 Pb 16 Pg 48 Lots 38 + 39</t>
  </si>
  <si>
    <t>Januarco Pereira</t>
  </si>
  <si>
    <t>Maleville</t>
  </si>
  <si>
    <t xml:space="preserve">3710 NE 17th Ave  Cape Coral, FL 33909 </t>
  </si>
  <si>
    <t>Thorpe</t>
  </si>
  <si>
    <t>Liberty Hill</t>
  </si>
  <si>
    <t>33616-2149</t>
  </si>
  <si>
    <t xml:space="preserve">3600 NE 12th Pl </t>
  </si>
  <si>
    <t xml:space="preserve">732 Country Club Trl  Gardendale, AL 35071-2857 </t>
  </si>
  <si>
    <t>Berwick</t>
  </si>
  <si>
    <t xml:space="preserve">9604 Sprow Ranch Ln  Orangevale, CA 95662-3673 </t>
  </si>
  <si>
    <t>Mariko</t>
  </si>
  <si>
    <t>Cape Coral Unit 84 Blk 5615 Pb 24 Pg 34 Lots 47 + 48</t>
  </si>
  <si>
    <t>Labelle Vista</t>
  </si>
  <si>
    <t>17-43-24-c3-05793.0200</t>
  </si>
  <si>
    <t xml:space="preserve">5004 Delaware Avenue Pass #1, Egg Harbor Township, NJ 08234 </t>
  </si>
  <si>
    <t>Cape Coral Unit 84 Blk 5598 Pb 24 Pg 42 Lots 35 + 36</t>
  </si>
  <si>
    <t>Cape Coral Unit 88 Blk 5818 Pb 24 Pg 140 Lots 18 + 19</t>
  </si>
  <si>
    <t>Paucar Yana</t>
  </si>
  <si>
    <t>Bay Colony</t>
  </si>
  <si>
    <t>Satterthwaite</t>
  </si>
  <si>
    <t>33904-8427</t>
  </si>
  <si>
    <t>Bradley &amp; Matthew Flynn</t>
  </si>
  <si>
    <t>Sewpersaud</t>
  </si>
  <si>
    <t>Cape Coral Unit 34 Blk 2444 Pb 16 Pg 75 Lots 1 + 2</t>
  </si>
  <si>
    <t>2130 ne 26th land trust</t>
  </si>
  <si>
    <t xml:space="preserve">441 NW 132nd Ct  Miami, FL 33182-1656 </t>
  </si>
  <si>
    <t xml:space="preserve">14420 SW 46th Ter </t>
  </si>
  <si>
    <t>Lils</t>
  </si>
  <si>
    <t xml:space="preserve">2 NE 3rd Ln </t>
  </si>
  <si>
    <t xml:space="preserve">1712 NE Juanita Pl </t>
  </si>
  <si>
    <t xml:space="preserve">605 Elizabeth Ave  Elizabethport, NJ 07206-1131 </t>
  </si>
  <si>
    <t xml:space="preserve">6012 Laurelwood Dr </t>
  </si>
  <si>
    <t>Madelaine Shapiro</t>
  </si>
  <si>
    <t xml:space="preserve">37 Haatzmaut St  Tioga, IL 49222 </t>
  </si>
  <si>
    <t xml:space="preserve">2834 N Noreaster Cove Dr  Port Clinton, OH 43452-3318 </t>
  </si>
  <si>
    <t>Cape Coral Unit 87 Blk 5706 Pb 24 Pg 72 Lots 15 + 16</t>
  </si>
  <si>
    <t>Aimi</t>
  </si>
  <si>
    <t xml:space="preserve">454 Loudon Rd  Albany, NY 12211-1455 </t>
  </si>
  <si>
    <t>Engler</t>
  </si>
  <si>
    <t>Cape Coral Unit 85 Blk 5649 Pb 24 Pg 57 Lots 35 + 36</t>
  </si>
  <si>
    <t>Cape Coral Unit 32 Blk 2148 Pb 16 Pg 12 Lots 44 + 45</t>
  </si>
  <si>
    <t xml:space="preserve">17 Bis Rue St Jean </t>
  </si>
  <si>
    <t>Chula Vista</t>
  </si>
  <si>
    <t>Mary &amp; Kingdom Newton</t>
  </si>
  <si>
    <t>08854-2299</t>
  </si>
  <si>
    <t xml:space="preserve">8376 SW 159th Pl  Miami, FL 33193-3090 </t>
  </si>
  <si>
    <t>12-44-23-c4-02372.0290</t>
  </si>
  <si>
    <t>31-43-24-c2-02139.0340</t>
  </si>
  <si>
    <t xml:space="preserve">7978 NW 116th Ave </t>
  </si>
  <si>
    <t>21122-1384</t>
  </si>
  <si>
    <t xml:space="preserve">1802 NE 23rd Ave  Cape Coral, FL 33909 </t>
  </si>
  <si>
    <t>Cape Coral Unit 36 Blk 2297A Pb 16 Pg 119 Lots 35 + 36</t>
  </si>
  <si>
    <t xml:space="preserve">1955 Mendocino St  Seaside, CA 93955-3318 </t>
  </si>
  <si>
    <t>Susan &amp; For Hummel</t>
  </si>
  <si>
    <t>48322-2973</t>
  </si>
  <si>
    <t>33909-1216</t>
  </si>
  <si>
    <t>Dytko</t>
  </si>
  <si>
    <t>32-43-24-c1-02190.0290</t>
  </si>
  <si>
    <t xml:space="preserve">18 Manchester Ct  Morristown, NJ 07960-2745 </t>
  </si>
  <si>
    <t xml:space="preserve">7755 Yardley Dr D415 </t>
  </si>
  <si>
    <t xml:space="preserve">9538 Summer Hollow Dr  Fishers, IN 46037-8006 </t>
  </si>
  <si>
    <t>33909-4374</t>
  </si>
  <si>
    <t xml:space="preserve">523 Prairie Ln </t>
  </si>
  <si>
    <t>Cape Coral Unit 31 Blk 2067 Pb 14 Pg 164 Lots 50 + 51</t>
  </si>
  <si>
    <t>Ariola</t>
  </si>
  <si>
    <t>Cape Coral Unit 88 Blk 5827 Pb 24 Pg 142 Lots 30 + 31</t>
  </si>
  <si>
    <t>65037-8057</t>
  </si>
  <si>
    <t>94804-4520</t>
  </si>
  <si>
    <t>33467-7956</t>
  </si>
  <si>
    <t>Faithann Detringo</t>
  </si>
  <si>
    <t xml:space="preserve">1816 Kismet Pkwy E  Cape Coral, FL 33909 </t>
  </si>
  <si>
    <t>Lupse</t>
  </si>
  <si>
    <t>Iris &amp; Mauricio Lynn</t>
  </si>
  <si>
    <t>Grossman</t>
  </si>
  <si>
    <t xml:space="preserve">8766 NW 140th Ln  Miami Lakes, FL 33018-7375 </t>
  </si>
  <si>
    <t xml:space="preserve">4674 Canvas Ct </t>
  </si>
  <si>
    <t xml:space="preserve">4 Lee Ct </t>
  </si>
  <si>
    <t xml:space="preserve">1205 NE 3rd St  Cape Coral, FL 33909 </t>
  </si>
  <si>
    <t>Cape Coral Unit 85 Blk 5671 Pb 24 Pg 52 Lots 33 + 34</t>
  </si>
  <si>
    <t xml:space="preserve">3239 NE 8th Pl </t>
  </si>
  <si>
    <t xml:space="preserve">1027 Arbor Dr </t>
  </si>
  <si>
    <t xml:space="preserve">600 NE 20th St  Cape Coral, FL 33909 </t>
  </si>
  <si>
    <t xml:space="preserve">62 Main St </t>
  </si>
  <si>
    <t>16-44-26-07-00022.0050</t>
  </si>
  <si>
    <t>Nwilati</t>
  </si>
  <si>
    <t>Fodor</t>
  </si>
  <si>
    <t xml:space="preserve">805 NE 5th Ave  Cape Coral, FL 33909 </t>
  </si>
  <si>
    <t>Cape Coral Unit 87 Blk 5712 Pb 24 Pg 76 Lots 27 + 28</t>
  </si>
  <si>
    <t xml:space="preserve">14838 Cranoke St </t>
  </si>
  <si>
    <t xml:space="preserve">5217 Marsh Mallow Trl  Fort Myers, FL 33905 </t>
  </si>
  <si>
    <t xml:space="preserve">5690 Cypress Woods Resort Dr </t>
  </si>
  <si>
    <t xml:space="preserve">9518 Community Centre Rd </t>
  </si>
  <si>
    <t>Cape Coral Unit 88 Blk 5778 Pb 24 Pg 135 Lots 19 + 20</t>
  </si>
  <si>
    <t xml:space="preserve">212 NE 9th St </t>
  </si>
  <si>
    <t>Christophe &amp; Marnia Kerdudo</t>
  </si>
  <si>
    <t>For David Lau Trust</t>
  </si>
  <si>
    <t>Alder</t>
  </si>
  <si>
    <t xml:space="preserve">2015 NE 1st Ave </t>
  </si>
  <si>
    <t xml:space="preserve">439 NE 1st Ave  Cape Coral, FL 33909 </t>
  </si>
  <si>
    <t>Reyson Monroy</t>
  </si>
  <si>
    <t>33904-4149</t>
  </si>
  <si>
    <t xml:space="preserve">2214 NE 24th Ter  Cape Coral, FL 33909 </t>
  </si>
  <si>
    <t>Dujour</t>
  </si>
  <si>
    <t>36-44-23-c4-00866.0530</t>
  </si>
  <si>
    <t xml:space="preserve">11022 Sunburst Ln  Fort Myers, FL 33908 </t>
  </si>
  <si>
    <t xml:space="preserve">2625 NE 20th Pl  Cape Coral, FL 33909 </t>
  </si>
  <si>
    <t>Glen Prince</t>
  </si>
  <si>
    <t>Tokarz</t>
  </si>
  <si>
    <t xml:space="preserve">Po Box 690 </t>
  </si>
  <si>
    <t xml:space="preserve">18103 NW 60th Ct </t>
  </si>
  <si>
    <t>Mitura</t>
  </si>
  <si>
    <t>Anne-Marie</t>
  </si>
  <si>
    <t>33328-6907</t>
  </si>
  <si>
    <t>Muirhead</t>
  </si>
  <si>
    <t xml:space="preserve">1214 NE 6th Pl  Cape Coral, FL 33909 </t>
  </si>
  <si>
    <t xml:space="preserve">22 NE 11th Ter </t>
  </si>
  <si>
    <t>33905-8712</t>
  </si>
  <si>
    <t>Cape Coral Unit 85 Blk 5650 Pb 24 Pg 57 Lots 23 + 24</t>
  </si>
  <si>
    <t>Charly</t>
  </si>
  <si>
    <t>31-43-24-c3-02121.0330</t>
  </si>
  <si>
    <t>Chestnut Wood</t>
  </si>
  <si>
    <t xml:space="preserve">1722 Deerhaven Dr </t>
  </si>
  <si>
    <t>Miguel Wong</t>
  </si>
  <si>
    <t>Spillenaar</t>
  </si>
  <si>
    <t>Dhaniram &amp; Talamatti Teekadharry</t>
  </si>
  <si>
    <t>Sheila</t>
  </si>
  <si>
    <t>Gamewell</t>
  </si>
  <si>
    <t xml:space="preserve">3923 SE 4th Ave </t>
  </si>
  <si>
    <t xml:space="preserve">6018 Jonathan Ave  Fort Myers, FL 33905 </t>
  </si>
  <si>
    <t>Cape Coral Unit 33 Blk 2225 Pb 16 Pg 45 Lots 4 + 5</t>
  </si>
  <si>
    <t xml:space="preserve">1481 Shawhan Rd  Morrow, OH 45152-9622 </t>
  </si>
  <si>
    <t>32-43-24-c1-02179.0170</t>
  </si>
  <si>
    <t>Lehigh Acres Unit 6 Blk 31 Pb 26 Pg 8 Lot 18</t>
  </si>
  <si>
    <t xml:space="preserve">1514 Andalusia Blvd </t>
  </si>
  <si>
    <t xml:space="preserve">22936 Fate Anderson Rd  Hindsville, AR 72738-9200 </t>
  </si>
  <si>
    <t xml:space="preserve">6331 Castlewood Cir  Fort Myers, FL 33905 </t>
  </si>
  <si>
    <t>Bellaire</t>
  </si>
  <si>
    <t xml:space="preserve">533 NW 130th Ave </t>
  </si>
  <si>
    <t xml:space="preserve">27 Old Gate Ln </t>
  </si>
  <si>
    <t>Payawal</t>
  </si>
  <si>
    <t xml:space="preserve">2120 Andalusia Blvd </t>
  </si>
  <si>
    <t>Mays</t>
  </si>
  <si>
    <t>Reynolds Station</t>
  </si>
  <si>
    <t>11717-2337</t>
  </si>
  <si>
    <t xml:space="preserve">PO Box 511  Kalama, WA 98625 </t>
  </si>
  <si>
    <t>33045-2114</t>
  </si>
  <si>
    <t>07307-3012</t>
  </si>
  <si>
    <t>For Mary Ann Arguello Trust</t>
  </si>
  <si>
    <t>Larry</t>
  </si>
  <si>
    <t>94109-3457</t>
  </si>
  <si>
    <t xml:space="preserve">2825 NE 2nd Pl </t>
  </si>
  <si>
    <t xml:space="preserve">140 Dawn Dr </t>
  </si>
  <si>
    <t xml:space="preserve">421 Santa Barbara St </t>
  </si>
  <si>
    <t xml:space="preserve">2908 NE 1st Ave </t>
  </si>
  <si>
    <t xml:space="preserve">1058 E 216th St  Bronx, NY 10469-1207 </t>
  </si>
  <si>
    <t>Cape Coral Unit 35 Blk 2382 Pb 16 Pg 106 Lots 45 + 46</t>
  </si>
  <si>
    <t xml:space="preserve">3614 Cauwels Rd  Marion, NY 14505-9427 </t>
  </si>
  <si>
    <t>Cape Coral Unit 84 Blk 5552 Pb 24 Pg 31 Lots 75 + 76</t>
  </si>
  <si>
    <t xml:space="preserve">5745 Brightwood Dr </t>
  </si>
  <si>
    <t>Del Mar Village</t>
  </si>
  <si>
    <t>Marva</t>
  </si>
  <si>
    <t>Arcadia</t>
  </si>
  <si>
    <t xml:space="preserve">6140 Hershey Ave </t>
  </si>
  <si>
    <t xml:space="preserve">5289 Cypress Trail Resort Cir  Fort Myers, FL 33905 </t>
  </si>
  <si>
    <t xml:space="preserve">105 Bay Dr  Annapolis, MD 21403-4407 </t>
  </si>
  <si>
    <t xml:space="preserve">6398 Warwick Ave  Naples, FL 34113-8234 </t>
  </si>
  <si>
    <t>Remache</t>
  </si>
  <si>
    <t>Rte Des Monts-Delauaux 70</t>
  </si>
  <si>
    <t>Cape Coral Unit 33 Blk 2255 Pb 16 Pg 57 Lots 13 + 14</t>
  </si>
  <si>
    <t>P G P &amp; Savita Joshi</t>
  </si>
  <si>
    <t>33909-6516</t>
  </si>
  <si>
    <t xml:space="preserve">10075 Rambelwood Ct </t>
  </si>
  <si>
    <t>16-44-26-08-00030.0160</t>
  </si>
  <si>
    <t xml:space="preserve">1605 NE 33rd Ter  Cape Coral, FL 33909 </t>
  </si>
  <si>
    <t>Cape Coral Unit 34 Blk 2428 Pb 16 Pg 80 Lots 37 + 38</t>
  </si>
  <si>
    <t>Central City</t>
  </si>
  <si>
    <t xml:space="preserve">5850 Pathwood Ct </t>
  </si>
  <si>
    <t>46845-8206</t>
  </si>
  <si>
    <t xml:space="preserve">19053 SW 4th St #2 </t>
  </si>
  <si>
    <t>Abano</t>
  </si>
  <si>
    <t xml:space="preserve">20960 Evergreen Trl </t>
  </si>
  <si>
    <t>Cape Coral Unit 84 Blk 5617 Pb 24 Pg 34 Lots 41 Thru 43</t>
  </si>
  <si>
    <t>Cape Coral Unit 32 Blk 2155 Pb 16 Pg 12 Lots 55 + 56</t>
  </si>
  <si>
    <t>Mourning Dove</t>
  </si>
  <si>
    <t>Wise</t>
  </si>
  <si>
    <t>Raul Peagudo &amp; Oneida Garcia</t>
  </si>
  <si>
    <t xml:space="preserve">8011 Buckingham Rd  Fort Myers, FL 33905 </t>
  </si>
  <si>
    <t xml:space="preserve">1425 Everest Pkwy  Cape Coral, FL 33904 </t>
  </si>
  <si>
    <t>Lum</t>
  </si>
  <si>
    <t>Scharfstein</t>
  </si>
  <si>
    <t xml:space="preserve">8603 106th St </t>
  </si>
  <si>
    <t>Cypress Trail Rv Resort As Desc In Inst# 2013000212499 Lot 269</t>
  </si>
  <si>
    <t>Rvpd</t>
  </si>
  <si>
    <t>Sandra Ausenon</t>
  </si>
  <si>
    <t>Yefim</t>
  </si>
  <si>
    <t xml:space="preserve">6941 SW 1st Ct </t>
  </si>
  <si>
    <t xml:space="preserve">324 SE 30th St </t>
  </si>
  <si>
    <t>Hartland</t>
  </si>
  <si>
    <t>Great View</t>
  </si>
  <si>
    <t>33909-4320</t>
  </si>
  <si>
    <t>Waldorf</t>
  </si>
  <si>
    <t xml:space="preserve">10341 Nightwood Dr  Fort Myers, FL 33905 </t>
  </si>
  <si>
    <t>33909-1554</t>
  </si>
  <si>
    <t>Adam Ashraf</t>
  </si>
  <si>
    <t>Lehigh Acres Unit 11 Blk 55 Pb 26 Pg 14 Lot 26</t>
  </si>
  <si>
    <t>Flora Espinosa</t>
  </si>
  <si>
    <t xml:space="preserve">14 Epping Ave </t>
  </si>
  <si>
    <t xml:space="preserve">3465 SW 3rd Ave  Miami, FL 33145-3913 </t>
  </si>
  <si>
    <t>Cape Coral Unit 36 Blk 2355 Pb 16 Pg 120 Lots 42 + 43</t>
  </si>
  <si>
    <t>Atlantis</t>
  </si>
  <si>
    <t xml:space="preserve">1008 NE 32nd Ter </t>
  </si>
  <si>
    <t xml:space="preserve">86 Gauldry Avenue Cardonald  Glasgow, GB 00000 </t>
  </si>
  <si>
    <t>Jacques</t>
  </si>
  <si>
    <t xml:space="preserve">830 Glen Oak Dr  Winnetka, IL 60093-1505 </t>
  </si>
  <si>
    <t xml:space="preserve">2113 NE 33rd Ter  Cape Coral, FL 33909 </t>
  </si>
  <si>
    <t xml:space="preserve">607 SW 96th Ct  Miami, FL 33174-2104 </t>
  </si>
  <si>
    <t xml:space="preserve">1321 NE 3rd Ter  Cape Coral, FL 33909 </t>
  </si>
  <si>
    <t>11570-5216</t>
  </si>
  <si>
    <t>Garden Grove</t>
  </si>
  <si>
    <t xml:space="preserve">24 Alpenweg </t>
  </si>
  <si>
    <t>Ruby Stewart</t>
  </si>
  <si>
    <t xml:space="preserve">6063 W Fisher </t>
  </si>
  <si>
    <t>193rd</t>
  </si>
  <si>
    <t>PO Box 163</t>
  </si>
  <si>
    <t xml:space="preserve">118 Tropicana Pkwy E  Cape Coral, FL 33909 </t>
  </si>
  <si>
    <t>Norman Barotz</t>
  </si>
  <si>
    <t>John Nguyen</t>
  </si>
  <si>
    <t>Bethzaida</t>
  </si>
  <si>
    <t>La Porte</t>
  </si>
  <si>
    <t>Cape Coral Unit 85 Blk 5650 Pb 24 Pg 54 Lots 29 + 30</t>
  </si>
  <si>
    <t xml:space="preserve">3736 NE 14th Ave </t>
  </si>
  <si>
    <t xml:space="preserve">3722 W Gator Cir </t>
  </si>
  <si>
    <t>Urick Albert Tr</t>
  </si>
  <si>
    <t>33009-7317</t>
  </si>
  <si>
    <t xml:space="preserve">2816 NE 3rd Ave  Cape Coral, FL 33909 </t>
  </si>
  <si>
    <t>34116-7515</t>
  </si>
  <si>
    <t xml:space="preserve">2528 Federal Ave </t>
  </si>
  <si>
    <t xml:space="preserve">911 Winters Ave </t>
  </si>
  <si>
    <t>34677-3719</t>
  </si>
  <si>
    <t>Cypress Woods Rv Resort Ut 1 Pb 65 Pg 85 + 86 Blk B Lot 68</t>
  </si>
  <si>
    <t xml:space="preserve">1120 NE 5th Pl </t>
  </si>
  <si>
    <t>19-43-24-c1-05579.0430</t>
  </si>
  <si>
    <t xml:space="preserve">155 Gardenia St  Tavernier, FL 33070-2209 </t>
  </si>
  <si>
    <t>44287-9342</t>
  </si>
  <si>
    <t>Jean &amp; Jessie-Jean Mayard</t>
  </si>
  <si>
    <t>17-43-24-c4-05774.0090</t>
  </si>
  <si>
    <t>Lester</t>
  </si>
  <si>
    <t>M6B 4K1</t>
  </si>
  <si>
    <t>Pamela &amp; Kingdom Fine</t>
  </si>
  <si>
    <t xml:space="preserve">470 Robert Foster Pasa  Mount Morris, PA 15349 </t>
  </si>
  <si>
    <t>60056-2450</t>
  </si>
  <si>
    <t xml:space="preserve">345 Camp Belle Air Rd </t>
  </si>
  <si>
    <t xml:space="preserve">277 Central Ave  Jersey City, NJ 07307-3012 </t>
  </si>
  <si>
    <t>29-43-24-c3-02277.0350</t>
  </si>
  <si>
    <t xml:space="preserve">7804 21st Ave  East Elmhurst, NY 11370-1354 </t>
  </si>
  <si>
    <t xml:space="preserve">238 W 106th St 3e </t>
  </si>
  <si>
    <t xml:space="preserve">2127 NE 39th Ter </t>
  </si>
  <si>
    <t xml:space="preserve">860 Olive Ave A </t>
  </si>
  <si>
    <t>Irar Trust</t>
  </si>
  <si>
    <t>33909-5396</t>
  </si>
  <si>
    <t xml:space="preserve">251 Presley Ln  Pocahontas, IL 62275-3515 </t>
  </si>
  <si>
    <t>Renata</t>
  </si>
  <si>
    <t>St. Clair Shores</t>
  </si>
  <si>
    <t>Sirus &amp; Felora Ahadi</t>
  </si>
  <si>
    <t>Bernadette Lashkari</t>
  </si>
  <si>
    <t xml:space="preserve">1314 NE 13th Ave  Cape Coral, FL 33909 </t>
  </si>
  <si>
    <t xml:space="preserve">55 Hamilton Ave  New Rochelle, NY 10801-3508 </t>
  </si>
  <si>
    <t xml:space="preserve">1403 NE 17th Ter </t>
  </si>
  <si>
    <t>01-44-23-c3-02390.0170</t>
  </si>
  <si>
    <t>Cape Coral Unit 88 Blk 5796 Pb 24 Pg 137 Lots 32 + 33</t>
  </si>
  <si>
    <t>Ilion</t>
  </si>
  <si>
    <t xml:space="preserve">616 Yorkshire Dr </t>
  </si>
  <si>
    <t xml:space="preserve">1 Kaitlyn Cir </t>
  </si>
  <si>
    <t xml:space="preserve">3441 NE 14th Pl  Cape Coral, FL 33909 </t>
  </si>
  <si>
    <t>Maria &amp; Gerald Buchanan</t>
  </si>
  <si>
    <t xml:space="preserve">2826 SE 8th Ave  Cape Coral, FL 33904 </t>
  </si>
  <si>
    <t xml:space="preserve">3rd works Forbur, Reading, GB 00000 </t>
  </si>
  <si>
    <t xml:space="preserve">207 W Clarendon Ave 9e </t>
  </si>
  <si>
    <t>Bruce &amp; Krysti Woods</t>
  </si>
  <si>
    <t xml:space="preserve">2636 NE 20th Ct </t>
  </si>
  <si>
    <t>R135</t>
  </si>
  <si>
    <t xml:space="preserve">5165 Cypress Trail Resort Cir  Fort Myers, FL 33905 </t>
  </si>
  <si>
    <t>Cape Coral Unit 33 Blk 2233 Pb 16 Pg 53 Lots 32 + 33 + 34</t>
  </si>
  <si>
    <t>33029-1673</t>
  </si>
  <si>
    <t>Kevin &amp; Shauna Graybill</t>
  </si>
  <si>
    <t>Cypress Woods Rv Resort Desc In Inst#2006-358211 Lot 172</t>
  </si>
  <si>
    <t>Severine Rodini</t>
  </si>
  <si>
    <t xml:space="preserve">911 Downing Ave  Waterloo, IA 50701-3405 </t>
  </si>
  <si>
    <t>Draper</t>
  </si>
  <si>
    <t>32063-4669</t>
  </si>
  <si>
    <t xml:space="preserve">988 Hamilton Trl </t>
  </si>
  <si>
    <t xml:space="preserve">1614 NE 36th Ter  Cape Coral, FL 33909 </t>
  </si>
  <si>
    <t>Truncale</t>
  </si>
  <si>
    <t>Melanie</t>
  </si>
  <si>
    <t xml:space="preserve">9573 S Spring Hollow Ln  Germantown, TN 38139-5638 </t>
  </si>
  <si>
    <t xml:space="preserve">4826 NW 93rd Ter </t>
  </si>
  <si>
    <t xml:space="preserve">5219 Marsh Mallow Trl </t>
  </si>
  <si>
    <t xml:space="preserve">7352 Flamingo St </t>
  </si>
  <si>
    <t>19-43-24-c4-05552.0750</t>
  </si>
  <si>
    <t xml:space="preserve">1000 SW 12th St </t>
  </si>
  <si>
    <t xml:space="preserve">1117 Acorn Dr  Greensburg, PA 15601-5323 </t>
  </si>
  <si>
    <t>03-44-26-04-00018.0160</t>
  </si>
  <si>
    <t>Cape Coral Unit 84 Blk 5596 Pb 24 Pg 44 Lots 33 + 34</t>
  </si>
  <si>
    <t>Cape Coral Unit 47 Pt 2 Blk 3529 Pb 23 Pg 121 Lots 18 Thru 20</t>
  </si>
  <si>
    <t>Cape Coral Unit 21 Blk 634 Pb 13 Pg 160 Lots 5 + 6</t>
  </si>
  <si>
    <t>03-44-26-12-00065.0230</t>
  </si>
  <si>
    <t xml:space="preserve">4237 NE 11th Ave  Cape Coral, FL 33909 </t>
  </si>
  <si>
    <t>76065-7511</t>
  </si>
  <si>
    <t xml:space="preserve">206 NE 23rd Ave </t>
  </si>
  <si>
    <t>Helaine</t>
  </si>
  <si>
    <t xml:space="preserve">4116 NE 14th Pl </t>
  </si>
  <si>
    <t xml:space="preserve">1661 Chilco Ct </t>
  </si>
  <si>
    <t>02702-1923</t>
  </si>
  <si>
    <t>Lehigh Acres Unit 8 Blk 38 Pb 26 Pg 10 Lot 9</t>
  </si>
  <si>
    <t xml:space="preserve">5317 Cypress Trail Resort Cir  Fort Myers, FL 33905 </t>
  </si>
  <si>
    <t>Lisa Steiner</t>
  </si>
  <si>
    <t>Shawhan</t>
  </si>
  <si>
    <t xml:space="preserve">PO Box 632777  San Diego, CA 92163-2777 </t>
  </si>
  <si>
    <t>Archana</t>
  </si>
  <si>
    <t xml:space="preserve">2525 NE 19th Pl  Cape Coral, FL 33909 </t>
  </si>
  <si>
    <t>Sommer</t>
  </si>
  <si>
    <t>Cape Coral Unit 33 Blk 2248 Pb 16 Pg 58 Lots 27 + 28</t>
  </si>
  <si>
    <t>Terry L Dolezal Trust</t>
  </si>
  <si>
    <t xml:space="preserve">1227 NE 19th Ter </t>
  </si>
  <si>
    <t>Dung Nguyen</t>
  </si>
  <si>
    <t>For Anna Field Law Trust</t>
  </si>
  <si>
    <t>Mccarthy</t>
  </si>
  <si>
    <t>03-44-26-14-00079.0070</t>
  </si>
  <si>
    <t>19-43-24-c1-05548.0510</t>
  </si>
  <si>
    <t>Kessler</t>
  </si>
  <si>
    <t>33909-3407</t>
  </si>
  <si>
    <t>Ries</t>
  </si>
  <si>
    <t>Chona Zaragosa</t>
  </si>
  <si>
    <t>03-44-26-06-00029.0100</t>
  </si>
  <si>
    <t xml:space="preserve">10 Calle Tintillo  Guaynabo, PR 00966-1705 </t>
  </si>
  <si>
    <t>Farara</t>
  </si>
  <si>
    <t xml:space="preserve">1431 S Kingsway Rd #924, Seffner, FL 33583-8047 </t>
  </si>
  <si>
    <t>Pine Needle</t>
  </si>
  <si>
    <t xml:space="preserve">1231 NE 7th Ave </t>
  </si>
  <si>
    <t>Adolfo Farias</t>
  </si>
  <si>
    <t>29-43-24-c4-02285.0460</t>
  </si>
  <si>
    <t>20-43-24-c2-05641.0050</t>
  </si>
  <si>
    <t>OWNER 2 FIRST NAME</t>
  </si>
  <si>
    <t xml:space="preserve">1826 NE 37th St  Cape Coral, FL 33909 </t>
  </si>
  <si>
    <t xml:space="preserve">6 Aspen Way </t>
  </si>
  <si>
    <t>Cape Coral Unit 47 Part 2 Blk 3516 Pb 23 Pg 122 Lots 17 + 18</t>
  </si>
  <si>
    <t>Cypress Trail Rv Resort Phase 2-A As Desc In Inst# 2014000026506 Lot 168</t>
  </si>
  <si>
    <t xml:space="preserve">344 NE 25th St  Cape Coral, FL 33909 </t>
  </si>
  <si>
    <t xml:space="preserve">27011 Mariscal Ln  Mission Viejo, CA 92691-4438 </t>
  </si>
  <si>
    <t xml:space="preserve">3843 Hillandale St </t>
  </si>
  <si>
    <t xml:space="preserve">89-21 Elmburst Ave #425, Elmhurst, NY 11373 </t>
  </si>
  <si>
    <t>Cape Coral Unit 36 Blk 2324 Pb 16 Pg 128 Lots 25 + 26</t>
  </si>
  <si>
    <t xml:space="preserve">39 Stonecutter Rd  Levittown, NY 11756-5115 </t>
  </si>
  <si>
    <t>De Salas</t>
  </si>
  <si>
    <t>03-44-26-14-00078.0020</t>
  </si>
  <si>
    <t xml:space="preserve">244 Pond View Ln  Smithtown, NY 11787-5204 </t>
  </si>
  <si>
    <t>Cape Coral Unit 87 Blk 5742 Pb 24 Pg 69 Lots 17 + 18</t>
  </si>
  <si>
    <t>Directed Trust Company</t>
  </si>
  <si>
    <t>03-44-26-11-00055.0030</t>
  </si>
  <si>
    <t xml:space="preserve">20 NE 9th Pl  Cape Coral, FL 33909 </t>
  </si>
  <si>
    <t xml:space="preserve">1912 NE 33rd Ter </t>
  </si>
  <si>
    <t>PO Box 4779</t>
  </si>
  <si>
    <t>46237-8612</t>
  </si>
  <si>
    <t xml:space="preserve">4003 NE 22nd Pl  Cape Coral, FL 33909 </t>
  </si>
  <si>
    <t>13-44-24-p3-00415.0050</t>
  </si>
  <si>
    <t>Christina Migliaccio</t>
  </si>
  <si>
    <t>Cypress Woods Rv Resort Ut 1 Pb 65 Pg 85 + 86 Blk B Lot 14</t>
  </si>
  <si>
    <t xml:space="preserve">2102 NE 13th Ave  Cape Coral, FL 33909 </t>
  </si>
  <si>
    <t xml:space="preserve">2429 NE 6th Ave </t>
  </si>
  <si>
    <t>32-43-24-c4-02197.0180</t>
  </si>
  <si>
    <t>Ashley &amp; Scott Kowalski</t>
  </si>
  <si>
    <t xml:space="preserve">114 Walnut St #14019 </t>
  </si>
  <si>
    <t>54b-14</t>
  </si>
  <si>
    <t xml:space="preserve">32478 Ute Trl  Oak Creek, CO 80467-8570 </t>
  </si>
  <si>
    <t xml:space="preserve">325 Baumgardner Dr  Harrisburg, PA 17112-8962 </t>
  </si>
  <si>
    <t>Swansea</t>
  </si>
  <si>
    <t>32-43-24-c3-02217.0010</t>
  </si>
  <si>
    <t>Hearthside</t>
  </si>
  <si>
    <t>19026-4201</t>
  </si>
  <si>
    <t xml:space="preserve">401 Wilma Ave </t>
  </si>
  <si>
    <t xml:space="preserve">56 Hart Dr </t>
  </si>
  <si>
    <t xml:space="preserve">6122 Laurelwood Dr  Fort Myers, FL 33905 </t>
  </si>
  <si>
    <t>Peggy</t>
  </si>
  <si>
    <t xml:space="preserve">3618 NE 14th Pl </t>
  </si>
  <si>
    <t xml:space="preserve">2217 NE 25th Ter </t>
  </si>
  <si>
    <t>33909-5342</t>
  </si>
  <si>
    <t xml:space="preserve">15135 84th St 5g, Howard Beach, NY 11414-1823 </t>
  </si>
  <si>
    <t xml:space="preserve">2012 NE 39th Ter </t>
  </si>
  <si>
    <t xml:space="preserve">2 Dalraida  Cromwell, CT 06416-2711 </t>
  </si>
  <si>
    <t>33909-2576</t>
  </si>
  <si>
    <t xml:space="preserve">1712 NE 13th Ter  Cape Coral, FL 33909 </t>
  </si>
  <si>
    <t xml:space="preserve">2822 NE 6th Ave </t>
  </si>
  <si>
    <t xml:space="preserve">124 Diana Ave </t>
  </si>
  <si>
    <t xml:space="preserve">3842 Stevely Ave </t>
  </si>
  <si>
    <t>Edwin &amp; Cynthia Pixler</t>
  </si>
  <si>
    <t>Lehigh Acres Unit 4 Blk 18 Pb 26 Pg 6 Lot 20</t>
  </si>
  <si>
    <t>Robert &amp; Judy Lawton</t>
  </si>
  <si>
    <t>02646-2005</t>
  </si>
  <si>
    <t>Cape Coral Unit 17 Blk.1535 Pb 14 Pg 31 Lots 47 + 48</t>
  </si>
  <si>
    <t>Alcala</t>
  </si>
  <si>
    <t>Estate &amp; Ko Wilson</t>
  </si>
  <si>
    <t xml:space="preserve">1126 NE 39th Ter </t>
  </si>
  <si>
    <t xml:space="preserve">1410 SE 32nd St  Cape Coral, FL 33904 </t>
  </si>
  <si>
    <t>Alexei Fernandez</t>
  </si>
  <si>
    <t xml:space="preserve">506 NE 18th St  Cape Coral, FL 33909 </t>
  </si>
  <si>
    <t xml:space="preserve">1144 NE 3rd Ave </t>
  </si>
  <si>
    <t>Cape Coral Unit 84 Blk 5598 Pb 24 Pg 42 Lots 33 + 34</t>
  </si>
  <si>
    <t>Raup</t>
  </si>
  <si>
    <t>Cape Coral Unit 88 Blk 5818 Pb 24 Pg 140 Lots 16 + 17</t>
  </si>
  <si>
    <t xml:space="preserve">PO Box 71  Mount Vernon, IA 52314 </t>
  </si>
  <si>
    <t xml:space="preserve">1630 NE 33rd Ter </t>
  </si>
  <si>
    <t>Johnny &amp; Lori Angran</t>
  </si>
  <si>
    <t>Cape Coral Unit 84 Blk 5621 Pb 24 Pg 34 Lots 7 + 8</t>
  </si>
  <si>
    <t>Upperman</t>
  </si>
  <si>
    <t xml:space="preserve">7 Laning Ave  Pennington, NJ 08534-2816 </t>
  </si>
  <si>
    <t>Nora Mueller &amp; Shanda Cossette</t>
  </si>
  <si>
    <t>Saint Charles</t>
  </si>
  <si>
    <t xml:space="preserve">520 Chatham Dr  Lakeland, FL 33803-3049 </t>
  </si>
  <si>
    <t xml:space="preserve">14545 Forest Hill Rd </t>
  </si>
  <si>
    <t>Charles Schultz</t>
  </si>
  <si>
    <t xml:space="preserve">3661 Vista Charonoaks  Walnut Creek, CA 94598-4050 </t>
  </si>
  <si>
    <t>Whispering Pines Ph 1 Pb 32 Pg 116 Lot 4</t>
  </si>
  <si>
    <t>Cape Coral Unit 88 Blk 5787 Pb 24 Pg 132 Lots 39 Thru 41</t>
  </si>
  <si>
    <t>Ruble</t>
  </si>
  <si>
    <t>Gary &amp; Phillip Wilson</t>
  </si>
  <si>
    <t>03-44-26-08-00038.0200</t>
  </si>
  <si>
    <t>Edson Silva &amp; Jurgita Pikcilingyte</t>
  </si>
  <si>
    <t>Mirtia</t>
  </si>
  <si>
    <t xml:space="preserve">110 Diane Dr </t>
  </si>
  <si>
    <t>Bogota Dc</t>
  </si>
  <si>
    <t>19720-5627</t>
  </si>
  <si>
    <t xml:space="preserve">3106 NE Juanita Pl  Cape Coral, FL 33909 </t>
  </si>
  <si>
    <t>Yanelis Trujillo &amp; Maria Robaina</t>
  </si>
  <si>
    <t xml:space="preserve">187 Moose Hill Rd </t>
  </si>
  <si>
    <t xml:space="preserve">1571 Toursdale Dr  Easton, PA 18045-5773 </t>
  </si>
  <si>
    <t xml:space="preserve">112 Star Shell Dr  Apollo Beach, FL 33572-3514 </t>
  </si>
  <si>
    <t>Hammonton</t>
  </si>
  <si>
    <t xml:space="preserve">356 N Royal Poinciana Blvd #5, Miami Springs, FL 33166-4437 </t>
  </si>
  <si>
    <t>Alfredo Barrios &amp; Pinzon De</t>
  </si>
  <si>
    <t xml:space="preserve">488 Grenier Dr  North Fort Myers, FL 33903 </t>
  </si>
  <si>
    <t xml:space="preserve">3923 NE 9th Ave </t>
  </si>
  <si>
    <t>Enterprise</t>
  </si>
  <si>
    <t xml:space="preserve">550 Kings Rd  Pleasant Hill, NS B9a 1X6 </t>
  </si>
  <si>
    <t>32-43-24-c4-02226.0170</t>
  </si>
  <si>
    <t>33909-8707</t>
  </si>
  <si>
    <t>Jesusa Cruz</t>
  </si>
  <si>
    <t xml:space="preserve">7751 NW 7th St </t>
  </si>
  <si>
    <t xml:space="preserve">2033 NE 5th Ave </t>
  </si>
  <si>
    <t>60101-3072</t>
  </si>
  <si>
    <t xml:space="preserve">2236 Imperial Golf Course Blvd  Naples, FL 34110-1098 </t>
  </si>
  <si>
    <t>Cape Coral Unit 19 Blk 1207 Pb 13 Pg 132 Lots 21 + 22</t>
  </si>
  <si>
    <t xml:space="preserve">1401 Camelot Dr </t>
  </si>
  <si>
    <t>37066-6691</t>
  </si>
  <si>
    <t>Cape Coral Unit 32 Blk.2149 Pb 16 Pg 11 Lots 42 + 43</t>
  </si>
  <si>
    <t>Garrett</t>
  </si>
  <si>
    <t>Brunn</t>
  </si>
  <si>
    <t>Mathiason</t>
  </si>
  <si>
    <t>Cypress Trail Rv Resort Phase 4-A As Desc In Inst# 20160000135610 Lot 296</t>
  </si>
  <si>
    <t xml:space="preserve">12791 Spencer St  Fort Myers, FL 33908 </t>
  </si>
  <si>
    <t>03-44-26-12-00063.0140</t>
  </si>
  <si>
    <t>33909-6800</t>
  </si>
  <si>
    <t xml:space="preserve">10113 Theden Cir  Lenexa, KS 66220-2695 </t>
  </si>
  <si>
    <t>Stock Island</t>
  </si>
  <si>
    <t>Diamond</t>
  </si>
  <si>
    <t>18-45-24-c1-00041.a160</t>
  </si>
  <si>
    <t>07-44-24-c3-01481.0470</t>
  </si>
  <si>
    <t>Look</t>
  </si>
  <si>
    <t xml:space="preserve">2622 NE 1st Ave </t>
  </si>
  <si>
    <t>John Laird &amp; Lucy Haislip</t>
  </si>
  <si>
    <t>Ramdath &amp; Chandra Ramkissoon</t>
  </si>
  <si>
    <t xml:space="preserve">205 S Columbus Ave C6 </t>
  </si>
  <si>
    <t xml:space="preserve">4 Augusta Ct </t>
  </si>
  <si>
    <t>Cape Coral Unit 85 Blk 5671 Pb 24 Pg 52 Lots 31 + 32</t>
  </si>
  <si>
    <t xml:space="preserve">10832 SW 61st Ter </t>
  </si>
  <si>
    <t>Noegel</t>
  </si>
  <si>
    <t xml:space="preserve">1711 Benton Ave E </t>
  </si>
  <si>
    <t>20-43-24-c3-05639.0090</t>
  </si>
  <si>
    <t xml:space="preserve">13502 Island Rd </t>
  </si>
  <si>
    <t xml:space="preserve">2129 NE 27th St </t>
  </si>
  <si>
    <t>32-43-24-c4-02225.0120</t>
  </si>
  <si>
    <t xml:space="preserve">1006 SW 26th Ave  Boynton Beach, FL 33426-7815 </t>
  </si>
  <si>
    <t xml:space="preserve">3522 NE 12th Ct </t>
  </si>
  <si>
    <t>32-43-24-c2-02234.0760</t>
  </si>
  <si>
    <t>29835-2507</t>
  </si>
  <si>
    <t>25-43-23-c3-02312.0010</t>
  </si>
  <si>
    <t>Saint Annes</t>
  </si>
  <si>
    <t>Cape Coral Unit 34 Blk 2444 Pb 16 Pg 75 Lots 7 + 8</t>
  </si>
  <si>
    <t>17-43-24-c1-05828.0390</t>
  </si>
  <si>
    <t>Deltona</t>
  </si>
  <si>
    <t xml:space="preserve">5005 NW 193rd Ter  Miami Gardens, FL 33055-2060 </t>
  </si>
  <si>
    <t xml:space="preserve">1636 NE 33rd Ln </t>
  </si>
  <si>
    <t xml:space="preserve">2045 NE 34th Ln </t>
  </si>
  <si>
    <t>Cedar Run Dock</t>
  </si>
  <si>
    <t xml:space="preserve">PO Box 576  Fonthill, ON L0s 1E0 </t>
  </si>
  <si>
    <t>Gillett</t>
  </si>
  <si>
    <t>33908-2433</t>
  </si>
  <si>
    <t xml:space="preserve">108 Cornwall Ct  Jacksonville, AR 72076-3311 </t>
  </si>
  <si>
    <t xml:space="preserve">14131 Benedict St  Fort Myers, FL 33905 </t>
  </si>
  <si>
    <t>Stevenson</t>
  </si>
  <si>
    <t>Padalino Mary Jane Tr</t>
  </si>
  <si>
    <t xml:space="preserve">128 Current Dr </t>
  </si>
  <si>
    <t>25-43-23-c3-02338.0130</t>
  </si>
  <si>
    <t>10028-4121</t>
  </si>
  <si>
    <t xml:space="preserve">1406 NE 21st Ave  Cape Coral, FL 33909 </t>
  </si>
  <si>
    <t>Golden Glades</t>
  </si>
  <si>
    <t>Karlheinz</t>
  </si>
  <si>
    <t>Buckingham Pk Re Blk B U-3 Blk 12 Pb 27 Pg 190 Lot 3</t>
  </si>
  <si>
    <t>Cozy</t>
  </si>
  <si>
    <t>Lehigh Acres Unit 5 Blk 25 Pb 26 Pg 7 Lot 3</t>
  </si>
  <si>
    <t xml:space="preserve">62-06 Calle 72 #162 </t>
  </si>
  <si>
    <t>33547-4847</t>
  </si>
  <si>
    <t>33578-4517</t>
  </si>
  <si>
    <t>Rickey</t>
  </si>
  <si>
    <t>Cypress Woods Rv Resort Unit 4 Pb 79 Pgs 68-71 Blk D Lot 91</t>
  </si>
  <si>
    <t xml:space="preserve">2820 NE 7th Pl </t>
  </si>
  <si>
    <t>Joan Holmes</t>
  </si>
  <si>
    <t>36-44-23-c3-00884.0590</t>
  </si>
  <si>
    <t>Watson</t>
  </si>
  <si>
    <t>33909-4429</t>
  </si>
  <si>
    <t>Cape Coral Unit 87 Blk 5687 Pb 24 Pg 85 Lots 35 Thru 37</t>
  </si>
  <si>
    <t xml:space="preserve">8011 Buckingham Rd </t>
  </si>
  <si>
    <t>Wyndham</t>
  </si>
  <si>
    <t>Short</t>
  </si>
  <si>
    <t>Annette &amp; Norberto Figueroa</t>
  </si>
  <si>
    <t>33314-5729</t>
  </si>
  <si>
    <t>Cape Coral Unit 85 Blk 5648 Pb 24 Pg 56 Lots 3 + 4</t>
  </si>
  <si>
    <t>Augustin</t>
  </si>
  <si>
    <t>Minorca</t>
  </si>
  <si>
    <t>Devries</t>
  </si>
  <si>
    <t>Gardenia</t>
  </si>
  <si>
    <t>33909-2522</t>
  </si>
  <si>
    <t>Redland</t>
  </si>
  <si>
    <t>11373-2848</t>
  </si>
  <si>
    <t>Cano</t>
  </si>
  <si>
    <t>06-44-24-c3-02044.0320</t>
  </si>
  <si>
    <t>33905-2347</t>
  </si>
  <si>
    <t xml:space="preserve">3110 NE 6th Pl  Cape Coral, FL 33909 </t>
  </si>
  <si>
    <t>Razon</t>
  </si>
  <si>
    <t>07450-3613</t>
  </si>
  <si>
    <t>64093-3108</t>
  </si>
  <si>
    <t xml:space="preserve">1215 NE 18th Ave </t>
  </si>
  <si>
    <t>20-43-24-c3-05672.0390</t>
  </si>
  <si>
    <t>34242-1409</t>
  </si>
  <si>
    <t xml:space="preserve">4009 Elmwood Dr </t>
  </si>
  <si>
    <t xml:space="preserve">1013 Riverway Ln  Knightdale, NC 27545-8874 </t>
  </si>
  <si>
    <t xml:space="preserve">4224 Sherwood Ct  Concord, CA 94521-3355 </t>
  </si>
  <si>
    <t>Freeland</t>
  </si>
  <si>
    <t>Schroeder</t>
  </si>
  <si>
    <t xml:space="preserve">5357 Majestic Ct </t>
  </si>
  <si>
    <t>Preciosa</t>
  </si>
  <si>
    <t>Ora Matyasik</t>
  </si>
  <si>
    <t>01570-3529</t>
  </si>
  <si>
    <t>02702-1722</t>
  </si>
  <si>
    <t>8 mile</t>
  </si>
  <si>
    <t>Wayne &amp; Jeanne Jellison</t>
  </si>
  <si>
    <t xml:space="preserve">940 6th St  Charleston, WV 25302-1615 </t>
  </si>
  <si>
    <t>Windy Hill</t>
  </si>
  <si>
    <t>Woburn</t>
  </si>
  <si>
    <t xml:space="preserve">13960 Binghampton Dr  Fort Myers, FL 33905 </t>
  </si>
  <si>
    <t xml:space="preserve">1401 E Nelson Rd F106, Moses Lake, WA 98837-8425 </t>
  </si>
  <si>
    <t>Levitina</t>
  </si>
  <si>
    <t>Cape Coral Unit 34 Blk 2428 Pb 16 Pg 80 Lots 35 + 36</t>
  </si>
  <si>
    <t xml:space="preserve">10253 Meadow Beauty Trl </t>
  </si>
  <si>
    <t>Franksville</t>
  </si>
  <si>
    <t xml:space="preserve">13501 Torrey Way  Fort Myers, FL 33905 </t>
  </si>
  <si>
    <t>03-44-26-13-00070.0200</t>
  </si>
  <si>
    <t>Edgar Rojas</t>
  </si>
  <si>
    <t>17602-2707</t>
  </si>
  <si>
    <t xml:space="preserve">341 E 5th St #103 </t>
  </si>
  <si>
    <t>44333-1755</t>
  </si>
  <si>
    <t xml:space="preserve">10332 Fire Flag Trl </t>
  </si>
  <si>
    <t>Cape Coral Unit 31 Blk 2047 Pb 14 Pg 157 Lots 51 + 52</t>
  </si>
  <si>
    <t>32-43-24-c3-02223.0090</t>
  </si>
  <si>
    <t xml:space="preserve">725 Rue Pricipale  Wulverdinghe, FR </t>
  </si>
  <si>
    <t xml:space="preserve">21753 Shorewood Rd </t>
  </si>
  <si>
    <t xml:space="preserve">315 NE 15th St </t>
  </si>
  <si>
    <t xml:space="preserve">10200 Yellowtop Trl  Fort Myers, FL 33905 </t>
  </si>
  <si>
    <t>Joseph &amp; Julianna Helms</t>
  </si>
  <si>
    <t>05-44-24-c1-03542.0220</t>
  </si>
  <si>
    <t>Indi</t>
  </si>
  <si>
    <t xml:space="preserve">230 Hemlock Point Dr </t>
  </si>
  <si>
    <t xml:space="preserve">4403 Ramsey Blvd  Cape Coral, FL 33909 </t>
  </si>
  <si>
    <t xml:space="preserve">1329 Ridge St </t>
  </si>
  <si>
    <t>25-43-23-c1-02323.0250</t>
  </si>
  <si>
    <t>Brian Engel</t>
  </si>
  <si>
    <t xml:space="preserve">6137 Hendley Ct  Fort Myers, FL 33905 </t>
  </si>
  <si>
    <t>Albert Ingram</t>
  </si>
  <si>
    <t xml:space="preserve">825 Miramar Ct  Cape Coral, FL 33904 </t>
  </si>
  <si>
    <t xml:space="preserve">Po Box 13519 </t>
  </si>
  <si>
    <t>55387-4206</t>
  </si>
  <si>
    <t xml:space="preserve">10669 184th Ct NW </t>
  </si>
  <si>
    <t>Shing</t>
  </si>
  <si>
    <t>33909-1010</t>
  </si>
  <si>
    <t xml:space="preserve">1431 SE 32nd Ter </t>
  </si>
  <si>
    <t xml:space="preserve">655 Hillside Rd SE </t>
  </si>
  <si>
    <t>Frederic Burke</t>
  </si>
  <si>
    <t>Dixie Goss &amp; Richard Carver</t>
  </si>
  <si>
    <t>11566-1929</t>
  </si>
  <si>
    <t>Simonton</t>
  </si>
  <si>
    <t>Mint Hill</t>
  </si>
  <si>
    <t xml:space="preserve">525 NE 15th Ter  Cape Coral, FL 33909 </t>
  </si>
  <si>
    <t>25-43-23-c1-02349.0370</t>
  </si>
  <si>
    <t>Wallace</t>
  </si>
  <si>
    <t>Antonio &amp; Angelo Mercone</t>
  </si>
  <si>
    <t>Sewickley</t>
  </si>
  <si>
    <t xml:space="preserve">1708 Andalusia Blvd  Cape Coral, FL 33909 </t>
  </si>
  <si>
    <t xml:space="preserve">6129 Hughes Ave  Fort Myers, FL 33905 </t>
  </si>
  <si>
    <t xml:space="preserve">1590 2nd Ave 2rs, New York, NY 10028-4121 </t>
  </si>
  <si>
    <t>Mount Morris</t>
  </si>
  <si>
    <t>David</t>
  </si>
  <si>
    <t xml:space="preserve">302 NE 25th St  Cape Coral, FL 33909 </t>
  </si>
  <si>
    <t>K0A 1M0</t>
  </si>
  <si>
    <t>W71n360</t>
  </si>
  <si>
    <t>Levano</t>
  </si>
  <si>
    <t xml:space="preserve">690 NE 179th Ter  Miami, FL 33162-1133 </t>
  </si>
  <si>
    <t>Veit</t>
  </si>
  <si>
    <t>32246-5567</t>
  </si>
  <si>
    <t xml:space="preserve">211 NE 19th Ter  Cape Coral, FL 33909 </t>
  </si>
  <si>
    <t>Cape Coral Unit 84 Blk 5576 Pb 24 Pg 45 Lots 11 + 12</t>
  </si>
  <si>
    <t xml:space="preserve">2927 NE 5th Pl  Cape Coral, FL 33909 </t>
  </si>
  <si>
    <t>Thomas W 1St Addn Tice Blk B Pg 5 Pg 55 Lot 25</t>
  </si>
  <si>
    <t>Manton</t>
  </si>
  <si>
    <t>10552-2315</t>
  </si>
  <si>
    <t>29-43-24-c3-02280.0290</t>
  </si>
  <si>
    <t xml:space="preserve">3137 NE 15th Ave </t>
  </si>
  <si>
    <t xml:space="preserve">308 Jacaranda Pkwy E  Cape Coral, FL 33909 </t>
  </si>
  <si>
    <t xml:space="preserve">922 SE 43rd St  Cape Coral, FL 33904 </t>
  </si>
  <si>
    <t>Cape Coral Unit 87 Blk 5692 Pb 24 Pg 85 Lots 27 + 28</t>
  </si>
  <si>
    <t xml:space="preserve">947 Hutchinson River Pkwy  Bronx, NY 10465-1819 </t>
  </si>
  <si>
    <t xml:space="preserve">852 Kirkwood Ave #3, Ottawa, ON K1z 5Y2 </t>
  </si>
  <si>
    <t>Cliffside Park</t>
  </si>
  <si>
    <t>Brownfield</t>
  </si>
  <si>
    <t xml:space="preserve">2121 NE 20th Ln </t>
  </si>
  <si>
    <t>Cape Coral Unit 34 Blk 2458 Pb 16 Pg 83 Lots 18 + 19</t>
  </si>
  <si>
    <t>Dylan Martinez</t>
  </si>
  <si>
    <t>Dario Hurtado</t>
  </si>
  <si>
    <t>01-44-23-c3-02427.0330</t>
  </si>
  <si>
    <t>Peyrins</t>
  </si>
  <si>
    <t>32-43-24-c1-02247.0790</t>
  </si>
  <si>
    <t xml:space="preserve">6020 Joplin Ave </t>
  </si>
  <si>
    <t>Flossmoor</t>
  </si>
  <si>
    <t>33909-1609</t>
  </si>
  <si>
    <t>05-44-24-c1-03538.0470</t>
  </si>
  <si>
    <t xml:space="preserve">PO Box 408  Somers, NY 10589 </t>
  </si>
  <si>
    <t>33322-2480</t>
  </si>
  <si>
    <t xml:space="preserve">26 NE 12th Ln </t>
  </si>
  <si>
    <t xml:space="preserve">2713 NE 4th Pl  Cape Coral, FL 33909 </t>
  </si>
  <si>
    <t xml:space="preserve">935 SW 11th St </t>
  </si>
  <si>
    <t xml:space="preserve">7138 Shannon Blvd  Fort Myers, FL 33908 </t>
  </si>
  <si>
    <t xml:space="preserve">1838 NE 34th Ln  Cape Coral, FL 33909 </t>
  </si>
  <si>
    <t xml:space="preserve">2817 Armacost Ave  Finksburg, MD 21048-1805 </t>
  </si>
  <si>
    <t xml:space="preserve">4414 NE 22nd Ave  Cape Coral, FL 33909 </t>
  </si>
  <si>
    <t xml:space="preserve">1909 NE 44th Ter  Cape Coral, FL 33909 </t>
  </si>
  <si>
    <t xml:space="preserve">70 Fairview St #1, New Britain, CT 06051-2706 </t>
  </si>
  <si>
    <t>85118-6861</t>
  </si>
  <si>
    <t>Capr Coral Unit 47 Pt 2 Blk 3517 Pb 23 Pg 122 Lots 51 + 52</t>
  </si>
  <si>
    <t>Eli</t>
  </si>
  <si>
    <t>Maudet Pascal</t>
  </si>
  <si>
    <t>Eduardo</t>
  </si>
  <si>
    <t>Glosnek</t>
  </si>
  <si>
    <t>08846-2550</t>
  </si>
  <si>
    <t>11-44-25-04-0000b.0660</t>
  </si>
  <si>
    <t>33909-4478</t>
  </si>
  <si>
    <t xml:space="preserve">84314 Rodine Ave </t>
  </si>
  <si>
    <t>25-43-23-c2-02331.0360</t>
  </si>
  <si>
    <t>Ashton</t>
  </si>
  <si>
    <t xml:space="preserve">99 Providence Point Ln </t>
  </si>
  <si>
    <t>Henry</t>
  </si>
  <si>
    <t xml:space="preserve">38 Greenwood St  Dorchester, MA 02121-3768 </t>
  </si>
  <si>
    <t xml:space="preserve">2514 NE 19th Pl </t>
  </si>
  <si>
    <t>Cape Coral Unit 88 Blk 5770 Pb 24 Pg 128 Lots 9 + 10</t>
  </si>
  <si>
    <t xml:space="preserve">1100 NE 18th Ave </t>
  </si>
  <si>
    <t xml:space="preserve">Severin Schreibergasse 3 5/5, Wien, AT 00000 </t>
  </si>
  <si>
    <t>Thao &amp; Diep Nguyen</t>
  </si>
  <si>
    <t xml:space="preserve">7885 NW 170th St </t>
  </si>
  <si>
    <t xml:space="preserve">1616 Ridgemont Dr  Wichita Falls, TX 76309-1505 </t>
  </si>
  <si>
    <t xml:space="preserve">1221 NE 18th Pl </t>
  </si>
  <si>
    <t>11-44-25-08-00000.4710</t>
  </si>
  <si>
    <t>Joe &amp; Suzette Montemayor</t>
  </si>
  <si>
    <t>Cape Coral Unit 84 Blk 5611 Pb 24 Pg 35 Lots 39 + 40</t>
  </si>
  <si>
    <t>33909-2571</t>
  </si>
  <si>
    <t>Tyrone &amp; Taneshia Magby</t>
  </si>
  <si>
    <t>Echevarria Marisol Tr</t>
  </si>
  <si>
    <t>36-43-23-c3-02509.0380</t>
  </si>
  <si>
    <t>Binh &amp; Brandon Pham</t>
  </si>
  <si>
    <t>Key Largo</t>
  </si>
  <si>
    <t>Stefan Zweig Weg</t>
  </si>
  <si>
    <t>Adamo</t>
  </si>
  <si>
    <t>Lehigh Acres Unit 11 Blk 54 Pb 26 Pg 14 Lot 14</t>
  </si>
  <si>
    <t>Leovina</t>
  </si>
  <si>
    <t xml:space="preserve">30638 Ceasar Park Dr  Wesley Chapel, FL 33543-4040 </t>
  </si>
  <si>
    <t>Cape Coral Unit 32 Blk.2115 Pb 16 Pg 6 Lots 21 + 22</t>
  </si>
  <si>
    <t>33909-8898</t>
  </si>
  <si>
    <t xml:space="preserve">5511 Cypress Woods Resort Dr  Fort Myers, FL 33905 </t>
  </si>
  <si>
    <t>Winnebago</t>
  </si>
  <si>
    <t>Billwerder</t>
  </si>
  <si>
    <t xml:space="preserve">6322 SW 150th Ct </t>
  </si>
  <si>
    <t xml:space="preserve">8069 Green Lake Dr </t>
  </si>
  <si>
    <t>Cape Coral Unit 31 Blk 2062 Pb 14 Pg 162 Lots 34 + 35</t>
  </si>
  <si>
    <t>Joyce</t>
  </si>
  <si>
    <t xml:space="preserve">4651 Little River Ln </t>
  </si>
  <si>
    <t>25-43-23-c2-02330.0310</t>
  </si>
  <si>
    <t xml:space="preserve">1407 NE 18th Ter  Cape Coral, FL 33909 </t>
  </si>
  <si>
    <t xml:space="preserve">5900 Maplewood Ct  Fort Myers, FL 33905 </t>
  </si>
  <si>
    <t xml:space="preserve">800 Norris Rd  Fort Denaud, FL 33935 </t>
  </si>
  <si>
    <t>PO Box 414</t>
  </si>
  <si>
    <t xml:space="preserve">5817 Weddington Rd </t>
  </si>
  <si>
    <t>Cape Coral Unit 36 Pt.1 Blk 2513 Pb 23 Pg 88 Lots 1 Thru 3</t>
  </si>
  <si>
    <t>Cape Coral Unit 26 Blk 912 Pb 14 Pg 133 Lots 59 + 60</t>
  </si>
  <si>
    <t>08-44-24-c4-01509.0430</t>
  </si>
  <si>
    <t xml:space="preserve">24 Yeomalt Ave  Staten Island, NY 10312-5735 </t>
  </si>
  <si>
    <t xml:space="preserve">3380 NW 7th St  Miami, FL 33125-4104 </t>
  </si>
  <si>
    <t>Cape Coral Unit 34 Blk 2435 Pb 16 Pg 85 Lots 31 + 32</t>
  </si>
  <si>
    <t>Moritzstrasse</t>
  </si>
  <si>
    <t xml:space="preserve">6133 Hutton Ct </t>
  </si>
  <si>
    <t xml:space="preserve">2518 Van Buren St </t>
  </si>
  <si>
    <t xml:space="preserve">812 N Frederick St </t>
  </si>
  <si>
    <t>Nagaraju</t>
  </si>
  <si>
    <t xml:space="preserve">6028 Joplin Ave  Fort Myers, FL 33905 </t>
  </si>
  <si>
    <t>33909-3255</t>
  </si>
  <si>
    <t>Ronnie Gary</t>
  </si>
  <si>
    <t>33523-6301</t>
  </si>
  <si>
    <t xml:space="preserve">1933 Cornwallis Pkwy </t>
  </si>
  <si>
    <t>Hls</t>
  </si>
  <si>
    <t>Tracy &amp; Alan Scott</t>
  </si>
  <si>
    <t xml:space="preserve">74 Harrasserstrasse </t>
  </si>
  <si>
    <t>Leigh</t>
  </si>
  <si>
    <t>Courtney Charles</t>
  </si>
  <si>
    <t>Cypress Trail Rv Resort Phase 4-A As Desc In Inst# 20160000135610 Lot 291</t>
  </si>
  <si>
    <t>185th</t>
  </si>
  <si>
    <t>Sherrill Point Phase 2 Pb 74 Pg 97 Lot 11</t>
  </si>
  <si>
    <t>78108-2021</t>
  </si>
  <si>
    <t xml:space="preserve">1607 Olmsted Dr </t>
  </si>
  <si>
    <t>Wambach</t>
  </si>
  <si>
    <t>Cape Coral Unit 34 Blk 2447 Pb 16 Pg 81 Lot 83 + 84</t>
  </si>
  <si>
    <t>J J &amp; Robin Thomas</t>
  </si>
  <si>
    <t>07307-3405</t>
  </si>
  <si>
    <t>Thomas W 1St Addn Tice Blk B Pb 5 Pg 55 Lots 15 + 16 Less Sly 67 Ft</t>
  </si>
  <si>
    <t>Honey</t>
  </si>
  <si>
    <t>Peterlin</t>
  </si>
  <si>
    <t xml:space="preserve">25 Rue Du Levant </t>
  </si>
  <si>
    <t xml:space="preserve">86 Gauldry Avenue Cardonald </t>
  </si>
  <si>
    <t xml:space="preserve">6 Little Harbor Way  Deerfield Beach, FL 33441-3617 </t>
  </si>
  <si>
    <t xml:space="preserve">2266 W 79th St  Hialeah, FL 33016-5520 </t>
  </si>
  <si>
    <t xml:space="preserve">3 Chemin De La Tille </t>
  </si>
  <si>
    <t>Mathai Mathew G Tr</t>
  </si>
  <si>
    <t>Cape Coral Unit 33 Blk 2277 Pb 16 Pg 57 Lots 49 + 50</t>
  </si>
  <si>
    <t>33040-6103</t>
  </si>
  <si>
    <t xml:space="preserve">1577 Jim Fenley Loop  Lufkin, TX 75901-1901 </t>
  </si>
  <si>
    <t>Hazel Sales</t>
  </si>
  <si>
    <t>Cape Coral Unit 36 Blk 2329 Pb 16 Pg 128 Lots 7 + 8</t>
  </si>
  <si>
    <t>Estabridis</t>
  </si>
  <si>
    <t>11-44-25-04-0000b.0410</t>
  </si>
  <si>
    <t xml:space="preserve">4602 Cr 673 #5477, Bushnell, FL 33513-8358 </t>
  </si>
  <si>
    <t>33180-2447</t>
  </si>
  <si>
    <t>Cape Coral Unit 87 Blk 5711 Pb 24 Pg 71 Lots 19 + 20</t>
  </si>
  <si>
    <t>Smallwood</t>
  </si>
  <si>
    <t xml:space="preserve">1769 E 14th St </t>
  </si>
  <si>
    <t>Lundigan</t>
  </si>
  <si>
    <t>Joyce Wamsley &amp; Curtis Backer</t>
  </si>
  <si>
    <t>11-44-25-05-0000c.0400</t>
  </si>
  <si>
    <t>33909-7386</t>
  </si>
  <si>
    <t>Andrew &amp; Karen Chiu</t>
  </si>
  <si>
    <t xml:space="preserve">14714 Ducktan Loop  Gainesville, VA 20155-4832 </t>
  </si>
  <si>
    <t>33905-5593</t>
  </si>
  <si>
    <t xml:space="preserve">8501 Buckingham Rd </t>
  </si>
  <si>
    <t xml:space="preserve">202 Lake Placid Dr  Little Egg Harbor Twp, NJ 08087-1239 </t>
  </si>
  <si>
    <t xml:space="preserve">112 Marine Ave J2 </t>
  </si>
  <si>
    <t xml:space="preserve">12040 SW 32nd St </t>
  </si>
  <si>
    <t>Cape Coral Unit 88 Blk 5823 Pb 24 Pg 141 Lot 21</t>
  </si>
  <si>
    <t xml:space="preserve">22102 99th Ave </t>
  </si>
  <si>
    <t xml:space="preserve">2019 NE 34th Ln  Cape Coral, FL 33909 </t>
  </si>
  <si>
    <t>Highland</t>
  </si>
  <si>
    <t>Harvard &amp; Harriet Berens</t>
  </si>
  <si>
    <t>17-43-24-c1-05821.0310</t>
  </si>
  <si>
    <t>Conover</t>
  </si>
  <si>
    <t>Cape Coral Unit 84 Blk 5598 Pb 24 Pg 42 Lots 31 + 32</t>
  </si>
  <si>
    <t>Cape Coral Unit 88 Blk 5818 Pb 24 Pg 140 Lots 14 + 15</t>
  </si>
  <si>
    <t>Escoffery</t>
  </si>
  <si>
    <t>Feid</t>
  </si>
  <si>
    <t xml:space="preserve">34 NE 6th St  Cape Coral, FL 33909 </t>
  </si>
  <si>
    <t>Vladimir &amp; Alla Krinitsyn</t>
  </si>
  <si>
    <t>33909-4713</t>
  </si>
  <si>
    <t>77498-4640</t>
  </si>
  <si>
    <t xml:space="preserve">922 NE 32nd Ter  Cape Coral, FL 33909 </t>
  </si>
  <si>
    <t>West Roxbury</t>
  </si>
  <si>
    <t>33909-1947</t>
  </si>
  <si>
    <t>Cypress Trail Rv Resort Ph 3 As Desc In Inst# 2015000085552 Lot 68</t>
  </si>
  <si>
    <t>11703-3928</t>
  </si>
  <si>
    <t>Kentucky</t>
  </si>
  <si>
    <t>17-43-24-c4-05760.0120</t>
  </si>
  <si>
    <t>76702-2526</t>
  </si>
  <si>
    <t>Cape Coral Unit 88 Blk 5820 Pb 24 Pg 143 Lot 2</t>
  </si>
  <si>
    <t xml:space="preserve">10157 S Springfield Ave  Chicago, IL 60655-3753 </t>
  </si>
  <si>
    <t>Janusz Wolanin</t>
  </si>
  <si>
    <t>11758-2028</t>
  </si>
  <si>
    <t xml:space="preserve">3767 Kittyhawk Dr </t>
  </si>
  <si>
    <t xml:space="preserve">3321 NE 15th Pl </t>
  </si>
  <si>
    <t>Cape Coral Unit 33 Blk 2243 Pb 16 Pg 55 Lots 27 + 28</t>
  </si>
  <si>
    <t xml:space="preserve">11 Fourth St </t>
  </si>
  <si>
    <t xml:space="preserve">1556 Bentley Cir </t>
  </si>
  <si>
    <t>Klaus Hubrich</t>
  </si>
  <si>
    <t xml:space="preserve">360 N Myrtle Ave </t>
  </si>
  <si>
    <t xml:space="preserve">1413 NE 2nd St  Cape Coral, FL 33909 </t>
  </si>
  <si>
    <t>36-44-23-c4-00879.0490</t>
  </si>
  <si>
    <t>11553-1611</t>
  </si>
  <si>
    <t>11762-2209</t>
  </si>
  <si>
    <t>90291-4418</t>
  </si>
  <si>
    <t>Sessions</t>
  </si>
  <si>
    <t>Jonah</t>
  </si>
  <si>
    <t>Cape Coral Unit 36 Blk 2349 Pb 16 Pg 128 Lots 57 + 58</t>
  </si>
  <si>
    <t>33909-8844</t>
  </si>
  <si>
    <t>PO Box 267</t>
  </si>
  <si>
    <t xml:space="preserve">6004 Sweetgum Dr  Monclova, OH 43542-8616 </t>
  </si>
  <si>
    <t xml:space="preserve">5017 Toledo Bend Dr </t>
  </si>
  <si>
    <t>20-43-24-c1-05604.0410</t>
  </si>
  <si>
    <t>American &amp; Mario Labadie</t>
  </si>
  <si>
    <t>Vincent Leonard</t>
  </si>
  <si>
    <t xml:space="preserve">1318 NE 6th Ave  Cape Coral, FL 33909 </t>
  </si>
  <si>
    <t>33905-8669</t>
  </si>
  <si>
    <t xml:space="preserve">1322 NE 19th Pl  Cape Coral, FL 33909 </t>
  </si>
  <si>
    <t>60586-5108</t>
  </si>
  <si>
    <t>N0B 1T0</t>
  </si>
  <si>
    <t xml:space="preserve">1730 NE 13th St  Cape Coral, FL 33909 </t>
  </si>
  <si>
    <t>Cape Coral Unit 84 Blk 5569 Pb 24 Pg 40 Lots 13 + 14</t>
  </si>
  <si>
    <t>18-43-24-c4-05705.0250</t>
  </si>
  <si>
    <t xml:space="preserve">2128 NE 23rd Ter  Cape Coral, FL 33909 </t>
  </si>
  <si>
    <t>Cote</t>
  </si>
  <si>
    <t>Hernandez Graciela E Tr</t>
  </si>
  <si>
    <t>18-43-24-c4-05579.0110</t>
  </si>
  <si>
    <t xml:space="preserve">3022 SE 6th Ave </t>
  </si>
  <si>
    <t xml:space="preserve">165 Norwich Dr </t>
  </si>
  <si>
    <t>Winnetka</t>
  </si>
  <si>
    <t>Cape Coral Unit 36 Blk 2515 Pb 15 Pg 116 Lots 51 + 52</t>
  </si>
  <si>
    <t>Axel</t>
  </si>
  <si>
    <t>Manapurathu</t>
  </si>
  <si>
    <t xml:space="preserve">4242 NW 2nd St #1001 </t>
  </si>
  <si>
    <t>For Alan J Marcus Trust</t>
  </si>
  <si>
    <t xml:space="preserve">6108 Hutton Ct </t>
  </si>
  <si>
    <t xml:space="preserve">2321 NE 25th Ter </t>
  </si>
  <si>
    <t xml:space="preserve">1914 Durden Pkwy  Cape Coral, FL 33909 </t>
  </si>
  <si>
    <t xml:space="preserve">58 Riverview Cres </t>
  </si>
  <si>
    <t>Cypress Trail Rv Resort Phase 2-A As Desc In Inst# 2014000026506 Lot 251</t>
  </si>
  <si>
    <t>25-43-23-c3-02341.0070</t>
  </si>
  <si>
    <t xml:space="preserve">1519 NE 34th St </t>
  </si>
  <si>
    <t xml:space="preserve">6006 Latimer Ave </t>
  </si>
  <si>
    <t xml:space="preserve">350 S Collier Blvd #608 </t>
  </si>
  <si>
    <t>Rio Robles</t>
  </si>
  <si>
    <t>Beth</t>
  </si>
  <si>
    <t>Maytree</t>
  </si>
  <si>
    <t>Abanto Sarmiento &amp; Aida Sifuentes</t>
  </si>
  <si>
    <t xml:space="preserve">2107 NE 10th Pl </t>
  </si>
  <si>
    <t xml:space="preserve">2703 NE 6th Pl  Cape Coral, FL 33909 </t>
  </si>
  <si>
    <t>01-44-23-c2-02452.0030</t>
  </si>
  <si>
    <t xml:space="preserve">212 Kay Jennings Cir  Decatur, TN 37322-8256 </t>
  </si>
  <si>
    <t>33440-7771</t>
  </si>
  <si>
    <t>Cape Coral Unit 32 Blk.2124 Pb 16 Pg 4 Lots 3 + 4</t>
  </si>
  <si>
    <t xml:space="preserve">15463 SW 143rd St </t>
  </si>
  <si>
    <t>17-43-24-c1-05778.0310</t>
  </si>
  <si>
    <t xml:space="preserve">5020 Harborage Dr  Fort Myers, FL 33908 </t>
  </si>
  <si>
    <t xml:space="preserve">7161 Maida Ln </t>
  </si>
  <si>
    <t>Abigail &amp; Christopher Luciani</t>
  </si>
  <si>
    <t>33909-7332</t>
  </si>
  <si>
    <t xml:space="preserve">93 Rue Gutenberg  La Sainte Beaume, FR </t>
  </si>
  <si>
    <t>Pocahontas</t>
  </si>
  <si>
    <t>Doug Jones</t>
  </si>
  <si>
    <t>11763-3260</t>
  </si>
  <si>
    <t>Beardsley</t>
  </si>
  <si>
    <t>Donna &amp; Anthony Alibrandi</t>
  </si>
  <si>
    <t>Cape Coral Unit 36 Part 1 Blk 2492 Pb 23 Pg 91 Lots 9 + 10</t>
  </si>
  <si>
    <t>Cape Coral Unit 47 Part 2 Blk 3542 Pb 23 Pg 119 Lots 34 + 35</t>
  </si>
  <si>
    <t xml:space="preserve">38326 Blyth Rd  Auburn, ON N0m 1 </t>
  </si>
  <si>
    <t>07036-1948</t>
  </si>
  <si>
    <t>33909-4566</t>
  </si>
  <si>
    <t xml:space="preserve">Russell 40/49, Portland, ME 04101 </t>
  </si>
  <si>
    <t>PO Box 1126</t>
  </si>
  <si>
    <t>Wolfgang Latino</t>
  </si>
  <si>
    <t xml:space="preserve">1013 NE 32nd Ter  Cape Coral, FL 33909 </t>
  </si>
  <si>
    <t>Isaac</t>
  </si>
  <si>
    <t>11370-1823</t>
  </si>
  <si>
    <t>Iles</t>
  </si>
  <si>
    <t xml:space="preserve">PO Box 589  Huntington, IN 46750 </t>
  </si>
  <si>
    <t>R071</t>
  </si>
  <si>
    <t xml:space="preserve">5980 Lake Osborne Dr </t>
  </si>
  <si>
    <t xml:space="preserve">3854 Hyde Park Dr  Fort Myers, FL 33905 </t>
  </si>
  <si>
    <t>Lehigh Acres W Pt Unit 12 Blk 60 Pb 26 Pb 16 Lot 7</t>
  </si>
  <si>
    <t>Lehigh Acres E Pt Unit 14 Blk 81 Pb 26 Pg 19 Lot 5</t>
  </si>
  <si>
    <t>33909-4277</t>
  </si>
  <si>
    <t xml:space="preserve">1120 NE 36th St </t>
  </si>
  <si>
    <t>Wells-Patton</t>
  </si>
  <si>
    <t xml:space="preserve">1008 NE 12th St  Cape Coral, FL 33909 </t>
  </si>
  <si>
    <t>Justin Paines</t>
  </si>
  <si>
    <t xml:space="preserve">5660 Maplewood Ct  Fort Myers, FL 33905 </t>
  </si>
  <si>
    <t xml:space="preserve">1148 Pulaski Hwy 107-31 </t>
  </si>
  <si>
    <t>60544-2155</t>
  </si>
  <si>
    <t>Michael Nallon</t>
  </si>
  <si>
    <t>Citadel</t>
  </si>
  <si>
    <t>Mechanicsville</t>
  </si>
  <si>
    <t xml:space="preserve">3332 NE 19th Ave </t>
  </si>
  <si>
    <t xml:space="preserve">3828 NE 9th Pl </t>
  </si>
  <si>
    <t>Cape Coral Unit 87 Blk 5726 Pb 24 Pg 85 Lot 27</t>
  </si>
  <si>
    <t>12th</t>
  </si>
  <si>
    <t xml:space="preserve">1936 NE 23rd Pl  Cape Coral, FL 33909 </t>
  </si>
  <si>
    <t>Acre</t>
  </si>
  <si>
    <t xml:space="preserve">8316 Clermont St </t>
  </si>
  <si>
    <t>Palm Desert</t>
  </si>
  <si>
    <t>South Charleston</t>
  </si>
  <si>
    <t>Froehlich Steven E Tr</t>
  </si>
  <si>
    <t xml:space="preserve">10141 Shadowood Ct  Fort Myers, FL 33905 </t>
  </si>
  <si>
    <t>11-44-25-09-00000.0710</t>
  </si>
  <si>
    <t>17-43-24-c1-05779.0110</t>
  </si>
  <si>
    <t>American John &amp; John Ryan</t>
  </si>
  <si>
    <t>12-45-23-c4-00208.0330</t>
  </si>
  <si>
    <t>Hans-Albert</t>
  </si>
  <si>
    <t xml:space="preserve">1906 Durden Pkwy </t>
  </si>
  <si>
    <t xml:space="preserve">914 NE 12th St  Cape Coral, FL 33909 </t>
  </si>
  <si>
    <t>PO Box 502</t>
  </si>
  <si>
    <t>49504-2391</t>
  </si>
  <si>
    <t xml:space="preserve">800 E Main St </t>
  </si>
  <si>
    <t>Cypress Woods Rv Resort Unit 4 Pb 79 Pgs 68-71 Blk D Lot 4</t>
  </si>
  <si>
    <t>Cape Coral Unit 87 Blk 5733 Pb 24 Pg 87 Lots 26 + 27</t>
  </si>
  <si>
    <t xml:space="preserve">2732 NE 6th Pl  Cape Coral, FL 33909 </t>
  </si>
  <si>
    <t xml:space="preserve">10091 Parkwood Dr  Fort Myers, FL 33905 </t>
  </si>
  <si>
    <t xml:space="preserve">8911 Collins Ave #1407 </t>
  </si>
  <si>
    <t xml:space="preserve">3900 Fort Denaud Rd  Fort Denaud, FL 33935-9605 </t>
  </si>
  <si>
    <t xml:space="preserve">231 NE 9th Pl </t>
  </si>
  <si>
    <t xml:space="preserve">32 Grossrassbergstr  Maria Anzbach, AT 00000 </t>
  </si>
  <si>
    <t>Tuyen Mai</t>
  </si>
  <si>
    <t>Stephen Renzi</t>
  </si>
  <si>
    <t xml:space="preserve">10926 Francis Lewis Blvd </t>
  </si>
  <si>
    <t>18-43-24-c4-05701.0310</t>
  </si>
  <si>
    <t xml:space="preserve">7a Chemin Du Stade </t>
  </si>
  <si>
    <t xml:space="preserve">1706 NE 13th Pl  Cape Coral, FL 33909 </t>
  </si>
  <si>
    <t>10471-1107</t>
  </si>
  <si>
    <t>Cape Coral Unit 85 Blk 5674 Pb 24 Pg 52 Lots 40 + 41</t>
  </si>
  <si>
    <t xml:space="preserve">54 Ann Lee Ln  Tamarac, FL 33319-2466 </t>
  </si>
  <si>
    <t xml:space="preserve">1014 NE 14th Ave  Cape Coral, FL 33909 </t>
  </si>
  <si>
    <t>Khoa Pham</t>
  </si>
  <si>
    <t xml:space="preserve">14131 Benedict St </t>
  </si>
  <si>
    <t xml:space="preserve">1307 NE 20th Ave  Cape Coral, FL 33909 </t>
  </si>
  <si>
    <t xml:space="preserve">3740 NE 13th Pl </t>
  </si>
  <si>
    <t>Schotland</t>
  </si>
  <si>
    <t>Cypress Trail Rv Resort Phase 4-C Block A Lot 142 As Desc In Inst 2019000042424</t>
  </si>
  <si>
    <t>Robert Adam</t>
  </si>
  <si>
    <t>87112-2412</t>
  </si>
  <si>
    <t xml:space="preserve">1918 NE 13th Pl </t>
  </si>
  <si>
    <t>Cape Coral Unit 34 Blk 2445 Pb 16 Pg 75 Lots 61 + 62</t>
  </si>
  <si>
    <t>10301-1443</t>
  </si>
  <si>
    <t xml:space="preserve">34765 Gladstone Pl B </t>
  </si>
  <si>
    <t>N 50 Ft Of N 400 Ft Of W 108 Ft Of E 399Ft Of Ne 1/4 Of Se 1/4 Of Nw 1/4</t>
  </si>
  <si>
    <t>Franzoso</t>
  </si>
  <si>
    <t>Lehigh Acres Unit 12 W Pt Blk 62 Pb 26 Pg 16 Lot 6</t>
  </si>
  <si>
    <t>11-45-24-02-00012.0180</t>
  </si>
  <si>
    <t>17-43-24-c1-05820.0020</t>
  </si>
  <si>
    <t xml:space="preserve">1906 NE 16th Pl  Cape Coral, FL 33909 </t>
  </si>
  <si>
    <t>11-44-25-l1-1400a.1420</t>
  </si>
  <si>
    <t xml:space="preserve">267 Union St </t>
  </si>
  <si>
    <t>Castellanos</t>
  </si>
  <si>
    <t xml:space="preserve">15217 Alexis Dr  Tampa, FL 33624-2348 </t>
  </si>
  <si>
    <t>58601-7414</t>
  </si>
  <si>
    <t>Shirley Craig</t>
  </si>
  <si>
    <t xml:space="preserve">2026 NE 17th Ave  Cape Coral, FL 33909 </t>
  </si>
  <si>
    <t xml:space="preserve">45 Christopher Dr #307, Methuen, MA 01844-6563 </t>
  </si>
  <si>
    <t xml:space="preserve">1508 NE 35th St </t>
  </si>
  <si>
    <t>Menaul</t>
  </si>
  <si>
    <t>John &amp; Francis Eastwood</t>
  </si>
  <si>
    <t>Cape Coral Unit 85 Blk 5645 Pb 24 Pg 56 Lot 27</t>
  </si>
  <si>
    <t>Pautz</t>
  </si>
  <si>
    <t xml:space="preserve">2833 NE 1st Pl  Cape Coral, FL 33909 </t>
  </si>
  <si>
    <t xml:space="preserve">6115 Humboldt Ave </t>
  </si>
  <si>
    <t>Mint Leaf</t>
  </si>
  <si>
    <t xml:space="preserve">4401 NE 22nd Ct  Cape Coral, FL 33909 </t>
  </si>
  <si>
    <t xml:space="preserve">109 S Douglas Ave </t>
  </si>
  <si>
    <t xml:space="preserve">1839 Sedgwick Ave 1b, Bronx, NY 10453-5031 </t>
  </si>
  <si>
    <t>Cape Coral Unit 32 Blk 2130 Pb 16 Pg 10 Lots 33 + 34</t>
  </si>
  <si>
    <t>Red Hollow</t>
  </si>
  <si>
    <t>Halepule</t>
  </si>
  <si>
    <t xml:space="preserve">1014 NE 11th St </t>
  </si>
  <si>
    <t>Cape Coral Unit 33 Blk.2246 Pb 16 Pg 54 Lots 7 + 8</t>
  </si>
  <si>
    <t xml:space="preserve">2085 El Cajonita Dr </t>
  </si>
  <si>
    <t>Bonita</t>
  </si>
  <si>
    <t>Panizza</t>
  </si>
  <si>
    <t>Darrell Abts &amp; Darrell For</t>
  </si>
  <si>
    <t>Athens</t>
  </si>
  <si>
    <t xml:space="preserve">1440 NE 34th St  Oklahoma City, OK 73111-4704 </t>
  </si>
  <si>
    <t>Dolshire</t>
  </si>
  <si>
    <t>Paxton</t>
  </si>
  <si>
    <t xml:space="preserve">4617 Zorita St </t>
  </si>
  <si>
    <t>Rajindra John &amp; Neetu Singh</t>
  </si>
  <si>
    <t>33909-6419</t>
  </si>
  <si>
    <t>Rodio</t>
  </si>
  <si>
    <t>Cape Coral Unit 31 Blk 2090 Pb 14 Pg 162 Lots 43 + 44</t>
  </si>
  <si>
    <t>11722-4303</t>
  </si>
  <si>
    <t xml:space="preserve">3135 NE 13th Ave  Cape Coral, FL 33909 </t>
  </si>
  <si>
    <t>Vizcaino</t>
  </si>
  <si>
    <t xml:space="preserve">1325 NE 17th Ter </t>
  </si>
  <si>
    <t xml:space="preserve">5950 Park Rd  Fort Myers, FL 33908 </t>
  </si>
  <si>
    <t>33909-4512</t>
  </si>
  <si>
    <t>Lehigh Acres Unit 9 Blk 44 Pb 26 Pg 11 Lot 10</t>
  </si>
  <si>
    <t xml:space="preserve">4679 King Meadow Trl </t>
  </si>
  <si>
    <t>20-43-24-c2-05666.0420</t>
  </si>
  <si>
    <t xml:space="preserve">2163 Willard St  Fort Myers, FL 33901 </t>
  </si>
  <si>
    <t>Phillipe</t>
  </si>
  <si>
    <t>Schiffer</t>
  </si>
  <si>
    <t xml:space="preserve">3901 NE 9th Ave  Cape Coral, FL 33909 </t>
  </si>
  <si>
    <t xml:space="preserve">13921 NW 19th St </t>
  </si>
  <si>
    <t>Petrizza</t>
  </si>
  <si>
    <t>Schaefer Eugene H Iii Tr</t>
  </si>
  <si>
    <t>Cape Coral Unit 33 Blk 2272 Pb 16 Pg 61 Lots 14 + 15</t>
  </si>
  <si>
    <t xml:space="preserve">3343 SE 18th Ave </t>
  </si>
  <si>
    <t>4k</t>
  </si>
  <si>
    <t xml:space="preserve">2023 208th St SW  Lynnwood, WA 98036-7912 </t>
  </si>
  <si>
    <t>33909-4223</t>
  </si>
  <si>
    <t>For Petras Family Trust</t>
  </si>
  <si>
    <t>PO Box 1464</t>
  </si>
  <si>
    <t xml:space="preserve">2425 Kentucky Rd </t>
  </si>
  <si>
    <t>Saint Peters</t>
  </si>
  <si>
    <t xml:space="preserve">2626 NE 20th Ave  Cape Coral, FL 33909 </t>
  </si>
  <si>
    <t xml:space="preserve">13 Royal Ct At Waterford  York, PA 17402-7810 </t>
  </si>
  <si>
    <t xml:space="preserve">1631 Grunwald Cv  Fayetteville, OH 45118-9424 </t>
  </si>
  <si>
    <t>Akiko</t>
  </si>
  <si>
    <t>Cypress Trail Rv Resort Phase 4-C Block B Lot 443 As Desc In Inst 2019000042424</t>
  </si>
  <si>
    <t>11379-1416</t>
  </si>
  <si>
    <t xml:space="preserve">639 Tropicana Pkwy E  Cape Coral, FL 33909 </t>
  </si>
  <si>
    <t>Horseheads</t>
  </si>
  <si>
    <t>Larry &amp; Glenna Landry</t>
  </si>
  <si>
    <t xml:space="preserve">10140 Sunnywood Ct </t>
  </si>
  <si>
    <t>17-43-24-c3-05794.0530</t>
  </si>
  <si>
    <t xml:space="preserve">5712 Brightwood Dr </t>
  </si>
  <si>
    <t>Mahopac</t>
  </si>
  <si>
    <t>Sehija</t>
  </si>
  <si>
    <t xml:space="preserve">13427 Marquette Blvd  Fort Myers, FL 33905 </t>
  </si>
  <si>
    <t>Temperance</t>
  </si>
  <si>
    <t xml:space="preserve">1016 NE 1st Ave </t>
  </si>
  <si>
    <t>18-43-24-c4-05710.0280</t>
  </si>
  <si>
    <t xml:space="preserve">917 Unice Ave N </t>
  </si>
  <si>
    <t>Mute</t>
  </si>
  <si>
    <t>Cape Coral Unit 88 Blk 5821 Pb 24 Pg 140 Lot 31</t>
  </si>
  <si>
    <t xml:space="preserve">572 Daffodil Dr  Benicia, CA 94510-3826 </t>
  </si>
  <si>
    <t>33028-3123</t>
  </si>
  <si>
    <t xml:space="preserve">801 Marlowe Rd </t>
  </si>
  <si>
    <t xml:space="preserve">2123 NE 27th Ter  Cape Coral, FL 33909 </t>
  </si>
  <si>
    <t>Cape Coral Unit 31 Blk 2062 Pb 14 Pg 162 Lots 32 + 33</t>
  </si>
  <si>
    <t xml:space="preserve">5222 Pineland Daisy Trl </t>
  </si>
  <si>
    <t>Cypress Woods Rv Resort Un 3 Desc In Pb 72 Pgs 92-95 Blk C Lot 25</t>
  </si>
  <si>
    <t>Huldah</t>
  </si>
  <si>
    <t>Danielle &amp; Daniel Kirk</t>
  </si>
  <si>
    <t xml:space="preserve">N6417 Delaney Rd </t>
  </si>
  <si>
    <t>01-44-23-c1-02464.0010</t>
  </si>
  <si>
    <t xml:space="preserve">10111 Shadowood Ct </t>
  </si>
  <si>
    <t xml:space="preserve">67 Mahalas Ln  Owls Head, ME 04854-3630 </t>
  </si>
  <si>
    <t>R R &amp; Socorro Bachiller</t>
  </si>
  <si>
    <t>NC</t>
  </si>
  <si>
    <t>16-44-26-08-00028.0060</t>
  </si>
  <si>
    <t xml:space="preserve">15 NE 8th Ter  Cape Coral, FL 33909 </t>
  </si>
  <si>
    <t xml:space="preserve">186 Rainbow Dr #8650 </t>
  </si>
  <si>
    <t>Lehigh Acres Unit 11 Blk 56 Pb 26 Pg 14 Lot 24</t>
  </si>
  <si>
    <t xml:space="preserve">619 King St #609, Columbia, SC 29205-2366 </t>
  </si>
  <si>
    <t>Idrettsvegen</t>
  </si>
  <si>
    <t xml:space="preserve">9154 County Road K </t>
  </si>
  <si>
    <t xml:space="preserve">4461 Ocean Blvd #14, San Diego, CA 92109-3929 </t>
  </si>
  <si>
    <t xml:space="preserve">4952 Seville Ct  Cape Coral, FL 33904 </t>
  </si>
  <si>
    <t xml:space="preserve">1803 NE 44th Ter </t>
  </si>
  <si>
    <t>Cape Coral Unit 36 Pt 1 Blk 2482 Pb 23 Pg 90 Lots 5 + 6</t>
  </si>
  <si>
    <t>Irar &amp; 3602061 Soniya</t>
  </si>
  <si>
    <t>Cape Coral Unit 85 Blk 5630 Pb 24 Pg 50 Lots 19 + 20</t>
  </si>
  <si>
    <t>11-44-25-06-0000d.0620</t>
  </si>
  <si>
    <t>01-44-23-c3-02385.0420</t>
  </si>
  <si>
    <t>Gustafson Amanda Tr</t>
  </si>
  <si>
    <t>33909-5299</t>
  </si>
  <si>
    <t xml:space="preserve">1107 9th Ave S </t>
  </si>
  <si>
    <t>William Miller &amp; Meggan Oshea</t>
  </si>
  <si>
    <t xml:space="preserve">2515 SE 22nd Pl  Cape Coral, FL 33904 </t>
  </si>
  <si>
    <t>46382-9742</t>
  </si>
  <si>
    <t xml:space="preserve">6016 Thorpe Ave  Fort Myers, FL 33905 </t>
  </si>
  <si>
    <t>Ruchit</t>
  </si>
  <si>
    <t xml:space="preserve">1826 NE 4th Ave </t>
  </si>
  <si>
    <t>55449-7507</t>
  </si>
  <si>
    <t xml:space="preserve">2059 NE 20th Ln  Cape Coral, FL 33909 </t>
  </si>
  <si>
    <t xml:space="preserve">20 Brady Ln </t>
  </si>
  <si>
    <t>11693-1204</t>
  </si>
  <si>
    <t xml:space="preserve">7603 11th Ave  Brooklyn, NY 11228-2313 </t>
  </si>
  <si>
    <t xml:space="preserve">5231 Cypress Trail Resort Cir  Fort Myers, FL 33905 </t>
  </si>
  <si>
    <t>Gallego</t>
  </si>
  <si>
    <t>Larry Family Living Trust</t>
  </si>
  <si>
    <t xml:space="preserve">10 Corwin St </t>
  </si>
  <si>
    <t xml:space="preserve">15721 Cemetery Rd  Fort Myers, FL 33905 </t>
  </si>
  <si>
    <t>60447-4539</t>
  </si>
  <si>
    <t>28-43-26-06-00060.0440</t>
  </si>
  <si>
    <t>05-44-24-c2-03511.0480</t>
  </si>
  <si>
    <t xml:space="preserve">5208 Pineland Daisy Trl  Fort Myers, FL 33905 </t>
  </si>
  <si>
    <t>22205-1019</t>
  </si>
  <si>
    <t>Avon</t>
  </si>
  <si>
    <t>Lehigh Acres Unit 11 Blk 53 Pb 26 Pg 14 Lot 2</t>
  </si>
  <si>
    <t xml:space="preserve">3131 58th St SW </t>
  </si>
  <si>
    <t>R038</t>
  </si>
  <si>
    <t>33909-2626</t>
  </si>
  <si>
    <t>Ping</t>
  </si>
  <si>
    <t xml:space="preserve">1920 S Ocean Dr 6d, Hallandale Beach, FL 33009-5954 </t>
  </si>
  <si>
    <t xml:space="preserve">7305 Woodridge Park Dr #4202, Orlando, FL 32818-6457 </t>
  </si>
  <si>
    <t xml:space="preserve">1013 NE 32nd St  Cape Coral, FL 33909 </t>
  </si>
  <si>
    <t>33013-1951</t>
  </si>
  <si>
    <t>Laurelwood</t>
  </si>
  <si>
    <t xml:space="preserve">101 Main St #1 </t>
  </si>
  <si>
    <t>David &amp; Jim Koons</t>
  </si>
  <si>
    <t xml:space="preserve">6052 Joplin Ave  Fort Myers, FL 33905 </t>
  </si>
  <si>
    <t xml:space="preserve">18220 Chesapeake Ct  Fort Myers, FL 33908 </t>
  </si>
  <si>
    <t>51st</t>
  </si>
  <si>
    <t xml:space="preserve">34 NE 6th St </t>
  </si>
  <si>
    <t xml:space="preserve">1188 Durden Pkwy  Cape Coral, FL 33909 </t>
  </si>
  <si>
    <t>Cape Coral Unit 35 Blk.2408 Pb 16 Pg 107 Lots 5 + 6</t>
  </si>
  <si>
    <t>Zachariah Richardson</t>
  </si>
  <si>
    <t>07076-1534</t>
  </si>
  <si>
    <t>29-43-24-c3-02287.0170</t>
  </si>
  <si>
    <t>Merrlyn &amp; Wiliam Seefeldt</t>
  </si>
  <si>
    <t>28-43-26-06-00062.0290</t>
  </si>
  <si>
    <t>Alejandra Fernandez &amp; Adrian Cabrera</t>
  </si>
  <si>
    <t xml:space="preserve">2318 Lazy River Ln </t>
  </si>
  <si>
    <t>13760-4251</t>
  </si>
  <si>
    <t>11426-2324</t>
  </si>
  <si>
    <t>Lambros</t>
  </si>
  <si>
    <t>R812</t>
  </si>
  <si>
    <t>91302-2671</t>
  </si>
  <si>
    <t>Uceta</t>
  </si>
  <si>
    <t>Cape Coral Unit 4 Part 2 Blk 148 Pb 12 Pg 18 Lts 71 + 72 Or 1961/3430</t>
  </si>
  <si>
    <t>07418-1021</t>
  </si>
  <si>
    <t xml:space="preserve">2739 Wigwam Park Rd  East Stroudsburg, PA 18301-8759 </t>
  </si>
  <si>
    <t xml:space="preserve">3729 Tallman St  Fort Myers, FL 33905 </t>
  </si>
  <si>
    <t xml:space="preserve">1337 NE 32nd Ln  Cape Coral, FL 33909 </t>
  </si>
  <si>
    <t>Cherrydale</t>
  </si>
  <si>
    <t xml:space="preserve">5317 Granada St  Los Angeles, CA 90042-3311 </t>
  </si>
  <si>
    <t>Anke</t>
  </si>
  <si>
    <t>Trippel</t>
  </si>
  <si>
    <t>20-43-26-09-00000.171c</t>
  </si>
  <si>
    <t xml:space="preserve">6742 SW 13th St </t>
  </si>
  <si>
    <t>For Maria Angelina Linmark Trust</t>
  </si>
  <si>
    <t>Eric Kubelle</t>
  </si>
  <si>
    <t>33904-8614</t>
  </si>
  <si>
    <t>Ferland</t>
  </si>
  <si>
    <t xml:space="preserve">14240 Chancellor St  Fort Myers, FL 33905 </t>
  </si>
  <si>
    <t>Carolann</t>
  </si>
  <si>
    <t xml:space="preserve">3706 the Barnyard G11, Carmel, CA 93923-8751 </t>
  </si>
  <si>
    <t>36-43-23-c1-02514.0340</t>
  </si>
  <si>
    <t xml:space="preserve">2848 Leaf Shade Dr </t>
  </si>
  <si>
    <t xml:space="preserve">1809 NE 27th St </t>
  </si>
  <si>
    <t>36-43-23-c2-02344.0260</t>
  </si>
  <si>
    <t>Lewisville</t>
  </si>
  <si>
    <t>White Birch</t>
  </si>
  <si>
    <t>Beirouti</t>
  </si>
  <si>
    <t xml:space="preserve">10030 Parkwood Dr </t>
  </si>
  <si>
    <t xml:space="preserve">13731 NW 13th st pembrooke Pnes  Pembroke Pines, FL 33028 </t>
  </si>
  <si>
    <t xml:space="preserve">3711 NE 12th Pl  Cape Coral, FL 33909 </t>
  </si>
  <si>
    <t>Koehn</t>
  </si>
  <si>
    <t>33905-7730</t>
  </si>
  <si>
    <t>Sarbadhikari</t>
  </si>
  <si>
    <t>Digna &amp; Wanda Santos</t>
  </si>
  <si>
    <t>Ostend</t>
  </si>
  <si>
    <t>ON</t>
  </si>
  <si>
    <t xml:space="preserve">4313 NE 9th Ct  Cape Coral, FL 33909 </t>
  </si>
  <si>
    <t>94536-6644</t>
  </si>
  <si>
    <t xml:space="preserve">14028 SW 160th Ct  Miami, FL 33196-6501 </t>
  </si>
  <si>
    <t>Lewien</t>
  </si>
  <si>
    <t>11-44-25-l1-13000.3450</t>
  </si>
  <si>
    <t xml:space="preserve">3923 NE 22nd Pl </t>
  </si>
  <si>
    <t>Carannante</t>
  </si>
  <si>
    <t>Cape Coral Unit 87 Blk 5687 Pb 24 Pg 83 Lots 13 + 14</t>
  </si>
  <si>
    <t>Olessia Salmeron</t>
  </si>
  <si>
    <t>07307-4226</t>
  </si>
  <si>
    <t xml:space="preserve">818 NE 41st Ln  Cape Coral, FL 33909 </t>
  </si>
  <si>
    <t xml:space="preserve">5158 Cypress Trail Resort Cir  Fort Myers, FL 33905 </t>
  </si>
  <si>
    <t>Palmetto Palms Rv Resort Condo Ph 3 Or 1530 Pg 1466 Res Unit 526</t>
  </si>
  <si>
    <t>36-43-23-c3-02480.0190</t>
  </si>
  <si>
    <t xml:space="preserve">555 NE 15th St 20k, Miami, FL 33132-1414 </t>
  </si>
  <si>
    <t>92109-2028</t>
  </si>
  <si>
    <t>08037-1471</t>
  </si>
  <si>
    <t>33909-1403</t>
  </si>
  <si>
    <t xml:space="preserve">11535 117th St </t>
  </si>
  <si>
    <t>Cape Coral Unit 87 Blk 5734 Pb 24 Pg 78 Lots 5 + 6</t>
  </si>
  <si>
    <t xml:space="preserve">181 Homer Ave  Deer Park, NY 11729-2511 </t>
  </si>
  <si>
    <t xml:space="preserve">11 N Main St </t>
  </si>
  <si>
    <t xml:space="preserve">58 Bolton Trl </t>
  </si>
  <si>
    <t xml:space="preserve">10 Allee Des Foulons </t>
  </si>
  <si>
    <t>Velasco</t>
  </si>
  <si>
    <t>36-44-23-c3-00862.0210</t>
  </si>
  <si>
    <t>For Richard L &amp; Anne K Townsend Rev Trust</t>
  </si>
  <si>
    <t>36-43-23-c4-02512.0010</t>
  </si>
  <si>
    <t>Cape Coral Unit 87 Pb 24 Pg 72 Blk 5706 Lots 21 + 22</t>
  </si>
  <si>
    <t>33909-4561</t>
  </si>
  <si>
    <t>03-44-26-09-00043.0160</t>
  </si>
  <si>
    <t xml:space="preserve">12919 78th Ave W </t>
  </si>
  <si>
    <t>Geneseo</t>
  </si>
  <si>
    <t xml:space="preserve">13534 Island Rd </t>
  </si>
  <si>
    <t>11-44-25-09-00000.0220</t>
  </si>
  <si>
    <t>Ft Myers Shores Unit 6 Blk 74 Pb 17 Pg 75 Lots 19 + 20</t>
  </si>
  <si>
    <t>Stafford</t>
  </si>
  <si>
    <t xml:space="preserve">10222 Yellowtop Trl </t>
  </si>
  <si>
    <t>33905-8703</t>
  </si>
  <si>
    <t xml:space="preserve">1024 NE 23rd Ter  Cape Coral, FL 33909 </t>
  </si>
  <si>
    <t xml:space="preserve">9470 Haldibrook Rd  Caledonia, ON N3w 2G9 </t>
  </si>
  <si>
    <t xml:space="preserve">3025 Dunsmuir Rd </t>
  </si>
  <si>
    <t xml:space="preserve">314 NE 15th Ter </t>
  </si>
  <si>
    <t>Amy Ryan &amp; Valerie Reeves</t>
  </si>
  <si>
    <t>Papousek Christine C Tr</t>
  </si>
  <si>
    <t xml:space="preserve">6044 Jonathan Ave </t>
  </si>
  <si>
    <t>47842-7808</t>
  </si>
  <si>
    <t xml:space="preserve">Po Box 164851 </t>
  </si>
  <si>
    <t>Sandy Beach</t>
  </si>
  <si>
    <t>Calverton</t>
  </si>
  <si>
    <t>Walter &amp; Amy Gutowski</t>
  </si>
  <si>
    <t>Voehringen</t>
  </si>
  <si>
    <t xml:space="preserve">2540 NE 209th Ter  Miami, FL 33180-1044 </t>
  </si>
  <si>
    <t>12-44-23-c1-02366.0490</t>
  </si>
  <si>
    <t xml:space="preserve">9391 Mokihana Dr </t>
  </si>
  <si>
    <t xml:space="preserve">3335 NE 9th Ave </t>
  </si>
  <si>
    <t>Cheat Lake</t>
  </si>
  <si>
    <t>B Nyquist &amp; For Nyquest</t>
  </si>
  <si>
    <t>Harrington Park</t>
  </si>
  <si>
    <t>Luis &amp; Annie Putman</t>
  </si>
  <si>
    <t>Janani</t>
  </si>
  <si>
    <t>33909-8300</t>
  </si>
  <si>
    <t xml:space="preserve">3833 NE 19th Ave </t>
  </si>
  <si>
    <t xml:space="preserve">1003 NE 33rd Ter  Cape Coral, FL 33909 </t>
  </si>
  <si>
    <t xml:space="preserve">16233 Durham Ave </t>
  </si>
  <si>
    <t xml:space="preserve">8115 SW 13th Ter  Miami, FL 33144-5223 </t>
  </si>
  <si>
    <t>Suri</t>
  </si>
  <si>
    <t xml:space="preserve">212 W Washington St #1175 </t>
  </si>
  <si>
    <t>Cape Coral Unit 34 Blk 2417 Pb 16 Pg 75 Lots 53 + 54</t>
  </si>
  <si>
    <t>Burte</t>
  </si>
  <si>
    <t>Street &amp; Carter Coons</t>
  </si>
  <si>
    <t>Cape Coral Unit 32 Blk.2130 Pb 16 Pg 10 Lots 39 + 40</t>
  </si>
  <si>
    <t>16-43-24-01-00000.2460</t>
  </si>
  <si>
    <t xml:space="preserve">14220 Streamstown Ct  Orland Park, IL 60462-2362 </t>
  </si>
  <si>
    <t>34291-4036</t>
  </si>
  <si>
    <t>07036-4655</t>
  </si>
  <si>
    <t>Overseas</t>
  </si>
  <si>
    <t>Robert &amp; Jeanne Wolniakowski</t>
  </si>
  <si>
    <t>Musso</t>
  </si>
  <si>
    <t>Cape Coral Unit 88 Blk 5814 Pb 24 Pg 139 Lots 27 + 28</t>
  </si>
  <si>
    <t>Dayton</t>
  </si>
  <si>
    <t xml:space="preserve">71 Commodore Dr #107, Vergennes, VT 05491-7502 </t>
  </si>
  <si>
    <t xml:space="preserve">4305 NE 20th Ct  Cape Coral, FL 33909 </t>
  </si>
  <si>
    <t xml:space="preserve">3215 NE 13th Pl </t>
  </si>
  <si>
    <t>Lary</t>
  </si>
  <si>
    <t>06-44-24-c1-02097.0590</t>
  </si>
  <si>
    <t>Altavan</t>
  </si>
  <si>
    <t>19-43-24-c2-05596.0310</t>
  </si>
  <si>
    <t>Leonardo</t>
  </si>
  <si>
    <t xml:space="preserve">3806 SE 12th Ave  Cape Coral, FL 33904 </t>
  </si>
  <si>
    <t xml:space="preserve">15241 Cemetery Rd </t>
  </si>
  <si>
    <t>Girolamo</t>
  </si>
  <si>
    <t xml:space="preserve">47936 Sd Highway 20 </t>
  </si>
  <si>
    <t>Cypress Woods Rv Resort Un 3 Desc In Pb 72 Pgs 92-95 Blk C Lot 115</t>
  </si>
  <si>
    <t>Buckingham Pk Re Blk B U-4 Blk 22 Pb 27 Pg 192 Lot 6</t>
  </si>
  <si>
    <t>152nd</t>
  </si>
  <si>
    <t>33909-6218</t>
  </si>
  <si>
    <t>Cape Coral Unit 88 Blk 5767 Pb 24 Pg 133 Lots 34 + 35</t>
  </si>
  <si>
    <t xml:space="preserve">1612 NE 6th Pl  Cape Coral, FL 33909 </t>
  </si>
  <si>
    <t xml:space="preserve">2829 NE 2nd Ave </t>
  </si>
  <si>
    <t xml:space="preserve">1323 NE 8th Pl </t>
  </si>
  <si>
    <t xml:space="preserve">2280 NW 74th Ave </t>
  </si>
  <si>
    <t xml:space="preserve">5324 Riva Ridge Dr </t>
  </si>
  <si>
    <t>Leo &amp; Mary Feula</t>
  </si>
  <si>
    <t xml:space="preserve">4915 W 155th Ter </t>
  </si>
  <si>
    <t xml:space="preserve">228 E 23rd St  Paterson, NJ 07514-2112 </t>
  </si>
  <si>
    <t>Old Bridgeport</t>
  </si>
  <si>
    <t>12524-4939</t>
  </si>
  <si>
    <t>33909-4311</t>
  </si>
  <si>
    <t>Arletha Parker</t>
  </si>
  <si>
    <t xml:space="preserve">262 Linden St  Massapequa Park, NY 11762-1039 </t>
  </si>
  <si>
    <t>Botelho</t>
  </si>
  <si>
    <t>Rue Meckenheck</t>
  </si>
  <si>
    <t>Lehigh Acres Unit 11 Blk 55 Pb 26 Pg 14 Lot 17</t>
  </si>
  <si>
    <t>54026-5726</t>
  </si>
  <si>
    <t xml:space="preserve">1201 N Glenarbor St  Santa Ana, CA 92706-3125 </t>
  </si>
  <si>
    <t>Ft Myers Beach Kampground S/D Unit 1 Pb 35 Pg 47 Blk V Lot 20</t>
  </si>
  <si>
    <t>William &amp; Joan Mays</t>
  </si>
  <si>
    <t xml:space="preserve">1242 NE 40th Ter </t>
  </si>
  <si>
    <t xml:space="preserve">8521 2nd Ave </t>
  </si>
  <si>
    <t>Fink Lisa M Tr</t>
  </si>
  <si>
    <t xml:space="preserve">1557 W Troy St </t>
  </si>
  <si>
    <t>33446-5627</t>
  </si>
  <si>
    <t xml:space="preserve">337 NE 5th Ter  Cape Coral, FL 33909 </t>
  </si>
  <si>
    <t>31-43-24-c4-02096.0010</t>
  </si>
  <si>
    <t xml:space="preserve">8511 Avenue N  Brooklyn, NY 11236-5111 </t>
  </si>
  <si>
    <t xml:space="preserve">6152 Herrick Ave </t>
  </si>
  <si>
    <t>33909-1256</t>
  </si>
  <si>
    <t xml:space="preserve">1401 NE 13th Ter </t>
  </si>
  <si>
    <t>A A &amp; Micheline Lachapelle</t>
  </si>
  <si>
    <t xml:space="preserve">829 Setter Ln  Hopkins, SC 29061-9700 </t>
  </si>
  <si>
    <t>Cape Coral Unit 36 Blk 2541 Pb 16 Pg 115 Lots 26 + 27</t>
  </si>
  <si>
    <t>Cape Coral Unit 84 Blk 5610 Pb 24 Pg 41 Lots 25 + 26</t>
  </si>
  <si>
    <t>Ryszard Heleniak</t>
  </si>
  <si>
    <t xml:space="preserve">1502 Martins Point Rd  Sandusky, OH 44870-9733 </t>
  </si>
  <si>
    <t>Prairie Iris</t>
  </si>
  <si>
    <t>Yunia Fuentes &amp; Humberto Diaz</t>
  </si>
  <si>
    <t xml:space="preserve">16180 Sunset Strip </t>
  </si>
  <si>
    <t>25-43-23-c3-02345.0300</t>
  </si>
  <si>
    <t>Blackberry</t>
  </si>
  <si>
    <t>25-43-23-c4-02353.0660</t>
  </si>
  <si>
    <t xml:space="preserve">404 NE 18th St  Cape Coral, FL 33909 </t>
  </si>
  <si>
    <t>18/83</t>
  </si>
  <si>
    <t>Alibrandi</t>
  </si>
  <si>
    <t xml:space="preserve">228 Delray Ave  Fort Myers, FL 33905 </t>
  </si>
  <si>
    <t>Drumheller</t>
  </si>
  <si>
    <t>Francisco Diaz &amp; Manuela Delgado</t>
  </si>
  <si>
    <t>Cypress Woods Rv Resort Ut 1 Pb 65 Pg 85 + 86 Blk B Lot 59</t>
  </si>
  <si>
    <t xml:space="preserve">12n385 Jackson Dr </t>
  </si>
  <si>
    <t>Velma Barnett</t>
  </si>
  <si>
    <t>Rosio Diaz</t>
  </si>
  <si>
    <t xml:space="preserve">9 Higginsville Rd  Neshanic Station, NJ 08853-3612 </t>
  </si>
  <si>
    <t>12077-3413</t>
  </si>
  <si>
    <t xml:space="preserve">1595 Jerusalem Rd  Mechanicsburg, PA 17050-2075 </t>
  </si>
  <si>
    <t>Kevin &amp; Rhea Arthur</t>
  </si>
  <si>
    <t xml:space="preserve">105 NE 22nd Ave </t>
  </si>
  <si>
    <t xml:space="preserve">10216 Yellowtop Trl  Fort Myers, FL 33905 </t>
  </si>
  <si>
    <t>28469-5610</t>
  </si>
  <si>
    <t>H060</t>
  </si>
  <si>
    <t xml:space="preserve">1 Colonial Dr  Bayonne, NJ 07002-2216 </t>
  </si>
  <si>
    <t>Pinecrest</t>
  </si>
  <si>
    <t>16-44-26-07-00022.0090</t>
  </si>
  <si>
    <t>Patricia Naegele</t>
  </si>
  <si>
    <t>07603-1042</t>
  </si>
  <si>
    <t>Fuerst</t>
  </si>
  <si>
    <t>Homero</t>
  </si>
  <si>
    <t>Cape Coral Unit 31 Blk 2079 Pb 14 Pg 164 Lots 35 + 36</t>
  </si>
  <si>
    <t>Silvia</t>
  </si>
  <si>
    <t>36-44-23-c2-00907.0120</t>
  </si>
  <si>
    <t xml:space="preserve">1777 Everett Bay Rd  Tower, MN 55790-8155 </t>
  </si>
  <si>
    <t>Cape Coral Unit 36 Blk 2527 Pb 16 Pg 114 Lots 36 + 37</t>
  </si>
  <si>
    <t xml:space="preserve">2031 NE 9th Ave </t>
  </si>
  <si>
    <t>L</t>
  </si>
  <si>
    <t xml:space="preserve">2121 NE 1st Ave </t>
  </si>
  <si>
    <t>Droke</t>
  </si>
  <si>
    <t xml:space="preserve">151 Pulpit Rd </t>
  </si>
  <si>
    <t>Foxpointe</t>
  </si>
  <si>
    <t xml:space="preserve">8108 NW 95th Ln </t>
  </si>
  <si>
    <t>Morell</t>
  </si>
  <si>
    <t xml:space="preserve">64 Chemin Fons Vicaeii </t>
  </si>
  <si>
    <t>Jaguar</t>
  </si>
  <si>
    <t xml:space="preserve">73747 130th St </t>
  </si>
  <si>
    <t>Cape Coral Unit 33 Blk 2236 Pb 16 Pg 52 Lots 19 + 20</t>
  </si>
  <si>
    <t xml:space="preserve">114 Moreland St  Worcester, MA 01609-1045 </t>
  </si>
  <si>
    <t>22205-1107</t>
  </si>
  <si>
    <t xml:space="preserve">1940 Scenic Lakes Dr  Louisville, KY 40245-4810 </t>
  </si>
  <si>
    <t xml:space="preserve">15150 Spring St </t>
  </si>
  <si>
    <t xml:space="preserve">30145 Bayshore Rd </t>
  </si>
  <si>
    <t>Andrew &amp; Emily Knol</t>
  </si>
  <si>
    <t xml:space="preserve">7860 Camino Real 106l, Miami, FL 33143-6838 </t>
  </si>
  <si>
    <t xml:space="preserve">799 Overriver Dr </t>
  </si>
  <si>
    <t>16-44-26-07-00021.0040</t>
  </si>
  <si>
    <t>11-44-25-06-0000d.0130</t>
  </si>
  <si>
    <t>R126</t>
  </si>
  <si>
    <t>05-44-24-c4-03542.0760</t>
  </si>
  <si>
    <t xml:space="preserve">228 SE 25th Ter  Cape Coral, FL 33904 </t>
  </si>
  <si>
    <t xml:space="preserve">140 Hall St  Susanville, CA 96130-4544 </t>
  </si>
  <si>
    <t>12401-6119</t>
  </si>
  <si>
    <t>33909-2714</t>
  </si>
  <si>
    <t xml:space="preserve">3302 NE 13th Pl </t>
  </si>
  <si>
    <t>Cypress Woods Rv Resort Desc In Inst#2006-358211 Lot 163</t>
  </si>
  <si>
    <t>33904-4963</t>
  </si>
  <si>
    <t xml:space="preserve">137 SE 44th Ter </t>
  </si>
  <si>
    <t>18-43-24-c2-05711.0010</t>
  </si>
  <si>
    <t>29-43-24-c3-02254.0160</t>
  </si>
  <si>
    <t>Palmetto Palms R V Resort Condo Ph 1 Or 1530 Pg 1466 Res Unit 34</t>
  </si>
  <si>
    <t>L5G 3R7</t>
  </si>
  <si>
    <t xml:space="preserve">2916 NE 2nd Ave </t>
  </si>
  <si>
    <t>Yunyun</t>
  </si>
  <si>
    <t>Cape Coral Unit 84 Blk 5579 Pb 24 Pg 47 Lot 36</t>
  </si>
  <si>
    <t xml:space="preserve">130 NE 24th Ter  Cape Coral, FL 33909 </t>
  </si>
  <si>
    <t>Kansas City</t>
  </si>
  <si>
    <t xml:space="preserve">923 NE 32nd Ter  Cape Coral, FL 33909 </t>
  </si>
  <si>
    <t>43204-4962</t>
  </si>
  <si>
    <t>Cape Coral Unit 47 Part 2 Blk.3540 Pb 23 Pg 117 Lots 42 &amp; 43</t>
  </si>
  <si>
    <t>25-43-23-c1-02319.0550</t>
  </si>
  <si>
    <t xml:space="preserve">PO Box 342  Hunter, NY 12442 </t>
  </si>
  <si>
    <t xml:space="preserve">201 Education Ave </t>
  </si>
  <si>
    <t>Foothill</t>
  </si>
  <si>
    <t xml:space="preserve">2828 NE 7th Ave  Cape Coral, FL 33909 </t>
  </si>
  <si>
    <t>60101-1863</t>
  </si>
  <si>
    <t>25-43-23-c3-02342.0410</t>
  </si>
  <si>
    <t xml:space="preserve">10311 Prairie Iris Dr  Fort Myers, FL 33905 </t>
  </si>
  <si>
    <t xml:space="preserve">1827 NE 22nd St </t>
  </si>
  <si>
    <t xml:space="preserve">20 Towne Dr #320, Bluffton, SC 29910-4204 </t>
  </si>
  <si>
    <t xml:space="preserve">1524 NE 35th Ln  Cape Coral, FL 33909 </t>
  </si>
  <si>
    <t xml:space="preserve">19310 Mclaughlin Ave </t>
  </si>
  <si>
    <t>Cns &amp; Land</t>
  </si>
  <si>
    <t>C016</t>
  </si>
  <si>
    <t xml:space="preserve">115 Lexington Ave </t>
  </si>
  <si>
    <t>William &amp; Pauline Shockness</t>
  </si>
  <si>
    <t>Cape Coral Unit 85 Blk 5633 Pb 24 Pg 50 Lots 29 + 30</t>
  </si>
  <si>
    <t>Rose &amp; For Guionnaud</t>
  </si>
  <si>
    <t>Cape Coral Unit 87 Blk 5694 Pb 24 Pg 81 Lots 3 + 4</t>
  </si>
  <si>
    <t>89121-2257</t>
  </si>
  <si>
    <t>Milpitas</t>
  </si>
  <si>
    <t>Cape Coral Unit 36 Pt 1 Blk 2476 Pb 23 Pg 89 Lots 59 + 60</t>
  </si>
  <si>
    <t xml:space="preserve">2205 NE 2nd Ave  Cape Coral, FL 33909 </t>
  </si>
  <si>
    <t xml:space="preserve">1130 Andalusia Blvd  Cape Coral, FL 33909 </t>
  </si>
  <si>
    <t>33904-5358</t>
  </si>
  <si>
    <t>Piscataway</t>
  </si>
  <si>
    <t>Simonsen</t>
  </si>
  <si>
    <t xml:space="preserve">225 Granada Blvd </t>
  </si>
  <si>
    <t>Carlos &amp; Manuela Morales</t>
  </si>
  <si>
    <t xml:space="preserve">2085 El Cajonita Dr  La Habra Heights, CA 90631-7723 </t>
  </si>
  <si>
    <t>33332-1588</t>
  </si>
  <si>
    <t>Cape Coral Unit 36 Blk 2309 Pb 16 Pg 119 Lots 77 + 78</t>
  </si>
  <si>
    <t>Cypress Trail Rv Resort Phase 2-A As Desc In Inst# 2014000026506 Lot 159</t>
  </si>
  <si>
    <t xml:space="preserve">3575 Unique Cir </t>
  </si>
  <si>
    <t>Iorio</t>
  </si>
  <si>
    <t>33909-1202</t>
  </si>
  <si>
    <t>Ladanyi</t>
  </si>
  <si>
    <t>Cypress Woods Rv Resort Ut 1 Pb 65 Pg 85 + 86 Blk B Lot 5</t>
  </si>
  <si>
    <t>Mark &amp; Patricia Chamberlain</t>
  </si>
  <si>
    <t>33909-8948</t>
  </si>
  <si>
    <t xml:space="preserve">4108 NE 9th Pl  Cape Coral, FL 33909 </t>
  </si>
  <si>
    <t xml:space="preserve">2124 NE 10th Pl  Cape Coral, FL 33909 </t>
  </si>
  <si>
    <t>Joan Smith</t>
  </si>
  <si>
    <t>33909-4360</t>
  </si>
  <si>
    <t>28-43-26-00-00001.0000</t>
  </si>
  <si>
    <t xml:space="preserve">211 NE 17th Ter  Cape Coral, FL 33909 </t>
  </si>
  <si>
    <t>Sharlene Stroud</t>
  </si>
  <si>
    <t>07024-4109</t>
  </si>
  <si>
    <t>33909-1594</t>
  </si>
  <si>
    <t>Manuel &amp; Elena Paez</t>
  </si>
  <si>
    <t>Ventura</t>
  </si>
  <si>
    <t>55311-1836</t>
  </si>
  <si>
    <t>Vincent &amp; Doreen Termine</t>
  </si>
  <si>
    <t>Cape Coral Unit 17 Blk 1525 Pb 14 Pg 36 Lots 91 + 92</t>
  </si>
  <si>
    <t>Panas</t>
  </si>
  <si>
    <t xml:space="preserve">12602 SW 9th Ter  Miami, FL 33184-2331 </t>
  </si>
  <si>
    <t>Mount Cedar</t>
  </si>
  <si>
    <t xml:space="preserve">4799 Duncliffe Rd  Richmond, BC V7e 3N2 </t>
  </si>
  <si>
    <t>Depompa</t>
  </si>
  <si>
    <t>Koza</t>
  </si>
  <si>
    <t xml:space="preserve">2602 NE 3rd Ave  Cape Coral, FL 33909 </t>
  </si>
  <si>
    <t xml:space="preserve">4217 Corporal Kennedy St 3f </t>
  </si>
  <si>
    <t xml:space="preserve">16851/853 Carmen Ave  Fort Myers, FL 33908 </t>
  </si>
  <si>
    <t>Karyn</t>
  </si>
  <si>
    <t>33-44-24-c1-01227.0260</t>
  </si>
  <si>
    <t xml:space="preserve">8409 Aachen Pl  Pittsburgh, PA 15237-5601 </t>
  </si>
  <si>
    <t>25-43-23-c3-02343.0210</t>
  </si>
  <si>
    <t>19-43-24-c2-05595.0020</t>
  </si>
  <si>
    <t>Cape Coral Unit 88 Blk 5822 Pb 24 Pg 141 Lots 3 + 4</t>
  </si>
  <si>
    <t xml:space="preserve">5357 Silk Oak Ave  Fort Myers, FL 33905 </t>
  </si>
  <si>
    <t>Alexander &amp; Nataly Kushnir</t>
  </si>
  <si>
    <t xml:space="preserve">1461 County Road 515 </t>
  </si>
  <si>
    <t xml:space="preserve">11280 Holiday Ln  Fort Myers, FL 33908 </t>
  </si>
  <si>
    <t xml:space="preserve">1711 NE 17th Ter </t>
  </si>
  <si>
    <t>Timothy</t>
  </si>
  <si>
    <t>11-44-25-l1-12000.3810</t>
  </si>
  <si>
    <t xml:space="preserve">1908 NE 5th Ct  Cape Coral, FL 33909 </t>
  </si>
  <si>
    <t xml:space="preserve">Po Box 1363 </t>
  </si>
  <si>
    <t xml:space="preserve">7714 W Turnberry Trl  Village Of Lakewood, IL 60014-6650 </t>
  </si>
  <si>
    <t>Kevin &amp; Sheila Conrad</t>
  </si>
  <si>
    <t>Barbara Turnbull</t>
  </si>
  <si>
    <t xml:space="preserve">2121 NE 5th Pl </t>
  </si>
  <si>
    <t>Port Richey</t>
  </si>
  <si>
    <t xml:space="preserve">3612 NE 8th Pl </t>
  </si>
  <si>
    <t>Vanderhoff</t>
  </si>
  <si>
    <t xml:space="preserve">11790 SW Denney Rd  Beaverton, OR 97008-5861 </t>
  </si>
  <si>
    <t>19-43-24-c1-05579.0470</t>
  </si>
  <si>
    <t xml:space="preserve">4218 NE 17th Ave </t>
  </si>
  <si>
    <t xml:space="preserve">2102 NE 17th Ter </t>
  </si>
  <si>
    <t>Holiday Travel Park Rv Condo Ph 1 Or 1557 Pg 1583 Unit 355</t>
  </si>
  <si>
    <t>Lehigh Acres Unit 14 W Pt Blk 82 Pb 26 Pg 20 Lot 3</t>
  </si>
  <si>
    <t>Cypress Woods Rv Resort Ut 1 Pb 65 Pg 85 + 86 Blk A Lot 19</t>
  </si>
  <si>
    <t>07010-1279</t>
  </si>
  <si>
    <t>09-44-26-00-00006.0000</t>
  </si>
  <si>
    <t xml:space="preserve">D1b Alee  Thoiry, FR </t>
  </si>
  <si>
    <t>Peake</t>
  </si>
  <si>
    <t xml:space="preserve">64 Buchrainstrasse  Frankford, DE 60599 </t>
  </si>
  <si>
    <t xml:space="preserve">6330 Techster Blvd </t>
  </si>
  <si>
    <t>Jennifer</t>
  </si>
  <si>
    <t xml:space="preserve">1352 Burdette Ave  Cincinnati, OH 45206-1715 </t>
  </si>
  <si>
    <t xml:space="preserve">Po Box 115 </t>
  </si>
  <si>
    <t>Cape Coral Unit 85 Blk 5667 Pb 24 Pg 53 Lots 52 + 53</t>
  </si>
  <si>
    <t>Cape Coral Unit 36 Blk 2300A Pb 16 Pg 122 Lots 49 Thru 51</t>
  </si>
  <si>
    <t xml:space="preserve">4132 NE 19th Pl  Cape Coral, FL 33909 </t>
  </si>
  <si>
    <t>Gayan</t>
  </si>
  <si>
    <t>Lehigh Acres W1/2 Unit 13 Blk 76 Pb 26 Pg 18 Lots 3 + 4</t>
  </si>
  <si>
    <t>Tomas Escobar &amp; Sonia Amurrio</t>
  </si>
  <si>
    <t xml:space="preserve">4172 NE 9th Pl </t>
  </si>
  <si>
    <t>Psc 819 Box 1893R</t>
  </si>
  <si>
    <t>Stephane &amp; Florence Mas</t>
  </si>
  <si>
    <t>Elvin &amp; Beverly Burnham</t>
  </si>
  <si>
    <t>46140-8905</t>
  </si>
  <si>
    <t xml:space="preserve">1226 NE 5th Pl </t>
  </si>
  <si>
    <t>Cape Coral Unit 36 Blk 2333 Pb 16 Pg 130 Lots 43 + 44</t>
  </si>
  <si>
    <t xml:space="preserve">621 Diplomat Pkwy E  Cape Coral, FL 33909 </t>
  </si>
  <si>
    <t xml:space="preserve">3095 County Road 7160 </t>
  </si>
  <si>
    <t>Old Somerset</t>
  </si>
  <si>
    <t>48195-2583</t>
  </si>
  <si>
    <t xml:space="preserve">5100 White Sky Cir </t>
  </si>
  <si>
    <t>14514-9773</t>
  </si>
  <si>
    <t xml:space="preserve">376 Monterey Pl  Los Altos, CA 94022-2656 </t>
  </si>
  <si>
    <t xml:space="preserve">74 Regatta Cres </t>
  </si>
  <si>
    <t xml:space="preserve">1572 Alexandra Blvd </t>
  </si>
  <si>
    <t xml:space="preserve">602 Parkwood Dr </t>
  </si>
  <si>
    <t>David Tipton &amp; Lorrenda Simonton</t>
  </si>
  <si>
    <t xml:space="preserve">3129 Academy Blvd </t>
  </si>
  <si>
    <t>Johan Suyderhoud &amp; Kathleen Leavitt</t>
  </si>
  <si>
    <t>28-43-26-07-00000.0150</t>
  </si>
  <si>
    <t xml:space="preserve">7090 NW 179th St #102, Hialeah, FL 33015-5446 </t>
  </si>
  <si>
    <t xml:space="preserve">2109 NE 8th Pl </t>
  </si>
  <si>
    <t>33909-2763</t>
  </si>
  <si>
    <t>Cape Coral Unit 26 Blk 879 Pb 14 Pg 131 Lots 49 + 50</t>
  </si>
  <si>
    <t xml:space="preserve">2310 NE 20th Ave  Cape Coral, FL 33909 </t>
  </si>
  <si>
    <t>08-44-24-c1-01537.0190</t>
  </si>
  <si>
    <t>06-44-24-c2-02064.0520</t>
  </si>
  <si>
    <t xml:space="preserve">3721 NE 11th Pl </t>
  </si>
  <si>
    <t xml:space="preserve">1641 Linstead Dr  Lexington, KY 40504-2008 </t>
  </si>
  <si>
    <t xml:space="preserve">711 S Manlius St </t>
  </si>
  <si>
    <t xml:space="preserve">6025 Jadestone Ave  Fort Myers, FL 33905 </t>
  </si>
  <si>
    <t>Vytautas Sileika</t>
  </si>
  <si>
    <t>11-44-25-09-00000.1580</t>
  </si>
  <si>
    <t>33909-8409</t>
  </si>
  <si>
    <t xml:space="preserve">PO Box 2526  Waco, TX 76702-2526 </t>
  </si>
  <si>
    <t>Lynch</t>
  </si>
  <si>
    <t xml:space="preserve">309 NE 23rd St  Cape Coral, FL 33909 </t>
  </si>
  <si>
    <t>Desert Hollow</t>
  </si>
  <si>
    <t xml:space="preserve">2307 NE 6th Ave  Cape Coral, FL 33909 </t>
  </si>
  <si>
    <t xml:space="preserve">24 Freierstr  Vinton, CA 96135 </t>
  </si>
  <si>
    <t xml:space="preserve">2270 38th St  Astoria, NY 11105-1834 </t>
  </si>
  <si>
    <t>Brinton</t>
  </si>
  <si>
    <t xml:space="preserve">2937 NW 26th St </t>
  </si>
  <si>
    <t>Gruber David H Tr</t>
  </si>
  <si>
    <t>01-44-23-c1-02439.0420</t>
  </si>
  <si>
    <t>02893-3604</t>
  </si>
  <si>
    <t xml:space="preserve">457 NE Juanita Ct  Cape Coral, FL 33909 </t>
  </si>
  <si>
    <t>Cape Coral Unit 36 Blk 2300A Pb 16 Pg 125 Lot 52</t>
  </si>
  <si>
    <t>48054-1106</t>
  </si>
  <si>
    <t>Galo</t>
  </si>
  <si>
    <t xml:space="preserve">2317 NE 39th St  Cape Coral, FL 33909 </t>
  </si>
  <si>
    <t>43026-1124</t>
  </si>
  <si>
    <t xml:space="preserve">1219 SE 33rd St  Cape Coral, FL 33904 </t>
  </si>
  <si>
    <t>Vassilakos</t>
  </si>
  <si>
    <t xml:space="preserve">245 Kingsley Chase  Paducah, KY 42001-5907 </t>
  </si>
  <si>
    <t>Everglades</t>
  </si>
  <si>
    <t>C354</t>
  </si>
  <si>
    <t xml:space="preserve">12422 SW 193rd St </t>
  </si>
  <si>
    <t>Buckingham Pk Re Blk B U-4 Blk 22 Pb 27 Pg 192 Lot 1</t>
  </si>
  <si>
    <t>Cape Coral Unit 87 Blk 5687 Pb 24 Pg 83 Lots 11 + 12</t>
  </si>
  <si>
    <t xml:space="preserve">1573 Lakeside Dr </t>
  </si>
  <si>
    <t>33909-6213</t>
  </si>
  <si>
    <t>Cypress Trail Rv Resort As Desc In Inst# 2013000212499 Lot 255</t>
  </si>
  <si>
    <t>25-43-23-c1-02302.0150</t>
  </si>
  <si>
    <t xml:space="preserve">5192 Cypress Trail Resort Cir </t>
  </si>
  <si>
    <t xml:space="preserve">4422 Scott Ave  Fort Myers, FL 33905 </t>
  </si>
  <si>
    <t>Daniel &amp; Janet Leclair</t>
  </si>
  <si>
    <t>Cape Coral Unit 88 Blk 5798 Pb 24 Pg 137 Lots 62 + 63</t>
  </si>
  <si>
    <t>Amaya</t>
  </si>
  <si>
    <t>03-44-26-06-00029.0140</t>
  </si>
  <si>
    <t xml:space="preserve">Fritz Schroeder Ufer #38 </t>
  </si>
  <si>
    <t xml:space="preserve">3927 NE 22nd Pl </t>
  </si>
  <si>
    <t xml:space="preserve">6024 Langdon Ave </t>
  </si>
  <si>
    <t xml:space="preserve">Submerged  Fort Myers, FL 33908 </t>
  </si>
  <si>
    <t xml:space="preserve">676 Brimley Rd </t>
  </si>
  <si>
    <t xml:space="preserve">417 Broadway </t>
  </si>
  <si>
    <t>33935-5366</t>
  </si>
  <si>
    <t>Lora Ingraham</t>
  </si>
  <si>
    <t>Cape Coral Unit 35 Blk 2410 Pb 16 Pg 109 Lots 28 + 29</t>
  </si>
  <si>
    <t>Daniel &amp; Miheala Hanches</t>
  </si>
  <si>
    <t xml:space="preserve">41 Fair Oaks Dr </t>
  </si>
  <si>
    <t>20-43-24-c2-05641.0090</t>
  </si>
  <si>
    <t xml:space="preserve">21039 Hooded Crow Dr  Leesburg, VA 20175-7510 </t>
  </si>
  <si>
    <t>Lehigh Acres Unit 11 Blk 55 Pb 26 Pg 14 Lot 12</t>
  </si>
  <si>
    <t>19-43-24-c3-05619.0400</t>
  </si>
  <si>
    <t xml:space="preserve">818 NE 10th Ter  Cape Coral, FL 33909 </t>
  </si>
  <si>
    <t xml:space="preserve">1722 Fraser Dr </t>
  </si>
  <si>
    <t>Jean Naranjo</t>
  </si>
  <si>
    <t>Barbera</t>
  </si>
  <si>
    <t>Cape Coral Unit 88 Blk 5798 Pb 24 Pg 131 Lots 4 + 5</t>
  </si>
  <si>
    <t>30019-2137</t>
  </si>
  <si>
    <t>Janush</t>
  </si>
  <si>
    <t>Bertha Oshotse &amp; Estate American</t>
  </si>
  <si>
    <t>Ismayexil</t>
  </si>
  <si>
    <t>Gilbertsville</t>
  </si>
  <si>
    <t>19-43-24-c4-05553.0590</t>
  </si>
  <si>
    <t xml:space="preserve">560 Robert Ferrie Dr </t>
  </si>
  <si>
    <t>Cypress Woods Rv Resort Unit 4 Pb 79 Pgs 68-71 Blk D Lot 82</t>
  </si>
  <si>
    <t>Cape Coral Unit 31 Blk 2059 Pb 14 Pg 159 Lots 29 + 30</t>
  </si>
  <si>
    <t>Sefcovic</t>
  </si>
  <si>
    <t xml:space="preserve">2027 NE 17th Ave  Cape Coral, FL 33909 </t>
  </si>
  <si>
    <t>Gael Lippert</t>
  </si>
  <si>
    <t xml:space="preserve">35 S Baybrook Dr #415, Palatine, IL 60074-6450 </t>
  </si>
  <si>
    <t>03-44-26-14-00078.0060</t>
  </si>
  <si>
    <t>Cape Coral Unit 31 Blk 2039 Pb 14 Pg 158 Lots 27 Thru 29</t>
  </si>
  <si>
    <t>05-44-24-c4-03540.0420</t>
  </si>
  <si>
    <t>James &amp; Deborah Gwaltney</t>
  </si>
  <si>
    <t xml:space="preserve">3035 Norte Dame App 1103 </t>
  </si>
  <si>
    <t xml:space="preserve">1585 Mullet Ln  Naples, FL 34102-1518 </t>
  </si>
  <si>
    <t>Kiefemweg</t>
  </si>
  <si>
    <t>Bing</t>
  </si>
  <si>
    <t xml:space="preserve">26 Pheasant Crk </t>
  </si>
  <si>
    <t>Nob Hill</t>
  </si>
  <si>
    <t>Wickenheiser</t>
  </si>
  <si>
    <t>Camille Gucciardo</t>
  </si>
  <si>
    <t>Kevin &amp; Anthony Saturno</t>
  </si>
  <si>
    <t>Cypress Woods Rv Resort Ut 1 Pb 65 Pg 85 + 86 Blk B Lot 54</t>
  </si>
  <si>
    <t>33050-2473</t>
  </si>
  <si>
    <t>94706-1065</t>
  </si>
  <si>
    <t xml:space="preserve">1118 NE 7th Ave  Cape Coral, FL 33909 </t>
  </si>
  <si>
    <t>Rue De Riffi</t>
  </si>
  <si>
    <t>Cape Coral Unit 34 Blk 2417 Pb 16 Pg 75 Lots 51 + 52</t>
  </si>
  <si>
    <t xml:space="preserve">1025 NE 5th Pl  Cape Coral, FL 33909 </t>
  </si>
  <si>
    <t xml:space="preserve">2533 NE 20th Pl  Cape Coral, FL 33909 </t>
  </si>
  <si>
    <t>Cape Coral Unit 33 Blk.2258 Pb 16 Pg 59 Lots 1 + 2</t>
  </si>
  <si>
    <t xml:space="preserve">873 Ivory Rd SE </t>
  </si>
  <si>
    <t>Mintra Balram</t>
  </si>
  <si>
    <t>Lahav Raziel</t>
  </si>
  <si>
    <t>Larry Uteck</t>
  </si>
  <si>
    <t>Choctaw Lake</t>
  </si>
  <si>
    <t>Conshohocken</t>
  </si>
  <si>
    <t>02032-1404</t>
  </si>
  <si>
    <t>Holly Nydegger</t>
  </si>
  <si>
    <t xml:space="preserve">1301 NE 39th St </t>
  </si>
  <si>
    <t>18-43-24-c2-05732.0150</t>
  </si>
  <si>
    <t>Cape Coral Unit 88 Blk 5780 Pb 24 Pg 135 Lots 25 + 26</t>
  </si>
  <si>
    <t>Palm Springs</t>
  </si>
  <si>
    <t xml:space="preserve">34765 Gladstone Pl #100, Fremont, CA 94555-2422 </t>
  </si>
  <si>
    <t>Romulo</t>
  </si>
  <si>
    <t xml:space="preserve">3630 NE 11th Ave </t>
  </si>
  <si>
    <t xml:space="preserve">7825 Plantation Blvd  Miramar, FL 33023-2451 </t>
  </si>
  <si>
    <t>G</t>
  </si>
  <si>
    <t xml:space="preserve">3 Brewster Ave  Winthrop, MA 02152-2526 </t>
  </si>
  <si>
    <t>33-44-24-c1-01224.0120</t>
  </si>
  <si>
    <t>Mckee J Owen Tr</t>
  </si>
  <si>
    <t>Robert Ferris &amp; Barbara Kelly-Ferris</t>
  </si>
  <si>
    <t>Point Pleasant</t>
  </si>
  <si>
    <t>C104</t>
  </si>
  <si>
    <t>Cape Coral Unit 85 Blk 5648 Pb 24 Pg 56 Lots 42 + 43</t>
  </si>
  <si>
    <t>Cape Coral Unit 36 Blk 2354 Pb 16 Pg 122 Lot 23 + 24</t>
  </si>
  <si>
    <t>Cape Coral Unit 17 Blk 1535 Pb 14 Pg 35 Lots 4 + 5</t>
  </si>
  <si>
    <t xml:space="preserve">46 Hashahaf St </t>
  </si>
  <si>
    <t>Cape Coral Unit 88 Blk 5767 Pb 24 Pg 133 Lots 32 + 33</t>
  </si>
  <si>
    <t xml:space="preserve">2280 NW 74th Ave  Hollywood, FL 33024-1060 </t>
  </si>
  <si>
    <t>William &amp; Mary Mertz</t>
  </si>
  <si>
    <t xml:space="preserve">1611 SW 93rd Ct  Miami, FL 33165-7737 </t>
  </si>
  <si>
    <t>19-43-24-c2-05587.0330</t>
  </si>
  <si>
    <t>03-44-26-05-00025.0260</t>
  </si>
  <si>
    <t>Krug</t>
  </si>
  <si>
    <t>Satynand Boodrham</t>
  </si>
  <si>
    <t xml:space="preserve">309 NE 31st Ter  Cape Coral, FL 33909 </t>
  </si>
  <si>
    <t xml:space="preserve">8472 Bellecombe Rue Loc </t>
  </si>
  <si>
    <t>Cape Coral Unit 84 Blk.5591 Pb 24 Pg 41 Lots 1 + 2</t>
  </si>
  <si>
    <t>Goetz</t>
  </si>
  <si>
    <t xml:space="preserve">210 NE 15th Ter  Cape Coral, FL 33909 </t>
  </si>
  <si>
    <t>Cypress Trail Rv Resort Ph 3 As Desc In Inst# 2015000085552 Lot 219</t>
  </si>
  <si>
    <t xml:space="preserve">3570 NE 8th Pl </t>
  </si>
  <si>
    <t>Long Meadow</t>
  </si>
  <si>
    <t>Frederick Crack</t>
  </si>
  <si>
    <t xml:space="preserve">914 Manor Ln  Bay Shore, NY 11706-7512 </t>
  </si>
  <si>
    <t>Orzolick</t>
  </si>
  <si>
    <t>Wagster</t>
  </si>
  <si>
    <t>Mummert</t>
  </si>
  <si>
    <t xml:space="preserve">6581 Cedarwood Ave </t>
  </si>
  <si>
    <t xml:space="preserve">4211 NE 15th Pl </t>
  </si>
  <si>
    <t>Cape Coral Unit 33 Blk 2184 Pb 16 Pg 54 Lots 64 + 65</t>
  </si>
  <si>
    <t>18-43-24-c3-05713.0280</t>
  </si>
  <si>
    <t xml:space="preserve">8275 Wyandotte St E #308, Windsor, ON N8s 1T5 </t>
  </si>
  <si>
    <t xml:space="preserve">1505 NE 18th Ave  Cape Coral, FL 33909 </t>
  </si>
  <si>
    <t xml:space="preserve">3223 Aquia Dr </t>
  </si>
  <si>
    <t xml:space="preserve">235 Adams St 3a, Brooklyn, NY 11201-2875 </t>
  </si>
  <si>
    <t>33904-3250</t>
  </si>
  <si>
    <t>Michael Gallo</t>
  </si>
  <si>
    <t>Cairnryan</t>
  </si>
  <si>
    <t>Office 1301</t>
  </si>
  <si>
    <t>William &amp; Jeannette Fischer</t>
  </si>
  <si>
    <t xml:space="preserve">10220 Surfwood Ct  Fort Myers, FL 33905 </t>
  </si>
  <si>
    <t xml:space="preserve">26 Windmill Rd  New Fairfield, CT 06812-2915 </t>
  </si>
  <si>
    <t xml:space="preserve">Eichendorff #25, Hanhofen, DE 67374 </t>
  </si>
  <si>
    <t>05-44-24-c2-03519.0160</t>
  </si>
  <si>
    <t>33909-6840</t>
  </si>
  <si>
    <t>Wonderly-Smith</t>
  </si>
  <si>
    <t xml:space="preserve">18580 Ocean Mist Dr </t>
  </si>
  <si>
    <t xml:space="preserve">2735 NE 5th Ave </t>
  </si>
  <si>
    <t xml:space="preserve">204 Oak Crest Dr  Stoystown, PA 15563-7889 </t>
  </si>
  <si>
    <t>Long Beach</t>
  </si>
  <si>
    <t xml:space="preserve">170 Parkview Ln </t>
  </si>
  <si>
    <t xml:space="preserve">221 NE 13th Pl </t>
  </si>
  <si>
    <t xml:space="preserve">822 Kismet Pkwy E </t>
  </si>
  <si>
    <t>Kimon Theodore</t>
  </si>
  <si>
    <t xml:space="preserve">1242 SW Pine Island Rd #42, Cape Coral, FL 33991-2126 </t>
  </si>
  <si>
    <t xml:space="preserve">634 NE 8th St </t>
  </si>
  <si>
    <t>Cape Coral Unit 84 Blk 5558 Pb 24 Pg 32 Lots 5 + 6</t>
  </si>
  <si>
    <t xml:space="preserve">15801 Woods Chapel Rd  Kansas City, MO 64139-1264 </t>
  </si>
  <si>
    <t xml:space="preserve">3852 Hoffman St  Fort Myers, FL 33905 </t>
  </si>
  <si>
    <t>32-43-24-c4-02225.0160</t>
  </si>
  <si>
    <t xml:space="preserve">4840 Keely Ln  Attica, MI 48412-9364 </t>
  </si>
  <si>
    <t xml:space="preserve">801 Marlowe Rd  Cherry Hill, NJ 08003-1505 </t>
  </si>
  <si>
    <t xml:space="preserve">28 Seabreeze Dr </t>
  </si>
  <si>
    <t>Robert &amp; Anita Carey</t>
  </si>
  <si>
    <t>Perfect</t>
  </si>
  <si>
    <t>Billy</t>
  </si>
  <si>
    <t>Harry Schnett</t>
  </si>
  <si>
    <t>34473-8837</t>
  </si>
  <si>
    <t>Rosilina</t>
  </si>
  <si>
    <t xml:space="preserve">5212 Marsh Mallow Trl </t>
  </si>
  <si>
    <t xml:space="preserve">2013 NE 18th Ave  Cape Coral, FL 33909 </t>
  </si>
  <si>
    <t>15239-1204</t>
  </si>
  <si>
    <t>Arlington Pb 16 Pg 38-39 Lot 113</t>
  </si>
  <si>
    <t>Cape Coral Unit 36 Blk 2347 Pb 16 Pg 130 Lots 19 + 20</t>
  </si>
  <si>
    <t xml:space="preserve">102 NE 23rd St </t>
  </si>
  <si>
    <t>Wyoming</t>
  </si>
  <si>
    <t>Cape Coral Unit 33 Blk 2247 Pb 16 Pg 57 Lots 35 + 36</t>
  </si>
  <si>
    <t>33905-7638</t>
  </si>
  <si>
    <t xml:space="preserve">4719 SW 46th Way </t>
  </si>
  <si>
    <t>01-45-23-c2-00460.0250</t>
  </si>
  <si>
    <t xml:space="preserve">2712 NE 2nd Ave  Cape Coral, FL 33909 </t>
  </si>
  <si>
    <t>30096-3960</t>
  </si>
  <si>
    <t xml:space="preserve">3185 Riverside Dr  Ottawa, ON K1v 8N8 </t>
  </si>
  <si>
    <t>Cape Coral Unit 47 Pt 2 Blk 3536 Pb 23 Pg 119 Lots 5 + 6</t>
  </si>
  <si>
    <t>Klaus &amp; Sandra Hubrich</t>
  </si>
  <si>
    <t>Fortville</t>
  </si>
  <si>
    <t xml:space="preserve">1211 NE 19th Ave  Cape Coral, FL 33909 </t>
  </si>
  <si>
    <t>Sosta</t>
  </si>
  <si>
    <t>Wolf</t>
  </si>
  <si>
    <t xml:space="preserve">1348 Prince Dr  South Holland, IL 60473-1137 </t>
  </si>
  <si>
    <t xml:space="preserve">753 Flint Hill Rd  North Wilkesboro, NC 28659-9347 </t>
  </si>
  <si>
    <t xml:space="preserve">1194 Route De Delphingue </t>
  </si>
  <si>
    <t>Adalberto</t>
  </si>
  <si>
    <t xml:space="preserve">Po Box 363 </t>
  </si>
  <si>
    <t xml:space="preserve">5879 Burrwood Ct </t>
  </si>
  <si>
    <t>17-43-24-c4-05740.0070</t>
  </si>
  <si>
    <t xml:space="preserve">22087 49 Ave #112, Langley, BC V3a 0K4 </t>
  </si>
  <si>
    <t>Irar Trust Company</t>
  </si>
  <si>
    <t>Cape Coral Unit 11 Blk.564 Pb 13 Pg 44 Lot 1 + 2</t>
  </si>
  <si>
    <t>James &amp; Myhann Hulse</t>
  </si>
  <si>
    <t>American &amp; Belinda Rosas</t>
  </si>
  <si>
    <t>La Crescenta-Montrose</t>
  </si>
  <si>
    <t>33909-4469</t>
  </si>
  <si>
    <t xml:space="preserve">3705 Stagg Ct </t>
  </si>
  <si>
    <t>Subd.Of S 1/2 Sec 4 44 25 Blk.1 Pb 1 Pg 53 Beg At W Cor Lot 18 Th</t>
  </si>
  <si>
    <t>Ken &amp; Elenor Chan</t>
  </si>
  <si>
    <t>Nelly &amp; For Navarro</t>
  </si>
  <si>
    <t xml:space="preserve">1415 W Stratford Rd  Avon Park, FL 33825-9570 </t>
  </si>
  <si>
    <t xml:space="preserve">7 Hanover Ln </t>
  </si>
  <si>
    <t>Cape Coral Unit 34 Blk 2419 Pb 16 Pg 76 Lots 69 + 70</t>
  </si>
  <si>
    <t>55417-3014</t>
  </si>
  <si>
    <t>Oda &amp; Dagart Allison</t>
  </si>
  <si>
    <t>Zhao</t>
  </si>
  <si>
    <t>Mcgovern</t>
  </si>
  <si>
    <t xml:space="preserve">326 Magothy Rd #326, Severna Park, MD 21146-4203 </t>
  </si>
  <si>
    <t>Cape Coral Unit 34 Blk 2461 Pb 16 Pg 84 Lots 48 Thru 50</t>
  </si>
  <si>
    <t>Coral Lakes Tract 3 Replat Block 7060 Lot 72 As Desc In Inst 2021000420375</t>
  </si>
  <si>
    <t xml:space="preserve">263 Canal Dr NE  Ocean Shores, WA 98569-9759 </t>
  </si>
  <si>
    <t>Caro</t>
  </si>
  <si>
    <t>Clayton</t>
  </si>
  <si>
    <t xml:space="preserve">163 Heritage Cir #313, Oneonta, NY 13820-2694 </t>
  </si>
  <si>
    <t>Antonia Ford</t>
  </si>
  <si>
    <t>01-44-23-c2-02431.0180</t>
  </si>
  <si>
    <t xml:space="preserve">3621 NE 13th Ave </t>
  </si>
  <si>
    <t>18-43-24-c3-05584.0250</t>
  </si>
  <si>
    <t xml:space="preserve">1 International Pl </t>
  </si>
  <si>
    <t>19-43-24-c4-05564.0710</t>
  </si>
  <si>
    <t xml:space="preserve">418 Old Country Rd  Garden City, NY 11530-1820 </t>
  </si>
  <si>
    <t xml:space="preserve">15 Radburn Ln  Port Jefferson Station, NY 11776-1321 </t>
  </si>
  <si>
    <t>17036-8637</t>
  </si>
  <si>
    <t xml:space="preserve">6698 10th Ave N #222, Lake Worth, FL 33467-1957 </t>
  </si>
  <si>
    <t>Cape Coral Unit 32 Blk 2109 Pb 16 Pg 2 Lots 35 + 36</t>
  </si>
  <si>
    <t>Charles &amp; Michelle Kostner</t>
  </si>
  <si>
    <t>John Bare</t>
  </si>
  <si>
    <t>Marriottsville</t>
  </si>
  <si>
    <t>Steven Erdy</t>
  </si>
  <si>
    <t>Asril &amp; Margaret Bromley</t>
  </si>
  <si>
    <t>Route De Lagnes</t>
  </si>
  <si>
    <t xml:space="preserve">2133 NE 17th Ter </t>
  </si>
  <si>
    <t xml:space="preserve">228 Sunvalley Dr SE </t>
  </si>
  <si>
    <t xml:space="preserve">3441 NE 21st Pl </t>
  </si>
  <si>
    <t>19560-9706</t>
  </si>
  <si>
    <t>Richard &amp; Ramon Santana</t>
  </si>
  <si>
    <t>Cape Coral Unit 32 Blk.2149 Pb 16 Pg 11 Lots 16 + 17</t>
  </si>
  <si>
    <t xml:space="preserve">2729 NE 1st Pl  Cape Coral, FL 33909 </t>
  </si>
  <si>
    <t>Consuelo</t>
  </si>
  <si>
    <t>PO Box 405</t>
  </si>
  <si>
    <t xml:space="preserve">10067 Parkwood Dr </t>
  </si>
  <si>
    <t>33186-3005</t>
  </si>
  <si>
    <t>16-43-24-01-00000.1880</t>
  </si>
  <si>
    <t xml:space="preserve">416 Avenue Y  Brooklyn, NY 11223-5902 </t>
  </si>
  <si>
    <t>Laloum</t>
  </si>
  <si>
    <t>Jewett City</t>
  </si>
  <si>
    <t xml:space="preserve">353 Durand Falls Dr  Decatur, GA 30030-1019 </t>
  </si>
  <si>
    <t>36-43-23-c3-02146.0450</t>
  </si>
  <si>
    <t xml:space="preserve">242 Bradford Ave  Staten Island, NY 10309-3006 </t>
  </si>
  <si>
    <t>Mila</t>
  </si>
  <si>
    <t>Robert &amp; Tara Hensley</t>
  </si>
  <si>
    <t xml:space="preserve">228 E 23rd St </t>
  </si>
  <si>
    <t xml:space="preserve">2533 NE 19th Pl </t>
  </si>
  <si>
    <t>Mario Mirabal</t>
  </si>
  <si>
    <t>Ghaleb</t>
  </si>
  <si>
    <t xml:space="preserve">166 SE 26th Ter </t>
  </si>
  <si>
    <t>33909-3246</t>
  </si>
  <si>
    <t>Dean Yoder</t>
  </si>
  <si>
    <t>Wildflower</t>
  </si>
  <si>
    <t>Oscar Etheredge</t>
  </si>
  <si>
    <t xml:space="preserve">1333 NE 33rd St  Cape Coral, FL 33909 </t>
  </si>
  <si>
    <t xml:space="preserve">2359 NE 43rd Ln  Cape Coral, FL 33909 </t>
  </si>
  <si>
    <t>29-43-24-c3-02272.0160</t>
  </si>
  <si>
    <t>06-44-24-c2-02084.0610</t>
  </si>
  <si>
    <t xml:space="preserve">5203 Leith Pl </t>
  </si>
  <si>
    <t>James Nawrocki</t>
  </si>
  <si>
    <t>Rue Fosse A Boire</t>
  </si>
  <si>
    <t>Gilrace</t>
  </si>
  <si>
    <t>Cypress Trail Rv Resort Phase 4-A As Desc In Inst# 20160000135610 Lot 282</t>
  </si>
  <si>
    <t>Port St. Lucie</t>
  </si>
  <si>
    <t xml:space="preserve">2924 SE 20th Ave  Cape Coral, FL 33904 </t>
  </si>
  <si>
    <t xml:space="preserve">39377 Nautical Ln  Harrison Township, MI 48045-6050 </t>
  </si>
  <si>
    <t>Park Rapids</t>
  </si>
  <si>
    <t xml:space="preserve">470 Robert Foster Pasa </t>
  </si>
  <si>
    <t xml:space="preserve">2711 NE 1st Pl  Cape Coral, FL 33909 </t>
  </si>
  <si>
    <t>18-43-24-c3-05711.0190</t>
  </si>
  <si>
    <t>Naqvi</t>
  </si>
  <si>
    <t xml:space="preserve">13 Sullivan St  Cazenovia, NY 13035-1053 </t>
  </si>
  <si>
    <t>92126-4708</t>
  </si>
  <si>
    <t>Lehigh Acres Unit 11 Blk 59 Pb 26 Pg 14 Lot 2</t>
  </si>
  <si>
    <t>12-44-23-c3-03594.0150</t>
  </si>
  <si>
    <t>10301-1346</t>
  </si>
  <si>
    <t>Jerry Liefert</t>
  </si>
  <si>
    <t>16-44-26-08-00028.0110</t>
  </si>
  <si>
    <t>Long</t>
  </si>
  <si>
    <t>Flack</t>
  </si>
  <si>
    <t>Witzel</t>
  </si>
  <si>
    <t>Corners</t>
  </si>
  <si>
    <t xml:space="preserve">10052 Twin Lakes Dr 37-g, Coral Springs, FL 33071-5349 </t>
  </si>
  <si>
    <t xml:space="preserve">1608 S Gator Cir  Cape Coral, FL 33909 </t>
  </si>
  <si>
    <t>M9P 2K3</t>
  </si>
  <si>
    <t>Lydia</t>
  </si>
  <si>
    <t>03-44-26-05-00022.0120</t>
  </si>
  <si>
    <t>Po</t>
  </si>
  <si>
    <t xml:space="preserve">2491 Country View Ln #1321, Mckinney, TX 75069-7437 </t>
  </si>
  <si>
    <t xml:space="preserve">PO Box 107  New Holland, IL 62671 </t>
  </si>
  <si>
    <t>Cape Coral Unit 88 Blk 5807 Pb 24 Pg 138 Lots 3 + 4</t>
  </si>
  <si>
    <t xml:space="preserve">67 Cypress St  North Fort Myers, FL 33903 </t>
  </si>
  <si>
    <t>03-44-26-08-00035.0100</t>
  </si>
  <si>
    <t>33909-7377</t>
  </si>
  <si>
    <t>Fraley</t>
  </si>
  <si>
    <t>08230-1325</t>
  </si>
  <si>
    <t xml:space="preserve">2201 NE 9th Ave  Cape Coral, FL 33909 </t>
  </si>
  <si>
    <t>Zulmira</t>
  </si>
  <si>
    <t>63043-1352</t>
  </si>
  <si>
    <t>05-44-24-c1-03541.0210</t>
  </si>
  <si>
    <t>01-44-23-c3-02459.0090</t>
  </si>
  <si>
    <t>Jose &amp; Maria Pereira</t>
  </si>
  <si>
    <t>22554-2606</t>
  </si>
  <si>
    <t xml:space="preserve">50 Elm Ave #10, Long Beach, CA 90802-4916 </t>
  </si>
  <si>
    <t xml:space="preserve">19681 Summerlin Rd #127 </t>
  </si>
  <si>
    <t>Christopher &amp; Dayna Quillen</t>
  </si>
  <si>
    <t xml:space="preserve">1807 NE 2nd St </t>
  </si>
  <si>
    <t xml:space="preserve">827 NE 18th St  Cape Coral, FL 33909 </t>
  </si>
  <si>
    <t xml:space="preserve">6064 Kings Hwy S </t>
  </si>
  <si>
    <t>Gore</t>
  </si>
  <si>
    <t>25-43-23-c3-02355.0860</t>
  </si>
  <si>
    <t xml:space="preserve">1105 NE 15th Ter  Cape Coral, FL 33909 </t>
  </si>
  <si>
    <t xml:space="preserve">5325 Hidwell Pl  Apex, NC 27539-6217 </t>
  </si>
  <si>
    <t>32-44-24-c1-01205.0240</t>
  </si>
  <si>
    <t xml:space="preserve">1419 NE 16th Pl  Cape Coral, FL 33909 </t>
  </si>
  <si>
    <t>12n385</t>
  </si>
  <si>
    <t>33904-4272</t>
  </si>
  <si>
    <t xml:space="preserve">12836 Hunters Vista Blvd </t>
  </si>
  <si>
    <t>Vasil</t>
  </si>
  <si>
    <t xml:space="preserve">7 Rue Fosdse A Boire </t>
  </si>
  <si>
    <t>Antonio &amp; Carmen Vina</t>
  </si>
  <si>
    <t xml:space="preserve">5196 Cypress Trail Resort Cir  Fort Myers, FL 33905 </t>
  </si>
  <si>
    <t>33909-4704</t>
  </si>
  <si>
    <t xml:space="preserve">618 Jacaranda Pkwy E  Cape Coral, FL 33909 </t>
  </si>
  <si>
    <t>Vuletich Woods Karen Tr</t>
  </si>
  <si>
    <t>Cape Coral Unit 32 Blk 2168 Pb 16 Pg 8 Lots 7 + 8</t>
  </si>
  <si>
    <t>18-43-24-c1-05686.0070</t>
  </si>
  <si>
    <t>Cape Coral Unit 85 Blk 5650 Pb 24 Pg 57 Lot 58</t>
  </si>
  <si>
    <t xml:space="preserve">8002 Piney Branch Rd </t>
  </si>
  <si>
    <t>Cypress Trail Rv Resort Ph 3 As Desc In Inst# 2015000085552 Lot 59</t>
  </si>
  <si>
    <t>33909-4415</t>
  </si>
  <si>
    <t>19-43-24-c4-05566.0310</t>
  </si>
  <si>
    <t>Cape Coral Unit 33 Blk 2280 Pb 16 Pg 60 Lots 29 + 30</t>
  </si>
  <si>
    <t xml:space="preserve">8731/8733 Buckingham Rd  Fort Myers, FL 33905 </t>
  </si>
  <si>
    <t>Cape Coral Unit 36 Blk 2342 Pb 16 Pg 121 Lots 1 + 2</t>
  </si>
  <si>
    <t>James &amp; Sheri Peck</t>
  </si>
  <si>
    <t>33909-1649</t>
  </si>
  <si>
    <t>Buckingham Pk Re Blk B U-5 Blk 28 Pb 27 Pg 193 Lot 6</t>
  </si>
  <si>
    <t xml:space="preserve">Rua Manoel Rebelo Dos Santos </t>
  </si>
  <si>
    <t xml:space="preserve">510 Dubois Ave 4b </t>
  </si>
  <si>
    <t xml:space="preserve">5679 Bay Meadow Trl </t>
  </si>
  <si>
    <t>10306-3713</t>
  </si>
  <si>
    <t xml:space="preserve">80710 Cryderman Rd  Richmond, MI 48062-2073 </t>
  </si>
  <si>
    <t xml:space="preserve">13921 NW 19th St  Pembroke Pines, FL 33028-2810 </t>
  </si>
  <si>
    <t xml:space="preserve">2744 NE 6th Ave  Cape Coral, FL 33909 </t>
  </si>
  <si>
    <t>Cape Coral Unit 34 Blk 2436 Pb 16 Pg 85 Lots 59 + 60</t>
  </si>
  <si>
    <t>Cape Coral Unit 35 Blk 2393 Pb 16 Pg 111 Lots 20 + 21</t>
  </si>
  <si>
    <t>66223-3082</t>
  </si>
  <si>
    <t>Dizon</t>
  </si>
  <si>
    <t>David Chan</t>
  </si>
  <si>
    <t>Palmyra</t>
  </si>
  <si>
    <t>PO Box 1367</t>
  </si>
  <si>
    <t xml:space="preserve">3134 Averill Blvd </t>
  </si>
  <si>
    <t>Waterway Est Unit 2 Sec 2 Pb 17 Pg 132 Lot 172</t>
  </si>
  <si>
    <t>12-46-23-02-00000.0220</t>
  </si>
  <si>
    <t>Richard &amp; Lynn Olsen</t>
  </si>
  <si>
    <t>Parl In Nw 1/4 As Desc Or 1379 Pg 2156 Less 2.021A</t>
  </si>
  <si>
    <t>Canales</t>
  </si>
  <si>
    <t xml:space="preserve">6016 Tabor Ave </t>
  </si>
  <si>
    <t>07305-4818</t>
  </si>
  <si>
    <t xml:space="preserve">2516 NE 20th Ave </t>
  </si>
  <si>
    <t xml:space="preserve">6024 Juliet Ave </t>
  </si>
  <si>
    <t>PO Box 258</t>
  </si>
  <si>
    <t>01-44-23-c4-02413.0050</t>
  </si>
  <si>
    <t xml:space="preserve">1523 NE 33rd Ln </t>
  </si>
  <si>
    <t>Manolo &amp; Rosario Chavez</t>
  </si>
  <si>
    <t>04-44-25-13-00000.0040</t>
  </si>
  <si>
    <t xml:space="preserve">4019 NE 13th Pl  Cape Coral, FL 33909 </t>
  </si>
  <si>
    <t>Conner</t>
  </si>
  <si>
    <t>Cape Coral Unit 35 Blk 2369 Pb 16 Pg 104 Lots 24 + 25</t>
  </si>
  <si>
    <t>07-44-24-c3-01501.0040</t>
  </si>
  <si>
    <t>Kerrigan</t>
  </si>
  <si>
    <t>06-45-24-c4-00528.0690</t>
  </si>
  <si>
    <t>Alley 2</t>
  </si>
  <si>
    <t xml:space="preserve">3412 NE 19th Pl  Cape Coral, FL 33909 </t>
  </si>
  <si>
    <t>11520-3243</t>
  </si>
  <si>
    <t>11-44-25-11-00000.0500</t>
  </si>
  <si>
    <t xml:space="preserve">3718 NE 17th Ave </t>
  </si>
  <si>
    <t>33071-7325</t>
  </si>
  <si>
    <t xml:space="preserve">605 Malaga Ave </t>
  </si>
  <si>
    <t xml:space="preserve">1322 E 88th St </t>
  </si>
  <si>
    <t xml:space="preserve">7300 Lake Dr </t>
  </si>
  <si>
    <t xml:space="preserve">1738 NE 10th Ln  Cape Coral, FL 33909 </t>
  </si>
  <si>
    <t xml:space="preserve">1946 South Dr  Casselberry, FL 32707-4051 </t>
  </si>
  <si>
    <t xml:space="preserve">201 Norfolk St  Stratford, ON N5a 3Z1 </t>
  </si>
  <si>
    <t xml:space="preserve">5005 NW 193rd Ter </t>
  </si>
  <si>
    <t xml:space="preserve">600 Westward Dr </t>
  </si>
  <si>
    <t>Salk</t>
  </si>
  <si>
    <t xml:space="preserve">563 Ellis St  North Fort Myers, FL 33903 </t>
  </si>
  <si>
    <t>11413-1829</t>
  </si>
  <si>
    <t xml:space="preserve">4110 220th St SE  Bothell, WA 98021-7991 </t>
  </si>
  <si>
    <t xml:space="preserve">1705 Andalusia Blvd </t>
  </si>
  <si>
    <t>Sanjay Motilal &amp; Rinku Jain</t>
  </si>
  <si>
    <t xml:space="preserve">4343 Brest Rd  Newport, MI 48166-9616 </t>
  </si>
  <si>
    <t>Motor Inn</t>
  </si>
  <si>
    <t>01-45-23-c4-00849.0220</t>
  </si>
  <si>
    <t>Randolf Fonseca</t>
  </si>
  <si>
    <t xml:space="preserve">3761 NE 16th Pl  Cape Coral, FL 33909 </t>
  </si>
  <si>
    <t xml:space="preserve">2025 NE 39th Ter  Cape Coral, FL 33909 </t>
  </si>
  <si>
    <t xml:space="preserve">1406 NE 11th St </t>
  </si>
  <si>
    <t>Coconut</t>
  </si>
  <si>
    <t>Obrien</t>
  </si>
  <si>
    <t xml:space="preserve">1133 NE 2nd Ter  Cape Coral, FL 33909 </t>
  </si>
  <si>
    <t xml:space="preserve">6118 Kramer Ave  Fort Myers, FL 33905 </t>
  </si>
  <si>
    <t>98685-5203</t>
  </si>
  <si>
    <t xml:space="preserve">20 Towne Dr #320 </t>
  </si>
  <si>
    <t>Moya</t>
  </si>
  <si>
    <t>Cypress Woods Rv Resort Unit 4 Pb 79 Pgs 68-71 Blk D Lot 117</t>
  </si>
  <si>
    <t>33909-3295</t>
  </si>
  <si>
    <t>Charles Lee Boyles &amp; Charles Boyles</t>
  </si>
  <si>
    <t>25-43-23-c4-02306.0150</t>
  </si>
  <si>
    <t xml:space="preserve">135 SE 21st Ln  Cape Coral, FL 33990-4312 </t>
  </si>
  <si>
    <t>11-45-24-06-00029.0320</t>
  </si>
  <si>
    <t>85713-4384</t>
  </si>
  <si>
    <t>Gilbert</t>
  </si>
  <si>
    <t>Dan Oleary &amp; Martin Ronan</t>
  </si>
  <si>
    <t xml:space="preserve">6202 E B St </t>
  </si>
  <si>
    <t>Four Winds Revocable Living Trust</t>
  </si>
  <si>
    <t>53090-7501</t>
  </si>
  <si>
    <t>96th</t>
  </si>
  <si>
    <t>33909-7323</t>
  </si>
  <si>
    <t>Naples</t>
  </si>
  <si>
    <t>Dirk</t>
  </si>
  <si>
    <t xml:space="preserve">2434 Madison Dr  East Meadow, NY 11554-2605 </t>
  </si>
  <si>
    <t>Velasquez</t>
  </si>
  <si>
    <t xml:space="preserve">402 NE 31st Ter </t>
  </si>
  <si>
    <t>PO Box 1117</t>
  </si>
  <si>
    <t>Cape Coral Unit 33 Blk.2244 Pb 16 Pg 54 Lots 11 + 12</t>
  </si>
  <si>
    <t>Mooresville</t>
  </si>
  <si>
    <t xml:space="preserve">284 Marlowe Dr </t>
  </si>
  <si>
    <t xml:space="preserve">Po Box 71 </t>
  </si>
  <si>
    <t>Frederic</t>
  </si>
  <si>
    <t>Los Cerezos</t>
  </si>
  <si>
    <t>Un</t>
  </si>
  <si>
    <t>Joseph &amp; Michelle Carrozzi</t>
  </si>
  <si>
    <t>11-44-25-04-0000b.0450</t>
  </si>
  <si>
    <t>Nagamani Basava</t>
  </si>
  <si>
    <t>Cape Coral Unit 36 Blk 2314 Pb 16 Pg 123 Lot 44</t>
  </si>
  <si>
    <t>Cape Coral Unit 85 Blk 5641 Pb 24 Pg 54 Lots 9 + 10</t>
  </si>
  <si>
    <t xml:space="preserve">2744 NE 5th Pl </t>
  </si>
  <si>
    <t>Westerly</t>
  </si>
  <si>
    <t>Dyas</t>
  </si>
  <si>
    <t>Perla</t>
  </si>
  <si>
    <t>Michael &amp; For Antola</t>
  </si>
  <si>
    <t>Cape Coral Unit 35 Blk 2408 Pb 16 Pg 107 Lots 20 + 21</t>
  </si>
  <si>
    <t xml:space="preserve">12121 Palm Dr  Fort Myers, FL 33908 </t>
  </si>
  <si>
    <t>Lehigh Acres Unit 3 Blk 14 Pb 26 Pg 5 Lot 1</t>
  </si>
  <si>
    <t>12-44-23-c1-02398.0010</t>
  </si>
  <si>
    <t xml:space="preserve">3738 NE 16th Ave </t>
  </si>
  <si>
    <t>Kesone</t>
  </si>
  <si>
    <t>West Eslami &amp; For West</t>
  </si>
  <si>
    <t>Elizabethtown</t>
  </si>
  <si>
    <t>Cape Coral Unit 88 Blk 5814 Pb 24 Pg 139 Lots 23 + 24</t>
  </si>
  <si>
    <t xml:space="preserve">5224 Cypress Trail Resort Cir  Fort Myers, FL 33905 </t>
  </si>
  <si>
    <t xml:space="preserve">1318 NE 9th Ave </t>
  </si>
  <si>
    <t xml:space="preserve">2714 Angulo  Strasburg, OH 44680 </t>
  </si>
  <si>
    <t>33010-4823</t>
  </si>
  <si>
    <t xml:space="preserve">4420 NE 15th Ave  Cape Coral, FL 33909 </t>
  </si>
  <si>
    <t xml:space="preserve">7310 SW 170th Ter  Palmetto Bay, FL 33157-4885 </t>
  </si>
  <si>
    <t>Suzette</t>
  </si>
  <si>
    <t>12-45-23-c4-00215.0010</t>
  </si>
  <si>
    <t xml:space="preserve">1610 NE 33rd Ln </t>
  </si>
  <si>
    <t>Estelle</t>
  </si>
  <si>
    <t xml:space="preserve">3074 Saturn Cir  North Fort Myers, FL 33903 </t>
  </si>
  <si>
    <t>Cape Coral Unit 84 Blk 5588 Pb 24 Pg 45 Lots 7 + 8</t>
  </si>
  <si>
    <t>17-43-24-c1-05821.0350</t>
  </si>
  <si>
    <t xml:space="preserve">6008 Jonathan Ave </t>
  </si>
  <si>
    <t xml:space="preserve">2001 NE 44th Ter </t>
  </si>
  <si>
    <t xml:space="preserve">920 N Lakeside Dr 2c </t>
  </si>
  <si>
    <t>Angela Rengifo &amp; Sandra Molano</t>
  </si>
  <si>
    <t>Nellie</t>
  </si>
  <si>
    <t xml:space="preserve">9 NE 19th Ter </t>
  </si>
  <si>
    <t xml:space="preserve">1714 NE 33rd St </t>
  </si>
  <si>
    <t>Cape Coral Unit 88 Blk 5767 Pb 24 Pg 133 Lots 30 + 31</t>
  </si>
  <si>
    <t xml:space="preserve">249 NW 34th Ave  Miami, FL 33125-4930 </t>
  </si>
  <si>
    <t>Newburgh</t>
  </si>
  <si>
    <t xml:space="preserve">9901 Woodlawn Dr </t>
  </si>
  <si>
    <t>Phuong</t>
  </si>
  <si>
    <t>29707-5003</t>
  </si>
  <si>
    <t>19-43-24-c2-05590.0270</t>
  </si>
  <si>
    <t>33909-1306</t>
  </si>
  <si>
    <t xml:space="preserve">2025 NE 13th Ave  Cape Coral, FL 33909 </t>
  </si>
  <si>
    <t>Los Lunas</t>
  </si>
  <si>
    <t xml:space="preserve">1225 NE Juanita Pl  Cape Coral, FL 33909 </t>
  </si>
  <si>
    <t xml:space="preserve">2013 NE 20th Pl </t>
  </si>
  <si>
    <t xml:space="preserve">2031 SW 106th Ct </t>
  </si>
  <si>
    <t xml:space="preserve">1211 N Sugar Bend Run </t>
  </si>
  <si>
    <t>29-45-24-00-00003.0290</t>
  </si>
  <si>
    <t xml:space="preserve">1592 Osborn Ave </t>
  </si>
  <si>
    <t xml:space="preserve">3401 NE 12th Ave  Cape Coral, FL 33909 </t>
  </si>
  <si>
    <t>36-43-23-c3-02477.0290</t>
  </si>
  <si>
    <t>05-44-24-c1-03529.0050</t>
  </si>
  <si>
    <t>Vito Surdo</t>
  </si>
  <si>
    <t>Metzger Family Revocable Trust</t>
  </si>
  <si>
    <t>For Amin Trust</t>
  </si>
  <si>
    <t>Huegel</t>
  </si>
  <si>
    <t>33909-1698</t>
  </si>
  <si>
    <t>29-43-24-c4-02264.0410</t>
  </si>
  <si>
    <t xml:space="preserve">5537/5539 Third Ave </t>
  </si>
  <si>
    <t xml:space="preserve">6024 Juliet Ave  Fort Myers, FL 33905 </t>
  </si>
  <si>
    <t>Lehigh Acres Unit 11 Blk 56 Pb 26 Pg 14 Lot 8</t>
  </si>
  <si>
    <t>Michelle Klupp</t>
  </si>
  <si>
    <t xml:space="preserve">422 Dickinson Rd </t>
  </si>
  <si>
    <t xml:space="preserve">1702 NE 26th Ter </t>
  </si>
  <si>
    <t>N8368</t>
  </si>
  <si>
    <t xml:space="preserve">137 Pago Pago Dr E </t>
  </si>
  <si>
    <t>25-43-23-c2-02346.0210</t>
  </si>
  <si>
    <t>Edward &amp; Kathleen Willingham</t>
  </si>
  <si>
    <t xml:space="preserve">410 S Reseda  Mesa, AZ 85206-5051 </t>
  </si>
  <si>
    <t>Cape Coral Unit 34 Blk 2438 Pb 16 Pg 81 Lots 67 + 68</t>
  </si>
  <si>
    <t>Sattar</t>
  </si>
  <si>
    <t xml:space="preserve">3 Brewster Ave </t>
  </si>
  <si>
    <t>Diana Tramontana</t>
  </si>
  <si>
    <t>Sigrid</t>
  </si>
  <si>
    <t>33909-8884</t>
  </si>
  <si>
    <t>01609-1045</t>
  </si>
  <si>
    <t>Norwalk</t>
  </si>
  <si>
    <t>Mulan</t>
  </si>
  <si>
    <t>Hector</t>
  </si>
  <si>
    <t>Sheyenne</t>
  </si>
  <si>
    <t>Jyoti</t>
  </si>
  <si>
    <t>Stony Point</t>
  </si>
  <si>
    <t xml:space="preserve">11 Neptune Dr </t>
  </si>
  <si>
    <t xml:space="preserve">3500 Frost Rd  Shrub Oak, NY 10588-2000 </t>
  </si>
  <si>
    <t>33496-2615</t>
  </si>
  <si>
    <t>Rest</t>
  </si>
  <si>
    <t>Norris</t>
  </si>
  <si>
    <t>Juergen</t>
  </si>
  <si>
    <t>St. Peters</t>
  </si>
  <si>
    <t>Maria Vonlippke</t>
  </si>
  <si>
    <t xml:space="preserve">1206 NE 19th Ave </t>
  </si>
  <si>
    <t>19-43-24-c2-05591.0070</t>
  </si>
  <si>
    <t xml:space="preserve">18535 Fogel Rd </t>
  </si>
  <si>
    <t xml:space="preserve">3450 NE 10th Pl </t>
  </si>
  <si>
    <t>Jaggers</t>
  </si>
  <si>
    <t>Parcell</t>
  </si>
  <si>
    <t>For Nicoli Family Trust</t>
  </si>
  <si>
    <t xml:space="preserve">11649 Cozumel St  Cypress, CA 90630-5633 </t>
  </si>
  <si>
    <t>Albert Stewart</t>
  </si>
  <si>
    <t>North Massapequa</t>
  </si>
  <si>
    <t>19-43-24-c3-05613.0850</t>
  </si>
  <si>
    <t>Cavounis</t>
  </si>
  <si>
    <t>33909-3241</t>
  </si>
  <si>
    <t>Sylvain</t>
  </si>
  <si>
    <t>Lois &amp; Demetrios Fricke</t>
  </si>
  <si>
    <t>Leone</t>
  </si>
  <si>
    <t>Cape Coral Unit 85 Blk 5659 Pb 24 Pg 58 Lots 3 + 4</t>
  </si>
  <si>
    <t>Ulrike</t>
  </si>
  <si>
    <t xml:space="preserve">1623 NE 36th Ln  Cape Coral, FL 33909 </t>
  </si>
  <si>
    <t xml:space="preserve">2401 NE 19th Pl </t>
  </si>
  <si>
    <t xml:space="preserve">105 NE 8th Ter  Cape Coral, FL 33909 </t>
  </si>
  <si>
    <t>Av St Zacharie Temps</t>
  </si>
  <si>
    <t xml:space="preserve">16060 Cook Rd  Fort Myers, FL 33908 </t>
  </si>
  <si>
    <t>Napoleon &amp; Ana Lopez</t>
  </si>
  <si>
    <t>Granite Hill</t>
  </si>
  <si>
    <t xml:space="preserve">1408 NE 33rd St </t>
  </si>
  <si>
    <t>Cape Coral Unit 33 Blk 2187 Pb 16 Pg 48 Lots 31 + 32</t>
  </si>
  <si>
    <t>Concession Oak</t>
  </si>
  <si>
    <t xml:space="preserve">156 Merryknoll Rd  North Weymouth, MA 02191-2021 </t>
  </si>
  <si>
    <t xml:space="preserve">4171 Saltwater Blvd </t>
  </si>
  <si>
    <t>33905-7775</t>
  </si>
  <si>
    <t>Sauvageau</t>
  </si>
  <si>
    <t>91387-2144</t>
  </si>
  <si>
    <t xml:space="preserve">15026 Crystal Beach Ln  Frisco, TX 75035-3660 </t>
  </si>
  <si>
    <t>36-43-23-c2-02530.0420</t>
  </si>
  <si>
    <t xml:space="preserve">2740 NE 7th Ave  Cape Coral, FL 33909 </t>
  </si>
  <si>
    <t xml:space="preserve">68 E 1st St  Freeport, NY 11520-5735 </t>
  </si>
  <si>
    <t xml:space="preserve">11923 SW 12th Ter  Miami, FL 33184-2401 </t>
  </si>
  <si>
    <t>Villar</t>
  </si>
  <si>
    <t xml:space="preserve">5275 Cypress Trail Resort Cir </t>
  </si>
  <si>
    <t xml:space="preserve">PO Box 254  Bemidji, MN 56619 </t>
  </si>
  <si>
    <t>John Giraldo</t>
  </si>
  <si>
    <t>Bonewitz</t>
  </si>
  <si>
    <t xml:space="preserve">909 NE 15th Ln  Cape Coral, FL 33909 </t>
  </si>
  <si>
    <t>Marcia Fernandez</t>
  </si>
  <si>
    <t>Lemieux</t>
  </si>
  <si>
    <t>33909-4214</t>
  </si>
  <si>
    <t xml:space="preserve">2321 NE 19th Pl  Cape Coral, FL 33909 </t>
  </si>
  <si>
    <t>Tucson</t>
  </si>
  <si>
    <t>Woodbridge</t>
  </si>
  <si>
    <t>Retreat Kanaskat</t>
  </si>
  <si>
    <t>Les Sauqueux</t>
  </si>
  <si>
    <t>Buckingham Pk Re Blk B U-5 Blk 24 Pb 27 Pg 193 Lot 19</t>
  </si>
  <si>
    <t xml:space="preserve">8902 Chilliwack Dr </t>
  </si>
  <si>
    <t>Equity &amp; Love Cary</t>
  </si>
  <si>
    <t xml:space="preserve">2719 NE 5th Pl </t>
  </si>
  <si>
    <t>Michele Devine &amp; For Humphfrey</t>
  </si>
  <si>
    <t>John &amp; Josemyre Tanis</t>
  </si>
  <si>
    <t>36-44-23-c2-00900.0030</t>
  </si>
  <si>
    <t>PO Box 1166</t>
  </si>
  <si>
    <t xml:space="preserve">246 Conifer Ln  Max Meadows, VA 24360-3232 </t>
  </si>
  <si>
    <t>Brieanne</t>
  </si>
  <si>
    <t>Kevin Thomas</t>
  </si>
  <si>
    <t>East Hartford</t>
  </si>
  <si>
    <t xml:space="preserve">1008 NE 32nd Ter  Cape Coral, FL 33909 </t>
  </si>
  <si>
    <t xml:space="preserve">105 S Main St  Romeo, MI 48065-5125 </t>
  </si>
  <si>
    <t xml:space="preserve">1105 Colts Cir  Lawrence Township, NJ 08648-3266 </t>
  </si>
  <si>
    <t>33905-2132</t>
  </si>
  <si>
    <t xml:space="preserve">12232 SW 122nd Ct  Miami, FL 33186-9026 </t>
  </si>
  <si>
    <t>Patricia Kern &amp; Donald Mcentyre</t>
  </si>
  <si>
    <t>Calvillo</t>
  </si>
  <si>
    <t>Cape Coral Unit 46 Blk 3594 Pb 17 Pg 124 Lots 15 + 16</t>
  </si>
  <si>
    <t>Cape Coral Unit 34 Blk 2447 Pb 16 Pg 84 Lots 64 + 65</t>
  </si>
  <si>
    <t>Buckingham Pk Re Blk B U-4 Blk 23 Pb 27 Pg 192 Lot 4</t>
  </si>
  <si>
    <t xml:space="preserve">45 Park Ter W 4g </t>
  </si>
  <si>
    <t xml:space="preserve">4128 NW 88th Ave #205 </t>
  </si>
  <si>
    <t>Inwood</t>
  </si>
  <si>
    <t xml:space="preserve">4402 NE 21st Ave </t>
  </si>
  <si>
    <t>Cape Coral Unit 36 Blk 2340 Pb 16 Pg 124 Lots 57 + 58</t>
  </si>
  <si>
    <t xml:space="preserve">1117 Acorn Dr </t>
  </si>
  <si>
    <t>E G E &amp; Luningning Regalado</t>
  </si>
  <si>
    <t xml:space="preserve">2113 NE 25th Ter </t>
  </si>
  <si>
    <t xml:space="preserve">213 Avacado Ct </t>
  </si>
  <si>
    <t>Brooke Vista</t>
  </si>
  <si>
    <t>33909-1933</t>
  </si>
  <si>
    <t xml:space="preserve">1313 NE 33rd Ter </t>
  </si>
  <si>
    <t>Cypress Trail Rv Resort Ph 3 As Desc In Inst# 2015000085552 Lot 54</t>
  </si>
  <si>
    <t>Jesselyn Long</t>
  </si>
  <si>
    <t>33907-1505</t>
  </si>
  <si>
    <t xml:space="preserve">110 NE 11th Ln </t>
  </si>
  <si>
    <t>Kauser</t>
  </si>
  <si>
    <t xml:space="preserve">439 NE 2nd Ave  Cape Coral, FL 33909 </t>
  </si>
  <si>
    <t xml:space="preserve">4320 Connection Ave </t>
  </si>
  <si>
    <t xml:space="preserve">6020 Tabor Ave  Fort Myers, FL 33905 </t>
  </si>
  <si>
    <t>Paulette</t>
  </si>
  <si>
    <t xml:space="preserve">1902 NE 23rd Pl </t>
  </si>
  <si>
    <t xml:space="preserve">4313 Garden Blvd  Cape Coral, FL 33909 </t>
  </si>
  <si>
    <t>11-44-25-09-00000.0750</t>
  </si>
  <si>
    <t xml:space="preserve">244 S Hunt St  Sharon, TN 38255-4030 </t>
  </si>
  <si>
    <t>17-43-24-c1-05779.0150</t>
  </si>
  <si>
    <t xml:space="preserve">251 Hill St </t>
  </si>
  <si>
    <t>Bonnie</t>
  </si>
  <si>
    <t>33909-1644</t>
  </si>
  <si>
    <t>Marianne Lamar Trust</t>
  </si>
  <si>
    <t>55731-8293</t>
  </si>
  <si>
    <t>Bowling</t>
  </si>
  <si>
    <t>Montemayor</t>
  </si>
  <si>
    <t>60515-3245</t>
  </si>
  <si>
    <t>33462-6141</t>
  </si>
  <si>
    <t>Russell Park Blk 3 Pb 8 Pg 36 Lots 76 + 82 Thru 84+ Vac Adj River</t>
  </si>
  <si>
    <t>Cape Coral Unit 36 Blk 2547 Pb 16 Pg 116 Lots 12 + 13</t>
  </si>
  <si>
    <t>32-43-24-c1-02179.0010</t>
  </si>
  <si>
    <t>Cape Coral Umit 36 Blk 2349 Pb 16 Pg 128 Lots 69 + 70</t>
  </si>
  <si>
    <t xml:space="preserve">10086 Parkwood Dr  Fort Myers, FL 33905 </t>
  </si>
  <si>
    <t>Cypress Trail Rv Resort As Desc In Inst# 2013000212499 Lot 191</t>
  </si>
  <si>
    <t xml:space="preserve">4071 Liberty Hill Dr </t>
  </si>
  <si>
    <t xml:space="preserve">12710 Treeline Ct  North Fort Myers, FL 33903 </t>
  </si>
  <si>
    <t>33909-3383</t>
  </si>
  <si>
    <t>Allee Des Foulons</t>
  </si>
  <si>
    <t>Bahnhof</t>
  </si>
  <si>
    <t>36-43-23-c2-02533.0070</t>
  </si>
  <si>
    <t>33909-8830</t>
  </si>
  <si>
    <t xml:space="preserve">4120 NE 21st Ave </t>
  </si>
  <si>
    <t>18-43-24-c4-05701.0350</t>
  </si>
  <si>
    <t>Cape Coral Unit 87 Blk 5686 Pb 24 Pg 82 Lots 23 + 24</t>
  </si>
  <si>
    <t xml:space="preserve">1821 SW 24th Ter  Miami, FL 33145-3837 </t>
  </si>
  <si>
    <t>Tara</t>
  </si>
  <si>
    <t xml:space="preserve">704 Draper Rd SW </t>
  </si>
  <si>
    <t>R029</t>
  </si>
  <si>
    <t>12-44-23-c1-02370.0520</t>
  </si>
  <si>
    <t>Painted Sky</t>
  </si>
  <si>
    <t>Cape Coral Unit 33 Blk 2194 Pb 16 Pg 50 Lots 5 + 6</t>
  </si>
  <si>
    <t>Daniela Trippel</t>
  </si>
  <si>
    <t>33431-5416</t>
  </si>
  <si>
    <t>Cape Coral Unit 85 Blk 5646 Pb 24 Pg 55 Lot 34</t>
  </si>
  <si>
    <t xml:space="preserve">1031 NE 33rd Ter </t>
  </si>
  <si>
    <t>Ken Legall &amp; Cheryl Legall-Moore</t>
  </si>
  <si>
    <t>23454-2485</t>
  </si>
  <si>
    <t>Lehigh Acres Unit 13 W 1/2 Blk 74 Pb 26 Pg 18 Lot 5</t>
  </si>
  <si>
    <t>44077-5533</t>
  </si>
  <si>
    <t>Parra</t>
  </si>
  <si>
    <t>Hermantown</t>
  </si>
  <si>
    <t>19064-3908</t>
  </si>
  <si>
    <t>12-45-23-c2-00278.0300</t>
  </si>
  <si>
    <t>Cape Coral Unit 15 Blk.421 Pb 13 Pg 75 Lots 47 + 48</t>
  </si>
  <si>
    <t xml:space="preserve">9241 Buckingham Rd  Fort Myers, FL 33905 </t>
  </si>
  <si>
    <t>Olson Mary E Tr</t>
  </si>
  <si>
    <t>36-43-23-c4-02513.0340</t>
  </si>
  <si>
    <t xml:space="preserve">5032 Jericho Ave  North Port, FL 34288-8427 </t>
  </si>
  <si>
    <t>Lerew</t>
  </si>
  <si>
    <t xml:space="preserve">713 NE 19th Ter </t>
  </si>
  <si>
    <t xml:space="preserve">8608 E Gail Rd </t>
  </si>
  <si>
    <t>Stacey</t>
  </si>
  <si>
    <t xml:space="preserve">71 Camelot Dr  Huntington, WV 25701-5302 </t>
  </si>
  <si>
    <t>60017-2357</t>
  </si>
  <si>
    <t xml:space="preserve">621 Meadowvale Ln </t>
  </si>
  <si>
    <t>Phyliss</t>
  </si>
  <si>
    <t>Cape Coral Unit 34 Blk 2444 Pb 16 Pg 75 Lots 56 57 + 58</t>
  </si>
  <si>
    <t xml:space="preserve">14 Ellingwood Crt  Markham, ON L3r 8A8 </t>
  </si>
  <si>
    <t xml:space="preserve">10170 Shadowood Ct </t>
  </si>
  <si>
    <t xml:space="preserve">3114 SE 19th Ave  Cape Coral, FL 33904 </t>
  </si>
  <si>
    <t xml:space="preserve">2217 Kismet Pkwy E  Cape Coral, FL 33909 </t>
  </si>
  <si>
    <t xml:space="preserve">PO Box 19332  San Juan, PR 00910-1332 </t>
  </si>
  <si>
    <t>Connection</t>
  </si>
  <si>
    <t xml:space="preserve">922 SE 43rd St </t>
  </si>
  <si>
    <t>14094-9696</t>
  </si>
  <si>
    <t>Dania Beach</t>
  </si>
  <si>
    <t xml:space="preserve">1422 NE 1st Pl  Cape Coral, FL 33909 </t>
  </si>
  <si>
    <t>Grosse Pointe Farms</t>
  </si>
  <si>
    <t>01-44-23-c1-02461.0400</t>
  </si>
  <si>
    <t>33905-7721</t>
  </si>
  <si>
    <t>Lenette Carle</t>
  </si>
  <si>
    <t>Cape Coral Unit 36 Pt 1 Blk 2485 Pb 23 Pg 89 Lots 15 + 16</t>
  </si>
  <si>
    <t>05-44-24-c1-03532.0230</t>
  </si>
  <si>
    <t>14078th st</t>
  </si>
  <si>
    <t xml:space="preserve">1650 Pangola Dr </t>
  </si>
  <si>
    <t>NO</t>
  </si>
  <si>
    <t>33012-1603</t>
  </si>
  <si>
    <t xml:space="preserve">36 Longview Rd  York, PA 17406-3039 </t>
  </si>
  <si>
    <t>06-44-24-c2-02062.0170</t>
  </si>
  <si>
    <t>33909-6459</t>
  </si>
  <si>
    <t xml:space="preserve">1064 San Juan </t>
  </si>
  <si>
    <t>01-44-23-c4-02417.0530</t>
  </si>
  <si>
    <t>Cape Coral Unit 87 Blk 5703 Pb 24 Pg 72 Lots 9 + 10</t>
  </si>
  <si>
    <t xml:space="preserve">3010 Wycliff Dr SE  Grand Rapids, MI 49546-7335 </t>
  </si>
  <si>
    <t>34-43-26-l3-10lkc.3f00</t>
  </si>
  <si>
    <t xml:space="preserve">12401 River Rd  Fort Myers, FL 33905 </t>
  </si>
  <si>
    <t xml:space="preserve">6423 Fairbanks St </t>
  </si>
  <si>
    <t>Ramon &amp; Maria Torres</t>
  </si>
  <si>
    <t>Arlene Garrett</t>
  </si>
  <si>
    <t>Barbara Gould</t>
  </si>
  <si>
    <t xml:space="preserve">244 Cherry Ln #1, Somerset, PA 15501-2301 </t>
  </si>
  <si>
    <t xml:space="preserve">5102 Cypress Trail Resort Cir </t>
  </si>
  <si>
    <t>Hakala</t>
  </si>
  <si>
    <t xml:space="preserve">14801 Lynhodge Ct  Centreville, VA 20120-1863 </t>
  </si>
  <si>
    <t>33909-4552</t>
  </si>
  <si>
    <t>31-43-24-c3-02119.0270</t>
  </si>
  <si>
    <t>Gaetano &amp; Filippa Vella</t>
  </si>
  <si>
    <t>33909-1105</t>
  </si>
  <si>
    <t xml:space="preserve">8 Powelton Rd  Newburgh, NY 12550-2217 </t>
  </si>
  <si>
    <t>Sharon Dasilva</t>
  </si>
  <si>
    <t>11423-1741</t>
  </si>
  <si>
    <t xml:space="preserve">3887 37th St </t>
  </si>
  <si>
    <t>33905-4377</t>
  </si>
  <si>
    <t xml:space="preserve">10221 Surfwood Ct  Fort Myers, FL 33905 </t>
  </si>
  <si>
    <t>Mcmahon Michael Christopher Tr</t>
  </si>
  <si>
    <t xml:space="preserve">2324 NE 34th Ter  Cape Coral, FL 33909 </t>
  </si>
  <si>
    <t>33614-4123</t>
  </si>
  <si>
    <t>Lehigh Acres Unit 12 Blk 62 Pb 26 Pg 15 Lot 8</t>
  </si>
  <si>
    <t>Adriana Vivo</t>
  </si>
  <si>
    <t>33909-4263</t>
  </si>
  <si>
    <t xml:space="preserve">Po Box 461300 </t>
  </si>
  <si>
    <t xml:space="preserve">3540 NE 18th Ave  Cape Coral, FL 33909 </t>
  </si>
  <si>
    <t xml:space="preserve">PO Box 205  Stillwater, NY 12170 </t>
  </si>
  <si>
    <t xml:space="preserve">1033 NE 15th Ter  Cape Coral, FL 33909 </t>
  </si>
  <si>
    <t xml:space="preserve">4364 Stone Ridge Dr #1 </t>
  </si>
  <si>
    <t xml:space="preserve">2189 Calgary Ln  Concord, CA 94520-1417 </t>
  </si>
  <si>
    <t xml:space="preserve">2622 NE 2nd Pl </t>
  </si>
  <si>
    <t xml:space="preserve">1416 Durden Pkwy </t>
  </si>
  <si>
    <t>32-43-24-c4-02227.0300</t>
  </si>
  <si>
    <t xml:space="preserve">3715 Kelsey St </t>
  </si>
  <si>
    <t xml:space="preserve">7707 S Sparkman St  Tampa, FL 33616-2149 </t>
  </si>
  <si>
    <t>Caridad</t>
  </si>
  <si>
    <t xml:space="preserve">3859 Heyburn St </t>
  </si>
  <si>
    <t xml:space="preserve">5215 Pineland Daisy Trl </t>
  </si>
  <si>
    <t>33411-2305</t>
  </si>
  <si>
    <t xml:space="preserve">18086 Pioneer Rd  Fort Myers, FL 33908 </t>
  </si>
  <si>
    <t xml:space="preserve">421 NE 19th Ter  Cape Coral, FL 33909 </t>
  </si>
  <si>
    <t xml:space="preserve">2104 NE 27th Ter </t>
  </si>
  <si>
    <t xml:space="preserve">1527 NE 33rd Ln </t>
  </si>
  <si>
    <t xml:space="preserve">1205 S Ridge Rd  Lantana, FL 33462-6141 </t>
  </si>
  <si>
    <t>18-43-24-c3-05742.0400</t>
  </si>
  <si>
    <t xml:space="preserve">8131 Pecan Ter  Tobyhanna, PA 18466-7971 </t>
  </si>
  <si>
    <t xml:space="preserve">913 NE 5th Ave </t>
  </si>
  <si>
    <t xml:space="preserve">1529 S Gator Cir  Cape Coral, FL 33909 </t>
  </si>
  <si>
    <t>46038-2546</t>
  </si>
  <si>
    <t xml:space="preserve">1111 NE 18th Ave </t>
  </si>
  <si>
    <t xml:space="preserve">14910 Williams St  Thornton, CO 80602-7394 </t>
  </si>
  <si>
    <t>11-44-25-l1-1400a.1210</t>
  </si>
  <si>
    <t>J W J &amp; Mary Vance</t>
  </si>
  <si>
    <t xml:space="preserve">1655 Sterling Dr </t>
  </si>
  <si>
    <t>19-43-24-c2-05599.0490</t>
  </si>
  <si>
    <t xml:space="preserve">1211 Everest Pkwy  Cape Coral, FL 33904 </t>
  </si>
  <si>
    <t>Consejo</t>
  </si>
  <si>
    <t>Abner</t>
  </si>
  <si>
    <t>33909-5236</t>
  </si>
  <si>
    <t>Adriana Ramos</t>
  </si>
  <si>
    <t>06053-1905</t>
  </si>
  <si>
    <t>33114-9020</t>
  </si>
  <si>
    <t>33904-7485</t>
  </si>
  <si>
    <t>Gerger</t>
  </si>
  <si>
    <t>Cypress Woods Rv Resort Un 3 Desc In Pb 72 Pgs 92-95 Blk C Lot 65</t>
  </si>
  <si>
    <t xml:space="preserve">156 Charles St  Fort Myers, FL 33905-2608 </t>
  </si>
  <si>
    <t>Waterford</t>
  </si>
  <si>
    <t>33909-1982</t>
  </si>
  <si>
    <t>Flat Rock</t>
  </si>
  <si>
    <t>Maria Torres</t>
  </si>
  <si>
    <t>03-44-26-12-00066.0120</t>
  </si>
  <si>
    <t>Lehigh Acres Unit 8 Blk 35 Pb 26 Pg 10 Lot 12</t>
  </si>
  <si>
    <t>Cape Coral Unit 84 Blk 5587 Pb 24 Pg 48 Lots 53 + 54</t>
  </si>
  <si>
    <t>Louis S Kibsgard Trust</t>
  </si>
  <si>
    <t>Deakin</t>
  </si>
  <si>
    <t xml:space="preserve">15384 George Washington  Saluda, VA 23149 </t>
  </si>
  <si>
    <t xml:space="preserve">2924 NE 7th Pl  Cape Coral, FL 33909 </t>
  </si>
  <si>
    <t>11-44-25-06-0000d.0660</t>
  </si>
  <si>
    <t>32-43-24-c3-02196.0280</t>
  </si>
  <si>
    <t>34145-5474</t>
  </si>
  <si>
    <t xml:space="preserve">312 NE 21st St  Cape Coral, FL 33909 </t>
  </si>
  <si>
    <t xml:space="preserve">6310 Neal Rd  Fort Myers, FL 33905 </t>
  </si>
  <si>
    <t xml:space="preserve">2200 NE 1st Ave  Cape Coral, FL 33909 </t>
  </si>
  <si>
    <t xml:space="preserve">1052 S Brevard Ave  Cocoa Beach, FL 32931-2410 </t>
  </si>
  <si>
    <t>29-43-24-c4-02284.0500</t>
  </si>
  <si>
    <t>33909-3040</t>
  </si>
  <si>
    <t>Cape Coral Unit 88 Blk 5804 Pb 24 Pg 138 Lots 31 + 32</t>
  </si>
  <si>
    <t xml:space="preserve">1326 SE 37th Ter  Cape Coral, FL 33904 </t>
  </si>
  <si>
    <t xml:space="preserve">2205 NE 14th Pl </t>
  </si>
  <si>
    <t>Volker Gerger</t>
  </si>
  <si>
    <t xml:space="preserve">PO Box 1118  Warsaw, MO 65355-1118 </t>
  </si>
  <si>
    <t xml:space="preserve">1813 W 51st street Pl  Kearney, NE 68845-2436 </t>
  </si>
  <si>
    <t>Cape Coral Unit 34 Blk 2459 Pb 16 Pg 80 Lots 25 + 26</t>
  </si>
  <si>
    <t>25-43-23-c2-02335.0630</t>
  </si>
  <si>
    <t xml:space="preserve">3630 NE 11th Ave  Cape Coral, FL 33909 </t>
  </si>
  <si>
    <t>25-43-23-c3-02353.0030</t>
  </si>
  <si>
    <t xml:space="preserve">141 Lenox Rd 3g </t>
  </si>
  <si>
    <t xml:space="preserve">55 E 57th St  Brooklyn, NY 11203-3709 </t>
  </si>
  <si>
    <t>Don &amp; Nora Vercelote</t>
  </si>
  <si>
    <t>01-44-23-c3-02465.0950</t>
  </si>
  <si>
    <t>Ruley</t>
  </si>
  <si>
    <t>Dornoch</t>
  </si>
  <si>
    <t>Sinnamahoning</t>
  </si>
  <si>
    <t>Hudson</t>
  </si>
  <si>
    <t>R078</t>
  </si>
  <si>
    <t xml:space="preserve">1192 E 92nd St </t>
  </si>
  <si>
    <t xml:space="preserve">209 N Cathy Ln  Mount Prospect, IL 60056-3071 </t>
  </si>
  <si>
    <t>Huaying Chou</t>
  </si>
  <si>
    <t>2016 kiwi trust</t>
  </si>
  <si>
    <t xml:space="preserve">34 Cocheset Path  West Yarmouth, MA 02673-2559 </t>
  </si>
  <si>
    <t>33950-6537</t>
  </si>
  <si>
    <t xml:space="preserve">2710 NE 6th Pl  Cape Coral, FL 33909 </t>
  </si>
  <si>
    <t xml:space="preserve">3836 Huntley St </t>
  </si>
  <si>
    <t xml:space="preserve">12596 Achasta Blvd </t>
  </si>
  <si>
    <t xml:space="preserve">3901 NE 9th Ave </t>
  </si>
  <si>
    <t>Phaysanh Oriyavong</t>
  </si>
  <si>
    <t>For David M &amp; Caroll M Cooley Trust</t>
  </si>
  <si>
    <t>Pierino &amp; Luciano Bonanni</t>
  </si>
  <si>
    <t>25-43-23-c4-02294.0110</t>
  </si>
  <si>
    <t>33710-1403</t>
  </si>
  <si>
    <t>34-43-24-01-00035.0150</t>
  </si>
  <si>
    <t>Im Auchtert</t>
  </si>
  <si>
    <t>32-43-24-c3-02223.0420</t>
  </si>
  <si>
    <t xml:space="preserve">9136 SE Mercury St  Hobe Sound, FL 33455-5514 </t>
  </si>
  <si>
    <t xml:space="preserve">Treisberger Weg #17 </t>
  </si>
  <si>
    <t xml:space="preserve">1721 NE 41st St  Cape Coral, FL 33909 </t>
  </si>
  <si>
    <t xml:space="preserve">2302 Hidden Valley Ct </t>
  </si>
  <si>
    <t>Wyche</t>
  </si>
  <si>
    <t>03-44-26-03-00013.0320</t>
  </si>
  <si>
    <t>10704-1158</t>
  </si>
  <si>
    <t xml:space="preserve">407 Narragansett Villas Dr </t>
  </si>
  <si>
    <t xml:space="preserve">1313 NE 7th Pl  Cape Coral, FL 33909 </t>
  </si>
  <si>
    <t>33909-6405</t>
  </si>
  <si>
    <t>Gilda</t>
  </si>
  <si>
    <t>Chudakoff</t>
  </si>
  <si>
    <t xml:space="preserve">142 Jerry Moore Rd </t>
  </si>
  <si>
    <t xml:space="preserve">318 NE 19th Pl </t>
  </si>
  <si>
    <t>Robert &amp; Ruby Gleason</t>
  </si>
  <si>
    <t>Luzadas</t>
  </si>
  <si>
    <t>10018-2583</t>
  </si>
  <si>
    <t>Arlette</t>
  </si>
  <si>
    <t xml:space="preserve">907 NE 1st Ave  Cape Coral, FL 33909 </t>
  </si>
  <si>
    <t xml:space="preserve">5208 Marsh Mallow Trl  Fort Myers, FL 33905 </t>
  </si>
  <si>
    <t>28-43-23-c4-05133.0300</t>
  </si>
  <si>
    <t>Koeln</t>
  </si>
  <si>
    <t xml:space="preserve">6063 W Fisher  Lake City, MI 49651-8769 </t>
  </si>
  <si>
    <t>Shahla</t>
  </si>
  <si>
    <t>Cape Coral Unit 36 Blk 2333 Pb 16 Pg 130 Lots 51 &amp; 52</t>
  </si>
  <si>
    <t>18-43-24-c3-05751.0370</t>
  </si>
  <si>
    <t>18-43-24-c3-05713.0330</t>
  </si>
  <si>
    <t>11-44-25-l1-13000.3490</t>
  </si>
  <si>
    <t>19-43-24-c2-05593.0700</t>
  </si>
  <si>
    <t>3g</t>
  </si>
  <si>
    <t xml:space="preserve">16110 SW 69th Ter </t>
  </si>
  <si>
    <t>Cape Coral Unit 32 Blk 2138 Pb 16 Pg 9 Lots 27 + 28</t>
  </si>
  <si>
    <t>Cypress Trail Rv Resort Phase 4-A As Desc In Inst# 20160000135610 Lot 386</t>
  </si>
  <si>
    <t>33909-1443</t>
  </si>
  <si>
    <t>Pawleys Island</t>
  </si>
  <si>
    <t xml:space="preserve">23708 Talbot St </t>
  </si>
  <si>
    <t>Knipper William H Iv Tr</t>
  </si>
  <si>
    <t xml:space="preserve">523 Elton St  Brooklyn, NY 11208-3515 </t>
  </si>
  <si>
    <t>Kenockee</t>
  </si>
  <si>
    <t>Cape Coral Unit 33 Blk 2186 Pb 16 Pg 48 Lots 7 + 8</t>
  </si>
  <si>
    <t>36-43-23-c4-02512.0050</t>
  </si>
  <si>
    <t>Evelyn</t>
  </si>
  <si>
    <t xml:space="preserve">2 Wyche Way </t>
  </si>
  <si>
    <t xml:space="preserve">5633 Crowndale Dr </t>
  </si>
  <si>
    <t xml:space="preserve">2017 NE 20th Pl </t>
  </si>
  <si>
    <t>Oak Knoll</t>
  </si>
  <si>
    <t xml:space="preserve">4157 NE 21st Pl </t>
  </si>
  <si>
    <t xml:space="preserve">3940 Jonquil Pl  Myrtle Beach, SC 29577-5105 </t>
  </si>
  <si>
    <t>Gauff</t>
  </si>
  <si>
    <t>11-44-25-09-00000.0260</t>
  </si>
  <si>
    <t xml:space="preserve">41 Viola Ave  Clifton, NJ 07011-4211 </t>
  </si>
  <si>
    <t xml:space="preserve">11425 118a St NW </t>
  </si>
  <si>
    <t>Cypress Woods Resort</t>
  </si>
  <si>
    <t>Concepcion Vazquez</t>
  </si>
  <si>
    <t xml:space="preserve">6123 Higgins Ave  Fort Myers, FL 33905 </t>
  </si>
  <si>
    <t>Gallo Family Trust</t>
  </si>
  <si>
    <t xml:space="preserve">1019 NE 23rd Ter  Cape Coral, FL 33909 </t>
  </si>
  <si>
    <t xml:space="preserve">1116 NE 15th St  Cape Coral, FL 33909 </t>
  </si>
  <si>
    <t xml:space="preserve">129 Du College Rue  Labelle, QC J0t 1H0 </t>
  </si>
  <si>
    <t>20-43-24-c4-05630.0380</t>
  </si>
  <si>
    <t>Philemon</t>
  </si>
  <si>
    <t>Lewis Charles M &amp; Janice F Tr</t>
  </si>
  <si>
    <t>19-43-24-c2-05602.0110</t>
  </si>
  <si>
    <t>Dickert</t>
  </si>
  <si>
    <t>Cabana</t>
  </si>
  <si>
    <t>Ft.Myers Shores Unit 3 Blk.37 Pb 10 Pg 27 Lots 32 33 34</t>
  </si>
  <si>
    <t>Cape Coral Unit 34 Blk 2419 Pb 16 Pg 75 Lots 9 + 10</t>
  </si>
  <si>
    <t>Tara Lakes</t>
  </si>
  <si>
    <t>Kerdudo</t>
  </si>
  <si>
    <t>Maryearl</t>
  </si>
  <si>
    <t>Efford</t>
  </si>
  <si>
    <t>Grettel</t>
  </si>
  <si>
    <t xml:space="preserve">2233 Green Springs Dr  Dayton, OH 45440-1121 </t>
  </si>
  <si>
    <t xml:space="preserve">2 Joshua Ct </t>
  </si>
  <si>
    <t>Hans Lehmann</t>
  </si>
  <si>
    <t>Vasata</t>
  </si>
  <si>
    <t>34109-1780</t>
  </si>
  <si>
    <t>Carlos Rivera &amp; Pamela Estevez-Rivera</t>
  </si>
  <si>
    <t xml:space="preserve">6770 Lone Oak Blvd A </t>
  </si>
  <si>
    <t>Lehigh Acres Unit 11 Blk 56 Pb 26 Pg 14 Lot 10</t>
  </si>
  <si>
    <t>Holiday Travel Park Rv Condo Ph 1 Or 1577 Pg 1583 Unit 129</t>
  </si>
  <si>
    <t>Mathis</t>
  </si>
  <si>
    <t>18-43-24-c3-05714.0130</t>
  </si>
  <si>
    <t>18-43-24-c4-05582.0090</t>
  </si>
  <si>
    <t xml:space="preserve">1302 NE Juanita Pl  Cape Coral, FL 33909 </t>
  </si>
  <si>
    <t>01-44-23-c3-02429.0510</t>
  </si>
  <si>
    <t>34117-3754</t>
  </si>
  <si>
    <t>Cornel Dutan</t>
  </si>
  <si>
    <t xml:space="preserve">567 Ellis St  North Fort Myers, FL 33903 </t>
  </si>
  <si>
    <t>Lehigh Acres Unit 7 Blk 33 Pb 26 Pg 9 Lot 27</t>
  </si>
  <si>
    <t>Huayanay</t>
  </si>
  <si>
    <t>Lisa Patterson</t>
  </si>
  <si>
    <t>Jurgita</t>
  </si>
  <si>
    <t xml:space="preserve">1510 NE 37th St  Cape Coral, FL 33909 </t>
  </si>
  <si>
    <t>33909-4808</t>
  </si>
  <si>
    <t>Green Acres Blk D Pb 5 Pg 72 Lot 1</t>
  </si>
  <si>
    <t>PO Box 14</t>
  </si>
  <si>
    <t>Edlu</t>
  </si>
  <si>
    <t>17-43-24-c2-05814.0160</t>
  </si>
  <si>
    <t>Cape Coral Unit 47 Part 2 Blk.3541 Pb 23 Pg 117 Lots 28 + 29</t>
  </si>
  <si>
    <t>Joos</t>
  </si>
  <si>
    <t>Labot-Rama</t>
  </si>
  <si>
    <t>Buckingham Pk Re Blk B U-5 Blk 29 Pb 27 Pg 193 Lot 9</t>
  </si>
  <si>
    <t>Raymond Thibault</t>
  </si>
  <si>
    <t>95687-8212</t>
  </si>
  <si>
    <t xml:space="preserve">PO Box 4038  Santa Barbara, CA 93140-4038 </t>
  </si>
  <si>
    <t xml:space="preserve">44 Gladney Ave  Toms River, NJ 08753-7016 </t>
  </si>
  <si>
    <t xml:space="preserve">161 Rue Antoine Breart  Northampton, MA 01060 </t>
  </si>
  <si>
    <t>Zenaida</t>
  </si>
  <si>
    <t>C007</t>
  </si>
  <si>
    <t>19-43-24-c2-05753.0160</t>
  </si>
  <si>
    <t>Cape Coral Unit 14 Blk.479 Pb 13 Pg 68 Lots 4 + 5</t>
  </si>
  <si>
    <t xml:space="preserve">3860 Hollycrest St  Fort Myers, FL 33905 </t>
  </si>
  <si>
    <t>Smocovitis</t>
  </si>
  <si>
    <t>Castlewood</t>
  </si>
  <si>
    <t xml:space="preserve">1525 NE 34th Ln </t>
  </si>
  <si>
    <t xml:space="preserve">1917 NE 15th Ter  Cape Coral, FL 33909 </t>
  </si>
  <si>
    <t>Wahl Manor</t>
  </si>
  <si>
    <t xml:space="preserve">5790 Neal Rd  Fort Myers, FL 33905 </t>
  </si>
  <si>
    <t>R024</t>
  </si>
  <si>
    <t xml:space="preserve">2207 Sunny Slope Rd </t>
  </si>
  <si>
    <t>Cape Coral Unit 85 Blk 5640 Pb 24 Pg 54 Lots 45 + 46</t>
  </si>
  <si>
    <t xml:space="preserve">1809 NE 33rd Ter  Cape Coral, FL 33909 </t>
  </si>
  <si>
    <t>Henry Wiedemann &amp; Berenice For</t>
  </si>
  <si>
    <t>Cape Coral Unit 36 Blk 2343 Pb 16 Pg 121 Lots 27 + 28</t>
  </si>
  <si>
    <t>36-45-23-05-0000e.0010</t>
  </si>
  <si>
    <t>33909-6258</t>
  </si>
  <si>
    <t>Phong Nguyen</t>
  </si>
  <si>
    <t xml:space="preserve">3139 NE 14th Pl  Cape Coral, FL 33909 </t>
  </si>
  <si>
    <t>Faedo</t>
  </si>
  <si>
    <t>Troy &amp; Pamela Cox</t>
  </si>
  <si>
    <t>33904-3442</t>
  </si>
  <si>
    <t xml:space="preserve">1660 Brooks Ln  Oviedo, FL 32765-8627 </t>
  </si>
  <si>
    <t>Cape Coral Unit 31 Blk.2037 Pb 14 Pg 158 Lots 16 + 17</t>
  </si>
  <si>
    <t xml:space="preserve">Rte Des Monts-Delavaux 70  Lacroix, CH 00000 </t>
  </si>
  <si>
    <t>Cape Coral Unit 88 Blk 5799 Pb 24 Pg 136 Lots 35 + 36</t>
  </si>
  <si>
    <t xml:space="preserve">Toronto Ct  Fort Myers, FL 33901 </t>
  </si>
  <si>
    <t xml:space="preserve">1810 SW 5th Ave #801, Miami, FL 33129-1008 </t>
  </si>
  <si>
    <t xml:space="preserve">1087 Lewis River Rd  Woodland, WA 98674-9689 </t>
  </si>
  <si>
    <t>PO Box 126205</t>
  </si>
  <si>
    <t xml:space="preserve">509 NE 24th Ter </t>
  </si>
  <si>
    <t>17-43-24-c4-05768.0090</t>
  </si>
  <si>
    <t>Jaime &amp; Miryam Hoyos</t>
  </si>
  <si>
    <t xml:space="preserve">823 NE 34th Ter </t>
  </si>
  <si>
    <t xml:space="preserve">52 Walpole Valley Rd  Alstead, NH 03602-3342 </t>
  </si>
  <si>
    <t xml:space="preserve">28 Acre Dr  Danbury, CT 06811-3811 </t>
  </si>
  <si>
    <t>Cape Coral Unit 35 Blk 2397 Pb 16 Pg 107 Lots 5 + 6</t>
  </si>
  <si>
    <t xml:space="preserve">7620 SW 96th Ave  Miami, FL 33173-3343 </t>
  </si>
  <si>
    <t xml:space="preserve">142 Mclaughlin St </t>
  </si>
  <si>
    <t>Cape Coral Unit 32 Blk 2139 Pb 16 Pg 10 Lots 50 + 51</t>
  </si>
  <si>
    <t>Les</t>
  </si>
  <si>
    <t>Getty</t>
  </si>
  <si>
    <t>Marciano</t>
  </si>
  <si>
    <t>Cape Coral Unit 88 Blk 5798 Pb 24 Pg 137 Lots 38 + 39</t>
  </si>
  <si>
    <t>33905-8204</t>
  </si>
  <si>
    <t>Baughman</t>
  </si>
  <si>
    <t>Ron Ramot</t>
  </si>
  <si>
    <t xml:space="preserve">421 SE 31st St </t>
  </si>
  <si>
    <t>D Derzy</t>
  </si>
  <si>
    <t>Lone Wash</t>
  </si>
  <si>
    <t xml:space="preserve">1545 Central Pkwy </t>
  </si>
  <si>
    <t>Alter</t>
  </si>
  <si>
    <t>20-43-24-c3-05671.0430</t>
  </si>
  <si>
    <t xml:space="preserve">68 Bogart Ave  Port Washington, NY 11050-3320 </t>
  </si>
  <si>
    <t>49464-8742</t>
  </si>
  <si>
    <t>Cape Coral Unit 33 Blk.2224 Pb 16 Pg 41 Lots 47 + 48</t>
  </si>
  <si>
    <t>48312-1232</t>
  </si>
  <si>
    <t>25-43-23-c3-02345.0340</t>
  </si>
  <si>
    <t>01247-1061</t>
  </si>
  <si>
    <t xml:space="preserve">3343 SE 18th Ave  Cape Coral, FL 33904 </t>
  </si>
  <si>
    <t>17-43-24-c4-05767.0040</t>
  </si>
  <si>
    <t>Ann Rodak &amp; Joe Chrisman</t>
  </si>
  <si>
    <t xml:space="preserve">73 B </t>
  </si>
  <si>
    <t xml:space="preserve">131 Gold Maple St  Brighton, CO 80601-5387 </t>
  </si>
  <si>
    <t>PO Box 654953</t>
  </si>
  <si>
    <t>Nicholas &amp; Joann Springer</t>
  </si>
  <si>
    <t>Cesar Alvarez</t>
  </si>
  <si>
    <t>Waterway Bay Unit 2 Blk A Pb 42 Pg 96 Lot 18</t>
  </si>
  <si>
    <t>Baxley</t>
  </si>
  <si>
    <t xml:space="preserve">1109 NE 32nd Ln  Cape Coral, FL 33909 </t>
  </si>
  <si>
    <t>Bushman</t>
  </si>
  <si>
    <t xml:space="preserve">5428/5430 Third Ave  Fort Myers, FL 33907 </t>
  </si>
  <si>
    <t>PO Box 587-2050</t>
  </si>
  <si>
    <t>03-44-26-14-00083.0140</t>
  </si>
  <si>
    <t xml:space="preserve">510 Jaguar Ct #42 </t>
  </si>
  <si>
    <t>Maria Chattha</t>
  </si>
  <si>
    <t xml:space="preserve">506 NE 19th Ct  Cape Coral, FL 33909 </t>
  </si>
  <si>
    <t>Berta</t>
  </si>
  <si>
    <t>Luisa Wendt</t>
  </si>
  <si>
    <t xml:space="preserve">1809 NE 17th St </t>
  </si>
  <si>
    <t>Cape Coral Unit 31 Blk 2060 Pb 14 Pg 159 Lots 40 and 41</t>
  </si>
  <si>
    <t>Sheyla</t>
  </si>
  <si>
    <t xml:space="preserve">2126 NE 2nd St </t>
  </si>
  <si>
    <t xml:space="preserve">3867 E Mackay Ct  Meridian, ID 83642-3123 </t>
  </si>
  <si>
    <t xml:space="preserve">36 Mount Cedar Ave </t>
  </si>
  <si>
    <t>11752-2900</t>
  </si>
  <si>
    <t>18-43-24-c3-05706.0690</t>
  </si>
  <si>
    <t xml:space="preserve">3709 NE 12th Pl </t>
  </si>
  <si>
    <t>Maqsood</t>
  </si>
  <si>
    <t xml:space="preserve">2 NE 3rd Ln  Cape Coral, FL 33909 </t>
  </si>
  <si>
    <t>Hathaway</t>
  </si>
  <si>
    <t xml:space="preserve">12185 69th St N  West Palm Beach, FL 33412-2059 </t>
  </si>
  <si>
    <t>Hudson Lake</t>
  </si>
  <si>
    <t xml:space="preserve">11751 Dawn Cowrie Dr  Fort Myers, FL 33908 </t>
  </si>
  <si>
    <t>Cape Coral Unit 87 Blk 5686 Pb 24 Pg 82 Lots 21 + 22</t>
  </si>
  <si>
    <t xml:space="preserve">4001 NE 13th Pl  Cape Coral, FL 33909 </t>
  </si>
  <si>
    <t xml:space="preserve">33 Shores Ave  Naples, FL 34110-1607 </t>
  </si>
  <si>
    <t xml:space="preserve">1518 NE 13th Ave  Cape Coral, FL 33909 </t>
  </si>
  <si>
    <t>Kennebec</t>
  </si>
  <si>
    <t xml:space="preserve">212 NE 9th St  Cape Coral, FL 33909 </t>
  </si>
  <si>
    <t>Cornstack</t>
  </si>
  <si>
    <t>Devido</t>
  </si>
  <si>
    <t xml:space="preserve">761 19th St NW  Naples, FL 34120-1945 </t>
  </si>
  <si>
    <t>Cape Coral Unit 34 Blk.2430 Pb 16 Pg 86 Lots 41 + 42</t>
  </si>
  <si>
    <t xml:space="preserve">1615 S Gator Cir </t>
  </si>
  <si>
    <t>17-43-24-c3-05793.0030</t>
  </si>
  <si>
    <t xml:space="preserve">618 NE 7th Ter </t>
  </si>
  <si>
    <t>Aiken</t>
  </si>
  <si>
    <t>Quinn</t>
  </si>
  <si>
    <t>Distillery Wharf Regatta</t>
  </si>
  <si>
    <t>11-44-25-06-0000d.0170</t>
  </si>
  <si>
    <t xml:space="preserve">132 Lucille Ave  Fort Myers, FL 33905 </t>
  </si>
  <si>
    <t>David Ortiz</t>
  </si>
  <si>
    <t>20-43-24-c3-05672.0230</t>
  </si>
  <si>
    <t xml:space="preserve">1286 E 53rd St </t>
  </si>
  <si>
    <t xml:space="preserve">1249 Fogg Rd  Sparta, KY 41086-9507 </t>
  </si>
  <si>
    <t xml:space="preserve">16921 SW 5th Ct  Weston, FL 33326-1535 </t>
  </si>
  <si>
    <t>30127-1768</t>
  </si>
  <si>
    <t xml:space="preserve">34 Kismet Pkwy E  Cape Coral, FL 33909 </t>
  </si>
  <si>
    <t>11218-1337</t>
  </si>
  <si>
    <t xml:space="preserve">1060 Trowbridge Dr </t>
  </si>
  <si>
    <t>25-43-23-c1-02348.0410</t>
  </si>
  <si>
    <t>Anthai &amp; Tung Nguyen</t>
  </si>
  <si>
    <t>Cape Coral Unit 33 Blk 2229 Pb 16 Pg 47 Lots 55 + 56</t>
  </si>
  <si>
    <t xml:space="preserve">1010 Pennsylvania Ave </t>
  </si>
  <si>
    <t>Sunny Acres Estates Subd Blk C Pb 10 Pg 52 Lots 1 + 32 + 33</t>
  </si>
  <si>
    <t>19473-3103</t>
  </si>
  <si>
    <t>Rodini</t>
  </si>
  <si>
    <t xml:space="preserve">PO Box 1587  Lake City, FL 32056-1587 </t>
  </si>
  <si>
    <t>Cypress Trail Rv Resort Phase 2-B As Desc In Inst# 2015000013050 Lot 419</t>
  </si>
  <si>
    <t>Lemcke Peter W Tr</t>
  </si>
  <si>
    <t xml:space="preserve">6022 Jonathan Ave  Fort Myers, FL 33905 </t>
  </si>
  <si>
    <t>Cape Coral Unit 32 Blk 2104 Pb 16 Pg 5 Lots 22 + 23</t>
  </si>
  <si>
    <t>Cape Cole</t>
  </si>
  <si>
    <t>Palomino</t>
  </si>
  <si>
    <t>Solange Jacques</t>
  </si>
  <si>
    <t xml:space="preserve">1714 NE 33rd St  Cape Coral, FL 33909 </t>
  </si>
  <si>
    <t>Frank &amp; Valerie Ferrera</t>
  </si>
  <si>
    <t>Magnolia Pimentel</t>
  </si>
  <si>
    <t>05468-3647</t>
  </si>
  <si>
    <t>China</t>
  </si>
  <si>
    <t xml:space="preserve">57 Jones Dr </t>
  </si>
  <si>
    <t>Cape Coral Unit 87 Blk 5708 Pb 24 Pg 72 Lots 45 + 46</t>
  </si>
  <si>
    <t>Barry</t>
  </si>
  <si>
    <t xml:space="preserve">720 8th St NE  Naples, FL 34120-2047 </t>
  </si>
  <si>
    <t xml:space="preserve">1912 NE 6th Ave  Cape Coral, FL 33909 </t>
  </si>
  <si>
    <t xml:space="preserve">4006 Anna Ave </t>
  </si>
  <si>
    <t>Cape Coral Unit 33 Blk.2182 Pb 16 Pg 49 Lots 58 + 59</t>
  </si>
  <si>
    <t xml:space="preserve">1333 S Gator Cir </t>
  </si>
  <si>
    <t>33909-6204</t>
  </si>
  <si>
    <t xml:space="preserve">986 S Moore St </t>
  </si>
  <si>
    <t xml:space="preserve">3710 NE 13th Ave </t>
  </si>
  <si>
    <t>Smithfield</t>
  </si>
  <si>
    <t>Slawomir Przeslak</t>
  </si>
  <si>
    <t xml:space="preserve">1735 Beacon St </t>
  </si>
  <si>
    <t>33905-4411</t>
  </si>
  <si>
    <t>33904-5006</t>
  </si>
  <si>
    <t>C056</t>
  </si>
  <si>
    <t>El Sayed</t>
  </si>
  <si>
    <t xml:space="preserve">Po Box 231 </t>
  </si>
  <si>
    <t xml:space="preserve">421 Sunshine Dr  Coconut Creek, FL 33066-1846 </t>
  </si>
  <si>
    <t>Haynes</t>
  </si>
  <si>
    <t xml:space="preserve">1804 NE 7th Pl  Cape Coral, FL 33909 </t>
  </si>
  <si>
    <t>Zrinko Toto</t>
  </si>
  <si>
    <t>Lndg</t>
  </si>
  <si>
    <t xml:space="preserve">1112 SE 30th Ter </t>
  </si>
  <si>
    <t xml:space="preserve">22102 99th Ave  Queens Village, NY 11429-1319 </t>
  </si>
  <si>
    <t>80229-2489</t>
  </si>
  <si>
    <t xml:space="preserve">4320 NE 9th Ct  Cape Coral, FL 33909 </t>
  </si>
  <si>
    <t xml:space="preserve">569 NE 5th St </t>
  </si>
  <si>
    <t xml:space="preserve">845 NE 38th Ter  Cape Coral, FL 33909 </t>
  </si>
  <si>
    <t xml:space="preserve">810 NE 12th St </t>
  </si>
  <si>
    <t xml:space="preserve">60 Ambleside Rd </t>
  </si>
  <si>
    <t>25-43-23-c1-02349.0210</t>
  </si>
  <si>
    <t xml:space="preserve">23 Ostend Rd  Island Park, NY 11558-1016 </t>
  </si>
  <si>
    <t>Gritzman</t>
  </si>
  <si>
    <t>Edna Spencer</t>
  </si>
  <si>
    <t>Cypress Trail Rv Resort Phase 2-A As Desc In Inst# 2014000026506 Lot 199</t>
  </si>
  <si>
    <t xml:space="preserve">1224 NE 41st St  Cape Coral, FL 33909 </t>
  </si>
  <si>
    <t>33909-1242</t>
  </si>
  <si>
    <t xml:space="preserve">1017 Empire Blvd  Murfreesboro, TN 37130-3487 </t>
  </si>
  <si>
    <t>32-43-24-c1-02231.0520</t>
  </si>
  <si>
    <t xml:space="preserve">18009 Mescal St </t>
  </si>
  <si>
    <t>25-43-23-c3-02341.0400</t>
  </si>
  <si>
    <t>Dragan Petrovski</t>
  </si>
  <si>
    <t xml:space="preserve">4420 NE 15th Ave </t>
  </si>
  <si>
    <t>Emile Elkorm</t>
  </si>
  <si>
    <t xml:space="preserve">523 Clinton Ave E </t>
  </si>
  <si>
    <t xml:space="preserve">5170 Maris Ave #400 </t>
  </si>
  <si>
    <t xml:space="preserve">904 Lexington Way  Waunakee, WI 53597-2104 </t>
  </si>
  <si>
    <t>Cape Coral Unit 47 Pt 2 Blk 3525 Pb 23 Pg 121 Lots 19 + 20</t>
  </si>
  <si>
    <t>05-44-24-c1-03539.0360</t>
  </si>
  <si>
    <t>00723-9718</t>
  </si>
  <si>
    <t>PO Box 4129</t>
  </si>
  <si>
    <t>20746-2109</t>
  </si>
  <si>
    <t>St Petersburg</t>
  </si>
  <si>
    <t>For H Nyquist Trust</t>
  </si>
  <si>
    <t xml:space="preserve">507 Steuben St  Staten Island, NY 10305-2719 </t>
  </si>
  <si>
    <t>11-44-25-09-00000.2740</t>
  </si>
  <si>
    <t>Cypress Woods Rv Resort Ut 1 Pb 65 Pg 85 + 86 Blk B Lot 45</t>
  </si>
  <si>
    <t xml:space="preserve">1006 NE 33rd Ln  Cape Coral, FL 33909 </t>
  </si>
  <si>
    <t xml:space="preserve">3534 NE 15th Ave </t>
  </si>
  <si>
    <t>Cape Coral Unit 84 Blk 5617 Pb 24 Pg 35 Lots 3 + 4</t>
  </si>
  <si>
    <t xml:space="preserve">334 NE 13th Ter </t>
  </si>
  <si>
    <t>Wanaque</t>
  </si>
  <si>
    <t>31-43-24-c1-02161.0470</t>
  </si>
  <si>
    <t>33905-1841</t>
  </si>
  <si>
    <t>32-43-24-c1-02233.0370</t>
  </si>
  <si>
    <t xml:space="preserve">6106 Chatham Dr </t>
  </si>
  <si>
    <t xml:space="preserve">3565 NE 10th Ave  Cape Coral, FL 33909 </t>
  </si>
  <si>
    <t xml:space="preserve">6308 W Homestead Ct  New Palestine, IN 46163-9741 </t>
  </si>
  <si>
    <t>06-45-24-c2-00503.0290</t>
  </si>
  <si>
    <t xml:space="preserve">3917 Singletree Rd  Mint Hill, NC 28227-9277 </t>
  </si>
  <si>
    <t xml:space="preserve">318 NE 18th Ave  Cape Coral, FL 33909 </t>
  </si>
  <si>
    <t xml:space="preserve">11400 Longwater Chase Ct  Fort Myers, FL 33908 </t>
  </si>
  <si>
    <t>33010-5154</t>
  </si>
  <si>
    <t xml:space="preserve">5262 Cypress Trail Resort Cir  Fort Myers, FL 33905 </t>
  </si>
  <si>
    <t>Thrive</t>
  </si>
  <si>
    <t>Jay &amp; Stephanie Rehagen</t>
  </si>
  <si>
    <t>11-44-25-l1-12000.3850</t>
  </si>
  <si>
    <t xml:space="preserve">809 NE 43rd Ln </t>
  </si>
  <si>
    <t xml:space="preserve">Po Box 1367 </t>
  </si>
  <si>
    <t>Cape Coral Unit 34 Blk 2448 Pb 16 Pg 81 Lots 87 + 88</t>
  </si>
  <si>
    <t xml:space="preserve">222 Stevens Rd  Swansea, MA 02777-4708 </t>
  </si>
  <si>
    <t>Pavel Theinert</t>
  </si>
  <si>
    <t xml:space="preserve">3609 W Gator Cir </t>
  </si>
  <si>
    <t>Michelle &amp; David Knop</t>
  </si>
  <si>
    <t xml:space="preserve">PO Box 1366  Paramus, NJ 07653-1366 </t>
  </si>
  <si>
    <t>Igor &amp; Moria Vainshtein</t>
  </si>
  <si>
    <t>Cape Coral Unit 84 Blk 5587 Pb 24 Pg 48 Lots 51 + 52</t>
  </si>
  <si>
    <t xml:space="preserve">1526 Long Hollow Rd  La Follette, TN 37766-6950 </t>
  </si>
  <si>
    <t xml:space="preserve">10071 Stonewood Dr  Fort Myers, FL 33905 </t>
  </si>
  <si>
    <t xml:space="preserve">4005 NE 8th Pl </t>
  </si>
  <si>
    <t>Crismaurys</t>
  </si>
  <si>
    <t xml:space="preserve">1201 NE 18th Ter </t>
  </si>
  <si>
    <t>Lehigh Acres Unit 8 Blk 37 Pb 26 Pg 10 Lot 4</t>
  </si>
  <si>
    <t>25-43-23-c3-02311.0530</t>
  </si>
  <si>
    <t>Jennifer Gould</t>
  </si>
  <si>
    <t xml:space="preserve">4244 NE 17th Ave </t>
  </si>
  <si>
    <t>Painesville</t>
  </si>
  <si>
    <t xml:space="preserve">864 Vogiantzis Pkwy </t>
  </si>
  <si>
    <t>R112</t>
  </si>
  <si>
    <t>Cape Coral Unit 34 Blk 2459 Pb 16 Pg 80 Lots 23 + 24</t>
  </si>
  <si>
    <t>Walmsley</t>
  </si>
  <si>
    <t>Dam Access</t>
  </si>
  <si>
    <t>Patrick Heiligenstein</t>
  </si>
  <si>
    <t>Lehigh Acres Unit 8 Blk 37 Pb 26 Pg 10 Lot 22</t>
  </si>
  <si>
    <t>01-44-23-c2-02460.0530</t>
  </si>
  <si>
    <t>Eugene &amp; Marianne Lamar</t>
  </si>
  <si>
    <t xml:space="preserve">745 Americas Cup Cv  Alpharetta, GA 30005-4368 </t>
  </si>
  <si>
    <t xml:space="preserve">10352 Prairie Iris Dr </t>
  </si>
  <si>
    <t xml:space="preserve">4025 NE 21st Pl </t>
  </si>
  <si>
    <t>Lehigh Acres Unit 13 E 1/2 Blk 70 Pb 26 Pg 17 Lot 10</t>
  </si>
  <si>
    <t>21-43-26-l3-13000.0080</t>
  </si>
  <si>
    <t xml:space="preserve">1555 SW 143rd Ct  Miami, FL 33184-3508 </t>
  </si>
  <si>
    <t>Mohammad</t>
  </si>
  <si>
    <t>33905-2525</t>
  </si>
  <si>
    <t>Cape Coral Unit 87 Blk 5724 Pb 24 Pg 81 Lots 39 Thru 42</t>
  </si>
  <si>
    <t>Philip Day &amp; Jeffrey Buehler</t>
  </si>
  <si>
    <t>Lenox</t>
  </si>
  <si>
    <t>Robt &amp; Barbara Martinelli</t>
  </si>
  <si>
    <t>Coletti</t>
  </si>
  <si>
    <t>12-45-23-c3-00290.0150</t>
  </si>
  <si>
    <t>Sun City Center</t>
  </si>
  <si>
    <t xml:space="preserve">1841 S Caulmep Ave #2105 </t>
  </si>
  <si>
    <t xml:space="preserve">2046 NE 27th Ter  Cape Coral, FL 33909 </t>
  </si>
  <si>
    <t xml:space="preserve">1102 6th St </t>
  </si>
  <si>
    <t>Tracy Smith &amp; Amanda Martin</t>
  </si>
  <si>
    <t>25-43-23-c3-02344.0050</t>
  </si>
  <si>
    <t>Joseph Liermo</t>
  </si>
  <si>
    <t>Lexington-Fayette</t>
  </si>
  <si>
    <t>Courtney Case</t>
  </si>
  <si>
    <t>Kalyan Akula</t>
  </si>
  <si>
    <t>Lehigh Acres W Pt Unit 1 Blk 3 Pb 26 Pg 2 Lot 24</t>
  </si>
  <si>
    <t>Carrillo</t>
  </si>
  <si>
    <t>Jesus Maria Lima</t>
  </si>
  <si>
    <t>43017-9456</t>
  </si>
  <si>
    <t xml:space="preserve">215 Mason St  Brandon, FL 33511-5211 </t>
  </si>
  <si>
    <t xml:space="preserve">313 Windy Oaks Cir </t>
  </si>
  <si>
    <t>Jae Kim &amp; Jing Yoon</t>
  </si>
  <si>
    <t>94705-1202</t>
  </si>
  <si>
    <t>Guilbaud</t>
  </si>
  <si>
    <t>Alejandro Acosta</t>
  </si>
  <si>
    <t>60629-5623</t>
  </si>
  <si>
    <t>For Graciela E Hernandez Trust</t>
  </si>
  <si>
    <t xml:space="preserve">12094 NW 76th Pl </t>
  </si>
  <si>
    <t xml:space="preserve">4113 NE 16th Ave  Cape Coral, FL 33909 </t>
  </si>
  <si>
    <t>48438-8883</t>
  </si>
  <si>
    <t xml:space="preserve">4923 Bonanza Rd </t>
  </si>
  <si>
    <t>Cape Coral Unit 87 Blk 5747 Pb 24 Pg 68 Lots 43 + 44</t>
  </si>
  <si>
    <t>Jackson</t>
  </si>
  <si>
    <t xml:space="preserve">51 Teresa Dr  Whitby, ON L1n 6H9 </t>
  </si>
  <si>
    <t>Landisburg</t>
  </si>
  <si>
    <t xml:space="preserve">6930 N Kostner Ave </t>
  </si>
  <si>
    <t>Adilia</t>
  </si>
  <si>
    <t xml:space="preserve">9909 Lismore Rd  Roscoe, IL 61073-6424 </t>
  </si>
  <si>
    <t>Strasse 4 Herzogenauracher</t>
  </si>
  <si>
    <t>Edward Trinh</t>
  </si>
  <si>
    <t>Palmona Park Unit 2 Blk 23 Pb 7 Pg 56 Lot 5</t>
  </si>
  <si>
    <t xml:space="preserve">4023 Trail Ridge Dr </t>
  </si>
  <si>
    <t>James Tucker</t>
  </si>
  <si>
    <t xml:space="preserve">3656 Mathews Rd </t>
  </si>
  <si>
    <t>Norton Shores</t>
  </si>
  <si>
    <t>Collegedale</t>
  </si>
  <si>
    <t>Archie</t>
  </si>
  <si>
    <t>Enola</t>
  </si>
  <si>
    <t>Robert &amp; Virginia Reutiman</t>
  </si>
  <si>
    <t>S</t>
  </si>
  <si>
    <t xml:space="preserve">1343 NE 34th St </t>
  </si>
  <si>
    <t>Fayez</t>
  </si>
  <si>
    <t>Alfredo Rivas</t>
  </si>
  <si>
    <t>American &amp; Richard D Duenas</t>
  </si>
  <si>
    <t>Cape Coral Unit 33 Blk 2285 Pb 16 Pg 56 Lots 14 + 15</t>
  </si>
  <si>
    <t xml:space="preserve">188 N Grener Ave  Columbus, OH 43228-1359 </t>
  </si>
  <si>
    <t xml:space="preserve">5851 43rd Ave  Woodside, NY 11377-4836 </t>
  </si>
  <si>
    <t>33024-1910</t>
  </si>
  <si>
    <t>37020-5006</t>
  </si>
  <si>
    <t>Pine Manor Unit 4 Blk 20 Pb 11 Pg 9 Lot 11</t>
  </si>
  <si>
    <t xml:space="preserve">1803 NE 44th Ter  Cape Coral, FL 33909 </t>
  </si>
  <si>
    <t>12-44-23-c3-03594.0680</t>
  </si>
  <si>
    <t>North Chelmsford</t>
  </si>
  <si>
    <t>18-43-24-c1-05723.0030</t>
  </si>
  <si>
    <t>18-45-24-c4-00042.0260</t>
  </si>
  <si>
    <t xml:space="preserve">4225 NE 22nd Pl </t>
  </si>
  <si>
    <t xml:space="preserve">931 NE 1st Ave  Cape Coral, FL 33909 </t>
  </si>
  <si>
    <t xml:space="preserve">2999 NW 32nd Ave </t>
  </si>
  <si>
    <t>Serda</t>
  </si>
  <si>
    <t>Windy Knoll</t>
  </si>
  <si>
    <t>19-43-24-c3-05619.0440</t>
  </si>
  <si>
    <t xml:space="preserve">918 NE 2nd Pl </t>
  </si>
  <si>
    <t>29-43-24-c4-02278.0170</t>
  </si>
  <si>
    <t>Botero</t>
  </si>
  <si>
    <t>Maguire Betty-Jane Tr</t>
  </si>
  <si>
    <t xml:space="preserve">1806 NE 37th St </t>
  </si>
  <si>
    <t xml:space="preserve">4307 Garden Blvd  Cape Coral, FL 33909 </t>
  </si>
  <si>
    <t>South Saint Paul</t>
  </si>
  <si>
    <t>Deayala</t>
  </si>
  <si>
    <t>Cape Coral Unit 85 Blk 5634 Pb 24 Pg 50 Lots 31 + 32</t>
  </si>
  <si>
    <t>Brookline</t>
  </si>
  <si>
    <t>Bernadette Bishop &amp; Darrin Hopkins</t>
  </si>
  <si>
    <t xml:space="preserve">1513 SE 37th St </t>
  </si>
  <si>
    <t>Hercules</t>
  </si>
  <si>
    <t>Cape Coral Unit 36 Blk 2346 Pb 16 Pg 130 Lots 60 + 61</t>
  </si>
  <si>
    <t>05-44-24-c4-03540.0460</t>
  </si>
  <si>
    <t xml:space="preserve">501a # 160 Dept </t>
  </si>
  <si>
    <t xml:space="preserve">1434 Englewood St </t>
  </si>
  <si>
    <t>33903-5005</t>
  </si>
  <si>
    <t xml:space="preserve">12185 69th St N </t>
  </si>
  <si>
    <t xml:space="preserve">1004 Lewis O Gray Dr  Saugus, MA 01906-4413 </t>
  </si>
  <si>
    <t>K4P 1C1</t>
  </si>
  <si>
    <t>60450-9427</t>
  </si>
  <si>
    <t>25-43-23-c2-02340.0170</t>
  </si>
  <si>
    <t xml:space="preserve">475 Thomas Rd </t>
  </si>
  <si>
    <t>Emil &amp; Iveta Szkipala</t>
  </si>
  <si>
    <t xml:space="preserve">5774 Burrwood Ct  Fort Myers, FL 33905 </t>
  </si>
  <si>
    <t xml:space="preserve">232 Penfield Pl L </t>
  </si>
  <si>
    <t>33908-3148</t>
  </si>
  <si>
    <t xml:space="preserve">408 New York Ave  Brooklyn, NY 11225-3012 </t>
  </si>
  <si>
    <t>Mahipath</t>
  </si>
  <si>
    <t>01-44-23-c1-02451.0130</t>
  </si>
  <si>
    <t xml:space="preserve">1420 NE 2nd Pl  Cape Coral, FL 33909 </t>
  </si>
  <si>
    <t>91732-2165</t>
  </si>
  <si>
    <t>34744-4998</t>
  </si>
  <si>
    <t>Lehigh Acres Unit 6 Blk 28 Pb 26 Pg 8 Lot 7</t>
  </si>
  <si>
    <t xml:space="preserve">1228 NE 19th Pl </t>
  </si>
  <si>
    <t xml:space="preserve">18 Blue Water Dr </t>
  </si>
  <si>
    <t>Cazenovia</t>
  </si>
  <si>
    <t>21221-1602</t>
  </si>
  <si>
    <t xml:space="preserve">N Der Buchsplitt 14 A </t>
  </si>
  <si>
    <t xml:space="preserve">5496 Cypress Trail Resort Cir </t>
  </si>
  <si>
    <t xml:space="preserve">114 Meadow View Cir </t>
  </si>
  <si>
    <t>Binghampton</t>
  </si>
  <si>
    <t>11377-7923</t>
  </si>
  <si>
    <t xml:space="preserve">1116 NE 15th St </t>
  </si>
  <si>
    <t xml:space="preserve">15851 79th St  Howard Beach, NY 11414-2908 </t>
  </si>
  <si>
    <t xml:space="preserve">NE 23rd St </t>
  </si>
  <si>
    <t xml:space="preserve">3638 NE 10th Ave  Cape Coral, FL 33909 </t>
  </si>
  <si>
    <t>Arabain</t>
  </si>
  <si>
    <t>Cape Coral Unit 85 Blk 5671 Pb 24 Pg 52 Lots 5 + 6</t>
  </si>
  <si>
    <t xml:space="preserve">10 Union St </t>
  </si>
  <si>
    <t>Cat Tail Bay</t>
  </si>
  <si>
    <t>Esau &amp; Monica Jaggernauth</t>
  </si>
  <si>
    <t>Cape Coral Unit 35 Blk 2410 Pb 16 Pg 109 Lots 1 + 2</t>
  </si>
  <si>
    <t xml:space="preserve">1804 NE 7th Pl </t>
  </si>
  <si>
    <t xml:space="preserve">61 Kingman St </t>
  </si>
  <si>
    <t>Lehigh Acres Unit 1 W Pt Blk 4 Pb 26 Pg 2 Lot 10</t>
  </si>
  <si>
    <t>25-43-23-c3-02340.0110</t>
  </si>
  <si>
    <t>33909-4656</t>
  </si>
  <si>
    <t xml:space="preserve">561 Nuna Ave </t>
  </si>
  <si>
    <t xml:space="preserve">3242 NE 9th Ave  Cape Coral, FL 33909 </t>
  </si>
  <si>
    <t xml:space="preserve">2142 NE 26th St </t>
  </si>
  <si>
    <t xml:space="preserve">177 Constitution Dr  Bloomingdale, IL 60108-1462 </t>
  </si>
  <si>
    <t>36-44-23-c4-00879.0330</t>
  </si>
  <si>
    <t>Spear</t>
  </si>
  <si>
    <t>PO Box 107</t>
  </si>
  <si>
    <t>Franck</t>
  </si>
  <si>
    <t>31-43-24-c4-02145.0130</t>
  </si>
  <si>
    <t>79935-3027</t>
  </si>
  <si>
    <t>19087-2224</t>
  </si>
  <si>
    <t>P S P &amp; Florence Rama</t>
  </si>
  <si>
    <t>Cape Coral Unit 88 Blk 5799 Pb 24 Pg 136 Lots 7 + 8</t>
  </si>
  <si>
    <t>36-43-22-c2-05279.0080</t>
  </si>
  <si>
    <t>L0K 2B0</t>
  </si>
  <si>
    <t xml:space="preserve">3277 Fox Chase Cir N #110, Palm Harbor, FL 34683-2332 </t>
  </si>
  <si>
    <t>03-44-23-c2-02901.0850</t>
  </si>
  <si>
    <t xml:space="preserve">12339 Johnson Rd  Manor, TX 78653-3620 </t>
  </si>
  <si>
    <t>Maryellen Ripoll</t>
  </si>
  <si>
    <t>Cape Coral Unit 84 Blk 5564 Pb 24 Pg 37 Lots 69 + 70</t>
  </si>
  <si>
    <t>Sandra Molano &amp; Angela Rengifo</t>
  </si>
  <si>
    <t xml:space="preserve">11649 Cozumel St </t>
  </si>
  <si>
    <t>Fremont</t>
  </si>
  <si>
    <t>Rue De Domparon</t>
  </si>
  <si>
    <t xml:space="preserve">3532 NE 20th Pl  Cape Coral, FL 33909 </t>
  </si>
  <si>
    <t>Fichte</t>
  </si>
  <si>
    <t xml:space="preserve">1430 NE 34th St </t>
  </si>
  <si>
    <t>Cape Coral Unit 85 Blk 5666 Pb 24 Pg 53 Lots 3 + 4</t>
  </si>
  <si>
    <t xml:space="preserve">5217 Cypress Trail Resort Cir  Fort Myers, FL 33905 </t>
  </si>
  <si>
    <t>Ralph</t>
  </si>
  <si>
    <t>Cape Coral Unit 36 Pt 1 Blk 2478 Pb 23 Pg 90 Lots 57 + 58</t>
  </si>
  <si>
    <t>Celine Schneider &amp; Cheyenne Kaptanoglu</t>
  </si>
  <si>
    <t>33012-3931</t>
  </si>
  <si>
    <t>Cape Coral Unit 34 Blk 2447 Pb 16 Pg 84 Lots 60 + 61</t>
  </si>
  <si>
    <t>31-43-24-c1-02148.0260</t>
  </si>
  <si>
    <t xml:space="preserve">12774 W Lone Tree Trl </t>
  </si>
  <si>
    <t>Lehigh Acres W Pt Unit 12 Blk 60 Pb 26 Pg 16 Lot 9</t>
  </si>
  <si>
    <t xml:space="preserve">2121 NE 33rd Ter </t>
  </si>
  <si>
    <t xml:space="preserve">3853 Knowlton St  Fort Myers, FL 33905 </t>
  </si>
  <si>
    <t xml:space="preserve">7889 E 106th St #2010, Fishers, IN 46038-2546 </t>
  </si>
  <si>
    <t>Miriam</t>
  </si>
  <si>
    <t>Gao</t>
  </si>
  <si>
    <t xml:space="preserve">50 Park Ave 11a </t>
  </si>
  <si>
    <t xml:space="preserve">4324 NE 21st Ave </t>
  </si>
  <si>
    <t xml:space="preserve">3924 NE 23rd Pl  Cape Coral, FL 33909 </t>
  </si>
  <si>
    <t>37615-2986</t>
  </si>
  <si>
    <t xml:space="preserve">2035 NE 25th Ter </t>
  </si>
  <si>
    <t>Kohler</t>
  </si>
  <si>
    <t>11003-5039</t>
  </si>
  <si>
    <t>19-43-24-c1-05575.0320</t>
  </si>
  <si>
    <t xml:space="preserve">2812 NE 5th Pl  Cape Coral, FL 33909 </t>
  </si>
  <si>
    <t>Heaton</t>
  </si>
  <si>
    <t>Gary &amp; Rose Bosley</t>
  </si>
  <si>
    <t xml:space="preserve">1717 NE 4th Ave </t>
  </si>
  <si>
    <t>Cape Coral Unit 36 Blk 2331 Pb 16 Pg 129 Lots 12 Thru 14</t>
  </si>
  <si>
    <t xml:space="preserve">2740 NE 5th Ave  Cape Coral, FL 33909 </t>
  </si>
  <si>
    <t xml:space="preserve">3717 Tareco St  Fort Myers, FL 33905 </t>
  </si>
  <si>
    <t>Theodor-Heuss-Strasse</t>
  </si>
  <si>
    <t>Carl L Schmitz Revocable Trust</t>
  </si>
  <si>
    <t xml:space="preserve">99 Boniface Dr 1e </t>
  </si>
  <si>
    <t>Torres Mejia</t>
  </si>
  <si>
    <t>Freda</t>
  </si>
  <si>
    <t>Lehigh Acres W 1/2 Unit 10 Blk 48 Pb 26 Pg 12 Lot 16</t>
  </si>
  <si>
    <t>Hahn</t>
  </si>
  <si>
    <t>Transue</t>
  </si>
  <si>
    <t>Benedicto</t>
  </si>
  <si>
    <t xml:space="preserve">5567 Brightwood Dr  Fort Myers, FL 33905 </t>
  </si>
  <si>
    <t>34-43-24-01-00023.0030</t>
  </si>
  <si>
    <t>Gissella</t>
  </si>
  <si>
    <t xml:space="preserve">2114 NE 2nd Pl  Cape Coral, FL 33909 </t>
  </si>
  <si>
    <t>12-44-23-c2-02383.0420</t>
  </si>
  <si>
    <t>11-44-25-l1-12000.3360</t>
  </si>
  <si>
    <t>33909-4406</t>
  </si>
  <si>
    <t>Thomas &amp; Paulette Johnston</t>
  </si>
  <si>
    <t>19-43-24-c3-05617.0350</t>
  </si>
  <si>
    <t xml:space="preserve">6102 Holt Ct  Fort Myers, FL 33905 </t>
  </si>
  <si>
    <t>33905-7678</t>
  </si>
  <si>
    <t xml:space="preserve">12595 Water Ln </t>
  </si>
  <si>
    <t>Pine Ridge</t>
  </si>
  <si>
    <t>Stannard</t>
  </si>
  <si>
    <t xml:space="preserve">1817 NE Juanita Pl </t>
  </si>
  <si>
    <t>Iplangroup</t>
  </si>
  <si>
    <t xml:space="preserve">1508 NE 34th Ln  Cape Coral, FL 33909 </t>
  </si>
  <si>
    <t xml:space="preserve">210 NE 15th Ter </t>
  </si>
  <si>
    <t>New Orleans</t>
  </si>
  <si>
    <t>Eastbourne</t>
  </si>
  <si>
    <t>Cape Coral Unit 34 Blk 2466 Pb 16 Pg 76 Lots 53 + 54</t>
  </si>
  <si>
    <t>31-43-24-c3-02141.0250</t>
  </si>
  <si>
    <t xml:space="preserve">4126 NE 20th Pl  Cape Coral, FL 33909 </t>
  </si>
  <si>
    <t xml:space="preserve">1206 NE 19th Ave  Cape Coral, FL 33909 </t>
  </si>
  <si>
    <t>25-43-23-c4-02305.0630</t>
  </si>
  <si>
    <t xml:space="preserve">16282 Rolling Ridge Rd  Omaha, NE 68135-1303 </t>
  </si>
  <si>
    <t>11-44-25-05-0000c.0970</t>
  </si>
  <si>
    <t>John Zedro</t>
  </si>
  <si>
    <t>Sherberg</t>
  </si>
  <si>
    <t>03-44-26-08-00038.0030</t>
  </si>
  <si>
    <t>Teekadharry</t>
  </si>
  <si>
    <t xml:space="preserve">3501 SW 87th Ave </t>
  </si>
  <si>
    <t xml:space="preserve">4129 NE 20th Ct  Cape Coral, FL 33909 </t>
  </si>
  <si>
    <t xml:space="preserve">814 NE 32nd Ln </t>
  </si>
  <si>
    <t>62033-1241</t>
  </si>
  <si>
    <t xml:space="preserve">1242 NE 40th St </t>
  </si>
  <si>
    <t>Jay</t>
  </si>
  <si>
    <t xml:space="preserve">1217 NE 6th Pl  Cape Coral, FL 33909 </t>
  </si>
  <si>
    <t xml:space="preserve">2015 NE 9th Ave  Cape Coral, FL 33909 </t>
  </si>
  <si>
    <t xml:space="preserve">818 NE 10th Ter </t>
  </si>
  <si>
    <t xml:space="preserve">111 Lincoln Pl </t>
  </si>
  <si>
    <t>33905-2035</t>
  </si>
  <si>
    <t>Walters</t>
  </si>
  <si>
    <t xml:space="preserve">713 N 15th St </t>
  </si>
  <si>
    <t>02474-5526</t>
  </si>
  <si>
    <t>Channing</t>
  </si>
  <si>
    <t>Sedona</t>
  </si>
  <si>
    <t>33193-3312</t>
  </si>
  <si>
    <t>Zearing</t>
  </si>
  <si>
    <t>Cape Coral Unit 87 Blk 5706 Pb 24 Pg 71 Lots 49 + 50</t>
  </si>
  <si>
    <t>John Milicich</t>
  </si>
  <si>
    <t xml:space="preserve">9104 Paragon Way </t>
  </si>
  <si>
    <t xml:space="preserve">1722 Marina Ter  North Fort Myers, FL 33903 </t>
  </si>
  <si>
    <t xml:space="preserve">4649 W Mclean Ave </t>
  </si>
  <si>
    <t>11-44-25-07-00000.1550</t>
  </si>
  <si>
    <t>Southall Punter &amp; For Scheme</t>
  </si>
  <si>
    <t xml:space="preserve">10 Wyndham Rd </t>
  </si>
  <si>
    <t>06-44-24-c3-02037.0030</t>
  </si>
  <si>
    <t>45039-7805</t>
  </si>
  <si>
    <t>Johal</t>
  </si>
  <si>
    <t>Old Lyme</t>
  </si>
  <si>
    <t>36-43-23-c2-02540.0240</t>
  </si>
  <si>
    <t>33133-2011</t>
  </si>
  <si>
    <t xml:space="preserve">1430 NE 6th Pl </t>
  </si>
  <si>
    <t>11420-1509</t>
  </si>
  <si>
    <t>33433-6410</t>
  </si>
  <si>
    <t>19-43-24-c3-05618.0150</t>
  </si>
  <si>
    <t>For Marvin J &amp; Eliane E Chard Trust</t>
  </si>
  <si>
    <t>144th</t>
  </si>
  <si>
    <t>Lucy</t>
  </si>
  <si>
    <t>06-44-24-c1-02077.0340</t>
  </si>
  <si>
    <t>Schmidt Dagmar Tr</t>
  </si>
  <si>
    <t xml:space="preserve">1525 Balmy Beach Dr  Apopka, FL 32703-7847 </t>
  </si>
  <si>
    <t xml:space="preserve">131 Jersey St 2j, Staten Island, NY 10301-1443 </t>
  </si>
  <si>
    <t>Saundra</t>
  </si>
  <si>
    <t>33909-6341</t>
  </si>
  <si>
    <t xml:space="preserve">1209 Pangburn Rd </t>
  </si>
  <si>
    <t>33186-6492</t>
  </si>
  <si>
    <t xml:space="preserve">2234 NE 39th Ter  Cape Coral, FL 33909 </t>
  </si>
  <si>
    <t>Cape Coral Unit 26 Blk 919 Pb 14 Pg 135 Lots 5 + 6</t>
  </si>
  <si>
    <t>33983-8674</t>
  </si>
  <si>
    <t xml:space="preserve">217 NE 23rd St  Cape Coral, FL 33909 </t>
  </si>
  <si>
    <t xml:space="preserve">181 N Main St  Millbury, MA 01527 </t>
  </si>
  <si>
    <t>31-43-24-c2-02131.0050</t>
  </si>
  <si>
    <t>06-44-24-c3-02043.0350</t>
  </si>
  <si>
    <t xml:space="preserve">1630 NE 35th Ter </t>
  </si>
  <si>
    <t>Sanmiguel</t>
  </si>
  <si>
    <t>36-43-23-c3-02146.0490</t>
  </si>
  <si>
    <t>Duane</t>
  </si>
  <si>
    <t>Holden</t>
  </si>
  <si>
    <t>Cape Coral Unit 88 Blk 5815 Pb 24 Pg 139 Lots 31 + 32</t>
  </si>
  <si>
    <t xml:space="preserve">825 Blair St </t>
  </si>
  <si>
    <t>33177-5609</t>
  </si>
  <si>
    <t xml:space="preserve">51 James St </t>
  </si>
  <si>
    <t>Cape Coral Unit 36 Pt 1 Blk 2500 Pb 23 Pg 93 Lots 35 + 36</t>
  </si>
  <si>
    <t xml:space="preserve">1705 Andalusia Blvd  Cape Coral, FL 33909 </t>
  </si>
  <si>
    <t xml:space="preserve">3536 NE 18th Ave </t>
  </si>
  <si>
    <t>Sobrado</t>
  </si>
  <si>
    <t>New Rochelle</t>
  </si>
  <si>
    <t>Andujar</t>
  </si>
  <si>
    <t>11566-1617</t>
  </si>
  <si>
    <t>Michael &amp; Jill Gildea</t>
  </si>
  <si>
    <t xml:space="preserve">19 Chilehalde </t>
  </si>
  <si>
    <t>Rick</t>
  </si>
  <si>
    <t xml:space="preserve">1005 NE 13th Pl  Cape Coral, FL 33909 </t>
  </si>
  <si>
    <t xml:space="preserve">6113 Laurelwood Dr  Fort Myers, FL 33905 </t>
  </si>
  <si>
    <t>23139-7419</t>
  </si>
  <si>
    <t>American &amp; April Daughtry</t>
  </si>
  <si>
    <t>11234-3711</t>
  </si>
  <si>
    <t xml:space="preserve">9799 NW 127th St  Hialeah, FL 33018-7403 </t>
  </si>
  <si>
    <t xml:space="preserve">113 NE 7th Ter </t>
  </si>
  <si>
    <t xml:space="preserve">2906 NE Juanita Pl  Cape Coral, FL 33909 </t>
  </si>
  <si>
    <t>Gladiolus</t>
  </si>
  <si>
    <t>33143-4320</t>
  </si>
  <si>
    <t>Baltodano</t>
  </si>
  <si>
    <t>Rocco</t>
  </si>
  <si>
    <t xml:space="preserve">1034 Christina Dr  Leesport, PA 19533-8804 </t>
  </si>
  <si>
    <t>Cape Coral Unit 34 Blk.2417 Pb 16 Pg 78 Lots 25 + 26</t>
  </si>
  <si>
    <t xml:space="preserve">11130 N Brighton Pl </t>
  </si>
  <si>
    <t xml:space="preserve">1633 NE 27th St </t>
  </si>
  <si>
    <t>Martina Hansenn-Przyblya &amp; Marcel Reinders</t>
  </si>
  <si>
    <t xml:space="preserve">20990 N Tamiami Trl  North Fort Myers, FL 33903 </t>
  </si>
  <si>
    <t>Trevor Forbes</t>
  </si>
  <si>
    <t xml:space="preserve">4207 S Dale Mabry Hwy #12210 </t>
  </si>
  <si>
    <t>Cape Coral Unit 33 Blk.2241 Pb 16 Pg 55 Lots 20 + 21</t>
  </si>
  <si>
    <t xml:space="preserve">67491 Rose Dr </t>
  </si>
  <si>
    <t>A Lot In Sw 1/4 Of Ne 1/4 Desc As Lot R-1 + R-2 In Or 4170 Pg 4648</t>
  </si>
  <si>
    <t>34-43-25-03-00001.0230</t>
  </si>
  <si>
    <t xml:space="preserve">2701 18th Ave E  Hibbing, MN 55746-3409 </t>
  </si>
  <si>
    <t xml:space="preserve">911 NE 13th Pl  Cape Coral, FL 33909 </t>
  </si>
  <si>
    <t>32-43-24-c3-02236.0380</t>
  </si>
  <si>
    <t>Cape Coral Unit 36 Blk 2321 Pb 16 Pg 126 Lots 7 + 8</t>
  </si>
  <si>
    <t xml:space="preserve">Po Box 897 </t>
  </si>
  <si>
    <t>Rochester</t>
  </si>
  <si>
    <t>Grand Rapids</t>
  </si>
  <si>
    <t>Schenectady</t>
  </si>
  <si>
    <t>Coley</t>
  </si>
  <si>
    <t xml:space="preserve">5959 Brightwood Dr </t>
  </si>
  <si>
    <t xml:space="preserve">23 Deerfield Dr </t>
  </si>
  <si>
    <t>32-43-24-c3-02229.0010</t>
  </si>
  <si>
    <t>Shelbyville</t>
  </si>
  <si>
    <t xml:space="preserve">Po Box 1036 </t>
  </si>
  <si>
    <t xml:space="preserve">1192 Christina St N </t>
  </si>
  <si>
    <t>Gus Kouvelis</t>
  </si>
  <si>
    <t xml:space="preserve">1514 NE 7th Ave </t>
  </si>
  <si>
    <t>Linda &amp; Alice Gasparini</t>
  </si>
  <si>
    <t xml:space="preserve">1448 Grant St  Huntington, IN 46750-3120 </t>
  </si>
  <si>
    <t>07064-1111</t>
  </si>
  <si>
    <t>33903-2812</t>
  </si>
  <si>
    <t xml:space="preserve">57 Compton Ave  Hazlet Township, NJ 07734-3108 </t>
  </si>
  <si>
    <t>Laroche</t>
  </si>
  <si>
    <t xml:space="preserve">1703 NE 34th Ln </t>
  </si>
  <si>
    <t xml:space="preserve">1750 NE 37th Ave </t>
  </si>
  <si>
    <t>Euclides Serda</t>
  </si>
  <si>
    <t xml:space="preserve">215 Miller St  Middleboro, MA 02346-3137 </t>
  </si>
  <si>
    <t>21057-9444</t>
  </si>
  <si>
    <t>Matich</t>
  </si>
  <si>
    <t>Ellerslie</t>
  </si>
  <si>
    <t>33904-3546</t>
  </si>
  <si>
    <t>Theresa Espaillat &amp; Juan Millan</t>
  </si>
  <si>
    <t>For Harold B Pearson Trust</t>
  </si>
  <si>
    <t>Arturo &amp; Nilsa Ramirez</t>
  </si>
  <si>
    <t xml:space="preserve">558 Lafayette Blvd </t>
  </si>
  <si>
    <t xml:space="preserve">8786 Pigeon Ky </t>
  </si>
  <si>
    <t>Cape Coral Ut 87 Blk 5749 Pb 24 Pg 68 Lots 61 + 62</t>
  </si>
  <si>
    <t>Robt</t>
  </si>
  <si>
    <t>33909-4455</t>
  </si>
  <si>
    <t xml:space="preserve">3610 NE 12th Ave  Cape Coral, FL 33909 </t>
  </si>
  <si>
    <t>86325-4940</t>
  </si>
  <si>
    <t>33909-1008</t>
  </si>
  <si>
    <t>33909-1689</t>
  </si>
  <si>
    <t xml:space="preserve">1209 11th St #5, North Bergen, NJ 07047-1855 </t>
  </si>
  <si>
    <t xml:space="preserve">206 SE 31st St </t>
  </si>
  <si>
    <t>Rachael</t>
  </si>
  <si>
    <t xml:space="preserve">4014 E Gator Cir </t>
  </si>
  <si>
    <t>Diane Crichlow &amp; Freddie Salinas</t>
  </si>
  <si>
    <t xml:space="preserve">5790 Burrwood Ct </t>
  </si>
  <si>
    <t xml:space="preserve">2608 NE 5th Pl  Cape Coral, FL 33909 </t>
  </si>
  <si>
    <t>N1L 1G3</t>
  </si>
  <si>
    <t xml:space="preserve">14 Magnolia Ct  Piscataway, NJ 08854-2299 </t>
  </si>
  <si>
    <t>197th</t>
  </si>
  <si>
    <t xml:space="preserve">3903 NE 12th Ave </t>
  </si>
  <si>
    <t xml:space="preserve">15450 Allen Way </t>
  </si>
  <si>
    <t>Cape Coral Unit 84 Blk 5600 Pb 24 Pg 43 Lots 35 + 36</t>
  </si>
  <si>
    <t xml:space="preserve">6621 Biscayne Blvd  Minneapolis, MN 55436-1703 </t>
  </si>
  <si>
    <t>20-43-24-c4-05634.0120</t>
  </si>
  <si>
    <t>Cape Coral Unit 85 Blk 5646 Pb 24 Pg 56 Lots 9 + 10</t>
  </si>
  <si>
    <t>Ogdensburg</t>
  </si>
  <si>
    <t>Enelida Chapman &amp; Barbara Cartas</t>
  </si>
  <si>
    <t xml:space="preserve">825 NE 9th Ter  Cape Coral, FL 33909 </t>
  </si>
  <si>
    <t>J F J &amp; Margarida Pereira</t>
  </si>
  <si>
    <t>Fabio Moreno</t>
  </si>
  <si>
    <t>Union Grove</t>
  </si>
  <si>
    <t>Faiza</t>
  </si>
  <si>
    <t>01-44-23-c4-02413.0090</t>
  </si>
  <si>
    <t>Rosemere</t>
  </si>
  <si>
    <t>Cape Coral Unit 87 Blk 5729 Pb 24 Pg 86 Lots 8 + 9</t>
  </si>
  <si>
    <t>Richard W Schmidt and Donna G Schmidt Revocable Trust</t>
  </si>
  <si>
    <t>30213-6000</t>
  </si>
  <si>
    <t>Litwiller</t>
  </si>
  <si>
    <t xml:space="preserve">17135 Taffy St </t>
  </si>
  <si>
    <t xml:space="preserve">2029 NE 2nd Ave  Cape Coral, FL 33909 </t>
  </si>
  <si>
    <t>11-44-25-10-00000.4050</t>
  </si>
  <si>
    <t>11-44-25-11-00000.0540</t>
  </si>
  <si>
    <t>99645-4129</t>
  </si>
  <si>
    <t>02-46-23-02-0000d.0610</t>
  </si>
  <si>
    <t>03842-3662</t>
  </si>
  <si>
    <t>Benbo</t>
  </si>
  <si>
    <t>Phillip Thomas &amp; Phillip For</t>
  </si>
  <si>
    <t xml:space="preserve">424 SE 26th Ter  Cape Coral, FL 33904 </t>
  </si>
  <si>
    <t xml:space="preserve">1008 NE 36th Ter  Cape Coral, FL 33909 </t>
  </si>
  <si>
    <t>Cape Coral Unit 84 Blk 5593 Pb 24 Pg 41 Lots 83 Thru 85</t>
  </si>
  <si>
    <t>Tomas &amp; Elena Ossando</t>
  </si>
  <si>
    <t xml:space="preserve">2126 NE 1st Ave  Cape Coral, FL 33909 </t>
  </si>
  <si>
    <t>W Youakim</t>
  </si>
  <si>
    <t>Cypress Woods Rv Resort Unit 4 Pb 79 Pgs 68-71 Blk D Lot 35</t>
  </si>
  <si>
    <t>Adolewski-Haas</t>
  </si>
  <si>
    <t xml:space="preserve">25 Rue Du Levant  Marsillargues, FR </t>
  </si>
  <si>
    <t>33909-3232</t>
  </si>
  <si>
    <t>Alejandro</t>
  </si>
  <si>
    <t>Eliot</t>
  </si>
  <si>
    <t>05-44-24-c2-03511.0320</t>
  </si>
  <si>
    <t xml:space="preserve">8 Apple St  Central Islip, NY 11722-4303 </t>
  </si>
  <si>
    <t>20175-4407</t>
  </si>
  <si>
    <t>33174-2104</t>
  </si>
  <si>
    <t>33904-5481</t>
  </si>
  <si>
    <t xml:space="preserve">Po Box 10088 </t>
  </si>
  <si>
    <t xml:space="preserve">6856 Birch Grove Rd </t>
  </si>
  <si>
    <t>Koczara</t>
  </si>
  <si>
    <t xml:space="preserve">2039 NE 42nd St </t>
  </si>
  <si>
    <t xml:space="preserve">3713 W Gator Cir </t>
  </si>
  <si>
    <t xml:space="preserve">1209 NE 7th Pl  Cape Coral, FL 33909 </t>
  </si>
  <si>
    <t xml:space="preserve">118a St #11425 </t>
  </si>
  <si>
    <t xml:space="preserve">2024 NE 7th Pl </t>
  </si>
  <si>
    <t>06340-6121</t>
  </si>
  <si>
    <t>James &amp; Jennie Valesky</t>
  </si>
  <si>
    <t>Agatha</t>
  </si>
  <si>
    <t>Ulises</t>
  </si>
  <si>
    <t>Calle 72</t>
  </si>
  <si>
    <t>16-44-26-08-00024.0210</t>
  </si>
  <si>
    <t>Inge</t>
  </si>
  <si>
    <t>33016-6207</t>
  </si>
  <si>
    <t>Yaklin &amp; Richard Yaklin Family</t>
  </si>
  <si>
    <t xml:space="preserve">4332 Connection Ave  Cape Coral, FL 33909 </t>
  </si>
  <si>
    <t xml:space="preserve">1507 NE 36th Ln  Cape Coral, FL 33909 </t>
  </si>
  <si>
    <t xml:space="preserve">2511 NE 1st Ave  Cape Coral, FL 33909 </t>
  </si>
  <si>
    <t xml:space="preserve">16450 SW 55th Ter </t>
  </si>
  <si>
    <t>Fort Washington</t>
  </si>
  <si>
    <t xml:space="preserve">2409 NW 28th St </t>
  </si>
  <si>
    <t>Eleanor Jonson</t>
  </si>
  <si>
    <t xml:space="preserve">9771 Westberry Ct </t>
  </si>
  <si>
    <t>Jennifer Bayens Warren Living Trust</t>
  </si>
  <si>
    <t>Timber</t>
  </si>
  <si>
    <t>31-43-24-c1-02168.0350</t>
  </si>
  <si>
    <t>11-44-25-l1-1400b.4360</t>
  </si>
  <si>
    <t>Blanca</t>
  </si>
  <si>
    <t xml:space="preserve">Po Box 186 Stn Main </t>
  </si>
  <si>
    <t xml:space="preserve">2202 NE 22nd Ave  Cape Coral, FL 33909 </t>
  </si>
  <si>
    <t>34145-2704</t>
  </si>
  <si>
    <t>Deo Hobbs</t>
  </si>
  <si>
    <t>33909-7363</t>
  </si>
  <si>
    <t xml:space="preserve">4129 NE 20th Ct </t>
  </si>
  <si>
    <t>16-44-26-01-00034.0030</t>
  </si>
  <si>
    <t>Lehigh Acres Unit 8 Blk 36 Pb 26 Pg 10 Lot 10</t>
  </si>
  <si>
    <t xml:space="preserve">8805 Tamiami Trl N #117 </t>
  </si>
  <si>
    <t>Brandermill</t>
  </si>
  <si>
    <t>33326-3337</t>
  </si>
  <si>
    <t xml:space="preserve">1216 Pleasant Valley Rd N </t>
  </si>
  <si>
    <t>03-44-26-09-00044.0050</t>
  </si>
  <si>
    <t>Cape Coral Unit 85 Blk 5667 Pb 24 Pg 53 Lots 24 + 25</t>
  </si>
  <si>
    <t xml:space="preserve">3151 Ferndell Acres Dr  Oneida, WI 54155-9069 </t>
  </si>
  <si>
    <t>Krysti</t>
  </si>
  <si>
    <t>Dhaniram</t>
  </si>
  <si>
    <t xml:space="preserve">3553 Gordon Dr  Naples, FL 34102-7909 </t>
  </si>
  <si>
    <t>Riviera Beach</t>
  </si>
  <si>
    <t>Cape Coral Unit 34 Blk 2462 Pb 16 Pg 84 Lots 21 + 22</t>
  </si>
  <si>
    <t xml:space="preserve">1416 NE 2nd Ave </t>
  </si>
  <si>
    <t xml:space="preserve">1046 Fisher Ave  Secaucus, NJ 07094-4120 </t>
  </si>
  <si>
    <t xml:space="preserve">4328 Everett Ave </t>
  </si>
  <si>
    <t>Waldemar Guinther</t>
  </si>
  <si>
    <t xml:space="preserve">3312 Ryan Dr  Suitland, MD 20746-2109 </t>
  </si>
  <si>
    <t xml:space="preserve">131 Daniel Webster Hwy </t>
  </si>
  <si>
    <t>19-43-24-c2-05610.0330</t>
  </si>
  <si>
    <t>Haatzmaut</t>
  </si>
  <si>
    <t>Sonya</t>
  </si>
  <si>
    <t xml:space="preserve">4128 NE 15th Ave  Cape Coral, FL 33909 </t>
  </si>
  <si>
    <t xml:space="preserve">3812 NE 23rd Pl  Cape Coral, FL 33909 </t>
  </si>
  <si>
    <t>Chapel</t>
  </si>
  <si>
    <t>35-43-24-00-00001.006a</t>
  </si>
  <si>
    <t>Red Oak</t>
  </si>
  <si>
    <t>Cypress Trail Rv Resort Ph 3 As Desc In Inst# 2015000085552 Lot 45</t>
  </si>
  <si>
    <t xml:space="preserve">1424 NE 9th Ave </t>
  </si>
  <si>
    <t xml:space="preserve">235 Cassandra Blvd </t>
  </si>
  <si>
    <t xml:space="preserve">2327 NE 35th Ln  Cape Coral, FL 33909 </t>
  </si>
  <si>
    <t>19-43-24-c4-05562.0410</t>
  </si>
  <si>
    <t xml:space="preserve">2824 NE 6th Pl </t>
  </si>
  <si>
    <t>Shahla Sayeedi</t>
  </si>
  <si>
    <t>Cape Coral Unit 47 Pt 2 Blk 3530 Pb 23 Pg 121 Lots 29 + 30</t>
  </si>
  <si>
    <t>For Max L &amp; Cathy S Stinson Trust</t>
  </si>
  <si>
    <t xml:space="preserve">131 Amble Dr  North Fort Myers, FL 33903 </t>
  </si>
  <si>
    <t>Marthia</t>
  </si>
  <si>
    <t>Richard &amp; Rita Albright</t>
  </si>
  <si>
    <t xml:space="preserve">5140 Cypress Trail Resort Cir  Fort Myers, FL 33905 </t>
  </si>
  <si>
    <t xml:space="preserve">763 Davis Rd  East Aurora, NY 14052-9760 </t>
  </si>
  <si>
    <t>James &amp; Debra Feeney</t>
  </si>
  <si>
    <t>17038-8223</t>
  </si>
  <si>
    <t>Kirkwood</t>
  </si>
  <si>
    <t>07047-2238</t>
  </si>
  <si>
    <t>29223-6018</t>
  </si>
  <si>
    <t xml:space="preserve">3747 NE 13th Ave </t>
  </si>
  <si>
    <t xml:space="preserve">2421 NE 5th Pl  Cape Coral, FL 33909 </t>
  </si>
  <si>
    <t>55044-7146</t>
  </si>
  <si>
    <t xml:space="preserve">137 Pago Pago Dr E  Naples, FL 34113-8664 </t>
  </si>
  <si>
    <t>31-43-24-c4-02110.0030</t>
  </si>
  <si>
    <t>Thomas &amp; Brenda Lopez</t>
  </si>
  <si>
    <t>33909-6140</t>
  </si>
  <si>
    <t>Tiemann</t>
  </si>
  <si>
    <t xml:space="preserve">51 S Palm Aire Dr #9 </t>
  </si>
  <si>
    <t xml:space="preserve">342 NE 25th Ter </t>
  </si>
  <si>
    <t xml:space="preserve">5457 Cypress Trail Resort Cir </t>
  </si>
  <si>
    <t xml:space="preserve">6109 Hendley Ct </t>
  </si>
  <si>
    <t>Ellers</t>
  </si>
  <si>
    <t>Carreno</t>
  </si>
  <si>
    <t xml:space="preserve">1723 Andalusia Blvd </t>
  </si>
  <si>
    <t>Jamaica</t>
  </si>
  <si>
    <t>33909-8821</t>
  </si>
  <si>
    <t xml:space="preserve">Po Box 10278-1000 </t>
  </si>
  <si>
    <t>31-44-24-c4-00825.0230</t>
  </si>
  <si>
    <t xml:space="preserve">2131 NE 35th St </t>
  </si>
  <si>
    <t xml:space="preserve">114 Route De Grenade  Blagnac, FR </t>
  </si>
  <si>
    <t xml:space="preserve">4230 Connection Ave  Cape Coral, FL 33909 </t>
  </si>
  <si>
    <t xml:space="preserve">10943 Houndwell Way </t>
  </si>
  <si>
    <t>19-43-24-c2-05597.0200</t>
  </si>
  <si>
    <t>Saad</t>
  </si>
  <si>
    <t>Patricio Phomphakdy</t>
  </si>
  <si>
    <t xml:space="preserve">1805 NE 22nd Ter  Cape Coral, FL 33909 </t>
  </si>
  <si>
    <t xml:space="preserve">7327 Briella Dr  Boynton Beach, FL 33437-3767 </t>
  </si>
  <si>
    <t xml:space="preserve">2163 NE 20th Ln </t>
  </si>
  <si>
    <t xml:space="preserve">3900 NE 16th Ave  Cape Coral, FL 33909 </t>
  </si>
  <si>
    <t xml:space="preserve">5758 Riverside Dr </t>
  </si>
  <si>
    <t>Cedar Hammock</t>
  </si>
  <si>
    <t xml:space="preserve">2219 Andalusia Blvd  Cape Coral, FL 33909 </t>
  </si>
  <si>
    <t xml:space="preserve">1385 Wood Ave  Bridgeport, CT 06604-1426 </t>
  </si>
  <si>
    <t xml:space="preserve">714 Morris Rd </t>
  </si>
  <si>
    <t>Rogeria</t>
  </si>
  <si>
    <t>Zeccola</t>
  </si>
  <si>
    <t xml:space="preserve">1595 NE 135th St #213, North Miami, FL 33161-4445 </t>
  </si>
  <si>
    <t xml:space="preserve">1218 NE 14th Ave  Cape Coral, FL 33909 </t>
  </si>
  <si>
    <t>Lehigh Acres Unit 5 Blk 25 Pb 26 Pg 32 Lot 3</t>
  </si>
  <si>
    <t xml:space="preserve">708 NE 2nd Ave  Cape Coral, FL 33909 </t>
  </si>
  <si>
    <t xml:space="preserve">479 Lous Frederic Ducres  Perey, FR </t>
  </si>
  <si>
    <t>25-43-23-c2-02346.0250</t>
  </si>
  <si>
    <t>Cape Coral Unit 19 Blk.1175 Pb 13 Pg 124 Lots 7 + 8</t>
  </si>
  <si>
    <t xml:space="preserve">831 Diplomat Pkwy E </t>
  </si>
  <si>
    <t>33955-1164</t>
  </si>
  <si>
    <t>Halina Panas</t>
  </si>
  <si>
    <t>Cape Coral Unit 87 Blk 5747 Pb 24 Pg 70 Lot 21</t>
  </si>
  <si>
    <t>Manuel &amp; Manuel Ojeda</t>
  </si>
  <si>
    <t>32-43-24-c4-02202.0510</t>
  </si>
  <si>
    <t>25-43-23-c3-02351.0710</t>
  </si>
  <si>
    <t xml:space="preserve">1401 NE 33rd Ln  Cape Coral, FL 33909 </t>
  </si>
  <si>
    <t>17-43-24-c1-05822.0190</t>
  </si>
  <si>
    <t>Cape Coral Unit 88 Blk 5820 Pb 24 Pg 143 Lots 23 + 24</t>
  </si>
  <si>
    <t>33196-5731</t>
  </si>
  <si>
    <t>Stienstraw</t>
  </si>
  <si>
    <t>R505</t>
  </si>
  <si>
    <t xml:space="preserve">600 E Canfield St  Avon Park, FL 33825 </t>
  </si>
  <si>
    <t>18-43-24-c4-05579.0190</t>
  </si>
  <si>
    <t>Wollman</t>
  </si>
  <si>
    <t>24th</t>
  </si>
  <si>
    <t>Coral Terrace</t>
  </si>
  <si>
    <t>Socorro Galano</t>
  </si>
  <si>
    <t>33909-9216</t>
  </si>
  <si>
    <t>Ricky &amp; Brenda Parker</t>
  </si>
  <si>
    <t xml:space="preserve">216 S We Go Trl  Mount Prospect, IL 60056-2961 </t>
  </si>
  <si>
    <t xml:space="preserve">Psc 450 Box 85 </t>
  </si>
  <si>
    <t>Cape Coral Unit 36 Blk 2348 Pb 16 Pg 129 Lots 28 + 29</t>
  </si>
  <si>
    <t xml:space="preserve">1252 NE 41st Ter </t>
  </si>
  <si>
    <t xml:space="preserve">336 Lakeside Blvd  Hopatcong, NJ 07843-1620 </t>
  </si>
  <si>
    <t>Bermudez</t>
  </si>
  <si>
    <t xml:space="preserve">10223 Butterweed Trl  Fort Myers, FL 33905 </t>
  </si>
  <si>
    <t xml:space="preserve">2653 N 1220 W </t>
  </si>
  <si>
    <t>Thomas Phillip R Tr</t>
  </si>
  <si>
    <t xml:space="preserve">2732 NE 6th Ave </t>
  </si>
  <si>
    <t>Hornung</t>
  </si>
  <si>
    <t xml:space="preserve">3339 NE 13th Ave  Cape Coral, FL 33909 </t>
  </si>
  <si>
    <t>Cave Spring</t>
  </si>
  <si>
    <t xml:space="preserve">14385 Brookmere Blvd NW  Prior Lake, MN 55372-4112 </t>
  </si>
  <si>
    <t>Brian Bernath</t>
  </si>
  <si>
    <t>Rush</t>
  </si>
  <si>
    <t>Eastern</t>
  </si>
  <si>
    <t>Cape Coral Unit 34 Blk 2466 Pb 16 Pg 76 Lots 51 + 52</t>
  </si>
  <si>
    <t xml:space="preserve">922 NE 5th Ave  Cape Coral, FL 33909 </t>
  </si>
  <si>
    <t xml:space="preserve">1307 NE 23rd Ter </t>
  </si>
  <si>
    <t xml:space="preserve">1807 NE 2nd St  Cape Coral, FL 33909 </t>
  </si>
  <si>
    <t xml:space="preserve">3680 Heron Ridge Ln  Weston, FL 33331-3707 </t>
  </si>
  <si>
    <t>17-43-24-c1-05778.0390</t>
  </si>
  <si>
    <t xml:space="preserve">4833 Trinidad Dr  Land O Lakes, FL 34639-5649 </t>
  </si>
  <si>
    <t xml:space="preserve">418 Salisbury Cir  Vacaville, CA 95687-8212 </t>
  </si>
  <si>
    <t>20-43-24-c2-05668.0590</t>
  </si>
  <si>
    <t xml:space="preserve">1037 Daffodil Dr  De Pere, WI 54115-7698 </t>
  </si>
  <si>
    <t>33909-4254</t>
  </si>
  <si>
    <t xml:space="preserve">331 NE 25th St </t>
  </si>
  <si>
    <t>Cape Coral Unit 88 Blk 5798 Pb 24 Pg 131 Lots 22 + 23</t>
  </si>
  <si>
    <t>02144-2225</t>
  </si>
  <si>
    <t>Hue Vanvo &amp; Vo Tran</t>
  </si>
  <si>
    <t xml:space="preserve">343 NE 19th Ter  Cape Coral, FL 33909 </t>
  </si>
  <si>
    <t>Wheeling</t>
  </si>
  <si>
    <t xml:space="preserve">4180 River Grove Ln </t>
  </si>
  <si>
    <t>Elaine &amp; Del Paterno</t>
  </si>
  <si>
    <t xml:space="preserve">203 Woodlake Dr </t>
  </si>
  <si>
    <t>Haislip</t>
  </si>
  <si>
    <t xml:space="preserve">71 Des Lotus Rue  Gatineau, QC J9j 2G4 </t>
  </si>
  <si>
    <t>Euclid</t>
  </si>
  <si>
    <t>Cape Coral Unit 19 Blk 1241 Pb 13 Pg 134 Lots 16 Thru 18</t>
  </si>
  <si>
    <t xml:space="preserve">1501 S Gator Cir  Cape Coral, FL 33909 </t>
  </si>
  <si>
    <t xml:space="preserve">8416 Mcvicker Ave </t>
  </si>
  <si>
    <t xml:space="preserve">3 Hintergasse </t>
  </si>
  <si>
    <t xml:space="preserve">285 Somerworth Dr </t>
  </si>
  <si>
    <t>Marquand</t>
  </si>
  <si>
    <t xml:space="preserve">1551 Defense Hwy  Gambrills, MD 21054-1907 </t>
  </si>
  <si>
    <t xml:space="preserve">1809 SW Stonecrest Dr  Blue Springs, MO 64015 </t>
  </si>
  <si>
    <t xml:space="preserve">5590 Cypress Woods Resort Dr </t>
  </si>
  <si>
    <t>Corbett-Coulter</t>
  </si>
  <si>
    <t xml:space="preserve">1130 NE 39th Ter  Cape Coral, FL 33909 </t>
  </si>
  <si>
    <t>Venona</t>
  </si>
  <si>
    <t>Bergstrom</t>
  </si>
  <si>
    <t>Lavarro</t>
  </si>
  <si>
    <t>06-44-24-c1-02066.0510</t>
  </si>
  <si>
    <t xml:space="preserve">211 Stonehouse Rd  Glen Ridge, NJ 07028-1815 </t>
  </si>
  <si>
    <t>Donadio</t>
  </si>
  <si>
    <t>Cypress Trail Rv Resort Phase 2-A As Desc In Inst# 2014000026506 Lot 249</t>
  </si>
  <si>
    <t>06-44-24-c2-02067.0500</t>
  </si>
  <si>
    <t>33909-1973</t>
  </si>
  <si>
    <t>44483-4607</t>
  </si>
  <si>
    <t xml:space="preserve">34 Netherford Rd </t>
  </si>
  <si>
    <t>Sascha &amp; Inge Sommer</t>
  </si>
  <si>
    <t>11501-3244</t>
  </si>
  <si>
    <t xml:space="preserve">2730 Benvenue Ave B </t>
  </si>
  <si>
    <t>Thiruloga Jagannathan</t>
  </si>
  <si>
    <t>Madigan</t>
  </si>
  <si>
    <t>03-44-26-02-00009.0190</t>
  </si>
  <si>
    <t>36-43-23-c2-02531.0260</t>
  </si>
  <si>
    <t>01-44-23-c3-02392.0140</t>
  </si>
  <si>
    <t>07-46-25-04-00w00.0880</t>
  </si>
  <si>
    <t>44143-3579</t>
  </si>
  <si>
    <t>36-43-23-c1-02520.0260</t>
  </si>
  <si>
    <t>Zgoda</t>
  </si>
  <si>
    <t>Fernandez Felipe &amp; Tania Fernandez</t>
  </si>
  <si>
    <t>Richard &amp; Jennifer Hein</t>
  </si>
  <si>
    <t xml:space="preserve">15696 225th St  New Ulm, MN 56073-5012 </t>
  </si>
  <si>
    <t xml:space="preserve">6208 Bridgevista Dr </t>
  </si>
  <si>
    <t>Cape Coral Unit 87 Blk 5684 Pb 24 Pg 74 Lots 15 + 16</t>
  </si>
  <si>
    <t xml:space="preserve">4351 Royal Palm Ave </t>
  </si>
  <si>
    <t xml:space="preserve">3434 Colwell Ave #200, Tampa, FL 33614-8390 </t>
  </si>
  <si>
    <t xml:space="preserve">5750 Cypress Woods Resort Dr </t>
  </si>
  <si>
    <t>Claudio</t>
  </si>
  <si>
    <t xml:space="preserve">2711 NE Juanita Pl  Cape Coral, FL 33909 </t>
  </si>
  <si>
    <t xml:space="preserve">Po Box 2 </t>
  </si>
  <si>
    <t>55901-1456</t>
  </si>
  <si>
    <t xml:space="preserve">9618 NW 16th Ct  Pembroke Pines, FL 33024-4486 </t>
  </si>
  <si>
    <t xml:space="preserve">10078 Parkwood Dr </t>
  </si>
  <si>
    <t>Hubbard</t>
  </si>
  <si>
    <t xml:space="preserve">316 NE 24th Ter </t>
  </si>
  <si>
    <t>Rondestvedt</t>
  </si>
  <si>
    <t>32-43-24-c1-02179.0050</t>
  </si>
  <si>
    <t>Birgit &amp; Joachim Grafe</t>
  </si>
  <si>
    <t>Maxance</t>
  </si>
  <si>
    <t>Lehigh Acres Unit 13 Blk 72 Pb 0026 Pg 0017 Lot 1</t>
  </si>
  <si>
    <t>State Route 79</t>
  </si>
  <si>
    <t>33909-8870</t>
  </si>
  <si>
    <t>Burkle</t>
  </si>
  <si>
    <t xml:space="preserve">4624 SW 127th Pl  Miami, FL 33175-4638 </t>
  </si>
  <si>
    <t>32725-8470</t>
  </si>
  <si>
    <t>77th</t>
  </si>
  <si>
    <t>Dempsey</t>
  </si>
  <si>
    <t>18-43-24-c4-05701.0390</t>
  </si>
  <si>
    <t>33909-5423</t>
  </si>
  <si>
    <t>Cypress Trail Rv Resort Phase 2-A As Desc In Inst# 2014000026506 Lot 22</t>
  </si>
  <si>
    <t>R069</t>
  </si>
  <si>
    <t>Nhi</t>
  </si>
  <si>
    <t xml:space="preserve">1021 Ajay Dr </t>
  </si>
  <si>
    <t xml:space="preserve">101 Soundview Ave  White Plains, NY 10606-3616 </t>
  </si>
  <si>
    <t>33909-2657</t>
  </si>
  <si>
    <t>32780-7154</t>
  </si>
  <si>
    <t>Marcos</t>
  </si>
  <si>
    <t xml:space="preserve">627 SE 31st St  Cape Coral, FL 33904 </t>
  </si>
  <si>
    <t xml:space="preserve">1912 NE 4th Ave  Cape Coral, FL 33909 </t>
  </si>
  <si>
    <t xml:space="preserve">5300 Cypress Trail Resort Cir </t>
  </si>
  <si>
    <t xml:space="preserve">Burgermeister #10, Greenville, SC 29614 </t>
  </si>
  <si>
    <t>Mary Patterson &amp; Philomena Jenkins</t>
  </si>
  <si>
    <t>Ossining</t>
  </si>
  <si>
    <t>Cape Coral Unit 26 Blk.878 Pb 14 Pg 128 Lots 35 + 36</t>
  </si>
  <si>
    <t>03-44-26-11-00056.0200</t>
  </si>
  <si>
    <t>Lloret</t>
  </si>
  <si>
    <t>Drenckhahn</t>
  </si>
  <si>
    <t>Sharps Rock</t>
  </si>
  <si>
    <t xml:space="preserve">2126 NE 34th Ln  Cape Coral, FL 33909 </t>
  </si>
  <si>
    <t>Shepherdsville</t>
  </si>
  <si>
    <t>Lehigh Acres Unit 11 Blk 59 Pb 26 Pg 14 Lot 23</t>
  </si>
  <si>
    <t>Brightwood</t>
  </si>
  <si>
    <t>Ronan</t>
  </si>
  <si>
    <t>20-43-24-c2-05658.0330</t>
  </si>
  <si>
    <t>33411-6623</t>
  </si>
  <si>
    <t>Horvath</t>
  </si>
  <si>
    <t xml:space="preserve">31 Muirhead Cres </t>
  </si>
  <si>
    <t>Balido</t>
  </si>
  <si>
    <t xml:space="preserve">2429 NE 7th Pl  Cape Coral, FL 33909 </t>
  </si>
  <si>
    <t>36-43-23-c4-02506.0010</t>
  </si>
  <si>
    <t>Graham-Bruckus</t>
  </si>
  <si>
    <t>10-44-25-09-00000.0289</t>
  </si>
  <si>
    <t xml:space="preserve">3716 Kittyhawk Dr </t>
  </si>
  <si>
    <t>Shutt</t>
  </si>
  <si>
    <t xml:space="preserve">528 NE 31st Ter </t>
  </si>
  <si>
    <t>Roberts</t>
  </si>
  <si>
    <t>Coon Rapids</t>
  </si>
  <si>
    <t>92604-4569</t>
  </si>
  <si>
    <t>Felicidad &amp; For Escano</t>
  </si>
  <si>
    <t xml:space="preserve">7600 Shore Front Pkwy 10k </t>
  </si>
  <si>
    <t>33909-6107</t>
  </si>
  <si>
    <t>Sevierville</t>
  </si>
  <si>
    <t xml:space="preserve">16 Classmannstr </t>
  </si>
  <si>
    <t>34119-4715</t>
  </si>
  <si>
    <t xml:space="preserve">1276 Arthurs Ct  Pinckney, MI 48169-9077 </t>
  </si>
  <si>
    <t>11428-1728</t>
  </si>
  <si>
    <t xml:space="preserve">2506 NE 19th Pl  Cape Coral, FL 33909 </t>
  </si>
  <si>
    <t>33903-1409</t>
  </si>
  <si>
    <t>05-44-24-c1-03532.0270</t>
  </si>
  <si>
    <t>89052-6936</t>
  </si>
  <si>
    <t xml:space="preserve">3867 Mcelroy Rd </t>
  </si>
  <si>
    <t>33027-3692</t>
  </si>
  <si>
    <t>33903-7333</t>
  </si>
  <si>
    <t>33905-4314</t>
  </si>
  <si>
    <t>Benjamin Brochero</t>
  </si>
  <si>
    <t>11358-2863</t>
  </si>
  <si>
    <t xml:space="preserve">3300 NE 191st St #1610, Miami, FL 33180-2447 </t>
  </si>
  <si>
    <t>18-43-24-c4-05702.0190</t>
  </si>
  <si>
    <t xml:space="preserve">29 Conifer Dr </t>
  </si>
  <si>
    <t>33909-4200</t>
  </si>
  <si>
    <t>Tami</t>
  </si>
  <si>
    <t xml:space="preserve">2521 NE 2nd Ave </t>
  </si>
  <si>
    <t>31-43-24-c2-02137.0130</t>
  </si>
  <si>
    <t>Cape Coral Unit 36 Blk 2303 Pb 16 Pg 122 Lots 27 + 28</t>
  </si>
  <si>
    <t>11710-3104</t>
  </si>
  <si>
    <t>33909-1434</t>
  </si>
  <si>
    <t xml:space="preserve">3905 NE 15th Ave </t>
  </si>
  <si>
    <t>Erik Wellmann</t>
  </si>
  <si>
    <t>19335-4520</t>
  </si>
  <si>
    <t xml:space="preserve">211 Bancroft Ave  Reading, MA 01867-2059 </t>
  </si>
  <si>
    <t xml:space="preserve">112 NE 16th Ter  Cape Coral, FL 33909 </t>
  </si>
  <si>
    <t>Hopping</t>
  </si>
  <si>
    <t xml:space="preserve">6045 Higgins Ave  Fort Myers, FL 33905 </t>
  </si>
  <si>
    <t xml:space="preserve">2028 NE 16th Pl </t>
  </si>
  <si>
    <t>Cape Coral Unit 36 Blk 2353 Pb 16 Pg 119 Lots 58 + 59</t>
  </si>
  <si>
    <t>Gabriella</t>
  </si>
  <si>
    <t xml:space="preserve">10328 Fire Flag Trl </t>
  </si>
  <si>
    <t xml:space="preserve">545 Pierce St #2301, Albany, CA 94706-1065 </t>
  </si>
  <si>
    <t>Cape Coral Unit 47 Pt 2 Blk 3520 Pb 23 Pg 126 Lots 49 + 50</t>
  </si>
  <si>
    <t xml:space="preserve">106 Gregory Dr  Luling, LA 70070-3095 </t>
  </si>
  <si>
    <t>Capitol</t>
  </si>
  <si>
    <t>Bruce Simeone</t>
  </si>
  <si>
    <t xml:space="preserve">1121 College Point Blvd #2, College Point, NY 11356-1727 </t>
  </si>
  <si>
    <t>Eugene Robinson</t>
  </si>
  <si>
    <t xml:space="preserve">7 Brookletts Ave  Easton, MD 21601-2901 </t>
  </si>
  <si>
    <t xml:space="preserve">10425 Nightwood Dr </t>
  </si>
  <si>
    <t>Marie Dileo</t>
  </si>
  <si>
    <t xml:space="preserve">3581 NE 8th Pl  Cape Coral, FL 33909 </t>
  </si>
  <si>
    <t>Phyllis Seabrook</t>
  </si>
  <si>
    <t xml:space="preserve">4350 SW 137th Ct  Miami, FL 33175-3711 </t>
  </si>
  <si>
    <t xml:space="preserve">2121 NE 15th Ln </t>
  </si>
  <si>
    <t xml:space="preserve">822 Windsong Cir NE  Massillon, OH 44646-5017 </t>
  </si>
  <si>
    <t>33908-2803</t>
  </si>
  <si>
    <t xml:space="preserve">1028 NE 15th Ter  Cape Coral, FL 33909 </t>
  </si>
  <si>
    <t>James W Zeberlein &amp; Pamela Zeberlein</t>
  </si>
  <si>
    <t>05-44-24-c4-03544.0200</t>
  </si>
  <si>
    <t>25-43-23-c2-02351.0280</t>
  </si>
  <si>
    <t>33030-8207</t>
  </si>
  <si>
    <t>Ernesto</t>
  </si>
  <si>
    <t xml:space="preserve">2300 NE Juanita Pl </t>
  </si>
  <si>
    <t>Cuco</t>
  </si>
  <si>
    <t xml:space="preserve">101 Main St #1, Northport, NY 11768-1736 </t>
  </si>
  <si>
    <t>Danae Tirikos &amp; Melinda Bahlinger</t>
  </si>
  <si>
    <t xml:space="preserve">1515 NE 23rd Ter  Cape Coral, FL 33909 </t>
  </si>
  <si>
    <t xml:space="preserve">400 Eberline Rd </t>
  </si>
  <si>
    <t>Redfield</t>
  </si>
  <si>
    <t xml:space="preserve">86 New Hackensack Rd  Wappingers Falls, NY 12590-1733 </t>
  </si>
  <si>
    <t xml:space="preserve">2922 SE 1st Ave </t>
  </si>
  <si>
    <t>07928-1829</t>
  </si>
  <si>
    <t xml:space="preserve">753 Totowa Rd </t>
  </si>
  <si>
    <t xml:space="preserve">6016 Stratton Rd  Fort Myers, FL 33905 </t>
  </si>
  <si>
    <t>Cape Coral Unit 84 Blk 5623 Pb 24 Pg 33 Lots 29 + 30</t>
  </si>
  <si>
    <t>Paloma Park Unit 1 Blk 35 Pb 7 Pg 54 Lots 2 + 13 + 14</t>
  </si>
  <si>
    <t>11-44-25-l1-1400a.1250</t>
  </si>
  <si>
    <t>29-43-24-c4-02285.0590</t>
  </si>
  <si>
    <t>Fred &amp; Roberta Attanasi</t>
  </si>
  <si>
    <t>90277-7004</t>
  </si>
  <si>
    <t xml:space="preserve">5 Country Club Ln  Colts Neck, NJ 07722-2221 </t>
  </si>
  <si>
    <t xml:space="preserve">116 Glengariff Ln  Clayton, NC 27520-5942 </t>
  </si>
  <si>
    <t>Cape Coral Unit 31 Blk 2080 Pb 14 Pg 164 Lots 4 + 5</t>
  </si>
  <si>
    <t xml:space="preserve">449 NE 7th Ave </t>
  </si>
  <si>
    <t xml:space="preserve">139 Red Hollow Rd  Martin, GA 30557-2508 </t>
  </si>
  <si>
    <t xml:space="preserve">529 NE 15th Ter </t>
  </si>
  <si>
    <t>Beverly Dorman</t>
  </si>
  <si>
    <t>36-43-23-c4-02510.0490</t>
  </si>
  <si>
    <t xml:space="preserve">2732 SE 8th Pl  Cape Coral, FL 33904 </t>
  </si>
  <si>
    <t>Choong</t>
  </si>
  <si>
    <t xml:space="preserve">6016 Tabor Ave  Fort Myers, FL 33905 </t>
  </si>
  <si>
    <t>Distrito Santiago De Surco</t>
  </si>
  <si>
    <t xml:space="preserve">29392 Clark Dr  Punta Gorda, FL 33982-2373 </t>
  </si>
  <si>
    <t xml:space="preserve">4045 18th Ave SE  Naples, FL 34117-9262 </t>
  </si>
  <si>
    <t>Ashwaubenon</t>
  </si>
  <si>
    <t>Cape Coral Unit 36 Blk 2301 Pb 16 Pg 122 Lots 30 Thru 32</t>
  </si>
  <si>
    <t xml:space="preserve">8360 NW 103rd St #202, Hialeah Gardens, FL 33016-4633 </t>
  </si>
  <si>
    <t>Sheyla Morales</t>
  </si>
  <si>
    <t>Daniel &amp; Crystal Hauser</t>
  </si>
  <si>
    <t>33186-6008</t>
  </si>
  <si>
    <t>Cape Coral Unit 87 Blk 5735 Pb 24 Pg 76 Lots 5 + 6</t>
  </si>
  <si>
    <t>Gairing</t>
  </si>
  <si>
    <t>Kuuerten</t>
  </si>
  <si>
    <t>R015</t>
  </si>
  <si>
    <t>Dalia</t>
  </si>
  <si>
    <t>Admana</t>
  </si>
  <si>
    <t xml:space="preserve">18211 SW 33rd St  Miramar, FL 33029-1627 </t>
  </si>
  <si>
    <t>29-43-24-c4-02284.0540</t>
  </si>
  <si>
    <t xml:space="preserve">10121 Shadowood Ct </t>
  </si>
  <si>
    <t>Daniel &amp; Mandi Baird</t>
  </si>
  <si>
    <t>Donald &amp; For Carter</t>
  </si>
  <si>
    <t>Samuel Chen</t>
  </si>
  <si>
    <t>Cary Acosta</t>
  </si>
  <si>
    <t>05-44-24-c1-03522.0010</t>
  </si>
  <si>
    <t xml:space="preserve">1209 NE 14th Ave </t>
  </si>
  <si>
    <t xml:space="preserve">315 SE 29th Ter </t>
  </si>
  <si>
    <t>CH</t>
  </si>
  <si>
    <t xml:space="preserve">556 Clark St  North Fort Myers, FL 33903 </t>
  </si>
  <si>
    <t>Irmen</t>
  </si>
  <si>
    <t xml:space="preserve">655 Getman Rd  Alden, NY 14004-9208 </t>
  </si>
  <si>
    <t>Cape Coral Unit 34 Blk 2465 Pb 16 Pg 80 Lots 81 + 82</t>
  </si>
  <si>
    <t xml:space="preserve">2017 NE 25th St  Cape Coral, FL 33909 </t>
  </si>
  <si>
    <t>Lehigh Acres Unit 4 Blk 17 Pb 26 Pg 6 Lot 11</t>
  </si>
  <si>
    <t>Toto</t>
  </si>
  <si>
    <t xml:space="preserve">4316 NE 14th Ave </t>
  </si>
  <si>
    <t xml:space="preserve">1531 NE 36th Ln  Cape Coral, FL 33909 </t>
  </si>
  <si>
    <t>Susannah &amp; Heriberto Rivera</t>
  </si>
  <si>
    <t>Cassell</t>
  </si>
  <si>
    <t xml:space="preserve">244 S Hunt St </t>
  </si>
  <si>
    <t xml:space="preserve">216 Reeves Creek Way  Jonesboro, GA 30236-4234 </t>
  </si>
  <si>
    <t>Cherry</t>
  </si>
  <si>
    <t>Sebouh Gueyikian</t>
  </si>
  <si>
    <t xml:space="preserve">14572 Highcrest Cir </t>
  </si>
  <si>
    <t>Lehigh Acres Unit 8 Blk 38 Pb 26 Pg 10 Lot 20</t>
  </si>
  <si>
    <t xml:space="preserve">2909 NE 1st Ave </t>
  </si>
  <si>
    <t>Leeward</t>
  </si>
  <si>
    <t>Jose Canon &amp; Torres Caro</t>
  </si>
  <si>
    <t xml:space="preserve">39 Morgan Rd  Salem, CT 06420-3829 </t>
  </si>
  <si>
    <t>36-43-23-c2-02544.0230</t>
  </si>
  <si>
    <t>Mary Miller</t>
  </si>
  <si>
    <t xml:space="preserve">10151 SW 120th St </t>
  </si>
  <si>
    <t>33909-6445</t>
  </si>
  <si>
    <t>Cape Coral Unit 32 Blk 2170 Pb 16 Pg 8 Lots 25 + 26</t>
  </si>
  <si>
    <t xml:space="preserve">4464 Walter St  Fort Myers, FL 33905 </t>
  </si>
  <si>
    <t>Shtogren</t>
  </si>
  <si>
    <t>Jorge Quintantilla &amp; Lorraine Arcarola</t>
  </si>
  <si>
    <t xml:space="preserve">806 NE 39th St </t>
  </si>
  <si>
    <t>Trang Trinh</t>
  </si>
  <si>
    <t>29-43-24-c4-02285.0340</t>
  </si>
  <si>
    <t xml:space="preserve">6045 Tabor Ave  Fort Myers, FL 33905 </t>
  </si>
  <si>
    <t>38572-1209</t>
  </si>
  <si>
    <t xml:space="preserve">3705 Teakwood St </t>
  </si>
  <si>
    <t>H091</t>
  </si>
  <si>
    <t>Laughton</t>
  </si>
  <si>
    <t xml:space="preserve">5661 Cypress Woods Resort Dr  Fort Myers, FL 33905 </t>
  </si>
  <si>
    <t>E L E &amp; Leota Mcpeek</t>
  </si>
  <si>
    <t>02532-2952</t>
  </si>
  <si>
    <t>Ira</t>
  </si>
  <si>
    <t>Cypress Trail Rv Resort As Desc In Inst# 2013000212499 Lot 198</t>
  </si>
  <si>
    <t>Id Holdings Llc Tr</t>
  </si>
  <si>
    <t xml:space="preserve">90 Garnet Hill Rd </t>
  </si>
  <si>
    <t xml:space="preserve">20 Rue Des Micocouliers </t>
  </si>
  <si>
    <t>Cape Coral Unit 36 Blk 2339 Pb 16 Pg 127 Lots 33 + 34</t>
  </si>
  <si>
    <t>H7N 2C2</t>
  </si>
  <si>
    <t>Owls Head</t>
  </si>
  <si>
    <t>57259-6511</t>
  </si>
  <si>
    <t xml:space="preserve">380 Detroit Ave  Fort Myers, FL 33905 </t>
  </si>
  <si>
    <t>7g</t>
  </si>
  <si>
    <t xml:space="preserve">410 Goodman Dr </t>
  </si>
  <si>
    <t xml:space="preserve">16 Holley St  Auburn, NY 13021-2706 </t>
  </si>
  <si>
    <t>00966-1705</t>
  </si>
  <si>
    <t xml:space="preserve">428 River Styx Rd  Hopatcong, NJ 07843-1539 </t>
  </si>
  <si>
    <t xml:space="preserve">112 NE 16th Ter </t>
  </si>
  <si>
    <t xml:space="preserve">Po Box 3363 </t>
  </si>
  <si>
    <t>33909-1483</t>
  </si>
  <si>
    <t xml:space="preserve">18 NE 11th Ln  Cape Coral, FL 33909 </t>
  </si>
  <si>
    <t>Vales</t>
  </si>
  <si>
    <t>46163-9741</t>
  </si>
  <si>
    <t xml:space="preserve">521 Hulton Rd </t>
  </si>
  <si>
    <t>Elaine Williams</t>
  </si>
  <si>
    <t>Warwick</t>
  </si>
  <si>
    <t>Malissa Maggard</t>
  </si>
  <si>
    <t xml:space="preserve">7502 Ramblewood Ct  Annandale, VA 22003-2554 </t>
  </si>
  <si>
    <t>33909-5511</t>
  </si>
  <si>
    <t>Cape Coral Unit 88 Blk 5798 Pb 24 Pg 137 Lots 32 + 33</t>
  </si>
  <si>
    <t>New York</t>
  </si>
  <si>
    <t>Mcgill</t>
  </si>
  <si>
    <t>07-45-24-c1-00272.0060</t>
  </si>
  <si>
    <t>36-43-23-c2-02545.0030</t>
  </si>
  <si>
    <t xml:space="preserve">3285 E Ruby Hill Dr </t>
  </si>
  <si>
    <t xml:space="preserve">812 Sando Dr  Fairfield, OH 45014-2734 </t>
  </si>
  <si>
    <t>19-43-24-c2-05588.0220</t>
  </si>
  <si>
    <t xml:space="preserve">215 Short St </t>
  </si>
  <si>
    <t xml:space="preserve">11641 Valleyview Dr  Fort Myers, FL 33908 </t>
  </si>
  <si>
    <t>33909-5222</t>
  </si>
  <si>
    <t>60434-3878</t>
  </si>
  <si>
    <t>01-44-23-c4-02466.0730</t>
  </si>
  <si>
    <t xml:space="preserve">1413 NE 17th Ave  Cape Coral, FL 33909 </t>
  </si>
  <si>
    <t>Cypress Woods Rv Resort Un 3 Desc In Pb 72 Pgs 92-95 Blk C Lot 51</t>
  </si>
  <si>
    <t xml:space="preserve">4767 New Broad St  Orlando, FL 32814-6405 </t>
  </si>
  <si>
    <t xml:space="preserve">919 SE 33rd Ter  Cape Coral, FL 33904 </t>
  </si>
  <si>
    <t xml:space="preserve">3509 NE 19th Pl </t>
  </si>
  <si>
    <t>H009</t>
  </si>
  <si>
    <t>Charing Cross</t>
  </si>
  <si>
    <t>Cape Coral Unit 88 Blk 5820 Pb 24 Pg 143 Lots 21 + 22</t>
  </si>
  <si>
    <t xml:space="preserve">11416 E 13 mile Rd </t>
  </si>
  <si>
    <t>Cape Coral Unit 33 Blk.2287 Pb 16 Pg 58 Lots 37 + 38</t>
  </si>
  <si>
    <t>Janet</t>
  </si>
  <si>
    <t xml:space="preserve">10452 SW Katrina Way  Port Saint Lucie, FL 34987-1984 </t>
  </si>
  <si>
    <t>18-43-24-c1-05688.0250</t>
  </si>
  <si>
    <t>Heriberto Leon</t>
  </si>
  <si>
    <t>Revocable Living Trust</t>
  </si>
  <si>
    <t>Khinda</t>
  </si>
  <si>
    <t xml:space="preserve">4072 Oakview Dr #10 </t>
  </si>
  <si>
    <t>07728-1596</t>
  </si>
  <si>
    <t xml:space="preserve">23305 131st Ave  Rosedale, NY 11422-1220 </t>
  </si>
  <si>
    <t>Granite Falls</t>
  </si>
  <si>
    <t xml:space="preserve">1086 Sloterweg  Amsterdam, NL 106 6ct </t>
  </si>
  <si>
    <t>Sant Le</t>
  </si>
  <si>
    <t xml:space="preserve">222 NE 20th St </t>
  </si>
  <si>
    <t>South Jordan</t>
  </si>
  <si>
    <t>Linvale</t>
  </si>
  <si>
    <t>Joel &amp; Gabriela Ortiz</t>
  </si>
  <si>
    <t>Marie &amp; For Petras</t>
  </si>
  <si>
    <t xml:space="preserve">1630 NE 13th Ave </t>
  </si>
  <si>
    <t>Pheasant</t>
  </si>
  <si>
    <t xml:space="preserve">259 4th St </t>
  </si>
  <si>
    <t xml:space="preserve">2118 NE 19th Pl </t>
  </si>
  <si>
    <t xml:space="preserve">3902 NE 19th Pl </t>
  </si>
  <si>
    <t>Cape Coral Unit 47 Pt 2 Blk 3522 Pb 23 Pg 126 Lots 1 + 2</t>
  </si>
  <si>
    <t>63655-8707</t>
  </si>
  <si>
    <t xml:space="preserve">304 S Jones Blvd #5313 </t>
  </si>
  <si>
    <t xml:space="preserve">3458 Taylor Blvd </t>
  </si>
  <si>
    <t>Baldeo</t>
  </si>
  <si>
    <t xml:space="preserve">421 12th St #3, Union City, NJ 07087-4205 </t>
  </si>
  <si>
    <t xml:space="preserve">1166 Orange Ave </t>
  </si>
  <si>
    <t>Nallon</t>
  </si>
  <si>
    <t>C047</t>
  </si>
  <si>
    <t xml:space="preserve">4336 Connection Ave  Cape Coral, FL 33909 </t>
  </si>
  <si>
    <t xml:space="preserve">1726 NE 8th Pl </t>
  </si>
  <si>
    <t>Michael &amp; Barbara Pike</t>
  </si>
  <si>
    <t>Shardha</t>
  </si>
  <si>
    <t xml:space="preserve">8 Muenchner St </t>
  </si>
  <si>
    <t xml:space="preserve">145 SE 25th Rd #504 </t>
  </si>
  <si>
    <t>For Kimball Realty Trust</t>
  </si>
  <si>
    <t>33068-6301</t>
  </si>
  <si>
    <t xml:space="preserve">1414 NE 33rd Ln </t>
  </si>
  <si>
    <t>19-43-24-c2-05589.0020</t>
  </si>
  <si>
    <t>Sarah &amp; Jeffrey Hallman</t>
  </si>
  <si>
    <t xml:space="preserve">16431 State Road 31 </t>
  </si>
  <si>
    <t>Elizabeth Amand</t>
  </si>
  <si>
    <t xml:space="preserve">9380 Balada St  Coral Gables, FL 33156-2361 </t>
  </si>
  <si>
    <t>63rd</t>
  </si>
  <si>
    <t xml:space="preserve">2202 Glendale St  Pascagoula, MS 39567-5975 </t>
  </si>
  <si>
    <t xml:space="preserve">5315 Colony Ct  Cape Coral, FL 33904 </t>
  </si>
  <si>
    <t>Cape Coral Unit 5 Blk 109 Pb 11 Pg 89 Lot 43 + Nw 1/2 Of Lot 44</t>
  </si>
  <si>
    <t xml:space="preserve">829 NE 44th Ln  Cape Coral, FL 33909 </t>
  </si>
  <si>
    <t xml:space="preserve">3202 NE 13th Ct </t>
  </si>
  <si>
    <t>03-44-26-10-00051.0030</t>
  </si>
  <si>
    <t>Brantley</t>
  </si>
  <si>
    <t>Menendez</t>
  </si>
  <si>
    <t xml:space="preserve">50 Narragansett Ave  Westerly, RI 02891-1931 </t>
  </si>
  <si>
    <t>17-43-24-c2-05813.0150</t>
  </si>
  <si>
    <t>Cape Coral Unit 34 Blk 2388 Pb 16 Pgs 77 + 80 Lots 9 + 10</t>
  </si>
  <si>
    <t>73162-1323</t>
  </si>
  <si>
    <t>11-44-25-06-0000d.1330</t>
  </si>
  <si>
    <t>Juanita</t>
  </si>
  <si>
    <t>11-44-24-00-00005.0000</t>
  </si>
  <si>
    <t>28277-1512</t>
  </si>
  <si>
    <t>33909-4391</t>
  </si>
  <si>
    <t xml:space="preserve">Rua Enmanuel Rebelo Dos  Balneario Camboriu, BR 88332 </t>
  </si>
  <si>
    <t>Ossando</t>
  </si>
  <si>
    <t>Cape Coral Unit 84 Blk 5580 Pb 24 Pg 47 Lots 11 Thru 13</t>
  </si>
  <si>
    <t>Par Loc Between Lts 29 + 31 Of Royal Palm Park S/D</t>
  </si>
  <si>
    <t>49328-9726</t>
  </si>
  <si>
    <t xml:space="preserve">15621 SW 109th Ave </t>
  </si>
  <si>
    <t>Brian &amp; Sarah Aikman</t>
  </si>
  <si>
    <t xml:space="preserve">335 NE 25th St </t>
  </si>
  <si>
    <t>03-44-24-06-00000.009b</t>
  </si>
  <si>
    <t>Anna</t>
  </si>
  <si>
    <t>Brandon</t>
  </si>
  <si>
    <t>Rodriguez Family Living Trust</t>
  </si>
  <si>
    <t>92646-7948</t>
  </si>
  <si>
    <t>Raffone</t>
  </si>
  <si>
    <t xml:space="preserve">9520 Bradshaw Ln </t>
  </si>
  <si>
    <t xml:space="preserve">223 Central St  Hingham, MA 02043-2742 </t>
  </si>
  <si>
    <t xml:space="preserve">1835 Venada Trl  Murfreesboro, TN 37128-6784 </t>
  </si>
  <si>
    <t>Cycad</t>
  </si>
  <si>
    <t>Hopevale</t>
  </si>
  <si>
    <t xml:space="preserve">PO Box 7323 #300, Ocean Park, ME 04063-7323 </t>
  </si>
  <si>
    <t xml:space="preserve">4136 NE 21st Pl  Cape Coral, FL 33909 </t>
  </si>
  <si>
    <t>01507-5321</t>
  </si>
  <si>
    <t xml:space="preserve">2225 NE 35th Ter </t>
  </si>
  <si>
    <t>Jacqueline Curtis &amp; Jacqueline For</t>
  </si>
  <si>
    <t xml:space="preserve">2800 Rippling Brook Pl </t>
  </si>
  <si>
    <t xml:space="preserve">116 Bayway Ave  Brightwaters, NY 11718-2012 </t>
  </si>
  <si>
    <t>25-43-23-c3-02345.0380</t>
  </si>
  <si>
    <t>Francois Gariepy &amp; Carole Boisclair</t>
  </si>
  <si>
    <t>Morris Park</t>
  </si>
  <si>
    <t>S6J 1J9</t>
  </si>
  <si>
    <t>33480-7301</t>
  </si>
  <si>
    <t>25-43-23-c3-02338.0010</t>
  </si>
  <si>
    <t>Lehigh Acres Unit 14 Blk 80 Pb 26 Pg 19 Lot 5</t>
  </si>
  <si>
    <t>18360-2236</t>
  </si>
  <si>
    <t>33134-4449</t>
  </si>
  <si>
    <t xml:space="preserve">2 Appleton Trai  Brampton, ON L6w 4L4 </t>
  </si>
  <si>
    <t xml:space="preserve">Po Box 60324 </t>
  </si>
  <si>
    <t xml:space="preserve">620 SE 32nd Ter  Cape Coral, FL 33904 </t>
  </si>
  <si>
    <t>Cape Coral Unit 36 Blk 2350 Pb 16 Pg 128 Lots 1 + 2</t>
  </si>
  <si>
    <t>Sophie</t>
  </si>
  <si>
    <t>Vasil &amp; Joanne Hlinka</t>
  </si>
  <si>
    <t xml:space="preserve">1324 NE 33rd Ter </t>
  </si>
  <si>
    <t>Joshua Family Revocable Trust</t>
  </si>
  <si>
    <t xml:space="preserve">157 Kamal Pkwy  Cape Coral, FL 33904 </t>
  </si>
  <si>
    <t>Cape Coral Unit 36 Blk 2321 Pb 16 Pg 126 Lots 31 + 32</t>
  </si>
  <si>
    <t>Wayne Dickert</t>
  </si>
  <si>
    <t>Hamster</t>
  </si>
  <si>
    <t>Harry &amp; Harry Broomfield</t>
  </si>
  <si>
    <t>19-43-24-c4-05565.0600</t>
  </si>
  <si>
    <t xml:space="preserve">2622 S Saint Marks Ave </t>
  </si>
  <si>
    <t xml:space="preserve">1009 Diplomat Pkwy E </t>
  </si>
  <si>
    <t>Cape Coral Unit 36 Blk 2349 Pb 16 Pg 125 Lots 29 + 30</t>
  </si>
  <si>
    <t xml:space="preserve">1809 NE 3rd Ct </t>
  </si>
  <si>
    <t>Karen Johnston</t>
  </si>
  <si>
    <t xml:space="preserve">1248 NE 41st Ter  Cape Coral, FL 33909 </t>
  </si>
  <si>
    <t>33909-4309</t>
  </si>
  <si>
    <t>Cape Coral Unit 32 Blk.2173 Pb 16 Pg 11 Lots 8 + 9</t>
  </si>
  <si>
    <t xml:space="preserve">4234 Connection Ave  Cape Coral, FL 33909 </t>
  </si>
  <si>
    <t>Lehigh Acres Unit 8 Blk 37 Pb 26 Pg 10 Lot 13</t>
  </si>
  <si>
    <t>Cape Coral Unit 88 Blk 5774 Pb 24 Pg 132 Lots 35 + 36</t>
  </si>
  <si>
    <t xml:space="preserve">2911 NE 2nd Pl </t>
  </si>
  <si>
    <t xml:space="preserve">3000 NE 16th Ave D105, Oakland Park, FL 33334-5213 </t>
  </si>
  <si>
    <t>Reston</t>
  </si>
  <si>
    <t>33905-2516</t>
  </si>
  <si>
    <t>Thomas Anderson &amp; Kenneth Pecus</t>
  </si>
  <si>
    <t xml:space="preserve">855 Freedom Way </t>
  </si>
  <si>
    <t>Cary &amp; Carol Duncan</t>
  </si>
  <si>
    <t>01-44-23-c3-02411.0350</t>
  </si>
  <si>
    <t>Lehigh Acres Unit 10 Blk 49 Pb 26 Pg 12 Lot 20</t>
  </si>
  <si>
    <t xml:space="preserve">1713 NE 5th Pl </t>
  </si>
  <si>
    <t>Sand Pit</t>
  </si>
  <si>
    <t xml:space="preserve">1819 NE 5th Ter  Cape Coral, FL 33909 </t>
  </si>
  <si>
    <t>Edward Dicupero &amp; For Land</t>
  </si>
  <si>
    <t>12-45-24-01-000p0.0040</t>
  </si>
  <si>
    <t xml:space="preserve">3822 NE 23rd Pl  Cape Coral, FL 33909 </t>
  </si>
  <si>
    <t xml:space="preserve">3970 Cape Cole Blvd  Punta Gorda, FL 33955-4642 </t>
  </si>
  <si>
    <t>Cape Coral Unit 26 Blk.878 Pb 14 Pg 128 Lots 33 + 34</t>
  </si>
  <si>
    <t>Sergio &amp; Maria Blanco</t>
  </si>
  <si>
    <t xml:space="preserve">14812 John Mcneely Ave #32 </t>
  </si>
  <si>
    <t>03-44-26-13-00071.0130</t>
  </si>
  <si>
    <t>33161-4429</t>
  </si>
  <si>
    <t>13827-6126</t>
  </si>
  <si>
    <t xml:space="preserve">18602 SW 41st St  Miramar, FL 33029-2768 </t>
  </si>
  <si>
    <t>82001-4528</t>
  </si>
  <si>
    <t xml:space="preserve">5211 Marsh Mallow Trl </t>
  </si>
  <si>
    <t xml:space="preserve">5516 Park Rd </t>
  </si>
  <si>
    <t>William &amp; Theresa Reid</t>
  </si>
  <si>
    <t>Sreekumar</t>
  </si>
  <si>
    <t xml:space="preserve">1722 NE 1st Pl </t>
  </si>
  <si>
    <t>Rhoads</t>
  </si>
  <si>
    <t>25-43-23-c1-02348.0450</t>
  </si>
  <si>
    <t xml:space="preserve">1822 NE 5th Ct  Cape Coral, FL 33909 </t>
  </si>
  <si>
    <t xml:space="preserve">1534 NE 8th Pl  Cape Coral, FL 33909 </t>
  </si>
  <si>
    <t>10463-2612</t>
  </si>
  <si>
    <t>Afsatu Kamara</t>
  </si>
  <si>
    <t>Cape Coral Unit 36 Blk 2292 Pb 11 Pg 121 Lots 24 + 25</t>
  </si>
  <si>
    <t xml:space="preserve">409 Drury Ln </t>
  </si>
  <si>
    <t xml:space="preserve">14151 Cherrydale St </t>
  </si>
  <si>
    <t>Cape Coral Unit 33 Blk.2178 Pb 16 Pg 53 Lots 22 + 23</t>
  </si>
  <si>
    <t>62565-4611</t>
  </si>
  <si>
    <t xml:space="preserve">5770 Sunset Maple Dr  Alpharetta, GA 30005-7275 </t>
  </si>
  <si>
    <t>19-43-24-c2-05592.0450</t>
  </si>
  <si>
    <t xml:space="preserve">105 Parliament Dr </t>
  </si>
  <si>
    <t>Armacost</t>
  </si>
  <si>
    <t xml:space="preserve">2529 SE 19th Ave  Cape Coral, FL 33904 </t>
  </si>
  <si>
    <t>35811-1932</t>
  </si>
  <si>
    <t xml:space="preserve">3081 Butler Rd </t>
  </si>
  <si>
    <t>Cape Coral Unit 36 Blk 2300A Pb 16 Pg 125 Lot 83</t>
  </si>
  <si>
    <t>Cape Coral Unit 21 Blk.614 Pb 13 Pg 152 Lots 53 + 54</t>
  </si>
  <si>
    <t xml:space="preserve">7 Lombardi Pl </t>
  </si>
  <si>
    <t xml:space="preserve">2011 NE 27th Ter  Cape Coral, FL 33909 </t>
  </si>
  <si>
    <t>Douglas</t>
  </si>
  <si>
    <t xml:space="preserve">10227 Butterweed Trl  Fort Myers, FL 33905 </t>
  </si>
  <si>
    <t xml:space="preserve">3709 Kelsey St  Fort Myers, FL 33905 </t>
  </si>
  <si>
    <t>33909-6244</t>
  </si>
  <si>
    <t>Chetwood</t>
  </si>
  <si>
    <t>Three Lakes</t>
  </si>
  <si>
    <t>Cape Coral Unit 33 Blk.2208 Pb 16 Pg 41 Lots 49 + 50</t>
  </si>
  <si>
    <t xml:space="preserve">5520/5522 Seventh Ave  Fort Myers, FL 33907 </t>
  </si>
  <si>
    <t xml:space="preserve">1013 NE 14th Ter  Cape Coral, FL 33909 </t>
  </si>
  <si>
    <t xml:space="preserve">4270 SW 150th Ave  Miami, FL 33185-4334 </t>
  </si>
  <si>
    <t xml:space="preserve">3453 Andalusia Blvd </t>
  </si>
  <si>
    <t xml:space="preserve">2710 NE 7th Ave </t>
  </si>
  <si>
    <t>18-43-24-c3-05711.0030</t>
  </si>
  <si>
    <t>Ghulam Yasin</t>
  </si>
  <si>
    <t xml:space="preserve">63 County Way Ext  Beverly, MA 01915-2355 </t>
  </si>
  <si>
    <t>25-43-23-c1-02323.0130</t>
  </si>
  <si>
    <t xml:space="preserve">38 Avenue Helene De Tournon </t>
  </si>
  <si>
    <t>C096</t>
  </si>
  <si>
    <t xml:space="preserve">6465 College Park Cir #208 </t>
  </si>
  <si>
    <t>Harvard</t>
  </si>
  <si>
    <t>20-43-24-c3-05673.0070</t>
  </si>
  <si>
    <t xml:space="preserve">2615 NE 21st Pl </t>
  </si>
  <si>
    <t>Muenchen</t>
  </si>
  <si>
    <t>Cape Coral Unit 88 Blk 5801 Pb 24 Pg 136 Lots 47 + 48</t>
  </si>
  <si>
    <t xml:space="preserve">4409 NE 15th Ave  Cape Coral, FL 33909 </t>
  </si>
  <si>
    <t xml:space="preserve">2526 NE 6th Ave  Cape Coral, FL 33909 </t>
  </si>
  <si>
    <t>Cape Coral Unit 33 Blk 2272 Pb 16 Pg 61 Lots 6 + 7</t>
  </si>
  <si>
    <t>Leihgaber</t>
  </si>
  <si>
    <t xml:space="preserve"># 88-27  Bogota, CO </t>
  </si>
  <si>
    <t>36-43-23-c3-02478.0420</t>
  </si>
  <si>
    <t>30350-1624</t>
  </si>
  <si>
    <t xml:space="preserve">933 Spring Oak Dr  Melbourne, FL 32901-7756 </t>
  </si>
  <si>
    <t xml:space="preserve">1007 NE 23rd St  Cape Coral, FL 33909 </t>
  </si>
  <si>
    <t xml:space="preserve">6009 Joplin Ave  Fort Myers, FL 33905 </t>
  </si>
  <si>
    <t>33625-2539</t>
  </si>
  <si>
    <t>Duc Tran</t>
  </si>
  <si>
    <t>Dilly</t>
  </si>
  <si>
    <t>33909-0805</t>
  </si>
  <si>
    <t xml:space="preserve">13510 Julie Dr </t>
  </si>
  <si>
    <t>33909-1282</t>
  </si>
  <si>
    <t xml:space="preserve">101 NE 20th Ct  Cape Coral, FL 33909 </t>
  </si>
  <si>
    <t xml:space="preserve">1000 NE 20th St  Cape Coral, FL 33909 </t>
  </si>
  <si>
    <t>Christophe &amp; Sophie Bayol</t>
  </si>
  <si>
    <t xml:space="preserve">6957 NW 107th Ct  Doral, FL 33178-3652 </t>
  </si>
  <si>
    <t>Kathleen Mason &amp; Robert Czupryn</t>
  </si>
  <si>
    <t>33144-5535</t>
  </si>
  <si>
    <t>Norte Dame App 1103</t>
  </si>
  <si>
    <t>Bittinger</t>
  </si>
  <si>
    <t>Excelsior</t>
  </si>
  <si>
    <t>Sengs Subd. Pb 9 Pg 157 Lot 24</t>
  </si>
  <si>
    <t xml:space="preserve">8880 W Sunset Rd #250 </t>
  </si>
  <si>
    <t>34116-7532</t>
  </si>
  <si>
    <t xml:space="preserve">2 Schlehenweg </t>
  </si>
  <si>
    <t>25-43-23-c3-02355.0700</t>
  </si>
  <si>
    <t>Rudek</t>
  </si>
  <si>
    <t>Cape Coral Unit 9 Blk 276 Pb 13 Pg 13 Lots 1 + 2</t>
  </si>
  <si>
    <t>07719-9687</t>
  </si>
  <si>
    <t>Beaver Falls</t>
  </si>
  <si>
    <t>01-44-23-c2-02452.0400</t>
  </si>
  <si>
    <t xml:space="preserve">10 Horseshoe Rd  Dracut, MA 01826-4204 </t>
  </si>
  <si>
    <t>Lockhart Kim A Tr</t>
  </si>
  <si>
    <t>Kazue</t>
  </si>
  <si>
    <t>11-44-25-09-00000.2780</t>
  </si>
  <si>
    <t xml:space="preserve">11076 Sunburst Ln  Fort Myers, FL 33908 </t>
  </si>
  <si>
    <t>Cypress Woods Rv Resort Ut 1 Pb 65 Pg 85 + 86 Blk B Lot 85</t>
  </si>
  <si>
    <t xml:space="preserve">5671 Starboard Dr </t>
  </si>
  <si>
    <t xml:space="preserve">2017 S Ocean Dr 1506w </t>
  </si>
  <si>
    <t>Biller</t>
  </si>
  <si>
    <t>18-43-24-c1-05693.0280</t>
  </si>
  <si>
    <t xml:space="preserve">5850 Pathwood Ct  Fort Myers, FL 33905 </t>
  </si>
  <si>
    <t xml:space="preserve">2524 NE 5th Pl </t>
  </si>
  <si>
    <t xml:space="preserve">4525 Teatree Ct  Winter Park, FL 32792-6331 </t>
  </si>
  <si>
    <t>Boulevard 2 Apt</t>
  </si>
  <si>
    <t>Buckingham Pk Re Blk B U-4 Blk 18 Pb 27 Pg 192 Lot 6</t>
  </si>
  <si>
    <t xml:space="preserve">8427 107th St  Richmond Hill, NY 11418-1140 </t>
  </si>
  <si>
    <t>Cape Coral Unit 31 Blk 2081 Pb 14 Pg 161 Lots 32 + 33</t>
  </si>
  <si>
    <t>Frank Marinello</t>
  </si>
  <si>
    <t xml:space="preserve">1407 SE 32nd Ter </t>
  </si>
  <si>
    <t xml:space="preserve">2010 NE 34th Ter  Cape Coral, FL 33909 </t>
  </si>
  <si>
    <t xml:space="preserve">456 Rue Paul Cwzanne </t>
  </si>
  <si>
    <t xml:space="preserve">11615 Carrollwood Dr </t>
  </si>
  <si>
    <t>Irfan</t>
  </si>
  <si>
    <t>Cape Coral Unit 84 Blk 5595 Pb 24 Pg 41 Lot 1</t>
  </si>
  <si>
    <t>Sharon Carr</t>
  </si>
  <si>
    <t>11-44-25-l1-12000.3890</t>
  </si>
  <si>
    <t>Stonebridge North Pb 45 Pg 55 Lot 52</t>
  </si>
  <si>
    <t>Monroy</t>
  </si>
  <si>
    <t>Lehigh Acres Unit 11 Blk 58 Pb 26 Pg 14 Lot 11</t>
  </si>
  <si>
    <t>29-43-26-05-00076.0080</t>
  </si>
  <si>
    <t>17022-1658</t>
  </si>
  <si>
    <t>Raphael</t>
  </si>
  <si>
    <t>Cape Coral Unit 36 Pt 1 Blk 2497 Pb 23 Pg 92 Lots 27 + 28</t>
  </si>
  <si>
    <t>Cape Canaveral</t>
  </si>
  <si>
    <t xml:space="preserve">8 Bakers Ct  Clifton, NJ 07011-1010 </t>
  </si>
  <si>
    <t xml:space="preserve">34801 Doheny Pl  Capistrano Beach, CA 92624-1715 </t>
  </si>
  <si>
    <t>Rena Khanukayeva</t>
  </si>
  <si>
    <t xml:space="preserve">9437 Silhouette Ln </t>
  </si>
  <si>
    <t>16-44-25-p2-00800.0780</t>
  </si>
  <si>
    <t>PO Box 6001</t>
  </si>
  <si>
    <t>Jonson</t>
  </si>
  <si>
    <t>33909-4647</t>
  </si>
  <si>
    <t>Alto</t>
  </si>
  <si>
    <t xml:space="preserve">2396 Wingedfoot Dr  Westlake, OH 44145-4373 </t>
  </si>
  <si>
    <t xml:space="preserve">411 Walnut St 19404 Green Cv </t>
  </si>
  <si>
    <t>07047-3632</t>
  </si>
  <si>
    <t xml:space="preserve">4649 W Mclean Ave  Chicago, IL 60639-3427 </t>
  </si>
  <si>
    <t>46750-9637</t>
  </si>
  <si>
    <t>11-44-25-04-0000b.0540</t>
  </si>
  <si>
    <t>Kendall West</t>
  </si>
  <si>
    <t>Dela</t>
  </si>
  <si>
    <t>Cypress Trail Rv Resort Ph 4-B As Desc In Inst# 2017000057565 Lot 350</t>
  </si>
  <si>
    <t>Brock</t>
  </si>
  <si>
    <t xml:space="preserve">4131 NE 21st Pl </t>
  </si>
  <si>
    <t>Navarro Nelly Tr</t>
  </si>
  <si>
    <t xml:space="preserve">208 NE 9th St  Cape Coral, FL 33909 </t>
  </si>
  <si>
    <t>Dorado</t>
  </si>
  <si>
    <t>Mohammed</t>
  </si>
  <si>
    <t>33905-2565</t>
  </si>
  <si>
    <t>Papich</t>
  </si>
  <si>
    <t xml:space="preserve">Po Box 2430 </t>
  </si>
  <si>
    <t>St Chaptes</t>
  </si>
  <si>
    <t>Derek Risso</t>
  </si>
  <si>
    <t xml:space="preserve">3618 NE 9th Ave </t>
  </si>
  <si>
    <t xml:space="preserve">506 Kismet Pkwy E  Cape Coral, FL 33909 </t>
  </si>
  <si>
    <t>Rogelio &amp; Isidra Solema</t>
  </si>
  <si>
    <t>Maillard</t>
  </si>
  <si>
    <t>Ward</t>
  </si>
  <si>
    <t>Cypress Trail Rv Resort Phase 2-B As Desc In Inst# 2015000013050 Lot 405</t>
  </si>
  <si>
    <t>Luis &amp; Alejandro Faedo</t>
  </si>
  <si>
    <t>Curtis &amp; Ethel Hiltz</t>
  </si>
  <si>
    <t xml:space="preserve">1616 Dpto #206 </t>
  </si>
  <si>
    <t>Derek Forbes</t>
  </si>
  <si>
    <t xml:space="preserve">PO Box 75341  Tampa, FL 33675 </t>
  </si>
  <si>
    <t xml:space="preserve">1106 NE 32nd St  Cape Coral, FL 33909 </t>
  </si>
  <si>
    <t>James Marchu</t>
  </si>
  <si>
    <t>Bazel</t>
  </si>
  <si>
    <t xml:space="preserve">2307 NE 6th Pl </t>
  </si>
  <si>
    <t xml:space="preserve">1515 SE 32nd Ter  Cape Coral, FL 33904 </t>
  </si>
  <si>
    <t>Farmington Hills</t>
  </si>
  <si>
    <t xml:space="preserve">19681 Summerlin Rd #296 </t>
  </si>
  <si>
    <t xml:space="preserve">618 De Saint-Jovite Rue </t>
  </si>
  <si>
    <t xml:space="preserve">5817 Brightwood Dr </t>
  </si>
  <si>
    <t>Jorge &amp; Irma Romero</t>
  </si>
  <si>
    <t>Cape Coral Unit 84 Blk 5562 Pb 24 Pg 37 Lots 61 + 62</t>
  </si>
  <si>
    <t>Cape Coral Unit 36 Blk 2314 Pb 16 Pg 123 Lots 38 + 39</t>
  </si>
  <si>
    <t>Wills</t>
  </si>
  <si>
    <t>Cape Coral Unit 33 Blk 2225 Pb 16 Pg 45 Lots 16 + 17</t>
  </si>
  <si>
    <t>L9T 0B2</t>
  </si>
  <si>
    <t>Calle 128 B</t>
  </si>
  <si>
    <t>47567-8227</t>
  </si>
  <si>
    <t>Cape Coral Unit 85 Blk 5657 Pb 24 Pg 54 Lots 23 + 24</t>
  </si>
  <si>
    <t>34120-4854</t>
  </si>
  <si>
    <t>Mccrindell</t>
  </si>
  <si>
    <t>20-43-24-c1-05646.0270</t>
  </si>
  <si>
    <t>C331</t>
  </si>
  <si>
    <t>Nicholas &amp; Vincent Damato</t>
  </si>
  <si>
    <t>59718-7968</t>
  </si>
  <si>
    <t>Cape Coral Unit 34 Blk 2436 Pb 16 Pg 85 Lots 29 + 30</t>
  </si>
  <si>
    <t>Cape Coral Unit 85 Blk 5673 Pb 24 Pg 52 Lots 47 + 48</t>
  </si>
  <si>
    <t>Putt</t>
  </si>
  <si>
    <t xml:space="preserve">1303 NE 19th Pl  Cape Coral, FL 33909 </t>
  </si>
  <si>
    <t>Blue Water</t>
  </si>
  <si>
    <t>18-43-24-c4-05709.0070</t>
  </si>
  <si>
    <t>33908-4019</t>
  </si>
  <si>
    <t xml:space="preserve">2105 NE 17th Ter  Cape Coral, FL 33909 </t>
  </si>
  <si>
    <t xml:space="preserve">1352 Burdette Ave </t>
  </si>
  <si>
    <t>Whitefish</t>
  </si>
  <si>
    <t xml:space="preserve">6 Barker St A, Plaistow, NH 03865-2789 </t>
  </si>
  <si>
    <t>Cape Coral Unit 87 Blk 5749 Pb 24 Pg 71 Lots 34 + 35</t>
  </si>
  <si>
    <t>Peter &amp; Barbara Strub</t>
  </si>
  <si>
    <t xml:space="preserve">717 NE 5th Ave </t>
  </si>
  <si>
    <t xml:space="preserve">8647 257th St </t>
  </si>
  <si>
    <t xml:space="preserve">9918 Courtney Palms Blvd #303, Tampa, FL 33619-8516 </t>
  </si>
  <si>
    <t xml:space="preserve">10526 Steinkamp Rd SE  Aumsville, OR 97325-9718 </t>
  </si>
  <si>
    <t>Encinitas</t>
  </si>
  <si>
    <t>11721-1818</t>
  </si>
  <si>
    <t>06-44-24-c2-02063.0550</t>
  </si>
  <si>
    <t>Resler Family Revocable Trust</t>
  </si>
  <si>
    <t>Hange</t>
  </si>
  <si>
    <t>Grain Valley</t>
  </si>
  <si>
    <t>Cypress Trail Rv Resort Phase 2-A As Desc In Inst# 2014000026506 Lot 185</t>
  </si>
  <si>
    <t xml:space="preserve">4307 NE 23rd Pl </t>
  </si>
  <si>
    <t xml:space="preserve">2817 SE 8th Ave  Cape Coral, FL 33904 </t>
  </si>
  <si>
    <t>Dominique &amp; Joshua Main</t>
  </si>
  <si>
    <t>17112-8962</t>
  </si>
  <si>
    <t>Horseshoe</t>
  </si>
  <si>
    <t xml:space="preserve">5371 E 143rd Dr  Thornton, CO 80602-8930 </t>
  </si>
  <si>
    <t>Janely</t>
  </si>
  <si>
    <t xml:space="preserve">1118 NE Juanita Pl  Cape Coral, FL 33909 </t>
  </si>
  <si>
    <t xml:space="preserve">1096 Home Ave  Menasha, WI 54952-2148 </t>
  </si>
  <si>
    <t>19-43-24-c3-05619.0480</t>
  </si>
  <si>
    <t>De Witt</t>
  </si>
  <si>
    <t>Cape Coral Unit 88 Blk 5798 Pb 24 Pg 137 Lots 30 + 31</t>
  </si>
  <si>
    <t xml:space="preserve">39 NE 31st Ter  Cape Coral, FL 33909 </t>
  </si>
  <si>
    <t>Rue Doderot</t>
  </si>
  <si>
    <t xml:space="preserve">5816 Joanne Ct </t>
  </si>
  <si>
    <t>20-43-24-c1-05647.0070</t>
  </si>
  <si>
    <t>Saboya-Galindo</t>
  </si>
  <si>
    <t xml:space="preserve">1036 NE 44th St  Cape Coral, FL 33909 </t>
  </si>
  <si>
    <t>18-45-24-c2-00075.0240</t>
  </si>
  <si>
    <t xml:space="preserve">249 Route De La Gorge  Vauinaveys Le Haut, FR </t>
  </si>
  <si>
    <t>Fitzmaurice</t>
  </si>
  <si>
    <t xml:space="preserve">2009 NE 14th Pl </t>
  </si>
  <si>
    <t>Thezine</t>
  </si>
  <si>
    <t>02184-5024</t>
  </si>
  <si>
    <t>Serraneau</t>
  </si>
  <si>
    <t xml:space="preserve">1604 Ivanhoe Ct </t>
  </si>
  <si>
    <t xml:space="preserve">900 NE 43rd Ter </t>
  </si>
  <si>
    <t>Doing</t>
  </si>
  <si>
    <t xml:space="preserve">52 Burning Tree Rd </t>
  </si>
  <si>
    <t>Nga Phan</t>
  </si>
  <si>
    <t>Hyeres</t>
  </si>
  <si>
    <t xml:space="preserve">1804 NE 3rd St  Cape Coral, FL 33909 </t>
  </si>
  <si>
    <t>33903-5045</t>
  </si>
  <si>
    <t xml:space="preserve">304 NE 31st Ter </t>
  </si>
  <si>
    <t>Michel Catusse</t>
  </si>
  <si>
    <t>31-43-24-c4-02144.0370</t>
  </si>
  <si>
    <t>Cape Coral Unit 31 Blk 2071 Pb 14 Pg 160 Lots 41 + 42</t>
  </si>
  <si>
    <t xml:space="preserve">6 NE 9th St </t>
  </si>
  <si>
    <t xml:space="preserve">5335 Bent Tree Forest Dr #120, Dallas, TX 75248-3455 </t>
  </si>
  <si>
    <t>Gortons A Subd Blk 7 Pb 5 Pg 20 W 100 Ft Of E 142 Ft Of Blk 7</t>
  </si>
  <si>
    <t>18-43-24-c4-05704.0330</t>
  </si>
  <si>
    <t>90274-5169</t>
  </si>
  <si>
    <t>Baer</t>
  </si>
  <si>
    <t xml:space="preserve">259 4th St  Jersey City, NJ 07302-2407 </t>
  </si>
  <si>
    <t xml:space="preserve">307 N Keefer Dr </t>
  </si>
  <si>
    <t>32725-7640</t>
  </si>
  <si>
    <t xml:space="preserve">8005 Jasmine Blvd </t>
  </si>
  <si>
    <t xml:space="preserve">8680 Lake Jane Trl N </t>
  </si>
  <si>
    <t>33473-4841</t>
  </si>
  <si>
    <t>Wasilla</t>
  </si>
  <si>
    <t>Gonzalez</t>
  </si>
  <si>
    <t>Cape Coral Unit 33 Blk.2255 Pb 16 Pg 57 Lots 1 + 2</t>
  </si>
  <si>
    <t>Apostolos</t>
  </si>
  <si>
    <t>Adelina Cisneros</t>
  </si>
  <si>
    <t>Lehigh Acres Unit 12 Blk 61 Pb 26 Pg 16 Lot 12</t>
  </si>
  <si>
    <t>Gator</t>
  </si>
  <si>
    <t xml:space="preserve">9 Stone Brooke Rd </t>
  </si>
  <si>
    <t>Cape Coral Unit 36 Blk 2348 Pb 16 Pg 129 Lots 24 + 25</t>
  </si>
  <si>
    <t xml:space="preserve">1807 NE 23rd Ave </t>
  </si>
  <si>
    <t xml:space="preserve">6031 Telegraph Rd  Elkton, MD 21921-2957 </t>
  </si>
  <si>
    <t xml:space="preserve">1516 San Pedro Rd NE  Rio Rancho, NM 87144-2522 </t>
  </si>
  <si>
    <t xml:space="preserve">310 NE 9th Ter  Cape Coral, FL 33909 </t>
  </si>
  <si>
    <t>Green Acres Blk B Pb 5 Pg 72 W 30 Ft Lot 8 + E 30 Ft Lot 9 Desc Inst#2005-170214</t>
  </si>
  <si>
    <t xml:space="preserve">6021 Joplin Ave </t>
  </si>
  <si>
    <t xml:space="preserve">3228 Jacaranda Pkwy E  Cape Coral, FL 33909 </t>
  </si>
  <si>
    <t xml:space="preserve">2 De La  Lachute, QC J8h 4N4 </t>
  </si>
  <si>
    <t>Cape Coral Unit 33 Blk 2277 Pb 16 Pg 58 Lots 29 + 30</t>
  </si>
  <si>
    <t>33905-2511</t>
  </si>
  <si>
    <t>24-43-23-00-00004.0000</t>
  </si>
  <si>
    <t xml:space="preserve">5490 Cypress Trail Resort Cir  Fort Myers, FL 33905 </t>
  </si>
  <si>
    <t>Lucia</t>
  </si>
  <si>
    <t xml:space="preserve">1719 NE 27th St </t>
  </si>
  <si>
    <t>14482-8957</t>
  </si>
  <si>
    <t>33909-4696</t>
  </si>
  <si>
    <t>06-45-24-c2-00500.0190</t>
  </si>
  <si>
    <t xml:space="preserve">5246 Nautilus Dr  Cape Coral, FL 33904 </t>
  </si>
  <si>
    <t>Carl &amp; Anne William</t>
  </si>
  <si>
    <t xml:space="preserve">335 NE 25th St  Cape Coral, FL 33909 </t>
  </si>
  <si>
    <t xml:space="preserve">3536 NE 18th Ave  Cape Coral, FL 33909 </t>
  </si>
  <si>
    <t xml:space="preserve">14800 Maydale Ct  Silver Spring, MD 20905-5552 </t>
  </si>
  <si>
    <t xml:space="preserve">Kerisnel </t>
  </si>
  <si>
    <t>Majkut</t>
  </si>
  <si>
    <t>17-43-24-c4-05783.0480</t>
  </si>
  <si>
    <t>Ola</t>
  </si>
  <si>
    <t>31-43-24-c2-02133.0180</t>
  </si>
  <si>
    <t xml:space="preserve">251 Presley Ln </t>
  </si>
  <si>
    <t>Shawn</t>
  </si>
  <si>
    <t>Hauf</t>
  </si>
  <si>
    <t>Linhart</t>
  </si>
  <si>
    <t xml:space="preserve">6081/6083 Latimer Ave  Fort Myers, FL 33905 </t>
  </si>
  <si>
    <t>18-43-24-c2-05731.0180</t>
  </si>
  <si>
    <t>18-43-24-c4-05705.0130</t>
  </si>
  <si>
    <t>34142-2353</t>
  </si>
  <si>
    <t xml:space="preserve">115 Lexington Ave  Freeport, NY 11520-3243 </t>
  </si>
  <si>
    <t xml:space="preserve">2963 Keel Boat Loop </t>
  </si>
  <si>
    <t xml:space="preserve">4643 Po  Palmer, AK 99645 </t>
  </si>
  <si>
    <t>Pearl Pittman &amp; Everton Christie</t>
  </si>
  <si>
    <t xml:space="preserve">3819 NE 10th Ave </t>
  </si>
  <si>
    <t xml:space="preserve">1814 SE 44th St  Cape Coral, FL 33904 </t>
  </si>
  <si>
    <t>Shugufta Kidwai</t>
  </si>
  <si>
    <t>14j</t>
  </si>
  <si>
    <t>Athina Holmes</t>
  </si>
  <si>
    <t>Elmdale</t>
  </si>
  <si>
    <t>Aguinaldo</t>
  </si>
  <si>
    <t xml:space="preserve">2901 NE 4th Ave  Cape Coral, FL 33909 </t>
  </si>
  <si>
    <t>Somerset Bay</t>
  </si>
  <si>
    <t xml:space="preserve">15539 SW 13th Cir </t>
  </si>
  <si>
    <t xml:space="preserve">2205 NE 14th Pl  Cape Coral, FL 33909 </t>
  </si>
  <si>
    <t>08-44-24-c3-01509.1000</t>
  </si>
  <si>
    <t>Ottawa</t>
  </si>
  <si>
    <t>Hannaway</t>
  </si>
  <si>
    <t xml:space="preserve">3411 Elmwood Ave  Erie, PA 16508-2467 </t>
  </si>
  <si>
    <t>Marvin &amp; Sandra Stuenkel</t>
  </si>
  <si>
    <t>Geo</t>
  </si>
  <si>
    <t>MAILING STREET ADDRESS</t>
  </si>
  <si>
    <t xml:space="preserve">12045 Island Lake Dr </t>
  </si>
  <si>
    <t xml:space="preserve">29-55 Calle 128 B #402, Bogota Cund, CO </t>
  </si>
  <si>
    <t xml:space="preserve">5151 White Sky Cir </t>
  </si>
  <si>
    <t>Fuesun</t>
  </si>
  <si>
    <t>Terry &amp; Kathryn Clark</t>
  </si>
  <si>
    <t>Ft Myers Beach Kampground S/D Unit 1 Pg 35 Pg 47 Blk S Lot 1</t>
  </si>
  <si>
    <t>Maydale</t>
  </si>
  <si>
    <t>Cape Coral Unit 33 Blk 2190 Pb 16 Pg 50 Lots 26 Thru 28</t>
  </si>
  <si>
    <t>Rainieri</t>
  </si>
  <si>
    <t xml:space="preserve">3003 NE 1st Ave  Cape Coral, FL 33909 </t>
  </si>
  <si>
    <t>Lothar Boeder</t>
  </si>
  <si>
    <t>Cypress Trail Rv Resort Ph 4-B As Desc In Inst# 2017000057565 Lot 317</t>
  </si>
  <si>
    <t>Cape Coral Unit 35 Blk 2414 Pb 16 Pg 107 Lots 26 + 27</t>
  </si>
  <si>
    <t xml:space="preserve">2 De La </t>
  </si>
  <si>
    <t xml:space="preserve">3401 NE 8th Pl  Cape Coral, FL 33909 </t>
  </si>
  <si>
    <t>60631-2018</t>
  </si>
  <si>
    <t>Kirkland</t>
  </si>
  <si>
    <t>Linares</t>
  </si>
  <si>
    <t>33909-0800</t>
  </si>
  <si>
    <t>Nhi Pham</t>
  </si>
  <si>
    <t>55443-3852</t>
  </si>
  <si>
    <t xml:space="preserve">1614 NE 2nd Pl  Cape Coral, FL 33909 </t>
  </si>
  <si>
    <t>Jennings</t>
  </si>
  <si>
    <t xml:space="preserve">2003 Sorrento Ln </t>
  </si>
  <si>
    <t xml:space="preserve">2 Emery St </t>
  </si>
  <si>
    <t>Forman</t>
  </si>
  <si>
    <t>Miskovic</t>
  </si>
  <si>
    <t xml:space="preserve">2131 Simison Rd  Spring Valley, OH 45370-8753 </t>
  </si>
  <si>
    <t>07001-1712</t>
  </si>
  <si>
    <t>Prakash</t>
  </si>
  <si>
    <t>Boyd</t>
  </si>
  <si>
    <t>33904-3248</t>
  </si>
  <si>
    <t>Hans-Juergen &amp; Janett Zierhut</t>
  </si>
  <si>
    <t xml:space="preserve">6016 Jadestone Ave  Fort Myers, FL 33905 </t>
  </si>
  <si>
    <t xml:space="preserve">6416 Heritage Hl  Fenton, MI 48430-9039 </t>
  </si>
  <si>
    <t xml:space="preserve">2125 Hughes Ave  Bronx, NY 10457-3405 </t>
  </si>
  <si>
    <t xml:space="preserve">721 Lexington Dr  Bear, DE 19701-2582 </t>
  </si>
  <si>
    <t>15202-3421</t>
  </si>
  <si>
    <t>Cape Coral Unit 17 Blk 1522 Pb 14 Pg 36 Lots 27 + 28</t>
  </si>
  <si>
    <t>Hobbs Reesor</t>
  </si>
  <si>
    <t>33904-5929</t>
  </si>
  <si>
    <t>Cape Coral Unit 36 Blk 2174 Pb 16 Pg 121 Lots 17 + 18</t>
  </si>
  <si>
    <t>Antwerp</t>
  </si>
  <si>
    <t>Timothy D Sanders &amp; Timothy Sanders</t>
  </si>
  <si>
    <t>33909-6838</t>
  </si>
  <si>
    <t>32068-4917</t>
  </si>
  <si>
    <t xml:space="preserve">4141 NE 10th Ave </t>
  </si>
  <si>
    <t>Ivoryton</t>
  </si>
  <si>
    <t xml:space="preserve">Po Box 571 </t>
  </si>
  <si>
    <t>03-44-23-c1-02876.0710</t>
  </si>
  <si>
    <t xml:space="preserve">690 Muscogee Dr </t>
  </si>
  <si>
    <t xml:space="preserve">2715 Iowa Dr #307 </t>
  </si>
  <si>
    <t>01-44-23-c1-02435.0310</t>
  </si>
  <si>
    <t>David Lang Revocable Trust</t>
  </si>
  <si>
    <t>Farias</t>
  </si>
  <si>
    <t>Cape Coral Unit 36 Blk 2300A Pb 16 Pg 122 Lot 17</t>
  </si>
  <si>
    <t>Cape Coral Unit 36 Blk 2350 Pb 16 Pg 128 Lots 7 + 8</t>
  </si>
  <si>
    <t xml:space="preserve">3491 Brantley Oaks Dr  Fort Myers, FL 33905 </t>
  </si>
  <si>
    <t xml:space="preserve">3621 Sutton Dr  Wilmington, NC 28409-9177 </t>
  </si>
  <si>
    <t xml:space="preserve">2107 Unity Ave  Fort Myers, FL 33901 </t>
  </si>
  <si>
    <t>Walkowski</t>
  </si>
  <si>
    <t xml:space="preserve">2306 NE 35th Ter  Cape Coral, FL 33909 </t>
  </si>
  <si>
    <t xml:space="preserve">1373 W 850 N  Fortville, IN 46040-9552 </t>
  </si>
  <si>
    <t>Cape Coral Unit 84 Blk 5548 Pb 24 Pg 39 Lots 19 + 20</t>
  </si>
  <si>
    <t xml:space="preserve">328 NE 7th Ter  Cape Coral, FL 33909 </t>
  </si>
  <si>
    <t xml:space="preserve">7 Sumac Dr  Essex, MA 01929-1003 </t>
  </si>
  <si>
    <t>Cape Coral Unit 36 Blk 2326 Pb 16 Pg 125 Lots 29 + 30</t>
  </si>
  <si>
    <t xml:space="preserve">6143 Herrick Ave </t>
  </si>
  <si>
    <t xml:space="preserve">2015 NE 25th Ter </t>
  </si>
  <si>
    <t>Changhyeon Choi</t>
  </si>
  <si>
    <t>Lehigh Acres Unit 13 Blk 70 Pb 26 Pg 17 Lot 17</t>
  </si>
  <si>
    <t>Ringo</t>
  </si>
  <si>
    <t xml:space="preserve">4132 SE 10th Ave </t>
  </si>
  <si>
    <t>Barbara Johnson</t>
  </si>
  <si>
    <t>36-43-23-c1-02515.0510</t>
  </si>
  <si>
    <t>55th</t>
  </si>
  <si>
    <t>Cape Coral Unit 87 Blk 5739 Pb 24 Pg 77 Lots 21 + 22</t>
  </si>
  <si>
    <t>Cape Coral Unit 88 Blk.5772 Pb 24 Pg 129 All Of Undiv Blk.5772</t>
  </si>
  <si>
    <t xml:space="preserve">PO Box 672064  Bronx, NY 10467 </t>
  </si>
  <si>
    <t>Cape Coral Unit 2 Part 3 Blk.208 Pb 11 Pg 38 Lots 33 + 34</t>
  </si>
  <si>
    <t>Cape Coral Unit 31 Blk 2099 Pb 14 Pg 160 Lots 13 14 + 15</t>
  </si>
  <si>
    <t>33068-5236</t>
  </si>
  <si>
    <t>Cape Coral Unit 85 Blk 5670 Pb 24 Pg 52 Lots 34 + 35</t>
  </si>
  <si>
    <t>Andrea &amp; Kingdom Taborda</t>
  </si>
  <si>
    <t>33905-5729</t>
  </si>
  <si>
    <t>Mc Gehee</t>
  </si>
  <si>
    <t xml:space="preserve">6119 Higgins Ave  Fort Myers, FL 33905 </t>
  </si>
  <si>
    <t xml:space="preserve">1540 Hendrick Rd #98 </t>
  </si>
  <si>
    <t>Argentina</t>
  </si>
  <si>
    <t>Cape Coral Unit 33 Blk 2240 Pb 16 Pg 52 Lots 55 + 56</t>
  </si>
  <si>
    <t>37-g</t>
  </si>
  <si>
    <t xml:space="preserve">7439 7 mile Rd </t>
  </si>
  <si>
    <t>10591-4711</t>
  </si>
  <si>
    <t xml:space="preserve">1028 NE 15th Ter </t>
  </si>
  <si>
    <t xml:space="preserve">11025 Wakefield St </t>
  </si>
  <si>
    <t>31-43-24-c4-02143.0080</t>
  </si>
  <si>
    <t xml:space="preserve">746 NE 7th Ave  Cape Coral, FL 33909 </t>
  </si>
  <si>
    <t>Harriet Hausbach</t>
  </si>
  <si>
    <t xml:space="preserve">3008 NE 6th Ave  Cape Coral, FL 33909 </t>
  </si>
  <si>
    <t>11-44-25-l1-1400a.1300</t>
  </si>
  <si>
    <t>Corwin</t>
  </si>
  <si>
    <t xml:space="preserve">411 NE 31st Ter  Cape Coral, FL 33909 </t>
  </si>
  <si>
    <t>Cape Coral Unit 33 Blk.2279 Pb 16 Pg 61 Lots 18 + 19</t>
  </si>
  <si>
    <t xml:space="preserve">3848 Hopevale St  Fort Myers, FL 33905 </t>
  </si>
  <si>
    <t>Benavides</t>
  </si>
  <si>
    <t>Anabela</t>
  </si>
  <si>
    <t>Robert Gleason &amp; Betty Mydlowski</t>
  </si>
  <si>
    <t>Cypress Trail Rv Resort Ph 4-B As Desc In Inst# 2017000057565 Lot 90</t>
  </si>
  <si>
    <t>Brigham</t>
  </si>
  <si>
    <t>Cape Coral Unit 33 Blk 2284 Pb 16 Pg 56 Lots 48 + 49</t>
  </si>
  <si>
    <t>23435-4226</t>
  </si>
  <si>
    <t xml:space="preserve">Auf Den Hohen #1, Bassum, DE 27211 </t>
  </si>
  <si>
    <t xml:space="preserve">4431 NE Connection Ave </t>
  </si>
  <si>
    <t>Cooper</t>
  </si>
  <si>
    <t>Jim</t>
  </si>
  <si>
    <t>40222-5530</t>
  </si>
  <si>
    <t xml:space="preserve">720 N Overlook Dr </t>
  </si>
  <si>
    <t xml:space="preserve">4018 NE 9th Pl </t>
  </si>
  <si>
    <t xml:space="preserve">Villa Real </t>
  </si>
  <si>
    <t>33012-6508</t>
  </si>
  <si>
    <t xml:space="preserve">Korte #28 </t>
  </si>
  <si>
    <t>11-44-25-06-0000d.0750</t>
  </si>
  <si>
    <t>Megallaa</t>
  </si>
  <si>
    <t>Evangelos Agganis</t>
  </si>
  <si>
    <t>Mamo</t>
  </si>
  <si>
    <t xml:space="preserve">414 Monterey St  North Fort Myers, FL 33903 </t>
  </si>
  <si>
    <t>03-44-26-08-00035.0180</t>
  </si>
  <si>
    <t>White Farm</t>
  </si>
  <si>
    <t xml:space="preserve">8791 Robinhood Cir </t>
  </si>
  <si>
    <t>06-44-24-c2-02062.0010</t>
  </si>
  <si>
    <t>Glencoe</t>
  </si>
  <si>
    <t>Cape Coral Unit 87 Blk 5680 Pb 24 Pg 73 Lots 14 + 15</t>
  </si>
  <si>
    <t xml:space="preserve">5446/5448 Fifth Ave  Fort Myers, FL 33907 </t>
  </si>
  <si>
    <t>Cypress Trail Rv Resort Phase 2-A As Desc In Inst# 2014000026506 Lot 180</t>
  </si>
  <si>
    <t>Cape Coral Unit 34 Blk 2466 Pb 16 Pg 76 Lots 27 + 28</t>
  </si>
  <si>
    <t xml:space="preserve">327 Diplomat Pkwy E </t>
  </si>
  <si>
    <t>48739-8708</t>
  </si>
  <si>
    <t xml:space="preserve">7010 Crews Ln </t>
  </si>
  <si>
    <t xml:space="preserve">15018 10th Ave  Whitestone, NY 11357-1804 </t>
  </si>
  <si>
    <t xml:space="preserve">2779 Woodland Ave </t>
  </si>
  <si>
    <t>16-44-26-08-00027.0140</t>
  </si>
  <si>
    <t>31-43-24-c3-02119.0110</t>
  </si>
  <si>
    <t>Cape Coral Unit 88 Blk 5817 Pb 24 Pg 139 Lots 5 + 6</t>
  </si>
  <si>
    <t>10-44-24-01-00008.0000</t>
  </si>
  <si>
    <t>Cape Coral Unit 84 Blk 5566 Pb 24 Pg 40 Lots 59 + 60</t>
  </si>
  <si>
    <t>22066-2835</t>
  </si>
  <si>
    <t xml:space="preserve">2708 NE 4th Pl </t>
  </si>
  <si>
    <t xml:space="preserve">4549 E Riverside Dr  Fort Myers, FL 33905 </t>
  </si>
  <si>
    <t>Russell Park Blk 9 Pb 6 Pg 12 Pt Lot 349 Beg At A Pt On</t>
  </si>
  <si>
    <t>33903-2852</t>
  </si>
  <si>
    <t xml:space="preserve">10146 NW 127th St  Hialeah, FL 33018-7435 </t>
  </si>
  <si>
    <t>Avenel</t>
  </si>
  <si>
    <t xml:space="preserve">5761 Brightwood Dr  Fort Myers, FL 33905 </t>
  </si>
  <si>
    <t>25-43-23-c1-02329.0210</t>
  </si>
  <si>
    <t xml:space="preserve">9618 NW 16th Ct </t>
  </si>
  <si>
    <t>Cape Coral Unit 34 Blk 2461 Pb 16 Pg 84 Lots 57 + 58</t>
  </si>
  <si>
    <t>33909-4784</t>
  </si>
  <si>
    <t>75077-3349</t>
  </si>
  <si>
    <t>David &amp; Nola Shepherd</t>
  </si>
  <si>
    <t>Izurieta</t>
  </si>
  <si>
    <t>Don &amp; For Loefflad</t>
  </si>
  <si>
    <t>Coleman</t>
  </si>
  <si>
    <t>James &amp; Rebecca Shearer</t>
  </si>
  <si>
    <t>Jhon</t>
  </si>
  <si>
    <t>12-44-23-c1-02401.0200</t>
  </si>
  <si>
    <t>America Outdoors Camper Resort 1 Condo Blk R Or 1673 Pg 2487 Unit 10</t>
  </si>
  <si>
    <t>Nunzio &amp; Stephanie Reale</t>
  </si>
  <si>
    <t>04062-1807</t>
  </si>
  <si>
    <t xml:space="preserve">2550 NW 107th Ave </t>
  </si>
  <si>
    <t>08-44-24-c4-01537.0570</t>
  </si>
  <si>
    <t>33909-4495</t>
  </si>
  <si>
    <t>Reiner &amp; Timothy Reinert Family</t>
  </si>
  <si>
    <t xml:space="preserve">1025 N Gator Cir </t>
  </si>
  <si>
    <t>Tecza</t>
  </si>
  <si>
    <t xml:space="preserve">1091 NW 104th Ave  Plantation, FL 33322-6588 </t>
  </si>
  <si>
    <t xml:space="preserve">1105 State Route 121 N B, Murray, KY 42071-8921 </t>
  </si>
  <si>
    <t xml:space="preserve">1276 Arthurs Ct </t>
  </si>
  <si>
    <t>Castrence</t>
  </si>
  <si>
    <t>Thomas J &amp; Roblin L Beck Trust</t>
  </si>
  <si>
    <t xml:space="preserve">132 S Center St  Waterford, WI 53185-4112 </t>
  </si>
  <si>
    <t xml:space="preserve">914 NE 2nd Pl  Cape Coral, FL 33909 </t>
  </si>
  <si>
    <t xml:space="preserve">10 Fichtestrasse  Buckhead, GA 30625 </t>
  </si>
  <si>
    <t>Yvette Golladay &amp; Shannon Montgomery</t>
  </si>
  <si>
    <t xml:space="preserve">10263 Meadow Beauty Trl </t>
  </si>
  <si>
    <t xml:space="preserve">4016 NE 12th Ct </t>
  </si>
  <si>
    <t xml:space="preserve">2205 Kismet Pkwy E </t>
  </si>
  <si>
    <t xml:space="preserve">90 Oakwood Vlg #1, Flanders, NJ 07836-9091 </t>
  </si>
  <si>
    <t>12-44-23-c2-02414.0050</t>
  </si>
  <si>
    <t>Labriola James Tr</t>
  </si>
  <si>
    <t xml:space="preserve">6103 Holt Ct </t>
  </si>
  <si>
    <t xml:space="preserve">2321 19th St SW  Naples, FL 34117-4719 </t>
  </si>
  <si>
    <t xml:space="preserve">PO Box 188  Hillburn, NY 10931 </t>
  </si>
  <si>
    <t>Deana</t>
  </si>
  <si>
    <t>Kemble</t>
  </si>
  <si>
    <t>06-44-24-c3-02033.0130</t>
  </si>
  <si>
    <t>Woodhaven</t>
  </si>
  <si>
    <t>20-43-24-c4-05634.0160</t>
  </si>
  <si>
    <t xml:space="preserve">2818 NE 6th Ave </t>
  </si>
  <si>
    <t xml:space="preserve">614 NE 12th St </t>
  </si>
  <si>
    <t>Iris Lynn</t>
  </si>
  <si>
    <t>Luis &amp; Maryuri Paredes</t>
  </si>
  <si>
    <t>Steven Lang</t>
  </si>
  <si>
    <t>17-43-24-c3-05796.0260</t>
  </si>
  <si>
    <t>46637-4425</t>
  </si>
  <si>
    <t xml:space="preserve">1923 NE 33rd St  Cape Coral, FL 33909 </t>
  </si>
  <si>
    <t>Blaise Pape</t>
  </si>
  <si>
    <t>Annandale</t>
  </si>
  <si>
    <t xml:space="preserve">23 Ostend Rd </t>
  </si>
  <si>
    <t>Atienza</t>
  </si>
  <si>
    <t>Island Park</t>
  </si>
  <si>
    <t>Niro</t>
  </si>
  <si>
    <t>Alirio</t>
  </si>
  <si>
    <t xml:space="preserve">9041 Highland Dr  Fort Myers, FL 33905 </t>
  </si>
  <si>
    <t>Potts Family Trust</t>
  </si>
  <si>
    <t>08-44-24-c3-01525.0520</t>
  </si>
  <si>
    <t>Eugenia</t>
  </si>
  <si>
    <t>11-44-25-06-0000d.0500</t>
  </si>
  <si>
    <t>25-43-23-c4-02302.0530</t>
  </si>
  <si>
    <t>11-44-25-11-00000.0580</t>
  </si>
  <si>
    <t>Louis &amp; Karen Robinson</t>
  </si>
  <si>
    <t>Mirian Rodriguez</t>
  </si>
  <si>
    <t>Cape Coral Unit 33 Blk 2180 Pb 16 Pg 49 Lots 64 + 65</t>
  </si>
  <si>
    <t>Bracken</t>
  </si>
  <si>
    <t xml:space="preserve">6267 Robins Trce </t>
  </si>
  <si>
    <t>Newark</t>
  </si>
  <si>
    <t>Ana Degomez &amp; Daniel Martinez</t>
  </si>
  <si>
    <t xml:space="preserve">18375 Ventura Blvd #216 </t>
  </si>
  <si>
    <t>Xing</t>
  </si>
  <si>
    <t xml:space="preserve">1525 Arthur St </t>
  </si>
  <si>
    <t>Willis</t>
  </si>
  <si>
    <t xml:space="preserve">729 Old White Plains Rd #4 </t>
  </si>
  <si>
    <t>Las Piedras</t>
  </si>
  <si>
    <t>New Smyrna Beach</t>
  </si>
  <si>
    <t>Malente</t>
  </si>
  <si>
    <t>Perminder Dhillon</t>
  </si>
  <si>
    <t>33909-9207</t>
  </si>
  <si>
    <t>Richland</t>
  </si>
  <si>
    <t xml:space="preserve">1400 NE 18th Ave  Cape Coral, FL 33909 </t>
  </si>
  <si>
    <t>Cape Coral Unit 84 Blk 5605 Pb 24 Pg 42 Lots 67 + 68</t>
  </si>
  <si>
    <t>33909-3272</t>
  </si>
  <si>
    <t xml:space="preserve">125 NE 11th Ter  Cape Coral, FL 33909 </t>
  </si>
  <si>
    <t>Cape Coral Unit 84 Blk 5590 Pb 24 Pg 41 Lots 27 + 28</t>
  </si>
  <si>
    <t xml:space="preserve">8416 Mcvicker Ave  Morton Grove, IL 60053-3231 </t>
  </si>
  <si>
    <t>Beladev</t>
  </si>
  <si>
    <t xml:space="preserve">3341 Storck Rd  Mcfarland, WI 53558-9644 </t>
  </si>
  <si>
    <t>13456-2521</t>
  </si>
  <si>
    <t xml:space="preserve">403 Garfield Ave </t>
  </si>
  <si>
    <t xml:space="preserve">317 Dexter Dr  Fort Myers, FL 33905 </t>
  </si>
  <si>
    <t>29-43-24-c4-02255.0520</t>
  </si>
  <si>
    <t>Generosa</t>
  </si>
  <si>
    <t>Bresciani</t>
  </si>
  <si>
    <t>35-44-24-p4-35000.0090</t>
  </si>
  <si>
    <t xml:space="preserve">10764 114th St </t>
  </si>
  <si>
    <t>Ernesto &amp; Araceli Rego</t>
  </si>
  <si>
    <t>Mistletoe Hollow</t>
  </si>
  <si>
    <t xml:space="preserve">3744 Hyde Park Dr </t>
  </si>
  <si>
    <t>01-44-23-c1-02441.0390</t>
  </si>
  <si>
    <t xml:space="preserve">1150 Hillsborough Mile #702, Hillsboro Beach, FL 33062 </t>
  </si>
  <si>
    <t>PO Box 10278-1000</t>
  </si>
  <si>
    <t>32-43-24-c2-02239.0430</t>
  </si>
  <si>
    <t>Alexandroff</t>
  </si>
  <si>
    <t>22031-5217</t>
  </si>
  <si>
    <t>34442-3300</t>
  </si>
  <si>
    <t>03-44-26-09-00042.0240</t>
  </si>
  <si>
    <t>Jonra Carter &amp; Billy Jacoby</t>
  </si>
  <si>
    <t>For Bennie L &amp; Ellen L Wiggins Family Trust</t>
  </si>
  <si>
    <t xml:space="preserve">8431 Buckingham Rd  Fort Myers, FL 33905 </t>
  </si>
  <si>
    <t>29-43-24-c3-02249.0010</t>
  </si>
  <si>
    <t xml:space="preserve">827 Maraval Ct  Longwood, FL 32750-3302 </t>
  </si>
  <si>
    <t xml:space="preserve">15757 228th Ave NW  Elk River, MN 55330-9515 </t>
  </si>
  <si>
    <t xml:space="preserve">1105 Madison 310  Marquand, MO 63655-8707 </t>
  </si>
  <si>
    <t xml:space="preserve">19 E Circuit Dr </t>
  </si>
  <si>
    <t>Rajko</t>
  </si>
  <si>
    <t>10605-2210</t>
  </si>
  <si>
    <t>Vaughn</t>
  </si>
  <si>
    <t xml:space="preserve">1226 NE 5th Pl  Cape Coral, FL 33909 </t>
  </si>
  <si>
    <t xml:space="preserve">6011 W 24th Ave </t>
  </si>
  <si>
    <t>Amie</t>
  </si>
  <si>
    <t>Kimball Lorna D Tr</t>
  </si>
  <si>
    <t>33027-5448</t>
  </si>
  <si>
    <t>Steamboat</t>
  </si>
  <si>
    <t>Liotard</t>
  </si>
  <si>
    <t>Aseneth</t>
  </si>
  <si>
    <t xml:space="preserve">6152 Stratton Rd  Fort Myers, FL 33905 </t>
  </si>
  <si>
    <t>33904-5728</t>
  </si>
  <si>
    <t>Julian Camargo</t>
  </si>
  <si>
    <t>Parenteau</t>
  </si>
  <si>
    <t>PO Box 3878</t>
  </si>
  <si>
    <t xml:space="preserve">1 Sharps Rock Dr </t>
  </si>
  <si>
    <t>Mindy Huynh</t>
  </si>
  <si>
    <t>Ervin</t>
  </si>
  <si>
    <t>03-44-26-01-00003.0020</t>
  </si>
  <si>
    <t>07047-5622</t>
  </si>
  <si>
    <t>Robert &amp; For Bechtol</t>
  </si>
  <si>
    <t xml:space="preserve">347 NE 22nd Ter </t>
  </si>
  <si>
    <t>33596-7932</t>
  </si>
  <si>
    <t xml:space="preserve">1000 NE 20th St </t>
  </si>
  <si>
    <t>Cape Coral Unit 84 Blk 5608 Pb 24 Pg 36 Lots 36 + 37</t>
  </si>
  <si>
    <t xml:space="preserve">3413 NE 12th Ave </t>
  </si>
  <si>
    <t>33909-4730</t>
  </si>
  <si>
    <t>Cape Coral Unit 82 Blk 5279 Pb 24 Pg 121 Lots 8 + 9</t>
  </si>
  <si>
    <t>32817-4848</t>
  </si>
  <si>
    <t>L4G 6A1</t>
  </si>
  <si>
    <t>12-44-23-c1-02398.0090</t>
  </si>
  <si>
    <t>32958-4710</t>
  </si>
  <si>
    <t>16-44-26-06-00013.0060</t>
  </si>
  <si>
    <t>Michael Steiner &amp; Bozena Zgoda</t>
  </si>
  <si>
    <t>16-44-26-08-00025.0050</t>
  </si>
  <si>
    <t>125th</t>
  </si>
  <si>
    <t>Andrea &amp; Horizon Delorie</t>
  </si>
  <si>
    <t xml:space="preserve">1440 NE 33rd St  Cape Coral, FL 33909 </t>
  </si>
  <si>
    <t>Stavros &amp; Panagiotis Orfan</t>
  </si>
  <si>
    <t xml:space="preserve">1924 NE 5th St </t>
  </si>
  <si>
    <t xml:space="preserve">Hci #3452, Healy, AK 99743 </t>
  </si>
  <si>
    <t>Stephen &amp; Damita Duplantis</t>
  </si>
  <si>
    <t>01506-1778</t>
  </si>
  <si>
    <t>Robert Sheffer</t>
  </si>
  <si>
    <t>37075-5030</t>
  </si>
  <si>
    <t>33909-4441</t>
  </si>
  <si>
    <t>Ivan Medel</t>
  </si>
  <si>
    <t>11-44-25-09-00000.0100</t>
  </si>
  <si>
    <t>33909-1675</t>
  </si>
  <si>
    <t xml:space="preserve">902 NE Juanita Pl  Cape Coral, FL 33909 </t>
  </si>
  <si>
    <t xml:space="preserve">5248 Cypress Trail Resort Cir  Fort Myers, FL 33905 </t>
  </si>
  <si>
    <t xml:space="preserve">213 Sun Cir  Fort Myers, FL 33905 </t>
  </si>
  <si>
    <t xml:space="preserve">5168 Morris Thomas Rd </t>
  </si>
  <si>
    <t xml:space="preserve">300 Koehler Rd  Boonton, NJ 07005-2415 </t>
  </si>
  <si>
    <t xml:space="preserve">1413 NE 4th Pl </t>
  </si>
  <si>
    <t>Cape Coral Unit 84 Blk 5565 Pb 24 Pg 37 Lots 70 + 71</t>
  </si>
  <si>
    <t xml:space="preserve">62 S Spinnaker Dr  Little Egg Harbor Twp, NJ 08087-1524 </t>
  </si>
  <si>
    <t xml:space="preserve">10006 Parkwood Dr </t>
  </si>
  <si>
    <t>Jon &amp; Susan Lutz</t>
  </si>
  <si>
    <t>Min Chen</t>
  </si>
  <si>
    <t>Saddle Club</t>
  </si>
  <si>
    <t>29-45-24-32-000w1.0000</t>
  </si>
  <si>
    <t>33498-4927</t>
  </si>
  <si>
    <t>Cape Coral Unit 88 Blk 5823 Pb 24 Pg 141 Lots 15 + 16</t>
  </si>
  <si>
    <t>Cape Coral Unit 33 Blk 2253 Pb 16 Pg 57 Lots 64 + 65</t>
  </si>
  <si>
    <t>James W Zeberlein Jr and Pamela M Zeberlein Revocable Trust</t>
  </si>
  <si>
    <t>Miguel Rodrigues</t>
  </si>
  <si>
    <t xml:space="preserve">2104 NE 43rd Ln </t>
  </si>
  <si>
    <t>Charlton</t>
  </si>
  <si>
    <t xml:space="preserve">6018 Jonathan Ave </t>
  </si>
  <si>
    <t>02668-1338</t>
  </si>
  <si>
    <t>Highway 102</t>
  </si>
  <si>
    <t>33909-8861</t>
  </si>
  <si>
    <t xml:space="preserve">Po Box 371890 </t>
  </si>
  <si>
    <t>Nicholas Farm</t>
  </si>
  <si>
    <t xml:space="preserve">1720 Jamaica St </t>
  </si>
  <si>
    <t>01-44-23-c4-02423.0450</t>
  </si>
  <si>
    <t>Cape Coral Unit 36 Blk 2543 Pb 16 Pg 115 Lots 27 + 28</t>
  </si>
  <si>
    <t>19-43-24-c2-05597.0240</t>
  </si>
  <si>
    <t xml:space="preserve">406 NE 26th St </t>
  </si>
  <si>
    <t xml:space="preserve">52 Vine St </t>
  </si>
  <si>
    <t xml:space="preserve">6015 Langdon Ave </t>
  </si>
  <si>
    <t>11-44-25-l1-13000.0760</t>
  </si>
  <si>
    <t>Cypress Trail Rv Resort Phase 2-A As Desc In Inst# 2014000026506 Lot 13</t>
  </si>
  <si>
    <t xml:space="preserve">16411 NW 37th Ct  Opa Locka, FL 33054-6319 </t>
  </si>
  <si>
    <t xml:space="preserve">5851 Pathwood Ct  Fort Myers, FL 33905 </t>
  </si>
  <si>
    <t>Laurel Dale</t>
  </si>
  <si>
    <t>Besher &amp; Myra Geda</t>
  </si>
  <si>
    <t xml:space="preserve">1004 NE 32nd Ln </t>
  </si>
  <si>
    <t>06-44-24-c2-02082.0350</t>
  </si>
  <si>
    <t xml:space="preserve">1928 Beach Pkwy  Cape Coral, FL 33904 </t>
  </si>
  <si>
    <t>33904-4216</t>
  </si>
  <si>
    <t>Bayview</t>
  </si>
  <si>
    <t xml:space="preserve">24 Sturbridge Rd  Charlton, MA 01507-5321 </t>
  </si>
  <si>
    <t>Pebble Shores</t>
  </si>
  <si>
    <t xml:space="preserve">1407 14078th st Ct SE  New Prague, MN 56071 </t>
  </si>
  <si>
    <t>96789-6579</t>
  </si>
  <si>
    <t>Janice Koster</t>
  </si>
  <si>
    <t>25-43-23-c2-02346.0290</t>
  </si>
  <si>
    <t>Frisco</t>
  </si>
  <si>
    <t>Hagkull</t>
  </si>
  <si>
    <t>17601-3603</t>
  </si>
  <si>
    <t xml:space="preserve">850 SW 142nd Ave  Miami, FL 33184-3233 </t>
  </si>
  <si>
    <t>20-43-24-c2-05665.0010</t>
  </si>
  <si>
    <t xml:space="preserve">5217 Marsh Mallow Trl </t>
  </si>
  <si>
    <t xml:space="preserve">5591 Cypress Woods Resort Dr  Fort Myers, FL 33905 </t>
  </si>
  <si>
    <t>Heller</t>
  </si>
  <si>
    <t xml:space="preserve">801 Middle Rd </t>
  </si>
  <si>
    <t xml:space="preserve">18 Hunterdon Ave </t>
  </si>
  <si>
    <t>Enoc Pelegrin &amp; Katiuska Colina</t>
  </si>
  <si>
    <t>Willow Terrace</t>
  </si>
  <si>
    <t>55369-3981</t>
  </si>
  <si>
    <t xml:space="preserve">30145 Bayshore Rd  Ocean View, DE 19970-3332 </t>
  </si>
  <si>
    <t>Tice Heights Blk D Pb 5 Pg 32 Lot 36</t>
  </si>
  <si>
    <t xml:space="preserve">480 Pine Bough Ct </t>
  </si>
  <si>
    <t>32-43-24-c4-02202.0550</t>
  </si>
  <si>
    <t>Lehigh Acres Unit 1 Blk 3 Pb 26 Pg 2 Lot 39</t>
  </si>
  <si>
    <t>Huerth</t>
  </si>
  <si>
    <t>Theziers</t>
  </si>
  <si>
    <t>94521-3355</t>
  </si>
  <si>
    <t xml:space="preserve">484 Long Ridge Rd  Stamford, CT 06902-1427 </t>
  </si>
  <si>
    <t>Beg 1912.86 Ft E + 150 Ft S Of Nw Cor Sec 10 Th E 80 Ft S 100 Ft W 80 Ft N 100</t>
  </si>
  <si>
    <t>11-44-25-05-0000c.0270</t>
  </si>
  <si>
    <t>17-43-24-c3-05793.0120</t>
  </si>
  <si>
    <t>Nathaniel Salazar</t>
  </si>
  <si>
    <t>Jeffrey &amp; Yvonne Miller</t>
  </si>
  <si>
    <t>Little Harlem Park Subd Blk D Pb 9 Pg 18 Lot 11</t>
  </si>
  <si>
    <t xml:space="preserve">1708 NE 11th St  Cape Coral, FL 33909 </t>
  </si>
  <si>
    <t>Sima</t>
  </si>
  <si>
    <t xml:space="preserve">333 NE 29th St  Cape Coral, FL 33909 </t>
  </si>
  <si>
    <t xml:space="preserve">2522 SE 23rd Pl </t>
  </si>
  <si>
    <t xml:space="preserve">13437 Marquette Blvd </t>
  </si>
  <si>
    <t>Ng</t>
  </si>
  <si>
    <t>Mcclory</t>
  </si>
  <si>
    <t xml:space="preserve">1911 NE 23rd Ave </t>
  </si>
  <si>
    <t xml:space="preserve">4168 NE 8th Pl </t>
  </si>
  <si>
    <t xml:space="preserve">12609 Davis Blvd  Fort Myers, FL 33905 </t>
  </si>
  <si>
    <t>37066-6763</t>
  </si>
  <si>
    <t>33181-3433</t>
  </si>
  <si>
    <t>Cecchini</t>
  </si>
  <si>
    <t xml:space="preserve">Hamster #8 </t>
  </si>
  <si>
    <t>29-43-24-c4-02265.0290</t>
  </si>
  <si>
    <t xml:space="preserve">10120 Sunnywood Ct  Fort Myers, FL 33905 </t>
  </si>
  <si>
    <t>Cape Coral Unit 36 Blk 2524 Pb 16 Pg 115 Lots 15 Thru 17</t>
  </si>
  <si>
    <t>Yaniv Kafe &amp; Adela Azaria</t>
  </si>
  <si>
    <t>06-44-24-c4-02057.0100</t>
  </si>
  <si>
    <t>Fontz</t>
  </si>
  <si>
    <t>Des Plaines</t>
  </si>
  <si>
    <t>Keder</t>
  </si>
  <si>
    <t xml:space="preserve">322 SE 33rd St  Cape Coral, FL 33904 </t>
  </si>
  <si>
    <t>03-44-26-09-00040.0150</t>
  </si>
  <si>
    <t>Tiefierro</t>
  </si>
  <si>
    <t>33903-4269</t>
  </si>
  <si>
    <t>Avraham Eyal</t>
  </si>
  <si>
    <t>Manchester</t>
  </si>
  <si>
    <t>Januareo</t>
  </si>
  <si>
    <t xml:space="preserve">2110 NE 13th Ave </t>
  </si>
  <si>
    <t xml:space="preserve">322 NE 25th Ter </t>
  </si>
  <si>
    <t xml:space="preserve">818 Kismet Pkwy E  Cape Coral, FL 33909 </t>
  </si>
  <si>
    <t xml:space="preserve">6838 Juneberry Ave  Woodridge, IL 60517-1707 </t>
  </si>
  <si>
    <t xml:space="preserve">2304 NE 33rd Ln </t>
  </si>
  <si>
    <t>New Hyde Park</t>
  </si>
  <si>
    <t xml:space="preserve">101 NE 19th Ter  Cape Coral, FL 33909 </t>
  </si>
  <si>
    <t xml:space="preserve">5 Andrews Dr  Marlboro, NJ 07746-1889 </t>
  </si>
  <si>
    <t>16-44-26-07-00020.0120</t>
  </si>
  <si>
    <t>03-44-26-10-00048.0130</t>
  </si>
  <si>
    <t>Barnes</t>
  </si>
  <si>
    <t>Avenue Jean Paul Ii Abidjan</t>
  </si>
  <si>
    <t>Mei &amp; For Woo</t>
  </si>
  <si>
    <t xml:space="preserve">3527 NE 19th Ave </t>
  </si>
  <si>
    <t xml:space="preserve">5124 Cypress Trail Resort Cir  Fort Myers, FL 33905 </t>
  </si>
  <si>
    <t>Chien-Jen</t>
  </si>
  <si>
    <t>25-43-23-c4-02353.0540</t>
  </si>
  <si>
    <t xml:space="preserve">10500 Mack Ave  Detroit, MI 48214-2139 </t>
  </si>
  <si>
    <t>Sunny</t>
  </si>
  <si>
    <t>Benjamin &amp; Latitia Garaix</t>
  </si>
  <si>
    <t xml:space="preserve">2608 Somerton Ct  Bowie, MD 20721-2981 </t>
  </si>
  <si>
    <t>Cape Coral Unit 84 Blk 5575 Pb 24 Pg 45 Lots 13 + 14</t>
  </si>
  <si>
    <t xml:space="preserve">7010 Crews Ln  Brentwood, TN 37027-1540 </t>
  </si>
  <si>
    <t>33909-1910</t>
  </si>
  <si>
    <t>Cape Coral Unit 33 Blk.2227 Pb 16 Pg 46 Lots 14 + 15</t>
  </si>
  <si>
    <t>29-43-24-c3-02253.0240</t>
  </si>
  <si>
    <t>Barkhaus</t>
  </si>
  <si>
    <t>Van Wyk</t>
  </si>
  <si>
    <t xml:space="preserve">3923 NE 10th Ave </t>
  </si>
  <si>
    <t xml:space="preserve">14640 Jonathan Harbour Dr  Fort Myers, FL 33908 </t>
  </si>
  <si>
    <t xml:space="preserve">7550 N Fortville Pike  Greenfield, IN 46140-8692 </t>
  </si>
  <si>
    <t>Lehigh Acres E 1/2 Ut 10 Blk 51 Pb 26 Pg 13 Lot 11</t>
  </si>
  <si>
    <t>32-43-24-c3-02218.0470</t>
  </si>
  <si>
    <t>Joselito Pontejos</t>
  </si>
  <si>
    <t xml:space="preserve">17 Foley Cir </t>
  </si>
  <si>
    <t>Raiani</t>
  </si>
  <si>
    <t xml:space="preserve">373 Newbury St  Hercules, CA 94547-3690 </t>
  </si>
  <si>
    <t>Phyliss &amp; Kristin Hansen</t>
  </si>
  <si>
    <t xml:space="preserve">6933 Aura Ave </t>
  </si>
  <si>
    <t>18-43-24-c3-05706.0530</t>
  </si>
  <si>
    <t>Raffella</t>
  </si>
  <si>
    <t xml:space="preserve">203 Harvest Dr </t>
  </si>
  <si>
    <t xml:space="preserve">3721 Kessler St  Fort Myers, FL 33905 </t>
  </si>
  <si>
    <t xml:space="preserve">818 Kismet Pkwy E </t>
  </si>
  <si>
    <t>Roger &amp; Sharon Mcvay</t>
  </si>
  <si>
    <t>18-43-24-c1-05725.0210</t>
  </si>
  <si>
    <t>33140-3018</t>
  </si>
  <si>
    <t xml:space="preserve">7040 E Highland Rd  Cave Creek, AZ 85331-8238 </t>
  </si>
  <si>
    <t>Cape Coral Unit 36 Blk 2303 Pb 16 Pg 122 Lots 21 + 22</t>
  </si>
  <si>
    <t>32-43-24-c2-02242.0610</t>
  </si>
  <si>
    <t>06-44-24-c2-02067.0540</t>
  </si>
  <si>
    <t># 1</t>
  </si>
  <si>
    <t xml:space="preserve">3704 Stagg Ct  Fort Myers, FL 33905 </t>
  </si>
  <si>
    <t>36-44-23-c4-00866.0450</t>
  </si>
  <si>
    <t>05-44-24-c1-03525.0190</t>
  </si>
  <si>
    <t>Cape Coral Unit 36 Blk 2340 Pb 16 Pg 124 Lots 25 + 26</t>
  </si>
  <si>
    <t>Selena Hung &amp; Christopher Croce</t>
  </si>
  <si>
    <t xml:space="preserve">2530 NE 6th Pl </t>
  </si>
  <si>
    <t>Tonino</t>
  </si>
  <si>
    <t xml:space="preserve">12155 Fuller Ln </t>
  </si>
  <si>
    <t>Daisy Flores &amp; For Garcia</t>
  </si>
  <si>
    <t>Abraham Cassinely</t>
  </si>
  <si>
    <t>34210-2973</t>
  </si>
  <si>
    <t xml:space="preserve">4252 NE 18th Ave  Cape Coral, FL 33909 </t>
  </si>
  <si>
    <t xml:space="preserve">614 NE 20th St </t>
  </si>
  <si>
    <t>Piccirillo</t>
  </si>
  <si>
    <t>11-44-25-06-0000d.0010</t>
  </si>
  <si>
    <t>Cape Coral Unit 32 Blk 2141 Pb 16 Pg 7 Lots 17 + 18</t>
  </si>
  <si>
    <t>Palmona Park Unit 1 Blk 19 Pb 7 Pg 54 Lots 1 + 2</t>
  </si>
  <si>
    <t xml:space="preserve">10301 Nightwood Dr </t>
  </si>
  <si>
    <t>Cape Coral Unit 88 Blk 5816 Pb 24 Pg 139 Lots 27 + 28</t>
  </si>
  <si>
    <t>31-43-24-c3-02121.0250</t>
  </si>
  <si>
    <t xml:space="preserve">8647 257th St  Floral Park, NY 11001-1411 </t>
  </si>
  <si>
    <t>Fischetti</t>
  </si>
  <si>
    <t>Ceron</t>
  </si>
  <si>
    <t>Norris &amp; Sharon Gibson</t>
  </si>
  <si>
    <t>Daley</t>
  </si>
  <si>
    <t>Scot Laing</t>
  </si>
  <si>
    <t>Farzad</t>
  </si>
  <si>
    <t xml:space="preserve">1225 NE 11th St  Cape Coral, FL 33909 </t>
  </si>
  <si>
    <t>06525-1132</t>
  </si>
  <si>
    <t>Cape Coral Unit 47 Pt 2 Blk 3544 Pb 23 Pg 118 Lots 20 + 21</t>
  </si>
  <si>
    <t>Weatherstone</t>
  </si>
  <si>
    <t>Cape Coral Unit 35 Blk.2384 Pb 16 Pg 108 Lots 60 Thru 62</t>
  </si>
  <si>
    <t>77095-1840</t>
  </si>
  <si>
    <t>PO Box 971107</t>
  </si>
  <si>
    <t>Ronald Mackenzie</t>
  </si>
  <si>
    <t>Monika Euteneuer</t>
  </si>
  <si>
    <t>Martin Grove</t>
  </si>
  <si>
    <t xml:space="preserve">20 Rue Edgar Degas  Uzes, FR </t>
  </si>
  <si>
    <t>Shane Mcgill</t>
  </si>
  <si>
    <t>15050-1701</t>
  </si>
  <si>
    <t xml:space="preserve">56 Brooks Rd </t>
  </si>
  <si>
    <t>Auf Jaegert</t>
  </si>
  <si>
    <t>29-43-24-c4-02255.0030</t>
  </si>
  <si>
    <t>29-43-24-c3-02268.0300</t>
  </si>
  <si>
    <t>33909-5463</t>
  </si>
  <si>
    <t>Cape Coral Unit 33 Blk 2284 Pb 16 Pg 56 Lots 46 + 47</t>
  </si>
  <si>
    <t>Doolie</t>
  </si>
  <si>
    <t xml:space="preserve">Central Park </t>
  </si>
  <si>
    <t>31-43-24-c1-02149.0640</t>
  </si>
  <si>
    <t>Nicolas &amp; Evelia Camacho</t>
  </si>
  <si>
    <t>19962-1825</t>
  </si>
  <si>
    <t xml:space="preserve">412 NE 9th St </t>
  </si>
  <si>
    <t xml:space="preserve">6021 Thorpe Ave  Fort Myers, FL 33905 </t>
  </si>
  <si>
    <t>Jan Haase</t>
  </si>
  <si>
    <t>Oliver</t>
  </si>
  <si>
    <t>04-44-25-05-00018.0070</t>
  </si>
  <si>
    <t>03-44-26-11-00056.0240</t>
  </si>
  <si>
    <t xml:space="preserve">4 Warren Ct </t>
  </si>
  <si>
    <t>Stephen Fillare</t>
  </si>
  <si>
    <t xml:space="preserve">1013 NE 12th Ter  Cape Coral, FL 33909 </t>
  </si>
  <si>
    <t>Eagan</t>
  </si>
  <si>
    <t>Lehigh Acres Unit 1 Blk 1 Pb 26 Pg 28 Lot 9</t>
  </si>
  <si>
    <t>Metairon</t>
  </si>
  <si>
    <t>Raul &amp; Magnolia Isusi</t>
  </si>
  <si>
    <t>25-43-23-c4-02296.0280</t>
  </si>
  <si>
    <t>02532-2169</t>
  </si>
  <si>
    <t>Cape Coral Unit 87 Blk 5680 Pb 24 Pg 73 Lots 12 + 13</t>
  </si>
  <si>
    <t xml:space="preserve">65 Cotter St </t>
  </si>
  <si>
    <t>33909-9202</t>
  </si>
  <si>
    <t>Shorewood</t>
  </si>
  <si>
    <t xml:space="preserve">15018 Wildflower Cir  Naples, FL 34119-4857 </t>
  </si>
  <si>
    <t xml:space="preserve">1002 NE 6th Pl  Cape Coral, FL 33909 </t>
  </si>
  <si>
    <t>Riverhead</t>
  </si>
  <si>
    <t xml:space="preserve">564 S 980 W </t>
  </si>
  <si>
    <t>Vance</t>
  </si>
  <si>
    <t>36-43-23-c4-02506.0050</t>
  </si>
  <si>
    <t>48315-5142</t>
  </si>
  <si>
    <t xml:space="preserve">25 Gaertnergasse  Luebeck, DE 23562 </t>
  </si>
  <si>
    <t>Walquirio Bruscargin</t>
  </si>
  <si>
    <t xml:space="preserve">333 Stockton St </t>
  </si>
  <si>
    <t xml:space="preserve">6 Fountain View Blvd </t>
  </si>
  <si>
    <t xml:space="preserve">5072 99th Way N  Saint Petersburg, FL 33708-3658 </t>
  </si>
  <si>
    <t>18944-3973</t>
  </si>
  <si>
    <t>Marc Harbison</t>
  </si>
  <si>
    <t>01-44-23-c3-02421.0170</t>
  </si>
  <si>
    <t>25-43-23-c4-02355.0140</t>
  </si>
  <si>
    <t>Lorio</t>
  </si>
  <si>
    <t xml:space="preserve">2050 NE 20th Ln </t>
  </si>
  <si>
    <t>Cape Coral Unit 85 Blk 5639 Pb 24 Pg 54 Lots 26 + 27</t>
  </si>
  <si>
    <t xml:space="preserve">1305 Jacks Ln </t>
  </si>
  <si>
    <t xml:space="preserve">13391 Almond Dr  Fort Myers, FL 33908 </t>
  </si>
  <si>
    <t>29909-7107</t>
  </si>
  <si>
    <t>K0g 1</t>
  </si>
  <si>
    <t>33909-6147</t>
  </si>
  <si>
    <t>Pisano Raffaele</t>
  </si>
  <si>
    <t>01-44-23-c1-02461.0480</t>
  </si>
  <si>
    <t xml:space="preserve">12 Roland Dr </t>
  </si>
  <si>
    <t xml:space="preserve">800 Norris Rd </t>
  </si>
  <si>
    <t>Cape Coral Unit 17 Blk.1525 Pb 14 Pg 33 Lots 25 + 26</t>
  </si>
  <si>
    <t>Cape Coral Unit 34 Blk 2461 Pb 16 Pg 84 Lots 55 + 56</t>
  </si>
  <si>
    <t>Cape Coral Unit 36 Blk 2290 Pb 16 Pg 116 Lots 44 + 45</t>
  </si>
  <si>
    <t xml:space="preserve">419 7th Ave SW </t>
  </si>
  <si>
    <t>Cape Coral Unit 87 Blk 5741 Pb 24 Pg 69 Lots 17 + 18</t>
  </si>
  <si>
    <t>Shades Crest</t>
  </si>
  <si>
    <t xml:space="preserve">3847 Highlight St  Fort Myers, FL 33905 </t>
  </si>
  <si>
    <t>34698-2251</t>
  </si>
  <si>
    <t xml:space="preserve">3860 River Hollow Run </t>
  </si>
  <si>
    <t xml:space="preserve">714 Saw Mill River Rd #1 </t>
  </si>
  <si>
    <t>Shady Oaks Trailer Village Blk B Pb 12 Pg 46 Lots 1 + 2</t>
  </si>
  <si>
    <t>R3-W</t>
  </si>
  <si>
    <t xml:space="preserve">10180 Shadowood Ct </t>
  </si>
  <si>
    <t xml:space="preserve">11367 SW 236th Ln  Homestead, FL 33032-6249 </t>
  </si>
  <si>
    <t>For James P Odonnell Trust</t>
  </si>
  <si>
    <t>Palmerton</t>
  </si>
  <si>
    <t>Cape Coral Unit 87 Blk 5724 Pb 24 Pg 80 Lot 24</t>
  </si>
  <si>
    <t xml:space="preserve">7770 Thistle Ln </t>
  </si>
  <si>
    <t xml:space="preserve">1624 NE 7th Ave </t>
  </si>
  <si>
    <t>33909-4240</t>
  </si>
  <si>
    <t xml:space="preserve">1520 Berkshire Dr SE  Grand Rapids, MI 49508-1423 </t>
  </si>
  <si>
    <t>Shuey</t>
  </si>
  <si>
    <t>01-44-23-c2-02436.0290</t>
  </si>
  <si>
    <t>11419-2510</t>
  </si>
  <si>
    <t>33909-1474</t>
  </si>
  <si>
    <t xml:space="preserve">880 Moody Rd </t>
  </si>
  <si>
    <t>36-43-23-c1-02520.0050</t>
  </si>
  <si>
    <t xml:space="preserve">107 NE 16th Ter  Cape Coral, FL 33909 </t>
  </si>
  <si>
    <t>Cape Coral Unit 4 Part 2 Blk 135 Pb 12 Pg 15 Lots 46 + 47 + Or 3290 Pg 3131 + Or 3290 Pg 3135 + Por Vac St Or 3295/3635</t>
  </si>
  <si>
    <t>18-43-24-c2-05735.0170</t>
  </si>
  <si>
    <t>03-44-26-11-00057.0040</t>
  </si>
  <si>
    <t xml:space="preserve">923 NE 23rd Ter </t>
  </si>
  <si>
    <t>32-44-24-c1-01193.0280</t>
  </si>
  <si>
    <t>Cape Coral Unit 33 Blk 2287 Pb 16 Pg 58 Lots 49 + 50</t>
  </si>
  <si>
    <t>Cape Coral Unit 36 Blk 2327B Pb 16 Pg 125 Lots 6 Thru 8</t>
  </si>
  <si>
    <t xml:space="preserve">3545 W 250 S </t>
  </si>
  <si>
    <t>Cape Coral Unit 84 Blk 5563 Pb 24 Pg 37 Lots 9 + 10</t>
  </si>
  <si>
    <t>31-43-24-c1-02161.0310</t>
  </si>
  <si>
    <t>Tuscola</t>
  </si>
  <si>
    <t>60148-3262</t>
  </si>
  <si>
    <t>01-44-23-c4-02421.0110</t>
  </si>
  <si>
    <t>CT</t>
  </si>
  <si>
    <t>16-43-24-01-00000.0400</t>
  </si>
  <si>
    <t xml:space="preserve">2620 NE 22nd Pl </t>
  </si>
  <si>
    <t>Loganville</t>
  </si>
  <si>
    <t xml:space="preserve">11920 NW 38th Pl  Sunrise, FL 33323-2693 </t>
  </si>
  <si>
    <t xml:space="preserve">1525 NE 18th Pl  Cape Coral, FL 33909 </t>
  </si>
  <si>
    <t>33183-1436</t>
  </si>
  <si>
    <t xml:space="preserve">9971 SW 20th St  Miami, FL 33165-7501 </t>
  </si>
  <si>
    <t>Cape Coral Unit 85 Blk 5646 Pb 24 Pg 53 Lots 11 + 12</t>
  </si>
  <si>
    <t xml:space="preserve">5613 N Dublin Ranch Dr  Dublin, CA 94568-8802 </t>
  </si>
  <si>
    <t>Placerville</t>
  </si>
  <si>
    <t>40740-3056</t>
  </si>
  <si>
    <t xml:space="preserve">1626 Exeter Rd  Westminster, MD 21157-6802 </t>
  </si>
  <si>
    <t>Somersworth</t>
  </si>
  <si>
    <t>Cypress Woods Rv Resort Un 3 Desc In Pb 72 Pgs 92-95 Blk C Lot 42</t>
  </si>
  <si>
    <t xml:space="preserve">13098 Westheimer Rd #1451, Houston, TX 77077-5790 </t>
  </si>
  <si>
    <t xml:space="preserve">81 Eastwick Rd  New Britain, CT 06053-1905 </t>
  </si>
  <si>
    <t>Impasse Des Bergers</t>
  </si>
  <si>
    <t xml:space="preserve">2 Willis St  Cambridge, MD 21613-1617 </t>
  </si>
  <si>
    <t>Laguardia</t>
  </si>
  <si>
    <t>Berl</t>
  </si>
  <si>
    <t>33905-7719</t>
  </si>
  <si>
    <t xml:space="preserve">3505 NE 19th Pl  Cape Coral, FL 33909 </t>
  </si>
  <si>
    <t>Holiday Travel Park Rv Condo Ph 1 Or 1557 Pg 1583 Unit 235</t>
  </si>
  <si>
    <t>Cape Coral Unit 33 Blk 2180 Pb 16 Pg 49 Lots 62 + 63</t>
  </si>
  <si>
    <t>22nd</t>
  </si>
  <si>
    <t>Herndon Joint &amp; Lynn Herndon</t>
  </si>
  <si>
    <t xml:space="preserve">1310 NE 20th St </t>
  </si>
  <si>
    <t>Armando &amp; Marcia Valerio</t>
  </si>
  <si>
    <t>29-43-24-c3-02277.0270</t>
  </si>
  <si>
    <t xml:space="preserve">3135 S 22nd St  Abilene, TX 79605-5855 </t>
  </si>
  <si>
    <t>Saint Mary</t>
  </si>
  <si>
    <t xml:space="preserve">2928 NE 3rd Ave </t>
  </si>
  <si>
    <t>Jeanie</t>
  </si>
  <si>
    <t>Michelle Czalpinski</t>
  </si>
  <si>
    <t>Henrietta</t>
  </si>
  <si>
    <t>Gary &amp; Neitha Maingot</t>
  </si>
  <si>
    <t xml:space="preserve">1206 NE 19th Pl </t>
  </si>
  <si>
    <t>95304-9321</t>
  </si>
  <si>
    <t>Fernando Dealmeida</t>
  </si>
  <si>
    <t xml:space="preserve">6019 Lindbrook Ave  Fort Myers, FL 33905 </t>
  </si>
  <si>
    <t>PO Box 45</t>
  </si>
  <si>
    <t xml:space="preserve">1719 NE 27th St  Cape Coral, FL 33909 </t>
  </si>
  <si>
    <t>Calle Padres Constancio</t>
  </si>
  <si>
    <t xml:space="preserve">3759 NE 15th Pl </t>
  </si>
  <si>
    <t xml:space="preserve">508 NE 31st Ter </t>
  </si>
  <si>
    <t>Cape Coral Unit 88 Blk 5760 Pb 24 Pg 128 Lots 4 + 5</t>
  </si>
  <si>
    <t xml:space="preserve">541 Clark St </t>
  </si>
  <si>
    <t>George Paul</t>
  </si>
  <si>
    <t>Tanya</t>
  </si>
  <si>
    <t>Cape Coral Unit 36 Blk 2525 Pb 16 Pg 115 Lots 7 + 8</t>
  </si>
  <si>
    <t>Dincer</t>
  </si>
  <si>
    <t xml:space="preserve">38 Parker St  East Brunswick, NJ 08816-2147 </t>
  </si>
  <si>
    <t xml:space="preserve">2424 NE 6th Ave  Cape Coral, FL 33909 </t>
  </si>
  <si>
    <t>32-43-24-c1-02234.0010</t>
  </si>
  <si>
    <t>R055</t>
  </si>
  <si>
    <t>New Hope</t>
  </si>
  <si>
    <t xml:space="preserve">2900 NW 83rd Ter  Sunrise, FL 33322-2300 </t>
  </si>
  <si>
    <t>For Berhane Family Trust</t>
  </si>
  <si>
    <t xml:space="preserve">8581 SW 29th St  Miami, FL 33155-2321 </t>
  </si>
  <si>
    <t xml:space="preserve">7 Clearwater Dr  Allentown, NJ 08501-1946 </t>
  </si>
  <si>
    <t>31-44-24-c3-00551.0080</t>
  </si>
  <si>
    <t xml:space="preserve">6620 Terrace Rd  Fort Myers, FL 33905 </t>
  </si>
  <si>
    <t>Cape Coral Unit 36 Blk 2323 Pb 16 Pg 125 Lots 27 + 28</t>
  </si>
  <si>
    <t xml:space="preserve">300 Kismet Pkwy E </t>
  </si>
  <si>
    <t xml:space="preserve">6011 Tabor Ave </t>
  </si>
  <si>
    <t>Anthai</t>
  </si>
  <si>
    <t>25-43-23-c4-02309.0660</t>
  </si>
  <si>
    <t xml:space="preserve">4336 Connection Ave </t>
  </si>
  <si>
    <t>32-44-24-c4-01161.0080</t>
  </si>
  <si>
    <t>Lenh &amp; Van Vanvanpham</t>
  </si>
  <si>
    <t>W 180 Ft Of E 210 Ft Of N 105 Ft Of S 315 Ft Of N E 1/4 Of N W 1/4</t>
  </si>
  <si>
    <t xml:space="preserve">6046 Langdon Ave </t>
  </si>
  <si>
    <t xml:space="preserve">5209 SW 139th Pl </t>
  </si>
  <si>
    <t xml:space="preserve">972 Gardiner Dr </t>
  </si>
  <si>
    <t>244d</t>
  </si>
  <si>
    <t>03-44-26-12-00065.0150</t>
  </si>
  <si>
    <t>Jonathan &amp; Luisa Cubillos</t>
  </si>
  <si>
    <t xml:space="preserve">Po Box 7463 </t>
  </si>
  <si>
    <t>Cape Coral Unit 33 Blk.2287 Pb 16 Pg 58 Lots 31 + 32</t>
  </si>
  <si>
    <t xml:space="preserve">68 Rte Roger Brun  Marseille, FR </t>
  </si>
  <si>
    <t xml:space="preserve">2316 NE 33rd Ln  Cape Coral, FL 33909 </t>
  </si>
  <si>
    <t>Namuo</t>
  </si>
  <si>
    <t>Cape Coral Unit 32 Blk 2143 Pb 16 Pg 3 Lots 10 + 11</t>
  </si>
  <si>
    <t>Joseph Dhani</t>
  </si>
  <si>
    <t xml:space="preserve">2605 NE 7th Pl  Cape Coral, FL 33909 </t>
  </si>
  <si>
    <t>Lehigh Acres Unit 8 Blk 36 Pb 26 Pg 10 Lot 4</t>
  </si>
  <si>
    <t>Veterans Memorial</t>
  </si>
  <si>
    <t xml:space="preserve">34224 N Paseo Grande Dr  Queen Creek, AZ 85142-9519 </t>
  </si>
  <si>
    <t xml:space="preserve">8985 Harding Ave  Surfside, FL 33154-3420 </t>
  </si>
  <si>
    <t>08857-3562</t>
  </si>
  <si>
    <t xml:space="preserve">4113 NE 19th Pl </t>
  </si>
  <si>
    <t xml:space="preserve">1414 NE 16th Pl  Cape Coral, FL 33909 </t>
  </si>
  <si>
    <t>For Dominic Giannini Trust</t>
  </si>
  <si>
    <t xml:space="preserve">4938/4940 Vincennes Ct </t>
  </si>
  <si>
    <t>Dietmayrg</t>
  </si>
  <si>
    <t>Cape Coral Unit 84 Blk 5608 Pb 24 Pg 36 Lots 34 + 35</t>
  </si>
  <si>
    <t xml:space="preserve">2544 Shelby Pkwy </t>
  </si>
  <si>
    <t xml:space="preserve">10211 Meadow Beauty Trl </t>
  </si>
  <si>
    <t>Eugene &amp; Theresa Mahipath</t>
  </si>
  <si>
    <t>Crothersville</t>
  </si>
  <si>
    <t xml:space="preserve">10342 Prairie Iris Dr </t>
  </si>
  <si>
    <t xml:space="preserve">2817 Academy Blvd  Cape Coral, FL 33904 </t>
  </si>
  <si>
    <t xml:space="preserve">10151 SW 120th St  Miami, FL 33176-4803 </t>
  </si>
  <si>
    <t>33909-3327</t>
  </si>
  <si>
    <t>Libic</t>
  </si>
  <si>
    <t>Afton</t>
  </si>
  <si>
    <t>03-44-26-04-00017.0030</t>
  </si>
  <si>
    <t>Gorris</t>
  </si>
  <si>
    <t xml:space="preserve">1317 Sun Copper Dr </t>
  </si>
  <si>
    <t>Graceville</t>
  </si>
  <si>
    <t>Caroline</t>
  </si>
  <si>
    <t xml:space="preserve">464 South Dr  Rochester, NY 14612-1232 </t>
  </si>
  <si>
    <t>31-43-23-c3-04294.0030</t>
  </si>
  <si>
    <t xml:space="preserve">2204 Havana Ave  Fort Myers, FL 33905 </t>
  </si>
  <si>
    <t xml:space="preserve">1004 NE 20th St </t>
  </si>
  <si>
    <t>33189-2341</t>
  </si>
  <si>
    <t>Umatilla</t>
  </si>
  <si>
    <t xml:space="preserve">12125 Old Hickory Blvd  Hermitage, TN 37076-3620 </t>
  </si>
  <si>
    <t>Cape Coral Unit 34 Blk 2429 Pb 16 Pg 83 Lots 21 + 22</t>
  </si>
  <si>
    <t>Jing</t>
  </si>
  <si>
    <t xml:space="preserve">13617 Granada Mist Way  Delray Beach, FL 33446-5614 </t>
  </si>
  <si>
    <t>Cape Coral Unit 33 Blk.2189 Pb 16 Pg 50 Lots 56 + 57</t>
  </si>
  <si>
    <t>Israel</t>
  </si>
  <si>
    <t>33135-1528</t>
  </si>
  <si>
    <t>20-43-24-c2-05655.0230</t>
  </si>
  <si>
    <t>Verandah Unit 7 Desc In Pb 83 Pgs 23-31 Blk B Lot 13</t>
  </si>
  <si>
    <t>Kamp</t>
  </si>
  <si>
    <t>Lopez</t>
  </si>
  <si>
    <t>33905-8720</t>
  </si>
  <si>
    <t xml:space="preserve">910 NE 15th Ln </t>
  </si>
  <si>
    <t>N 1/2 Of S 1/2 Of Nw 1/4 Of Se 1/4 Of Sw 1/4</t>
  </si>
  <si>
    <t>33705-3644</t>
  </si>
  <si>
    <t xml:space="preserve">931 Dolphin Dr </t>
  </si>
  <si>
    <t>Berkland Lisa C M Tr</t>
  </si>
  <si>
    <t>19-43-24-c2-05593.0780</t>
  </si>
  <si>
    <t>Castor</t>
  </si>
  <si>
    <t>40220-3495</t>
  </si>
  <si>
    <t>85028-3128</t>
  </si>
  <si>
    <t xml:space="preserve">5223 Pineland Daisy Trl </t>
  </si>
  <si>
    <t>Torna</t>
  </si>
  <si>
    <t xml:space="preserve">5837 255th St  Little Neck, NY 11362-2138 </t>
  </si>
  <si>
    <t>Palestine</t>
  </si>
  <si>
    <t xml:space="preserve">4405 NE 21st Pl  Cape Coral, FL 33909 </t>
  </si>
  <si>
    <t xml:space="preserve">1802 NE 44th St  Cape Coral, FL 33909 </t>
  </si>
  <si>
    <t xml:space="preserve">10307 Prairie Iris Dr  Fort Myers, FL 33905 </t>
  </si>
  <si>
    <t xml:space="preserve">PO Box 366  Thiells, NY 10984 </t>
  </si>
  <si>
    <t>L1V 5R4</t>
  </si>
  <si>
    <t xml:space="preserve">5322 S Mccreedy Ave </t>
  </si>
  <si>
    <t>Beulah &amp; For Carara</t>
  </si>
  <si>
    <t>Geoffrey</t>
  </si>
  <si>
    <t>Karen Ruble &amp; Scott Barnthouse</t>
  </si>
  <si>
    <t>Calle Galleria</t>
  </si>
  <si>
    <t>B011</t>
  </si>
  <si>
    <t xml:space="preserve">7417 Flamewood Dr </t>
  </si>
  <si>
    <t xml:space="preserve">6367 Ledgewood Dr  Independence, OH 44131-3241 </t>
  </si>
  <si>
    <t>Lauricella</t>
  </si>
  <si>
    <t>Rue Du Plit</t>
  </si>
  <si>
    <t>Hans-Juergen</t>
  </si>
  <si>
    <t xml:space="preserve">14719 SW 11th Ct  Pembroke Pines, FL 33027-6198 </t>
  </si>
  <si>
    <t>Wieslawa</t>
  </si>
  <si>
    <t>93012-8206</t>
  </si>
  <si>
    <t>Cape Coral Unit 85 Blk 5667 Pb 24 Pg 53 Lots 56 Thru 58</t>
  </si>
  <si>
    <t xml:space="preserve">10130 Shadowood Ct  Fort Myers, FL 33905 </t>
  </si>
  <si>
    <t>Fable</t>
  </si>
  <si>
    <t>Alliston</t>
  </si>
  <si>
    <t>36-43-23-c2-02545.0070</t>
  </si>
  <si>
    <t>Nuna</t>
  </si>
  <si>
    <t>85210-8254</t>
  </si>
  <si>
    <t>Luz Curras</t>
  </si>
  <si>
    <t>01-44-23-c4-02466.0770</t>
  </si>
  <si>
    <t xml:space="preserve">1402 NE 14th Ave </t>
  </si>
  <si>
    <t xml:space="preserve">2307 W 69th St B2, Hialeah, FL 33016-6820 </t>
  </si>
  <si>
    <t xml:space="preserve">1615 SW 15th Ter  Fort Lauderdale, FL 33312-3313 </t>
  </si>
  <si>
    <t>Sadowski</t>
  </si>
  <si>
    <t>Cape Coral Unit 32 Blk 2110 Pb 16 Pg 2 Lots 36 37 + 38</t>
  </si>
  <si>
    <t xml:space="preserve">4418 SE 20th Ave  Cape Coral, FL 33904 </t>
  </si>
  <si>
    <t>20-43-24-c2-05656.0030</t>
  </si>
  <si>
    <t xml:space="preserve">13229 114th St </t>
  </si>
  <si>
    <t>Donald Masaitis</t>
  </si>
  <si>
    <t>11205-4905</t>
  </si>
  <si>
    <t>13206-3302</t>
  </si>
  <si>
    <t>Mischuk</t>
  </si>
  <si>
    <t>01-44-23-c1-02448.0270</t>
  </si>
  <si>
    <t>33904-3979</t>
  </si>
  <si>
    <t xml:space="preserve">1135 River Rd </t>
  </si>
  <si>
    <t>R001</t>
  </si>
  <si>
    <t>Beamish</t>
  </si>
  <si>
    <t xml:space="preserve">1720 Sylvan Ct </t>
  </si>
  <si>
    <t xml:space="preserve">1708 NE 33rd Ln  Cape Coral, FL 33909 </t>
  </si>
  <si>
    <t>33909-6235</t>
  </si>
  <si>
    <t>Beckmann</t>
  </si>
  <si>
    <t xml:space="preserve">1201 NE 4th Ave  Cape Coral, FL 33909 </t>
  </si>
  <si>
    <t>Bakersfield</t>
  </si>
  <si>
    <t>Ruane</t>
  </si>
  <si>
    <t>Universal</t>
  </si>
  <si>
    <t>33909-8916</t>
  </si>
  <si>
    <t>17-43-24-c2-05797.0410</t>
  </si>
  <si>
    <t xml:space="preserve">908 Old Mill Rd  Easton, PA 18040-1025 </t>
  </si>
  <si>
    <t xml:space="preserve">924 NE 20th St </t>
  </si>
  <si>
    <t>06443-2805</t>
  </si>
  <si>
    <t>Cape Coral Unit 47 Pt 2 Blk 3518 Pb 23 Pg 122 Lots 25 + 26</t>
  </si>
  <si>
    <t xml:space="preserve">382 Park Hill Ave  Yonkers, NY 10705-2436 </t>
  </si>
  <si>
    <t>20-43-24-c4-05636.0300</t>
  </si>
  <si>
    <t>C087</t>
  </si>
  <si>
    <t xml:space="preserve">14422 NW 88th Pl  Miami Lakes, FL 33018-8020 </t>
  </si>
  <si>
    <t xml:space="preserve">21753 Shorewood Rd  Rancho Palos Verdes, CA 90275 </t>
  </si>
  <si>
    <t xml:space="preserve">2305 NE 33rd Ter </t>
  </si>
  <si>
    <t xml:space="preserve">1318 NE 1st Ave </t>
  </si>
  <si>
    <t xml:space="preserve">350 W Kirkwall Rd </t>
  </si>
  <si>
    <t>Pilar</t>
  </si>
  <si>
    <t xml:space="preserve">17105 Oakmont Dr  Omaha, NE 68136-4061 </t>
  </si>
  <si>
    <t>Barry Blades</t>
  </si>
  <si>
    <t xml:space="preserve">4012 NE 10th Pl </t>
  </si>
  <si>
    <t>Cape Coral Unit 2 Part 3 Blk 221 Pb 11 Pg 39 Lots 15 + 16</t>
  </si>
  <si>
    <t xml:space="preserve">1912 NE 1st Pl </t>
  </si>
  <si>
    <t>Woodland Hills</t>
  </si>
  <si>
    <t>Mark &amp; Sherry Elliott</t>
  </si>
  <si>
    <t xml:space="preserve">14231 Callan St </t>
  </si>
  <si>
    <t>Route De Genissieux</t>
  </si>
  <si>
    <t xml:space="preserve">412 Phil Hansen Dr  Canutillo, TX 79835-8310 </t>
  </si>
  <si>
    <t xml:space="preserve">114 Miller Rd  Hicksville, NY 11801-1836 </t>
  </si>
  <si>
    <t>Cape Coral Unit 35 Blk 2412 Pb 16 Pg 109 Lots 28 + 29</t>
  </si>
  <si>
    <t>Rawson</t>
  </si>
  <si>
    <t xml:space="preserve">4003 NE 9th Ave  Cape Coral, FL 33909 </t>
  </si>
  <si>
    <t>Brett &amp; Karen Ingram</t>
  </si>
  <si>
    <t>Buckingham Air Park East Pb 56 Pgs 57 + 58 Lot 11</t>
  </si>
  <si>
    <t>Straw</t>
  </si>
  <si>
    <t>Sulit</t>
  </si>
  <si>
    <t xml:space="preserve">2203 NE 17th Ave  Cape Coral, FL 33909 </t>
  </si>
  <si>
    <t xml:space="preserve">1304 NE 1st Pl </t>
  </si>
  <si>
    <t xml:space="preserve">1401 N Gator Cir  Cape Coral, FL 33909 </t>
  </si>
  <si>
    <t>11-44-25-11-00000.2320</t>
  </si>
  <si>
    <t>21093-5108</t>
  </si>
  <si>
    <t>Jozef</t>
  </si>
  <si>
    <t xml:space="preserve">1821 NE 23rd Ave  Cape Coral, FL 33909 </t>
  </si>
  <si>
    <t xml:space="preserve">3405 NE 9th Pl </t>
  </si>
  <si>
    <t xml:space="preserve">2323 NE 19th St </t>
  </si>
  <si>
    <t>Ramangkoun</t>
  </si>
  <si>
    <t>Cape Coral Unit 33 Blk 2200 Pb 16 Pg 45 Lots 55 + 56</t>
  </si>
  <si>
    <t>Fernando &amp; Olga Correa</t>
  </si>
  <si>
    <t>52314-9770</t>
  </si>
  <si>
    <t>Santi</t>
  </si>
  <si>
    <t xml:space="preserve">1318 NE 3rd Ave </t>
  </si>
  <si>
    <t xml:space="preserve">733 El Dorado Pkwy E  Cape Coral, FL 33904 </t>
  </si>
  <si>
    <t xml:space="preserve">111 3rd Ave 11f </t>
  </si>
  <si>
    <t>Dunand</t>
  </si>
  <si>
    <t>32-43-24-c4-02225.0040</t>
  </si>
  <si>
    <t>38555-6197</t>
  </si>
  <si>
    <t xml:space="preserve">1400 SW 82nd Ave #42, North Lauderdale, FL 33068-3513 </t>
  </si>
  <si>
    <t>Flor</t>
  </si>
  <si>
    <t xml:space="preserve">5483 Cypress Trail Resort Cir  Fort Myers, FL 33905 </t>
  </si>
  <si>
    <t>Reiner</t>
  </si>
  <si>
    <t>Lehigh Acres W Pt Ut 14 Blk 77 Pb 26 Pg 20 Lots 7 + 8</t>
  </si>
  <si>
    <t>Cape Coral Unit 33 Blk 2243 Pb 16 Pg 54 Lots 5 + 6</t>
  </si>
  <si>
    <t xml:space="preserve">2220 Watermark Pl  Mckinney, TX 75071-1384 </t>
  </si>
  <si>
    <t>03-44-26-12-00062.0010</t>
  </si>
  <si>
    <t>11803-6316</t>
  </si>
  <si>
    <t>Cape Coral Unit 84 Blk 5566 Pb 24 Pg 38 Lots 33 + 34</t>
  </si>
  <si>
    <t>20120-1863</t>
  </si>
  <si>
    <t xml:space="preserve">6052 Jonathan Ave </t>
  </si>
  <si>
    <t xml:space="preserve">26 Ash St  Floral Park, NY 11001-3412 </t>
  </si>
  <si>
    <t>70th</t>
  </si>
  <si>
    <t>48001-4132</t>
  </si>
  <si>
    <t>Joseph &amp; Jason Kochis</t>
  </si>
  <si>
    <t>Hashomron</t>
  </si>
  <si>
    <t xml:space="preserve">2786 Esker Ct </t>
  </si>
  <si>
    <t>Balada</t>
  </si>
  <si>
    <t xml:space="preserve">15 NE 8th Ter </t>
  </si>
  <si>
    <t>Buckingham Park Ne Sec Blk 26 Pb 9 Pg 65 Lots 15 + 16</t>
  </si>
  <si>
    <t xml:space="preserve">1501 NE 13th Pl </t>
  </si>
  <si>
    <t>Lehigh Acres W 1/2 Unit 13 Blk 74 Pb 26 Pg 18 Lot 17</t>
  </si>
  <si>
    <t>Cape Coral Unit 36 Pt 1 Blk 2482 Pb 23 Pg 90 Lots 27 + 28</t>
  </si>
  <si>
    <t>25-43-23-c4-02291.0050</t>
  </si>
  <si>
    <t>Mathew &amp; Aniyamma Mathai</t>
  </si>
  <si>
    <t>Cape Coral Unit 33 Blk.2224 Pb 16 Pg 41 Lots 15 + 16</t>
  </si>
  <si>
    <t xml:space="preserve">2101 NE 21st Pl  Cape Coral, FL 33909 </t>
  </si>
  <si>
    <t>Portmoor</t>
  </si>
  <si>
    <t>Chysis</t>
  </si>
  <si>
    <t>Le Duong</t>
  </si>
  <si>
    <t>Iacia</t>
  </si>
  <si>
    <t>18w745</t>
  </si>
  <si>
    <t>F8</t>
  </si>
  <si>
    <t>Seabrook</t>
  </si>
  <si>
    <t>Annmarie</t>
  </si>
  <si>
    <t xml:space="preserve">3749 NE 15th Ave </t>
  </si>
  <si>
    <t xml:space="preserve">1849 Sundance Dr  Longmont, CO 80504-3771 </t>
  </si>
  <si>
    <t>19-43-24-c4-05565.0640</t>
  </si>
  <si>
    <t xml:space="preserve">45-215 Koa Kahiko St </t>
  </si>
  <si>
    <t>CO</t>
  </si>
  <si>
    <t xml:space="preserve">1705 NE 2nd Pl </t>
  </si>
  <si>
    <t>33909-4349</t>
  </si>
  <si>
    <t xml:space="preserve">618 NE 20th St </t>
  </si>
  <si>
    <t>Shiu</t>
  </si>
  <si>
    <t xml:space="preserve">4694 Cemetery Rd #282 </t>
  </si>
  <si>
    <t>Leonel Zaldivar</t>
  </si>
  <si>
    <t>Mckeon</t>
  </si>
  <si>
    <t xml:space="preserve">5943 Brightwood Dr </t>
  </si>
  <si>
    <t>Dennis Mcgovern</t>
  </si>
  <si>
    <t>Domingo</t>
  </si>
  <si>
    <t xml:space="preserve">13315 Whispering Oaks Dr </t>
  </si>
  <si>
    <t>Eden</t>
  </si>
  <si>
    <t xml:space="preserve">1224 NE 20th Ave </t>
  </si>
  <si>
    <t>Palmetto Palms R V Resort Condo Ph 1 Or 1530 Pg 1466 Res Unit 51</t>
  </si>
  <si>
    <t xml:space="preserve">239 Waites Ln </t>
  </si>
  <si>
    <t>03873-2253</t>
  </si>
  <si>
    <t>17112-4048</t>
  </si>
  <si>
    <t>Karin &amp; E Tonne</t>
  </si>
  <si>
    <t>Sadlier Circle East</t>
  </si>
  <si>
    <t>03-44-26-14-00082.0170</t>
  </si>
  <si>
    <t>Evelio</t>
  </si>
  <si>
    <t xml:space="preserve">8101 Sargent Rdg </t>
  </si>
  <si>
    <t xml:space="preserve">Po Box 380198 </t>
  </si>
  <si>
    <t xml:space="preserve">2017 NE 20th Pl  Cape Coral, FL 33909 </t>
  </si>
  <si>
    <t xml:space="preserve">905 W Millbrook St </t>
  </si>
  <si>
    <t>Oak Creek</t>
  </si>
  <si>
    <t>Cape Coral Unit 32 Blk 2120 Pb 16 Pg 7 Lots 5 + 6</t>
  </si>
  <si>
    <t xml:space="preserve">15321 Cemetery Rd </t>
  </si>
  <si>
    <t>Todd</t>
  </si>
  <si>
    <t xml:space="preserve">5152 Sunnybrook Ct </t>
  </si>
  <si>
    <t>Malloy</t>
  </si>
  <si>
    <t xml:space="preserve">1935 NE 14th Ter </t>
  </si>
  <si>
    <t>36-44-23-c4-00870.0190</t>
  </si>
  <si>
    <t>Lisa M Hauser Revocable Trust</t>
  </si>
  <si>
    <t xml:space="preserve">1799 Trophy Dr  Marietta, GA 30062-1791 </t>
  </si>
  <si>
    <t xml:space="preserve">2216 NE 14th Ave  Cape Coral, FL 33909 </t>
  </si>
  <si>
    <t xml:space="preserve">3725 NE 14th Pl </t>
  </si>
  <si>
    <t>25-43-23-c1-02348.0490</t>
  </si>
  <si>
    <t>06-46-24-18-00x00.0200</t>
  </si>
  <si>
    <t>Cape Coral Unit 34 Blk 2466 Pb 16 Pg 76 Lots 23 + 24</t>
  </si>
  <si>
    <t>01701-3079</t>
  </si>
  <si>
    <t>Marcial Benavides &amp; Ruth Moncayo</t>
  </si>
  <si>
    <t xml:space="preserve">24844 Litwiller Rd  Delavan, IL 61734-1417 </t>
  </si>
  <si>
    <t>Cape Coral Unit 85 Blk 5631 Pb 24 Pg 51 Lots 15 + 16</t>
  </si>
  <si>
    <t>William &amp; For Fine</t>
  </si>
  <si>
    <t>Ronald &amp; Luz Scheibach</t>
  </si>
  <si>
    <t>C033</t>
  </si>
  <si>
    <t xml:space="preserve">3914 NE 11th Pl  Cape Coral, FL 33909 </t>
  </si>
  <si>
    <t xml:space="preserve">5158 S Marquette Ct </t>
  </si>
  <si>
    <t>Lehigh Acres Unit 14 E Pt Blk 77 Pb 26 Pg 19 Lots 29 + 30</t>
  </si>
  <si>
    <t>03-44-26-03-00011.0060</t>
  </si>
  <si>
    <t>03-44-26-05-00023.0050</t>
  </si>
  <si>
    <t>10537-1114</t>
  </si>
  <si>
    <t>Cape Coral Unit 19 Blk 1214 Pb 13 Pg 127 Lots 5 + 6</t>
  </si>
  <si>
    <t xml:space="preserve">4033 NE 10th Ave  Cape Coral, FL 33909 </t>
  </si>
  <si>
    <t xml:space="preserve">14 Clarendon Rd  Hempstead, NY 11550-5315 </t>
  </si>
  <si>
    <t xml:space="preserve">10054 Parkwood Dr  Fort Myers, FL 33905 </t>
  </si>
  <si>
    <t>Winkels</t>
  </si>
  <si>
    <t xml:space="preserve">3526 E Gator Cir  Cape Coral, FL 33909 </t>
  </si>
  <si>
    <t>Dougles</t>
  </si>
  <si>
    <t>49002-7221</t>
  </si>
  <si>
    <t xml:space="preserve">2104 NE 25th Ter </t>
  </si>
  <si>
    <t>Stumpf</t>
  </si>
  <si>
    <t>33909-6284</t>
  </si>
  <si>
    <t>Lehigh Acres Ut 13 W 1/2 Blk 74 Pb 26 Pg 18 Lot 1</t>
  </si>
  <si>
    <t xml:space="preserve">50 3rd Ave </t>
  </si>
  <si>
    <t>Gaumer</t>
  </si>
  <si>
    <t>Hedwig</t>
  </si>
  <si>
    <t xml:space="preserve">16421 SW 64th Ter </t>
  </si>
  <si>
    <t>Alois</t>
  </si>
  <si>
    <t>Ryan Harry M Iii Tr</t>
  </si>
  <si>
    <t>Cape Coral Unit 88 Blk 5778 Pb 24 Pg 135 Lots 25 + 26</t>
  </si>
  <si>
    <t>36-43-23-c1-02519.0010</t>
  </si>
  <si>
    <t>Spring Oaks</t>
  </si>
  <si>
    <t>San Antonio</t>
  </si>
  <si>
    <t>Kouvelis</t>
  </si>
  <si>
    <t xml:space="preserve">425 Diplomat Pkwy E  Cape Coral, FL 33909 </t>
  </si>
  <si>
    <t>Sliviak</t>
  </si>
  <si>
    <t xml:space="preserve">1323 NE 2nd Pl  Cape Coral, FL 33909 </t>
  </si>
  <si>
    <t xml:space="preserve">426 Prospect St  Norwood, MA 02062-1344 </t>
  </si>
  <si>
    <t xml:space="preserve">2620 NE 22nd Pl  Cape Coral, FL 33909 </t>
  </si>
  <si>
    <t>10553-1808</t>
  </si>
  <si>
    <t xml:space="preserve">3802 NE 17th Ave  Cape Coral, FL 33909 </t>
  </si>
  <si>
    <t xml:space="preserve">2313 NE 17th St  Cape Coral, FL 33909 </t>
  </si>
  <si>
    <t xml:space="preserve">9971 SW 20th St </t>
  </si>
  <si>
    <t xml:space="preserve">457 NE Juanita Pl </t>
  </si>
  <si>
    <t xml:space="preserve">1215 NE 20th Pl </t>
  </si>
  <si>
    <t>Siarhei Kavalenka &amp; Nataly Godes</t>
  </si>
  <si>
    <t>36-43-23-c3-02478.0460</t>
  </si>
  <si>
    <t>68136-4061</t>
  </si>
  <si>
    <t>Cypress Woods Rv Resort Ut 1 Pb 65 Pg 85 + 86 Blk B Lot 22</t>
  </si>
  <si>
    <t xml:space="preserve">2116 NE Juanita Pl </t>
  </si>
  <si>
    <t>25-43-23-c1-02349.0290</t>
  </si>
  <si>
    <t>Terry &amp; For Briggs</t>
  </si>
  <si>
    <t xml:space="preserve">1637 Cleveland Ave </t>
  </si>
  <si>
    <t>32259-7397</t>
  </si>
  <si>
    <t xml:space="preserve">3129 Academy Blvd  Cape Coral, FL 33904 </t>
  </si>
  <si>
    <t>Cape Coral Unit 84 Blk 5579 Pb 24 Pg 47 Lots 23 + 24</t>
  </si>
  <si>
    <t>19046-2957</t>
  </si>
  <si>
    <t xml:space="preserve">6300 Arbor Ave  Fort Myers, FL 33905 </t>
  </si>
  <si>
    <t xml:space="preserve">71 Commodore Dr #107 </t>
  </si>
  <si>
    <t>Lehigh Acres Unit 2 Blk 7 Pb 26 Pg 4 Lot 7</t>
  </si>
  <si>
    <t xml:space="preserve">2706 NE 1st Ave  Cape Coral, FL 33909 </t>
  </si>
  <si>
    <t>Gorrin</t>
  </si>
  <si>
    <t>48045-6050</t>
  </si>
  <si>
    <t xml:space="preserve">621 NW 33rd Ave </t>
  </si>
  <si>
    <t>Cape Coral Unit 32 Blk.2141 Pb 16 Pg 4 Lots 41 + 42</t>
  </si>
  <si>
    <t>Decanio</t>
  </si>
  <si>
    <t>11702-1514</t>
  </si>
  <si>
    <t>Sandlin</t>
  </si>
  <si>
    <t xml:space="preserve">3185 Riverside Dr </t>
  </si>
  <si>
    <t>Bensalem</t>
  </si>
  <si>
    <t>94903-2937</t>
  </si>
  <si>
    <t>19-43-24-c3-05608.0700</t>
  </si>
  <si>
    <t>Manhardt John Tr</t>
  </si>
  <si>
    <t>Palmona Park Unit 2 Blk 30 Pb 7 Pg 57 Lot 5</t>
  </si>
  <si>
    <t xml:space="preserve">541 Fairhill Rd  Libertyville, IL 60048-1205 </t>
  </si>
  <si>
    <t xml:space="preserve">27 Ulrich Rd  Centereach, NY 11720-4012 </t>
  </si>
  <si>
    <t>Garden</t>
  </si>
  <si>
    <t xml:space="preserve">3419 NE 14th Pl </t>
  </si>
  <si>
    <t>Cape Coral Unit 36 Pt 1 Blk 2545 Pb 23 Pg 94 Lots 33 + 34</t>
  </si>
  <si>
    <t>08096-5129</t>
  </si>
  <si>
    <t>North Adams</t>
  </si>
  <si>
    <t xml:space="preserve">3537 NE 20th Pl </t>
  </si>
  <si>
    <t>01906-3821</t>
  </si>
  <si>
    <t>Cypress Woods Rv Resort Ut 1 Pb 65 Pg 85 + 86 Blk A Lot 36</t>
  </si>
  <si>
    <t>Micheline</t>
  </si>
  <si>
    <t>Miami Shores</t>
  </si>
  <si>
    <t>Cape Coral Unit 84 Blk 5605 Pb 24 Pg 42 Lots 63 + 64</t>
  </si>
  <si>
    <t xml:space="preserve">2005 NE 34th Ter  Cape Coral, FL 33909 </t>
  </si>
  <si>
    <t xml:space="preserve">Obere Bahnjofstrasse #21 </t>
  </si>
  <si>
    <t>40165-6685</t>
  </si>
  <si>
    <t xml:space="preserve">2306 NE 34th Ln </t>
  </si>
  <si>
    <t>11-44-25-l1-1400b.4450</t>
  </si>
  <si>
    <t>43017-8460</t>
  </si>
  <si>
    <t>Cape Coral Unit 31 Blk 2044 Pb 14 Pg 155 Lots 32 + 33</t>
  </si>
  <si>
    <t xml:space="preserve">4039 191st St </t>
  </si>
  <si>
    <t xml:space="preserve">2225 NE 34th Ter </t>
  </si>
  <si>
    <t>Tennessee</t>
  </si>
  <si>
    <t>33909-1529</t>
  </si>
  <si>
    <t>Daniel Gonzalez</t>
  </si>
  <si>
    <t>33905-2502</t>
  </si>
  <si>
    <t xml:space="preserve">47 Ahlendung  Kuuerten, DE 51515 </t>
  </si>
  <si>
    <t xml:space="preserve">335 NE 29th Ter </t>
  </si>
  <si>
    <t>01852-1429</t>
  </si>
  <si>
    <t xml:space="preserve">304 Heatherbrook Dr  Murphy, TX 75094-4018 </t>
  </si>
  <si>
    <t>Emmitsburg</t>
  </si>
  <si>
    <t>19930-9534</t>
  </si>
  <si>
    <t xml:space="preserve">79 Pound Rd  Durham, ME 04222-5208 </t>
  </si>
  <si>
    <t>33909-4687</t>
  </si>
  <si>
    <t>Cape Coral Unit 32 Blk 2166 Pb 16 Pg 8 Lots 35 + 36</t>
  </si>
  <si>
    <t xml:space="preserve">208 SE 31st Ter  Cape Coral, FL 33904 </t>
  </si>
  <si>
    <t xml:space="preserve">850 Lake St  Newark, NJ 07104-2308 </t>
  </si>
  <si>
    <t>Cape Coral Unit 87 Blk 5707 Pb 24 Pg 71 Lots 28 + 29</t>
  </si>
  <si>
    <t xml:space="preserve">69 Goethestrasse  Riegelsberg, DE 66292 </t>
  </si>
  <si>
    <t xml:space="preserve">3853 Knowlton St </t>
  </si>
  <si>
    <t>Marcelle Sayegh</t>
  </si>
  <si>
    <t>34-43-25-02-00018.0040</t>
  </si>
  <si>
    <t xml:space="preserve">1936 E Tremont Ave 1f </t>
  </si>
  <si>
    <t xml:space="preserve">268 Glen Eagle Cir  Naples, FL 34104-5715 </t>
  </si>
  <si>
    <t xml:space="preserve">4018 NE 9th Pl  Cape Coral, FL 33909 </t>
  </si>
  <si>
    <t>Cape Coral Unit 36 Part 1 Blk 2489 Pb 23 Pg 88 Lots 47 + 48</t>
  </si>
  <si>
    <t>Revere</t>
  </si>
  <si>
    <t xml:space="preserve">3737 Kenyon St </t>
  </si>
  <si>
    <t>43452-2940</t>
  </si>
  <si>
    <t>01545-5946</t>
  </si>
  <si>
    <t>19-43-24-c2-05594.0090</t>
  </si>
  <si>
    <t>PO Box 138</t>
  </si>
  <si>
    <t xml:space="preserve">4 Leeds Rd </t>
  </si>
  <si>
    <t>11-44-25-04-0000b.0580</t>
  </si>
  <si>
    <t>Lehigh Acres Unit 2 Blk 7 Pb 0026 Pg 0004 Lot 19</t>
  </si>
  <si>
    <t>Cape Coral Unit 33 Blk 2256 Pb 16 Pg 57 Lots 72 + 73</t>
  </si>
  <si>
    <t xml:space="preserve">569 Winter St  Walpole, MA 02081-1006 </t>
  </si>
  <si>
    <t xml:space="preserve">7411 Belden St </t>
  </si>
  <si>
    <t xml:space="preserve">882 Roosevelt St </t>
  </si>
  <si>
    <t xml:space="preserve">919 NE 12th St </t>
  </si>
  <si>
    <t>Cape Coral Unit 35 Blk 2396 Pb 16 Pg 106 Lots 28 + 29</t>
  </si>
  <si>
    <t>Terry Bonaguaro</t>
  </si>
  <si>
    <t>03-44-26-14-00080.0080</t>
  </si>
  <si>
    <t>Timothy &amp; For Hansen</t>
  </si>
  <si>
    <t>Englewood</t>
  </si>
  <si>
    <t>Rensselaer</t>
  </si>
  <si>
    <t xml:space="preserve">638 Lukas Blvd  Morganville, NJ 07751-9747 </t>
  </si>
  <si>
    <t>Glencrest</t>
  </si>
  <si>
    <t xml:space="preserve">6051 Tabor Ave </t>
  </si>
  <si>
    <t>Iuen</t>
  </si>
  <si>
    <t>A Portion Of Connamon Cove Villas Iii Desc In Or 1896 Pg 1366 As Desc In Instrument 2021000339801</t>
  </si>
  <si>
    <t xml:space="preserve">2141 NE 20th Ln </t>
  </si>
  <si>
    <t>Gerald &amp; Lois Perry</t>
  </si>
  <si>
    <t>19-44-26-05-00023.0020</t>
  </si>
  <si>
    <t xml:space="preserve">1126 NE 39th Ter  Cape Coral, FL 33909 </t>
  </si>
  <si>
    <t>Randal &amp; Martha Rowland</t>
  </si>
  <si>
    <t>Cape Coral Unit 34 Blk 2427 Pb 16 Pg 76 Lots 53 + 54</t>
  </si>
  <si>
    <t>60441-4864</t>
  </si>
  <si>
    <t>Lehigh Acres E 1/2 Ut 13 Blk 69 Pb 26 Pg 17 Lot 14</t>
  </si>
  <si>
    <t>J6X 0J3</t>
  </si>
  <si>
    <t xml:space="preserve">4434 NE 11th Pl </t>
  </si>
  <si>
    <t>Lahair Alice C Tr</t>
  </si>
  <si>
    <t>33158-1557</t>
  </si>
  <si>
    <t>Hempel</t>
  </si>
  <si>
    <t>11-44-25-04-0000a.0530</t>
  </si>
  <si>
    <t xml:space="preserve">3925 NE 19th Pl </t>
  </si>
  <si>
    <t xml:space="preserve">25318 Pepper Sage Ln </t>
  </si>
  <si>
    <t>Green Lake</t>
  </si>
  <si>
    <t xml:space="preserve">Access Undetermined  Cape Coral, FL 33909 </t>
  </si>
  <si>
    <t xml:space="preserve">1814 NE 41st St  Cape Coral, FL 33909 </t>
  </si>
  <si>
    <t>33322-2318</t>
  </si>
  <si>
    <t>33176-5530</t>
  </si>
  <si>
    <t>33909-6230</t>
  </si>
  <si>
    <t xml:space="preserve">3708 Hyde Park Dr </t>
  </si>
  <si>
    <t>Cypress Trail Rv Resort As Desc In Inst# 2013000212499 Lot 272</t>
  </si>
  <si>
    <t>John &amp; Annette Getty</t>
  </si>
  <si>
    <t>West Columbia</t>
  </si>
  <si>
    <t>94954-3860</t>
  </si>
  <si>
    <t>33909-8911</t>
  </si>
  <si>
    <t>Steven &amp; Leslie Jost</t>
  </si>
  <si>
    <t>Cordido</t>
  </si>
  <si>
    <t xml:space="preserve">3605 NE 18th Pl  Cape Coral, FL 33909 </t>
  </si>
  <si>
    <t>Chantal</t>
  </si>
  <si>
    <t>Paul Roseberry &amp; Donna Andres</t>
  </si>
  <si>
    <t>36-43-23-c3-02508.0250</t>
  </si>
  <si>
    <t>Lopitz</t>
  </si>
  <si>
    <t>Cape Coral Unit 26 Blk 864 Pb 14 Pg 128 Lots 47 + 48</t>
  </si>
  <si>
    <t>Cape Coral Unit 47 Pt 2 Blk 3525 Pb 23 Pg 122 Lots 27 Thru 29</t>
  </si>
  <si>
    <t xml:space="preserve">2266 W 79th St </t>
  </si>
  <si>
    <t>Hyannis</t>
  </si>
  <si>
    <t>05-44-24-c2-03513.0010</t>
  </si>
  <si>
    <t xml:space="preserve">2534 NE 19th Pl </t>
  </si>
  <si>
    <t>Cape Coral Unit 35 Blk 2399 Pb 16 Pg 104 Lots 35 + 36</t>
  </si>
  <si>
    <t>Cypress Trail Rv Resort Ph 4-B As Desc In Inst# 2017000057565 Lot 308</t>
  </si>
  <si>
    <t>Cypress Woods Rv Resort Desc In Inst#2006-358211 Lot 147</t>
  </si>
  <si>
    <t xml:space="preserve">630 Lafayette Blvd  Oldsmar, FL 34677-3719 </t>
  </si>
  <si>
    <t>33905-7317</t>
  </si>
  <si>
    <t xml:space="preserve">1 Vale Ct </t>
  </si>
  <si>
    <t>28117-5800</t>
  </si>
  <si>
    <t>Amsterdam</t>
  </si>
  <si>
    <t>Cape Coral Unit 34 Blk 2465 Pb 16 Pg 83 Lots 58 Thru 60</t>
  </si>
  <si>
    <t>Cape Coral Unit 84 Blk 5549 Pb 24 Pg 39 Lots 23 + 24</t>
  </si>
  <si>
    <t>Stanley &amp; Karen Snyder</t>
  </si>
  <si>
    <t xml:space="preserve">28032 Gray Barn Ln  Lake Barrington, IL 60010-1896 </t>
  </si>
  <si>
    <t>Vesna</t>
  </si>
  <si>
    <t xml:space="preserve">1475 Bimni Dr  Dayton, OH 45459-5406 </t>
  </si>
  <si>
    <t>Wilkie Sheryl E Tr</t>
  </si>
  <si>
    <t>Vincent Santiago</t>
  </si>
  <si>
    <t xml:space="preserve">6901 Patsy Dr  Fort Myers, FL 33905 </t>
  </si>
  <si>
    <t>33144-5521</t>
  </si>
  <si>
    <t xml:space="preserve">2744 NE 5th Pl  Cape Coral, FL 33909 </t>
  </si>
  <si>
    <t xml:space="preserve">14 Nabil Khalil St  Cairo, EG </t>
  </si>
  <si>
    <t xml:space="preserve">2710 NE 6th Ave </t>
  </si>
  <si>
    <t>Patrick Gouiran</t>
  </si>
  <si>
    <t>Rancho Cordova</t>
  </si>
  <si>
    <t>33194-2916</t>
  </si>
  <si>
    <t>Margaret</t>
  </si>
  <si>
    <t>11-44-25-04-0000b.0330</t>
  </si>
  <si>
    <t xml:space="preserve">1708 May Way Dr </t>
  </si>
  <si>
    <t>Cape Coral Unit 33 Blk.2188 Pb 16 Pg 51 Lots 46 Thru 48</t>
  </si>
  <si>
    <t>Cypress Woods Rv Resort Un 3 Desc In Pb 72 Pgs 92-95 Blk C Lot 9</t>
  </si>
  <si>
    <t xml:space="preserve">518 Kates Way </t>
  </si>
  <si>
    <t xml:space="preserve">Po Box 302 </t>
  </si>
  <si>
    <t xml:space="preserve">109 Beechwold Pl </t>
  </si>
  <si>
    <t xml:space="preserve">1301 NE 22nd Ave  Cape Coral, FL 33909 </t>
  </si>
  <si>
    <t>11-44-25-05-0000c.0320</t>
  </si>
  <si>
    <t>33909-6829</t>
  </si>
  <si>
    <t>83301-5532</t>
  </si>
  <si>
    <t>John &amp; For Hester</t>
  </si>
  <si>
    <t>Cape Coral Unit 87 Blk 5715 Pb 24 Pg 76 Lots 14 Thru 16</t>
  </si>
  <si>
    <t xml:space="preserve">1507 Oakwood Dr </t>
  </si>
  <si>
    <t xml:space="preserve">1034 Christina Dr </t>
  </si>
  <si>
    <t>Charles Butler &amp; Catherine Moir</t>
  </si>
  <si>
    <t>Sanjay &amp; Janet Fernandes</t>
  </si>
  <si>
    <t xml:space="preserve">1820 NE 14th St  Cape Coral, FL 33909 </t>
  </si>
  <si>
    <t>R987</t>
  </si>
  <si>
    <t>Cape Coral Unit 84 Blk 5580 Pb 24 Pg 47 Lot 24</t>
  </si>
  <si>
    <t xml:space="preserve">1311 NE 20th Pl  Cape Coral, FL 33909 </t>
  </si>
  <si>
    <t xml:space="preserve">235 Cassandra Blvd  Sarnia, ON N7s 0 </t>
  </si>
  <si>
    <t>11729-2603</t>
  </si>
  <si>
    <t>18045-2144</t>
  </si>
  <si>
    <t>Cape Coral Unit 36 Blk 2312 Pb 16 Pg 127 Lots 29 + 30</t>
  </si>
  <si>
    <t xml:space="preserve">14350 Old Olga Rd  Fort Myers, FL 33905 </t>
  </si>
  <si>
    <t>31-43-24-c4-02106.0370</t>
  </si>
  <si>
    <t>Cape Coral Unit 34 Blk 2451 Pb 16 Pg 85 Lots 55 + 56</t>
  </si>
  <si>
    <t>Arthur Mcelrath &amp; Arthur For</t>
  </si>
  <si>
    <t>49417-9148</t>
  </si>
  <si>
    <t xml:space="preserve">1820 Kismet Pkwy E </t>
  </si>
  <si>
    <t>Mercone</t>
  </si>
  <si>
    <t xml:space="preserve">410 S Ware Blvd #607, Tampa, FL 33619-8402 </t>
  </si>
  <si>
    <t xml:space="preserve">50 11th St  Apalachicola, FL 32320-1906 </t>
  </si>
  <si>
    <t xml:space="preserve">4218 Garden Blvd </t>
  </si>
  <si>
    <t xml:space="preserve">2035 Southridge Dr </t>
  </si>
  <si>
    <t xml:space="preserve">7305 Woodridge Park Dr #4202 </t>
  </si>
  <si>
    <t>18-43-24-c4-05704.0370</t>
  </si>
  <si>
    <t>Cape Coral Unit 33 Blk 2196 Pb 16 Pg 47 Lots 34 + 35</t>
  </si>
  <si>
    <t xml:space="preserve">2027 NE 9th Ave </t>
  </si>
  <si>
    <t>Sally Knight</t>
  </si>
  <si>
    <t xml:space="preserve">810 Verulam St </t>
  </si>
  <si>
    <t xml:space="preserve">8526 Fayette St  Philadelphia, PA 19150-1902 </t>
  </si>
  <si>
    <t xml:space="preserve">1031 Aqua Ln  Fort Myers, FL 33919-1804 </t>
  </si>
  <si>
    <t xml:space="preserve">115 N Shelly Ave </t>
  </si>
  <si>
    <t xml:space="preserve">3625 NE 17th Ave </t>
  </si>
  <si>
    <t>33909-4633</t>
  </si>
  <si>
    <t xml:space="preserve">3928 NE 19th Pl  Cape Coral, FL 33909 </t>
  </si>
  <si>
    <t xml:space="preserve">242 Eastwood Dr </t>
  </si>
  <si>
    <t xml:space="preserve">5314 Cypress Trail Resort Cir  Fort Myers, FL 33905 </t>
  </si>
  <si>
    <t xml:space="preserve">5814 Burrwood Ct  Fort Myers, FL 33905 </t>
  </si>
  <si>
    <t>Razzo</t>
  </si>
  <si>
    <t>Usherwood</t>
  </si>
  <si>
    <t xml:space="preserve">4003 NE 9th Ave </t>
  </si>
  <si>
    <t>19-43-24-c2-05590.0150</t>
  </si>
  <si>
    <t>Santos</t>
  </si>
  <si>
    <t>323 ne 7th street trust</t>
  </si>
  <si>
    <t xml:space="preserve">6160 Arbor Ave  Fort Myers, FL 33905 </t>
  </si>
  <si>
    <t xml:space="preserve">14808 Oakwood Ct </t>
  </si>
  <si>
    <t>Abdelkrim</t>
  </si>
  <si>
    <t>Cuviello</t>
  </si>
  <si>
    <t xml:space="preserve">1189 Brookstone Dr  Walton, KY 41094-8279 </t>
  </si>
  <si>
    <t>For Wigle Trust</t>
  </si>
  <si>
    <t>17-43-24-c4-05760.0040</t>
  </si>
  <si>
    <t xml:space="preserve">7089 NW 65th Ter </t>
  </si>
  <si>
    <t>Kennedy</t>
  </si>
  <si>
    <t xml:space="preserve">PO Box 64  Howells, NY 10932 </t>
  </si>
  <si>
    <t xml:space="preserve">1108 NE 34th Ln  Cape Coral, FL 33909 </t>
  </si>
  <si>
    <t xml:space="preserve">6825 Susan Ln  Cedarburg, WI 53012 </t>
  </si>
  <si>
    <t xml:space="preserve">3514 NE 15th Ave  Cape Coral, FL 33909 </t>
  </si>
  <si>
    <t xml:space="preserve">12081 W Alameda Pkwy #437 </t>
  </si>
  <si>
    <t xml:space="preserve">16851/853 Carmen Ave </t>
  </si>
  <si>
    <t xml:space="preserve">216 River St </t>
  </si>
  <si>
    <t xml:space="preserve">2236 NE 13th Ln  Cape Coral, FL 33909 </t>
  </si>
  <si>
    <t xml:space="preserve">1819 NE 6th Ave </t>
  </si>
  <si>
    <t>Glendale</t>
  </si>
  <si>
    <t>33909-1578</t>
  </si>
  <si>
    <t xml:space="preserve">367 Du Croi </t>
  </si>
  <si>
    <t>95046-1110</t>
  </si>
  <si>
    <t xml:space="preserve">1021 NE 2nd Ave </t>
  </si>
  <si>
    <t>Nina Caffee &amp; Alexander Banjeglav</t>
  </si>
  <si>
    <t>DELINQUENT TAX YR</t>
  </si>
  <si>
    <t xml:space="preserve">62 Main St  Walden, NY 12586-1825 </t>
  </si>
  <si>
    <t>Cypress Trail Rv Resort Ph 3 As Desc In Inst# 2015000085552 Lot 236</t>
  </si>
  <si>
    <t xml:space="preserve">5206 Sunnybrook Ct </t>
  </si>
  <si>
    <t>68631-3212</t>
  </si>
  <si>
    <t>Marcela</t>
  </si>
  <si>
    <t>60506-4210</t>
  </si>
  <si>
    <t>Beg Se Cor Nw 1/4 Cont N 190 Ft Th W 310 Ft To Pob Th N 140 Ft Th W 65 Ft Th S 140 Ft Th E 65 Ft To Pob</t>
  </si>
  <si>
    <t xml:space="preserve">3716 Kelsey St  Fort Myers, FL 33905 </t>
  </si>
  <si>
    <t>08817-5765</t>
  </si>
  <si>
    <t xml:space="preserve">3318 NE 20th Pl </t>
  </si>
  <si>
    <t>Miryam</t>
  </si>
  <si>
    <t>Cape Coral Unit 88 Blk 5802 Pb 24 Pg 136 Lot 27</t>
  </si>
  <si>
    <t>PO Box 187</t>
  </si>
  <si>
    <t>Palmona Park Unit 2 Blk 32 Pb 7 Pg 56 Lots 19 + 20</t>
  </si>
  <si>
    <t>Lehigh Acres W Pt Unit 1 Blk 3 Pb 26 Pg 2 Lot 50</t>
  </si>
  <si>
    <t>20-43-24-c1-05642.0370</t>
  </si>
  <si>
    <t>31-43-24-c4-02107.0170</t>
  </si>
  <si>
    <t xml:space="preserve">5409 Wyandotte St </t>
  </si>
  <si>
    <t xml:space="preserve">10058 NW 49th Pl  Coral Springs, FL 33076-2418 </t>
  </si>
  <si>
    <t>33909-5317</t>
  </si>
  <si>
    <t>Lachute</t>
  </si>
  <si>
    <t>44109-4570</t>
  </si>
  <si>
    <t xml:space="preserve">1007 NE 37th Ter </t>
  </si>
  <si>
    <t>17-43-24-c1-05822.0030</t>
  </si>
  <si>
    <t xml:space="preserve">2741 NE 2nd Pl  Cape Coral, FL 33909 </t>
  </si>
  <si>
    <t xml:space="preserve">10461 SW 201st Ter </t>
  </si>
  <si>
    <t xml:space="preserve">1002 Vogiantzis Pkwy  Cape Coral, FL 33909 </t>
  </si>
  <si>
    <t>Hampshire</t>
  </si>
  <si>
    <t xml:space="preserve">Po Box 487 </t>
  </si>
  <si>
    <t xml:space="preserve">5380 Colony Ct  Cape Coral, FL 33904 </t>
  </si>
  <si>
    <t xml:space="preserve">4222 NE 23rd Ave  Cape Coral, FL 33909 </t>
  </si>
  <si>
    <t xml:space="preserve">2620 NE 22nd Ave  Cape Coral, FL 33909 </t>
  </si>
  <si>
    <t xml:space="preserve">5155 Cypress Trail Resort Cir </t>
  </si>
  <si>
    <t>Feldmeier</t>
  </si>
  <si>
    <t xml:space="preserve">5 Rue Abbe Nicolas Weyrich </t>
  </si>
  <si>
    <t xml:space="preserve">20 S Main St #510, Mount Prospect, IL 60056-3260 </t>
  </si>
  <si>
    <t xml:space="preserve">3445 NE 9th Pl </t>
  </si>
  <si>
    <t>Duaine</t>
  </si>
  <si>
    <t>Somlika</t>
  </si>
  <si>
    <t xml:space="preserve">50413 Bay Run S  Chesterfield, MI 48047-4676 </t>
  </si>
  <si>
    <t>33909-3121</t>
  </si>
  <si>
    <t>Cape Coral Unit 84 Blk 5566 Pb 24 Pg 38 Lots 31 + 32</t>
  </si>
  <si>
    <t>32162-5003</t>
  </si>
  <si>
    <t xml:space="preserve">3617 NE 14th Pl  Cape Coral, FL 33909 </t>
  </si>
  <si>
    <t xml:space="preserve">Im Fasanengarten #5, Dackenheim, DE 67273 </t>
  </si>
  <si>
    <t>Lake Worth</t>
  </si>
  <si>
    <t>Paxford</t>
  </si>
  <si>
    <t xml:space="preserve">364 Fairview Ave  Fort Myers, FL 33905 </t>
  </si>
  <si>
    <t>Cape Coral Unit 32 Blk 2103 Pb 16 Pg 5 Lots 29 + 30</t>
  </si>
  <si>
    <t xml:space="preserve">10755 117th St  South Richmond Hill, NY 11419-2715 </t>
  </si>
  <si>
    <t xml:space="preserve">181 Cotter Ave </t>
  </si>
  <si>
    <t xml:space="preserve">8124 NW 163rd Ter </t>
  </si>
  <si>
    <t>97218-3623</t>
  </si>
  <si>
    <t>Daisuke</t>
  </si>
  <si>
    <t>Cypress Trail Rv Resort Phase 2-A As Desc In Inst# 2014000026506 Lot 171</t>
  </si>
  <si>
    <t xml:space="preserve">3844 Hollycrest St </t>
  </si>
  <si>
    <t xml:space="preserve">14924 Wyndham Oaks Dr </t>
  </si>
  <si>
    <t xml:space="preserve">2121 NE 4th Ave </t>
  </si>
  <si>
    <t xml:space="preserve">250 W 100th St #417 </t>
  </si>
  <si>
    <t xml:space="preserve">231 N Hickory Ridge Dr </t>
  </si>
  <si>
    <t xml:space="preserve">2600 W Sunrise Lakes Dr #312, Sunrise, FL 33322-2480 </t>
  </si>
  <si>
    <t>17-43-24-c3-05797.0590</t>
  </si>
  <si>
    <t>32-43-24-c1-02190.0010</t>
  </si>
  <si>
    <t>11422-2848</t>
  </si>
  <si>
    <t>19-43-24-c3-05608.0210</t>
  </si>
  <si>
    <t xml:space="preserve">1704 NE 23rd Ter </t>
  </si>
  <si>
    <t>17-43-24-c1-05778.0230</t>
  </si>
  <si>
    <t>Nicolae Raceu</t>
  </si>
  <si>
    <t xml:space="preserve">19 NE 8th Ter </t>
  </si>
  <si>
    <t>01-44-23-c1-02448.0810</t>
  </si>
  <si>
    <t xml:space="preserve">42 Brentwood Dr  Farmington, CT 06032-3325 </t>
  </si>
  <si>
    <t xml:space="preserve">4507 Valmonte Dr </t>
  </si>
  <si>
    <t xml:space="preserve">7425 E 300 S  Whitestown, IN 46075-9646 </t>
  </si>
  <si>
    <t xml:space="preserve">15019 SW 90th Ter  Miami, FL 33196-1413 </t>
  </si>
  <si>
    <t xml:space="preserve">2201 NE 13th Ave  Cape Coral, FL 33909 </t>
  </si>
  <si>
    <t>Dennis</t>
  </si>
  <si>
    <t>Alfaro Prieto &amp; Lisbeth Sanchez</t>
  </si>
  <si>
    <t>48042-4024</t>
  </si>
  <si>
    <t xml:space="preserve">4611 Goebel Rd </t>
  </si>
  <si>
    <t>Richard Perez</t>
  </si>
  <si>
    <t>Sylvia</t>
  </si>
  <si>
    <t>Joseph &amp; For Bullyan</t>
  </si>
  <si>
    <t>33909-4486</t>
  </si>
  <si>
    <t>Ralf</t>
  </si>
  <si>
    <t xml:space="preserve">7775 Chestnut Hill Rd  Cumming, GA 30041-8105 </t>
  </si>
  <si>
    <t xml:space="preserve">1502 NE 37th St </t>
  </si>
  <si>
    <t>Hyatts</t>
  </si>
  <si>
    <t xml:space="preserve">2009 NE 15th Ter </t>
  </si>
  <si>
    <t>Elvas</t>
  </si>
  <si>
    <t xml:space="preserve">1240 W 5th Ln  Hialeah, FL 33010-2937 </t>
  </si>
  <si>
    <t>33904-3288</t>
  </si>
  <si>
    <t xml:space="preserve">200 Ferry St A </t>
  </si>
  <si>
    <t>PO Box 164851</t>
  </si>
  <si>
    <t xml:space="preserve">227 Cator Ave </t>
  </si>
  <si>
    <t>66013-9085</t>
  </si>
  <si>
    <t xml:space="preserve">9 Blucherstrasse  Breckenridge, MO 64625 </t>
  </si>
  <si>
    <t>Cook &amp; Mark Cook</t>
  </si>
  <si>
    <t>John &amp; Dawn Bokon</t>
  </si>
  <si>
    <t>Cape Coral Unit 36 Blk 2309 Pb 16 Pg 119 Lots 18 + 19</t>
  </si>
  <si>
    <t xml:space="preserve">2124 NE 17th Ave  Cape Coral, FL 33909 </t>
  </si>
  <si>
    <t>Cypress Woods Rv Resort Ut 1 Pb 65 Pg 85 + 86 Blk A Lot 31</t>
  </si>
  <si>
    <t>Hohenstrabe #1</t>
  </si>
  <si>
    <t xml:space="preserve">4019 NE 13th Pl </t>
  </si>
  <si>
    <t>11234-2230</t>
  </si>
  <si>
    <t>Dalonzo</t>
  </si>
  <si>
    <t xml:space="preserve">1557 W Troy St  Ferndale, MI 48220-1663 </t>
  </si>
  <si>
    <t xml:space="preserve">50 Rue De La Foret-Macherin  Orange, TX 77630 </t>
  </si>
  <si>
    <t xml:space="preserve">7 Chemin De Mireille </t>
  </si>
  <si>
    <t>12-44-23-c2-02382.0450</t>
  </si>
  <si>
    <t>Zalman</t>
  </si>
  <si>
    <t>Scottsdale</t>
  </si>
  <si>
    <t xml:space="preserve">203 NE 15th St </t>
  </si>
  <si>
    <t>06-45-24-c2-00516.0090</t>
  </si>
  <si>
    <t>34-43-24-02-00023.0050</t>
  </si>
  <si>
    <t>Cape Coral Unit 85 Blk 5631 Pb 24 Pg 51 Lots 13 + 14</t>
  </si>
  <si>
    <t>08873-1679</t>
  </si>
  <si>
    <t>11-44-25-08-00000.4140</t>
  </si>
  <si>
    <t xml:space="preserve">312 Charles Ave  Massapequa Park, NY 11762-1803 </t>
  </si>
  <si>
    <t xml:space="preserve">3938 Garden Blvd  Cape Coral, FL 33909 </t>
  </si>
  <si>
    <t>Peron</t>
  </si>
  <si>
    <t>Chiorino Margaret A Tr</t>
  </si>
  <si>
    <t xml:space="preserve">2707 NE 7th Ave  Cape Coral, FL 33909 </t>
  </si>
  <si>
    <t>Cape Coral Unit 34 Blk 2468 Pb 16 Pg 75 Lots 48 + 49</t>
  </si>
  <si>
    <t>Cape Coral Unit 36 Blk 2324 Pb 16 Pg 125 Lots 37 + 38</t>
  </si>
  <si>
    <t xml:space="preserve">3139 Jacaranda Pkwy E  Cape Coral, FL 33909 </t>
  </si>
  <si>
    <t xml:space="preserve">2118 NE 41st St </t>
  </si>
  <si>
    <t>Angelito &amp; Marcelina Rondena</t>
  </si>
  <si>
    <t xml:space="preserve">1513 SE 37th St  Cape Coral, FL 33904 </t>
  </si>
  <si>
    <t xml:space="preserve">4007 NE 19th Ave </t>
  </si>
  <si>
    <t xml:space="preserve">509 N Montgomery St </t>
  </si>
  <si>
    <t>33130-3610</t>
  </si>
  <si>
    <t>Cypress Woods Rv Resort Unit 4 Pb 79 Pgs 68-71 Blk D Lot 66</t>
  </si>
  <si>
    <t>Silvestre Miranda</t>
  </si>
  <si>
    <t xml:space="preserve">3753 NE 14th Pl  Cape Coral, FL 33909 </t>
  </si>
  <si>
    <t>36-43-23-c1-02515.0550</t>
  </si>
  <si>
    <t>Shija</t>
  </si>
  <si>
    <t>Cobra Materials</t>
  </si>
  <si>
    <t>33909-3263</t>
  </si>
  <si>
    <t>11-44-25-04-0000a.0040</t>
  </si>
  <si>
    <t xml:space="preserve">1022 NE 15th Ln  Cape Coral, FL 33909 </t>
  </si>
  <si>
    <t>Ballard</t>
  </si>
  <si>
    <t>34-43-24-01-00038.0170</t>
  </si>
  <si>
    <t xml:space="preserve">3233 NE 13th Ave  Cape Coral, FL 33909 </t>
  </si>
  <si>
    <t>Cape Coral Unit 85 Blk 5644 Pb 24 Pg 55 Lot 41</t>
  </si>
  <si>
    <t xml:space="preserve">1234 Capra Way </t>
  </si>
  <si>
    <t xml:space="preserve">1902 NE 24th Ave  Cape Coral, FL 33909 </t>
  </si>
  <si>
    <t>Sandro</t>
  </si>
  <si>
    <t xml:space="preserve">5331 White Sky Cir </t>
  </si>
  <si>
    <t>Anthony Leone</t>
  </si>
  <si>
    <t>Hiep</t>
  </si>
  <si>
    <t>Thao</t>
  </si>
  <si>
    <t>Edmond</t>
  </si>
  <si>
    <t>11417-1105</t>
  </si>
  <si>
    <t>12-44-23-c1-02370.0400</t>
  </si>
  <si>
    <t xml:space="preserve">5117 Cypress Trail Resort Cir  Fort Myers, FL 33905 </t>
  </si>
  <si>
    <t>46733-8843</t>
  </si>
  <si>
    <t>Cape Coral Unit 87 Blk 5753 Pb 24 Pg 68 Lot 3</t>
  </si>
  <si>
    <t>Cape Coral Unit 84 Blk 5609 Pb 24 Pg 36 Lots 53 Thru 55</t>
  </si>
  <si>
    <t>Cypress Trail Rv Resort Ph 4-B As Desc In Inst# 2017000057565 Lot 107</t>
  </si>
  <si>
    <t>Melvin Saito</t>
  </si>
  <si>
    <t xml:space="preserve">6 Rue De Riffi  Marseille, FR </t>
  </si>
  <si>
    <t>Schilling</t>
  </si>
  <si>
    <t xml:space="preserve">5004 White Sky Cir </t>
  </si>
  <si>
    <t>Cape Coral Unit 88 Blk.5763 Pb 24 Pg 133 Lots 1 + 2</t>
  </si>
  <si>
    <t xml:space="preserve">31 Nairn Ave  Cocoyea San Fernando, TT </t>
  </si>
  <si>
    <t>Blum</t>
  </si>
  <si>
    <t xml:space="preserve">220 NE 23rd Ter  Cape Coral, FL 33909 </t>
  </si>
  <si>
    <t xml:space="preserve">9180 Galleria Ct #400, Naples, FL 34109-4378 </t>
  </si>
  <si>
    <t>Chesnee</t>
  </si>
  <si>
    <t>Javed &amp; Diana Akhter</t>
  </si>
  <si>
    <t>38002-7545</t>
  </si>
  <si>
    <t xml:space="preserve">19681 Summerlin Rd #327, Fort Myers, FL 33908 </t>
  </si>
  <si>
    <t>33014-2556</t>
  </si>
  <si>
    <t>Cape Coral Unit 35 Blk 2393 Pb 16 Pg 108 Lots 4 + 5</t>
  </si>
  <si>
    <t xml:space="preserve">2 C Rue Des Boulangers  Cordova, NE 68330 </t>
  </si>
  <si>
    <t>11-44-25-l1-1400a.1340</t>
  </si>
  <si>
    <t>Kurish &amp; Brigitte Gabriel</t>
  </si>
  <si>
    <t>Bos</t>
  </si>
  <si>
    <t>Salsgiver</t>
  </si>
  <si>
    <t xml:space="preserve">3725 Pointe Cir </t>
  </si>
  <si>
    <t xml:space="preserve">308 Stotts Ave </t>
  </si>
  <si>
    <t>Stonewood</t>
  </si>
  <si>
    <t>Akhtar</t>
  </si>
  <si>
    <t>01-44-23-c4-02418.0460</t>
  </si>
  <si>
    <t xml:space="preserve">3680 Heron Ridge Ln </t>
  </si>
  <si>
    <t>Hue Thi</t>
  </si>
  <si>
    <t>Melbourne</t>
  </si>
  <si>
    <t xml:space="preserve">3830 Highlight St  Fort Myers, FL 33905 </t>
  </si>
  <si>
    <t>Antonio Soto</t>
  </si>
  <si>
    <t>Lucena Ty</t>
  </si>
  <si>
    <t xml:space="preserve">831 Clawson Pl #2108 </t>
  </si>
  <si>
    <t>Steuben</t>
  </si>
  <si>
    <t>Anne Harris &amp; Fred Frese</t>
  </si>
  <si>
    <t xml:space="preserve">2201 NE 9th Ave </t>
  </si>
  <si>
    <t>Goble</t>
  </si>
  <si>
    <t>Ft Myers Shores Unit 4 Blk A Pb 11 Pg 28 Lot 18 + N 20 Ft Lot 17</t>
  </si>
  <si>
    <t>33162-1733</t>
  </si>
  <si>
    <t>M1E 3G6</t>
  </si>
  <si>
    <t>Gerber Dairy</t>
  </si>
  <si>
    <t>32-43-24-c2-02188.0050</t>
  </si>
  <si>
    <t>10028-5946</t>
  </si>
  <si>
    <t>11-44-25-06-0000d.0790</t>
  </si>
  <si>
    <t xml:space="preserve">6851 Julia Gardens Dr  Coconut Creek, FL 33073-2163 </t>
  </si>
  <si>
    <t xml:space="preserve">625 NE 6th Ter  Cape Coral, FL 33909 </t>
  </si>
  <si>
    <t>William Woodward &amp; William For</t>
  </si>
  <si>
    <t xml:space="preserve">2580 De La Chaloupe Rang </t>
  </si>
  <si>
    <t>Cape Coral Unit 31 Blk.2082 Pb 14 Pg 161 Lots 3 + 4</t>
  </si>
  <si>
    <t>Cape Coral Unit 33 Blk 2179 Pb 16 Pg 53 Lots 40 + 41</t>
  </si>
  <si>
    <t>Bare</t>
  </si>
  <si>
    <t>01-44-23-c4-02417.0410</t>
  </si>
  <si>
    <t>Jermaine Topping</t>
  </si>
  <si>
    <t xml:space="preserve">2402 NE 19th Pl </t>
  </si>
  <si>
    <t>Josefina Muniz &amp; Jose Castillo</t>
  </si>
  <si>
    <t>49512-8220</t>
  </si>
  <si>
    <t xml:space="preserve">PO Box 327  Cedarville, MI 49719 </t>
  </si>
  <si>
    <t xml:space="preserve">9715 64th Ave E </t>
  </si>
  <si>
    <t>Giacomo &amp; Barbara Gattuso</t>
  </si>
  <si>
    <t>Apergis</t>
  </si>
  <si>
    <t>55343-8814</t>
  </si>
  <si>
    <t>For Peter Trust</t>
  </si>
  <si>
    <t>Duffield</t>
  </si>
  <si>
    <t>32-43-24-c3-02229.0090</t>
  </si>
  <si>
    <t>Cape Coral Unit 1 Pt 1 Amd Blk 1 Pb 11 Pg 43 Lots 16 + 17</t>
  </si>
  <si>
    <t>Lehigh Acres Unit 12 Blk 63 Pb 26 Pg 16 Lot 13</t>
  </si>
  <si>
    <t>Hervias</t>
  </si>
  <si>
    <t xml:space="preserve">1216 W Cayman Cv </t>
  </si>
  <si>
    <t xml:space="preserve">8336 Thornapple River Dr SE </t>
  </si>
  <si>
    <t>Vieira</t>
  </si>
  <si>
    <t>225th</t>
  </si>
  <si>
    <t>Mathieu</t>
  </si>
  <si>
    <t>25-43-23-c1-02329.0250</t>
  </si>
  <si>
    <t xml:space="preserve">1528 NE 35th St </t>
  </si>
  <si>
    <t>Kenneth Gordon</t>
  </si>
  <si>
    <t>Jeanne Levesque</t>
  </si>
  <si>
    <t>33909-1377</t>
  </si>
  <si>
    <t xml:space="preserve">1324 S Gator Cir </t>
  </si>
  <si>
    <t>Cape Coral Unit 36 Pt 1 Blk 2505 Pb 23 Pg 91 Lots 15 + 16</t>
  </si>
  <si>
    <t>80534-9171</t>
  </si>
  <si>
    <t>25-43-23-c3-02352.0110</t>
  </si>
  <si>
    <t>Robert &amp; Judy Potteray</t>
  </si>
  <si>
    <t>Belle Plaine</t>
  </si>
  <si>
    <t xml:space="preserve">228 Diplomat Pkwy E </t>
  </si>
  <si>
    <t>Sw</t>
  </si>
  <si>
    <t xml:space="preserve">466 Claire Ch  Saint-Michel-Des-Saints, QC J0k 3B0 </t>
  </si>
  <si>
    <t xml:space="preserve">1911 Brackenridge St  Austin, TX 78704-3553 </t>
  </si>
  <si>
    <t>Linnet</t>
  </si>
  <si>
    <t>18-45-24-c1-00058.0190</t>
  </si>
  <si>
    <t>12-44-23-c2-02414.0090</t>
  </si>
  <si>
    <t>Petras Marie Agnes Tr</t>
  </si>
  <si>
    <t>25-43-23-c3-02309.0520</t>
  </si>
  <si>
    <t>Kyllonen</t>
  </si>
  <si>
    <t xml:space="preserve">18 Starbird Ave  Roslindale, MA 02131-3125 </t>
  </si>
  <si>
    <t>Bonibel</t>
  </si>
  <si>
    <t>PO Box 2357</t>
  </si>
  <si>
    <t xml:space="preserve">1410 Diplomat Pkwy E  Cape Coral, FL 33909 </t>
  </si>
  <si>
    <t xml:space="preserve">8961 SW 49th Ct </t>
  </si>
  <si>
    <t>53090-2528</t>
  </si>
  <si>
    <t>Quoc</t>
  </si>
  <si>
    <t>Wycoff</t>
  </si>
  <si>
    <t xml:space="preserve">614 SE 27th Ter  Cape Coral, FL 33904 </t>
  </si>
  <si>
    <t xml:space="preserve">513 SE 27th St  Cape Coral, FL 33904 </t>
  </si>
  <si>
    <t>10-44-25-00-00004.0180</t>
  </si>
  <si>
    <t>Cape Coral Unit 21 Blk 825 Pb 13 Pg 153 Lots 23 + 24</t>
  </si>
  <si>
    <t>Cypress Woods Rv Resort Unit 4 Pb 79 Pgs 68-71 Blk D Lot 12</t>
  </si>
  <si>
    <t xml:space="preserve">2615 NE 19th Ave </t>
  </si>
  <si>
    <t>78641-3377</t>
  </si>
  <si>
    <t xml:space="preserve">6044 Joplin Ave </t>
  </si>
  <si>
    <t xml:space="preserve">5561 Spence Plantation Ln </t>
  </si>
  <si>
    <t>PO Box 371890</t>
  </si>
  <si>
    <t>Galea</t>
  </si>
  <si>
    <t xml:space="preserve">3495 Midnight Ridge Dr  Las Cruces, NM 88011-1644 </t>
  </si>
  <si>
    <t>19-43-24-c2-05593.0830</t>
  </si>
  <si>
    <t>R R &amp; Bienvenida Aparicio</t>
  </si>
  <si>
    <t xml:space="preserve">5438/5440 Fourth Ave  Fort Myers, FL 33907 </t>
  </si>
  <si>
    <t>95120-5505</t>
  </si>
  <si>
    <t xml:space="preserve">85 S Bear Lake Rd  Muskegon, MI 49445-2315 </t>
  </si>
  <si>
    <t xml:space="preserve">N Den Tannen 24 A </t>
  </si>
  <si>
    <t>Cape Coral Unit 87 Pb 24 Pg 77 Blk 5736 Lots 21 + 22</t>
  </si>
  <si>
    <t>06-44-24-c3-02059.0290</t>
  </si>
  <si>
    <t xml:space="preserve">1903 NE 23rd Pl </t>
  </si>
  <si>
    <t>72936-8332</t>
  </si>
  <si>
    <t>11-44-25-06-0000d.0540</t>
  </si>
  <si>
    <t>Cape Coral Unit 36 Blk 2298B Pb 16 Pg 119 Lots 1 + 2</t>
  </si>
  <si>
    <t>Oakland Park</t>
  </si>
  <si>
    <t>Shoreland</t>
  </si>
  <si>
    <t>Michael &amp; Lela Callaremi</t>
  </si>
  <si>
    <t>Gary Thatcher</t>
  </si>
  <si>
    <t>33905-5715</t>
  </si>
  <si>
    <t>Guiseppe &amp; For Rotondi</t>
  </si>
  <si>
    <t xml:space="preserve">17517 Berwick Tpke  Gillett, PA 16925-9167 </t>
  </si>
  <si>
    <t>Riccardo</t>
  </si>
  <si>
    <t>Cypress Woods Rv Resort Unit 4 Pb 79 Pgs 68-71 Blk D Lot 134</t>
  </si>
  <si>
    <t>18-43-24-c3-05750.0450</t>
  </si>
  <si>
    <t xml:space="preserve">2014 NE 17th Ave </t>
  </si>
  <si>
    <t>Charles &amp; Laura Hall</t>
  </si>
  <si>
    <t>Karpagam</t>
  </si>
  <si>
    <t>Sabelus</t>
  </si>
  <si>
    <t>Christopher &amp; Janice Morrow</t>
  </si>
  <si>
    <t>Negron-Brown</t>
  </si>
  <si>
    <t xml:space="preserve">927 NE 2nd Ave  Cape Coral, FL 33909 </t>
  </si>
  <si>
    <t>33070-2209</t>
  </si>
  <si>
    <t xml:space="preserve">1243 NE 36th Ln  Cape Coral, FL 33909 </t>
  </si>
  <si>
    <t>49445-2315</t>
  </si>
  <si>
    <t>Brandlhuber</t>
  </si>
  <si>
    <t>Depasquale</t>
  </si>
  <si>
    <t>Anthony &amp; Anita Gabriele</t>
  </si>
  <si>
    <t xml:space="preserve">13388 Island Rd  Fort Myers, FL 33905 </t>
  </si>
  <si>
    <t>Cape Coral Unit 36 Blk 2525 Pb 16 Pg 115 Lots 69 + 70</t>
  </si>
  <si>
    <t>19-43-24-c4-05561.0690</t>
  </si>
  <si>
    <t xml:space="preserve">5711 Cypress Woods Resort Dr </t>
  </si>
  <si>
    <t>Lehigh Acres Unit 12 Blk 62 Pb 26 Pg 16 Lot 1</t>
  </si>
  <si>
    <t>03110-4228</t>
  </si>
  <si>
    <t>For Carl T Carpenter Trust</t>
  </si>
  <si>
    <t>Maria Martinez</t>
  </si>
  <si>
    <t>LAND USE</t>
  </si>
  <si>
    <t>Rue Du Pre Jay</t>
  </si>
  <si>
    <t xml:space="preserve">324 Jacaranda Pkwy E </t>
  </si>
  <si>
    <t>32-43-24-c3-02223.0300</t>
  </si>
  <si>
    <t xml:space="preserve">5104 Cypress Trail Resort Cir </t>
  </si>
  <si>
    <t>Lehigh Acres Unit 14 Blk 78 Pb 26 Pg 20 Lot 6</t>
  </si>
  <si>
    <t>Aaron &amp; Sloane Falcione</t>
  </si>
  <si>
    <t>Oskar</t>
  </si>
  <si>
    <t>Paul &amp; Milagros Herson</t>
  </si>
  <si>
    <t xml:space="preserve">2619 NE 22nd Pl </t>
  </si>
  <si>
    <t>Orchard Lake</t>
  </si>
  <si>
    <t>A Masiero</t>
  </si>
  <si>
    <t xml:space="preserve">2208 NE 7th Ave </t>
  </si>
  <si>
    <t>R1bd</t>
  </si>
  <si>
    <t>Briarwood</t>
  </si>
  <si>
    <t xml:space="preserve">PO Box 561  Convoy, OH 45832 </t>
  </si>
  <si>
    <t xml:space="preserve">567 Ellis St </t>
  </si>
  <si>
    <t>Visplvs</t>
  </si>
  <si>
    <t xml:space="preserve">12 Genova Ct  Farmingdale, NY 11735-5544 </t>
  </si>
  <si>
    <t xml:space="preserve">518 NE 7th Ave  Cape Coral, FL 33909 </t>
  </si>
  <si>
    <t xml:space="preserve">2985 Ribbon Ct  Fort Myers, FL 33905 </t>
  </si>
  <si>
    <t xml:space="preserve">1101 NE 33rd Ter  Cape Coral, FL 33909 </t>
  </si>
  <si>
    <t>Vizzi</t>
  </si>
  <si>
    <t xml:space="preserve">25 NE 11th St  Cape Coral, FL 33909 </t>
  </si>
  <si>
    <t>46164-9631</t>
  </si>
  <si>
    <t xml:space="preserve">1615 NE 35th St </t>
  </si>
  <si>
    <t>Bruce Family Trust</t>
  </si>
  <si>
    <t>Cape Coral Unit 32 Blk 2167 Pb 16 Pg 8 Lots 15 16 + 17</t>
  </si>
  <si>
    <t>33909-3519</t>
  </si>
  <si>
    <t>11768-3122</t>
  </si>
  <si>
    <t>Niesi</t>
  </si>
  <si>
    <t>48324-2053</t>
  </si>
  <si>
    <t>31-43-24-c3-02115.0210</t>
  </si>
  <si>
    <t>07083-5563</t>
  </si>
  <si>
    <t>20-43-24-c2-05662.0400</t>
  </si>
  <si>
    <t>54952-2148</t>
  </si>
  <si>
    <t xml:space="preserve">3687 Asperwood Cir </t>
  </si>
  <si>
    <t>Fuggle</t>
  </si>
  <si>
    <t>15-44-26-01-00021.0070</t>
  </si>
  <si>
    <t xml:space="preserve">6145 Hughes Ave </t>
  </si>
  <si>
    <t xml:space="preserve">3527 E Gator Cir  Cape Coral, FL 33909 </t>
  </si>
  <si>
    <t xml:space="preserve">2007 NE 27th Ter  Cape Coral, FL 33909 </t>
  </si>
  <si>
    <t>Eric &amp; Anita Plouffe</t>
  </si>
  <si>
    <t>18-43-24-c3-05713.0210</t>
  </si>
  <si>
    <t xml:space="preserve">914 NE 15th Ln  Cape Coral, FL 33909 </t>
  </si>
  <si>
    <t xml:space="preserve">831 Meadow Ridge Dr </t>
  </si>
  <si>
    <t xml:space="preserve">17135 Taffy St  Fort Myers, FL 33908 </t>
  </si>
  <si>
    <t xml:space="preserve">5120 Cypress Trail Resort Cir </t>
  </si>
  <si>
    <t xml:space="preserve">2209 NE 21st Ave </t>
  </si>
  <si>
    <t xml:space="preserve">5842 W Gunnison St  Chicago, IL 60630-3225 </t>
  </si>
  <si>
    <t>Brejcha</t>
  </si>
  <si>
    <t xml:space="preserve">2322 NE 6th Ave  Cape Coral, FL 33909 </t>
  </si>
  <si>
    <t>Bernardo &amp; Fe Aurellado</t>
  </si>
  <si>
    <t xml:space="preserve">11919 18th Ave  College Point, NY 11356-2106 </t>
  </si>
  <si>
    <t>33909-4770</t>
  </si>
  <si>
    <t>Hatem Bamieh &amp; Zahi Abdeljaber</t>
  </si>
  <si>
    <t>29-43-24-c4-02287.0030</t>
  </si>
  <si>
    <t xml:space="preserve">Po Box 22661 </t>
  </si>
  <si>
    <t>Fort Recovery</t>
  </si>
  <si>
    <t>Dawn Dr</t>
  </si>
  <si>
    <t>Cape Coral Unit 36 Blk 2345 Pb 16 Pg 121 Lots 28 + 29</t>
  </si>
  <si>
    <t xml:space="preserve">6017 Langdon Ave  Fort Myers, FL 33905 </t>
  </si>
  <si>
    <t>36th</t>
  </si>
  <si>
    <t>Diane M Donnelly Revocable Liv</t>
  </si>
  <si>
    <t>Cape Coral Unit 33 Blk 2186 Pb 16 Pg 48 Lots 35 + 36</t>
  </si>
  <si>
    <t>Edith Seiling &amp; Franklin For</t>
  </si>
  <si>
    <t>33904-3572</t>
  </si>
  <si>
    <t xml:space="preserve">3733 Tallman St </t>
  </si>
  <si>
    <t>01-44-23-c2-02429.0450</t>
  </si>
  <si>
    <t>Cape Coral Unit 47 Pt 2 Blk 3523 Pb 23 Pg 122 Lots 34 + 35</t>
  </si>
  <si>
    <t>Tallman</t>
  </si>
  <si>
    <t xml:space="preserve">901 Shawna Shrs  Haines City, FL 33844-9568 </t>
  </si>
  <si>
    <t>33909-4481</t>
  </si>
  <si>
    <t>Cape Coral Unit 84 Blk 5547 Pb 24 Pg 46 Lots 17 + 18</t>
  </si>
  <si>
    <t>62221-2515</t>
  </si>
  <si>
    <t xml:space="preserve">14730 SW 151st Ter </t>
  </si>
  <si>
    <t>Westborough</t>
  </si>
  <si>
    <t>11-44-25-09-00000.0140</t>
  </si>
  <si>
    <t xml:space="preserve">6134 Holt Ct  Fort Myers, FL 33905 </t>
  </si>
  <si>
    <t>Cape Coral Unit 36 Blk 2339 Pb 16 Pg 124 Lots 3 + 4</t>
  </si>
  <si>
    <t>33905-8623</t>
  </si>
  <si>
    <t>Goff</t>
  </si>
  <si>
    <t>Cape Coral Unit 36 Blk 2518 Pb 16 Pg 116 Lots 5 + 6</t>
  </si>
  <si>
    <t xml:space="preserve">4300 Connection Ave </t>
  </si>
  <si>
    <t>1u</t>
  </si>
  <si>
    <t xml:space="preserve">3335 NE 9th Ave  Cape Coral, FL 33909 </t>
  </si>
  <si>
    <t>03-44-26-01-00002.0010</t>
  </si>
  <si>
    <t>Josif Bushi &amp; Agron Fonda</t>
  </si>
  <si>
    <t xml:space="preserve">6400 Arbor Ave  Fort Myers, FL 33905 </t>
  </si>
  <si>
    <t>Old Mill</t>
  </si>
  <si>
    <t xml:space="preserve">15801 Woods Chapel Rd </t>
  </si>
  <si>
    <t>16-44-26-08-00024.0040</t>
  </si>
  <si>
    <t>Irrevocable &amp; Raul Luzado</t>
  </si>
  <si>
    <t xml:space="preserve">378 Brandi Ln </t>
  </si>
  <si>
    <t>02446-7189</t>
  </si>
  <si>
    <t xml:space="preserve">5742 Burrwood Ct  Fort Myers, FL 33905 </t>
  </si>
  <si>
    <t>Lehigh Acres W Pt Unit 14 Blk 77 Pb 26 Pg 20 Lots 5 + 6</t>
  </si>
  <si>
    <t xml:space="preserve">3825 Honey Ct  Fort Myers, FL 33905 </t>
  </si>
  <si>
    <t>Simon &amp; Karen Mcneal</t>
  </si>
  <si>
    <t>Crawford</t>
  </si>
  <si>
    <t>33055-3165</t>
  </si>
  <si>
    <t>18-43-24-c3-05752.0050</t>
  </si>
  <si>
    <t>Hci</t>
  </si>
  <si>
    <t>Zapata</t>
  </si>
  <si>
    <t>John &amp; Judy Wittenberg</t>
  </si>
  <si>
    <t xml:space="preserve"># 95-63 </t>
  </si>
  <si>
    <t>Lehigh Acres Unit 9 Blk 42 Pb 26 Pg 11 Lot 24</t>
  </si>
  <si>
    <t>Cape Coral Unit 84 Blk 5588 Pb 24 Pg 45 Lots 32 + 33</t>
  </si>
  <si>
    <t>Cape Coral Unit 32 Blk 2107 Pb 16 Pg 5 Lots 5 + 6</t>
  </si>
  <si>
    <t xml:space="preserve">3500 Frost Rd </t>
  </si>
  <si>
    <t>Hankinson</t>
  </si>
  <si>
    <t>Carlos Ramirez</t>
  </si>
  <si>
    <t xml:space="preserve">2720 NE 6th Pl </t>
  </si>
  <si>
    <t xml:space="preserve">304 S Jones Blvd #5313, Las Vegas, NV 89107-2623 </t>
  </si>
  <si>
    <t>19-43-24-c4-05563.0290</t>
  </si>
  <si>
    <t xml:space="preserve">14108 Angell St  La Mirada, CA 90638-1903 </t>
  </si>
  <si>
    <t xml:space="preserve">1701 NE 10th Ln  Cape Coral, FL 33909 </t>
  </si>
  <si>
    <t>Rue Les Chenevieres</t>
  </si>
  <si>
    <t>Chrisanne</t>
  </si>
  <si>
    <t>Cape Coral Unit 36 Blk 2547 Pb 16 Pg 113 Lots 51 + 52</t>
  </si>
  <si>
    <t>Franz</t>
  </si>
  <si>
    <t xml:space="preserve">106 NE 12th Ter  Cape Coral, FL 33909 </t>
  </si>
  <si>
    <t xml:space="preserve">PO Box 10088  Bedford, NH 03110 </t>
  </si>
  <si>
    <t xml:space="preserve">11737 NW 39th St  Sunrise, FL 33323-2632 </t>
  </si>
  <si>
    <t>18-43-24-c1-05694.0410</t>
  </si>
  <si>
    <t>20-43-24-c3-05670.0510</t>
  </si>
  <si>
    <t>19-43-24-c2-05753.0040</t>
  </si>
  <si>
    <t>33905-7400</t>
  </si>
  <si>
    <t>19-43-24-c2-05596.0230</t>
  </si>
  <si>
    <t>Linda Ogilvie</t>
  </si>
  <si>
    <t>33129-2401</t>
  </si>
  <si>
    <t>Frank Kretkowski</t>
  </si>
  <si>
    <t>Belle Aire Lagoon 1St Add Pb 11 Pg 18 Lot 24</t>
  </si>
  <si>
    <t>Cape Coral Unit 32 Blk.2161 Pb 16 Pg 11 Lots 18 Thru 20</t>
  </si>
  <si>
    <t>Cypress Trail Rv Resort Ph 4-B As Desc In Inst# 2017000057565 Lot 102</t>
  </si>
  <si>
    <t xml:space="preserve">5830 SW 64th Ave  Davie, FL 33314-7114 </t>
  </si>
  <si>
    <t>33909-6138</t>
  </si>
  <si>
    <t>33157-1301</t>
  </si>
  <si>
    <t xml:space="preserve">5735 Burrwood Ct  Fort Myers, FL 33905 </t>
  </si>
  <si>
    <t xml:space="preserve">909 NE 15th Ln </t>
  </si>
  <si>
    <t xml:space="preserve">1818 NE 11th Ln  Cape Coral, FL 33909 </t>
  </si>
  <si>
    <t xml:space="preserve">271 Chang Chun St Yangmingshan  Taipei, CN 11193 </t>
  </si>
  <si>
    <t xml:space="preserve">60 Chicago Ave  Piscataway, NJ 08854-2141 </t>
  </si>
  <si>
    <t xml:space="preserve">216 East St </t>
  </si>
  <si>
    <t xml:space="preserve">PO Box 6685  Shepherdsville, KY 40165-6685 </t>
  </si>
  <si>
    <t xml:space="preserve">2700 Cozy Cv </t>
  </si>
  <si>
    <t>33014-3039</t>
  </si>
  <si>
    <t xml:space="preserve">1706 NE 28th St  Cape Coral, FL 33909 </t>
  </si>
  <si>
    <t>11-44-25-09-00000.1990</t>
  </si>
  <si>
    <t xml:space="preserve">58 Juniper Dr  Milford, CT 06461-9118 </t>
  </si>
  <si>
    <t>33909-8819</t>
  </si>
  <si>
    <t xml:space="preserve">1320 Wright Rd </t>
  </si>
  <si>
    <t>Par In Nw 1/4 Sec 18 W Of Pioneer Rd Desc In Or 1937 Pg 202</t>
  </si>
  <si>
    <t>33909-2884</t>
  </si>
  <si>
    <t xml:space="preserve">8585 E Hartford Dr #118 </t>
  </si>
  <si>
    <t>Starr</t>
  </si>
  <si>
    <t>Knut Sabelus and Kathrin Sabelus Revocable Trust</t>
  </si>
  <si>
    <t>91737-2275</t>
  </si>
  <si>
    <t xml:space="preserve">5620 Cypress Woods Resort Dr  Fort Myers, FL 33905 </t>
  </si>
  <si>
    <t xml:space="preserve">1217 NE 6th Pl </t>
  </si>
  <si>
    <t>Maran Zuliani</t>
  </si>
  <si>
    <t>Angela Co-Lon</t>
  </si>
  <si>
    <t>Jetty</t>
  </si>
  <si>
    <t>Sth</t>
  </si>
  <si>
    <t>55311-1707</t>
  </si>
  <si>
    <t>Melendez Lucy Tr</t>
  </si>
  <si>
    <t>Sica Martin Tr</t>
  </si>
  <si>
    <t>Cape Coral Unit 35 Blk 2381 Pb 16 Pg 106 Lots 49 + 50</t>
  </si>
  <si>
    <t xml:space="preserve">3837 Huntley St </t>
  </si>
  <si>
    <t xml:space="preserve">17835 77th Ln N  Loxahatchee, FL 33470-2964 </t>
  </si>
  <si>
    <t xml:space="preserve">9520 Bradshaw Ln  Tamarac, FL 33321-6357 </t>
  </si>
  <si>
    <t xml:space="preserve">18 NE 20th St </t>
  </si>
  <si>
    <t xml:space="preserve">1722 Marina Ter </t>
  </si>
  <si>
    <t>Khoa</t>
  </si>
  <si>
    <t xml:space="preserve">15460 River By Rd  Fort Myers, FL 33908 </t>
  </si>
  <si>
    <t>Dunraven</t>
  </si>
  <si>
    <t>Lehigh Acres Unit 2 Blk 9 Pb 26 Pg 4 Lot 19</t>
  </si>
  <si>
    <t>89th</t>
  </si>
  <si>
    <t>Cape Coral Unit 87 Blk 5740 Pb 24 Pg 70 Lots 49 + 50</t>
  </si>
  <si>
    <t xml:space="preserve">12636 Baltimore Ct  Kansas City, MO 64145-1164 </t>
  </si>
  <si>
    <t xml:space="preserve">213 W Yale Loop  Irvine, CA 92604-4569 </t>
  </si>
  <si>
    <t xml:space="preserve">342 Gino Rue </t>
  </si>
  <si>
    <t>Luis &amp; Marta Puerta</t>
  </si>
  <si>
    <t>Elfie Henke</t>
  </si>
  <si>
    <t>20-43-24-c3-05671.0310</t>
  </si>
  <si>
    <t>03-44-26-10-00048.0170</t>
  </si>
  <si>
    <t xml:space="preserve">1508 NE 33rd Ter </t>
  </si>
  <si>
    <t xml:space="preserve">2820 W Cypress Ave </t>
  </si>
  <si>
    <t>02852-2915</t>
  </si>
  <si>
    <t xml:space="preserve">3600 NE 12th Pl  Cape Coral, FL 33909 </t>
  </si>
  <si>
    <t>25-43-23-c3-02345.0220</t>
  </si>
  <si>
    <t xml:space="preserve">1275 E 51st St 5h, Brooklyn, NY 11234-2230 </t>
  </si>
  <si>
    <t xml:space="preserve">200 NE 31st Ter </t>
  </si>
  <si>
    <t>Cheng Chen</t>
  </si>
  <si>
    <t>Klaudt</t>
  </si>
  <si>
    <t>25-43-23-c4-02353.0580</t>
  </si>
  <si>
    <t>Ronald Meyer</t>
  </si>
  <si>
    <t>Sam</t>
  </si>
  <si>
    <t xml:space="preserve">4422 Magnolia Ridge Dr </t>
  </si>
  <si>
    <t>33909-1950</t>
  </si>
  <si>
    <t>33770-4083</t>
  </si>
  <si>
    <t xml:space="preserve">3166 S Irish Rd </t>
  </si>
  <si>
    <t>Riverview</t>
  </si>
  <si>
    <t>Sajeeve &amp; Joseph Jose</t>
  </si>
  <si>
    <t xml:space="preserve">921 NE 2nd Pl  Cape Coral, FL 33909 </t>
  </si>
  <si>
    <t>Moose Hill</t>
  </si>
  <si>
    <t xml:space="preserve">11 Riverside Dr #11, New York, NY 10023-2502 </t>
  </si>
  <si>
    <t xml:space="preserve">5242 Cypress Trail Resort Cir </t>
  </si>
  <si>
    <t>Lehigh Acres Unit 10 Blk 51 Pb 26 Pg 13 Lot 20</t>
  </si>
  <si>
    <t>Cape Coral Unit 34 Blk 2468 Pb 16 Pg 75 Lots 46 + 47</t>
  </si>
  <si>
    <t xml:space="preserve">174 W 17th St  Bayonne, NJ 07002-1503 </t>
  </si>
  <si>
    <t>88007-4829</t>
  </si>
  <si>
    <t>33909-1661</t>
  </si>
  <si>
    <t xml:space="preserve">Les Sauqueux  Saint Jullen Du Sault, FR </t>
  </si>
  <si>
    <t>Lindbergh</t>
  </si>
  <si>
    <t>Lockhart Sandra L Tr For Lockhart Living Trust</t>
  </si>
  <si>
    <t>18-43-24-c1-05725.0250</t>
  </si>
  <si>
    <t xml:space="preserve">555 Saint Mary Ave #1024, Winnipeg, MB R3c 3X4 </t>
  </si>
  <si>
    <t>Hilda Estabridis</t>
  </si>
  <si>
    <t>Cape Coral Unit 85 Blk 5666 Pb 24 Pg 53 Lots 42 + 43</t>
  </si>
  <si>
    <t xml:space="preserve">2811 Verona Ct  Edmond, OK 73034-6760 </t>
  </si>
  <si>
    <t>19-43-24-c4-05553.0030</t>
  </si>
  <si>
    <t>33909-7307</t>
  </si>
  <si>
    <t>Craven</t>
  </si>
  <si>
    <t>Gaviria Jorge Tr</t>
  </si>
  <si>
    <t xml:space="preserve">3530 NE 14th Pl </t>
  </si>
  <si>
    <t>Cape Coral Unit 88 Blk 5778 Pb 24 Pg 135 Lots 21 + 22</t>
  </si>
  <si>
    <t xml:space="preserve">4602 46th Way </t>
  </si>
  <si>
    <t>Mohammad Alzubi &amp; Fairouz Alatabeh</t>
  </si>
  <si>
    <t>11572-2304</t>
  </si>
  <si>
    <t>11372-2022</t>
  </si>
  <si>
    <t>Wolfgang Kober</t>
  </si>
  <si>
    <t>17-43-24-c4-05763.0230</t>
  </si>
  <si>
    <t>Cape Coral Unit 14 Blk.536 Pb 13 Pg 64 Lots 25 + 26</t>
  </si>
  <si>
    <t xml:space="preserve">10323 Prairie Iris Dr  Fort Myers, FL 33905 </t>
  </si>
  <si>
    <t>33157-2862</t>
  </si>
  <si>
    <t>11-44-25-06-0000d.0050</t>
  </si>
  <si>
    <t xml:space="preserve">1135 E Clark Rd  Ypsilanti, MI 48198-3192 </t>
  </si>
  <si>
    <t>R046</t>
  </si>
  <si>
    <t xml:space="preserve">2311 Santa Barbara Blvd #111 </t>
  </si>
  <si>
    <t>35-45-23-02-00000.0280</t>
  </si>
  <si>
    <t xml:space="preserve">30 Allison Pl  Egg Harbor Township, NJ 08234-8312 </t>
  </si>
  <si>
    <t>20-43-24-c3-05672.0110</t>
  </si>
  <si>
    <t xml:space="preserve">1409 NE 5th Pl </t>
  </si>
  <si>
    <t>Pacific</t>
  </si>
  <si>
    <t>Dennis Seecharan</t>
  </si>
  <si>
    <t>27527-9219</t>
  </si>
  <si>
    <t xml:space="preserve">3721 W Gator Cir  Cape Coral, FL 33909 </t>
  </si>
  <si>
    <t>Stephen Kramerage</t>
  </si>
  <si>
    <t>Benedetto Pirraglia</t>
  </si>
  <si>
    <t>07436-2404</t>
  </si>
  <si>
    <t>Simonis</t>
  </si>
  <si>
    <t>Marguerite</t>
  </si>
  <si>
    <t>33904-4202</t>
  </si>
  <si>
    <t xml:space="preserve">42970 Harris Rd </t>
  </si>
  <si>
    <t>Cape Coral Unit 87 Blk 5735 Pb 24 Pg 76 Lot 1</t>
  </si>
  <si>
    <t xml:space="preserve">4140 NE 16th Ave </t>
  </si>
  <si>
    <t xml:space="preserve">112 Pelasgias </t>
  </si>
  <si>
    <t xml:space="preserve">1203 NE 19th Ter </t>
  </si>
  <si>
    <t xml:space="preserve">2122 NE 13th Ave  Cape Coral, FL 33909 </t>
  </si>
  <si>
    <t xml:space="preserve">PO Box 13  East Barre, VT 05649 </t>
  </si>
  <si>
    <t xml:space="preserve">111 Westmar Dr </t>
  </si>
  <si>
    <t>Hans Siefert</t>
  </si>
  <si>
    <t xml:space="preserve">1210 NE 3rd Ave </t>
  </si>
  <si>
    <t xml:space="preserve">127 Kismet Pkwy E  Cape Coral, FL 33909 </t>
  </si>
  <si>
    <t>Aleather</t>
  </si>
  <si>
    <t>Sainte-Adele</t>
  </si>
  <si>
    <t>02862-1124</t>
  </si>
  <si>
    <t xml:space="preserve">NE 13th circle Dr #111 </t>
  </si>
  <si>
    <t xml:space="preserve">466 Claire Ch </t>
  </si>
  <si>
    <t>Nancy Schnetzler</t>
  </si>
  <si>
    <t xml:space="preserve">1425 Autumn Moon Ln  Magnolia, DE 19962-1825 </t>
  </si>
  <si>
    <t xml:space="preserve">3517 Castle Rock Ct  Seymour, IN 47274-3293 </t>
  </si>
  <si>
    <t>L L &amp; Bruna Salvatore</t>
  </si>
  <si>
    <t>Dale &amp; Mary Zeimet</t>
  </si>
  <si>
    <t>Cape Coral Unit 32 Blk 2132 Pb 16 Pg 13 Lots 9 10 + 11</t>
  </si>
  <si>
    <t xml:space="preserve">2062 E 22nd St  Brooklyn, NY 11229-3639 </t>
  </si>
  <si>
    <t xml:space="preserve">6812 14 Ave SE  Calgary, AB T2a 7B2 </t>
  </si>
  <si>
    <t>29-43-24-c3-02268.0340</t>
  </si>
  <si>
    <t xml:space="preserve">998 Tropical Palm Ave </t>
  </si>
  <si>
    <t>Cypress Woods Rv Resort Ut 1 Pb 65 Pg 85 + 86 Blk A Lot 8</t>
  </si>
  <si>
    <t>Nadine Cuny</t>
  </si>
  <si>
    <t xml:space="preserve">1113 NE 15th St </t>
  </si>
  <si>
    <t>17-43-24-c1-05825.0220</t>
  </si>
  <si>
    <t xml:space="preserve">3 Kunibertusplatz </t>
  </si>
  <si>
    <t>Cape Coral Unit 34 Blk 2428 Pb 16 Pg 77 Lots 15 + 16</t>
  </si>
  <si>
    <t xml:space="preserve">10398 Nightwood Dr </t>
  </si>
  <si>
    <t>Put &amp; Sonoko Lum</t>
  </si>
  <si>
    <t xml:space="preserve">131 NE 25th St  Cape Coral, FL 33909 </t>
  </si>
  <si>
    <t>Psc 450 Box 85</t>
  </si>
  <si>
    <t>Thoman-Wood</t>
  </si>
  <si>
    <t>Van Pham</t>
  </si>
  <si>
    <t>Lachapelle</t>
  </si>
  <si>
    <t xml:space="preserve">2205 NE 9th Ave </t>
  </si>
  <si>
    <t>Cape Coral Unit 84 Blk 5579 Pb 24 Pg 48 Lots 5 + 6</t>
  </si>
  <si>
    <t>Cape Coral Unit 36 Blk 2544 Pb 16 Pg 115 Lots 33 + 34</t>
  </si>
  <si>
    <t xml:space="preserve">5232 Versailles Ct </t>
  </si>
  <si>
    <t>PL</t>
  </si>
  <si>
    <t>Immokalee</t>
  </si>
  <si>
    <t>14-44-25-00-00002.2230</t>
  </si>
  <si>
    <t>Cape Coral Unit 84 Blk 5559 Pb 24 Pg 33 Lots 2 Thru 4</t>
  </si>
  <si>
    <t xml:space="preserve">6216 Pepper Hill St </t>
  </si>
  <si>
    <t>33909-6476</t>
  </si>
  <si>
    <t xml:space="preserve">5910 Brightwood Dr </t>
  </si>
  <si>
    <t>30062-1791</t>
  </si>
  <si>
    <t>Ghiles</t>
  </si>
  <si>
    <t>31-43-24-c3-02122.0090</t>
  </si>
  <si>
    <t>Kleinschmidt</t>
  </si>
  <si>
    <t>Cape Coral Unit 32 Blk 2147 Pb 16 Pg 8 Lots 13 + 14</t>
  </si>
  <si>
    <t>Richard Early</t>
  </si>
  <si>
    <t>Lehang Le</t>
  </si>
  <si>
    <t xml:space="preserve">5801 Brightwood Dr </t>
  </si>
  <si>
    <t>Sod</t>
  </si>
  <si>
    <t xml:space="preserve">1231 Highway 102  Pella, IA 50219-8027 </t>
  </si>
  <si>
    <t>Kabakow</t>
  </si>
  <si>
    <t>Danthi Pham &amp; Kim Lu</t>
  </si>
  <si>
    <t xml:space="preserve">99 Crescent Ave </t>
  </si>
  <si>
    <t>Rue Du Levant</t>
  </si>
  <si>
    <t xml:space="preserve">1006 NE 1st Ave  Cape Coral, FL 33909 </t>
  </si>
  <si>
    <t>33982-7786</t>
  </si>
  <si>
    <t>19-43-24-c4-05560.0150</t>
  </si>
  <si>
    <t xml:space="preserve">6039 Lacota Ave  Fort Myers, FL 33905 </t>
  </si>
  <si>
    <t>Ashu</t>
  </si>
  <si>
    <t xml:space="preserve">1343 NE 34th St  Cape Coral, FL 33909 </t>
  </si>
  <si>
    <t>Oceanside</t>
  </si>
  <si>
    <t>Lehigh Acres Unit 7 Blk 32 Pb 26 Pg 9 Lot 13</t>
  </si>
  <si>
    <t>Gary &amp; Ekaterina Krol</t>
  </si>
  <si>
    <t xml:space="preserve">16411 NW 37th Ct </t>
  </si>
  <si>
    <t>Cape Coral Unit 87 Blk 5741 Pb 24 Pg 69 Lots 3 + 4</t>
  </si>
  <si>
    <t>Cape Coral Unit 36 Pt 1 Blk 2505 Pb 23 Pg 91 Lots 13 + 14</t>
  </si>
  <si>
    <t xml:space="preserve">1257 NE 40th St  Cape Coral, FL 33909 </t>
  </si>
  <si>
    <t>32-43-24-c1-02231.0400</t>
  </si>
  <si>
    <t>01-44-23-c1-02437.0740</t>
  </si>
  <si>
    <t>11434-4502</t>
  </si>
  <si>
    <t>Manners</t>
  </si>
  <si>
    <t>Vantis</t>
  </si>
  <si>
    <t xml:space="preserve">134 Hagaman St  Port Reading, NJ 07064-1111 </t>
  </si>
  <si>
    <t>19970-3382</t>
  </si>
  <si>
    <t>Byrdstown</t>
  </si>
  <si>
    <t>Bechtold</t>
  </si>
  <si>
    <t>For Liana L Pasquale Trust</t>
  </si>
  <si>
    <t>Andrew Theodore</t>
  </si>
  <si>
    <t xml:space="preserve">310 Georgia Ave </t>
  </si>
  <si>
    <t>06-46-24-06-00000.1270</t>
  </si>
  <si>
    <t>Cathy W Pinard Living Trust</t>
  </si>
  <si>
    <t>O A O &amp; Sylvia Isaza</t>
  </si>
  <si>
    <t>33015-4885</t>
  </si>
  <si>
    <t>33909-3514</t>
  </si>
  <si>
    <t>B002</t>
  </si>
  <si>
    <t>47960-8142</t>
  </si>
  <si>
    <t>Princess</t>
  </si>
  <si>
    <t xml:space="preserve">5619 Nicholson Rd  Franksville, WI 53126-9439 </t>
  </si>
  <si>
    <t xml:space="preserve">4 Ely Ct </t>
  </si>
  <si>
    <t>32825-7231</t>
  </si>
  <si>
    <t>25-43-23-c3-02343.0130</t>
  </si>
  <si>
    <t>33904-7110</t>
  </si>
  <si>
    <t>Bernadeta</t>
  </si>
  <si>
    <t>21211-2870</t>
  </si>
  <si>
    <t xml:space="preserve">443 Avalon Dr </t>
  </si>
  <si>
    <t>Cape Coral Unit 21 Blk 825 Pb 13 Pg 153 Lots 21 + 22</t>
  </si>
  <si>
    <t xml:space="preserve">11342 Roundelay Rd </t>
  </si>
  <si>
    <t xml:space="preserve">10329 Fire Flag Trl </t>
  </si>
  <si>
    <t>33909-5253</t>
  </si>
  <si>
    <t>Winthrop</t>
  </si>
  <si>
    <t>Marvin</t>
  </si>
  <si>
    <t>11385-1112</t>
  </si>
  <si>
    <t>Cape Coral Unit 88 Blk 5775 Pb 24 Pg 134 Lot 7</t>
  </si>
  <si>
    <t>Andrade</t>
  </si>
  <si>
    <t>Cypress Woods Rv Resort Un 3 Desc In Pb 72 Pgs 92-95 Blk C Lot 82</t>
  </si>
  <si>
    <t>Brian &amp; Mary Dempsey</t>
  </si>
  <si>
    <t>Putnam</t>
  </si>
  <si>
    <t xml:space="preserve">740 Overriver Dr  North Fort Myers, FL 33903 </t>
  </si>
  <si>
    <t>Kozar</t>
  </si>
  <si>
    <t xml:space="preserve">1105 NE 32nd Ter  Cape Coral, FL 33909 </t>
  </si>
  <si>
    <t>06424-1332</t>
  </si>
  <si>
    <t xml:space="preserve">301 NE 24th Ter  Cape Coral, FL 33909 </t>
  </si>
  <si>
    <t xml:space="preserve">117 Caravan Cir  North Fort Myers, FL 33903 </t>
  </si>
  <si>
    <t xml:space="preserve">1121 NE 15th St  Cape Coral, FL 33909 </t>
  </si>
  <si>
    <t xml:space="preserve">1902 NE 42nd Ter  Cape Coral, FL 33909 </t>
  </si>
  <si>
    <t xml:space="preserve">Po Box 107 </t>
  </si>
  <si>
    <t>Caasi</t>
  </si>
  <si>
    <t xml:space="preserve">6728 2nd St NW  Washington, DC 20012-2113 </t>
  </si>
  <si>
    <t xml:space="preserve">1404 Greenleaf St </t>
  </si>
  <si>
    <t>Cape Coral Unit 36 Blk 2546 Pb 16 Pg 113 Lots 27 Thru 29</t>
  </si>
  <si>
    <t xml:space="preserve">10341 Prairie Iris Dr  Fort Myers, FL 33905 </t>
  </si>
  <si>
    <t xml:space="preserve">2127 NE 43rd Ln </t>
  </si>
  <si>
    <t xml:space="preserve">8601 Buckingham Rd  Fort Myers, FL 33905 </t>
  </si>
  <si>
    <t>Lombardy</t>
  </si>
  <si>
    <t xml:space="preserve">1600 Tredegar Ave  Catonsville, MD 21228-5653 </t>
  </si>
  <si>
    <t xml:space="preserve">5390 SW 91st Ave </t>
  </si>
  <si>
    <t>Via Socrate Sardelli</t>
  </si>
  <si>
    <t xml:space="preserve">3402 SE 4th Pl  Cape Coral, FL 33904 </t>
  </si>
  <si>
    <t>Christopher &amp; Angela Ezzo</t>
  </si>
  <si>
    <t>Cape Coral Unit 36 Blk 2530 Pb 16 Pg 117 Lots 38 + 39</t>
  </si>
  <si>
    <t xml:space="preserve">6590 NW 5th St  Margate, FL 33063-4413 </t>
  </si>
  <si>
    <t xml:space="preserve">4410 Garden Blvd  Cape Coral, FL 33909 </t>
  </si>
  <si>
    <t>33185-5065</t>
  </si>
  <si>
    <t xml:space="preserve">3507 W Gator Cir  Cape Coral, FL 33909 </t>
  </si>
  <si>
    <t>R095</t>
  </si>
  <si>
    <t xml:space="preserve">3321 Carlton Arms Dr 7a </t>
  </si>
  <si>
    <t xml:space="preserve">1408 NE 8th Pl  Cape Coral, FL 33909 </t>
  </si>
  <si>
    <t>Blake</t>
  </si>
  <si>
    <t>Greengage</t>
  </si>
  <si>
    <t xml:space="preserve">3 S Greenleaf St G, Gurnee, IL 60031-3377 </t>
  </si>
  <si>
    <t xml:space="preserve">170 Park Row 16c </t>
  </si>
  <si>
    <t>20-43-24-c1-05646.0110</t>
  </si>
  <si>
    <t xml:space="preserve">161 Ladderback Ln  Devon, PA 19333-1838 </t>
  </si>
  <si>
    <t xml:space="preserve">461 Sacramento St </t>
  </si>
  <si>
    <t>Huntleigh Woods</t>
  </si>
  <si>
    <t xml:space="preserve">232 Tropicana Pkwy E  Cape Coral, FL 33909 </t>
  </si>
  <si>
    <t>Maricela</t>
  </si>
  <si>
    <t>Cape Coral Unit 88 Blk 5763 Pb 24 Pg 133 Lots 5 + 6</t>
  </si>
  <si>
    <t>33909-1917</t>
  </si>
  <si>
    <t xml:space="preserve">4003 NE 22nd Pl </t>
  </si>
  <si>
    <t xml:space="preserve">3746 Kilarney St  Fort Myers, FL 33905 </t>
  </si>
  <si>
    <t xml:space="preserve">3097 Turcotte Ln </t>
  </si>
  <si>
    <t xml:space="preserve">4104 SE 12th Pl  Cape Coral, FL 33904 </t>
  </si>
  <si>
    <t xml:space="preserve">3738 NE 16th Ave  Cape Coral, FL 33909 </t>
  </si>
  <si>
    <t>Cape Coral Unit 87 Blk 5710 Pb 24 Pg 75 Lots 24 + 25</t>
  </si>
  <si>
    <t>Cottonwood Heights</t>
  </si>
  <si>
    <t>Keppler Keppler &amp; the Kingdom</t>
  </si>
  <si>
    <t xml:space="preserve">1 Kaitlyn Cir  Hampton, VA 23666-5331 </t>
  </si>
  <si>
    <t xml:space="preserve">1707 NE 10th Ave  Cape Coral, FL 33909 </t>
  </si>
  <si>
    <t>01-44-23-c1-02439.0340</t>
  </si>
  <si>
    <t xml:space="preserve">231 W 230th St G2j </t>
  </si>
  <si>
    <t>Cape Coral Unit 88 Blk.5823 Pb 24 Pg 141 Lot 17</t>
  </si>
  <si>
    <t xml:space="preserve">1906 York Ln  Highland Park, IL 60035-2739 </t>
  </si>
  <si>
    <t>33467-7323</t>
  </si>
  <si>
    <t>Manera</t>
  </si>
  <si>
    <t>Cape Coral Unit 33 Blk 2196 Pb 16 Pg 47 Lots 30 + 31</t>
  </si>
  <si>
    <t>Cypress Trail Rv Resort As Desc In Inst# 2013000212499 Lot 464</t>
  </si>
  <si>
    <t>12208-1023</t>
  </si>
  <si>
    <t xml:space="preserve">87 Oak St </t>
  </si>
  <si>
    <t>James Leung &amp; Shirley Situ</t>
  </si>
  <si>
    <t>Ibeth</t>
  </si>
  <si>
    <t>Merchan Lizarazo &amp; Castano Suarez</t>
  </si>
  <si>
    <t>Cape Coral Unit 36 Blk 2351 Pb 16 Pg 130 Lots 28 + 29</t>
  </si>
  <si>
    <t>Campbellsburg</t>
  </si>
  <si>
    <t xml:space="preserve">1203 NE 44th St  Cape Coral, FL 33909 </t>
  </si>
  <si>
    <t xml:space="preserve">620 Pine St </t>
  </si>
  <si>
    <t xml:space="preserve">11130 Shadywood Dr  Brighton, MI 48114-9248 </t>
  </si>
  <si>
    <t xml:space="preserve">511 NE 19th Ter </t>
  </si>
  <si>
    <t xml:space="preserve">250 Prospect Ave </t>
  </si>
  <si>
    <t xml:space="preserve">10202 Yellowtop Trl </t>
  </si>
  <si>
    <t xml:space="preserve">1119 NE 37th Ter  Cape Coral, FL 33909 </t>
  </si>
  <si>
    <t>Shiraz</t>
  </si>
  <si>
    <t>95618-2556</t>
  </si>
  <si>
    <t xml:space="preserve">3716 NE 15th Pl  Cape Coral, FL 33909 </t>
  </si>
  <si>
    <t xml:space="preserve">PO Box 990  Taylors, SC 29687 </t>
  </si>
  <si>
    <t>19-43-24-c1-05548.0470</t>
  </si>
  <si>
    <t>Gothic</t>
  </si>
  <si>
    <t xml:space="preserve">PO Box 363  Mc Intosh, FL 32664 </t>
  </si>
  <si>
    <t>33909-3367</t>
  </si>
  <si>
    <t>Stone</t>
  </si>
  <si>
    <t>Stephen &amp; Linda Rohrs</t>
  </si>
  <si>
    <t xml:space="preserve">315 Friedman Dr  New Castle, DE 19720-5627 </t>
  </si>
  <si>
    <t>Rosa Del Rio</t>
  </si>
  <si>
    <t xml:space="preserve">721 Lexington Dr </t>
  </si>
  <si>
    <t xml:space="preserve">1231 W River Ln  Santa Ana, CA 92706-1424 </t>
  </si>
  <si>
    <t>Robert &amp; Annelise Kump</t>
  </si>
  <si>
    <t xml:space="preserve">7545 Blue Spring Dr  Land O Lakes, FL 34637-7487 </t>
  </si>
  <si>
    <t xml:space="preserve">1410 NE Juanita Pl  Cape Coral, FL 33909 </t>
  </si>
  <si>
    <t xml:space="preserve">5216 Pineland Daisy Trl </t>
  </si>
  <si>
    <t>Cape Coral Unit 84 Blk 5562 Pb 24 Pg 37 Lots 31 + 32</t>
  </si>
  <si>
    <t>19-43-24-c3-05619.0320</t>
  </si>
  <si>
    <t>Midland &amp; Ellis Elizabeth</t>
  </si>
  <si>
    <t xml:space="preserve">123 Brenna Ln  Palm Desert, CA 92211 </t>
  </si>
  <si>
    <t>Arteaga Milla &amp; Olivos Hervias</t>
  </si>
  <si>
    <t xml:space="preserve">3246 Annandale Rd  Falls Church, VA 22042-3849 </t>
  </si>
  <si>
    <t xml:space="preserve">2028 NE 16th Pl  Cape Coral, FL 33909 </t>
  </si>
  <si>
    <t>46256-1877</t>
  </si>
  <si>
    <t>Dupra</t>
  </si>
  <si>
    <t xml:space="preserve">3116 76th St </t>
  </si>
  <si>
    <t>Verandah Unit 7 Desc In Pb 83 Pgs 23-31 Blk B Lot 53</t>
  </si>
  <si>
    <t>Mayrink</t>
  </si>
  <si>
    <t xml:space="preserve">5321 Silk Oak Ave  Fort Myers, FL 33905 </t>
  </si>
  <si>
    <t xml:space="preserve">246 Michigan Ave </t>
  </si>
  <si>
    <t xml:space="preserve">10 Allds St #263, Nashua, NH 03060-4716 </t>
  </si>
  <si>
    <t xml:space="preserve">1309 Lone Pine Trl </t>
  </si>
  <si>
    <t xml:space="preserve">2495 E 3rd St </t>
  </si>
  <si>
    <t>32-44-24-c1-01210.0200</t>
  </si>
  <si>
    <t xml:space="preserve">1821 NE 21st St </t>
  </si>
  <si>
    <t>Eichhorn</t>
  </si>
  <si>
    <t>Anthony Trabal &amp; Magali Nieves</t>
  </si>
  <si>
    <t>Alfredo Lomelin</t>
  </si>
  <si>
    <t xml:space="preserve">317 Felicia Ct </t>
  </si>
  <si>
    <t xml:space="preserve">1920 S Gator Cir  Cape Coral, FL 33909 </t>
  </si>
  <si>
    <t>33596-8112</t>
  </si>
  <si>
    <t xml:space="preserve">1234 172nd Ave A, New Richmond, WI 54017-6504 </t>
  </si>
  <si>
    <t>B051</t>
  </si>
  <si>
    <t>Cape Coral Unit 49 Blk 3663 Pb 17 Pg 150 Lots 32 Thru 34</t>
  </si>
  <si>
    <t>Robert &amp; Karin Shepherd</t>
  </si>
  <si>
    <t>01-44-23-c1-02451.0010</t>
  </si>
  <si>
    <t>Cassinely</t>
  </si>
  <si>
    <t xml:space="preserve">3848 Kittyhawk Dr </t>
  </si>
  <si>
    <t>Harsens Island</t>
  </si>
  <si>
    <t>33905-7705</t>
  </si>
  <si>
    <t>20-43-24-c2-05654.0220</t>
  </si>
  <si>
    <t>Sandra Ramos</t>
  </si>
  <si>
    <t>Cape Coral Unit 33 Blk.2267 Pb 16 Pg 60 Lots 61 + 62</t>
  </si>
  <si>
    <t xml:space="preserve">3201 SE 19th Pl  Cape Coral, FL 33904 </t>
  </si>
  <si>
    <t xml:space="preserve">1105 NE 19th St </t>
  </si>
  <si>
    <t xml:space="preserve">6026 Langdon Ave </t>
  </si>
  <si>
    <t xml:space="preserve">130 Poinciana Dr  Jupiter, FL 33458-2830 </t>
  </si>
  <si>
    <t>Thelemaque</t>
  </si>
  <si>
    <t xml:space="preserve">14640 Jonathan Harbour Dr </t>
  </si>
  <si>
    <t xml:space="preserve">3911 W Desert Hollow Dr </t>
  </si>
  <si>
    <t>Sologuren</t>
  </si>
  <si>
    <t>Patricia Chiovetta Trust</t>
  </si>
  <si>
    <t xml:space="preserve">2609 NE 6th Ave  Cape Coral, FL 33909 </t>
  </si>
  <si>
    <t>PO Box 31</t>
  </si>
  <si>
    <t>Malabanan</t>
  </si>
  <si>
    <t>For James A Shapiro Trust</t>
  </si>
  <si>
    <t>Vermilion</t>
  </si>
  <si>
    <t>Uter</t>
  </si>
  <si>
    <t>Palm Beach Gardens</t>
  </si>
  <si>
    <t>07-44-24-c2-1600r.0000</t>
  </si>
  <si>
    <t>32822-7772</t>
  </si>
  <si>
    <t>Che-San Lai</t>
  </si>
  <si>
    <t xml:space="preserve">4917 N Drake Ave  Chicago, IL 60625-9073 </t>
  </si>
  <si>
    <t>C024</t>
  </si>
  <si>
    <t xml:space="preserve">Viale Trento #88 </t>
  </si>
  <si>
    <t xml:space="preserve">1 Scott Dr  Middletown, NY 10941-1111 </t>
  </si>
  <si>
    <t xml:space="preserve">114 Blanco Dr </t>
  </si>
  <si>
    <t>14487-9706</t>
  </si>
  <si>
    <t>55001-9779</t>
  </si>
  <si>
    <t xml:space="preserve">38 Clos Aubry Le Bordes  Villeneuve, FR </t>
  </si>
  <si>
    <t xml:space="preserve">4307 Garden Blvd </t>
  </si>
  <si>
    <t>18-43-24-c4-05684.0150</t>
  </si>
  <si>
    <t>Butchey</t>
  </si>
  <si>
    <t xml:space="preserve">26056 W Marlin Dr  Wilmington, IL 60481-9478 </t>
  </si>
  <si>
    <t xml:space="preserve">3569 NE 10th Pl  Cape Coral, FL 33909 </t>
  </si>
  <si>
    <t>R041</t>
  </si>
  <si>
    <t>Robbins</t>
  </si>
  <si>
    <t>Carlin</t>
  </si>
  <si>
    <t>31-43-24-c4-02145.0010</t>
  </si>
  <si>
    <t>For Wilbur Stewart Brandenburg Trust</t>
  </si>
  <si>
    <t>19-43-24-c2-05587.0250</t>
  </si>
  <si>
    <t>Rue Mouloudji</t>
  </si>
  <si>
    <t>33909-6275</t>
  </si>
  <si>
    <t xml:space="preserve">401 NE 21st Ave </t>
  </si>
  <si>
    <t>60062-3528</t>
  </si>
  <si>
    <t>Gabriele Divittorio</t>
  </si>
  <si>
    <t>73111-4704</t>
  </si>
  <si>
    <t>Margo Graham-Bruckus &amp; Harold Gerdes</t>
  </si>
  <si>
    <t xml:space="preserve">5155 Cypress Trail Resort Cir  Fort Myers, FL 33905 </t>
  </si>
  <si>
    <t xml:space="preserve">1412 E Oceanfront </t>
  </si>
  <si>
    <t>Bleecker</t>
  </si>
  <si>
    <t xml:space="preserve">1012 NE 36th St </t>
  </si>
  <si>
    <t xml:space="preserve">1750 Curtiss Dr #107, Hialeah, FL 33010-3114 </t>
  </si>
  <si>
    <t>10028-2146</t>
  </si>
  <si>
    <t xml:space="preserve">1905 SE 36th Ter </t>
  </si>
  <si>
    <t>Van Houten</t>
  </si>
  <si>
    <t xml:space="preserve">3310 NE 9th Ave </t>
  </si>
  <si>
    <t>Priscilla</t>
  </si>
  <si>
    <t>Foster</t>
  </si>
  <si>
    <t>20-44-26-01-00001.0110</t>
  </si>
  <si>
    <t xml:space="preserve">1703 Dunn St </t>
  </si>
  <si>
    <t xml:space="preserve">646 Mcintosh Cir  Hayesville, NC 28904-5540 </t>
  </si>
  <si>
    <t xml:space="preserve">1321 NE 39th St </t>
  </si>
  <si>
    <t>Hovey Pond</t>
  </si>
  <si>
    <t>William &amp; Diana Scott</t>
  </si>
  <si>
    <t xml:space="preserve">32347 County Road 12  Winona, MN 55987-5197 </t>
  </si>
  <si>
    <t>Palema</t>
  </si>
  <si>
    <t>Laucra Nicastro &amp; Girolamo Galea</t>
  </si>
  <si>
    <t xml:space="preserve">3458 Taylor Blvd  Louisville, KY 40215-2647 </t>
  </si>
  <si>
    <t xml:space="preserve">140 River St  Milton, VT 05468-3647 </t>
  </si>
  <si>
    <t>13407-3713</t>
  </si>
  <si>
    <t>Shaller Virginia Tr</t>
  </si>
  <si>
    <t>36-43-23-c1-02532.0010</t>
  </si>
  <si>
    <t xml:space="preserve">1318 NE 6th Ave </t>
  </si>
  <si>
    <t>Jentung</t>
  </si>
  <si>
    <t>Robert &amp; Darla Bohrer</t>
  </si>
  <si>
    <t xml:space="preserve">3815 Mormon Coulee Rd #100, La Crosse, WI 54601-5088 </t>
  </si>
  <si>
    <t xml:space="preserve">20 Sylvan Ave  Meriden, CT 06451-2824 </t>
  </si>
  <si>
    <t>33909-3313</t>
  </si>
  <si>
    <t>11-44-25-11-00000.2360</t>
  </si>
  <si>
    <t xml:space="preserve">1835 Franklin St #903 </t>
  </si>
  <si>
    <t>Erla Milord &amp; Garvey Thelemaque</t>
  </si>
  <si>
    <t>Henry Hudson</t>
  </si>
  <si>
    <t xml:space="preserve">4243 E Gator Cir  Cape Coral, FL 33909 </t>
  </si>
  <si>
    <t xml:space="preserve">7885 NW 170th St  Hialeah, FL 33015-3860 </t>
  </si>
  <si>
    <t>Cape Coral Unit 33 Blk.2181 Pb 16 Pg 49 Lots 71 + 72</t>
  </si>
  <si>
    <t>Joshua &amp; Warren Bremser</t>
  </si>
  <si>
    <t xml:space="preserve">24 Alpenweg  Oberaudorf, DE 83080 </t>
  </si>
  <si>
    <t xml:space="preserve">2625 NE 20th Pl </t>
  </si>
  <si>
    <t>11-44-25-09-00000.2130</t>
  </si>
  <si>
    <t xml:space="preserve">4232 NE 17th Ave  Cape Coral, FL 33909 </t>
  </si>
  <si>
    <t xml:space="preserve">1625 NE 34th Ln  Cape Coral, FL 33909 </t>
  </si>
  <si>
    <t>Frank Adubato</t>
  </si>
  <si>
    <t xml:space="preserve">340 Jacaranda Pkwy E  Cape Coral, FL 33909 </t>
  </si>
  <si>
    <t xml:space="preserve">780 S Sapodilla Ave #204 </t>
  </si>
  <si>
    <t>Cape Coral Unit 31 Blk 2097 Pb 14 Pg 163 Lots 9 + 10</t>
  </si>
  <si>
    <t>James &amp; Sharon Strader</t>
  </si>
  <si>
    <t>12-46-23-03-00000.2020</t>
  </si>
  <si>
    <t>42103-1552</t>
  </si>
  <si>
    <t>Randell</t>
  </si>
  <si>
    <t xml:space="preserve">15081/83 Cemetery Rd </t>
  </si>
  <si>
    <t xml:space="preserve">6081 Laurelwood Dr </t>
  </si>
  <si>
    <t>Sileika</t>
  </si>
  <si>
    <t>Staley</t>
  </si>
  <si>
    <t xml:space="preserve">1176 NE 44th Ln </t>
  </si>
  <si>
    <t>03-44-26-12-00062.0050</t>
  </si>
  <si>
    <t xml:space="preserve">327 NE 31st St  Cape Coral, FL 33909 </t>
  </si>
  <si>
    <t>Lehigh Acres Unit 9 Blk 41 Pb 26 Pg 11 Lot 12</t>
  </si>
  <si>
    <t xml:space="preserve">1416 NE 2nd Ave  Cape Coral, FL 33909 </t>
  </si>
  <si>
    <t xml:space="preserve">5209 SW 139th Pl  Miami, FL 33175 </t>
  </si>
  <si>
    <t xml:space="preserve">1375 SW 17th St </t>
  </si>
  <si>
    <t xml:space="preserve">2305 NE 20th Ter  Cape Coral, FL 33909 </t>
  </si>
  <si>
    <t>Earle</t>
  </si>
  <si>
    <t>03104-5552</t>
  </si>
  <si>
    <t>Thomas Lowe &amp; Thomas For</t>
  </si>
  <si>
    <t>Joseph &amp; Julia Osborne</t>
  </si>
  <si>
    <t xml:space="preserve">86 A  Duesseldorf, DE 40627 </t>
  </si>
  <si>
    <t>Washago</t>
  </si>
  <si>
    <t>Dunston</t>
  </si>
  <si>
    <t>Tom</t>
  </si>
  <si>
    <t xml:space="preserve">5498 Cypress Trail Resort Cir </t>
  </si>
  <si>
    <t>33035-2294</t>
  </si>
  <si>
    <t>William &amp; Janet Bass</t>
  </si>
  <si>
    <t xml:space="preserve">1526 Long Hollow Rd </t>
  </si>
  <si>
    <t>Herbert</t>
  </si>
  <si>
    <t>Pasko</t>
  </si>
  <si>
    <t xml:space="preserve">43 Tweed Blvd  Nyack, NY 10960-4911 </t>
  </si>
  <si>
    <t>Cooley David M Tr</t>
  </si>
  <si>
    <t xml:space="preserve">12235 SW 115th Ter  Miami, FL 33186-5007 </t>
  </si>
  <si>
    <t xml:space="preserve">4126 NE 20th Ct </t>
  </si>
  <si>
    <t>Guzman</t>
  </si>
  <si>
    <t xml:space="preserve">6144 Laurelwood Dr  Fort Myers, FL 33905 </t>
  </si>
  <si>
    <t>11-44-25-05-0000c.0850</t>
  </si>
  <si>
    <t>36-43-23-c3-02480.0400</t>
  </si>
  <si>
    <t>36-43-23-c1-02516.0400</t>
  </si>
  <si>
    <t>Mario</t>
  </si>
  <si>
    <t>Trailside</t>
  </si>
  <si>
    <t xml:space="preserve">105 NE 12th Ln  Cape Coral, FL 33909 </t>
  </si>
  <si>
    <t>33909-4389</t>
  </si>
  <si>
    <t xml:space="preserve">8 Acorn Pl  Bellingham, WA 98229-7600 </t>
  </si>
  <si>
    <t>Cape Coral Unit 87 Blk 5732 Pb 24 Pg 87 Lots 1 + 2</t>
  </si>
  <si>
    <t xml:space="preserve">2889 Wellman Ave </t>
  </si>
  <si>
    <t>Roccaro</t>
  </si>
  <si>
    <t xml:space="preserve">11 Monroe Rd  Shelton, CT 06484-1820 </t>
  </si>
  <si>
    <t>Chard</t>
  </si>
  <si>
    <t xml:space="preserve">475 NE 3rd Ct  Cape Coral, FL 33909 </t>
  </si>
  <si>
    <t>Pappas Evangelos Tr</t>
  </si>
  <si>
    <t xml:space="preserve">1718 NE 22nd Ter </t>
  </si>
  <si>
    <t>13501-3238</t>
  </si>
  <si>
    <t xml:space="preserve">13 Cottonwood Rd  Brookfield, MA 01506-1778 </t>
  </si>
  <si>
    <t>05-44-24-c2-03514.0340</t>
  </si>
  <si>
    <t>Cape Coral Unit 88 Blk 5787 Pb 24 Pg 132 Lots 27 + 28</t>
  </si>
  <si>
    <t>Aaron &amp; Candice Law</t>
  </si>
  <si>
    <t>Cape Coral Unit 87 Blk 5704 Pb 24 Pg 72 Lots 37 + 38</t>
  </si>
  <si>
    <t xml:space="preserve">14675 S 100 W  Clinton, IN 47842-7808 </t>
  </si>
  <si>
    <t>Stanislaw</t>
  </si>
  <si>
    <t>11-44-25-07-00000.1430</t>
  </si>
  <si>
    <t xml:space="preserve">120 Janelle Blvd </t>
  </si>
  <si>
    <t>33909-1716</t>
  </si>
  <si>
    <t>19-43-24-c3-05618.0030</t>
  </si>
  <si>
    <t>PO Box 632777</t>
  </si>
  <si>
    <t>15237-5601</t>
  </si>
  <si>
    <t xml:space="preserve">4222 NE 23rd Pl  Cape Coral, FL 33909 </t>
  </si>
  <si>
    <t xml:space="preserve">1905 NE 38th Ter </t>
  </si>
  <si>
    <t>Brian &amp; Rita Smith</t>
  </si>
  <si>
    <t>05-44-24-c2-03516.0190</t>
  </si>
  <si>
    <t>Sancho</t>
  </si>
  <si>
    <t>Aszam Bacchus &amp; Fazia Shaheed</t>
  </si>
  <si>
    <t xml:space="preserve">1913 NE 33rd Ter  Cape Coral, FL 33909 </t>
  </si>
  <si>
    <t>Kaelin</t>
  </si>
  <si>
    <t>07036-3603</t>
  </si>
  <si>
    <t>33909-6221</t>
  </si>
  <si>
    <t xml:space="preserve">4141 NE 20th Pl </t>
  </si>
  <si>
    <t>Cape Coral Unit 36 Blk 2354 Pb 16 Pg 119 Lots 7 + 8</t>
  </si>
  <si>
    <t>77478-4428</t>
  </si>
  <si>
    <t>Forbur</t>
  </si>
  <si>
    <t>Lindbrook</t>
  </si>
  <si>
    <t>Choong &amp; Yoon Lee</t>
  </si>
  <si>
    <t>33909-8902</t>
  </si>
  <si>
    <t>Portage</t>
  </si>
  <si>
    <t>Cape Coral Unit 33 Blk.2186 Pb 16 Pg 48 Lots 39 + 40</t>
  </si>
  <si>
    <t>C073</t>
  </si>
  <si>
    <t xml:space="preserve">821 Jacaranda Pkwy E  Cape Coral, FL 33909 </t>
  </si>
  <si>
    <t xml:space="preserve">1305 Dakota St </t>
  </si>
  <si>
    <t xml:space="preserve">124 Diana Ave  Fort Myers, FL 33905 </t>
  </si>
  <si>
    <t>Cape Coral Unit 88 Blk 5795 Pb 24 Pg 130 Lots 57 + 58</t>
  </si>
  <si>
    <t xml:space="preserve">2621 NE 19th Ave  Cape Coral, FL 33909 </t>
  </si>
  <si>
    <t>Fr Ne Cor Sw 2640.50 To N 1/4 Cor Sw 303.65 Sw 13.11 Sw 1160 To Orange River</t>
  </si>
  <si>
    <t>Nilda Scheir &amp; Christopher Rodriguez</t>
  </si>
  <si>
    <t>Ana Farrell</t>
  </si>
  <si>
    <t>36-43-23-c1-02517.0200</t>
  </si>
  <si>
    <t xml:space="preserve">3733 NE 15th Pl </t>
  </si>
  <si>
    <t>52nd ane</t>
  </si>
  <si>
    <t xml:space="preserve">19808 NW 86th Ave  Hialeah, FL 33015-6930 </t>
  </si>
  <si>
    <t>03-44-26-05-00023.0090</t>
  </si>
  <si>
    <t xml:space="preserve">166 Noahs Mill Dr  Lake Saint Louis, MO 63367-4038 </t>
  </si>
  <si>
    <t xml:space="preserve">20410 32nd Ave  Bayside, NY 11361-1023 </t>
  </si>
  <si>
    <t>Cape Coral Unit 33 Blk 2192 Pb 16 Pg 49 Lots 13 Thru 15</t>
  </si>
  <si>
    <t>19-43-24-c3-05624.0350</t>
  </si>
  <si>
    <t>Santiago Escobar &amp; Claudia Gomez</t>
  </si>
  <si>
    <t>Winthrop Town</t>
  </si>
  <si>
    <t>49080-8229</t>
  </si>
  <si>
    <t>Mcvicker</t>
  </si>
  <si>
    <t>10509-3516</t>
  </si>
  <si>
    <t>Cape Coral Unit 84 Blk 5587 Pb 24 Pg 44 Lots 7 + 8</t>
  </si>
  <si>
    <t xml:space="preserve">11550 County Road 632 </t>
  </si>
  <si>
    <t xml:space="preserve">4085 Rambler Ave </t>
  </si>
  <si>
    <t>Robert &amp; Phyllis Tucker</t>
  </si>
  <si>
    <t>Cape Coral Unit 33 Blk.2263 Pb 16 Pg 59 Lots 33 + 34</t>
  </si>
  <si>
    <t xml:space="preserve">2451 Lefferts Pl </t>
  </si>
  <si>
    <t xml:space="preserve">5860 Cari Rd  Huntingtown, MD 20639-9610 </t>
  </si>
  <si>
    <t>20-43-24-c4-05634.0250</t>
  </si>
  <si>
    <t xml:space="preserve">16990 NW 52nd Ave </t>
  </si>
  <si>
    <t xml:space="preserve">17 Lake Arbor Dr  Palm Springs, FL 33461-2101 </t>
  </si>
  <si>
    <t xml:space="preserve">122 NE 9th St  Cape Coral, FL 33909 </t>
  </si>
  <si>
    <t>07302-2407</t>
  </si>
  <si>
    <t>Zeithanmel</t>
  </si>
  <si>
    <t>33160-2552</t>
  </si>
  <si>
    <t xml:space="preserve">4592 Clearwater Ct </t>
  </si>
  <si>
    <t>Andrews</t>
  </si>
  <si>
    <t xml:space="preserve">5467 Cypress Trail Resort Cir  Fort Myers, FL 33905 </t>
  </si>
  <si>
    <t>Pekola</t>
  </si>
  <si>
    <t xml:space="preserve">508 Diplomat Pkwy E </t>
  </si>
  <si>
    <t>For H Nyquest Trust</t>
  </si>
  <si>
    <t xml:space="preserve">PO Box 1036  Columbia, TN 38402-1036 </t>
  </si>
  <si>
    <t>03-44-26-07-00034.0030</t>
  </si>
  <si>
    <t>03-44-26-09-00046.0020</t>
  </si>
  <si>
    <t>33155-2321</t>
  </si>
  <si>
    <t xml:space="preserve">264 W Ridgewood Ave  Ridgewood, NJ 07450-3613 </t>
  </si>
  <si>
    <t xml:space="preserve">2415 Long Pond Rd  Rochester, NY 14606-5109 </t>
  </si>
  <si>
    <t>Cape Coral Unit 21 Blk.646 Pb 13 Pg 160 Lots 18 Thru 20</t>
  </si>
  <si>
    <t>Cape Coral Unit 33 Blk 2236 Pb 16 Pg 52 Lots 25 + 26</t>
  </si>
  <si>
    <t>Cypress Woods Rv Resort Ut 1 Pb 65 Pg 85 + 86 Blk B Lot 62</t>
  </si>
  <si>
    <t>03-44-26-08-00035.0020</t>
  </si>
  <si>
    <t>33144-5223</t>
  </si>
  <si>
    <t>Karen Kurtz</t>
  </si>
  <si>
    <t>Cape Coral Unit 36 Blk 2520 Pb 16 Pg 116 Lots 46 + 47</t>
  </si>
  <si>
    <t>01-44-25-l2-06000.0030</t>
  </si>
  <si>
    <t xml:space="preserve">8526 Fayette St </t>
  </si>
  <si>
    <t>Marasy</t>
  </si>
  <si>
    <t xml:space="preserve">3013 SE 10th Ave  Cape Coral, FL 33904 </t>
  </si>
  <si>
    <t>Wagner</t>
  </si>
  <si>
    <t xml:space="preserve">468 Palmer Ave </t>
  </si>
  <si>
    <t>Foley</t>
  </si>
  <si>
    <t>12-44-23-c4-02368.0070</t>
  </si>
  <si>
    <t xml:space="preserve">2605 NE 7th Ave  Cape Coral, FL 33909 </t>
  </si>
  <si>
    <t>31-43-24-c4-02113.0050</t>
  </si>
  <si>
    <t>Raffaele &amp; Carmela Aiello</t>
  </si>
  <si>
    <t xml:space="preserve">60 Vassar Ave </t>
  </si>
  <si>
    <t>Vicki</t>
  </si>
  <si>
    <t xml:space="preserve">1150 N Loop W 108-64, San Antonio, TX 78248 </t>
  </si>
  <si>
    <t>17-44-25-p2-0170c.0210</t>
  </si>
  <si>
    <t xml:space="preserve">1626/1628 NE 8th Pl </t>
  </si>
  <si>
    <t>High Point</t>
  </si>
  <si>
    <t>Thiells</t>
  </si>
  <si>
    <t>William</t>
  </si>
  <si>
    <t>Robert &amp; Jennifer Richmond</t>
  </si>
  <si>
    <t xml:space="preserve">4816 Marine Dr #4 </t>
  </si>
  <si>
    <t>33909-4624</t>
  </si>
  <si>
    <t>20-43-24-c4-05635.0050</t>
  </si>
  <si>
    <t xml:space="preserve">237 SE 31st St  Cape Coral, FL 33904 </t>
  </si>
  <si>
    <t>Kastner &amp; Jennifer Kastner</t>
  </si>
  <si>
    <t>11575-2009</t>
  </si>
  <si>
    <t>Cape Coral Unit 36 Blk 2338 Pb 16 Pg 124 Lots 53 + 54</t>
  </si>
  <si>
    <t xml:space="preserve">1622 NE 13th Ave  Cape Coral, FL 33909 </t>
  </si>
  <si>
    <t xml:space="preserve">1910 NE 8th Pl  Cape Coral, FL 33909 </t>
  </si>
  <si>
    <t>11377-4836</t>
  </si>
  <si>
    <t># 95-63</t>
  </si>
  <si>
    <t>33904-3426</t>
  </si>
  <si>
    <t>Yaney</t>
  </si>
  <si>
    <t xml:space="preserve">6013 Higgins Ave  Fort Myers, FL 33905 </t>
  </si>
  <si>
    <t>Allison Babwah</t>
  </si>
  <si>
    <t>Platano</t>
  </si>
  <si>
    <t xml:space="preserve">15 Paul Doyon #660 </t>
  </si>
  <si>
    <t>33909-4335</t>
  </si>
  <si>
    <t>11-44-25-l1-1400b.4490</t>
  </si>
  <si>
    <t>19-43-24-c4-05566.0230</t>
  </si>
  <si>
    <t xml:space="preserve">1150 S Colony Way #3, Palmer, AK 99645-6972 </t>
  </si>
  <si>
    <t>Espinosa</t>
  </si>
  <si>
    <t xml:space="preserve">1306 NE 4th Pl  Cape Coral, FL 33909 </t>
  </si>
  <si>
    <t>Woodlands</t>
  </si>
  <si>
    <t>19-43-24-c1-05581.0280</t>
  </si>
  <si>
    <t>32404-7715</t>
  </si>
  <si>
    <t>61953-1110</t>
  </si>
  <si>
    <t>Enrique &amp; Emilie Reyes</t>
  </si>
  <si>
    <t xml:space="preserve">540 Thomas Ave </t>
  </si>
  <si>
    <t>Paul M Stieler Revocable Living Trust</t>
  </si>
  <si>
    <t>Todd Hewitt</t>
  </si>
  <si>
    <t>Cape Coral Unit 36 Blk 2342 Pb 16 Pg 121 Lots 59 + 60</t>
  </si>
  <si>
    <t>Rosa &amp; Iris Flores</t>
  </si>
  <si>
    <t>Bay Pines</t>
  </si>
  <si>
    <t xml:space="preserve">2314 NE 35th Ln </t>
  </si>
  <si>
    <t>Ronald &amp; Ryan Conway</t>
  </si>
  <si>
    <t xml:space="preserve">52 Riverside Dr 11a </t>
  </si>
  <si>
    <t>Someshwar</t>
  </si>
  <si>
    <t xml:space="preserve">319 Diplomat Pkwy E  Cape Coral, FL 33909 </t>
  </si>
  <si>
    <t xml:space="preserve">5380 Colony Ct </t>
  </si>
  <si>
    <t>17-43-24-c3-05796.0100</t>
  </si>
  <si>
    <t>Martin Dessejour &amp; Shavvy Raj-Singh</t>
  </si>
  <si>
    <t xml:space="preserve">112 Pelasgias  Nea Zoe Peristeri, GR </t>
  </si>
  <si>
    <t xml:space="preserve">5225 Brandon Pines Way </t>
  </si>
  <si>
    <t>Ajellos Farm</t>
  </si>
  <si>
    <t>13760-2428</t>
  </si>
  <si>
    <t>Gary A Holstein &amp; Gary Holstein</t>
  </si>
  <si>
    <t xml:space="preserve">678 NW 7th Ave  Boca Raton, FL 33486-3516 </t>
  </si>
  <si>
    <t>Aldas</t>
  </si>
  <si>
    <t>Huntsville</t>
  </si>
  <si>
    <t xml:space="preserve">6280 S Military Trl #605 </t>
  </si>
  <si>
    <t xml:space="preserve">1823 Torrey Pkwy  Libertyville, IL 60048-1034 </t>
  </si>
  <si>
    <t xml:space="preserve">1208 NE 12th St  Cape Coral, FL 33909 </t>
  </si>
  <si>
    <t>Cape Coral Unit 36 Blk 2326 Pb 16 Pg 128 Lots 22 23 + 24</t>
  </si>
  <si>
    <t>11-44-25-11-00000.0420</t>
  </si>
  <si>
    <t>36-43-23-c1-02520.0630</t>
  </si>
  <si>
    <t>Tilden</t>
  </si>
  <si>
    <t>APPRAISED IMPROVEMENT VALUE</t>
  </si>
  <si>
    <t xml:space="preserve">3701 NE 4th St  Homestead, FL 33033-6231 </t>
  </si>
  <si>
    <t>Cape Coral Unit 84 Blk 5611 Pb 24 Pg 35 Lots 41 + 42</t>
  </si>
  <si>
    <t>Santos Dos</t>
  </si>
  <si>
    <t>Lorenzo Valdes</t>
  </si>
  <si>
    <t>19-43-24-c3-05620.0410</t>
  </si>
  <si>
    <t xml:space="preserve">5766 Burrwood Ct </t>
  </si>
  <si>
    <t>Lynnrae</t>
  </si>
  <si>
    <t>L0L 2J0</t>
  </si>
  <si>
    <t>33175-6454</t>
  </si>
  <si>
    <t>Hawks Bill</t>
  </si>
  <si>
    <t>Mackaboy Farms Pt Lot 9 Pb 9 Pg 31 Desc In Or 1664 Pg 4709 Less Parls .009E Thru .009G</t>
  </si>
  <si>
    <t>Sherly</t>
  </si>
  <si>
    <t>Cape Coral Unit 88 Blk 5793 Pb 24 Pg 131 Lots 36 + 37</t>
  </si>
  <si>
    <t xml:space="preserve">10222 Yellowtop Trl  Fort Myers, FL 33905 </t>
  </si>
  <si>
    <t>Cape Coral Unit 9 Blk.290 Pb 13 Pg 12 Lots 13 + 14</t>
  </si>
  <si>
    <t>32-43-24-c4-02199.0770</t>
  </si>
  <si>
    <t>11-44-25-04-0000a.0570</t>
  </si>
  <si>
    <t>Abelardo &amp; Prescilla Santos</t>
  </si>
  <si>
    <t xml:space="preserve">1417 NE 37th St  Cape Coral, FL 33909 </t>
  </si>
  <si>
    <t xml:space="preserve">PO Box 694300  Dulles, VA 20101 </t>
  </si>
  <si>
    <t xml:space="preserve">3759 NE 13th Pl </t>
  </si>
  <si>
    <t>For John Stephen &amp; Barbara Penny Spraker Trust</t>
  </si>
  <si>
    <t>25-43-23-c2-02330.0270</t>
  </si>
  <si>
    <t>Cape Coral Unit 36 Blk 2345 Pb 16 Pg 121 Lots 24 + 25</t>
  </si>
  <si>
    <t>31-43-24-c2-02153.0110</t>
  </si>
  <si>
    <t>Riegelgasse</t>
  </si>
  <si>
    <t>Cape Coral Unit 34 Blk 2465 Pb 16 Pg 77 Lots 93 + 94</t>
  </si>
  <si>
    <t>Kim Nguyen</t>
  </si>
  <si>
    <t xml:space="preserve">19 Hoover Cres </t>
  </si>
  <si>
    <t>Nghi Pham &amp; My Vo</t>
  </si>
  <si>
    <t>33909-6270</t>
  </si>
  <si>
    <t>Boncore</t>
  </si>
  <si>
    <t>Wilenstrasse</t>
  </si>
  <si>
    <t>Sienna Plantation</t>
  </si>
  <si>
    <t xml:space="preserve">4430 NE 11th Pl  Cape Coral, FL 33909 </t>
  </si>
  <si>
    <t xml:space="preserve">E4115 Casey Rd  Ogdensburg, WI 54962-9626 </t>
  </si>
  <si>
    <t>34117-4450</t>
  </si>
  <si>
    <t xml:space="preserve">11 Beresford Ave </t>
  </si>
  <si>
    <t>Edith</t>
  </si>
  <si>
    <t xml:space="preserve">3722 W Gator Cir  Cape Coral, FL 33909 </t>
  </si>
  <si>
    <t>36-43-23-c3-02508.0290</t>
  </si>
  <si>
    <t>80027-1657</t>
  </si>
  <si>
    <t>02921-3562</t>
  </si>
  <si>
    <t>Laface</t>
  </si>
  <si>
    <t xml:space="preserve">5712 Brightwood Dr  Fort Myers, FL 33905 </t>
  </si>
  <si>
    <t>Tahitian Shores Unit 1 Pb 12 Pg 141 Lot 36</t>
  </si>
  <si>
    <t xml:space="preserve">5157 Petit Thouars  Mira Flores Lima, PE </t>
  </si>
  <si>
    <t>Cape Coral Unit 87 Blk 5740 Pb 24 Pg 69 Lot 2</t>
  </si>
  <si>
    <t>Vandyke</t>
  </si>
  <si>
    <t>Cypress Trail Rv Resort Ph 4-B As Desc In Inst# 2017000057565 Lot 348</t>
  </si>
  <si>
    <t>Lafleche</t>
  </si>
  <si>
    <t>33023-1103</t>
  </si>
  <si>
    <t xml:space="preserve">1 Rusten Ln  Nanuet, NY 10954-4529 </t>
  </si>
  <si>
    <t>Percussion</t>
  </si>
  <si>
    <t xml:space="preserve">20803 Estates Dr #2, Bayside, NY 11360-1167 </t>
  </si>
  <si>
    <t xml:space="preserve">PO Box 60660  Irvine, CA 92602-6022 </t>
  </si>
  <si>
    <t xml:space="preserve">3740 NE 15th Pl  Cape Coral, FL 33909 </t>
  </si>
  <si>
    <t>Barbara &amp; Anthony Makarowski</t>
  </si>
  <si>
    <t xml:space="preserve">2415 Everest Pkwy  Cape Coral, FL 33904 </t>
  </si>
  <si>
    <t xml:space="preserve">1327 NE 20th Ave  Cape Coral, FL 33909 </t>
  </si>
  <si>
    <t>John &amp; Mary Kaldahl</t>
  </si>
  <si>
    <t>Salem</t>
  </si>
  <si>
    <t>18-43-24-c3-05747.0550</t>
  </si>
  <si>
    <t xml:space="preserve">11688 NW 90th Ave </t>
  </si>
  <si>
    <t xml:space="preserve">2022 NE 25th St </t>
  </si>
  <si>
    <t xml:space="preserve">3617 SE 1st Pl </t>
  </si>
  <si>
    <t xml:space="preserve">PO Box 20  Camanche, IA 52730 </t>
  </si>
  <si>
    <t>12-44-23-c1-02410.0010</t>
  </si>
  <si>
    <t xml:space="preserve">204 E Midland Ave  Paramus, NJ 07652-4626 </t>
  </si>
  <si>
    <t>Angele</t>
  </si>
  <si>
    <t>92860-3106</t>
  </si>
  <si>
    <t>08406-2851</t>
  </si>
  <si>
    <t xml:space="preserve">152 Timber Ln  Marstons Mills, MA 02648-2117 </t>
  </si>
  <si>
    <t>25-43-23-c1-02300.a550</t>
  </si>
  <si>
    <t xml:space="preserve">10220 Surfwood Ct </t>
  </si>
  <si>
    <t xml:space="preserve">3428 W Gator Cir  Cape Coral, FL 33909 </t>
  </si>
  <si>
    <t>Edison</t>
  </si>
  <si>
    <t xml:space="preserve">1825 NE 21st St </t>
  </si>
  <si>
    <t>Emerson</t>
  </si>
  <si>
    <t xml:space="preserve">Hamster #8, Clyo, GA 31303 </t>
  </si>
  <si>
    <t>36-43-23-c2-02534.0280</t>
  </si>
  <si>
    <t>11-44-25-04-0000b.0370</t>
  </si>
  <si>
    <t>Alice M Darmody Trust</t>
  </si>
  <si>
    <t>25-43-23-c2-02331.0070</t>
  </si>
  <si>
    <t xml:space="preserve">5716 Tradewind Dr </t>
  </si>
  <si>
    <t>Pond</t>
  </si>
  <si>
    <t xml:space="preserve">Po Box 306 </t>
  </si>
  <si>
    <t>Hickory Hills</t>
  </si>
  <si>
    <t xml:space="preserve">4384 Harbour Ter </t>
  </si>
  <si>
    <t>Kenilworth</t>
  </si>
  <si>
    <t>Mr-W</t>
  </si>
  <si>
    <t xml:space="preserve">191 Royal Lake Dr </t>
  </si>
  <si>
    <t>Cape Coral Unit 36 Blk 2300A Pb 16 Pg 122 Lot 48</t>
  </si>
  <si>
    <t xml:space="preserve">1040 Wilbur Ave </t>
  </si>
  <si>
    <t>Mireille</t>
  </si>
  <si>
    <t xml:space="preserve">1016 NE 1st Ave  Cape Coral, FL 33909 </t>
  </si>
  <si>
    <t>For Mark &amp; Brenda Luikart Trust</t>
  </si>
  <si>
    <t>Az8502</t>
  </si>
  <si>
    <t>33909-1515</t>
  </si>
  <si>
    <t>17-43-24-c1-05821.0270</t>
  </si>
  <si>
    <t>29-43-24-c4-02258.0010</t>
  </si>
  <si>
    <t xml:space="preserve">325 Baumgardner Dr </t>
  </si>
  <si>
    <t>07-46-25-05-00000.0650</t>
  </si>
  <si>
    <t>33909-4673</t>
  </si>
  <si>
    <t xml:space="preserve">6561 Cedarwood Ave </t>
  </si>
  <si>
    <t>Cape Coral Unit 87 Blk 5709 Pb 24 Pg 75 Lots 33 + 34</t>
  </si>
  <si>
    <t xml:space="preserve">10309 Prairie Iris Dr </t>
  </si>
  <si>
    <t>Hensley</t>
  </si>
  <si>
    <t xml:space="preserve">7301 Gatehouse Cir #19, Orlando, FL 32807-6001 </t>
  </si>
  <si>
    <t>33909-1226</t>
  </si>
  <si>
    <t xml:space="preserve">13428 Weatherstone Dr  Spring Hill, FL 34609-2030 </t>
  </si>
  <si>
    <t>95035-8929</t>
  </si>
  <si>
    <t>17-43-24-c4-05760.0080</t>
  </si>
  <si>
    <t xml:space="preserve">606 N 10th St  Norfolk, NE 68701-3944 </t>
  </si>
  <si>
    <t>Fdot Fdot</t>
  </si>
  <si>
    <t>10303-2520</t>
  </si>
  <si>
    <t>Neelamsetty</t>
  </si>
  <si>
    <t>47906-9455</t>
  </si>
  <si>
    <t xml:space="preserve">1401 NE 1st Ave  Cape Coral, FL 33909 </t>
  </si>
  <si>
    <t>36-45-23-03-0000a.0120</t>
  </si>
  <si>
    <t>Johann</t>
  </si>
  <si>
    <t>Tokyo</t>
  </si>
  <si>
    <t xml:space="preserve">4403 Ramsey Blvd </t>
  </si>
  <si>
    <t>Tavernier</t>
  </si>
  <si>
    <t>48423-8704</t>
  </si>
  <si>
    <t>33909-8412</t>
  </si>
  <si>
    <t xml:space="preserve">2656 E Appaloosa St  Gilbert, AZ 85296-9531 </t>
  </si>
  <si>
    <t>Lynda</t>
  </si>
  <si>
    <t>Susana</t>
  </si>
  <si>
    <t xml:space="preserve">10151 Shadowood Ct  Fort Myers, FL 33905 </t>
  </si>
  <si>
    <t>Cypress Trail Rv Resort Phase 2-B As Desc In Inst# 2015000013050 Lot 431</t>
  </si>
  <si>
    <t xml:space="preserve">5337 Colonade Ct  Cape Coral, FL 33904 </t>
  </si>
  <si>
    <t xml:space="preserve">6011 Jonathan Ave  Fort Myers, FL 33905 </t>
  </si>
  <si>
    <t>Tengsico</t>
  </si>
  <si>
    <t>Golden Lake Heights Unit 2 Blk D Pb 23 Pg 63 Lot 12</t>
  </si>
  <si>
    <t>Avenue Y</t>
  </si>
  <si>
    <t>Mai Quach &amp; Selena Dao</t>
  </si>
  <si>
    <t>Shaoyang</t>
  </si>
  <si>
    <t xml:space="preserve">4423 County Road Jj  Black Earth, WI 53515-9740 </t>
  </si>
  <si>
    <t>Jere</t>
  </si>
  <si>
    <t xml:space="preserve">1423 NE 13th Pl  Cape Coral, FL 33909 </t>
  </si>
  <si>
    <t>Seufert</t>
  </si>
  <si>
    <t>L D L &amp; Marjorie Drager</t>
  </si>
  <si>
    <t>Cape Coral Unit 31 Blk 2069 Pb 14 Pg 160 Lots 56 + 57</t>
  </si>
  <si>
    <t xml:space="preserve">1100 NE 34th Ln  Cape Coral, FL 33909 </t>
  </si>
  <si>
    <t>20-43-24-c1-05604.0370</t>
  </si>
  <si>
    <t xml:space="preserve">2510 NE 6th Ave </t>
  </si>
  <si>
    <t xml:space="preserve">2025 NE 39th Ter </t>
  </si>
  <si>
    <t>Lehigh Acres W Pt Unit 1 Blk 2 Pb 26 Pg 2 Lot 6</t>
  </si>
  <si>
    <t>Cape Coral Unit 31 Blk 2059 Pb 14 Pg 159 Lots 35 + 36</t>
  </si>
  <si>
    <t>Rocco &amp; Rhonda Rossetti</t>
  </si>
  <si>
    <t>06109-1309</t>
  </si>
  <si>
    <t>PO Box 14529</t>
  </si>
  <si>
    <t>Bobby &amp; Karol Gray</t>
  </si>
  <si>
    <t>36-43-23-c3-02504.0350</t>
  </si>
  <si>
    <t xml:space="preserve">9 Bateman St </t>
  </si>
  <si>
    <t xml:space="preserve">1529 Prairie Duch En Rd  Iowa City, IA 52245 </t>
  </si>
  <si>
    <t>23322-4443</t>
  </si>
  <si>
    <t>Grosse George Tr</t>
  </si>
  <si>
    <t>Melvyn Dishowitz</t>
  </si>
  <si>
    <t>Laguna Beach</t>
  </si>
  <si>
    <t xml:space="preserve">1903 NE 13th Ave </t>
  </si>
  <si>
    <t>Cape Coral Unit 34 Blk 2099 Pb 16 Pg 83 Lots 31 Thru 33</t>
  </si>
  <si>
    <t>Blas</t>
  </si>
  <si>
    <t>Linstead</t>
  </si>
  <si>
    <t>Hamptonville</t>
  </si>
  <si>
    <t>Gaston Barras</t>
  </si>
  <si>
    <t>Lakebend</t>
  </si>
  <si>
    <t>Ft Myers Beach Kampground S/D Unit 1 Pb 35 Pg 47 Blk T Lot 18</t>
  </si>
  <si>
    <t xml:space="preserve">275 NW 132nd Ave  Miami, FL 33182-1147 </t>
  </si>
  <si>
    <t xml:space="preserve">4110 NE 23rd Pl  Cape Coral, FL 33909 </t>
  </si>
  <si>
    <t>Lily Haven</t>
  </si>
  <si>
    <t>R777</t>
  </si>
  <si>
    <t>Marie &amp; Kiwi Mansson</t>
  </si>
  <si>
    <t>19-43-24-c3-05613.0770</t>
  </si>
  <si>
    <t>Alioskar Ganem</t>
  </si>
  <si>
    <t>Webber</t>
  </si>
  <si>
    <t>Cape Coral Unit 32 Blk 2123 Pb 16 Pg 7 Lots 43 + 44</t>
  </si>
  <si>
    <t>34953-1428</t>
  </si>
  <si>
    <t>Cape Coral Unit 36 Blk 2330 Pb 16 Pg 129 Lots 17 + 18</t>
  </si>
  <si>
    <t>Hasler</t>
  </si>
  <si>
    <t>Fotopoulos</t>
  </si>
  <si>
    <t>For R &amp; L Lim Living Trust</t>
  </si>
  <si>
    <t xml:space="preserve">169 Las Nueces </t>
  </si>
  <si>
    <t xml:space="preserve">72 Hitchcock Rd  Winchendon, MA 01475-2067 </t>
  </si>
  <si>
    <t>Cape Coral Unit 7 Blk.330 Pb 12 Pg 125 Lots 21 + 22</t>
  </si>
  <si>
    <t>David Goodnight</t>
  </si>
  <si>
    <t>Bluffs</t>
  </si>
  <si>
    <t>33016-6136</t>
  </si>
  <si>
    <t>07-46-25-05-00000.0400</t>
  </si>
  <si>
    <t>33009-2801</t>
  </si>
  <si>
    <t>67th</t>
  </si>
  <si>
    <t>Cape Coral Unit 84 Blk 5604 Pb 24 Pg 42 Lots 5 + 6</t>
  </si>
  <si>
    <t>15601-5323</t>
  </si>
  <si>
    <t>48722-9709</t>
  </si>
  <si>
    <t>Gosman</t>
  </si>
  <si>
    <t>Cape Coral Unit 87 Blk 5690 Pb 24 Pg 83 Lots 40 Thru 42</t>
  </si>
  <si>
    <t xml:space="preserve">6136 Hepner Ave  Fort Myers, FL 33905 </t>
  </si>
  <si>
    <t>Villaluz</t>
  </si>
  <si>
    <t xml:space="preserve">2614 NE 1st Ave  Cape Coral, FL 33909 </t>
  </si>
  <si>
    <t>Cape Coral Unit 47 Pt 2 Blk 3523 Pb 23 Pg 121 Lots 44 Thru 46</t>
  </si>
  <si>
    <t xml:space="preserve">73 Trowbridge St </t>
  </si>
  <si>
    <t>Cape Coral Unit 35 Blk 2411 Pb 16 Pg 110 Lots 53 + 54</t>
  </si>
  <si>
    <t>Reynolds</t>
  </si>
  <si>
    <t>Cruz Dela &amp; Milciades Atanay</t>
  </si>
  <si>
    <t>Jesus &amp; Sonia Dejesus</t>
  </si>
  <si>
    <t xml:space="preserve">3864 Hoffman St </t>
  </si>
  <si>
    <t xml:space="preserve">6728 2nd St NW </t>
  </si>
  <si>
    <t>21218-1259</t>
  </si>
  <si>
    <t>16-44-25-p1-0090g.0090</t>
  </si>
  <si>
    <t>Cape Coral Unit 87 Blk 5724 Pb 24 Pg 80 Lots 11 + 12</t>
  </si>
  <si>
    <t>Annapolis</t>
  </si>
  <si>
    <t>33904-5906</t>
  </si>
  <si>
    <t>89130-2633</t>
  </si>
  <si>
    <t>Crider</t>
  </si>
  <si>
    <t>Bruno &amp; Stephanie Salamone</t>
  </si>
  <si>
    <t>Ft Myers Beach Kampground S/D Unit 1 Pb 35 Pg 47 Blk Y Lot 9</t>
  </si>
  <si>
    <t>33909-6815</t>
  </si>
  <si>
    <t>Mary Whyte</t>
  </si>
  <si>
    <t>16426-2148</t>
  </si>
  <si>
    <t xml:space="preserve">239 Springmount Pl </t>
  </si>
  <si>
    <t xml:space="preserve">534 Green View Ct  Plymouth Meeting, PA 19462-2583 </t>
  </si>
  <si>
    <t xml:space="preserve">1701 Elmdale Ave </t>
  </si>
  <si>
    <t>Algie</t>
  </si>
  <si>
    <t>12-44-23-c2-02376.0170</t>
  </si>
  <si>
    <t>Cape Coral Unit 88 Blk 5787 Pb 24 Pg 132 Lots 25 + 26</t>
  </si>
  <si>
    <t xml:space="preserve">5459 Cypress Trail Resort Cir </t>
  </si>
  <si>
    <t>18-45-24-c4-00041.b300</t>
  </si>
  <si>
    <t>Liscent</t>
  </si>
  <si>
    <t>Matawan</t>
  </si>
  <si>
    <t>11-44-25-08-00000.2730</t>
  </si>
  <si>
    <t>Cape Coral Unit 87 Blk 5704 Pb 24 Pg 72 Lots 35 + 36</t>
  </si>
  <si>
    <t xml:space="preserve">38 Cranston Ave  Wethersfield, CT 06109-1309 </t>
  </si>
  <si>
    <t>Yubely</t>
  </si>
  <si>
    <t>Kingston Terrace Blk F Pb 6 Pg 55 Lot 9</t>
  </si>
  <si>
    <t xml:space="preserve">2909 SE 8th Pl </t>
  </si>
  <si>
    <t xml:space="preserve">2710 NE 5th Ave </t>
  </si>
  <si>
    <t>Keeling</t>
  </si>
  <si>
    <t>Haas</t>
  </si>
  <si>
    <t>19-43-24-c2-05603.0570</t>
  </si>
  <si>
    <t xml:space="preserve">6885 Cadet Ave  Fort Myers, FL 33905 </t>
  </si>
  <si>
    <t xml:space="preserve">PO Box 654953  Miami, FL 33265-4953 </t>
  </si>
  <si>
    <t xml:space="preserve">10060 Stonewood Dr  Fort Myers, FL 33905 </t>
  </si>
  <si>
    <t>Mercury</t>
  </si>
  <si>
    <t>07746-1034</t>
  </si>
  <si>
    <t>01-44-23-c2-02465.0200</t>
  </si>
  <si>
    <t>Dennis &amp; Jamie Ambuehl</t>
  </si>
  <si>
    <t>Cape Coral Unit 84 Blk 5552 Pb 24 Pg 38 Lots 31 + 32</t>
  </si>
  <si>
    <t xml:space="preserve">1428 NE 33rd St </t>
  </si>
  <si>
    <t xml:space="preserve">3934 NE 22nd Ave  Cape Coral, FL 33909 </t>
  </si>
  <si>
    <t>60108-1462</t>
  </si>
  <si>
    <t xml:space="preserve">1407 NE 17th St  Cape Coral, FL 33909 </t>
  </si>
  <si>
    <t xml:space="preserve">2119 NE 17th Ave  Cape Coral, FL 33909 </t>
  </si>
  <si>
    <t>Greentree</t>
  </si>
  <si>
    <t xml:space="preserve">30252 Pacific Island Dr #195 </t>
  </si>
  <si>
    <t>08-44-24-c3-01535.1010</t>
  </si>
  <si>
    <t>Ramon &amp; Esther Linares</t>
  </si>
  <si>
    <t xml:space="preserve">10246 Meadow Beauty Trl </t>
  </si>
  <si>
    <t>Jason &amp; Guadalupe Maldonado</t>
  </si>
  <si>
    <t xml:space="preserve">1030 NE 33rd Ter  Cape Coral, FL 33909 </t>
  </si>
  <si>
    <t>Geneva</t>
  </si>
  <si>
    <t>25-43-23-c4-02295.0320</t>
  </si>
  <si>
    <t>Derrick Veneman</t>
  </si>
  <si>
    <t>Herbert Forestier &amp; Nelky Valentin</t>
  </si>
  <si>
    <t xml:space="preserve">106 NE 12th Ter </t>
  </si>
  <si>
    <t xml:space="preserve">747 E Gratiot County Line Rt 2 </t>
  </si>
  <si>
    <t>11-44-25-08-00000.4180</t>
  </si>
  <si>
    <t xml:space="preserve">120 NE 6th St </t>
  </si>
  <si>
    <t>Placentia</t>
  </si>
  <si>
    <t>Cape Coral Unit 36 Blk 2336 Pb 16 Pg 130 Lots 38 + 39</t>
  </si>
  <si>
    <t>Paul Humphrey</t>
  </si>
  <si>
    <t>Curtis Webb &amp; Michael Moore</t>
  </si>
  <si>
    <t xml:space="preserve">2126 NE 1st Pl  Cape Coral, FL 33909 </t>
  </si>
  <si>
    <t>Peniston</t>
  </si>
  <si>
    <t>45211-4622</t>
  </si>
  <si>
    <t>33905-5706</t>
  </si>
  <si>
    <t>Cypress Trail Rv Resort Ph 3 As Desc In Inst# 2015000085552 Lot 222</t>
  </si>
  <si>
    <t>Fernanne</t>
  </si>
  <si>
    <t>08080-1718</t>
  </si>
  <si>
    <t>Cypress Woods Rv Resort Unit 4 Pb 79 Pgs 68-71 Blk D Lot 125</t>
  </si>
  <si>
    <t>Calle 160</t>
  </si>
  <si>
    <t xml:space="preserve">3737 NE 15th Pl </t>
  </si>
  <si>
    <t>11-44-25-04-0000a.0080</t>
  </si>
  <si>
    <t xml:space="preserve">4445 Rodeo Trl  Williamston, MI 48895-9439 </t>
  </si>
  <si>
    <t>Richard &amp; Jennifer Caudill</t>
  </si>
  <si>
    <t>Ghislaine Bobillier</t>
  </si>
  <si>
    <t>Luis Gonzalez</t>
  </si>
  <si>
    <t>33184-2549</t>
  </si>
  <si>
    <t>18-43-24-c4-05701.0270</t>
  </si>
  <si>
    <t>Cape Coral Unit 36 Blk 2297A Pb 16 Pg 119 Lots 32 Thru 34</t>
  </si>
  <si>
    <t>Michael &amp; Kristen Badriaki</t>
  </si>
  <si>
    <t>10305-2719</t>
  </si>
  <si>
    <t>25-43-23-c3-02338.0630</t>
  </si>
  <si>
    <t xml:space="preserve">610 Jacaranda Pkwy E  Cape Coral, FL 33909 </t>
  </si>
  <si>
    <t>Victor Fernandez</t>
  </si>
  <si>
    <t xml:space="preserve">1720 Kismet Pkwy E  Cape Coral, FL 33909 </t>
  </si>
  <si>
    <t xml:space="preserve">1080 Cedar Creek Way  Davie, FL 33325-3054 </t>
  </si>
  <si>
    <t>Avraham</t>
  </si>
  <si>
    <t>Beverly</t>
  </si>
  <si>
    <t xml:space="preserve">2225 De Navarra Pkwy  Cape Coral, FL 33909 </t>
  </si>
  <si>
    <t>34112-2966</t>
  </si>
  <si>
    <t>Syracuse</t>
  </si>
  <si>
    <t>Cape Coral Unit 88 Blk 5794 Lots 9 + 10 Pb 24 Pg 130</t>
  </si>
  <si>
    <t xml:space="preserve">3153 Ariana Dr </t>
  </si>
  <si>
    <t>For Musa Trust</t>
  </si>
  <si>
    <t>31-43-24-c2-02233.0110</t>
  </si>
  <si>
    <t>36-43-23-c4-02513.0260</t>
  </si>
  <si>
    <t>Cape Coral Unit 36 Blk 2520 Pb 16 Pg 116 Lots 44 + 45</t>
  </si>
  <si>
    <t xml:space="preserve">9744 168th Ave  West Olive, MI 49460-9780 </t>
  </si>
  <si>
    <t>Korzinski</t>
  </si>
  <si>
    <t xml:space="preserve">1302 NE 37th St </t>
  </si>
  <si>
    <t xml:space="preserve">614 NE 20th St  Cape Coral, FL 33909 </t>
  </si>
  <si>
    <t xml:space="preserve">1715 NE 12th St  Cape Coral, FL 33909 </t>
  </si>
  <si>
    <t>Leominster</t>
  </si>
  <si>
    <t xml:space="preserve">3140 Vista Sandia  Santa Fe, NM 87506-8527 </t>
  </si>
  <si>
    <t>33624-1052</t>
  </si>
  <si>
    <t>Russell Cooper</t>
  </si>
  <si>
    <t>Robert &amp; Gutting Solberg</t>
  </si>
  <si>
    <t>Marcus-Johnson</t>
  </si>
  <si>
    <t xml:space="preserve">1822 NE 22nd Ter </t>
  </si>
  <si>
    <t xml:space="preserve">10051 Stonewood Dr </t>
  </si>
  <si>
    <t xml:space="preserve">662 NE 5th Pl  Cape Coral, FL 33909 </t>
  </si>
  <si>
    <t xml:space="preserve">126 W 9th Ave  Conshohocken, PA 19428-1406 </t>
  </si>
  <si>
    <t>Strauch</t>
  </si>
  <si>
    <t xml:space="preserve">14500 Lake Crescent Pl  Miami Lakes, FL 33014-3039 </t>
  </si>
  <si>
    <t>Cape Coral Unit 26 Blk 865 Pb 14 Pg 127 Lots 17 + 18</t>
  </si>
  <si>
    <t xml:space="preserve">1014 Wall Rd H-8, Spring Lake, NJ 07762-2349 </t>
  </si>
  <si>
    <t xml:space="preserve">Po Box 14 </t>
  </si>
  <si>
    <t>L4P 0C2</t>
  </si>
  <si>
    <t>Cape Coral Unit 32 Blk 2103 Pb 16 Pg 5 Lots 19 20 + 21</t>
  </si>
  <si>
    <t>Nuica</t>
  </si>
  <si>
    <t>Cape Coral Unit 88 Blk 5776 Pb 24 Pg 134 Lots 29 + 30</t>
  </si>
  <si>
    <t xml:space="preserve">17522 Tuscan Cir  Huntington Beach, CA 92649-4729 </t>
  </si>
  <si>
    <t>05-44-24-c1-03532.0150</t>
  </si>
  <si>
    <t>Prasad</t>
  </si>
  <si>
    <t>American &amp; Gary Simpson</t>
  </si>
  <si>
    <t xml:space="preserve">8220 S Seabrook Ln </t>
  </si>
  <si>
    <t>Sant</t>
  </si>
  <si>
    <t xml:space="preserve">3031 NE 1st Ave </t>
  </si>
  <si>
    <t xml:space="preserve">25 Patricia Dr  Pleasant Valley, NY 12569-5500 </t>
  </si>
  <si>
    <t>Germaine Gabriel</t>
  </si>
  <si>
    <t>11706-7512</t>
  </si>
  <si>
    <t xml:space="preserve">309 NE 30th St </t>
  </si>
  <si>
    <t>Cape Coral Unit 21 Blk.611 Pb 13 Pg 155 Lots 28 + 29</t>
  </si>
  <si>
    <t>10950-2548</t>
  </si>
  <si>
    <t>Kovak</t>
  </si>
  <si>
    <t>18466-7971</t>
  </si>
  <si>
    <t xml:space="preserve">152 Fombell Rd </t>
  </si>
  <si>
    <t xml:space="preserve">10016 55th Ave </t>
  </si>
  <si>
    <t>Larry Randall &amp; Robin Vandenberg</t>
  </si>
  <si>
    <t>Martingale</t>
  </si>
  <si>
    <t>11771-3401</t>
  </si>
  <si>
    <t>Islikon</t>
  </si>
  <si>
    <t>Takahashi</t>
  </si>
  <si>
    <t>Cape Coral Unit 87 Blk 5701 Pb 24 Pg 73 Lots 3 + 4</t>
  </si>
  <si>
    <t xml:space="preserve">2136 NE 43rd Ln  Cape Coral, FL 33909 </t>
  </si>
  <si>
    <t xml:space="preserve">101 Pinegarden </t>
  </si>
  <si>
    <t xml:space="preserve">628 103rd Ave N  Naples, FL 34108-3219 </t>
  </si>
  <si>
    <t>33904-3563</t>
  </si>
  <si>
    <t>20-43-24-c3-05639.0340</t>
  </si>
  <si>
    <t>18-43-24-c2-05735.0010</t>
  </si>
  <si>
    <t xml:space="preserve">2 Gaedechensweg </t>
  </si>
  <si>
    <t>33909-4472</t>
  </si>
  <si>
    <t xml:space="preserve">13 Cottonwood Rd </t>
  </si>
  <si>
    <t>08701-6824</t>
  </si>
  <si>
    <t xml:space="preserve">4101 NE 22nd Pl  Cape Coral, FL 33909 </t>
  </si>
  <si>
    <t xml:space="preserve">1512 NE 9th Ave </t>
  </si>
  <si>
    <t>28630-1920</t>
  </si>
  <si>
    <t>19038-3844</t>
  </si>
  <si>
    <t>Cape Coral Unit 85 Blk 5633 Pb 24 Pg 50 Lots 33 + 34</t>
  </si>
  <si>
    <t>17-43-24-c4-05772.0000</t>
  </si>
  <si>
    <t>Locust</t>
  </si>
  <si>
    <t>Phengsy &amp; Phetudone Douangmala</t>
  </si>
  <si>
    <t>Whittemore</t>
  </si>
  <si>
    <t>22025-1424</t>
  </si>
  <si>
    <t>07305-1717</t>
  </si>
  <si>
    <t>Arlington Pb 16 Pg 38-39 Lot 50</t>
  </si>
  <si>
    <t>07304-1171</t>
  </si>
  <si>
    <t>Cash</t>
  </si>
  <si>
    <t>25-43-23-c2-02351.0160</t>
  </si>
  <si>
    <t xml:space="preserve">3405 Grant St  Mckinney, TX 75071-2959 </t>
  </si>
  <si>
    <t xml:space="preserve">4911 SW 154th Ave </t>
  </si>
  <si>
    <t>36-44-23-c1-00911.0130</t>
  </si>
  <si>
    <t>Christian &amp; Marie-Agn Mostefai</t>
  </si>
  <si>
    <t>Leandro</t>
  </si>
  <si>
    <t>31-43-24-c1-02170.0370</t>
  </si>
  <si>
    <t>Kovalenko</t>
  </si>
  <si>
    <t xml:space="preserve">5770 Cypress Woods Resort Dr </t>
  </si>
  <si>
    <t xml:space="preserve">7171 Saint Luc Cote #208, Cote Saint-Luc, QC H4z 0A5 </t>
  </si>
  <si>
    <t>91356-5705</t>
  </si>
  <si>
    <t>32216-4636</t>
  </si>
  <si>
    <t>Chilcoot-Vinton</t>
  </si>
  <si>
    <t>Harveys Lake</t>
  </si>
  <si>
    <t>18-46-25-00-00016.0070</t>
  </si>
  <si>
    <t>Cape Coral Unit 19 Blk.1204 Pb 13 Pg 132 Lots 31 Thru 33</t>
  </si>
  <si>
    <t>Basso</t>
  </si>
  <si>
    <t>32-43-26-l2-26000.0090</t>
  </si>
  <si>
    <t xml:space="preserve">17040 Tidewater Ln  Fort Myers, FL 33908 </t>
  </si>
  <si>
    <t>Rua Do Padrao 219-4 Esq</t>
  </si>
  <si>
    <t>Cape Coral Unit 32 Blk 2164 Pb 16 Pg 11 Lots 11 + 12</t>
  </si>
  <si>
    <t>Cape Coral Unit 84 Blk 5621 Pb 24 Pg 34 Lots 17 + 18</t>
  </si>
  <si>
    <t xml:space="preserve">2099 Hobbs Reesor Rd  Vine Grove, KY 40175-6312 </t>
  </si>
  <si>
    <t xml:space="preserve">1006 Vogiantzis Pkwy </t>
  </si>
  <si>
    <t xml:space="preserve">3723 Kelsey St  Fort Myers, FL 33905 </t>
  </si>
  <si>
    <t>Overland Park</t>
  </si>
  <si>
    <t>08861-3544</t>
  </si>
  <si>
    <t>Frank Krischanowsk &amp; Nelly Bond</t>
  </si>
  <si>
    <t xml:space="preserve">606 Coral Dr  Cape Coral, FL 33904 </t>
  </si>
  <si>
    <t>Cape Coral Unit 88 Blk 5793 Pb 24 Pg 131 Lots 34 + 35</t>
  </si>
  <si>
    <t xml:space="preserve">249 Clendenny Ave </t>
  </si>
  <si>
    <t>Richard Pfaltzgraff</t>
  </si>
  <si>
    <t xml:space="preserve">602 Coral Dr  Cape Coral, FL 33904 </t>
  </si>
  <si>
    <t>Sandfort</t>
  </si>
  <si>
    <t>Sacramento</t>
  </si>
  <si>
    <t>Patricia Griffith</t>
  </si>
  <si>
    <t>For 1849 Ne 23Rd St A Florida Land Trust</t>
  </si>
  <si>
    <t>Evelyn &amp; For Bull</t>
  </si>
  <si>
    <t>Cape Coral Unit 36 Blk 2345 Pb 16 Pg 121 Lots 22 + 23</t>
  </si>
  <si>
    <t>Cypress Woods Rv Resort Unit 4 Pb 79 Pgs 68-71 Blk D Lot 52</t>
  </si>
  <si>
    <t>Robert Johnston</t>
  </si>
  <si>
    <t xml:space="preserve">44 S Pistakee Lake Rd </t>
  </si>
  <si>
    <t xml:space="preserve">3604 NE 9th Ave  Cape Coral, FL 33909 </t>
  </si>
  <si>
    <t>03-44-26-12-00066.0040</t>
  </si>
  <si>
    <t xml:space="preserve">3214 NE 14th Ave  Cape Coral, FL 33909 </t>
  </si>
  <si>
    <t xml:space="preserve">4026 NE 23rd Pl  Cape Coral, FL 33909 </t>
  </si>
  <si>
    <t>34108-3219</t>
  </si>
  <si>
    <t xml:space="preserve">2017 NE 7th Pl  Cape Coral, FL 33909 </t>
  </si>
  <si>
    <t>19-43-24-c2-05593.0870</t>
  </si>
  <si>
    <t xml:space="preserve">1516 NE 41st St </t>
  </si>
  <si>
    <t xml:space="preserve">661 NW 182nd Way </t>
  </si>
  <si>
    <t>Luis Villar &amp; Lourdes Menendez</t>
  </si>
  <si>
    <t>Cape Coral Unit 36 Blk 2348 Pb 16 Pg 128 Lots 59 + 60</t>
  </si>
  <si>
    <t xml:space="preserve">10011 Willowood Dr </t>
  </si>
  <si>
    <t>19-43-24-c2-05600.0430</t>
  </si>
  <si>
    <t>48320-1131</t>
  </si>
  <si>
    <t xml:space="preserve">404 SE 29th St </t>
  </si>
  <si>
    <t xml:space="preserve">Po Box 817 Rd </t>
  </si>
  <si>
    <t>33174-4802</t>
  </si>
  <si>
    <t>Mae</t>
  </si>
  <si>
    <t xml:space="preserve">1813 NE 35th St  Cape Coral, FL 33909 </t>
  </si>
  <si>
    <t>08-44-24-c1-01544.0280</t>
  </si>
  <si>
    <t xml:space="preserve">2201 NE 23rd Pl </t>
  </si>
  <si>
    <t xml:space="preserve">1313 NE 12th Ave </t>
  </si>
  <si>
    <t>Peter &amp; Rosemarie Timpanaro</t>
  </si>
  <si>
    <t>137th</t>
  </si>
  <si>
    <t>Ora &amp; David Madjhar</t>
  </si>
  <si>
    <t xml:space="preserve">13510 Julie Dr  Poplar Grove, IL 61065-7829 </t>
  </si>
  <si>
    <t xml:space="preserve">1811 NE 2nd Ave  Cape Coral, FL 33909 </t>
  </si>
  <si>
    <t xml:space="preserve">14490 NW Whistler Ln  Portland, OR 97229-8204 </t>
  </si>
  <si>
    <t xml:space="preserve">16 Ramsey Rd </t>
  </si>
  <si>
    <t>Arlene Agas</t>
  </si>
  <si>
    <t>33904-8378</t>
  </si>
  <si>
    <t>Thornton</t>
  </si>
  <si>
    <t xml:space="preserve">1621 NE 23rd St  Cape Coral, FL 33909 </t>
  </si>
  <si>
    <t xml:space="preserve">3009 Meyers Rd  Oak Brook, IL 60523-1669 </t>
  </si>
  <si>
    <t xml:space="preserve">2181 E 38th St 1s, Brooklyn, NY 11234-4937 </t>
  </si>
  <si>
    <t>25-43-23-c2-02335.0550</t>
  </si>
  <si>
    <t xml:space="preserve">10235 Greenfield Cir  Parker, CO 80134-3773 </t>
  </si>
  <si>
    <t xml:space="preserve">4226 NE 17th Ave  Cape Coral, FL 33909 </t>
  </si>
  <si>
    <t>18-43-24-c3-05750.0490</t>
  </si>
  <si>
    <t xml:space="preserve">277 Charles St </t>
  </si>
  <si>
    <t>Awad</t>
  </si>
  <si>
    <t>Summer</t>
  </si>
  <si>
    <t xml:space="preserve">2211 NE 9th Pl  Cape Coral, FL 33909 </t>
  </si>
  <si>
    <t>Schwerdtfeger</t>
  </si>
  <si>
    <t>01-44-23-c3-02465.0870</t>
  </si>
  <si>
    <t xml:space="preserve">1070 8th Ter N </t>
  </si>
  <si>
    <t>Ottawa Lake</t>
  </si>
  <si>
    <t>Cape Coral Unit 34 Blk 2418 Pb 16 Pg 78 Lots 13 + 14</t>
  </si>
  <si>
    <t xml:space="preserve">2014 NE 10th Pl </t>
  </si>
  <si>
    <t xml:space="preserve">1111 NE 10th Pl  Cape Coral, FL 33909 </t>
  </si>
  <si>
    <t>Stanley &amp; Marie Raczek Trust</t>
  </si>
  <si>
    <t>Killen</t>
  </si>
  <si>
    <t>33909-2586</t>
  </si>
  <si>
    <t>Mandi</t>
  </si>
  <si>
    <t xml:space="preserve">11 Stillwater Rd #1, Smithfield, RI 02917-3325 </t>
  </si>
  <si>
    <t xml:space="preserve">3020 SE 8th Pl  Cape Coral, FL 33904 </t>
  </si>
  <si>
    <t>G R Marlow &amp; Gary Marlow</t>
  </si>
  <si>
    <t>Elsie &amp; For Olivo</t>
  </si>
  <si>
    <t>34986-3428</t>
  </si>
  <si>
    <t>Cape Coral Unit 33 Blk.2218 Pb 16 Pg 44 Lots 21 + 22</t>
  </si>
  <si>
    <t>Rheutee</t>
  </si>
  <si>
    <t>32-43-24-c3-02223.0340</t>
  </si>
  <si>
    <t>Cape Coral Unit 87 Blk 5709 Pb 24 Pg 75 Lots 7 + 8</t>
  </si>
  <si>
    <t>Cape Coral Unit 36 Blk 2526 Pb 16 Pg 114 Lots 7 + 8</t>
  </si>
  <si>
    <t>Green Acres Blk F Pb 5 Pg 72 Lots 1 Thur 4</t>
  </si>
  <si>
    <t xml:space="preserve">927 NE 19th St  Cape Coral, FL 33909 </t>
  </si>
  <si>
    <t>36-43-23-c2-02544.0110</t>
  </si>
  <si>
    <t xml:space="preserve">777 N Macquesten Pkwy </t>
  </si>
  <si>
    <t xml:space="preserve">1406 NE 19th St  Cape Coral, FL 33909 </t>
  </si>
  <si>
    <t>Ernst</t>
  </si>
  <si>
    <t>38401-5756</t>
  </si>
  <si>
    <t xml:space="preserve">919 NE 13th Pl </t>
  </si>
  <si>
    <t>Diem</t>
  </si>
  <si>
    <t>Cypress Trail Rv Resort Ph 3 As Desc In Inst# 2015000085552 Lot 62</t>
  </si>
  <si>
    <t>07-46-25-04-00w00.001b</t>
  </si>
  <si>
    <t>Karichkowsky</t>
  </si>
  <si>
    <t xml:space="preserve">10508 Williams Rd  Richmond, BC V7a 1H8 </t>
  </si>
  <si>
    <t xml:space="preserve">6130 Hendley Ct </t>
  </si>
  <si>
    <t>53122-1132</t>
  </si>
  <si>
    <t xml:space="preserve">392 132 Rte  Port-Daniel, QC G0c 2N0 </t>
  </si>
  <si>
    <t>Cape Coral Unit 36 Blk 2547 Pb 16 Pg 113 Lots 26 + 27</t>
  </si>
  <si>
    <t>18-43-24-c1-05687.0330</t>
  </si>
  <si>
    <t>36-43-23-c1-02528.0560</t>
  </si>
  <si>
    <t xml:space="preserve">829 NE 19th Ter  Cape Coral, FL 33909 </t>
  </si>
  <si>
    <t>33909-1652</t>
  </si>
  <si>
    <t>Carter Donald E Tr</t>
  </si>
  <si>
    <t>03-44-26-13-00074.0150</t>
  </si>
  <si>
    <t>Leeann &amp; Peter Fiore</t>
  </si>
  <si>
    <t>Norberto Avila</t>
  </si>
  <si>
    <t xml:space="preserve">242 Pine Cliff Cir  Oneonta, NY 13820-6588 </t>
  </si>
  <si>
    <t>29-43-24-c4-02287.0070</t>
  </si>
  <si>
    <t xml:space="preserve">7777 SW 4th St  Miami, FL 33144-2307 </t>
  </si>
  <si>
    <t xml:space="preserve">2522 NE 2nd Ave </t>
  </si>
  <si>
    <t xml:space="preserve">4907 64th Dr W </t>
  </si>
  <si>
    <t xml:space="preserve">1520 NE 17th Ter </t>
  </si>
  <si>
    <t>Donald &amp; Andrea Veit</t>
  </si>
  <si>
    <t>33909-1363</t>
  </si>
  <si>
    <t>Cape Coral Unit 87 Blk 5713 Pb 24 Pg 76 Lots 21 Thru 23</t>
  </si>
  <si>
    <t>Woodridge</t>
  </si>
  <si>
    <t>Calle Rivas Davila</t>
  </si>
  <si>
    <t xml:space="preserve">2852 Saint Dizier Dr  Henderson, NV 89044 </t>
  </si>
  <si>
    <t>36-44-23-c3-00862.0170</t>
  </si>
  <si>
    <t>Pawnee</t>
  </si>
  <si>
    <t>Boland</t>
  </si>
  <si>
    <t xml:space="preserve">3219 SE 6th Ave </t>
  </si>
  <si>
    <t>Solana</t>
  </si>
  <si>
    <t>33055-1755</t>
  </si>
  <si>
    <t xml:space="preserve">2365 NE 43rd Ln </t>
  </si>
  <si>
    <t>11-44-25-09-00000.0180</t>
  </si>
  <si>
    <t>Mustang</t>
  </si>
  <si>
    <t>33905-8663</t>
  </si>
  <si>
    <t xml:space="preserve">3421 E Gator Cir </t>
  </si>
  <si>
    <t>PO Box 545998</t>
  </si>
  <si>
    <t xml:space="preserve">19 Pinery Dr </t>
  </si>
  <si>
    <t>03-44-26-01-00002.0050</t>
  </si>
  <si>
    <t xml:space="preserve">1131 NE 2nd Ave </t>
  </si>
  <si>
    <t xml:space="preserve">411 Walnut St #12312, Green Cove Springs, FL 32043-3443 </t>
  </si>
  <si>
    <t>14850-9711</t>
  </si>
  <si>
    <t xml:space="preserve">8425 SW 45th St </t>
  </si>
  <si>
    <t>Anaheim</t>
  </si>
  <si>
    <t>01-44-23-c4-02466.0610</t>
  </si>
  <si>
    <t>San Isidro Lima</t>
  </si>
  <si>
    <t>Cape Coral Unit 31 Blk.2065 Pb 14 Pg 160 Lots 58 + 59</t>
  </si>
  <si>
    <t>Lehigh Acres Unit 13 Blk 75 Pb 26 Pg 18 Lot 12</t>
  </si>
  <si>
    <t>05-44-24-c2-03525.0450</t>
  </si>
  <si>
    <t>Palm Bay</t>
  </si>
  <si>
    <t>Molloy</t>
  </si>
  <si>
    <t>16-44-26-08-00024.0080</t>
  </si>
  <si>
    <t>Highway 182</t>
  </si>
  <si>
    <t>17-43-24-c2-05798.0300</t>
  </si>
  <si>
    <t>Vera</t>
  </si>
  <si>
    <t xml:space="preserve">2051 E 53rd Pl  Brooklyn, NY 11234-4710 </t>
  </si>
  <si>
    <t>Michael Perry &amp; Frederick Mathewson</t>
  </si>
  <si>
    <t xml:space="preserve">908 Old Mill Rd </t>
  </si>
  <si>
    <t>Nepean</t>
  </si>
  <si>
    <t xml:space="preserve">2741 NE 7th Pl  Cape Coral, FL 33909 </t>
  </si>
  <si>
    <t>56019-4202</t>
  </si>
  <si>
    <t xml:space="preserve">2514 NE 6th Ave </t>
  </si>
  <si>
    <t>33173-3343</t>
  </si>
  <si>
    <t>23602-7344</t>
  </si>
  <si>
    <t>Cape Coral Unit 84 Blk 5591 Pb 24 Pg 44 Lots 41 + 42</t>
  </si>
  <si>
    <t>Bond</t>
  </si>
  <si>
    <t xml:space="preserve">Im Fasanengarten #5 </t>
  </si>
  <si>
    <t xml:space="preserve">132 NE 20th Ter </t>
  </si>
  <si>
    <t>Eugene Frankhouser</t>
  </si>
  <si>
    <t>Timothy Paul &amp; Timothy For</t>
  </si>
  <si>
    <t>22191-5111</t>
  </si>
  <si>
    <t>11-44-25-04-0000b.0910</t>
  </si>
  <si>
    <t>Orange River Hills Blk C Pb 29 Pg 39 Lot 7</t>
  </si>
  <si>
    <t xml:space="preserve">1131 Ortiz Ave  Fort Myers, FL 33905 </t>
  </si>
  <si>
    <t>01-44-23-c4-02468.0460</t>
  </si>
  <si>
    <t xml:space="preserve">2026 NE 10th Ave </t>
  </si>
  <si>
    <t>PO Box 524468</t>
  </si>
  <si>
    <t>33905-5701</t>
  </si>
  <si>
    <t xml:space="preserve">2124 NE 39th Ter  Cape Coral, FL 33909 </t>
  </si>
  <si>
    <t>White Pond</t>
  </si>
  <si>
    <t xml:space="preserve">40 Palomino Dr  Manalapan, NJ 07726-9583 </t>
  </si>
  <si>
    <t xml:space="preserve">1406 NE 4th Pl  Cape Coral, FL 33909 </t>
  </si>
  <si>
    <t xml:space="preserve">3648 Country Club Blvd </t>
  </si>
  <si>
    <t>Ana Feliciano</t>
  </si>
  <si>
    <t>33328-3607</t>
  </si>
  <si>
    <t>Cypress Woods Rv Resort Unit 4 Pb 79 Pgs 68-71 Blk D Lot 120</t>
  </si>
  <si>
    <t xml:space="preserve">4401 Gulf Shore Blvd N #1407 </t>
  </si>
  <si>
    <t xml:space="preserve">3101 S Ocean Dr #3003 </t>
  </si>
  <si>
    <t xml:space="preserve">29 Halsey St #1 </t>
  </si>
  <si>
    <t>19-43-24-c2-05753.0080</t>
  </si>
  <si>
    <t xml:space="preserve">5752 Brightwood Dr  Fort Myers, FL 33905 </t>
  </si>
  <si>
    <t>06-44-24-c4-02041.0070</t>
  </si>
  <si>
    <t>Richard &amp; Marlene Maffei</t>
  </si>
  <si>
    <t xml:space="preserve">2741 NE 7th Pl </t>
  </si>
  <si>
    <t>Gilman</t>
  </si>
  <si>
    <t>Myriam</t>
  </si>
  <si>
    <t>Linda Deloach</t>
  </si>
  <si>
    <t xml:space="preserve">2112 Via Teca  San Clemente, CA 92673-5647 </t>
  </si>
  <si>
    <t xml:space="preserve">430 Santa Cruz St </t>
  </si>
  <si>
    <t xml:space="preserve">25107 Pecan Ln </t>
  </si>
  <si>
    <t xml:space="preserve">1204 NE 11th Ter </t>
  </si>
  <si>
    <t>Hristos</t>
  </si>
  <si>
    <t>32-43-24-c2-02235.0570</t>
  </si>
  <si>
    <t>07074-1301</t>
  </si>
  <si>
    <t>03-44-26-14-00082.0260</t>
  </si>
  <si>
    <t xml:space="preserve">2126 NE 19th Pl  Cape Coral, FL 33909 </t>
  </si>
  <si>
    <t>Lambton</t>
  </si>
  <si>
    <t>America Outdoors Camper Resort 1 Condo Blk W Or 1673 Pg 2487 Unit 1B</t>
  </si>
  <si>
    <t>Milwaukee</t>
  </si>
  <si>
    <t xml:space="preserve">4017 NE 22nd Pl  Cape Coral, FL 33909 </t>
  </si>
  <si>
    <t>Recio</t>
  </si>
  <si>
    <t xml:space="preserve">6520 38th Ln E </t>
  </si>
  <si>
    <t>11-44-25-06-0000d.1210</t>
  </si>
  <si>
    <t xml:space="preserve">1010 NE 7th Ave </t>
  </si>
  <si>
    <t>Vasquez</t>
  </si>
  <si>
    <t xml:space="preserve">11844 SW 203rd St  Miami, FL 33177-5442 </t>
  </si>
  <si>
    <t>33029-2744</t>
  </si>
  <si>
    <t>Nathe</t>
  </si>
  <si>
    <t xml:space="preserve">15323 SW 53rd Ter  Miami, FL 33185-4263 </t>
  </si>
  <si>
    <t>Aumsville</t>
  </si>
  <si>
    <t xml:space="preserve">6 Blueberry Pt </t>
  </si>
  <si>
    <t>01-44-23-c1-02418.0240</t>
  </si>
  <si>
    <t xml:space="preserve">246 Michigan Ave  Massapequa Park, NY 11762-2505 </t>
  </si>
  <si>
    <t>37130-3487</t>
  </si>
  <si>
    <t xml:space="preserve">16095 Johns Lake Overlook Dr  Winter Garden, FL 34787-9820 </t>
  </si>
  <si>
    <t>Haachtsebaan</t>
  </si>
  <si>
    <t>07508-3045</t>
  </si>
  <si>
    <t>Turner</t>
  </si>
  <si>
    <t xml:space="preserve">214 Links Pl </t>
  </si>
  <si>
    <t>Christina Gray Ira</t>
  </si>
  <si>
    <t xml:space="preserve">216 East St  Foxboro, MA 02035-3017 </t>
  </si>
  <si>
    <t>Cape Coral Unit 87 Blk 5704 Pb 24 Pg 72 Lots 33 + 34</t>
  </si>
  <si>
    <t xml:space="preserve">1125 SE 38th St  Cape Coral, FL 33904 </t>
  </si>
  <si>
    <t>Kendale Lakes</t>
  </si>
  <si>
    <t>33909-3505</t>
  </si>
  <si>
    <t>Cape Coral Unit 85 Blk 5637 Pb 24 Pg 51 Lot 14</t>
  </si>
  <si>
    <t>Susan</t>
  </si>
  <si>
    <t>32-43-24-c2-02234.0520</t>
  </si>
  <si>
    <t xml:space="preserve">1903 NE 13th Ave  Cape Coral, FL 33909 </t>
  </si>
  <si>
    <t>29926-2239</t>
  </si>
  <si>
    <t>Kritzinger</t>
  </si>
  <si>
    <t xml:space="preserve">2507 NE 6th Ave  Cape Coral, FL 33909 </t>
  </si>
  <si>
    <t>Cape Coral Unit 88 Blk 5819 Pb 24 Pg 143 Lots 45 + 46</t>
  </si>
  <si>
    <t>Cape Coral Unit 88 Blk 5761 Pb 24 Pg 134 Lots 18 + 19</t>
  </si>
  <si>
    <t>33904-7101</t>
  </si>
  <si>
    <t xml:space="preserve">12824 NW 11th Ter </t>
  </si>
  <si>
    <t xml:space="preserve">1903 NE 20th Ave </t>
  </si>
  <si>
    <t xml:space="preserve">2308 Unity Ave  Fort Myers, FL 33901 </t>
  </si>
  <si>
    <t>03255-5206</t>
  </si>
  <si>
    <t xml:space="preserve">6515 38th Ave 1b, Woodside, NY 11377-2902 </t>
  </si>
  <si>
    <t xml:space="preserve">5409 Wyandotte St  Kansas City, MO 64112-2847 </t>
  </si>
  <si>
    <t>Quail Hollow</t>
  </si>
  <si>
    <t xml:space="preserve">505 NE 25th Ave </t>
  </si>
  <si>
    <t xml:space="preserve">2208 NE 6th Ave </t>
  </si>
  <si>
    <t xml:space="preserve">2210 NE 13th Ave </t>
  </si>
  <si>
    <t>33018-6619</t>
  </si>
  <si>
    <t>33909-1990</t>
  </si>
  <si>
    <t xml:space="preserve">13958 SW 155th Ter  Miami, FL 33177 </t>
  </si>
  <si>
    <t>01545-2186</t>
  </si>
  <si>
    <t>Lourdes Vega</t>
  </si>
  <si>
    <t xml:space="preserve">5148 Cypress Trail Resort Cir  Fort Myers, FL 33905 </t>
  </si>
  <si>
    <t>Horhung</t>
  </si>
  <si>
    <t>10-46-24-04-00000.0080</t>
  </si>
  <si>
    <t>Azana</t>
  </si>
  <si>
    <t>10307-1630</t>
  </si>
  <si>
    <t>33143-6838</t>
  </si>
  <si>
    <t xml:space="preserve">46775 S Interstate 94  Belleville, MI 48111 </t>
  </si>
  <si>
    <t>John &amp; Janet Currie</t>
  </si>
  <si>
    <t>Cape Coral Unit 87 Blk 5715 Pb 24 Pg 76 Lots 49 + 50</t>
  </si>
  <si>
    <t>Roque</t>
  </si>
  <si>
    <t>36-44-23-c2-00907.0080</t>
  </si>
  <si>
    <t xml:space="preserve">183 Easy St  Athens, GA 30601-1713 </t>
  </si>
  <si>
    <t xml:space="preserve">2848 Brookfield Dr </t>
  </si>
  <si>
    <t>36-44-23-c3-00884.0350</t>
  </si>
  <si>
    <t xml:space="preserve">3129 SE 8th Ave </t>
  </si>
  <si>
    <t xml:space="preserve">12 Hakatif St  Rehovot, IL 76328 </t>
  </si>
  <si>
    <t>Port Deposit</t>
  </si>
  <si>
    <t>06420-3829</t>
  </si>
  <si>
    <t xml:space="preserve">142 Ormonde Blvd </t>
  </si>
  <si>
    <t>32-43-24-c2-02242.0690</t>
  </si>
  <si>
    <t>Frith</t>
  </si>
  <si>
    <t>Aileen F Schreiner Trust</t>
  </si>
  <si>
    <t>Cave Creek</t>
  </si>
  <si>
    <t>20-43-24-c1-05649.0290</t>
  </si>
  <si>
    <t xml:space="preserve">6988 Weller St  San Diego, CA 92122-2734 </t>
  </si>
  <si>
    <t xml:space="preserve">3429 W Gator Cir  Cape Coral, FL 33909 </t>
  </si>
  <si>
    <t>90638-1903</t>
  </si>
  <si>
    <t>03-44-26-14-00082.0010</t>
  </si>
  <si>
    <t xml:space="preserve">2600 NE 11th Ct #4, Fort Lauderdale, FL 33304-4503 </t>
  </si>
  <si>
    <t>Cape Coral Unit 35 Blk.2400 Pb 16 Pg 109 Lots 3 + 4</t>
  </si>
  <si>
    <t>Zimmel Bonita L Tr</t>
  </si>
  <si>
    <t xml:space="preserve">96 Stackyard Dr </t>
  </si>
  <si>
    <t xml:space="preserve">913 NE 5th Ave  Cape Coral, FL 33909 </t>
  </si>
  <si>
    <t xml:space="preserve">365 W 6th Ave B2, Columbus, OH 43201-3171 </t>
  </si>
  <si>
    <t>R086</t>
  </si>
  <si>
    <t xml:space="preserve">2120 NE 4th Pl </t>
  </si>
  <si>
    <t>Scott &amp; Sandra Greenfield</t>
  </si>
  <si>
    <t>Denbow</t>
  </si>
  <si>
    <t xml:space="preserve">5670 Maplewood Ct </t>
  </si>
  <si>
    <t>Gobles</t>
  </si>
  <si>
    <t>12-44-23-c1-02409.0450</t>
  </si>
  <si>
    <t>Media</t>
  </si>
  <si>
    <t>Cape Coral Unit 85 Blk 5654 Pb 24 Pg 58 Lots 3 Thru 5</t>
  </si>
  <si>
    <t>Julio Ronda &amp; Odalis Dominguez</t>
  </si>
  <si>
    <t xml:space="preserve">3710 NE 16th Ave  Cape Coral, FL 33909 </t>
  </si>
  <si>
    <t>Senatro</t>
  </si>
  <si>
    <t>Eduardo Garcia</t>
  </si>
  <si>
    <t xml:space="preserve">1528 NE 35th Ter </t>
  </si>
  <si>
    <t xml:space="preserve">312 SW 76th Ct </t>
  </si>
  <si>
    <t>Kurt Saulsbury</t>
  </si>
  <si>
    <t xml:space="preserve">1829 NE 17th St </t>
  </si>
  <si>
    <t>Shaddock</t>
  </si>
  <si>
    <t xml:space="preserve">287 Cedar Ave </t>
  </si>
  <si>
    <t xml:space="preserve">10259 Meadow Beauty Trl  Fort Myers, FL 33905 </t>
  </si>
  <si>
    <t xml:space="preserve">2365 NE 214th St  Miami, FL 33180-1068 </t>
  </si>
  <si>
    <t xml:space="preserve">9060 NW 8th St #406 </t>
  </si>
  <si>
    <t>26040-1306</t>
  </si>
  <si>
    <t>Lisa Vieira</t>
  </si>
  <si>
    <t xml:space="preserve">4141 NE 20th Pl  Cape Coral, FL 33909 </t>
  </si>
  <si>
    <t>Pulaski</t>
  </si>
  <si>
    <t xml:space="preserve">2985 Seagull Dr </t>
  </si>
  <si>
    <t xml:space="preserve">1316 NE 35th St  Cape Coral, FL 33909 </t>
  </si>
  <si>
    <t>33909-6413</t>
  </si>
  <si>
    <t>34-44-24-p3-0150a.0050</t>
  </si>
  <si>
    <t>11716-3603</t>
  </si>
  <si>
    <t>Werner Henke</t>
  </si>
  <si>
    <t>Alys L Clevenger Trust</t>
  </si>
  <si>
    <t xml:space="preserve">225 NE 31st St  Cape Coral, FL 33909 </t>
  </si>
  <si>
    <t xml:space="preserve">3732 Kittyhawk Dr  Fort Myers, FL 33905 </t>
  </si>
  <si>
    <t>36-43-23-c3-02479.0350</t>
  </si>
  <si>
    <t>Nesterenko</t>
  </si>
  <si>
    <t xml:space="preserve">34 Skillman Ave </t>
  </si>
  <si>
    <t xml:space="preserve">5280 Dean Trai </t>
  </si>
  <si>
    <t xml:space="preserve">411 Walnut St #13954 </t>
  </si>
  <si>
    <t>Potsdam</t>
  </si>
  <si>
    <t xml:space="preserve">2024 NE 6th Ave  Cape Coral, FL 33909 </t>
  </si>
  <si>
    <t xml:space="preserve">53893 Spring Mill Dr W  Elkhart, IN 46514-4863 </t>
  </si>
  <si>
    <t xml:space="preserve">223 NE 20th St </t>
  </si>
  <si>
    <t>Paintsville</t>
  </si>
  <si>
    <t>Gillian Banzon</t>
  </si>
  <si>
    <t xml:space="preserve">3928 Piedra Falls Ct </t>
  </si>
  <si>
    <t>Cape Coral Unit 87 Blk 5735 Pb 24 Pg 77 Lots 17 + 18</t>
  </si>
  <si>
    <t>Simmer</t>
  </si>
  <si>
    <t xml:space="preserve">20 Amesbury Ct  Johnson City, TN 37615-5233 </t>
  </si>
  <si>
    <t>33325-4522</t>
  </si>
  <si>
    <t>60192-4141</t>
  </si>
  <si>
    <t>Oak Brook</t>
  </si>
  <si>
    <t>123rd</t>
  </si>
  <si>
    <t>Lance</t>
  </si>
  <si>
    <t>Charles &amp; Mary Nauman</t>
  </si>
  <si>
    <t>Geronimo</t>
  </si>
  <si>
    <t>Charles &amp; Michele Mcgown</t>
  </si>
  <si>
    <t>Richard Wilton</t>
  </si>
  <si>
    <t>Lilia Tchepoi Forbang and Thomas Fonsoh Forbang Revocable Tr</t>
  </si>
  <si>
    <t xml:space="preserve">1701 NE 33rd Ter </t>
  </si>
  <si>
    <t xml:space="preserve">2022 NE 25th St  Cape Coral, FL 33909 </t>
  </si>
  <si>
    <t>4e</t>
  </si>
  <si>
    <t>Robert &amp; Ida Schene</t>
  </si>
  <si>
    <t>Bochi Liu</t>
  </si>
  <si>
    <t>Little Sandy Pond</t>
  </si>
  <si>
    <t xml:space="preserve">3411 NE 21st Pl  Cape Coral, FL 33909 </t>
  </si>
  <si>
    <t>Cape Coral Unit 36 Blk 2300A Pb 16 Pg 122 Lots 39</t>
  </si>
  <si>
    <t xml:space="preserve">1822 NE 40th Ln  Cape Coral, FL 33909 </t>
  </si>
  <si>
    <t>31-43-24-c4-02109.0350</t>
  </si>
  <si>
    <t xml:space="preserve">13132 SW 57th Ter </t>
  </si>
  <si>
    <t>8th</t>
  </si>
  <si>
    <t xml:space="preserve">801 NE 5th Ave </t>
  </si>
  <si>
    <t>35645-6101</t>
  </si>
  <si>
    <t>19-43-24-c4-05560.0190</t>
  </si>
  <si>
    <t>Wolanin</t>
  </si>
  <si>
    <t>Cape Coral Unit 88 Blk.5802 Pb 24 Pg 136 Lots 1 + 2</t>
  </si>
  <si>
    <t>Vernon &amp; Randall Bell</t>
  </si>
  <si>
    <t>Cape Coral Unit 84 Blk 5577 Pb 24 Pg 45 Lots 43 + 44</t>
  </si>
  <si>
    <t>33905-6723</t>
  </si>
  <si>
    <t xml:space="preserve">4 Mirage Villas Rd </t>
  </si>
  <si>
    <t xml:space="preserve">545 Persimmon Dr  Saint Charles, IL 60174-1383 </t>
  </si>
  <si>
    <t>Rimline</t>
  </si>
  <si>
    <t>Mickey Whiteaker &amp; Estate American</t>
  </si>
  <si>
    <t>Marti Wayne &amp; Karin Tr</t>
  </si>
  <si>
    <t xml:space="preserve">280 S Ronald Reagan Blvd #200 </t>
  </si>
  <si>
    <t>Daniel &amp; Lorraine Callahan</t>
  </si>
  <si>
    <t>Cardiff</t>
  </si>
  <si>
    <t>Ivy</t>
  </si>
  <si>
    <t>32-43-24-c1-02231.0440</t>
  </si>
  <si>
    <t>Betty &amp; For Carney</t>
  </si>
  <si>
    <t>Cape Coral Unit 47 Pg 2 Blk 3541 Pb 23 Pg 117 Lots 51 + 52</t>
  </si>
  <si>
    <t>Loftness</t>
  </si>
  <si>
    <t>Tolia</t>
  </si>
  <si>
    <t>Cape Coral Unit 5 Blk 126 Pb 11 Pg 89 Lots 31 + 32 + Instrument 2021000408580</t>
  </si>
  <si>
    <t>For Todd N &amp; Elizabeth E Rose Trust</t>
  </si>
  <si>
    <t>25701-5302</t>
  </si>
  <si>
    <t>33904-9057</t>
  </si>
  <si>
    <t>Abraham &amp; Silvia Saad</t>
  </si>
  <si>
    <t>Cypress Trail Rv Resort Phase 2-A As Desc In Inst# 2014000026506 Lot 212</t>
  </si>
  <si>
    <t xml:space="preserve">6016 Stratton Rd </t>
  </si>
  <si>
    <t>18-43-24-c1-05693.0160</t>
  </si>
  <si>
    <t xml:space="preserve">3242 NE 9th Ave </t>
  </si>
  <si>
    <t>Hein</t>
  </si>
  <si>
    <t>For Willman Family Trust</t>
  </si>
  <si>
    <t>James &amp; Mary Gallo</t>
  </si>
  <si>
    <t>36-43-23-c3-02508.0340</t>
  </si>
  <si>
    <t>Glenn</t>
  </si>
  <si>
    <t>Cape Coral Unit 2 Pt 2 Amd Blk 101 Pb 11 Pg 98 Lots 43 + 44</t>
  </si>
  <si>
    <t>Elmburst</t>
  </si>
  <si>
    <t>25-43-23-c3-02343.0170</t>
  </si>
  <si>
    <t>Cape Coral Unit 33 Blk 2285 Pb 16 Pg 56 Lots 5 Thru 7</t>
  </si>
  <si>
    <t xml:space="preserve">5728 Brightwood Dr  Fort Myers, FL 33905 </t>
  </si>
  <si>
    <t>For Vevaykanand &amp; Boodrajie Subick Trust</t>
  </si>
  <si>
    <t>Cape Coral Unit 36 Blk 2544 Pb 16 Pg 118 Lots 5 + 6</t>
  </si>
  <si>
    <t xml:space="preserve">317 NE 14th Ter  Cape Coral, FL 33909 </t>
  </si>
  <si>
    <t>Cape Coral Unit 36 Blk 2345 Pb 16 Pg 121 Lots 20 + 21</t>
  </si>
  <si>
    <t>Betancur</t>
  </si>
  <si>
    <t>30328-6760</t>
  </si>
  <si>
    <t>33909-5293</t>
  </si>
  <si>
    <t>Lela</t>
  </si>
  <si>
    <t>Clarkson</t>
  </si>
  <si>
    <t xml:space="preserve">439 NE 2nd Ave </t>
  </si>
  <si>
    <t xml:space="preserve">1803 NE 15th Pl </t>
  </si>
  <si>
    <t xml:space="preserve">1706 NE 42nd Ter </t>
  </si>
  <si>
    <t>Cape Coral Unit 17 Blk 1519 Pb 14 Pg 33 Lots 18 + 19</t>
  </si>
  <si>
    <t>Burnet</t>
  </si>
  <si>
    <t>Daniel &amp; Helen Lee</t>
  </si>
  <si>
    <t xml:space="preserve">2122 NE 33rd Ln  Cape Coral, FL 33909 </t>
  </si>
  <si>
    <t>76051-2932</t>
  </si>
  <si>
    <t>33909-4527</t>
  </si>
  <si>
    <t>Cape Coral Unit 34 Blk.2424 Pb 16 Pg 76 Lots 19 + 20</t>
  </si>
  <si>
    <t xml:space="preserve">806 NE 34th Ter  Cape Coral, FL 33909 </t>
  </si>
  <si>
    <t xml:space="preserve">Auf Dem Brink #4 </t>
  </si>
  <si>
    <t>76112-7604</t>
  </si>
  <si>
    <t>Chi</t>
  </si>
  <si>
    <t>MAILING FULL ADDRESS</t>
  </si>
  <si>
    <t>Mike &amp; Donna Seering</t>
  </si>
  <si>
    <t>25-43-23-c3-02311.0450</t>
  </si>
  <si>
    <t xml:space="preserve">2824 NE 4th Pl  Cape Coral, FL 33909 </t>
  </si>
  <si>
    <t xml:space="preserve">12836 Hunters Vista Blvd  Orlando, FL 32837-4600 </t>
  </si>
  <si>
    <t xml:space="preserve">2703 NE 4th Pl </t>
  </si>
  <si>
    <t>R032</t>
  </si>
  <si>
    <t xml:space="preserve">81 Dayton St  Elizabeth, NJ 07202-1606 </t>
  </si>
  <si>
    <t>11-44-25-04-0000b.0420</t>
  </si>
  <si>
    <t xml:space="preserve">13810 Sutton Park Dr N #315 </t>
  </si>
  <si>
    <t>33909-4238</t>
  </si>
  <si>
    <t xml:space="preserve">86 Fairmount St </t>
  </si>
  <si>
    <t>25-43-23-c4-02297.a250</t>
  </si>
  <si>
    <t>01-44-23-c2-02460.0450</t>
  </si>
  <si>
    <t>25-43-23-c2-02331.0120</t>
  </si>
  <si>
    <t>Maria Suter</t>
  </si>
  <si>
    <t xml:space="preserve">404 Balido St  Key West, FL 33040-5702 </t>
  </si>
  <si>
    <t>Cottonwood</t>
  </si>
  <si>
    <t>Clinton Eby</t>
  </si>
  <si>
    <t>Pendleton</t>
  </si>
  <si>
    <t>Walnut Creek</t>
  </si>
  <si>
    <t xml:space="preserve">1406 Shelby Pkwy  Cape Coral, FL 33904 </t>
  </si>
  <si>
    <t>Gladys Ruano</t>
  </si>
  <si>
    <t>07-45-24-c3-00332.0210</t>
  </si>
  <si>
    <t>Tonino &amp; Rosanna Piscitelli</t>
  </si>
  <si>
    <t xml:space="preserve">408 NE 25th Ave  Cape Coral, FL 33909 </t>
  </si>
  <si>
    <t xml:space="preserve">1545 Central Pkwy  Glenview, IL 60025-5168 </t>
  </si>
  <si>
    <t>36-43-23-c3-02509.0140</t>
  </si>
  <si>
    <t>Cape Coral Unit 84 Blk 5605 Pb 24 Pg 42 Lots 33 + 34</t>
  </si>
  <si>
    <t xml:space="preserve">1054 Blackfield Way </t>
  </si>
  <si>
    <t>Cape Coral Unit 33 Blk 2280 Pb 16 Pg 60 Lots 33 + 34</t>
  </si>
  <si>
    <t>Riveras</t>
  </si>
  <si>
    <t xml:space="preserve">1859 Palm Dr </t>
  </si>
  <si>
    <t>Oceanfront</t>
  </si>
  <si>
    <t>Noe</t>
  </si>
  <si>
    <t>Popielarz</t>
  </si>
  <si>
    <t xml:space="preserve">3932 E Maple St  Oak Creek, WI 53154-4255 </t>
  </si>
  <si>
    <t xml:space="preserve">1010 NE 33rd St </t>
  </si>
  <si>
    <t>Curtis E &amp; Rosemary A Dunn Tru</t>
  </si>
  <si>
    <t xml:space="preserve">101 S Franklin Ave  Margate City, NJ 08402-2721 </t>
  </si>
  <si>
    <t xml:space="preserve">1370 Mariposa Cir #106 </t>
  </si>
  <si>
    <t>Carlos &amp; Rosa Botelho</t>
  </si>
  <si>
    <t xml:space="preserve">4979 Cotton Rd </t>
  </si>
  <si>
    <t>Yiu</t>
  </si>
  <si>
    <t>Avenue Constitucion 232 Centro</t>
  </si>
  <si>
    <t>33909-1957</t>
  </si>
  <si>
    <t>Sofia Georgiadis Trust</t>
  </si>
  <si>
    <t>OH</t>
  </si>
  <si>
    <t xml:space="preserve">32a Legion Rd </t>
  </si>
  <si>
    <t>Lynnwood</t>
  </si>
  <si>
    <t>33909-3304</t>
  </si>
  <si>
    <t xml:space="preserve">1611 NE 36th St  Cape Coral, FL 33909 </t>
  </si>
  <si>
    <t xml:space="preserve">9 School St  White Plains, NY 10606-1408 </t>
  </si>
  <si>
    <t>Cape Coral Unit 87 Blk 5743 Pb 24 Pg 69 Lots 47 + 48</t>
  </si>
  <si>
    <t>Sineiro</t>
  </si>
  <si>
    <t>Villas At Causeway Key Lot 7 As Desc In Inst 2018000111895</t>
  </si>
  <si>
    <t>Friedlinde Larsen</t>
  </si>
  <si>
    <t>33909-6462</t>
  </si>
  <si>
    <t xml:space="preserve">726 SW 7th Ct  Hallandale Beach, FL 33009-6921 </t>
  </si>
  <si>
    <t>Bitternut</t>
  </si>
  <si>
    <t>Cape Coral Unit 36 Blk 2536 Pb 16 Pg 118 Lots 22 + 23</t>
  </si>
  <si>
    <t>19-43-24-c4-05559.0640</t>
  </si>
  <si>
    <t>Cypress Trail Rv Resort Phase 4-A As Desc In Inst# 20160000135610 Lot 340</t>
  </si>
  <si>
    <t>Cape Coral Unit 36 Blk 2547 Pb 16 Pg 113 Lots 24 + 25</t>
  </si>
  <si>
    <t>Bellarosa</t>
  </si>
  <si>
    <t xml:space="preserve">1229 NE 5th Pl  Cape Coral, FL 33909 </t>
  </si>
  <si>
    <t>65301-8900</t>
  </si>
  <si>
    <t xml:space="preserve">1120 8th Ave  Sheldon, IA 51201-2017 </t>
  </si>
  <si>
    <t>Grillo</t>
  </si>
  <si>
    <t>Mevilton</t>
  </si>
  <si>
    <t>33904-5264</t>
  </si>
  <si>
    <t xml:space="preserve">16 Ramsey Rd  Middletown, NJ 07748-3061 </t>
  </si>
  <si>
    <t>Cape Coral Unit 36 Blk 2319 Pb 16 Pg 129 Lots 49 + 50</t>
  </si>
  <si>
    <t>Lansing</t>
  </si>
  <si>
    <t>Sparling</t>
  </si>
  <si>
    <t>Magat</t>
  </si>
  <si>
    <t>Lellany</t>
  </si>
  <si>
    <t xml:space="preserve">Bosque Del Rio </t>
  </si>
  <si>
    <t>Graham</t>
  </si>
  <si>
    <t>Salzmann</t>
  </si>
  <si>
    <t>Holshouser</t>
  </si>
  <si>
    <t>Mahogany</t>
  </si>
  <si>
    <t xml:space="preserve">N8445 County Rd E  Brooklyn, WI 53521-9742 </t>
  </si>
  <si>
    <t xml:space="preserve">7864 NW 200th St  Hialeah, FL 33015-6636 </t>
  </si>
  <si>
    <t>Bill Smith</t>
  </si>
  <si>
    <t>Parsippany</t>
  </si>
  <si>
    <t xml:space="preserve">10263 Meadow Beauty Trl  Fort Myers, FL 33905 </t>
  </si>
  <si>
    <t xml:space="preserve">55195 Jewell Rd  Shelby Township, MI 48315-1059 </t>
  </si>
  <si>
    <t>44212-1237</t>
  </si>
  <si>
    <t xml:space="preserve">424 SE 26th Ter </t>
  </si>
  <si>
    <t>Berkeley</t>
  </si>
  <si>
    <t>Sando</t>
  </si>
  <si>
    <t>Greenfield</t>
  </si>
  <si>
    <t>Karen Floyd</t>
  </si>
  <si>
    <t>Virginia Cook &amp; James Baker</t>
  </si>
  <si>
    <t xml:space="preserve">Po Box 496 </t>
  </si>
  <si>
    <t xml:space="preserve">224 NE 9th St </t>
  </si>
  <si>
    <t>Revocable &amp; Rolland Strong</t>
  </si>
  <si>
    <t xml:space="preserve">4141 NE 21st Pl  Cape Coral, FL 33909 </t>
  </si>
  <si>
    <t>Hau Huynh</t>
  </si>
  <si>
    <t>92870-4149</t>
  </si>
  <si>
    <t xml:space="preserve">245 E Marshall St  Hempstead, NY 11550-7532 </t>
  </si>
  <si>
    <t xml:space="preserve">665 Larry Ct </t>
  </si>
  <si>
    <t>Cape Coral Unit 31 Blk.2065 Pb 14 Pg 160 Lots 56 + 57</t>
  </si>
  <si>
    <t xml:space="preserve">6136 Holt Ct </t>
  </si>
  <si>
    <t>33013-3024</t>
  </si>
  <si>
    <t>Haydee Gonzalez</t>
  </si>
  <si>
    <t>Cape Coral Unit 17 Pt 1 Blk 1544 Pb 23 Pg 4 Lots 28 + 29</t>
  </si>
  <si>
    <t>PO Box 330344</t>
  </si>
  <si>
    <t>31-43-24-c4-02144.0250</t>
  </si>
  <si>
    <t>Maurice &amp; Michelle Bacon</t>
  </si>
  <si>
    <t xml:space="preserve">2209 NE 21st Ave  Cape Coral, FL 33909 </t>
  </si>
  <si>
    <t xml:space="preserve">40541 Little Farm Rd  Punta Gorda, FL 33982-7786 </t>
  </si>
  <si>
    <t>Jacksonville</t>
  </si>
  <si>
    <t>33141-4694</t>
  </si>
  <si>
    <t>32-43-24-c3-02229.0420</t>
  </si>
  <si>
    <t xml:space="preserve">14209 Rippling Brook Dr </t>
  </si>
  <si>
    <t>Nario</t>
  </si>
  <si>
    <t>Bikkamalla</t>
  </si>
  <si>
    <t>Wanetta</t>
  </si>
  <si>
    <t xml:space="preserve">1214 Princeton Ln  West Chester, PA 19380-5722 </t>
  </si>
  <si>
    <t>Lehigh Acres Unit 12 Blk 65 Pb 26 Pg 15 Lot 23</t>
  </si>
  <si>
    <t>Clouser</t>
  </si>
  <si>
    <t xml:space="preserve">19681 Summerlin Rd #47, Fort Myers, FL 33908 </t>
  </si>
  <si>
    <t>Cape Coral Unit 47 Part 2 Blk.3538 Pb 23 Pg 117 Lots 1 + 2</t>
  </si>
  <si>
    <t>33905-7745</t>
  </si>
  <si>
    <t>17-43-24-c2-05803.0250</t>
  </si>
  <si>
    <t>30542-2573</t>
  </si>
  <si>
    <t>33909-1707</t>
  </si>
  <si>
    <t>John &amp; Teresa Acosta</t>
  </si>
  <si>
    <t>Astoria</t>
  </si>
  <si>
    <t xml:space="preserve">Auf Jagert #7, Mount Horeb, WI 53572 </t>
  </si>
  <si>
    <t xml:space="preserve">22 Alte Berchtesgadener St  Marktschellenberg, DE 83487 </t>
  </si>
  <si>
    <t>Elfi</t>
  </si>
  <si>
    <t>Boyles</t>
  </si>
  <si>
    <t>Lehigh Acres Unit 7 Blk 34Pb 26 Pg 9 Lot 5</t>
  </si>
  <si>
    <t>Cape Coral Unit 32 Blk 2107 Pb 16 Pg 2 Lots 24 + 25</t>
  </si>
  <si>
    <t>John &amp; Edythe Monroe</t>
  </si>
  <si>
    <t>Bedard</t>
  </si>
  <si>
    <t xml:space="preserve">27011 Mariscal Ln </t>
  </si>
  <si>
    <t>PO Box 71</t>
  </si>
  <si>
    <t xml:space="preserve">15215 E Colonial Dr  Orlando, FL 32826-5512 </t>
  </si>
  <si>
    <t xml:space="preserve">2011 NE 52nd Ct </t>
  </si>
  <si>
    <t>Sonia Stevens &amp; Lorena Sakay</t>
  </si>
  <si>
    <t>Sol &amp; Raina Kugler</t>
  </si>
  <si>
    <t>Gale Bockholt</t>
  </si>
  <si>
    <t xml:space="preserve">102 Essex Dr </t>
  </si>
  <si>
    <t>P B P &amp; Lorraine Langenbach</t>
  </si>
  <si>
    <t>Cape Coral Unit 34 Blk 2424 Pb 16 Pg 76 Lots 11 + 12</t>
  </si>
  <si>
    <t>34209-8153</t>
  </si>
  <si>
    <t xml:space="preserve">3127 N 14th Ave #244, Omaha, NE 68110-1901 </t>
  </si>
  <si>
    <t xml:space="preserve">1826 NE 37th St </t>
  </si>
  <si>
    <t>Cape Coral Unit 34 Blk 2462 Pb 16 Pg 81 Lots 38 + 39</t>
  </si>
  <si>
    <t>00646-2332</t>
  </si>
  <si>
    <t>06-44-24-c1-02079.0350</t>
  </si>
  <si>
    <t xml:space="preserve">6018 Vancil Dr  Arlington, TX 76018 </t>
  </si>
  <si>
    <t xml:space="preserve">287 E 18th St 2a, Brooklyn, NY 11226-5218 </t>
  </si>
  <si>
    <t>Parl In E 1/2 Sec 34 Desc In Or 1603 Pg 1501</t>
  </si>
  <si>
    <t>33909-4576</t>
  </si>
  <si>
    <t>C064</t>
  </si>
  <si>
    <t xml:space="preserve">262 Notre-Dame Rue #45, Repentigny, QC J6a 2R6 </t>
  </si>
  <si>
    <t xml:space="preserve">4521 SE 5th Pl  Cape Coral, FL 33904 </t>
  </si>
  <si>
    <t>45044-5422</t>
  </si>
  <si>
    <t>Heleniak</t>
  </si>
  <si>
    <t xml:space="preserve">1819 NE 19th Pl  Cape Coral, FL 33909 </t>
  </si>
  <si>
    <t xml:space="preserve">2221 Santiago Ave </t>
  </si>
  <si>
    <t xml:space="preserve">602 Retunda Pkwy W  Cape Coral, FL 33904 </t>
  </si>
  <si>
    <t>Joaquin</t>
  </si>
  <si>
    <t xml:space="preserve">3212 NE 13th Pl  Cape Coral, FL 33909 </t>
  </si>
  <si>
    <t>17-43-24-c4-05783.0360</t>
  </si>
  <si>
    <t xml:space="preserve">2 Appleton Trai </t>
  </si>
  <si>
    <t>R081</t>
  </si>
  <si>
    <t xml:space="preserve">7969 19th Ter  Labelle, FL 33935-4965 </t>
  </si>
  <si>
    <t xml:space="preserve">3404 NE 12th Ave </t>
  </si>
  <si>
    <t xml:space="preserve">2922 Banyan Boulevard Cir NW </t>
  </si>
  <si>
    <t>Toy</t>
  </si>
  <si>
    <t>48179-9748</t>
  </si>
  <si>
    <t xml:space="preserve">3215 NE 13th Ct  Cape Coral, FL 33909 </t>
  </si>
  <si>
    <t>Cape Coral Unit 36 Blk 2329 Pb 16 Pg 128 Lots 47 + 48</t>
  </si>
  <si>
    <t>Janice</t>
  </si>
  <si>
    <t xml:space="preserve">4132 NE 21st Pl </t>
  </si>
  <si>
    <t xml:space="preserve">3007 18th St  Hopkins, MI 49328-9726 </t>
  </si>
  <si>
    <t>Cape Coral Unit 36 Blk 2302 Pb 16 Pg 122 Lots 59 + 60</t>
  </si>
  <si>
    <t>Cape Coral Unit 17 Blk.1482 Pb 14 Pg 24 Lots 25 + 26</t>
  </si>
  <si>
    <t xml:space="preserve">315 Alpine Cir </t>
  </si>
  <si>
    <t>33325-6713</t>
  </si>
  <si>
    <t>B009</t>
  </si>
  <si>
    <t xml:space="preserve">7665 SW 88th Ct </t>
  </si>
  <si>
    <t>Breezy Hill</t>
  </si>
  <si>
    <t xml:space="preserve">801 NE 5th Ave  Cape Coral, FL 33909 </t>
  </si>
  <si>
    <t>Camway</t>
  </si>
  <si>
    <t>Monarch</t>
  </si>
  <si>
    <t>33908-4526</t>
  </si>
  <si>
    <t>Tria Lawton-Russell &amp; Margaret Lue</t>
  </si>
  <si>
    <t>34761-5105</t>
  </si>
  <si>
    <t>21220-4341</t>
  </si>
  <si>
    <t xml:space="preserve">354 Harbor Rd </t>
  </si>
  <si>
    <t>Cape Coral Unit 34 Blk 2442 Pb 16 Pg 78 Lots 47 + 48</t>
  </si>
  <si>
    <t>70065-2031</t>
  </si>
  <si>
    <t>20-44-26-05-00025.0130</t>
  </si>
  <si>
    <t>11-44-25-09-00000.0720</t>
  </si>
  <si>
    <t>Nelson &amp; Iliana Suarez</t>
  </si>
  <si>
    <t>Castellano</t>
  </si>
  <si>
    <t>Tupelo</t>
  </si>
  <si>
    <t xml:space="preserve">435 NE 1st Ave  Cape Coral, FL 33909 </t>
  </si>
  <si>
    <t xml:space="preserve">10321 Fire Flag Trl  Fort Myers, FL 33905 </t>
  </si>
  <si>
    <t xml:space="preserve">1373 W 850 N </t>
  </si>
  <si>
    <t xml:space="preserve">10221 Meadow Beauty Trl  Fort Myers, FL 33905 </t>
  </si>
  <si>
    <t>33463-7134</t>
  </si>
  <si>
    <t>Harrison Township</t>
  </si>
  <si>
    <t xml:space="preserve">2621 NE 20th Pl  Cape Coral, FL 33909 </t>
  </si>
  <si>
    <t>36-43-23-c1-02532.0050</t>
  </si>
  <si>
    <t>Krebs Station</t>
  </si>
  <si>
    <t>33909-3353</t>
  </si>
  <si>
    <t>John Upperman</t>
  </si>
  <si>
    <t>William &amp; Andrea Jurzysta</t>
  </si>
  <si>
    <t>Marrero</t>
  </si>
  <si>
    <t>Stonehaven</t>
  </si>
  <si>
    <t>Anza</t>
  </si>
  <si>
    <t xml:space="preserve">PO Box 129  Pine Meadow, CT 06061 </t>
  </si>
  <si>
    <t>Vockings</t>
  </si>
  <si>
    <t>Albert Compagna</t>
  </si>
  <si>
    <t>20-43-24-c1-05643.0010</t>
  </si>
  <si>
    <t>49738-7543</t>
  </si>
  <si>
    <t xml:space="preserve">20734 419th Ave </t>
  </si>
  <si>
    <t>Frederick David</t>
  </si>
  <si>
    <t xml:space="preserve">1009 NE 35th Ln </t>
  </si>
  <si>
    <t>Russell</t>
  </si>
  <si>
    <t>Sunyung</t>
  </si>
  <si>
    <t xml:space="preserve">6025 Thorpe Ave </t>
  </si>
  <si>
    <t xml:space="preserve">2038 NE 33rd Ln  Cape Coral, FL 33909 </t>
  </si>
  <si>
    <t xml:space="preserve">1132 NE 5th Pl </t>
  </si>
  <si>
    <t>Hochwald</t>
  </si>
  <si>
    <t>Meek</t>
  </si>
  <si>
    <t>16-44-26-05-00006.0120</t>
  </si>
  <si>
    <t>Cape Coral Unit 88 Blk.5780 Pb 24 Pg 135 Lot 23</t>
  </si>
  <si>
    <t xml:space="preserve">85 Putnam Rd  Schenectady, NY 12306-5733 </t>
  </si>
  <si>
    <t>03-44-26-12-00062.0090</t>
  </si>
  <si>
    <t xml:space="preserve">6027 Jadestone Ave </t>
  </si>
  <si>
    <t xml:space="preserve">539 Waldrop Rd  Swoope, VA 24479-2456 </t>
  </si>
  <si>
    <t>For 2016 Kiwi Trust</t>
  </si>
  <si>
    <t>Cape Coral Unit 47 Pt 2 Blk 3535 Pb 23 Pg 120 Lots 9 Thru 11</t>
  </si>
  <si>
    <t xml:space="preserve">4210 Ramsey Blvd </t>
  </si>
  <si>
    <t xml:space="preserve">112 Reesman Dr </t>
  </si>
  <si>
    <t>AL</t>
  </si>
  <si>
    <t xml:space="preserve">5805 W 13th Ct </t>
  </si>
  <si>
    <t>33909-4326</t>
  </si>
  <si>
    <t xml:space="preserve">2300 Carrington St NW  North Canton, OH 44720-8182 </t>
  </si>
  <si>
    <t xml:space="preserve">12161 Sugar Pine Trl  Wellington, FL 33414-5641 </t>
  </si>
  <si>
    <t xml:space="preserve">2201 Lititz Pike  Lancaster, PA 17601-3603 </t>
  </si>
  <si>
    <t xml:space="preserve">165 Fitzmaurice St  Massapequa Park, NY 11762-2209 </t>
  </si>
  <si>
    <t>31-43-24-c2-02180.0620</t>
  </si>
  <si>
    <t>Kilmer</t>
  </si>
  <si>
    <t xml:space="preserve">6503 N Military Trl #3505 </t>
  </si>
  <si>
    <t>Cape Coral Unit 80 Blk 5133 Pb 22 Pg 141 Lots 37 + 38</t>
  </si>
  <si>
    <t>25-43-23-c2-02350.0410</t>
  </si>
  <si>
    <t>Charmaine Handy</t>
  </si>
  <si>
    <t>Merlino Thomas O Tr</t>
  </si>
  <si>
    <t>31-43-24-c3-02141.0170</t>
  </si>
  <si>
    <t>Cape Coral Unit 84 Blk 5609 Pb 24 Pg 41 Lots 8 Thru 10</t>
  </si>
  <si>
    <t>33904-5809</t>
  </si>
  <si>
    <t>Hogan</t>
  </si>
  <si>
    <t xml:space="preserve">97 Schneider Dr </t>
  </si>
  <si>
    <t>Cape Coral Unit 32 Blk 2142 Pb 16 Pg 6 Lots 11 + 12</t>
  </si>
  <si>
    <t xml:space="preserve">2600 NE 5th Pl  Cape Coral, FL 33909 </t>
  </si>
  <si>
    <t>Timothy &amp; Lindsey Coopshaw</t>
  </si>
  <si>
    <t>Port Royal</t>
  </si>
  <si>
    <t xml:space="preserve">241 Eugenia Ave  Fort Myers, FL 33905 </t>
  </si>
  <si>
    <t>Downing</t>
  </si>
  <si>
    <t>Vicar</t>
  </si>
  <si>
    <t>73460-3714</t>
  </si>
  <si>
    <t>04444-1015</t>
  </si>
  <si>
    <t>33904-3902</t>
  </si>
  <si>
    <t xml:space="preserve">1902 NE 23rd Ave </t>
  </si>
  <si>
    <t xml:space="preserve">6109 Hendley Ct  Fort Myers, FL 33905 </t>
  </si>
  <si>
    <t>32-43-24-c1-02246.0010</t>
  </si>
  <si>
    <t xml:space="preserve">6129 Fieldston Rd  Bronx, NY 10471-1107 </t>
  </si>
  <si>
    <t xml:space="preserve">1711 Carrera Dr  Lady Lake, FL 32159-9003 </t>
  </si>
  <si>
    <t>Catalan</t>
  </si>
  <si>
    <t xml:space="preserve">4151 NE 16th Ave </t>
  </si>
  <si>
    <t xml:space="preserve">9705 S Braden Ave </t>
  </si>
  <si>
    <t>01-45-23-c2-00421.0120</t>
  </si>
  <si>
    <t xml:space="preserve">2204 NE Juanita Pl </t>
  </si>
  <si>
    <t xml:space="preserve">5 Burnet St  Avenel, NJ 07001-1712 </t>
  </si>
  <si>
    <t>Costello</t>
  </si>
  <si>
    <t>Cape Coral Unit 33 Blk 2188 Pb 16 Pg 51 Lots 23 + 24</t>
  </si>
  <si>
    <t xml:space="preserve">2004 NE 1st Pl  Cape Coral, FL 33909 </t>
  </si>
  <si>
    <t>84098-4737</t>
  </si>
  <si>
    <t>06416-2562</t>
  </si>
  <si>
    <t>H075</t>
  </si>
  <si>
    <t xml:space="preserve">2207 NE 4th St </t>
  </si>
  <si>
    <t xml:space="preserve">12 Rays Way  Moultonborough, NH 03254-4758 </t>
  </si>
  <si>
    <t>16-44-26-04-00003.0290</t>
  </si>
  <si>
    <t>C010</t>
  </si>
  <si>
    <t>Rue Fosdse A Boire</t>
  </si>
  <si>
    <t>11-44-25-07-00000.1470</t>
  </si>
  <si>
    <t>33062-6631</t>
  </si>
  <si>
    <t>03-44-26-07-00033.0270</t>
  </si>
  <si>
    <t>Adelaide</t>
  </si>
  <si>
    <t>Cape Coral Unit 36 Blk 2519 Pb 16 Pg 113 Lots 1 + 2</t>
  </si>
  <si>
    <t>Hongqing</t>
  </si>
  <si>
    <t xml:space="preserve">3504 Mahejan Dr </t>
  </si>
  <si>
    <t xml:space="preserve">1908 NE 33rd Ter  Cape Coral, FL 33909 </t>
  </si>
  <si>
    <t xml:space="preserve">4849 Onyx Ln #102, New Port Richey, FL 34652-3539 </t>
  </si>
  <si>
    <t>33909-6261</t>
  </si>
  <si>
    <t xml:space="preserve">2512 NE 1st Ave  Cape Coral, FL 33909 </t>
  </si>
  <si>
    <t>Henry &amp; Carmina Dillon</t>
  </si>
  <si>
    <t>Post</t>
  </si>
  <si>
    <t>33125-5518</t>
  </si>
  <si>
    <t xml:space="preserve">26771 State Road 56  Wesley Chapel, FL 33544-8872 </t>
  </si>
  <si>
    <t>Doylestown</t>
  </si>
  <si>
    <t xml:space="preserve">5507 Cypress Trail Resort Cir </t>
  </si>
  <si>
    <t>Kien</t>
  </si>
  <si>
    <t>PO Box 990865</t>
  </si>
  <si>
    <t>Frode</t>
  </si>
  <si>
    <t>33909-8942</t>
  </si>
  <si>
    <t>19966-7574</t>
  </si>
  <si>
    <t>33904-5063</t>
  </si>
  <si>
    <t xml:space="preserve">4402 NE 72nd Ave  Portland, OR 97218-3623 </t>
  </si>
  <si>
    <t>Grove Trail</t>
  </si>
  <si>
    <t>Gyeonggi Do</t>
  </si>
  <si>
    <t xml:space="preserve">1704 NE 4th Pl  Cape Coral, FL 33909 </t>
  </si>
  <si>
    <t xml:space="preserve">2001 Spring Rd #700, Oak Brook, IL 60523-1890 </t>
  </si>
  <si>
    <t xml:space="preserve">4449 Bessie Ave </t>
  </si>
  <si>
    <t>Madalin Daniel</t>
  </si>
  <si>
    <t>01-44-23-c2-02430.0090</t>
  </si>
  <si>
    <t>19-43-24-c3-05624.0390</t>
  </si>
  <si>
    <t>33908-1706</t>
  </si>
  <si>
    <t>Estiverne</t>
  </si>
  <si>
    <t xml:space="preserve">3332 Garden Blvd </t>
  </si>
  <si>
    <t xml:space="preserve">1213 Chinkapin Pl  Flower Mound, TX 75028-3229 </t>
  </si>
  <si>
    <t>Jah &amp; Jeffery Hardin</t>
  </si>
  <si>
    <t xml:space="preserve">5951 Maplewood Ct </t>
  </si>
  <si>
    <t>Mariam</t>
  </si>
  <si>
    <t>53185-4112</t>
  </si>
  <si>
    <t xml:space="preserve">1001 NE 32nd Ln </t>
  </si>
  <si>
    <t xml:space="preserve">473 Moore Ave </t>
  </si>
  <si>
    <t>20-43-24-c4-05634.0290</t>
  </si>
  <si>
    <t xml:space="preserve">4026 NE 22nd Pl </t>
  </si>
  <si>
    <t xml:space="preserve">3916 NE 9th Pl  Cape Coral, FL 33909 </t>
  </si>
  <si>
    <t>20164-2218</t>
  </si>
  <si>
    <t xml:space="preserve">812 Moorland Cir  Mascoutah, IL 62258-1468 </t>
  </si>
  <si>
    <t>Hillcrest</t>
  </si>
  <si>
    <t>16-44-26-08-00028.0070</t>
  </si>
  <si>
    <t xml:space="preserve">14443 Niagra Pkwy  Queenston, ON L0s 1L0 </t>
  </si>
  <si>
    <t>Dewberry</t>
  </si>
  <si>
    <t>Cape Coral Unit 36 Blk 2354 Pb 16 Pg 119 Lots 31 + 32</t>
  </si>
  <si>
    <t xml:space="preserve">343 NE 9th Ter  Cape Coral, FL 33909 </t>
  </si>
  <si>
    <t>PO Box 93-1005</t>
  </si>
  <si>
    <t xml:space="preserve">6845 Gleneagle Dr  Miami Lakes, FL 33014-6505 </t>
  </si>
  <si>
    <t>19020-4264</t>
  </si>
  <si>
    <t>11-44-25-06-0000d.0630</t>
  </si>
  <si>
    <t xml:space="preserve">4833 Trinidad Dr </t>
  </si>
  <si>
    <t>Andre Bruno</t>
  </si>
  <si>
    <t xml:space="preserve">205 Chatham Ct </t>
  </si>
  <si>
    <t>Bajar</t>
  </si>
  <si>
    <t>Cape Coral Unit 88 Blk 5793 Pb 24 Pg 131 Lots 30 + 31</t>
  </si>
  <si>
    <t xml:space="preserve">1022 NE 6th Pl </t>
  </si>
  <si>
    <t xml:space="preserve">2117 Canal St  Fort Myers, FL 33901 </t>
  </si>
  <si>
    <t xml:space="preserve">7804 21st Ave </t>
  </si>
  <si>
    <t>Douglas Mastro</t>
  </si>
  <si>
    <t>Quintanilla</t>
  </si>
  <si>
    <t>Ranck</t>
  </si>
  <si>
    <t xml:space="preserve">3246 NE 9th Ave </t>
  </si>
  <si>
    <t>85c</t>
  </si>
  <si>
    <t>Cape Coral Unit 84 Blk 5611 Pb 24 Pg 35 Lots 16 + 17</t>
  </si>
  <si>
    <t xml:space="preserve">4432 Cedar Island Dr  Eveleth, MN 55734-4034 </t>
  </si>
  <si>
    <t>05-44-24-c1-03541.0170</t>
  </si>
  <si>
    <t>Carmelita</t>
  </si>
  <si>
    <t xml:space="preserve">4112 NE 9th Pl </t>
  </si>
  <si>
    <t xml:space="preserve">2905 SE 15th Pl </t>
  </si>
  <si>
    <t>33441-5445</t>
  </si>
  <si>
    <t>Nadelia</t>
  </si>
  <si>
    <t>Villa Real</t>
  </si>
  <si>
    <t xml:space="preserve">2619 NE 22nd Pl  Cape Coral, FL 33909 </t>
  </si>
  <si>
    <t xml:space="preserve">8904 NE Milton St  Portland, OR 97220-5174 </t>
  </si>
  <si>
    <t>Cape Coral Unit 36 Blk 2346 Pb 16 Pg 127 Lots 43 + 44</t>
  </si>
  <si>
    <t>Sonoko</t>
  </si>
  <si>
    <t>Jordyn Choi &amp; Tu Duong</t>
  </si>
  <si>
    <t>Thomas &amp; Faren Mitman</t>
  </si>
  <si>
    <t>Denise Barnett</t>
  </si>
  <si>
    <t xml:space="preserve">1803 NE 15th Pl  Cape Coral, FL 33909 </t>
  </si>
  <si>
    <t>Russell Park Blk 11 Pb 6 Pg 12 Lot 427</t>
  </si>
  <si>
    <t xml:space="preserve">202 NE 9th Ct </t>
  </si>
  <si>
    <t>33637-6519</t>
  </si>
  <si>
    <t xml:space="preserve">597 Heathcliff Dr </t>
  </si>
  <si>
    <t>33909-4664</t>
  </si>
  <si>
    <t>Lucelia</t>
  </si>
  <si>
    <t xml:space="preserve">3887 37th St  San Diego, CA 92105-2410 </t>
  </si>
  <si>
    <t>Cape Coral Unit 17 Blk 1525 Pb 14 Pg 32 Lots 52 + 53</t>
  </si>
  <si>
    <t>Robert &amp; Amy Young</t>
  </si>
  <si>
    <t>Cape Coral Unit 13 Blk 503 Pb 13 Pg 58 Lots 29 + 30</t>
  </si>
  <si>
    <t>33909-1217</t>
  </si>
  <si>
    <t xml:space="preserve">2783 Eagle Lake Dr </t>
  </si>
  <si>
    <t>95409-3454</t>
  </si>
  <si>
    <t xml:space="preserve">4418 NE 22nd Ave </t>
  </si>
  <si>
    <t>Cape Coral Unit 36 Blk 2526 Pb 16 Pg 117 Lots 30 + 31</t>
  </si>
  <si>
    <t>Cassidy</t>
  </si>
  <si>
    <t xml:space="preserve">6322 Palma Del Mar Blvd S #906 </t>
  </si>
  <si>
    <t>20-43-24-c2-05668.0030</t>
  </si>
  <si>
    <t>33909-4375</t>
  </si>
  <si>
    <t>Todd and Andrea Collier Family Trust</t>
  </si>
  <si>
    <t>19-43-24-c4-05566.0270</t>
  </si>
  <si>
    <t>11370-1632</t>
  </si>
  <si>
    <t>Gil Brink &amp; Vicki Vanbrink</t>
  </si>
  <si>
    <t xml:space="preserve">2521 NE 19th Pl  Cape Coral, FL 33909 </t>
  </si>
  <si>
    <t>Cape Coral Unit 21 Blk.618 Pb 13 Pg 155 Lots 11 + 12</t>
  </si>
  <si>
    <t>Byars</t>
  </si>
  <si>
    <t>Calderin</t>
  </si>
  <si>
    <t xml:space="preserve">911 NE 23rd St </t>
  </si>
  <si>
    <t>06-44-24-c4-02044.0010</t>
  </si>
  <si>
    <t>33909-8403</t>
  </si>
  <si>
    <t>06451-5032</t>
  </si>
  <si>
    <t xml:space="preserve">81 Dayton St </t>
  </si>
  <si>
    <t>Delazzert</t>
  </si>
  <si>
    <t>Hung Huynh</t>
  </si>
  <si>
    <t>Cypress Trail Rv Resort Phase 2-B As Desc In Inst# 2015000013050 Lot 422</t>
  </si>
  <si>
    <t>55376-3501</t>
  </si>
  <si>
    <t>Gooch</t>
  </si>
  <si>
    <t xml:space="preserve">1520 Pellville Rd </t>
  </si>
  <si>
    <t>Carpenter Earl Tr</t>
  </si>
  <si>
    <t xml:space="preserve">54 Delaney Dr  Brant Lake, NY 12815-1823 </t>
  </si>
  <si>
    <t xml:space="preserve">1109 River Hill Dr  Covington, KY 41011-1123 </t>
  </si>
  <si>
    <t>33909-1702</t>
  </si>
  <si>
    <t xml:space="preserve">3760 W Bent Tree Dr </t>
  </si>
  <si>
    <t>Lehigh Acres Unit 1 E Pt Blk 6 Pb 26 Pg 3 Lot 18</t>
  </si>
  <si>
    <t xml:space="preserve">108 S Francisca Ave C, Redondo Beach, CA 90277-7004 </t>
  </si>
  <si>
    <t>10901-7826</t>
  </si>
  <si>
    <t>33909-5348</t>
  </si>
  <si>
    <t>07731-9085</t>
  </si>
  <si>
    <t>Setter</t>
  </si>
  <si>
    <t xml:space="preserve">35 Centre St </t>
  </si>
  <si>
    <t>115th</t>
  </si>
  <si>
    <t xml:space="preserve">2909 NE 4th Ave </t>
  </si>
  <si>
    <t>36-44-23-c4-00873.0220</t>
  </si>
  <si>
    <t xml:space="preserve">1503 NE 40th St </t>
  </si>
  <si>
    <t>11-44-25-11-00000.0460</t>
  </si>
  <si>
    <t>Baywind</t>
  </si>
  <si>
    <t>Lake Lure</t>
  </si>
  <si>
    <t>06-44-24-c2-02086.0170</t>
  </si>
  <si>
    <t>Lehigh Acres Ut 10 E 1\2 Blk 51 Pb 26 Pg 13 Lot 3</t>
  </si>
  <si>
    <t xml:space="preserve">4113 NE 22nd Pl </t>
  </si>
  <si>
    <t xml:space="preserve">3831 Hillandale St  Fort Myers, FL 33905 </t>
  </si>
  <si>
    <t xml:space="preserve">19550 Amber Meadow Dr #130, Bend, OR 97702-3526 </t>
  </si>
  <si>
    <t xml:space="preserve">210 Lee Ave </t>
  </si>
  <si>
    <t>G L G &amp; Irene Hollar</t>
  </si>
  <si>
    <t>H9C 3A5</t>
  </si>
  <si>
    <t xml:space="preserve">2720 Howland Blvd </t>
  </si>
  <si>
    <t>Sunshine</t>
  </si>
  <si>
    <t xml:space="preserve">918 NE 36th Ln </t>
  </si>
  <si>
    <t>Canova</t>
  </si>
  <si>
    <t>Masters</t>
  </si>
  <si>
    <t xml:space="preserve">35 Centre St  Winthrop, MA 02152-3020 </t>
  </si>
  <si>
    <t>05-44-24-c2-03511.0240</t>
  </si>
  <si>
    <t>Block</t>
  </si>
  <si>
    <t xml:space="preserve">1300 Mt Pleasant Rd </t>
  </si>
  <si>
    <t>31-43-24-c2-02153.0150</t>
  </si>
  <si>
    <t>71006-9718</t>
  </si>
  <si>
    <t xml:space="preserve">3815 Mormon Coulee Rd #100 </t>
  </si>
  <si>
    <t>Cape Coral Unit 84 Blk 5579 Pb 24 Pg 48 Lots 17 + 18</t>
  </si>
  <si>
    <t>Lehigh Acres Unit 2 Blk 9 Pb 26 Pg 4 Lot 1</t>
  </si>
  <si>
    <t>Cape Coral Unit 36 Blk 2326 Pb 16 Pg 125 Lots 62 + 63</t>
  </si>
  <si>
    <t>34-43-24-01-00042.0240</t>
  </si>
  <si>
    <t xml:space="preserve">108 Smallwood Ave  Belleville, NJ 07109-1382 </t>
  </si>
  <si>
    <t xml:space="preserve">3409 NE 8th Pl </t>
  </si>
  <si>
    <t>03-44-26-09-00042.0120</t>
  </si>
  <si>
    <t>05-44-24-c2-03513.0090</t>
  </si>
  <si>
    <t>Catherine Lasota &amp; Linda Fryzel</t>
  </si>
  <si>
    <t xml:space="preserve">2118 NE 13th Ave  Cape Coral, FL 33909 </t>
  </si>
  <si>
    <t>Tanya Payne</t>
  </si>
  <si>
    <t>North York</t>
  </si>
  <si>
    <t xml:space="preserve">270 Benedict Rd  Staten Island, NY 10304-1235 </t>
  </si>
  <si>
    <t>Kings Park</t>
  </si>
  <si>
    <t>61704-2422</t>
  </si>
  <si>
    <t>Pareja</t>
  </si>
  <si>
    <t xml:space="preserve">525 Willow Ave </t>
  </si>
  <si>
    <t>Wrisley</t>
  </si>
  <si>
    <t>31-43-24-c1-02168.0270</t>
  </si>
  <si>
    <t>55320-2195</t>
  </si>
  <si>
    <t>46131-7373</t>
  </si>
  <si>
    <t>William &amp; Martha Mattocks</t>
  </si>
  <si>
    <t xml:space="preserve">2120 NE 40th Ter  Cape Coral, FL 33909 </t>
  </si>
  <si>
    <t>Agganis</t>
  </si>
  <si>
    <t xml:space="preserve">18 Somerset A </t>
  </si>
  <si>
    <t>10452-1880</t>
  </si>
  <si>
    <t>33909-6806</t>
  </si>
  <si>
    <t>Cape Coral Unit 84 Blk 5586 Pb 24 Pg 48 Lots 7 + 8</t>
  </si>
  <si>
    <t>Old State</t>
  </si>
  <si>
    <t xml:space="preserve">4500 NW 39th St </t>
  </si>
  <si>
    <t>Cape Coral Unit 47 Pt 2 Blk 3540 Pb 23 Pg 117 Lots 31 + 32</t>
  </si>
  <si>
    <t xml:space="preserve">11807 Crawford Rd W  Hopkins, MN 55343-8814 </t>
  </si>
  <si>
    <t>Marlon</t>
  </si>
  <si>
    <t xml:space="preserve">446 NE 7th Pl </t>
  </si>
  <si>
    <t xml:space="preserve">1316 NE 14th Ave  Cape Coral, FL 33909 </t>
  </si>
  <si>
    <t>Lennox &amp; Sonia Richardson</t>
  </si>
  <si>
    <t>44064-9719</t>
  </si>
  <si>
    <t>33909-6517</t>
  </si>
  <si>
    <t>94124-3214</t>
  </si>
  <si>
    <t>Friendship</t>
  </si>
  <si>
    <t>07-44-24-c3-01494.0190</t>
  </si>
  <si>
    <t xml:space="preserve">1117 Echo Pass St  Henderson, NV 89052-3801 </t>
  </si>
  <si>
    <t>11-44-25-l1-13000.3210</t>
  </si>
  <si>
    <t xml:space="preserve">1713 NE 7th Ave  Cape Coral, FL 33909 </t>
  </si>
  <si>
    <t xml:space="preserve">1514 Woodpointe Dr </t>
  </si>
  <si>
    <t>Teresa Mihaliak</t>
  </si>
  <si>
    <t>33406-6513</t>
  </si>
  <si>
    <t>20-43-24-c4-05631.0150</t>
  </si>
  <si>
    <t>A</t>
  </si>
  <si>
    <t>33137-2465</t>
  </si>
  <si>
    <t xml:space="preserve">10244 Meadow Beauty Trl  Fort Myers, FL 33905 </t>
  </si>
  <si>
    <t>07005-8734</t>
  </si>
  <si>
    <t xml:space="preserve">3854 Hyde Park Dr  Roanoke, VA 24018-2444 </t>
  </si>
  <si>
    <t xml:space="preserve">1130 NE 12th St  Cape Coral, FL 33909 </t>
  </si>
  <si>
    <t>Lehigh Acres Unit 3 Blk 15 Pb 26 Pg 5 Lot 12</t>
  </si>
  <si>
    <t xml:space="preserve">63 Soper Ave  Northport, NY 11768-3122 </t>
  </si>
  <si>
    <t>Fox Sparrow</t>
  </si>
  <si>
    <t>Roberto &amp; For Gonzalez</t>
  </si>
  <si>
    <t xml:space="preserve">8771/8773 Buckingham Rd  Fort Myers, FL 33905 </t>
  </si>
  <si>
    <t xml:space="preserve">6401 Castlewood Cir  Fort Myers, FL 33905 </t>
  </si>
  <si>
    <t xml:space="preserve">2221 NE 33rd St  Cape Coral, FL 33909 </t>
  </si>
  <si>
    <t>Flightline</t>
  </si>
  <si>
    <t>Union Mills</t>
  </si>
  <si>
    <t>Rory</t>
  </si>
  <si>
    <t xml:space="preserve">200 Camino Real  Marathon, FL 33050-2473 </t>
  </si>
  <si>
    <t>Bemidji</t>
  </si>
  <si>
    <t>Wandria</t>
  </si>
  <si>
    <t xml:space="preserve">1414 NE 17th Ter  Cape Coral, FL 33909 </t>
  </si>
  <si>
    <t xml:space="preserve">5186 Cypress Trail Resort Cir  Fort Myers, FL 33905 </t>
  </si>
  <si>
    <t xml:space="preserve">3911 W Desert Hollow Dr  Phoenix, AZ 85083-2464 </t>
  </si>
  <si>
    <t xml:space="preserve">3830 NE 23rd Pl </t>
  </si>
  <si>
    <t xml:space="preserve">1226 NE 14th Ave </t>
  </si>
  <si>
    <t>Pacifica</t>
  </si>
  <si>
    <t>Pointe</t>
  </si>
  <si>
    <t>33909-4321</t>
  </si>
  <si>
    <t>Gulke</t>
  </si>
  <si>
    <t xml:space="preserve">4022 NE 23rd Pl </t>
  </si>
  <si>
    <t xml:space="preserve">1721 NE 3rd Ave  Cape Coral, FL 33909 </t>
  </si>
  <si>
    <t>Sinchi</t>
  </si>
  <si>
    <t>Fenton</t>
  </si>
  <si>
    <t>Hillsboro Beach</t>
  </si>
  <si>
    <t>33909-1555</t>
  </si>
  <si>
    <t>Cape Coral Unit 85 Blk 5666 Pb 24 Pg 53 Lots 13 + 14</t>
  </si>
  <si>
    <t>Crews</t>
  </si>
  <si>
    <t xml:space="preserve">1705 E Crawford Cir  Tampa, FL 33610-1229 </t>
  </si>
  <si>
    <t>June</t>
  </si>
  <si>
    <t>PO Box 672064</t>
  </si>
  <si>
    <t>168th</t>
  </si>
  <si>
    <t>Huntingdon</t>
  </si>
  <si>
    <t xml:space="preserve">1376 Dogwood Ln  Osage Beach, MO 65065-2502 </t>
  </si>
  <si>
    <t xml:space="preserve">1710 NE 27th Ter </t>
  </si>
  <si>
    <t>Keith Green</t>
  </si>
  <si>
    <t xml:space="preserve">6 Aspen Way  Bristol, CT 06010-8430 </t>
  </si>
  <si>
    <t>33018-7435</t>
  </si>
  <si>
    <t>PO Box 164</t>
  </si>
  <si>
    <t xml:space="preserve">1712 Kismet Pkwy E </t>
  </si>
  <si>
    <t>Ca-E Coral Unit 36 Blk 2174 -B 16 -G 121 Lots 27 + 28</t>
  </si>
  <si>
    <t xml:space="preserve">14 Ch Du Roucas Blanc  Marseille, FR </t>
  </si>
  <si>
    <t xml:space="preserve">1528 NE 13th Ave </t>
  </si>
  <si>
    <t>17-43-24-c4-05767.0010</t>
  </si>
  <si>
    <t>Cape Coral Unit 34 Blk 2464 Pb 16 Pg 85 Lots 48 + 49</t>
  </si>
  <si>
    <t>Alexander Sperling</t>
  </si>
  <si>
    <t>Murray</t>
  </si>
  <si>
    <t>Cape Coral Unit 33 Blk.2207 Pb 16 Pg 41 Lots 7 + 8</t>
  </si>
  <si>
    <t>33905-5119</t>
  </si>
  <si>
    <t>Lingwall</t>
  </si>
  <si>
    <t xml:space="preserve">1809 NE 36th Ln  Cape Coral, FL 33909 </t>
  </si>
  <si>
    <t>33904-4777</t>
  </si>
  <si>
    <t>Cape Coral Unit 88 Blk 5802 Pb 24 Pg 139 Lots 39 + 40</t>
  </si>
  <si>
    <t>Cape Coral Unit 32 Blk.2140 Pb 16 Pg 7 Lots 42 + 43</t>
  </si>
  <si>
    <t>25-43-23-c2-02346.0170</t>
  </si>
  <si>
    <t>90717-1701</t>
  </si>
  <si>
    <t xml:space="preserve">3026 NE Juanita Pl  Cape Coral, FL 33909 </t>
  </si>
  <si>
    <t xml:space="preserve">3510 E Gator Cir </t>
  </si>
  <si>
    <t xml:space="preserve">3722 Teakwood St </t>
  </si>
  <si>
    <t>Dergarabetian</t>
  </si>
  <si>
    <t>Petach Tikva</t>
  </si>
  <si>
    <t xml:space="preserve">617 SE 25th Ter </t>
  </si>
  <si>
    <t xml:space="preserve">13525 Torrey Way  Fort Myers, FL 33905 </t>
  </si>
  <si>
    <t xml:space="preserve">8904 NE Milton St </t>
  </si>
  <si>
    <t xml:space="preserve">4816 Marine Dr #4, Cape Coral, FL 33904-9459 </t>
  </si>
  <si>
    <t>Eric &amp; Michelle Blanchette</t>
  </si>
  <si>
    <t xml:space="preserve">1407 NE 33rd St  Cape Coral, FL 33909 </t>
  </si>
  <si>
    <t>Avenue</t>
  </si>
  <si>
    <t>33909-5397</t>
  </si>
  <si>
    <t xml:space="preserve">6770 Lone Oak Blvd A, Naples, FL 34109-6838 </t>
  </si>
  <si>
    <t xml:space="preserve">3421 E Gator Cir  Cape Coral, FL 33909 </t>
  </si>
  <si>
    <t>95136-3401</t>
  </si>
  <si>
    <t xml:space="preserve">3643 NE 11th Ave </t>
  </si>
  <si>
    <t xml:space="preserve">10260 Meadow Beauty Trl </t>
  </si>
  <si>
    <t>191st</t>
  </si>
  <si>
    <t xml:space="preserve">1622 NE 35th Ln  Cape Coral, FL 33909 </t>
  </si>
  <si>
    <t>Mariana Heights Pb 8 Pg 73 Lot 4 Less Sr 78 Desc Or 1678 Pg 1947</t>
  </si>
  <si>
    <t>Maria Bucio</t>
  </si>
  <si>
    <t>11729-7106</t>
  </si>
  <si>
    <t xml:space="preserve">10905 Old Bridgeport Ln  Boca Raton, FL 33498-6391 </t>
  </si>
  <si>
    <t xml:space="preserve">711 NE 23rd Ter  Cape Coral, FL 33909 </t>
  </si>
  <si>
    <t xml:space="preserve">2138 NE 27th Ter  Cape Coral, FL 33909 </t>
  </si>
  <si>
    <t>18-43-24-c3-05749.0190</t>
  </si>
  <si>
    <t>33176-2790</t>
  </si>
  <si>
    <t>21613-1617</t>
  </si>
  <si>
    <t xml:space="preserve">10678 Cypress Bend Dr  Boca Raton, FL 33498-6338 </t>
  </si>
  <si>
    <t>11-44-25-05-0000c.0150</t>
  </si>
  <si>
    <t>Bushnell</t>
  </si>
  <si>
    <t xml:space="preserve">1015 NE 10th Pl </t>
  </si>
  <si>
    <t>Iris &amp; For Alsop</t>
  </si>
  <si>
    <t xml:space="preserve">6806 Dangelo Ct  Bowie, MD 20720-4725 </t>
  </si>
  <si>
    <t>James Christopher Ronay Trust</t>
  </si>
  <si>
    <t>R136</t>
  </si>
  <si>
    <t>Liverpool</t>
  </si>
  <si>
    <t xml:space="preserve">2104 NE 14th Ave  Cape Coral, FL 33909 </t>
  </si>
  <si>
    <t>11-44-25-09-00000.1830</t>
  </si>
  <si>
    <t xml:space="preserve">2524 NE 1st Pl  Cape Coral, FL 33909 </t>
  </si>
  <si>
    <t xml:space="preserve">6556 Bethesda Rd  Stouffville, ON L4a 3A7 </t>
  </si>
  <si>
    <t>03-44-26-04-00018.0450</t>
  </si>
  <si>
    <t>Giovanny Montufar</t>
  </si>
  <si>
    <t>Cape Coral Unit 87 Blk 5713 Pb 24 Pg 71 Lots 9 + 10</t>
  </si>
  <si>
    <t>25-43-23-c3-02346.0110</t>
  </si>
  <si>
    <t>Cape Coral Unit 84 Blk 5553 Pb 24 Pg 38 Lots 59 + 60</t>
  </si>
  <si>
    <t>Nancy &amp; Matthew Larrison</t>
  </si>
  <si>
    <t>21904-1311</t>
  </si>
  <si>
    <t>Pawlowski</t>
  </si>
  <si>
    <t>Cape Coral Unit 36 Pt 1 Blk 2481 Pb 23 Pg 90 Lots 44 + 45</t>
  </si>
  <si>
    <t xml:space="preserve">10461 SW 201st Ter  Cutler Bay, FL 33189-1341 </t>
  </si>
  <si>
    <t xml:space="preserve">326 Warren St </t>
  </si>
  <si>
    <t>London</t>
  </si>
  <si>
    <t xml:space="preserve">7 Melody Rd </t>
  </si>
  <si>
    <t>Mascoutah</t>
  </si>
  <si>
    <t xml:space="preserve">2nd No </t>
  </si>
  <si>
    <t>Alba</t>
  </si>
  <si>
    <t>33183-3452</t>
  </si>
  <si>
    <t>Rancho Palos Verdes</t>
  </si>
  <si>
    <t>08-45-24-c4-00371.0110</t>
  </si>
  <si>
    <t>Tricia</t>
  </si>
  <si>
    <t>Rambler</t>
  </si>
  <si>
    <t xml:space="preserve">326 NE 25th St  Cape Coral, FL 33909 </t>
  </si>
  <si>
    <t>11-44-25-l1-12000.2940</t>
  </si>
  <si>
    <t>Supraja</t>
  </si>
  <si>
    <t xml:space="preserve">16897 Heiser Rd </t>
  </si>
  <si>
    <t xml:space="preserve">20191 E Country Club Dr #1005 </t>
  </si>
  <si>
    <t>PO Box 1023</t>
  </si>
  <si>
    <t>34104-5406</t>
  </si>
  <si>
    <t>Cape Coral Unit 33 Blk.2237 Pb 16 Pg 48 Lots 1 + 2</t>
  </si>
  <si>
    <t>07067-1515</t>
  </si>
  <si>
    <t>Zamudio</t>
  </si>
  <si>
    <t xml:space="preserve">6988 Weller St </t>
  </si>
  <si>
    <t>Bonet</t>
  </si>
  <si>
    <t>36-43-23-c2-02530.0380</t>
  </si>
  <si>
    <t>01536-1577</t>
  </si>
  <si>
    <t>06-46-24-18-00v00.0200</t>
  </si>
  <si>
    <t>Metabief</t>
  </si>
  <si>
    <t>Ronald &amp; Brenda Nocera</t>
  </si>
  <si>
    <t>Cape Coral Unit 87 Blk.5683 Pb 24 Pg 82 Lots 21 + 22</t>
  </si>
  <si>
    <t>Four &amp; Angela Roe</t>
  </si>
  <si>
    <t xml:space="preserve">1905 NE 33rd Ter </t>
  </si>
  <si>
    <t>33904-5946</t>
  </si>
  <si>
    <t xml:space="preserve">3715 Tallman St  Fort Myers, FL 33905 </t>
  </si>
  <si>
    <t>25-43-23-c4-02353.0420</t>
  </si>
  <si>
    <t>Cleophat &amp; Gerthie Vilmeus</t>
  </si>
  <si>
    <t>33016-3503</t>
  </si>
  <si>
    <t>Giurini</t>
  </si>
  <si>
    <t xml:space="preserve">4110 NE 19th Pl </t>
  </si>
  <si>
    <t xml:space="preserve">2936 Azure Bay Ct  Naples, FL 34119-8686 </t>
  </si>
  <si>
    <t xml:space="preserve">6450 W Berteau Ave #309 </t>
  </si>
  <si>
    <t>Campus</t>
  </si>
  <si>
    <t>05-44-24-c1-03530.0590</t>
  </si>
  <si>
    <t xml:space="preserve">411 Walnut St </t>
  </si>
  <si>
    <t xml:space="preserve">909 NE Juanita Pl  Cape Coral, FL 33909 </t>
  </si>
  <si>
    <t xml:space="preserve">1225 NE 19th Ave  Cape Coral, FL 33909 </t>
  </si>
  <si>
    <t xml:space="preserve">1320 Diplomat Pkwy E  Cape Coral, FL 33909 </t>
  </si>
  <si>
    <t>Cape Coral Unit 26 Blk 873 Pb 14 Pg 130 Lots 8 + 9</t>
  </si>
  <si>
    <t>31-43-24-c1-02165.0130</t>
  </si>
  <si>
    <t>Udo</t>
  </si>
  <si>
    <t xml:space="preserve">605 E Robinson St #450, Orlando, FL 32801-2060 </t>
  </si>
  <si>
    <t xml:space="preserve">6150 Higgins Ave  Fort Myers, FL 33905 </t>
  </si>
  <si>
    <t>03-44-26-02-00007.0260</t>
  </si>
  <si>
    <t>10801-3508</t>
  </si>
  <si>
    <t>33909-1501</t>
  </si>
  <si>
    <t xml:space="preserve">5214 Cypress Trail Resort Cir  Fort Myers, FL 33905 </t>
  </si>
  <si>
    <t xml:space="preserve">2114 Kismet Pkwy E </t>
  </si>
  <si>
    <t xml:space="preserve">2818 NE 6th Ave  Cape Coral, FL 33909 </t>
  </si>
  <si>
    <t>06-44-24-c1-02066.0430</t>
  </si>
  <si>
    <t xml:space="preserve">2005 Kismet Pkwy E </t>
  </si>
  <si>
    <t xml:space="preserve">15423 SW 31st St </t>
  </si>
  <si>
    <t>01-44-23-c2-02465.0240</t>
  </si>
  <si>
    <t xml:space="preserve">1512 NE 19th Ave  Cape Coral, FL 33909 </t>
  </si>
  <si>
    <t xml:space="preserve">6414 W Annandale Way  West Jordan, UT 84081-4174 </t>
  </si>
  <si>
    <t>North Canton</t>
  </si>
  <si>
    <t>Watterson</t>
  </si>
  <si>
    <t>Felix &amp; Anthony Fortunata</t>
  </si>
  <si>
    <t>Cypress Trail Rv Resort Phase 2-A As Desc In Inst# 2014000026506 Lot 169</t>
  </si>
  <si>
    <t>12815-1823</t>
  </si>
  <si>
    <t>Cypress Woods Rv Resort Unit 4 Pb 79 Pgs 68-71 Blk D Lot 43</t>
  </si>
  <si>
    <t>02860-3010</t>
  </si>
  <si>
    <t>07064-1429</t>
  </si>
  <si>
    <t>Titusville</t>
  </si>
  <si>
    <t>Cape Coral Unit 84 Blk 5597 Pb 24 Pg 43 Lots 14 + 15</t>
  </si>
  <si>
    <t>11-44-25-04-0000b.1040</t>
  </si>
  <si>
    <t xml:space="preserve">7286 S Sundown Cir  Littleton, CO 80120-5203 </t>
  </si>
  <si>
    <t>Hoeckelmann</t>
  </si>
  <si>
    <t xml:space="preserve">413 Tropicana Pkwy E  Cape Coral, FL 33909 </t>
  </si>
  <si>
    <t>James &amp; For Labriola</t>
  </si>
  <si>
    <t>Berlin Center</t>
  </si>
  <si>
    <t>17-43-24-c1-05819.0710</t>
  </si>
  <si>
    <t>Zhuo</t>
  </si>
  <si>
    <t>36-43-23-c4-02505.0130</t>
  </si>
  <si>
    <t xml:space="preserve">6926 Pine Run Rd </t>
  </si>
  <si>
    <t xml:space="preserve">427 Whac A Mole Way </t>
  </si>
  <si>
    <t xml:space="preserve">6851 Cadet Ave </t>
  </si>
  <si>
    <t xml:space="preserve">5498 Cypress Trail Resort Cir  Fort Myers, FL 33905 </t>
  </si>
  <si>
    <t xml:space="preserve">351 NE 25th St </t>
  </si>
  <si>
    <t>Chemin Fons Vicaeii</t>
  </si>
  <si>
    <t>Cape Coral Unit 33 Blk 2280 Pb 16 Pg 61 Lots 6 + 7</t>
  </si>
  <si>
    <t xml:space="preserve">4420 Fulton Rd  Cleveland, OH 44144-2931 </t>
  </si>
  <si>
    <t>Cape Coral Unit 35 Blk 2413 Pb 16 Pg 110 Lots 83 + 84</t>
  </si>
  <si>
    <t>Lehigh Acres Unit 2 Blk 8 Pb 26 Pg 4 Lot 19</t>
  </si>
  <si>
    <t>Acquah</t>
  </si>
  <si>
    <t>10023-1360</t>
  </si>
  <si>
    <t>Nursery</t>
  </si>
  <si>
    <t>Parl N E 1/4 Of S E 1/4 Desc Or 26 Pg 632</t>
  </si>
  <si>
    <t xml:space="preserve">10313 Fire Flag Trl </t>
  </si>
  <si>
    <t>Cape Coral Unit 84 Blk 5587 Pb 24 Pg 44 Lots 17 + 18</t>
  </si>
  <si>
    <t xml:space="preserve">4525 Teatree Ct </t>
  </si>
  <si>
    <t xml:space="preserve">1370 Mariposa Cir #106, Naples, FL 34105-7263 </t>
  </si>
  <si>
    <t>94086-6064</t>
  </si>
  <si>
    <t xml:space="preserve">128 Current Dr  Newton, NJ 07860-6112 </t>
  </si>
  <si>
    <t xml:space="preserve">PO Box 5100  Marco Island, FL 34145-5474 </t>
  </si>
  <si>
    <t>Inez</t>
  </si>
  <si>
    <t>Hazel Dell</t>
  </si>
  <si>
    <t>Buckingham Pk Re Blk B U-4 Blk 21 Pb 27 Pg 192 Lot 9</t>
  </si>
  <si>
    <t>Fairway Village</t>
  </si>
  <si>
    <t xml:space="preserve">4800 E 8th Ln  Hialeah, FL 33013-2024 </t>
  </si>
  <si>
    <t xml:space="preserve">5214 Lake Ln  Immokalee, FL 34142-2353 </t>
  </si>
  <si>
    <t>Collum</t>
  </si>
  <si>
    <t xml:space="preserve">405 Ogden Ave </t>
  </si>
  <si>
    <t xml:space="preserve">3040 Mount Vernon Church Rd </t>
  </si>
  <si>
    <t>Cape Coral Unit 34 Blk 2468 Pb 16 Pg 75 Lots 16 + 17</t>
  </si>
  <si>
    <t xml:space="preserve">14385 Brookmere Blvd NW </t>
  </si>
  <si>
    <t>Wayne &amp; Connie Kirby</t>
  </si>
  <si>
    <t xml:space="preserve">914 NE 34th Ter </t>
  </si>
  <si>
    <t xml:space="preserve">536 Clark St </t>
  </si>
  <si>
    <t xml:space="preserve">3010 Marcos Dr R505 </t>
  </si>
  <si>
    <t>Stefanadis Gus &amp; Sonja Tr</t>
  </si>
  <si>
    <t xml:space="preserve">6143 Higgins Ave  Fort Myers, FL 33905 </t>
  </si>
  <si>
    <t xml:space="preserve">2725 SE 24th Ct </t>
  </si>
  <si>
    <t>Huyen-Vi</t>
  </si>
  <si>
    <t>33909-5343</t>
  </si>
  <si>
    <t xml:space="preserve">8 Rose Haven Ln  Rockleigh, NJ 07647-2720 </t>
  </si>
  <si>
    <t xml:space="preserve">7217 Greenbank Rd  Middle River, MD 21220-1113 </t>
  </si>
  <si>
    <t xml:space="preserve">449 E 14th St 7g, New York, NY 10009-2733 </t>
  </si>
  <si>
    <t>Cape Coral Unit 36 Blk 2309 Pb 16 Pg 120 Lots 52 + 53</t>
  </si>
  <si>
    <t>Franklin Center</t>
  </si>
  <si>
    <t>Dubhe Vazquez &amp; Jose Diaz</t>
  </si>
  <si>
    <t>31-43-24-c1-02149.0520</t>
  </si>
  <si>
    <t>Gallardo</t>
  </si>
  <si>
    <t xml:space="preserve">113 Pacella Park Dr </t>
  </si>
  <si>
    <t xml:space="preserve">11511 Fox Sparrow Dr </t>
  </si>
  <si>
    <t xml:space="preserve">8471 Dewey Rd  Montville, OH 44064-9719 </t>
  </si>
  <si>
    <t xml:space="preserve">1119 Lemon Tree Ln  Palm Harbor, FL 34683-2716 </t>
  </si>
  <si>
    <t xml:space="preserve">5951 Maplewood Ct  Fort Myers, FL 33905 </t>
  </si>
  <si>
    <t xml:space="preserve">227 NE 19th Ter  Cape Coral, FL 33909 </t>
  </si>
  <si>
    <t>07628-1917</t>
  </si>
  <si>
    <t xml:space="preserve">1510 NE 34th St  Cape Coral, FL 33909 </t>
  </si>
  <si>
    <t xml:space="preserve">8756 S 83rd Ave  Hickory Hills, IL 60457-1406 </t>
  </si>
  <si>
    <t xml:space="preserve">1105 NE 19th Ter </t>
  </si>
  <si>
    <t xml:space="preserve">1435 Carleton Palm Ct  Fort Myers, FL 33901 </t>
  </si>
  <si>
    <t>Rene Vivo Jr Revocable Trust</t>
  </si>
  <si>
    <t>Cape Coral Unit 34 Blk.2388 Pb 16 Pg 80 Lots 17 + 18</t>
  </si>
  <si>
    <t xml:space="preserve">38 Cranston Ave </t>
  </si>
  <si>
    <t>William Collins</t>
  </si>
  <si>
    <t>Saint Paul</t>
  </si>
  <si>
    <t>Sixto Cordero &amp; Stephanie Cuellar</t>
  </si>
  <si>
    <t xml:space="preserve">1710 NE 37th St  Cape Coral, FL 33909 </t>
  </si>
  <si>
    <t>11542-2666</t>
  </si>
  <si>
    <t xml:space="preserve">1401 NE 19th Ave </t>
  </si>
  <si>
    <t>Pothireddy</t>
  </si>
  <si>
    <t>Cape Coral Unit 17 Blk.1508 Pb 14 Pg 26 Lots 60 + 61</t>
  </si>
  <si>
    <t xml:space="preserve">4001 NE 10th Ave  Cape Coral, FL 33909 </t>
  </si>
  <si>
    <t>Cape Coral Unit 36 Blk 2346 Pb 16 Pg 127 Lots 41 + 42</t>
  </si>
  <si>
    <t xml:space="preserve">6114 Stratton Rd  Fort Myers, FL 33905 </t>
  </si>
  <si>
    <t xml:space="preserve">44 Woodlane St  Granite Falls, NC 28630-1920 </t>
  </si>
  <si>
    <t>33904-3500</t>
  </si>
  <si>
    <t xml:space="preserve">49 Leland Dr </t>
  </si>
  <si>
    <t>Geudtner</t>
  </si>
  <si>
    <t>C168</t>
  </si>
  <si>
    <t xml:space="preserve">2595 SW 99th Ct </t>
  </si>
  <si>
    <t>Parl In Nw 1/4 Of Ne 1/4 As Desc In Or 0498 Pg 0152</t>
  </si>
  <si>
    <t xml:space="preserve">8468 Shadyview Ln N </t>
  </si>
  <si>
    <t>90630-3969</t>
  </si>
  <si>
    <t>Calle 118</t>
  </si>
  <si>
    <t>43228-1359</t>
  </si>
  <si>
    <t>Palos Hills</t>
  </si>
  <si>
    <t>17-43-24-c2-05799.0630</t>
  </si>
  <si>
    <t>Laski</t>
  </si>
  <si>
    <t xml:space="preserve">711 S Manlius St  Fayetteville, NY 13066-2516 </t>
  </si>
  <si>
    <t>Cape Coral Unit 32 Blk 2140 Pb 16 Pg 4 Lots 6 + 7</t>
  </si>
  <si>
    <t>Willow Glen</t>
  </si>
  <si>
    <t xml:space="preserve">2711 Kolby Ct  Bloomington, IL 61704-1505 </t>
  </si>
  <si>
    <t xml:space="preserve">1407 NE 18th Ter </t>
  </si>
  <si>
    <t>Boltz</t>
  </si>
  <si>
    <t>Bruno</t>
  </si>
  <si>
    <t xml:space="preserve">733 El Dorado Pkwy E </t>
  </si>
  <si>
    <t xml:space="preserve">6330 Bluebird Ln  Lockport, NY 14094-9696 </t>
  </si>
  <si>
    <t>Cape Coral Unit 36 Blk 2531 Pb 16 Pg 117 Lots 41 + 42</t>
  </si>
  <si>
    <t>31-43-24-c2-02137.0050</t>
  </si>
  <si>
    <t>Cypress Trail Rv Resort Phase 4-A As Desc In Inst# 20160000135610 Lot 297</t>
  </si>
  <si>
    <t>Cape Coral Unit 85 Pb 24 Pg 56 Blk 5647 Lots 43 + 44</t>
  </si>
  <si>
    <t>George &amp; Margaret Black</t>
  </si>
  <si>
    <t>33909-1354</t>
  </si>
  <si>
    <t>Drucella Bond &amp; Michael For</t>
  </si>
  <si>
    <t>33909-6801</t>
  </si>
  <si>
    <t>Houck</t>
  </si>
  <si>
    <t>Macgregor Family Trust</t>
  </si>
  <si>
    <t>Skaarup</t>
  </si>
  <si>
    <t>Cape Coral Unit 32 Blk 2113 Pb 16 Pg 6 Lots 51 + 52</t>
  </si>
  <si>
    <t xml:space="preserve">3924 NE 9th Pl </t>
  </si>
  <si>
    <t>18-43-24-c2-05735.0050</t>
  </si>
  <si>
    <t xml:space="preserve">4490 W 19th Ct B512 </t>
  </si>
  <si>
    <t>31-44-24-c4-00621.0070</t>
  </si>
  <si>
    <t xml:space="preserve">13388 Island Rd </t>
  </si>
  <si>
    <t>Buckingham Pk Re Blk B U-2 Blk 8 Pb 27 Pg 189 Lot 8</t>
  </si>
  <si>
    <t xml:space="preserve">6965 Calle Del Paz W </t>
  </si>
  <si>
    <t>Radiant Ridge</t>
  </si>
  <si>
    <t>Spraker Barbara Penny Tr</t>
  </si>
  <si>
    <t>53074-1726</t>
  </si>
  <si>
    <t>18-43-24-c3-05740.0510</t>
  </si>
  <si>
    <t xml:space="preserve">318 NE 19th Pl  Cape Coral, FL 33909 </t>
  </si>
  <si>
    <t>PO Box 5100</t>
  </si>
  <si>
    <t>Linda &amp; Linda Oconnor</t>
  </si>
  <si>
    <t>La Rue</t>
  </si>
  <si>
    <t xml:space="preserve">19053 SW 4th St #2, Miami, FL 33174 </t>
  </si>
  <si>
    <t>Gregory &amp; Teresa Ludwig</t>
  </si>
  <si>
    <t>Raymond &amp; Richard Torres</t>
  </si>
  <si>
    <t xml:space="preserve">14501 Dew Dr </t>
  </si>
  <si>
    <t>65355-1261</t>
  </si>
  <si>
    <t>Rahway</t>
  </si>
  <si>
    <t>04-44-25-01-0000b.015a</t>
  </si>
  <si>
    <t>21212-3444</t>
  </si>
  <si>
    <t xml:space="preserve">128 Waters Edge Dr  Mc Cormick, SC 29835-2507 </t>
  </si>
  <si>
    <t xml:space="preserve">4005 NE 8th Pl  Cape Coral, FL 33909 </t>
  </si>
  <si>
    <t>25-43-23-c3-02352.0190</t>
  </si>
  <si>
    <t>53126-9439</t>
  </si>
  <si>
    <t xml:space="preserve">27 Berryrun Dr SW  Rome, GA 30165-8742 </t>
  </si>
  <si>
    <t xml:space="preserve">214 Delray Ave  Fort Myers, FL 33905 </t>
  </si>
  <si>
    <t>33190-1397</t>
  </si>
  <si>
    <t xml:space="preserve">42 Palmdale Dr  Buffalo, NY 14221-4003 </t>
  </si>
  <si>
    <t xml:space="preserve">1301 Thatcher Rd </t>
  </si>
  <si>
    <t xml:space="preserve">3970 Cape Cole Blvd </t>
  </si>
  <si>
    <t>03-44-26-06-00029.0150</t>
  </si>
  <si>
    <t xml:space="preserve">6613 Buckby Rd </t>
  </si>
  <si>
    <t>06-46-24-18-00s00.0270</t>
  </si>
  <si>
    <t>Whelan</t>
  </si>
  <si>
    <t xml:space="preserve">2137 NE 25th Ter  Cape Coral, FL 33909 </t>
  </si>
  <si>
    <t>92128-4013</t>
  </si>
  <si>
    <t xml:space="preserve">10267 Meadow Beauty Trl  Fort Myers, FL 33905 </t>
  </si>
  <si>
    <t>Frankford</t>
  </si>
  <si>
    <t>Prairie</t>
  </si>
  <si>
    <t>Cape Coral Unit 31 Blk 2055 Pb 14 Pg 157 Lots 28 + 29</t>
  </si>
  <si>
    <t>Cape Coral Unit 87 Blk 5751 Pb 24 Pg 68 Lots 3 + 4</t>
  </si>
  <si>
    <t>Humphrey</t>
  </si>
  <si>
    <t xml:space="preserve">1820 Madison Ave 7d, New York, NY 10035-3886 </t>
  </si>
  <si>
    <t>33909-4719</t>
  </si>
  <si>
    <t>Cape Coral Unit 88 Blk 5763 Pb 24 Pg 133 Lots 23 + 24</t>
  </si>
  <si>
    <t>Brickell</t>
  </si>
  <si>
    <t xml:space="preserve">22 Pelikanhaugen  Melhus, NO </t>
  </si>
  <si>
    <t>Lehigh Acres Unit 5 Blk 25 Pb 26 Pg 7 Lot 4</t>
  </si>
  <si>
    <t>Kathleen Hagkull &amp; Laurence Rooney</t>
  </si>
  <si>
    <t xml:space="preserve">1126 SW 112th Way  Fort Lauderdale, FL 33325-4522 </t>
  </si>
  <si>
    <t>33544-8872</t>
  </si>
  <si>
    <t>Cypress Woods Rv Resort Unit 4 Pb 79 Pgs 68-71 Blk D Lot 111</t>
  </si>
  <si>
    <t xml:space="preserve">16999 SW 16th St  Pembroke Pines, FL 33027-1412 </t>
  </si>
  <si>
    <t xml:space="preserve">14444 Woodlawn Dr  Newbury, OH 44065-8801 </t>
  </si>
  <si>
    <t xml:space="preserve">212 NE 6th St  Cape Coral, FL 33909 </t>
  </si>
  <si>
    <t>La Bouilladisse</t>
  </si>
  <si>
    <t>33190-1882</t>
  </si>
  <si>
    <t xml:space="preserve">3332 NE 19th Ave  Cape Coral, FL 33909 </t>
  </si>
  <si>
    <t>03-44-26-06-00028.0100</t>
  </si>
  <si>
    <t>01-44-23-c4-02412.0750</t>
  </si>
  <si>
    <t xml:space="preserve">320 NE 31st St </t>
  </si>
  <si>
    <t xml:space="preserve">4542 Ohio Ave </t>
  </si>
  <si>
    <t>Wake Forest</t>
  </si>
  <si>
    <t>Garry</t>
  </si>
  <si>
    <t>45a</t>
  </si>
  <si>
    <t>44126-2327</t>
  </si>
  <si>
    <t xml:space="preserve">1729 SE 44th Ter </t>
  </si>
  <si>
    <t>Woodstown</t>
  </si>
  <si>
    <t>48th</t>
  </si>
  <si>
    <t>31-44-24-c2-00638.0400</t>
  </si>
  <si>
    <t>Gordon &amp; Judith Hitchings</t>
  </si>
  <si>
    <t>29-43-24-c4-02284.0460</t>
  </si>
  <si>
    <t xml:space="preserve">86-55 Boulevard 2 Apt #28, Barrio Polo Club Bogota, CO </t>
  </si>
  <si>
    <t>49426-9547</t>
  </si>
  <si>
    <t xml:space="preserve">4441 NE Connection Ave </t>
  </si>
  <si>
    <t xml:space="preserve">2625 NE 5th Pl </t>
  </si>
  <si>
    <t>Thomas &amp; Patricia Keane</t>
  </si>
  <si>
    <t xml:space="preserve">2151 Jockey Hollow Dr NW </t>
  </si>
  <si>
    <t xml:space="preserve">24460 SW 194th Ave </t>
  </si>
  <si>
    <t>Gural Morris &amp; Joyce M Tr</t>
  </si>
  <si>
    <t>Joseph &amp; Christina Piela</t>
  </si>
  <si>
    <t xml:space="preserve">1320 Wright Rd  Quakertown, PA 18951-3747 </t>
  </si>
  <si>
    <t>Lourdes Delavega</t>
  </si>
  <si>
    <t xml:space="preserve">3053 41st Ter SW #1, Naples, FL 34116-8327 </t>
  </si>
  <si>
    <t xml:space="preserve">PO Box 1061  North Adams, MA 01247-1061 </t>
  </si>
  <si>
    <t>Bedser</t>
  </si>
  <si>
    <t>Gibbons</t>
  </si>
  <si>
    <t xml:space="preserve">4490 W 19th Ct B512, Hialeah, FL 33012-2867 </t>
  </si>
  <si>
    <t xml:space="preserve">32 St. Francis St #3 </t>
  </si>
  <si>
    <t xml:space="preserve">2429 NE 7th Ave  Cape Coral, FL 33909 </t>
  </si>
  <si>
    <t>29527-4397</t>
  </si>
  <si>
    <t xml:space="preserve">1609 Coral Ave </t>
  </si>
  <si>
    <t xml:space="preserve">10023 Rambelwood Ct  Fort Myers, FL 33905 </t>
  </si>
  <si>
    <t xml:space="preserve">3600 SW 141st Ave </t>
  </si>
  <si>
    <t xml:space="preserve">2006 NE 12th Ln  Cape Coral, FL 33909 </t>
  </si>
  <si>
    <t>Cape Coral Unit 36 Pt 1 Blk 2502 Pb 23 Pg 93 Lots 33 + 34</t>
  </si>
  <si>
    <t>Beechwold</t>
  </si>
  <si>
    <t xml:space="preserve">47 Newell Rd </t>
  </si>
  <si>
    <t xml:space="preserve">2015 NE 34th Ln  Cape Coral, FL 33909 </t>
  </si>
  <si>
    <t>Birkdale</t>
  </si>
  <si>
    <t xml:space="preserve">2216 NE 34th Ln </t>
  </si>
  <si>
    <t>Sayeedi</t>
  </si>
  <si>
    <t>Anton</t>
  </si>
  <si>
    <t>Jose &amp; Estrellita Gatdula</t>
  </si>
  <si>
    <t>Boles</t>
  </si>
  <si>
    <t xml:space="preserve">962 W Portobello Ave </t>
  </si>
  <si>
    <t>Cape Coral Unit 34 Blk 2416 Pb 16 Pg 78 Lots 29 + 30</t>
  </si>
  <si>
    <t>33184-3508</t>
  </si>
  <si>
    <t xml:space="preserve">1704 NE 6th Pl </t>
  </si>
  <si>
    <t>11704-3331</t>
  </si>
  <si>
    <t>32-43-24-c2-02241.0200</t>
  </si>
  <si>
    <t>Cirenia</t>
  </si>
  <si>
    <t>01-44-23-c4-02419.0090</t>
  </si>
  <si>
    <t>33408-5538</t>
  </si>
  <si>
    <t>Magruder</t>
  </si>
  <si>
    <t>Cemetery</t>
  </si>
  <si>
    <t xml:space="preserve">4875 Teak Wood Dr #7303 </t>
  </si>
  <si>
    <t>Cape Coral Unit 34 Blk.2433 Pb 16 Pg 82 Lots 17 + 18</t>
  </si>
  <si>
    <t>33903-4722</t>
  </si>
  <si>
    <t>Garcia-Cartaya</t>
  </si>
  <si>
    <t xml:space="preserve">6024 Jonathan Ave  Fort Myers, FL 33905 </t>
  </si>
  <si>
    <t xml:space="preserve">3021 SE 5th Ave  Cape Coral, FL 33904 </t>
  </si>
  <si>
    <t xml:space="preserve">2731 NE 4th Pl  Cape Coral, FL 33909 </t>
  </si>
  <si>
    <t>32-43-24-c3-02223.0380</t>
  </si>
  <si>
    <t xml:space="preserve">431 Capitol St </t>
  </si>
  <si>
    <t>19-43-24-c1-05548.0310</t>
  </si>
  <si>
    <t xml:space="preserve">16 Lyman St  Beverly, MA 01915-3128 </t>
  </si>
  <si>
    <t>Cape Coral Unit 21 Blk 632 Pb 13 Pg 153 Lots 8 + 9</t>
  </si>
  <si>
    <t xml:space="preserve">25 NE 19th Ter </t>
  </si>
  <si>
    <t>33909-3207</t>
  </si>
  <si>
    <t>Gucciardo</t>
  </si>
  <si>
    <t>Gene Washburn</t>
  </si>
  <si>
    <t>Brilhard</t>
  </si>
  <si>
    <t xml:space="preserve">7433 Big Cypress Dr  Miami Lakes, FL 33014-2556 </t>
  </si>
  <si>
    <t xml:space="preserve">1228 NE 17th Ave </t>
  </si>
  <si>
    <t>Cape Coral Unit 87 Blk 5686 Pb 24 Pg 82 Lots 7 + 8</t>
  </si>
  <si>
    <t>01-44-23-c4-02413.0550</t>
  </si>
  <si>
    <t>02740-5502</t>
  </si>
  <si>
    <t xml:space="preserve">857 San Borja Norte  Lima, PE </t>
  </si>
  <si>
    <t>Douglas &amp; Grace May</t>
  </si>
  <si>
    <t>32-43-24-c2-02243.0050</t>
  </si>
  <si>
    <t>06-46-24-15-00000.1290</t>
  </si>
  <si>
    <t>Csernik</t>
  </si>
  <si>
    <t>67554-2624</t>
  </si>
  <si>
    <t>Saketos</t>
  </si>
  <si>
    <t xml:space="preserve">1656 W 57th Ter  Hialeah, FL 33012-6825 </t>
  </si>
  <si>
    <t xml:space="preserve">2820 Margate Rd </t>
  </si>
  <si>
    <t>Sturbridge</t>
  </si>
  <si>
    <t xml:space="preserve">2617 NE 19th Ave  Cape Coral, FL 33909 </t>
  </si>
  <si>
    <t>Michele</t>
  </si>
  <si>
    <t>67846-4760</t>
  </si>
  <si>
    <t xml:space="preserve">3422 NE 12th Ave  Cape Coral, FL 33909 </t>
  </si>
  <si>
    <t xml:space="preserve">1105 N Gator Cir </t>
  </si>
  <si>
    <t>Daivs</t>
  </si>
  <si>
    <t>Cape Coral Unit 85 Blk 5666 Pb 24 Pg 53 Lots 11 + 12</t>
  </si>
  <si>
    <t xml:space="preserve">1308 SE 32nd St  Cape Coral, FL 33904 </t>
  </si>
  <si>
    <t>02724-1379</t>
  </si>
  <si>
    <t xml:space="preserve">10273 Meadow Beauty Trl </t>
  </si>
  <si>
    <t>Woodin</t>
  </si>
  <si>
    <t>33909-1011</t>
  </si>
  <si>
    <t>Drilon Rada &amp; Himet Sahitaj</t>
  </si>
  <si>
    <t>Cape Coral Unit 33 Blk 2197 Pb 16 Pg 46 Lots 9 10 + 11</t>
  </si>
  <si>
    <t>Uwe</t>
  </si>
  <si>
    <t>31-43-24-c1-02148.0230</t>
  </si>
  <si>
    <t>Lehigh Acres Unit 1 Blk 5 Pb26 Pg2 Lot 12</t>
  </si>
  <si>
    <t xml:space="preserve">70 Danielle Dr  Tewksbury, MA 01876-1673 </t>
  </si>
  <si>
    <t>25-43-23-c3-02341.0850</t>
  </si>
  <si>
    <t xml:space="preserve">Po Box 730852 </t>
  </si>
  <si>
    <t>Arthur Fotopoulos</t>
  </si>
  <si>
    <t>Cape Coral Unit 31 Blk 2073 Pb 14 Pg 161 Lots 17 Thru 19</t>
  </si>
  <si>
    <t>Sanjay</t>
  </si>
  <si>
    <t>Mohabir Maleenia Tr</t>
  </si>
  <si>
    <t>Cape Coral Unit 21 Blk 827 Pb 13 Pg 150 Lots 7 + 8</t>
  </si>
  <si>
    <t xml:space="preserve">6520 Chabot Ave  Fort Myers, FL 33905 </t>
  </si>
  <si>
    <t>Cape Coral Unit 88 Blk 5828 Pb 24 Pg 142 Lots 39 + 40</t>
  </si>
  <si>
    <t>36-44-23-c2-00823.0180</t>
  </si>
  <si>
    <t xml:space="preserve">618 Kismet Pkwy E </t>
  </si>
  <si>
    <t>33909-7338</t>
  </si>
  <si>
    <t>31-43-24-c3-02140.0420</t>
  </si>
  <si>
    <t xml:space="preserve">3401 W Gator Cir  Cape Coral, FL 33909 </t>
  </si>
  <si>
    <t xml:space="preserve">309 NE 20th St </t>
  </si>
  <si>
    <t xml:space="preserve">10337 Fire Flag Trl  Fort Myers, FL 33905 </t>
  </si>
  <si>
    <t xml:space="preserve">509 Kismet Pkwy E </t>
  </si>
  <si>
    <t xml:space="preserve">73 Bay Shore Rd </t>
  </si>
  <si>
    <t>Moody</t>
  </si>
  <si>
    <t xml:space="preserve">7324 W 57th St  Summit Argo, IL 60501-1322 </t>
  </si>
  <si>
    <t>Cape Coral Unit 31 Blk 2085 Pb 14 Pg 165 Lots 14 + 15</t>
  </si>
  <si>
    <t xml:space="preserve">Po Box 621 </t>
  </si>
  <si>
    <t>Davie</t>
  </si>
  <si>
    <t>Stephan</t>
  </si>
  <si>
    <t>Place Robert J &amp; Carol A Tr</t>
  </si>
  <si>
    <t>Cypress Trail Rv Resort Phase 2-A As Desc In Inst# 2014000026506 Lot 30</t>
  </si>
  <si>
    <t>Cape Coral Unit 84 Blk 5610 Pg 24 Pg 36 Lots 21 + 22</t>
  </si>
  <si>
    <t xml:space="preserve">5 Spoke Dr </t>
  </si>
  <si>
    <t>20-43-24-c1-05650.0430</t>
  </si>
  <si>
    <t>Thomas W 1St Addn Tice Blk B Pg 5 Pg 55 Lot 26</t>
  </si>
  <si>
    <t>Cape Coral Unit 31 Blk 2069 Pb 14 Pg 163 Lots 10 Thru 12</t>
  </si>
  <si>
    <t>U I Lutniowa 44</t>
  </si>
  <si>
    <t>Lidonil</t>
  </si>
  <si>
    <t>07203-2055</t>
  </si>
  <si>
    <t>33328-4310</t>
  </si>
  <si>
    <t>Almstead</t>
  </si>
  <si>
    <t>For Carol B Reed Trust</t>
  </si>
  <si>
    <t xml:space="preserve">1414 NE 20th St  Cape Coral, FL 33909 </t>
  </si>
  <si>
    <t>33615-2771</t>
  </si>
  <si>
    <t>01-44-23-c4-02466.0650</t>
  </si>
  <si>
    <t>Long Tran</t>
  </si>
  <si>
    <t xml:space="preserve">1426 NE 34th St  Cape Coral, FL 33909 </t>
  </si>
  <si>
    <t>46507-8521</t>
  </si>
  <si>
    <t>Gault</t>
  </si>
  <si>
    <t xml:space="preserve">2002 Durden Pkwy </t>
  </si>
  <si>
    <t>20-43-24-c2-05663.0280</t>
  </si>
  <si>
    <t xml:space="preserve">7517 Mourning Dove Way  Flowery Branch, GA 30542-5502 </t>
  </si>
  <si>
    <t>17-43-24-c2-05812.0270</t>
  </si>
  <si>
    <t xml:space="preserve">1720 SW 65th Ave  North Lauderdale, FL 33068-5236 </t>
  </si>
  <si>
    <t>11977-1612</t>
  </si>
  <si>
    <t>Hoogstad</t>
  </si>
  <si>
    <t xml:space="preserve">2912 NE Juanita Pl  Cape Coral, FL 33909 </t>
  </si>
  <si>
    <t>Beresford</t>
  </si>
  <si>
    <t xml:space="preserve">3719 Kelsey St  Fort Myers, FL 33905 </t>
  </si>
  <si>
    <t>18-43-24-c3-05714.0090</t>
  </si>
  <si>
    <t>Cape Coral Unit 33 Blk 2285 Pb 16 Pg 59 Lots 36 + 37</t>
  </si>
  <si>
    <t>Bch</t>
  </si>
  <si>
    <t>Carleton Palm</t>
  </si>
  <si>
    <t>17-44-25-p2-0170g.0240</t>
  </si>
  <si>
    <t xml:space="preserve">530 New Los Angeles Ave #115 </t>
  </si>
  <si>
    <t xml:space="preserve">94-440 Maikoiko St #100, Waipahu, HI 96797-2738 </t>
  </si>
  <si>
    <t>33909-2087</t>
  </si>
  <si>
    <t>31-43-24-c1-02149.0030</t>
  </si>
  <si>
    <t>Constitution</t>
  </si>
  <si>
    <t xml:space="preserve">1806 NE 23rd St  Cape Coral, FL 33909 </t>
  </si>
  <si>
    <t>Royal Ct At Waterford</t>
  </si>
  <si>
    <t>Prenner</t>
  </si>
  <si>
    <t xml:space="preserve">4732 NW 84th Ct </t>
  </si>
  <si>
    <t>Cape Coral Unit 33 Blk.2207 Pb 16 Pg 41 Lots 9 + 10</t>
  </si>
  <si>
    <t xml:space="preserve">1105 Vicar Ln  Mount Juliet, TN 37122-4484 </t>
  </si>
  <si>
    <t>Hondo</t>
  </si>
  <si>
    <t>Salman</t>
  </si>
  <si>
    <t>33909-6115</t>
  </si>
  <si>
    <t xml:space="preserve">19 Hemlock St  Merrick, NY 11566-4112 </t>
  </si>
  <si>
    <t xml:space="preserve">20712 Lagoona Dr </t>
  </si>
  <si>
    <t xml:space="preserve">1012 Dolphin Dr </t>
  </si>
  <si>
    <t>Crystal Quagliata</t>
  </si>
  <si>
    <t>James &amp; Sherry Marshall</t>
  </si>
  <si>
    <t xml:space="preserve">1816 Kismet Pkwy E </t>
  </si>
  <si>
    <t>08-44-24-c3-01509.0780</t>
  </si>
  <si>
    <t xml:space="preserve">1019 NE 10th Pl </t>
  </si>
  <si>
    <t xml:space="preserve">4140 NE 16th Ave  Cape Coral, FL 33909 </t>
  </si>
  <si>
    <t>Buckingham Pk Re Blk B U-4 Blk 21 Pb 27 Pg 192 Lot 4</t>
  </si>
  <si>
    <t>Lamore</t>
  </si>
  <si>
    <t>18-43-24-c1-05694.0490</t>
  </si>
  <si>
    <t>33908-8250</t>
  </si>
  <si>
    <t>06-46-24-03-0000b.0050</t>
  </si>
  <si>
    <t>Hovedvejen 26 Vollum</t>
  </si>
  <si>
    <t>Tang</t>
  </si>
  <si>
    <t xml:space="preserve">301 NE 31st Ter  Cape Coral, FL 33909 </t>
  </si>
  <si>
    <t>Richard &amp; Pilar Meriam</t>
  </si>
  <si>
    <t xml:space="preserve">195 State Route 79 N </t>
  </si>
  <si>
    <t>Huckle Richard Tr</t>
  </si>
  <si>
    <t>Sharpe</t>
  </si>
  <si>
    <t>Mouras Besanoon</t>
  </si>
  <si>
    <t xml:space="preserve">1210 NE 18th Ave  Cape Coral, FL 33909 </t>
  </si>
  <si>
    <t xml:space="preserve">10271 Meadow Beauty Trl  Fort Myers, FL 33905 </t>
  </si>
  <si>
    <t>Cape Coral Unit 47 Pt 2 Blk 3530 Pb 23 Pg 121 Lots 35 + 36</t>
  </si>
  <si>
    <t xml:space="preserve">2345 N Euclid Ave </t>
  </si>
  <si>
    <t xml:space="preserve">15400 SW 81st circle Ln #102, Miami, FL 33193-2601 </t>
  </si>
  <si>
    <t xml:space="preserve">420 Diplomat Pkwy E  Cape Coral, FL 33909 </t>
  </si>
  <si>
    <t>Swierk</t>
  </si>
  <si>
    <t>Adubato</t>
  </si>
  <si>
    <t>Omar &amp; Joselyn Lavado-Paredes</t>
  </si>
  <si>
    <t xml:space="preserve">1706 NE 40th Ln  Cape Coral, FL 33909 </t>
  </si>
  <si>
    <t xml:space="preserve">6021 Tabor Ave </t>
  </si>
  <si>
    <t>Milwaukie</t>
  </si>
  <si>
    <t>33909-6600</t>
  </si>
  <si>
    <t>Aniyamma</t>
  </si>
  <si>
    <t>11-44-25-06-0000d.1250</t>
  </si>
  <si>
    <t>County</t>
  </si>
  <si>
    <t>Susan Baker &amp; Cheriel Agergaard</t>
  </si>
  <si>
    <t xml:space="preserve">39 Evita Crt </t>
  </si>
  <si>
    <t>Mirabal</t>
  </si>
  <si>
    <t>For Lilianne Sobrado Trust</t>
  </si>
  <si>
    <t xml:space="preserve">2110 Lydia St </t>
  </si>
  <si>
    <t>Derrick &amp; Michael Lawrence</t>
  </si>
  <si>
    <t>10704-1064</t>
  </si>
  <si>
    <t xml:space="preserve">466 Country Club Dr </t>
  </si>
  <si>
    <t>Yunyun Chen</t>
  </si>
  <si>
    <t>Cape Coral Unit 34 Blk 2440 Pb 16 Pg 81 Lots 19 + 20</t>
  </si>
  <si>
    <t xml:space="preserve">3723 NE 16th Pl  Cape Coral, FL 33909 </t>
  </si>
  <si>
    <t xml:space="preserve">910 NE 12th St  Cape Coral, FL 33909 </t>
  </si>
  <si>
    <t xml:space="preserve">1385 Hyde Park Dr  Port Orange, FL 32128-3772 </t>
  </si>
  <si>
    <t>Cypress Trail Rv Resort Phase 2-A As Desc In Inst# 2014000026506 Lot 203</t>
  </si>
  <si>
    <t>Richard Wolak</t>
  </si>
  <si>
    <t>Terrazas De Guaynabo</t>
  </si>
  <si>
    <t>G2j</t>
  </si>
  <si>
    <t>Leslie &amp; Leslie Betancourt</t>
  </si>
  <si>
    <t>32-43-24-c4-02208.0510</t>
  </si>
  <si>
    <t>Anvaing</t>
  </si>
  <si>
    <t>22304-7713</t>
  </si>
  <si>
    <t>Vanstraten</t>
  </si>
  <si>
    <t>17-43-24-c1-05828.0190</t>
  </si>
  <si>
    <t>Lehigh Acres W Pt Ut 12 Blk 60 Pb 26 Pg 16 Lot 16</t>
  </si>
  <si>
    <t>Alberto Munoz &amp; Luz Gonzalez</t>
  </si>
  <si>
    <t>Osullivan</t>
  </si>
  <si>
    <t>Tommy K Harris and Verna L Sur</t>
  </si>
  <si>
    <t>33908-5680</t>
  </si>
  <si>
    <t>C A C &amp; Martha Egbert</t>
  </si>
  <si>
    <t xml:space="preserve">1025 NE 2nd Pl </t>
  </si>
  <si>
    <t xml:space="preserve">15500 River By Rd  Fort Myers, FL 33908 </t>
  </si>
  <si>
    <t xml:space="preserve">3925 NE 9th Ave  Cape Coral, FL 33909 </t>
  </si>
  <si>
    <t>20-43-24-c3-05671.0390</t>
  </si>
  <si>
    <t xml:space="preserve">1 Harvey Rd </t>
  </si>
  <si>
    <t xml:space="preserve">3781 Criswell Dr  Columbus, OH 43220-4934 </t>
  </si>
  <si>
    <t>Josephina</t>
  </si>
  <si>
    <t>Frenchtown</t>
  </si>
  <si>
    <t xml:space="preserve">1342 NE 33rd Ln  Cape Coral, FL 33909 </t>
  </si>
  <si>
    <t>Yuzhi</t>
  </si>
  <si>
    <t>Conlon</t>
  </si>
  <si>
    <t>Islip</t>
  </si>
  <si>
    <t xml:space="preserve">220 NE 23rd Ter </t>
  </si>
  <si>
    <t>Yaldo</t>
  </si>
  <si>
    <t xml:space="preserve">2011 Andalusia Blvd </t>
  </si>
  <si>
    <t>Holt</t>
  </si>
  <si>
    <t xml:space="preserve">2627 SE 19th Ave  Cape Coral, FL 33904 </t>
  </si>
  <si>
    <t>Forrest</t>
  </si>
  <si>
    <t xml:space="preserve">10 Marc Rd </t>
  </si>
  <si>
    <t xml:space="preserve">12540 SW 207th Ter </t>
  </si>
  <si>
    <t>7 mile</t>
  </si>
  <si>
    <t>Glen Arm</t>
  </si>
  <si>
    <t xml:space="preserve">2148 Bahama Ave </t>
  </si>
  <si>
    <t xml:space="preserve">2735 NW 16th Ter </t>
  </si>
  <si>
    <t>Cape Coral Unit 17 Blk 1539 Pb 14 Pg 34 Lots 17 Thru 19</t>
  </si>
  <si>
    <t>Buckingham Pk Re Blk B U-5 Blk 28 Pb 27 Pg 193 Lot 11</t>
  </si>
  <si>
    <t>TX</t>
  </si>
  <si>
    <t>18-43-24-c3-05585.0060</t>
  </si>
  <si>
    <t>19-43-24-c2-05591.0570</t>
  </si>
  <si>
    <t xml:space="preserve">3621 NE 20th Pl </t>
  </si>
  <si>
    <t>Cape Coral Unit 39 Blk 2751 Pb 16 Pg 154 Lots 27 Thru 29</t>
  </si>
  <si>
    <t xml:space="preserve">914 Manor Ln </t>
  </si>
  <si>
    <t xml:space="preserve">1734 SE 40th St </t>
  </si>
  <si>
    <t>Cape Coral Unit 88 Blk 5785 Pb 24 Pg 131 Lots 29 + 30</t>
  </si>
  <si>
    <t>03-44-26-07-00034.0120</t>
  </si>
  <si>
    <t>Gaetano</t>
  </si>
  <si>
    <t>33909-4229</t>
  </si>
  <si>
    <t>10541-3164</t>
  </si>
  <si>
    <t>For Laveridere Family Trust</t>
  </si>
  <si>
    <t xml:space="preserve">218 NE 9th Pl </t>
  </si>
  <si>
    <t>20-43-24-c3-05670.0340</t>
  </si>
  <si>
    <t xml:space="preserve">82 Galgal Hamazalot St  Port Jefferson, OH 45360 </t>
  </si>
  <si>
    <t>Giacamo</t>
  </si>
  <si>
    <t>Cape Coral Unit 34 Blk 2468 Pb 16 Pg 75 Lots 14 + 15</t>
  </si>
  <si>
    <t>Roelle</t>
  </si>
  <si>
    <t>Helmut</t>
  </si>
  <si>
    <t>Florissant</t>
  </si>
  <si>
    <t xml:space="preserve">2024 NE 7th Pl  Cape Coral, FL 33909 </t>
  </si>
  <si>
    <t>07-44-24-c3-01496.0330</t>
  </si>
  <si>
    <t>33909-7387</t>
  </si>
  <si>
    <t>Cape Coral Unit 19 Blk 1227 Pb 13 Pg 128 Lots 26 + 27</t>
  </si>
  <si>
    <t>21157-6634</t>
  </si>
  <si>
    <t>25-43-23-c2-02333.0250</t>
  </si>
  <si>
    <t>Eden Isle</t>
  </si>
  <si>
    <t xml:space="preserve">605 Malaga Ave  Deltona, FL 32725-8470 </t>
  </si>
  <si>
    <t>19-43-24-c3-05559.0010</t>
  </si>
  <si>
    <t xml:space="preserve">34 Netherford Rd  Maple, ON L6a 1C7 </t>
  </si>
  <si>
    <t xml:space="preserve">1717 NE 4th Ave  Cape Coral, FL 33909 </t>
  </si>
  <si>
    <t>33325-2338</t>
  </si>
  <si>
    <t>40245-4810</t>
  </si>
  <si>
    <t xml:space="preserve">202 Maplewood Ave  Clifton, NJ 07013-1134 </t>
  </si>
  <si>
    <t>Douma</t>
  </si>
  <si>
    <t>Scott Sikorsky &amp; Heather Mathis</t>
  </si>
  <si>
    <t>Harless</t>
  </si>
  <si>
    <t>Raudel Guevara &amp; Adianys Leon</t>
  </si>
  <si>
    <t>William Sardo</t>
  </si>
  <si>
    <t xml:space="preserve">2400 Anton Dr </t>
  </si>
  <si>
    <t xml:space="preserve">92-29 Lamontaveapt 6A </t>
  </si>
  <si>
    <t xml:space="preserve">6890 Sovereign Ct </t>
  </si>
  <si>
    <t>Donald &amp; Barbara Cox</t>
  </si>
  <si>
    <t xml:space="preserve">2885 E Keeling Rd </t>
  </si>
  <si>
    <t>Ariane</t>
  </si>
  <si>
    <t xml:space="preserve">2661 SW 138th Ct  Miami, FL 33175-6580 </t>
  </si>
  <si>
    <t xml:space="preserve">1503 NE 13th Ter </t>
  </si>
  <si>
    <t xml:space="preserve">5196 Cypress Trail Resort Cir </t>
  </si>
  <si>
    <t xml:space="preserve">1415 NE 13th Pl </t>
  </si>
  <si>
    <t>04-44-25-08-00000.0300</t>
  </si>
  <si>
    <t>33909-4714</t>
  </si>
  <si>
    <t>Remsen</t>
  </si>
  <si>
    <t>Roundelay</t>
  </si>
  <si>
    <t>25-43-23-c1-02348.0370</t>
  </si>
  <si>
    <t xml:space="preserve">15061 Cemetery Rd </t>
  </si>
  <si>
    <t xml:space="preserve">3705 NE 16th Ave  Cape Coral, FL 33909 </t>
  </si>
  <si>
    <t>33909-1948</t>
  </si>
  <si>
    <t xml:space="preserve">528 Stockton St </t>
  </si>
  <si>
    <t>46032-1831</t>
  </si>
  <si>
    <t xml:space="preserve">3529 NE 21st Ave </t>
  </si>
  <si>
    <t>Borgen</t>
  </si>
  <si>
    <t>Camilo</t>
  </si>
  <si>
    <t>Cape Coral Unit 85 Blk 5672 Pb 24 Pg 52 Lots 37 + 38</t>
  </si>
  <si>
    <t>Cape Coral Unit 88 Blk 5820 Pb 24 Pg 143 Lot 3</t>
  </si>
  <si>
    <t xml:space="preserve">4316 Connection Ave </t>
  </si>
  <si>
    <t>Melissa</t>
  </si>
  <si>
    <t xml:space="preserve">80 Harding Ave B7, Clifton, NJ 07011-2652 </t>
  </si>
  <si>
    <t xml:space="preserve">2149 NE 20th Ter  Cape Coral, FL 33909 </t>
  </si>
  <si>
    <t xml:space="preserve">59-31 Calle 66 #9, Bogota Cund, CO </t>
  </si>
  <si>
    <t>11795-1046</t>
  </si>
  <si>
    <t>33909-6453</t>
  </si>
  <si>
    <t xml:space="preserve">744 Pemberton Browns Mills Rd </t>
  </si>
  <si>
    <t>Parlin</t>
  </si>
  <si>
    <t xml:space="preserve">2440 Cambridge Dr  Aurora, IL 60506-4210 </t>
  </si>
  <si>
    <t>33904-5255</t>
  </si>
  <si>
    <t>Norton Center</t>
  </si>
  <si>
    <t>Nabil Khalil</t>
  </si>
  <si>
    <t>Williams</t>
  </si>
  <si>
    <t xml:space="preserve">2289 Maple Grove Rd </t>
  </si>
  <si>
    <t>Myrleine</t>
  </si>
  <si>
    <t>17050-2075</t>
  </si>
  <si>
    <t>Prospect</t>
  </si>
  <si>
    <t xml:space="preserve">2008 NE 6th Ave </t>
  </si>
  <si>
    <t>30013-1864</t>
  </si>
  <si>
    <t>33904-7936</t>
  </si>
  <si>
    <t xml:space="preserve">852 Vogiantzis Pkwy </t>
  </si>
  <si>
    <t>Dragan Milosevic</t>
  </si>
  <si>
    <t xml:space="preserve">2213 NE 15th Ter </t>
  </si>
  <si>
    <t>33909-3398</t>
  </si>
  <si>
    <t>Steven Cohen &amp; Natalia Armstrong</t>
  </si>
  <si>
    <t>Lehigh Acres Unit 9 Blk 44 Pb 26 Pg 11 Lot 5</t>
  </si>
  <si>
    <t>14020-9755</t>
  </si>
  <si>
    <t>33909-8845</t>
  </si>
  <si>
    <t>Holder Farm</t>
  </si>
  <si>
    <t>Leo Momany &amp; Leo For</t>
  </si>
  <si>
    <t xml:space="preserve">213 S Griffin St </t>
  </si>
  <si>
    <t xml:space="preserve">1413 NE 23rd Ter </t>
  </si>
  <si>
    <t xml:space="preserve">3607 NE 19th Ave </t>
  </si>
  <si>
    <t xml:space="preserve">1918 NE 27th Ter  Cape Coral, FL 33909 </t>
  </si>
  <si>
    <t>31-44-24-c1-00659.0350</t>
  </si>
  <si>
    <t>Cape May</t>
  </si>
  <si>
    <t>Lehigh Acres Unit 5 Blk 26 Pb 26 Pg 7 Lot 10</t>
  </si>
  <si>
    <t xml:space="preserve">6022 Juliet Ave </t>
  </si>
  <si>
    <t>Cape Coral Unit 36 Pt 1 Blk 2101 Pb 23 Pg 93 Lots 71 + 72</t>
  </si>
  <si>
    <t>11746-8328</t>
  </si>
  <si>
    <t>30005-7275</t>
  </si>
  <si>
    <t>Mcgehee</t>
  </si>
  <si>
    <t xml:space="preserve">1149 NE 36th Ln </t>
  </si>
  <si>
    <t>Urb Fajardo</t>
  </si>
  <si>
    <t>Cape Coral Unit 21 Blk 621 Pb 13 Pg 151 Lots 7 + 8</t>
  </si>
  <si>
    <t xml:space="preserve">6042 Stratton Rd  Fort Myers, FL 33905 </t>
  </si>
  <si>
    <t xml:space="preserve">250 Heltzels Ct NE </t>
  </si>
  <si>
    <t xml:space="preserve">11 NE 8th Ter  Cape Coral, FL 33909 </t>
  </si>
  <si>
    <t xml:space="preserve">84 Lindbergh Ave  Staten Island, NY 10306-4324 </t>
  </si>
  <si>
    <t xml:space="preserve">1080 Cedar Creek Way </t>
  </si>
  <si>
    <t xml:space="preserve">6610 Cody St  Hollywood, FL 33024-2935 </t>
  </si>
  <si>
    <t xml:space="preserve">5109 White Sky Cir </t>
  </si>
  <si>
    <t>Harrisonburg</t>
  </si>
  <si>
    <t>Cape Coral Unit 88 Blk 5795 Pb 24 Pg 130 Lots 27 + 28</t>
  </si>
  <si>
    <t xml:space="preserve">1712 NE 1st Ave </t>
  </si>
  <si>
    <t>Juleys</t>
  </si>
  <si>
    <t>Cape Coral Unit 35 Blk.2370 Pb 16 Pg 101 Lots 1 + 2</t>
  </si>
  <si>
    <t>Cape Coral Unit 36 Blk 2349 Pb 16 Pg 125 Lots 37 + 38</t>
  </si>
  <si>
    <t>Damien Rodini</t>
  </si>
  <si>
    <t>33021-6408</t>
  </si>
  <si>
    <t>For Elaine A Carey Trust</t>
  </si>
  <si>
    <t xml:space="preserve">4025 NE 21st Pl  Cape Coral, FL 33909 </t>
  </si>
  <si>
    <t>Yinay</t>
  </si>
  <si>
    <t>Fountainebleau</t>
  </si>
  <si>
    <t>Cooan Willis &amp; Kimberly Tr</t>
  </si>
  <si>
    <t>25-43-23-c3-02355.0620</t>
  </si>
  <si>
    <t>De J Rosales</t>
  </si>
  <si>
    <t>130th</t>
  </si>
  <si>
    <t xml:space="preserve">204 NE 25th Ter  Cape Coral, FL 33909 </t>
  </si>
  <si>
    <t>33196-5755</t>
  </si>
  <si>
    <t>B082</t>
  </si>
  <si>
    <t>Nancy &amp; David Drees</t>
  </si>
  <si>
    <t>Mount Kisco</t>
  </si>
  <si>
    <t>Cape Coral Unit 31 Blk 2055 Pb 14 Pg 157 Lots 26 + 27</t>
  </si>
  <si>
    <t>33905-7736</t>
  </si>
  <si>
    <t xml:space="preserve">1802 NE 33rd St  Cape Coral, FL 33909 </t>
  </si>
  <si>
    <t xml:space="preserve">13650 SW 23rd Ter  Miami, FL 33175-6344 </t>
  </si>
  <si>
    <t xml:space="preserve">6042 Stratton Rd </t>
  </si>
  <si>
    <t>Adrian</t>
  </si>
  <si>
    <t>60139-2107</t>
  </si>
  <si>
    <t>Lk</t>
  </si>
  <si>
    <t>11507-1936</t>
  </si>
  <si>
    <t xml:space="preserve">1418 NE 16th Pl </t>
  </si>
  <si>
    <t xml:space="preserve">3718 NE 13th Ave  Cape Coral, FL 33909 </t>
  </si>
  <si>
    <t xml:space="preserve">18970 Knoll Landing Dr </t>
  </si>
  <si>
    <t>Ellison</t>
  </si>
  <si>
    <t>33156-7026</t>
  </si>
  <si>
    <t>Marsyal</t>
  </si>
  <si>
    <t xml:space="preserve">8783 254th St  Bellerose, NY 11426-2329 </t>
  </si>
  <si>
    <t>01-44-23-c2-02454.0170</t>
  </si>
  <si>
    <t xml:space="preserve">484 Long Ridge Rd </t>
  </si>
  <si>
    <t>33909-1409</t>
  </si>
  <si>
    <t xml:space="preserve">PO Box 196  Harborcreek, PA 16421 </t>
  </si>
  <si>
    <t>Kaylor</t>
  </si>
  <si>
    <t xml:space="preserve">1 Harvey Rd  Carbondale, IL 62902-7755 </t>
  </si>
  <si>
    <t>33909-7333</t>
  </si>
  <si>
    <t xml:space="preserve">1791 SW Angelo St  Port Saint Lucie, FL 34953-1428 </t>
  </si>
  <si>
    <t xml:space="preserve">1306 NE 12th St </t>
  </si>
  <si>
    <t xml:space="preserve">4413 NE 21st Ct  Cape Coral, FL 33909 </t>
  </si>
  <si>
    <t>L5W 1Z1</t>
  </si>
  <si>
    <t>33909-4567</t>
  </si>
  <si>
    <t>Bean</t>
  </si>
  <si>
    <t>L5R 0C8</t>
  </si>
  <si>
    <t xml:space="preserve">27017 15th Ave NE </t>
  </si>
  <si>
    <t>33312-1140</t>
  </si>
  <si>
    <t>25-43-23-c3-02311.0490</t>
  </si>
  <si>
    <t>Freedom</t>
  </si>
  <si>
    <t>Maiquel</t>
  </si>
  <si>
    <t>21853-1333</t>
  </si>
  <si>
    <t xml:space="preserve">3909 NE 19th Pl  Cape Coral, FL 33909 </t>
  </si>
  <si>
    <t>03-44-25-01-00052.0030</t>
  </si>
  <si>
    <t xml:space="preserve">3725 Tallman St  Fort Myers, FL 33905 </t>
  </si>
  <si>
    <t>Higuita</t>
  </si>
  <si>
    <t>R072</t>
  </si>
  <si>
    <t xml:space="preserve">15 Liberty Ave  Hampden, ME 04444-1345 </t>
  </si>
  <si>
    <t>L3R 7Z1</t>
  </si>
  <si>
    <t>9p</t>
  </si>
  <si>
    <t xml:space="preserve">1413 NE 4th Pl  Cape Coral, FL 33909 </t>
  </si>
  <si>
    <t xml:space="preserve">21 Providence Ct  Newtown, PA 18940-9796 </t>
  </si>
  <si>
    <t>Andrew Johnston</t>
  </si>
  <si>
    <t xml:space="preserve">10248 Meadow Beauty Trl  Fort Myers, FL 33905 </t>
  </si>
  <si>
    <t>60056-3071</t>
  </si>
  <si>
    <t>Lindsay Brilhard &amp; Patty Nail</t>
  </si>
  <si>
    <t>33909-8306</t>
  </si>
  <si>
    <t>Villamil</t>
  </si>
  <si>
    <t>29-43-26-05-00089.0210</t>
  </si>
  <si>
    <t>36-43-23-c3-02509.0180</t>
  </si>
  <si>
    <t>For Greiman-Carlson Trust</t>
  </si>
  <si>
    <t xml:space="preserve">3928 NE 17th Ave  Cape Coral, FL 33909 </t>
  </si>
  <si>
    <t>Cape Coral Unit 33 Blk 2284 Pb 16 Pg 59 Lots 41 Thru 43</t>
  </si>
  <si>
    <t>62356-3219</t>
  </si>
  <si>
    <t>Cape Coral Unit 4 Pt.2 Blk.140 Pb 12 Pg 13 Lots 5 + 6</t>
  </si>
  <si>
    <t xml:space="preserve">2809 NE 4th Pl </t>
  </si>
  <si>
    <t>Linda Battaglia</t>
  </si>
  <si>
    <t xml:space="preserve">3867 E Mackay Ct </t>
  </si>
  <si>
    <t xml:space="preserve">814 NE 41st Ln  Cape Coral, FL 33909 </t>
  </si>
  <si>
    <t xml:space="preserve">2124 NE 10th Pl </t>
  </si>
  <si>
    <t>Lucille</t>
  </si>
  <si>
    <t xml:space="preserve">3644 NE 11th Ave  Cape Coral, FL 33909 </t>
  </si>
  <si>
    <t>33903-3319</t>
  </si>
  <si>
    <t xml:space="preserve">998 Tropical Palm Ave  North Fort Myers, FL 33903 </t>
  </si>
  <si>
    <t xml:space="preserve">8 Fairview Ave </t>
  </si>
  <si>
    <t>Mark &amp; Renee Barkman</t>
  </si>
  <si>
    <t xml:space="preserve">6630 Evans St </t>
  </si>
  <si>
    <t>20-43-24-c1-05646.0190</t>
  </si>
  <si>
    <t>Cypress Woods Rv Resort Unit 4 Pb 79 Pgs 68-71 Blk D Lot 5</t>
  </si>
  <si>
    <t>33909-6110</t>
  </si>
  <si>
    <t xml:space="preserve">1021 Colonial Ct </t>
  </si>
  <si>
    <t>Ft Myers Shores Unit 6 Blk 90 Pb 17 Pg 79 Lot 29</t>
  </si>
  <si>
    <t>Cape Coral Unit 34 Blk 2462 Pb 16 Pg 81 Lots 32 + 33</t>
  </si>
  <si>
    <t>Cape Coral Unit 32 Blk 2165 Pb 16 Pg 8 Lots 39 + 40</t>
  </si>
  <si>
    <t>33909-3344</t>
  </si>
  <si>
    <t xml:space="preserve">1721 NE 36th Ln  Cape Coral, FL 33909 </t>
  </si>
  <si>
    <t xml:space="preserve">14 Clearview Ave </t>
  </si>
  <si>
    <t>3a</t>
  </si>
  <si>
    <t xml:space="preserve">12931 SW 117th St  Miami, FL 33186-4616 </t>
  </si>
  <si>
    <t xml:space="preserve">2877 Lucena Ln  Jacksonville, FL 32246-5567 </t>
  </si>
  <si>
    <t>36-43-23-c1-02517.0770</t>
  </si>
  <si>
    <t>01-44-23-c3-02053.0830</t>
  </si>
  <si>
    <t xml:space="preserve">1029 NE 2nd St  Cape Coral, FL 33909 </t>
  </si>
  <si>
    <t xml:space="preserve">1704 N Bell St #208 </t>
  </si>
  <si>
    <t xml:space="preserve">3003 NE 5th Pl  Cape Coral, FL 33909 </t>
  </si>
  <si>
    <t>17-43-24-c1-05820.0310</t>
  </si>
  <si>
    <t xml:space="preserve">11301 Liberty Ave </t>
  </si>
  <si>
    <t>Freehold</t>
  </si>
  <si>
    <t>11-44-25-08-00000.1940</t>
  </si>
  <si>
    <t>Island</t>
  </si>
  <si>
    <t>Cape Coral Unit 84 Blk 5579 Pb 24 Pg 39 Lots 47 + 48</t>
  </si>
  <si>
    <t>Pershadsingh</t>
  </si>
  <si>
    <t xml:space="preserve">410 Goodman Dr  Gallatin, TN 37066-6763 </t>
  </si>
  <si>
    <t xml:space="preserve">20 Wheatsheaf Rd  Shamong, NJ 08088-8927 </t>
  </si>
  <si>
    <t>Cape Coral Unit 85 Blk.5634 Pb 24 Pg 50 Lots 6 + 7</t>
  </si>
  <si>
    <t xml:space="preserve">741 E Milton Ave </t>
  </si>
  <si>
    <t>Philadelphia</t>
  </si>
  <si>
    <t xml:space="preserve">7085 Parcell Rd </t>
  </si>
  <si>
    <t>Cape Coral Unit 33 Blk 2191 Pb 16 Pg 50 Lots 33 + 34</t>
  </si>
  <si>
    <t>Laguna</t>
  </si>
  <si>
    <t>Elsa</t>
  </si>
  <si>
    <t xml:space="preserve">5671 Starboard Dr  Discovery Bay, CA 94505-9324 </t>
  </si>
  <si>
    <t>Arvydas Zyle</t>
  </si>
  <si>
    <t>89117-7023</t>
  </si>
  <si>
    <t xml:space="preserve">35 Peachtree Ln </t>
  </si>
  <si>
    <t>Roseann</t>
  </si>
  <si>
    <t>Suzanne</t>
  </si>
  <si>
    <t>11-44-25-04-0000b.0210</t>
  </si>
  <si>
    <t>Maharaj</t>
  </si>
  <si>
    <t xml:space="preserve">110 Breakneck Rd  Oakland, NJ 07436-2404 </t>
  </si>
  <si>
    <t>36-43-23-c4-02546.0110</t>
  </si>
  <si>
    <t>Providence</t>
  </si>
  <si>
    <t>33060-5510</t>
  </si>
  <si>
    <t>87506-8527</t>
  </si>
  <si>
    <t xml:space="preserve">3411 NE 13th Pl  Cape Coral, FL 33909 </t>
  </si>
  <si>
    <t xml:space="preserve">19 Pinery Dr  Minesing, ON L9x 0C3 </t>
  </si>
  <si>
    <t>33351-7111</t>
  </si>
  <si>
    <t xml:space="preserve">Billwerder #9, Hamburg, DE 21033 </t>
  </si>
  <si>
    <t>Altman</t>
  </si>
  <si>
    <t>33-43-25-01-00001.0000</t>
  </si>
  <si>
    <t>11214-7031</t>
  </si>
  <si>
    <t>Diane M Donnelly &amp; Diane Donnelly</t>
  </si>
  <si>
    <t>Moncada</t>
  </si>
  <si>
    <t>Emma &amp; For Varner</t>
  </si>
  <si>
    <t>Jair</t>
  </si>
  <si>
    <t>Cypress Trail Rv Resort Phase 4-C Block A Lot 130 As Desc In Inst 2019000042424</t>
  </si>
  <si>
    <t xml:space="preserve">16881 SW 278th St </t>
  </si>
  <si>
    <t>10314-6719</t>
  </si>
  <si>
    <t>JP</t>
  </si>
  <si>
    <t>Marsch</t>
  </si>
  <si>
    <t>Carlos &amp; Onoria Martinez</t>
  </si>
  <si>
    <t>Kiomara</t>
  </si>
  <si>
    <t xml:space="preserve">1205 NE 13th Pl  Cape Coral, FL 33909 </t>
  </si>
  <si>
    <t>Rizzo</t>
  </si>
  <si>
    <t>West Hempstead</t>
  </si>
  <si>
    <t>Juan &amp; Juan Remache</t>
  </si>
  <si>
    <t>For Mary Olson Trust</t>
  </si>
  <si>
    <t>08817-2280</t>
  </si>
  <si>
    <t>Mercedez</t>
  </si>
  <si>
    <t>Lehigh Acres Unit 7 Blk 33 Pb 26 Pg 9 Lot 21</t>
  </si>
  <si>
    <t xml:space="preserve">PO Box 3363  Gilbert, AZ 85299-3363 </t>
  </si>
  <si>
    <t xml:space="preserve">2515 NE 7th Pl  Cape Coral, FL 33909 </t>
  </si>
  <si>
    <t>33909-4802</t>
  </si>
  <si>
    <t>For 2713 Ne 4Th Ave Land Trust</t>
  </si>
  <si>
    <t xml:space="preserve"># 901  Bogota, CO </t>
  </si>
  <si>
    <t xml:space="preserve">5252 Cypress Trail Resort Cir  Fort Myers, FL 33905 </t>
  </si>
  <si>
    <t>Bettye J Hooker Trust</t>
  </si>
  <si>
    <t>Claude &amp; Nancy Arnold</t>
  </si>
  <si>
    <t>H066</t>
  </si>
  <si>
    <t xml:space="preserve">1405 NE 16th Pl  Cape Coral, FL 33909 </t>
  </si>
  <si>
    <t xml:space="preserve">9001 Lake Park Cir N </t>
  </si>
  <si>
    <t>41094-8279</t>
  </si>
  <si>
    <t>33909-4513</t>
  </si>
  <si>
    <t>Chong Lee &amp; Sandy Park</t>
  </si>
  <si>
    <t>06413-1102</t>
  </si>
  <si>
    <t>33905-7785</t>
  </si>
  <si>
    <t xml:space="preserve">3712 NE 12th Ave </t>
  </si>
  <si>
    <t>Palmona Park Unit 2 Blk 33 Pb 7 Pg 57 Lots 16 + 17 Less the Nly 5 Ft</t>
  </si>
  <si>
    <t xml:space="preserve">1623 NE 34th St </t>
  </si>
  <si>
    <t>17-43-24-c2-05803.0290</t>
  </si>
  <si>
    <t>33909-1747</t>
  </si>
  <si>
    <t>17-45-24-c1-00077.0240</t>
  </si>
  <si>
    <t>Cape Coral Unit 34 Blk 2445 Pb 16 Pg 75 Lots 59 + 60</t>
  </si>
  <si>
    <t xml:space="preserve">1732 NE 1st Ave  Cape Coral, FL 33909 </t>
  </si>
  <si>
    <t>Juan &amp; Edith Samaniego</t>
  </si>
  <si>
    <t xml:space="preserve">61 Upper Canada Dr </t>
  </si>
  <si>
    <t>20-43-24-c2-05668.0560</t>
  </si>
  <si>
    <t>Cape Coral Unit 87 Blk 5694 Pb 24 Pg 81 Lots 41 + 42</t>
  </si>
  <si>
    <t>Rene</t>
  </si>
  <si>
    <t xml:space="preserve">PO Box 993747 #1, Redding, CA 96099-3747 </t>
  </si>
  <si>
    <t>05-44-24-c2-2220a.0070</t>
  </si>
  <si>
    <t>Ninth</t>
  </si>
  <si>
    <t>35-45-24-00-00008.0000</t>
  </si>
  <si>
    <t>Kenkeo</t>
  </si>
  <si>
    <t>Sadeeq</t>
  </si>
  <si>
    <t xml:space="preserve">408 SW 31st Ave  Miami, FL 33135-2764 </t>
  </si>
  <si>
    <t>06-44-24-c1-02079.0390</t>
  </si>
  <si>
    <t>Chickering</t>
  </si>
  <si>
    <t>Stillman Valley</t>
  </si>
  <si>
    <t xml:space="preserve">8103 11th Ave  Brooklyn, NY 11228-2911 </t>
  </si>
  <si>
    <t xml:space="preserve">1809 NE 21st Ave </t>
  </si>
  <si>
    <t>Marie-Ange</t>
  </si>
  <si>
    <t>Gutting</t>
  </si>
  <si>
    <t>32-43-24-c1-02178.0220</t>
  </si>
  <si>
    <t>Marlene S Solomon-Lodge Revocable Trust</t>
  </si>
  <si>
    <t>Dean Soucy &amp; Darlene Rice</t>
  </si>
  <si>
    <t>11801-5510</t>
  </si>
  <si>
    <t>Den Tannen 24</t>
  </si>
  <si>
    <t>Cape Coral Unit 47 Part 2 Blk.3543 Pb 23 Pg 118 Lots 30 + 31</t>
  </si>
  <si>
    <t xml:space="preserve">20327 Land St </t>
  </si>
  <si>
    <t>Paul Nguyen</t>
  </si>
  <si>
    <t>09-44-26-00-00001.0010</t>
  </si>
  <si>
    <t>Magali Medina</t>
  </si>
  <si>
    <t xml:space="preserve">10063 Rambelwood Ct  Fort Myers, FL 33905 </t>
  </si>
  <si>
    <t xml:space="preserve">2511 NE 7th Ave </t>
  </si>
  <si>
    <t>Auf Dem Brink</t>
  </si>
  <si>
    <t>01-44-23-c1-02464.0300</t>
  </si>
  <si>
    <t xml:space="preserve">400 NE 18th St  Cape Coral, FL 33909 </t>
  </si>
  <si>
    <t>17-43-24-c1-05777.0310</t>
  </si>
  <si>
    <t>31-43-24-c4-02107.0050</t>
  </si>
  <si>
    <t xml:space="preserve">10221 Meadow Beauty Trl </t>
  </si>
  <si>
    <t>07936-3060</t>
  </si>
  <si>
    <t>Stammham</t>
  </si>
  <si>
    <t>Onsted</t>
  </si>
  <si>
    <t xml:space="preserve">2207 NE 4th St  Cape Coral, FL 33909 </t>
  </si>
  <si>
    <t>Emedira &amp; Elsa Orama</t>
  </si>
  <si>
    <t>11236-3929</t>
  </si>
  <si>
    <t xml:space="preserve">3720 Kelsey St </t>
  </si>
  <si>
    <t>18-43-24-c4-05705.0050</t>
  </si>
  <si>
    <t xml:space="preserve">211 Sunset Dr </t>
  </si>
  <si>
    <t xml:space="preserve">1021 NE 32nd Ter </t>
  </si>
  <si>
    <t>Cape Coral Unit 19 Blk 1210 Pb 13 Pg 126 Lots 20 + 21</t>
  </si>
  <si>
    <t xml:space="preserve">587-2050 PO Box 587-2050  CR </t>
  </si>
  <si>
    <t xml:space="preserve">1313 Field Ave </t>
  </si>
  <si>
    <t>B049</t>
  </si>
  <si>
    <t>ND</t>
  </si>
  <si>
    <t xml:space="preserve">PO Box 187  Deerfield, NH 03037 </t>
  </si>
  <si>
    <t>Cape Coral Unit 85 Blk 5669 Pb 24 Pg 53 Lots 20 + 21</t>
  </si>
  <si>
    <t xml:space="preserve">24 NE 23rd Ter  Cape Coral, FL 33909 </t>
  </si>
  <si>
    <t xml:space="preserve">437 West Ct NW </t>
  </si>
  <si>
    <t>31-43-24-c4-02101.0510</t>
  </si>
  <si>
    <t>Susanville</t>
  </si>
  <si>
    <t xml:space="preserve">29 Bahnhof St  Lincoln, MA 01773 </t>
  </si>
  <si>
    <t xml:space="preserve">Po Box 680654 </t>
  </si>
  <si>
    <t xml:space="preserve">6041 Joplin Ave </t>
  </si>
  <si>
    <t xml:space="preserve">13229 SW 17th Ln #1, Miami, FL 33175-7600 </t>
  </si>
  <si>
    <t xml:space="preserve">124 W 48th St </t>
  </si>
  <si>
    <t xml:space="preserve">431 E Rossetti Dr </t>
  </si>
  <si>
    <t>55372-4829</t>
  </si>
  <si>
    <t xml:space="preserve">16 Lyman St </t>
  </si>
  <si>
    <t>Cape Coral Unit 35 Blk 2379 Pb 16 Pg 103 Lots 44 + 45</t>
  </si>
  <si>
    <t>Gregory Billups</t>
  </si>
  <si>
    <t xml:space="preserve">10252 Meadow Beauty Trl  Fort Myers, FL 33905 </t>
  </si>
  <si>
    <t xml:space="preserve">497 Apardado  Curridabat, CR 02300 </t>
  </si>
  <si>
    <t xml:space="preserve">2117 NE 23rd Ter </t>
  </si>
  <si>
    <t>Cape Coral Unit 84 Blk 5597 Pb 24 Pg 43 Lots 10 + 11</t>
  </si>
  <si>
    <t xml:space="preserve">2205 NE 5th St  Cape Coral, FL 33909 </t>
  </si>
  <si>
    <t xml:space="preserve">11235 Linaro Rd </t>
  </si>
  <si>
    <t>36-43-23-c1-02515.0680</t>
  </si>
  <si>
    <t xml:space="preserve">3648 Country Club Blvd  Cape Coral, FL 33904 </t>
  </si>
  <si>
    <t xml:space="preserve">5161 Cypress Trail Resort Cir </t>
  </si>
  <si>
    <t>33909-3393</t>
  </si>
  <si>
    <t xml:space="preserve">5224 Pineland Daisy Trl </t>
  </si>
  <si>
    <t xml:space="preserve">3836 Highlight St  Fort Myers, FL 33905 </t>
  </si>
  <si>
    <t>90815-2238</t>
  </si>
  <si>
    <t xml:space="preserve">2409 NW 28th St  Cape Coral, FL 33993-8419 </t>
  </si>
  <si>
    <t>Ariel Gore &amp; Batel Yafit-Gore</t>
  </si>
  <si>
    <t>12-44-23-c1-02404.0260</t>
  </si>
  <si>
    <t>06-44-24-c3-02065.0010</t>
  </si>
  <si>
    <t xml:space="preserve">117 Meemaa Ave </t>
  </si>
  <si>
    <t>45206-1715</t>
  </si>
  <si>
    <t>Cape Coral Unit 19 Blk 1222 Pb 13 Pg 133 Lots 19 + 20</t>
  </si>
  <si>
    <t xml:space="preserve">16907 Gothic Dr  Jamaica, NY 11432-2041 </t>
  </si>
  <si>
    <t>Palisade</t>
  </si>
  <si>
    <t>Submerged</t>
  </si>
  <si>
    <t xml:space="preserve">411 NE 30th Ter </t>
  </si>
  <si>
    <t xml:space="preserve">1809 NE 34th Ln </t>
  </si>
  <si>
    <t xml:space="preserve">3 Grand Rue  La Veze, FR </t>
  </si>
  <si>
    <t xml:space="preserve">11284 Barnsley Way  Marriottsville, MD 21104-1480 </t>
  </si>
  <si>
    <t>18-43-24-c4-05699.0290</t>
  </si>
  <si>
    <t xml:space="preserve">11209 Monarch St </t>
  </si>
  <si>
    <t>Flinchum</t>
  </si>
  <si>
    <t>Cape Coral Unit 35 Blk 2370 Pb 16 Pg 104 Lots 36 + 37</t>
  </si>
  <si>
    <t>Hockessin</t>
  </si>
  <si>
    <t xml:space="preserve">1124 NE 32nd St </t>
  </si>
  <si>
    <t>Marsalis</t>
  </si>
  <si>
    <t>Marshmallow</t>
  </si>
  <si>
    <t>60178-1062</t>
  </si>
  <si>
    <t>Cape Coral Unit 36 Blk 2304 Pb 16 Pg 119 Lots 5 + 6</t>
  </si>
  <si>
    <t xml:space="preserve">1737 NE 6th Ave  Cape Coral, FL 33909 </t>
  </si>
  <si>
    <t>Inverness</t>
  </si>
  <si>
    <t>Alice Chen</t>
  </si>
  <si>
    <t>33909-4366</t>
  </si>
  <si>
    <t xml:space="preserve">10326 Venitia Real Ave #111, Tampa, FL 33647-4031 </t>
  </si>
  <si>
    <t xml:space="preserve">2030 NE 10th Ave  Cape Coral, FL 33909 </t>
  </si>
  <si>
    <t>Tamara</t>
  </si>
  <si>
    <t>Oakview</t>
  </si>
  <si>
    <t xml:space="preserve">2020 NE 40th St </t>
  </si>
  <si>
    <t>Whitewater Canyon</t>
  </si>
  <si>
    <t>PO Box 19462</t>
  </si>
  <si>
    <t>Cape Coral Unit 84 Blk 5619 Pb 24 Pg 33 Lots 34 + 35</t>
  </si>
  <si>
    <t xml:space="preserve">1109 S Washington Ave  Royal Oak, MI 48067-3219 </t>
  </si>
  <si>
    <t xml:space="preserve">18 Springhill Dr </t>
  </si>
  <si>
    <t>Bridgewater</t>
  </si>
  <si>
    <t>03-44-26-01-00003.0430</t>
  </si>
  <si>
    <t>Cape Coral Unit 84 Blk 5558 Pb 24 Pg 32 Lots 13 + 14</t>
  </si>
  <si>
    <t xml:space="preserve">144 Beaver Run Dr  Coppell, TX 75019-4865 </t>
  </si>
  <si>
    <t>H012</t>
  </si>
  <si>
    <t xml:space="preserve">3620 NE 20th Pl  Cape Coral, FL 33909 </t>
  </si>
  <si>
    <t>10306-6141</t>
  </si>
  <si>
    <t xml:space="preserve">1064 Timber Trl </t>
  </si>
  <si>
    <t>Deangelis</t>
  </si>
  <si>
    <t xml:space="preserve">PO Box 60324  San Diego, CA 92166-8324 </t>
  </si>
  <si>
    <t xml:space="preserve">1520 NE 35th Ln  Cape Coral, FL 33909 </t>
  </si>
  <si>
    <t xml:space="preserve">Po Box 220399 </t>
  </si>
  <si>
    <t>Manteca</t>
  </si>
  <si>
    <t xml:space="preserve">5770 Cypress Woods Resort Dr  Fort Myers, FL 33905 </t>
  </si>
  <si>
    <t>Cape Coral Unit 85 Blk 5655 Pb 24 Pg 57 Lots 1 + 2</t>
  </si>
  <si>
    <t>Cape Coral Unit 88 Blk 5797 Pb 24 Pg 137 Lots 39 + 40</t>
  </si>
  <si>
    <t xml:space="preserve">817 Washington St  Key West, FL 33040-4751 </t>
  </si>
  <si>
    <t>10th</t>
  </si>
  <si>
    <t>Mansion</t>
  </si>
  <si>
    <t>32-43-24-c1-02246.0050</t>
  </si>
  <si>
    <t xml:space="preserve">63 Coley St </t>
  </si>
  <si>
    <t xml:space="preserve">PO Box 870  Murray, KY 42071 </t>
  </si>
  <si>
    <t xml:space="preserve">2201 NE 2nd Ave  Cape Coral, FL 33909 </t>
  </si>
  <si>
    <t>Marine</t>
  </si>
  <si>
    <t>Delilah</t>
  </si>
  <si>
    <t xml:space="preserve">1629 NE 33rd Ln  Cape Coral, FL 33909 </t>
  </si>
  <si>
    <t>Irrizarry</t>
  </si>
  <si>
    <t xml:space="preserve">10111 Shadowood Ct  Fort Myers, FL 33905 </t>
  </si>
  <si>
    <t>33143-2634</t>
  </si>
  <si>
    <t>PO Box 302</t>
  </si>
  <si>
    <t>C050</t>
  </si>
  <si>
    <t xml:space="preserve">6067 Mountain Sights Ave  Montreal, QC H3w 2Z2 </t>
  </si>
  <si>
    <t xml:space="preserve">PO Box 1297  Collegedale, TN 37315-1297 </t>
  </si>
  <si>
    <t>B &amp; For Nyquist</t>
  </si>
  <si>
    <t xml:space="preserve">94 Leicesie St  Brighton, MA 02135 </t>
  </si>
  <si>
    <t>Cape Coral Unit 32 Blk 2105 Pb 16 Pg 5 Lots 9 + 10</t>
  </si>
  <si>
    <t>33905-8704</t>
  </si>
  <si>
    <t>Ricardo Neyra &amp; Marta Perez</t>
  </si>
  <si>
    <t xml:space="preserve">707 Kismet Pkwy E  Cape Coral, FL 33909 </t>
  </si>
  <si>
    <t>Morristown</t>
  </si>
  <si>
    <t>South</t>
  </si>
  <si>
    <t>PO Box 220085</t>
  </si>
  <si>
    <t>Sunset</t>
  </si>
  <si>
    <t>Gerald Thomas</t>
  </si>
  <si>
    <t>Mark G Danly &amp; Patricia Danly</t>
  </si>
  <si>
    <t>43221-3062</t>
  </si>
  <si>
    <t>18-43-24-c4-05701.0110</t>
  </si>
  <si>
    <t xml:space="preserve">3841 Hillandale St </t>
  </si>
  <si>
    <t xml:space="preserve">3589 S Redup Ave </t>
  </si>
  <si>
    <t>08812-1627</t>
  </si>
  <si>
    <t xml:space="preserve">2511 NE 1st Ave </t>
  </si>
  <si>
    <t xml:space="preserve">40 Frazer Dr </t>
  </si>
  <si>
    <t>T S T &amp; Edna Brouillette</t>
  </si>
  <si>
    <t xml:space="preserve">406 Hawthorne Ave </t>
  </si>
  <si>
    <t>Queen Mary</t>
  </si>
  <si>
    <t xml:space="preserve">82 Beachdale Dr  Avon Lake, OH 44012-1609 </t>
  </si>
  <si>
    <t>34103-3455</t>
  </si>
  <si>
    <t>Meridian</t>
  </si>
  <si>
    <t xml:space="preserve">3553 Gordon Dr </t>
  </si>
  <si>
    <t>01-44-23-c1-02462.0210</t>
  </si>
  <si>
    <t xml:space="preserve">1712 NE 33rd Ter </t>
  </si>
  <si>
    <t>33909-5535</t>
  </si>
  <si>
    <t>18202-3630</t>
  </si>
  <si>
    <t xml:space="preserve">3453 Andalusia Blvd  Cape Coral, FL 33909 </t>
  </si>
  <si>
    <t xml:space="preserve">4814 N Hollywood Ave  Milwaukee, WI 53217-5933 </t>
  </si>
  <si>
    <t xml:space="preserve">3857 Heyburn St </t>
  </si>
  <si>
    <t>Ning Wu &amp; Chuanning Zeng</t>
  </si>
  <si>
    <t>20-43-24-c2-05665.0420</t>
  </si>
  <si>
    <t xml:space="preserve">10210 Meadow Beauty Trl  Fort Myers, FL 33905 </t>
  </si>
  <si>
    <t xml:space="preserve">2118 NE 3rd Ave </t>
  </si>
  <si>
    <t>33165-7737</t>
  </si>
  <si>
    <t>53521-9742</t>
  </si>
  <si>
    <t>25-43-23-c2-02339.0330</t>
  </si>
  <si>
    <t>11-44-25-l1-1400a.1220</t>
  </si>
  <si>
    <t>19-43-24-c3-05617.0060</t>
  </si>
  <si>
    <t>33706-1036</t>
  </si>
  <si>
    <t>For Ryan Family Trust</t>
  </si>
  <si>
    <t>Gaertnergasse</t>
  </si>
  <si>
    <t>Cape Coral Unit 88 Blk 5820 Pb 24 Pg 140 Lots 33 + 34</t>
  </si>
  <si>
    <t xml:space="preserve">1800 NE 10th Pl </t>
  </si>
  <si>
    <t xml:space="preserve">3817 Sebren Ave  Long Beach, CA 90808-2043 </t>
  </si>
  <si>
    <t>Uzy &amp; Blachman Esther Family</t>
  </si>
  <si>
    <t xml:space="preserve">3003 NE 5th Pl </t>
  </si>
  <si>
    <t>33070-3002</t>
  </si>
  <si>
    <t>Caleb</t>
  </si>
  <si>
    <t>Cape Coral Unit 36 Blk 2300B Pb 16 Pg 122 Lots 28 Thru 30</t>
  </si>
  <si>
    <t>Trojan</t>
  </si>
  <si>
    <t xml:space="preserve">24 Long Meadow Pl </t>
  </si>
  <si>
    <t xml:space="preserve">6145 Herrick Ave </t>
  </si>
  <si>
    <t xml:space="preserve">13053 115th St  South Ozone Park, NY 11420-2318 </t>
  </si>
  <si>
    <t xml:space="preserve">3740 NE 16th Ave </t>
  </si>
  <si>
    <t xml:space="preserve">8 Lincoln Dr  Tunkhannock, PA 18657-5520 </t>
  </si>
  <si>
    <t xml:space="preserve">58-60 Christchurch Rd </t>
  </si>
  <si>
    <t>33909-6508</t>
  </si>
  <si>
    <t>Chestermere</t>
  </si>
  <si>
    <t>Cape Coral Unit 31 Blk 2055 Pb 14 Pg 157 Lots 24 + 25</t>
  </si>
  <si>
    <t>Cape Coral Unit 36 Blk 2300A Pb 16 Pg 125 Lot 58</t>
  </si>
  <si>
    <t>21202-4485</t>
  </si>
  <si>
    <t xml:space="preserve">1521 SW 82nd Ct  Miami, FL 33144-5247 </t>
  </si>
  <si>
    <t>11-44-25-06-0000d.0670</t>
  </si>
  <si>
    <t>Shulse</t>
  </si>
  <si>
    <t>10 91</t>
  </si>
  <si>
    <t xml:space="preserve">1104 NE 36th Ln </t>
  </si>
  <si>
    <t>M &amp; V Sabati Family Trust</t>
  </si>
  <si>
    <t xml:space="preserve">5401 SW 42nd St </t>
  </si>
  <si>
    <t>34-43-24-02-00030.0050</t>
  </si>
  <si>
    <t>11357-3859</t>
  </si>
  <si>
    <t>Closter</t>
  </si>
  <si>
    <t xml:space="preserve">6253 Windward Ln  Flowery Branch, GA 30542-2573 </t>
  </si>
  <si>
    <t>Trabuco</t>
  </si>
  <si>
    <t>Rafols</t>
  </si>
  <si>
    <t xml:space="preserve">2127 Andalusia Blvd </t>
  </si>
  <si>
    <t>33909-6219</t>
  </si>
  <si>
    <t xml:space="preserve">1007 NE 13th Ave </t>
  </si>
  <si>
    <t>03-44-26-01-00005.0030</t>
  </si>
  <si>
    <t xml:space="preserve">2711 NE Juanita Pl </t>
  </si>
  <si>
    <t xml:space="preserve">4129 W 11th Ln  Hialeah, FL 33012-4164 </t>
  </si>
  <si>
    <t xml:space="preserve">6054/6056 Laurelwood Dr  Fort Myers, FL 33905 </t>
  </si>
  <si>
    <t xml:space="preserve">4307 Lang Ave  Bartonville, IL 61607-1676 </t>
  </si>
  <si>
    <t>Cape Coral Unit 87 Blk 5734 Pb 24 Pg 87 Lots 51 + 52</t>
  </si>
  <si>
    <t>19-43-24-c2-05605.0010</t>
  </si>
  <si>
    <t>J Stump</t>
  </si>
  <si>
    <t xml:space="preserve">2126 Bahama Ave  Fort Myers, FL 33905 </t>
  </si>
  <si>
    <t>Buckingham Estates Desc Inst 2006-258275 Lot 18</t>
  </si>
  <si>
    <t xml:space="preserve">1211 NE 18th Ave  Cape Coral, FL 33909 </t>
  </si>
  <si>
    <t xml:space="preserve">10039 Rambelwood Ct  Fort Myers, FL 33905 </t>
  </si>
  <si>
    <t xml:space="preserve">36 Av St Barnabe  Marseille, FR </t>
  </si>
  <si>
    <t>33909-4312</t>
  </si>
  <si>
    <t>16-44-26-08-00027.0060</t>
  </si>
  <si>
    <t>33330-2652</t>
  </si>
  <si>
    <t xml:space="preserve">153 Equinox Rd  Lake George, NY 12845-3403 </t>
  </si>
  <si>
    <t xml:space="preserve">11513 Apple Tree Cir </t>
  </si>
  <si>
    <t>Karpagam Chockalingam</t>
  </si>
  <si>
    <t>48446-2011</t>
  </si>
  <si>
    <t>Deer</t>
  </si>
  <si>
    <t xml:space="preserve">507 NE 17th Ter  Cape Coral, FL 33909 </t>
  </si>
  <si>
    <t>Umali</t>
  </si>
  <si>
    <t>Kieuoanh</t>
  </si>
  <si>
    <t xml:space="preserve">42 Greenfield Ave </t>
  </si>
  <si>
    <t>Alabama Grove Terrace Blk 18 Pb 6 Pg 77A Lot 7</t>
  </si>
  <si>
    <t xml:space="preserve">11201 Wilmar Dr  Liberty, MO 64068-7146 </t>
  </si>
  <si>
    <t>25-43-23-c1-02329.0130</t>
  </si>
  <si>
    <t xml:space="preserve">St Martinstr #16 </t>
  </si>
  <si>
    <t xml:space="preserve">9501 SW 66th St  Miami, FL 33173-2216 </t>
  </si>
  <si>
    <t xml:space="preserve">4209 W Fig St #42 </t>
  </si>
  <si>
    <t xml:space="preserve">166 Flinchum Pl </t>
  </si>
  <si>
    <t>Crivaro</t>
  </si>
  <si>
    <t>Farrell</t>
  </si>
  <si>
    <t>Kenneth &amp; Renee Logan</t>
  </si>
  <si>
    <t>33909-1257</t>
  </si>
  <si>
    <t>Thomas Sharkey</t>
  </si>
  <si>
    <t xml:space="preserve">3834 Huntley St </t>
  </si>
  <si>
    <t>Geyer</t>
  </si>
  <si>
    <t>Barry &amp; Loretta Axelrod</t>
  </si>
  <si>
    <t>Dalia &amp; Aleksia Kainovic</t>
  </si>
  <si>
    <t>Stacey Kocsis</t>
  </si>
  <si>
    <t>Buckingham Pk Re Blk B U-3 Blk 17 Pb 27 Pg 191 Lot 8</t>
  </si>
  <si>
    <t xml:space="preserve">1414 NE 18th St  Cape Coral, FL 33909 </t>
  </si>
  <si>
    <t>34116-7507</t>
  </si>
  <si>
    <t>33901-9530</t>
  </si>
  <si>
    <t xml:space="preserve">230 Hemlock Point Dr  Coventry, CT 06238-2302 </t>
  </si>
  <si>
    <t>18-43-24-c4-05710.0080</t>
  </si>
  <si>
    <t xml:space="preserve">2313 NE 39th St  Cape Coral, FL 33909 </t>
  </si>
  <si>
    <t>Filipe Martins</t>
  </si>
  <si>
    <t xml:space="preserve">PO Box 246  Seymour, CT 06483 </t>
  </si>
  <si>
    <t xml:space="preserve">20 Forest Ridge Ter  Oak Ridge, NJ 07438-9791 </t>
  </si>
  <si>
    <t xml:space="preserve">1804 Tall Oaks Rd  Orwigsburg, PA 17961-9502 </t>
  </si>
  <si>
    <t>H061</t>
  </si>
  <si>
    <t>Colorado</t>
  </si>
  <si>
    <t xml:space="preserve">3135 Andalusia Blvd </t>
  </si>
  <si>
    <t xml:space="preserve">34 Wilenstrasse  Keasbey, NJ 08832 </t>
  </si>
  <si>
    <t>33905-3203</t>
  </si>
  <si>
    <t xml:space="preserve">4423 County Road Jj </t>
  </si>
  <si>
    <t>17-43-24-c3-05796.0180</t>
  </si>
  <si>
    <t>01-44-23-c2-02458.0400</t>
  </si>
  <si>
    <t xml:space="preserve">3148 Lucerne Ct  Castro Valley, CA 94546-3340 </t>
  </si>
  <si>
    <t xml:space="preserve">72 Impasse D Iena </t>
  </si>
  <si>
    <t xml:space="preserve">3760 Kemper St  Fort Myers, FL 33905 </t>
  </si>
  <si>
    <t xml:space="preserve">3141 Victory Blvd </t>
  </si>
  <si>
    <t>29-43-24-c3-02248.0130</t>
  </si>
  <si>
    <t xml:space="preserve">1027 NE 34th Ter  Cape Coral, FL 33909 </t>
  </si>
  <si>
    <t xml:space="preserve">811 Rambler Ave  Short Hills, NJ 07078 </t>
  </si>
  <si>
    <t xml:space="preserve">3407 Imperial Manor Way  Mulberry, FL 33860-5521 </t>
  </si>
  <si>
    <t xml:space="preserve">5669 Great View Dr </t>
  </si>
  <si>
    <t>Enrico</t>
  </si>
  <si>
    <t>Lehigh Acres W 1/2 Ut 13 Blk 73 Pb 26 Pg 18 Lot 12</t>
  </si>
  <si>
    <t xml:space="preserve">Po Box 426 </t>
  </si>
  <si>
    <t>M</t>
  </si>
  <si>
    <t xml:space="preserve">5855 N Sheridan Rd 19j </t>
  </si>
  <si>
    <t>Simeone</t>
  </si>
  <si>
    <t>32-43-24-c1-02184.0050</t>
  </si>
  <si>
    <t>Cape Coral Unit 85 Blk 5664 Pb 24 Pg 58 Lots 7 + 8</t>
  </si>
  <si>
    <t>11-44-25-06-0000d.0420</t>
  </si>
  <si>
    <t xml:space="preserve">2045 SE 27th Ter </t>
  </si>
  <si>
    <t xml:space="preserve">1815 NE 28th St </t>
  </si>
  <si>
    <t>Waded Muniz</t>
  </si>
  <si>
    <t>18618-3112</t>
  </si>
  <si>
    <t xml:space="preserve">5279 Cypress Trail Resort Cir </t>
  </si>
  <si>
    <t xml:space="preserve">10229 Meadow Beauty Trl  Fort Myers, FL 33905 </t>
  </si>
  <si>
    <t>Lehigh Acres Unit 1 Blk 5 Pb 26 Pg 3 Lot 17</t>
  </si>
  <si>
    <t>75035-3660</t>
  </si>
  <si>
    <t>31-43-24-c1-02171.0010</t>
  </si>
  <si>
    <t>Robert &amp; Addie Fleming</t>
  </si>
  <si>
    <t xml:space="preserve">125 Wembley Ct </t>
  </si>
  <si>
    <t xml:space="preserve">7692 N County Road 800 W  Middletown, IN 47356-9722 </t>
  </si>
  <si>
    <t>Irina Pascua &amp; Giancarlo Pascua-Cano</t>
  </si>
  <si>
    <t xml:space="preserve">216 NE 9th Ter </t>
  </si>
  <si>
    <t>Cape Coral Unit 84 Blk 5579 Pb 24 Pg 39 Lots 45 + 46</t>
  </si>
  <si>
    <t>92129-5713</t>
  </si>
  <si>
    <t>60634-6243</t>
  </si>
  <si>
    <t>Cape Coral Unit 84 Blk 5623 Pb 24 Pg 33 Lots 33 + 34</t>
  </si>
  <si>
    <t xml:space="preserve">3690 Maple Ave  Vineland, NJ 08361-3053 </t>
  </si>
  <si>
    <t>Todd &amp; Elizabeth Rose</t>
  </si>
  <si>
    <t>33909-2715</t>
  </si>
  <si>
    <t>Cypress Trail Rv Resort Ph 4-B As Desc In Inst# 2017000057565 Lot 325</t>
  </si>
  <si>
    <t xml:space="preserve">30 Clairiere De La Mardelle  Dampierre En Burly, FR </t>
  </si>
  <si>
    <t>Cypress Woods Rv Resort Desc In Inst#2006-358211 Lot 164</t>
  </si>
  <si>
    <t>Usama Vidales</t>
  </si>
  <si>
    <t>32940-8184</t>
  </si>
  <si>
    <t>Nhat</t>
  </si>
  <si>
    <t>Palmona Pk Unit 2 Blk 29 Pb 7 Pg 56 Lot 11</t>
  </si>
  <si>
    <t>Cape Coral Unit 33 Blk 2188 Pb 16 Pg 52 Lots 42 + 43</t>
  </si>
  <si>
    <t>49546-7335</t>
  </si>
  <si>
    <t xml:space="preserve">221 NE 5th Ter  Cape Coral, FL 33909 </t>
  </si>
  <si>
    <t xml:space="preserve">1021 Lucerne Pkwy  Cape Coral, FL 33904 </t>
  </si>
  <si>
    <t>Mordechai Yuger &amp; Hasida Botzer</t>
  </si>
  <si>
    <t>30004-5187</t>
  </si>
  <si>
    <t>Arias</t>
  </si>
  <si>
    <t>1fl</t>
  </si>
  <si>
    <t>Forbes</t>
  </si>
  <si>
    <t xml:space="preserve">4830 Pierce St </t>
  </si>
  <si>
    <t>Cape Coral Unit 33 Blk.2218 Pb 16 Pg 43 Lots 1 + 2</t>
  </si>
  <si>
    <t>Dwightlee</t>
  </si>
  <si>
    <t>R901</t>
  </si>
  <si>
    <t>Hirozawa Margaret Y Tr</t>
  </si>
  <si>
    <t xml:space="preserve">301 NW 146th St  Miami, FL 33168-4155 </t>
  </si>
  <si>
    <t>Justine</t>
  </si>
  <si>
    <t>Filion</t>
  </si>
  <si>
    <t xml:space="preserve">2232 Curtis St  Naples, FL 34112 </t>
  </si>
  <si>
    <t>24479-2456</t>
  </si>
  <si>
    <t>Deming</t>
  </si>
  <si>
    <t xml:space="preserve">1916 NE 18th Pl </t>
  </si>
  <si>
    <t>Doyle David L &amp; Barbara Tr</t>
  </si>
  <si>
    <t>Eveleth</t>
  </si>
  <si>
    <t>Ironstone</t>
  </si>
  <si>
    <t>Helga</t>
  </si>
  <si>
    <t>Saint Louis</t>
  </si>
  <si>
    <t>Frederick &amp; Georgia May</t>
  </si>
  <si>
    <t xml:space="preserve">8866 W Flagler St #104, Miami, FL 33174-3920 </t>
  </si>
  <si>
    <t>Unhye Park</t>
  </si>
  <si>
    <t>Jorge Miyahira &amp; Gisella Sava</t>
  </si>
  <si>
    <t>Albino &amp; Rosario Quiam</t>
  </si>
  <si>
    <t xml:space="preserve">2220 NE 21st Ter  Cape Coral, FL 33909 </t>
  </si>
  <si>
    <t>Cape Coral Unit 2 Part 1 Blk 215 Pb 10 Pg 130 Lots 1 and 2</t>
  </si>
  <si>
    <t xml:space="preserve">2326 NE 34th Ln  Cape Coral, FL 33909 </t>
  </si>
  <si>
    <t>Densel</t>
  </si>
  <si>
    <t xml:space="preserve">5-4-102 9 xiang hong qi lu </t>
  </si>
  <si>
    <t>33175-7600</t>
  </si>
  <si>
    <t xml:space="preserve">339 NE 26th St </t>
  </si>
  <si>
    <t xml:space="preserve">8 Fountain View Blvd  North Fort Myers, FL 33903 </t>
  </si>
  <si>
    <t>33178-2838</t>
  </si>
  <si>
    <t xml:space="preserve">4268 Arlington Ave  Fort Myers, FL 33905 </t>
  </si>
  <si>
    <t>Olivo Elsie Tr</t>
  </si>
  <si>
    <t xml:space="preserve">161 Ladderback Ln </t>
  </si>
  <si>
    <t>11-44-25-l1-13000.3250</t>
  </si>
  <si>
    <t xml:space="preserve">24 Aiden Cir  Belmont, NH 03220-4054 </t>
  </si>
  <si>
    <t>Clarence Noegel</t>
  </si>
  <si>
    <t>Paul Doyon</t>
  </si>
  <si>
    <t>Marseille</t>
  </si>
  <si>
    <t>33909-4650</t>
  </si>
  <si>
    <t xml:space="preserve">4105 NE 15th Ave </t>
  </si>
  <si>
    <t>Teri</t>
  </si>
  <si>
    <t>Karol</t>
  </si>
  <si>
    <t>33909-1203</t>
  </si>
  <si>
    <t xml:space="preserve">129 Shomate Dr  Longwood, FL 32750-3040 </t>
  </si>
  <si>
    <t>Gloria Kronenberger</t>
  </si>
  <si>
    <t>22911-8411</t>
  </si>
  <si>
    <t>19-43-24-c4-05562.0370</t>
  </si>
  <si>
    <t>01-44-23-c2-02429.0330</t>
  </si>
  <si>
    <t>Cape Coral Unit 87 Blk 5753 Pb 24 Pg 68 Lots 16 + 17</t>
  </si>
  <si>
    <t xml:space="preserve">319 NE 31st St </t>
  </si>
  <si>
    <t>33909-4361</t>
  </si>
  <si>
    <t xml:space="preserve">3707 Kilarney St  Fort Myers, FL 33905 </t>
  </si>
  <si>
    <t>Cape Coral Unit 5 Blk 107 Pb 11 Pg 89 Lots 12 + 13 + Or 2815/1580</t>
  </si>
  <si>
    <t xml:space="preserve">6010 SW 9th Ter </t>
  </si>
  <si>
    <t>33009-5908</t>
  </si>
  <si>
    <t>32-45-24-00-00010.009a</t>
  </si>
  <si>
    <t>11-44-25-09-00000.0020</t>
  </si>
  <si>
    <t xml:space="preserve">9112 Spring Acres Rd  Clinton, MD 20735-2739 </t>
  </si>
  <si>
    <t>Cape Coral Unit 85 Blk 5646 Pb 24 Pg 56 Lots 1 + 2</t>
  </si>
  <si>
    <t>12-44-23-c2-02396.0100</t>
  </si>
  <si>
    <t>33909-1595</t>
  </si>
  <si>
    <t xml:space="preserve">6108 Hutton Ct  Fort Myers, FL 33905 </t>
  </si>
  <si>
    <t>Girolamo Galea</t>
  </si>
  <si>
    <t xml:space="preserve">263 Burbacher St  Greendale, WI 53129 </t>
  </si>
  <si>
    <t xml:space="preserve">1430 NE 1st Pl </t>
  </si>
  <si>
    <t xml:space="preserve">12155 Fuller Ln  Naples, FL 34113-7903 </t>
  </si>
  <si>
    <t xml:space="preserve">1540 Hendrick Rd #98, Norton Shores, MI 49441-5704 </t>
  </si>
  <si>
    <t xml:space="preserve">4817 NW 117th Ave  Coral Springs, FL 33076-3529 </t>
  </si>
  <si>
    <t>Baur</t>
  </si>
  <si>
    <t>Riko Ishii</t>
  </si>
  <si>
    <t>Te-Hui</t>
  </si>
  <si>
    <t xml:space="preserve">303 2nd St  Morgan City, LA 70380-3722 </t>
  </si>
  <si>
    <t xml:space="preserve">10229 Meadow Beauty Trl </t>
  </si>
  <si>
    <t>33179-1376</t>
  </si>
  <si>
    <t>San Juan Capistrano</t>
  </si>
  <si>
    <t xml:space="preserve">322 NE 30th St  Cape Coral, FL 33909 </t>
  </si>
  <si>
    <t xml:space="preserve">3432 NE 15th Ave </t>
  </si>
  <si>
    <t>17-43-24-c1-05828.0240</t>
  </si>
  <si>
    <t>48014-3206</t>
  </si>
  <si>
    <t>48108-2041</t>
  </si>
  <si>
    <t xml:space="preserve">12353 NW 26th St  Coral Springs, FL 33065-7813 </t>
  </si>
  <si>
    <t>Daniel Chinga &amp; Margaret Muchugu</t>
  </si>
  <si>
    <t>Sergio &amp; Maria Petruzzella</t>
  </si>
  <si>
    <t>33905-3541</t>
  </si>
  <si>
    <t xml:space="preserve">71 W Prairie Dawn Cir  Conroe, TX 77385-3546 </t>
  </si>
  <si>
    <t>33904-4136</t>
  </si>
  <si>
    <t xml:space="preserve">130 Merkel Dr </t>
  </si>
  <si>
    <t>New Holland</t>
  </si>
  <si>
    <t>Arbelaez</t>
  </si>
  <si>
    <t>01-44-23-c4-02468.0300</t>
  </si>
  <si>
    <t xml:space="preserve">1052 S Brevard Ave </t>
  </si>
  <si>
    <t xml:space="preserve">1809 NE 3rd Ct  Cape Coral, FL 33909 </t>
  </si>
  <si>
    <t>Lowe</t>
  </si>
  <si>
    <t xml:space="preserve">11633 Princess Margaret Ct </t>
  </si>
  <si>
    <t xml:space="preserve">2925 NE 6th Ave </t>
  </si>
  <si>
    <t>Pertulane</t>
  </si>
  <si>
    <t>V1H 1B3</t>
  </si>
  <si>
    <t xml:space="preserve">1305 NE 12th Pl  Cape Coral, FL 33909 </t>
  </si>
  <si>
    <t xml:space="preserve">9775 NW 123rd Ter </t>
  </si>
  <si>
    <t xml:space="preserve">5731 Cypress Woods Resort Dr </t>
  </si>
  <si>
    <t>Niedosik</t>
  </si>
  <si>
    <t xml:space="preserve">6036 Stratton Rd  Fort Myers, FL 33905 </t>
  </si>
  <si>
    <t>Dayron</t>
  </si>
  <si>
    <t xml:space="preserve">1018 NE 14th Ave </t>
  </si>
  <si>
    <t>25-43-23-c3-02313.0630</t>
  </si>
  <si>
    <t>Cape Coral Unit 85 Blk 5667 Pb 24 Pg 53 Lots 3 + 4</t>
  </si>
  <si>
    <t xml:space="preserve">11130 Sunburst Ln </t>
  </si>
  <si>
    <t xml:space="preserve">5106 Cypress Trail Resort Cir </t>
  </si>
  <si>
    <t xml:space="preserve">2106 NE 2nd St </t>
  </si>
  <si>
    <t>Hc 64</t>
  </si>
  <si>
    <t xml:space="preserve">908 NE 43rd Ter  Cape Coral, FL 33909 </t>
  </si>
  <si>
    <t>Cape Coral Unit 31 Blk 2063 Pb 14 Pg 165 Lots 35 + 36</t>
  </si>
  <si>
    <t>Raffaele</t>
  </si>
  <si>
    <t>Maryuri</t>
  </si>
  <si>
    <t>Ishii</t>
  </si>
  <si>
    <t>17-43-24-c3-05793.0040</t>
  </si>
  <si>
    <t>Frank &amp; Bonnie Post</t>
  </si>
  <si>
    <t xml:space="preserve">22936 Fate Anderson Rd </t>
  </si>
  <si>
    <t>Cape Coral Unit 25 Blk 903 Pb 14 Pg 94 Lots 66 + 67</t>
  </si>
  <si>
    <t>Cape Coral Unit 85 Blk 5665 Pb 24 Pg 53 Lots 48 + 49</t>
  </si>
  <si>
    <t xml:space="preserve">4402 NE 22nd Ave  Cape Coral, FL 33909 </t>
  </si>
  <si>
    <t>River Trail</t>
  </si>
  <si>
    <t>Bersey</t>
  </si>
  <si>
    <t xml:space="preserve">113 S Federal Hwy </t>
  </si>
  <si>
    <t xml:space="preserve">7431 SW 105th Pl  Miami, FL 33173-2939 </t>
  </si>
  <si>
    <t>16-44-26-07-00021.0090</t>
  </si>
  <si>
    <t>Cape Coral Unit 32 Blk 2120 Pb 16 Pg 7 Lots 13 + 14</t>
  </si>
  <si>
    <t xml:space="preserve">108 Bailey Ln </t>
  </si>
  <si>
    <t>07438-9374</t>
  </si>
  <si>
    <t>Cape Coral Unit 34 Blk 2468 Pb 16 Pg 75 Lots 10 + 11</t>
  </si>
  <si>
    <t>68701-3944</t>
  </si>
  <si>
    <t>Henry Brandes</t>
  </si>
  <si>
    <t>Cape Coral Unit 36 Blk 2523 Pb 16 Pg 114 Lots 20 + 21</t>
  </si>
  <si>
    <t xml:space="preserve">753 Flint Hill Rd </t>
  </si>
  <si>
    <t>Cape Coral Unit 21 Blk.659 Pb 13 Pg 160 Lots 35 + 36</t>
  </si>
  <si>
    <t>Wm Kersten</t>
  </si>
  <si>
    <t>16-44-26-01-00030.0050</t>
  </si>
  <si>
    <t>Meggan K Oshea Trust</t>
  </si>
  <si>
    <t>01-44-23-c2-02464.0480</t>
  </si>
  <si>
    <t>Cape Coral Unit 4 Pt 2 Blk 147 Pb 12 Pg 18 Lots 64 Ls Sly 20 Ft + 65 + 66</t>
  </si>
  <si>
    <t xml:space="preserve">190 Tooker Ave </t>
  </si>
  <si>
    <t>Pierre &amp; Monique Perreault</t>
  </si>
  <si>
    <t xml:space="preserve">1319 NE 23rd St  Cape Coral, FL 33909 </t>
  </si>
  <si>
    <t xml:space="preserve">3800 Hyde Park Dr </t>
  </si>
  <si>
    <t>Gelka</t>
  </si>
  <si>
    <t>Wojciech</t>
  </si>
  <si>
    <t xml:space="preserve">5072 99th Way N </t>
  </si>
  <si>
    <t>Cape Coral Unit 84 Blk 5619 Pb 24 Pg 33 Lots 32 + 33</t>
  </si>
  <si>
    <t xml:space="preserve">10233 Meadow Beauty Trl  Fort Myers, FL 33905 </t>
  </si>
  <si>
    <t>Austin</t>
  </si>
  <si>
    <t>Cape Coral Unit 84 Blk 5558 Pb 24 Pg 32 Lots 11 + 12</t>
  </si>
  <si>
    <t>Julio &amp; Julio Bula</t>
  </si>
  <si>
    <t>Gary Levesque</t>
  </si>
  <si>
    <t>33909-6503</t>
  </si>
  <si>
    <t>33904-2828</t>
  </si>
  <si>
    <t>16-44-26-07-00020.0040</t>
  </si>
  <si>
    <t>Cape Coral Unit 36 Blk 2514 Pb 16 Pg 113 Lots 53 + 54</t>
  </si>
  <si>
    <t>Cape Coral Unit 32 Blk 2143 Pb 16 Pg 6 Lots 38 + 39</t>
  </si>
  <si>
    <t>Forest</t>
  </si>
  <si>
    <t>08736-1617</t>
  </si>
  <si>
    <t xml:space="preserve">74 Concession Oak Dr </t>
  </si>
  <si>
    <t xml:space="preserve">3606 NE 21st Pl  Cape Coral, FL 33909 </t>
  </si>
  <si>
    <t>Rita Vaught &amp; Sara Mccawley</t>
  </si>
  <si>
    <t xml:space="preserve">2709 Parker Dr </t>
  </si>
  <si>
    <t>25-43-23-c4-02353.0460</t>
  </si>
  <si>
    <t>33909-6895</t>
  </si>
  <si>
    <t xml:space="preserve">236 Pressler Rd  Wallkill, NY 12589-2628 </t>
  </si>
  <si>
    <t>Vladimir</t>
  </si>
  <si>
    <t>47348-1066</t>
  </si>
  <si>
    <t>32-43-24-c2-02236.0210</t>
  </si>
  <si>
    <t>Cypress Trail Rv Resort As Desc In Inst# 2013000212499 Lot 256</t>
  </si>
  <si>
    <t>Fermin</t>
  </si>
  <si>
    <t xml:space="preserve">1230 NE 43rd St </t>
  </si>
  <si>
    <t xml:space="preserve">2 Orchard Blossom Rd  Windham, NH 03087-1277 </t>
  </si>
  <si>
    <t>John Sweeney</t>
  </si>
  <si>
    <t>Mara</t>
  </si>
  <si>
    <t>Thorson</t>
  </si>
  <si>
    <t xml:space="preserve">6146 Hughes Ave </t>
  </si>
  <si>
    <t>Heisuke</t>
  </si>
  <si>
    <t xml:space="preserve">1300 SW 67th Ave </t>
  </si>
  <si>
    <t xml:space="preserve">5691 Cypress Woods Resort Dr </t>
  </si>
  <si>
    <t>33909-1541</t>
  </si>
  <si>
    <t>Naresh Yalamanchili</t>
  </si>
  <si>
    <t xml:space="preserve">1655 Sterling Dr  Blacksburg, VA 24060-1176 </t>
  </si>
  <si>
    <t>Andre &amp; Sandra Leutenegger</t>
  </si>
  <si>
    <t xml:space="preserve">1804 NE 3rd St </t>
  </si>
  <si>
    <t>18-43-24-c1-05725.0130</t>
  </si>
  <si>
    <t>01-44-23-c2-02465.0280</t>
  </si>
  <si>
    <t>16-44-26-01-00001.001a</t>
  </si>
  <si>
    <t xml:space="preserve">420 NE 20th St  Cape Coral, FL 33909 </t>
  </si>
  <si>
    <t>Fonthill</t>
  </si>
  <si>
    <t>Cypress Woods Rv Resort Unit 4 Pb 79 Pgs 68-71 Blk D Lot 83</t>
  </si>
  <si>
    <t>Gifford &amp; Mauline Baily</t>
  </si>
  <si>
    <t xml:space="preserve">Po Box 630791 </t>
  </si>
  <si>
    <t xml:space="preserve">324 NE 17th Ave  Cape Coral, FL 33909 </t>
  </si>
  <si>
    <t>Martin Temehulc &amp; Deborah Temchuk</t>
  </si>
  <si>
    <t>17-43-24-c1-05819.0750</t>
  </si>
  <si>
    <t>Cape Coral Unit 35 Blk 2366 Pb 16 Pg 104 Lots 34 + 35</t>
  </si>
  <si>
    <t xml:space="preserve">6077 Laurelwood Dr </t>
  </si>
  <si>
    <t>Binh</t>
  </si>
  <si>
    <t>Freddi</t>
  </si>
  <si>
    <t xml:space="preserve">80427 Spanish Bay  La Quinta, CA 92253-5698 </t>
  </si>
  <si>
    <t>Fern</t>
  </si>
  <si>
    <t xml:space="preserve">280 Kingston Dr  Fort Myers, FL 33905 </t>
  </si>
  <si>
    <t xml:space="preserve">1805 19th Pl #100, Vero Beach, FL 32960 </t>
  </si>
  <si>
    <t>33909-2514</t>
  </si>
  <si>
    <t>Cape Coral Unit 36 Pt 1 Blk 2506 Pb 23 Pg 91 Lots 1 + 2</t>
  </si>
  <si>
    <t>11-44-25-09-00000.2750</t>
  </si>
  <si>
    <t>Cape Coral Unit 36 Blk 2296 Pb 16 Pg 119 Lots 1 + 2</t>
  </si>
  <si>
    <t>Olson Svea A Tr</t>
  </si>
  <si>
    <t xml:space="preserve">11880 Pine Ave  Fort Myers, FL 33905 </t>
  </si>
  <si>
    <t>Rice</t>
  </si>
  <si>
    <t>Cape Coral Unit 85 Blk 5655 Pb 24 Pg 57 Lots 7 + 8</t>
  </si>
  <si>
    <t>15c</t>
  </si>
  <si>
    <t>Lora</t>
  </si>
  <si>
    <t>Durlacher</t>
  </si>
  <si>
    <t xml:space="preserve">78 Hacienda Blvd </t>
  </si>
  <si>
    <t>Cape Coral Unit 88 Blk 5820 Pb 24 Pg 140 Lots 31 + 32</t>
  </si>
  <si>
    <t>07-45-24-c4-00330.0090</t>
  </si>
  <si>
    <t>Harry</t>
  </si>
  <si>
    <t xml:space="preserve">34418 Giannetti Dr  Sterling Heights, MI 48312-5770 </t>
  </si>
  <si>
    <t>Ventnor City</t>
  </si>
  <si>
    <t xml:space="preserve">20 Villas Rd #101, Mount Pocono, PA 18344-1179 </t>
  </si>
  <si>
    <t xml:space="preserve">2525 Everest Pkwy </t>
  </si>
  <si>
    <t xml:space="preserve">6601 Dunrobin Pt SW </t>
  </si>
  <si>
    <t xml:space="preserve">3851 Insdale St </t>
  </si>
  <si>
    <t>Demartinelli</t>
  </si>
  <si>
    <t>Shadida</t>
  </si>
  <si>
    <t xml:space="preserve">1026 NE 2nd Ave  Cape Coral, FL 33909 </t>
  </si>
  <si>
    <t>Cape Coral Unit 33 Blk 2235 Pb 16 Pg 52 Lots 42 + 43</t>
  </si>
  <si>
    <t>Adriana Callejas &amp; Oscar Romero</t>
  </si>
  <si>
    <t xml:space="preserve">200 Carol Way </t>
  </si>
  <si>
    <t>Jeanne-Mance</t>
  </si>
  <si>
    <t>Edward &amp; William Thomas</t>
  </si>
  <si>
    <t xml:space="preserve">103 10 91 St  Ozone Park, NY 11417 </t>
  </si>
  <si>
    <t>34240-2513</t>
  </si>
  <si>
    <t>Buckingham Pk Re Blk B U-2 Blk 9 Pb 27 Pg 189 Lot 1</t>
  </si>
  <si>
    <t xml:space="preserve">F8 Calle F </t>
  </si>
  <si>
    <t xml:space="preserve">1804 NE 10th Pl </t>
  </si>
  <si>
    <t>05-44-24-c4-03541.0510</t>
  </si>
  <si>
    <t>Katzenhagen</t>
  </si>
  <si>
    <t>Robert &amp; Ann Clawson</t>
  </si>
  <si>
    <t>Depper</t>
  </si>
  <si>
    <t>Russell &amp; Lisa Arpaia</t>
  </si>
  <si>
    <t xml:space="preserve">3812 Heyburn St </t>
  </si>
  <si>
    <t>Mildreth Pico</t>
  </si>
  <si>
    <t xml:space="preserve">2019 Savona Pkwy </t>
  </si>
  <si>
    <t>32779-2264</t>
  </si>
  <si>
    <t xml:space="preserve">1218 NE 8th Pl  Cape Coral, FL 33909 </t>
  </si>
  <si>
    <t>Cape Coral Unit 85 Blk 5664 Pb 24 Pg 57 Lot 50</t>
  </si>
  <si>
    <t xml:space="preserve">5232 Pineland Daisy Trl  Fort Myers, FL 33905 </t>
  </si>
  <si>
    <t>Cobourg</t>
  </si>
  <si>
    <t xml:space="preserve">21 Halsey Dr </t>
  </si>
  <si>
    <t>18938-9219</t>
  </si>
  <si>
    <t xml:space="preserve">240 E 55th St 10g </t>
  </si>
  <si>
    <t>Capra</t>
  </si>
  <si>
    <t>Cape Coral Unit 33 Blk 2247 Pb 16 Pg 55 Lots 51 + 52</t>
  </si>
  <si>
    <t>Milstein</t>
  </si>
  <si>
    <t>Lien Bui</t>
  </si>
  <si>
    <t>32-43-24-c1-02232.0330</t>
  </si>
  <si>
    <t>Cape Coral Unit 33 Blk 2256 Pb 16 Pg 57 Lots 13 + 14</t>
  </si>
  <si>
    <t>R122</t>
  </si>
  <si>
    <t xml:space="preserve">14999 SW 56th Ter </t>
  </si>
  <si>
    <t>Cypress Trail Rv Resort Ph 4-B As Desc In Inst# 2017000057565 Lot 320</t>
  </si>
  <si>
    <t>Gene &amp; Judy Humbarger</t>
  </si>
  <si>
    <t xml:space="preserve">1502 Rivercrest Dr  Warsaw, IN 46580-2051 </t>
  </si>
  <si>
    <t>Bruhl</t>
  </si>
  <si>
    <t xml:space="preserve">2740 NE 6th Ave  Cape Coral, FL 33909 </t>
  </si>
  <si>
    <t xml:space="preserve">1408 NE 15th Ter  Cape Coral, FL 33909 </t>
  </si>
  <si>
    <t xml:space="preserve">Avenue Jean Paul Ii Abidjan </t>
  </si>
  <si>
    <t xml:space="preserve">1840 NE 23rd St  Cape Coral, FL 33909 </t>
  </si>
  <si>
    <t xml:space="preserve">3618 NE 21st Ave </t>
  </si>
  <si>
    <t>90808-2343</t>
  </si>
  <si>
    <t xml:space="preserve">2995 Golden Gate Blvd W </t>
  </si>
  <si>
    <t xml:space="preserve">1009 NE 39th Ter  Cape Coral, FL 33909 </t>
  </si>
  <si>
    <t xml:space="preserve">19241 NW 52nd Ct  Miami Gardens, FL 33055-1632 </t>
  </si>
  <si>
    <t xml:space="preserve">1840 NE 23rd St </t>
  </si>
  <si>
    <t>19-43-24-c4-05560.0030</t>
  </si>
  <si>
    <t>Agergaard</t>
  </si>
  <si>
    <t xml:space="preserve">3614 SE 17th Pl </t>
  </si>
  <si>
    <t>18-45-24-c3-00033.0110</t>
  </si>
  <si>
    <t>33909-1002</t>
  </si>
  <si>
    <t>Trubiano</t>
  </si>
  <si>
    <t xml:space="preserve">5244 Cypress Trail Resort Cir </t>
  </si>
  <si>
    <t>Tobago</t>
  </si>
  <si>
    <t xml:space="preserve">2706 NE 6th Ave </t>
  </si>
  <si>
    <t>East York</t>
  </si>
  <si>
    <t>149th</t>
  </si>
  <si>
    <t xml:space="preserve">6940 Harding St  Hollywood, FL 33024-3824 </t>
  </si>
  <si>
    <t>31-43-24-c2-02137.0090</t>
  </si>
  <si>
    <t>31-44-24-c3-00622.0520</t>
  </si>
  <si>
    <t>55811-3636</t>
  </si>
  <si>
    <t>11769-1543</t>
  </si>
  <si>
    <t>18-43-24-c3-05746.0090</t>
  </si>
  <si>
    <t>Vecino</t>
  </si>
  <si>
    <t>K7G 3E2</t>
  </si>
  <si>
    <t>33909-6841</t>
  </si>
  <si>
    <t>Tran &amp; Van Bui</t>
  </si>
  <si>
    <t>Trinidad</t>
  </si>
  <si>
    <t xml:space="preserve">1616 W Passyunk Ave </t>
  </si>
  <si>
    <t>11-44-25-09-00000.2500</t>
  </si>
  <si>
    <t>Passyunk</t>
  </si>
  <si>
    <t>31-43-24-c1-02161.0230</t>
  </si>
  <si>
    <t>23452-5804</t>
  </si>
  <si>
    <t>Gilberto</t>
  </si>
  <si>
    <t>01-44-23-c4-02421.0030</t>
  </si>
  <si>
    <t>20-43-24-c2-05659.0090</t>
  </si>
  <si>
    <t>Cape Coral Unit 36 Blk 2291 Pb 16 Pg 117 Lots 41 + 42</t>
  </si>
  <si>
    <t>18-43-24-c3-05740.0550</t>
  </si>
  <si>
    <t>Keil</t>
  </si>
  <si>
    <t>Frank &amp; Barbara Farina</t>
  </si>
  <si>
    <t xml:space="preserve">141 S Orange Ave  Brea, CA 92821-4953 </t>
  </si>
  <si>
    <t xml:space="preserve">5669 Great View Dr  Stillman Valley, IL 61084-9733 </t>
  </si>
  <si>
    <t>Maurie &amp; Maurie Peterson</t>
  </si>
  <si>
    <t>Worswick</t>
  </si>
  <si>
    <t>Mowat</t>
  </si>
  <si>
    <t>Lehigh Acres Unit 3 Blk 14 Pb 26 Pg 5 Lot 7</t>
  </si>
  <si>
    <t xml:space="preserve">10456 Nightwood Dr </t>
  </si>
  <si>
    <t>29-43-24-c3-02251.0070</t>
  </si>
  <si>
    <t>Augusto</t>
  </si>
  <si>
    <t xml:space="preserve">11771 Cardiff Dr </t>
  </si>
  <si>
    <t xml:space="preserve">6114 Kramer Ave  Fort Myers, FL 33905 </t>
  </si>
  <si>
    <t>33014-2034</t>
  </si>
  <si>
    <t>La Crescenta</t>
  </si>
  <si>
    <t>6th eucalyptus</t>
  </si>
  <si>
    <t xml:space="preserve">4111 Avenue S  Brooklyn, NY 11234-5009 </t>
  </si>
  <si>
    <t xml:space="preserve">5950 Wellington Pl </t>
  </si>
  <si>
    <t>Cundinamarca</t>
  </si>
  <si>
    <t>Farquharson</t>
  </si>
  <si>
    <t>33905-7639</t>
  </si>
  <si>
    <t>06-44-24-c2-02068.0010</t>
  </si>
  <si>
    <t>Marcus &amp; Brenda Chronister</t>
  </si>
  <si>
    <t>Bloomington</t>
  </si>
  <si>
    <t xml:space="preserve">3779 La Rue St  Fort Myers, FL 33905 </t>
  </si>
  <si>
    <t>Woodland</t>
  </si>
  <si>
    <t>11-44-25-10-00000.3670</t>
  </si>
  <si>
    <t>Rickey &amp; Kimberly Mcginness</t>
  </si>
  <si>
    <t xml:space="preserve">15 Chemin Ancien D Aix  La Bouilladisse, FR </t>
  </si>
  <si>
    <t>Leclerc</t>
  </si>
  <si>
    <t>33909-4759</t>
  </si>
  <si>
    <t>Cranford</t>
  </si>
  <si>
    <t>Russell Powers &amp; Hristos Stathis</t>
  </si>
  <si>
    <t>33905-5732</t>
  </si>
  <si>
    <t>Odell</t>
  </si>
  <si>
    <t>Ramon Lorio &amp; Lourdes Siu</t>
  </si>
  <si>
    <t>Pravin</t>
  </si>
  <si>
    <t>Akula</t>
  </si>
  <si>
    <t>Highway 27</t>
  </si>
  <si>
    <t xml:space="preserve">3052 Dafoe Ter  the Villages, FL 32163-2597 </t>
  </si>
  <si>
    <t xml:space="preserve">553 Sacramento St  North Fort Myers, FL 33903 </t>
  </si>
  <si>
    <t xml:space="preserve">1350 Forest Bay Dr </t>
  </si>
  <si>
    <t>Katherine Phillips</t>
  </si>
  <si>
    <t xml:space="preserve">3669 Ward Loop B, Jber, AK 99506 </t>
  </si>
  <si>
    <t>19-43-24-c1-05578.0220</t>
  </si>
  <si>
    <t xml:space="preserve">17208 Continental Dr  Dumfries, VA 22026-3022 </t>
  </si>
  <si>
    <t xml:space="preserve">69 Hopping Ave  Staten Island, NY 10307-1218 </t>
  </si>
  <si>
    <t>Hill</t>
  </si>
  <si>
    <t xml:space="preserve">250 W 100th St #417, New York, NY 10025-5325 </t>
  </si>
  <si>
    <t xml:space="preserve">832 Heather Glen Cir  Lake Mary, FL 32746-6131 </t>
  </si>
  <si>
    <t>11-44-25-07-00000.1800</t>
  </si>
  <si>
    <t>04074-7566</t>
  </si>
  <si>
    <t>Cape Coral Unit 33 Blk 2273 Pb 16 Pg 61 Lots 18 + 19</t>
  </si>
  <si>
    <t>Karin Tonne</t>
  </si>
  <si>
    <t>33909-2563</t>
  </si>
  <si>
    <t xml:space="preserve">3843 Highlight St </t>
  </si>
  <si>
    <t xml:space="preserve">10622 Chestnut St </t>
  </si>
  <si>
    <t xml:space="preserve">6640 Locust Way  Annandale, VA 22003-6214 </t>
  </si>
  <si>
    <t>01129-1713</t>
  </si>
  <si>
    <t>Christopher Bye</t>
  </si>
  <si>
    <t>Boyce &amp; Marlene Collins</t>
  </si>
  <si>
    <t>Cape Coral Unit 36 Blk 2346 Pb 16 Pg 127 Lots 15 + 16</t>
  </si>
  <si>
    <t xml:space="preserve">10021 Willowood Dr </t>
  </si>
  <si>
    <t>William Sawyer</t>
  </si>
  <si>
    <t>60961-9508</t>
  </si>
  <si>
    <t>Andre &amp; Corinne Meili</t>
  </si>
  <si>
    <t xml:space="preserve">2743 Edsel St </t>
  </si>
  <si>
    <t>16-44-26-05-00009.0100</t>
  </si>
  <si>
    <t>Lehigh Acres Unit 14 Blk 84Pb 26 Pg 20 Lot 4</t>
  </si>
  <si>
    <t>08068-1535</t>
  </si>
  <si>
    <t>Kentwood</t>
  </si>
  <si>
    <t>Nance</t>
  </si>
  <si>
    <t>Hendricks</t>
  </si>
  <si>
    <t xml:space="preserve">3848 Insdale St  Fort Myers, FL 33905 </t>
  </si>
  <si>
    <t>Cape Coral Unit 17 Blk 1496 Pb 14 Pg 30 Lots 39 + 40</t>
  </si>
  <si>
    <t>Manh</t>
  </si>
  <si>
    <t xml:space="preserve">1010 NE 15th Ln </t>
  </si>
  <si>
    <t>Cape Coral Unit 85 Blk 5642 Pb 24 Pg 55 Lots 60 + 61</t>
  </si>
  <si>
    <t>Ravensdale</t>
  </si>
  <si>
    <t>George &amp; Lisa Joseph</t>
  </si>
  <si>
    <t>Dolan</t>
  </si>
  <si>
    <t>33909-3536</t>
  </si>
  <si>
    <t>Eastonwood</t>
  </si>
  <si>
    <t>Shawna</t>
  </si>
  <si>
    <t>Key West</t>
  </si>
  <si>
    <t>Edgebrook</t>
  </si>
  <si>
    <t xml:space="preserve">21 Laarsveld </t>
  </si>
  <si>
    <t xml:space="preserve">504 NE 20th Ter  Cape Coral, FL 33909 </t>
  </si>
  <si>
    <t>33431-6335</t>
  </si>
  <si>
    <t xml:space="preserve">4103 Bathurst Dr </t>
  </si>
  <si>
    <t>L6L 1Z7</t>
  </si>
  <si>
    <t>33903-4762</t>
  </si>
  <si>
    <t>17-43-24-c3-05782.0460</t>
  </si>
  <si>
    <t>Esker</t>
  </si>
  <si>
    <t>49908-9157</t>
  </si>
  <si>
    <t xml:space="preserve">342 Citadel Ct  Raeford, NC 28376-5635 </t>
  </si>
  <si>
    <t xml:space="preserve">1827 NE 18th Pl  Cape Coral, FL 33909 </t>
  </si>
  <si>
    <t xml:space="preserve"> Billings, NY 12510 </t>
  </si>
  <si>
    <t>Cape Coral Unit 84 Blk 5563 Pb 24 Pg 37 Lots 29 + 30</t>
  </si>
  <si>
    <t>Carteret</t>
  </si>
  <si>
    <t xml:space="preserve">10079 Rambelwood Ct  Fort Myers, FL 33905 </t>
  </si>
  <si>
    <t>33909-3247</t>
  </si>
  <si>
    <t xml:space="preserve">2664 Grand Concourse 5g, Bronx, NY 10458-4926 </t>
  </si>
  <si>
    <t>07403-1301</t>
  </si>
  <si>
    <t>Northford</t>
  </si>
  <si>
    <t>01-44-23-c4-02413.0590</t>
  </si>
  <si>
    <t>18-43-24-c1-05730.0160</t>
  </si>
  <si>
    <t xml:space="preserve">6020 Juliet Ave  Fort Myers, FL 33905 </t>
  </si>
  <si>
    <t xml:space="preserve">1806 Marina Cir  North Fort Myers, FL 33903 </t>
  </si>
  <si>
    <t>Cape Coral Unit 17 Blk 1515 Pb 14 Pg 28 Lots 30 + 31</t>
  </si>
  <si>
    <t xml:space="preserve">309 NE 17th St </t>
  </si>
  <si>
    <t>Nunzio</t>
  </si>
  <si>
    <t xml:space="preserve">99 Packard St </t>
  </si>
  <si>
    <t>OWNER 2 LAST NAME</t>
  </si>
  <si>
    <t>For Ghantous Trust</t>
  </si>
  <si>
    <t xml:space="preserve">1404 S Gator Cir </t>
  </si>
  <si>
    <t>Cypress Trail Rv Resort Phase 4-A As Desc In Inst# 20160000135610 Lot 283</t>
  </si>
  <si>
    <t>07047-4913</t>
  </si>
  <si>
    <t>33909-1340</t>
  </si>
  <si>
    <t>03-44-26-11-00053.0020</t>
  </si>
  <si>
    <t>10801-3347</t>
  </si>
  <si>
    <t xml:space="preserve">4311 Coronado Pkwy </t>
  </si>
  <si>
    <t xml:space="preserve">144 SE 27th Ter  Cape Coral, FL 33904 </t>
  </si>
  <si>
    <t xml:space="preserve">268 Saw Mill Rd  North Haledon, NJ 07508-3045 </t>
  </si>
  <si>
    <t>Abreu</t>
  </si>
  <si>
    <t xml:space="preserve">1826 NE 22nd Ter  Cape Coral, FL 33909 </t>
  </si>
  <si>
    <t xml:space="preserve">214 Slade St  Fall River, MA 02724-1379 </t>
  </si>
  <si>
    <t>Heald Bailey</t>
  </si>
  <si>
    <t>Crestview</t>
  </si>
  <si>
    <t>33905-8640</t>
  </si>
  <si>
    <t>Fernando &amp; Jacqueline Iglesias</t>
  </si>
  <si>
    <t>Rosas</t>
  </si>
  <si>
    <t>Cape Coral Unit 87 Blk 5743 Pb 24 Pg 69 Lots 17 + 18</t>
  </si>
  <si>
    <t>33904-2823</t>
  </si>
  <si>
    <t xml:space="preserve">15620 Glencrest Ave </t>
  </si>
  <si>
    <t xml:space="preserve">2124 NE 35th Ln  Cape Coral, FL 33909 </t>
  </si>
  <si>
    <t>Lorelli</t>
  </si>
  <si>
    <t>Lehigh Acres Unit 6 Blk 29 Pb 26 Pg 8 Lot 15</t>
  </si>
  <si>
    <t>Noniani</t>
  </si>
  <si>
    <t xml:space="preserve">4345 Arlington Ave  Fort Myers, FL 33905 </t>
  </si>
  <si>
    <t>62249-4017</t>
  </si>
  <si>
    <t>Brently</t>
  </si>
  <si>
    <t>Terry Tice + Vandawalker Blk 3 Pb 1 Pg 46 Pt Lot 18</t>
  </si>
  <si>
    <t xml:space="preserve">4702 215th St  Bayside, NY 11361-3348 </t>
  </si>
  <si>
    <t xml:space="preserve">2429 NE 7th Pl </t>
  </si>
  <si>
    <t>33909-7378</t>
  </si>
  <si>
    <t>Shahidul Islam</t>
  </si>
  <si>
    <t xml:space="preserve">2014 NE 17th Ave  Cape Coral, FL 33909 </t>
  </si>
  <si>
    <t>Elizabeth Shapiro Trust</t>
  </si>
  <si>
    <t xml:space="preserve">8220 Cascade Oaks Dr </t>
  </si>
  <si>
    <t xml:space="preserve">Po Box 1061 </t>
  </si>
  <si>
    <t>Kimberly &amp; For Doti</t>
  </si>
  <si>
    <t xml:space="preserve">42 Gutnickstr </t>
  </si>
  <si>
    <t>Eckartz</t>
  </si>
  <si>
    <t xml:space="preserve">4000 Alton Rd #505 </t>
  </si>
  <si>
    <t>Stephen</t>
  </si>
  <si>
    <t xml:space="preserve">20 Horseplay Ln </t>
  </si>
  <si>
    <t xml:space="preserve">2415 NE 22nd Pl  Cape Coral, FL 33909 </t>
  </si>
  <si>
    <t>Cypress Trail Rv Resort Phase 2-A As Desc In Inst# 2014000026506 Lot 70</t>
  </si>
  <si>
    <t>Cape Coral Unit 32 Blk 2133 Pb 16 Pg 13 Lots 22 + 23</t>
  </si>
  <si>
    <t>Cape Coral Unit 85 Blk.5641 Pb 24 Pg 54 Lot 21</t>
  </si>
  <si>
    <t xml:space="preserve">4308 NE 9th Ct </t>
  </si>
  <si>
    <t>33909-2024</t>
  </si>
  <si>
    <t>10453-6737</t>
  </si>
  <si>
    <t>33904-4273</t>
  </si>
  <si>
    <t xml:space="preserve">3404 W Highway 10  Greenwood, AR 72936-8332 </t>
  </si>
  <si>
    <t>66213-4428</t>
  </si>
  <si>
    <t>Cape Coral Unit 87 Blk 5747 Pb 24 Pb 70 Lots 33 + 34</t>
  </si>
  <si>
    <t>36-44-23-c3-00873.0610</t>
  </si>
  <si>
    <t xml:space="preserve">6101 Holt Ct  Fort Myers, FL 33905 </t>
  </si>
  <si>
    <t>Cape Coral Unit 36 Blk 2292 Pb 16 Pg 121 Lots 34 + 35</t>
  </si>
  <si>
    <t>11415-3566</t>
  </si>
  <si>
    <t>03-44-26-13-00073.0180</t>
  </si>
  <si>
    <t xml:space="preserve">101 NE 8th Ter  Cape Coral, FL 33909 </t>
  </si>
  <si>
    <t>Tonkawood</t>
  </si>
  <si>
    <t>03857-2029</t>
  </si>
  <si>
    <t xml:space="preserve">5583 Victoria Falls Pkwy  Chino Hills, CA 91709-8743 </t>
  </si>
  <si>
    <t>17-43-24-c2-05798.0380</t>
  </si>
  <si>
    <t>Ku Living Trust</t>
  </si>
  <si>
    <t>33909-9210</t>
  </si>
  <si>
    <t>Zeno &amp; Roy Douglas</t>
  </si>
  <si>
    <t>Arbutus</t>
  </si>
  <si>
    <t>33909-4416</t>
  </si>
  <si>
    <t>12-46-23-02-00000.0510</t>
  </si>
  <si>
    <t>Cape Coral Unit 87 Blk 5726 Pb 24 Pg 85 Lots 16 + 17</t>
  </si>
  <si>
    <t xml:space="preserve">1921 SE 26th Ter  Cape Coral, FL 33904 </t>
  </si>
  <si>
    <t>Palmetto Palms Rv Resort Condo Ph 4 Or 1530 Pg 1466 Res Unit 327</t>
  </si>
  <si>
    <t>High</t>
  </si>
  <si>
    <t>Aung</t>
  </si>
  <si>
    <t>18-43-24-c4-05684.0030</t>
  </si>
  <si>
    <t xml:space="preserve">972 Gardiner Dr  Bay Shore, NY 11706-7635 </t>
  </si>
  <si>
    <t>91913-2882</t>
  </si>
  <si>
    <t>Hoffman</t>
  </si>
  <si>
    <t>Flower Mound</t>
  </si>
  <si>
    <t>Cape Coral Unit 47 Pt 2 Blk 3521 Pb 23 Pg 125 Lots 28 + 29</t>
  </si>
  <si>
    <t>03-44-26-05-00025.0060</t>
  </si>
  <si>
    <t>Paul Grimm Ira</t>
  </si>
  <si>
    <t xml:space="preserve">333 NE 30th Ter </t>
  </si>
  <si>
    <t xml:space="preserve">2023 Andalusia Blvd  Cape Coral, FL 33909 </t>
  </si>
  <si>
    <t xml:space="preserve">2128 NE 43rd Ln </t>
  </si>
  <si>
    <t xml:space="preserve">1719 Andalusia Blvd </t>
  </si>
  <si>
    <t xml:space="preserve">5790 Maplewood Ct  Fort Myers, FL 33905 </t>
  </si>
  <si>
    <t>33909-8836</t>
  </si>
  <si>
    <t xml:space="preserve">1535 Eden Isle Blvd NE #264, Saint Petersburg, FL 33704-1736 </t>
  </si>
  <si>
    <t>Pena</t>
  </si>
  <si>
    <t xml:space="preserve">2311 NE 35th Ln </t>
  </si>
  <si>
    <t xml:space="preserve">516 Dinah Rd </t>
  </si>
  <si>
    <t xml:space="preserve">3612 E 6th Ave </t>
  </si>
  <si>
    <t>08873-6403</t>
  </si>
  <si>
    <t xml:space="preserve">534 Green View Ct </t>
  </si>
  <si>
    <t xml:space="preserve">5935 NW 55th Ln  Tamarac, FL 33319-2475 </t>
  </si>
  <si>
    <t xml:space="preserve">3326 NE 9th Ave  Cape Coral, FL 33909 </t>
  </si>
  <si>
    <t>11795-1522</t>
  </si>
  <si>
    <t>Cape Coral Unit 33 Blk 2279 Pb 16 Pg 60 Lots 14 + 15</t>
  </si>
  <si>
    <t xml:space="preserve">10120 Sunnywood Ct </t>
  </si>
  <si>
    <t xml:space="preserve">320 W Graham Ave  Lombard, IL 60148-3262 </t>
  </si>
  <si>
    <t>32779-5717</t>
  </si>
  <si>
    <t>Ruby Fagot</t>
  </si>
  <si>
    <t>Chavez</t>
  </si>
  <si>
    <t>Cape Coral Unit 21 Blk 638 Pb 13 Pg 161 Lots 40 + 41</t>
  </si>
  <si>
    <t xml:space="preserve">6825 SW 64th Ter  Ocala, FL 34476-6086 </t>
  </si>
  <si>
    <t xml:space="preserve">5601 Brightwood Dr </t>
  </si>
  <si>
    <t>Ninoslav</t>
  </si>
  <si>
    <t>Marietta</t>
  </si>
  <si>
    <t>Cape Coral Unit 32 Blk 2143 Pb 16 Pg 6 Lots 36 + 37</t>
  </si>
  <si>
    <t>Nadav</t>
  </si>
  <si>
    <t xml:space="preserve">305 Turner Rd </t>
  </si>
  <si>
    <t>06-44-24-c4-02069.0670</t>
  </si>
  <si>
    <t>Cape Coral Unit 17 Blk 1482 Pb 14 Pg 29 Lots 68 + 69</t>
  </si>
  <si>
    <t xml:space="preserve">29145 600th Ave  Cambridge, IA 50046-8598 </t>
  </si>
  <si>
    <t>Cape Coral Unit 88 Blk 5781 Pb 24 Pg 132 Lots 17 + 18</t>
  </si>
  <si>
    <t>11-44-25-06-0000d.1290</t>
  </si>
  <si>
    <t xml:space="preserve">4508 County Road V </t>
  </si>
  <si>
    <t>Robert &amp; Karen Francis</t>
  </si>
  <si>
    <t>11-44-25-11-00000.2240</t>
  </si>
  <si>
    <t>25-43-23-c1-02350.0310</t>
  </si>
  <si>
    <t xml:space="preserve">38787 Derby Dr </t>
  </si>
  <si>
    <t>Rs1</t>
  </si>
  <si>
    <t xml:space="preserve">10337 Prairie Iris Dr  Fort Myers, FL 33905 </t>
  </si>
  <si>
    <t>Mirabel</t>
  </si>
  <si>
    <t>33904-5442</t>
  </si>
  <si>
    <t xml:space="preserve">1916 NE 33rd Ter </t>
  </si>
  <si>
    <t>Snow Lodge</t>
  </si>
  <si>
    <t xml:space="preserve">60 Halstead Dr </t>
  </si>
  <si>
    <t xml:space="preserve">2923 NE 5th Pl  Cape Coral, FL 33909 </t>
  </si>
  <si>
    <t xml:space="preserve">7797 Golf Circle Dr #304, Margate, FL 33063-7383 </t>
  </si>
  <si>
    <t xml:space="preserve">3875 NW 135th St  Opa Locka, FL 33054-4603 </t>
  </si>
  <si>
    <t xml:space="preserve">2048 NE 18th St </t>
  </si>
  <si>
    <t>11-44-25-09-00000.2010</t>
  </si>
  <si>
    <t>Cape Coral Unit 36 Blk 2329 Pb 16 Pg 128 Lots 17 + 18</t>
  </si>
  <si>
    <t xml:space="preserve">1011 NE 1st Ave  Cape Coral, FL 33909 </t>
  </si>
  <si>
    <t>Cape Coral Unit 87 Blk 5727 Pb 24 Pg 85 Lots 3 + 4</t>
  </si>
  <si>
    <t>Luisa</t>
  </si>
  <si>
    <t>31-43-24-c2-02155.0330</t>
  </si>
  <si>
    <t>Skyl &amp; Tiffany Schumacher</t>
  </si>
  <si>
    <t xml:space="preserve">1940 NE 15th St </t>
  </si>
  <si>
    <t>Apopka</t>
  </si>
  <si>
    <t>Finnemore</t>
  </si>
  <si>
    <t>Roy &amp; Jennifer Forehand</t>
  </si>
  <si>
    <t>Latino</t>
  </si>
  <si>
    <t xml:space="preserve">106 Cameron Dr </t>
  </si>
  <si>
    <t>Rww &amp; Cjw Family</t>
  </si>
  <si>
    <t>Fm 116</t>
  </si>
  <si>
    <t>98178-3515</t>
  </si>
  <si>
    <t>33909-2819</t>
  </si>
  <si>
    <t>230th</t>
  </si>
  <si>
    <t xml:space="preserve">2125 NE 17th Ter  Cape Coral, FL 33909 </t>
  </si>
  <si>
    <t xml:space="preserve">4032 NE 10th Pl </t>
  </si>
  <si>
    <t xml:space="preserve">10214 Meadow Beauty Trl  Fort Myers, FL 33905 </t>
  </si>
  <si>
    <t xml:space="preserve">5561 Cypress Woods Resort Dr  Fort Myers, FL 33905 </t>
  </si>
  <si>
    <t xml:space="preserve">12050 Cactus Dr </t>
  </si>
  <si>
    <t>Zapfendorf</t>
  </si>
  <si>
    <t xml:space="preserve">226 Maple Pl  Keyport, NJ 07735-1119 </t>
  </si>
  <si>
    <t>Allen Burgess</t>
  </si>
  <si>
    <t xml:space="preserve">2016 NE 39th Ter </t>
  </si>
  <si>
    <t>97702-9138</t>
  </si>
  <si>
    <t>L1E 2B1</t>
  </si>
  <si>
    <t>Lely</t>
  </si>
  <si>
    <t>Cape Coral Unit 33 Blk.2283 Pb 16 Pg 59 Lots 34 + 35</t>
  </si>
  <si>
    <t>Cape Coral Unit 84 Blk 5588 Pb 24 Pg 45 Lot 15</t>
  </si>
  <si>
    <t>Irar &amp; Soniya Ira</t>
  </si>
  <si>
    <t>Lehigh Acres Unit 3 Blk 13 Pb 26 Pg 5 Lot 35</t>
  </si>
  <si>
    <t>Pascua</t>
  </si>
  <si>
    <t>Miamisburg</t>
  </si>
  <si>
    <t xml:space="preserve">253 Cape Coral Pkwy E </t>
  </si>
  <si>
    <t>PO Box 1118</t>
  </si>
  <si>
    <t>Cranston</t>
  </si>
  <si>
    <t xml:space="preserve">8780 Saddleback Rd </t>
  </si>
  <si>
    <t>Carver</t>
  </si>
  <si>
    <t>Cape Coral Unit 32 Blk.2162 Pb 16 Pg 11 Lots 17 Thru 19</t>
  </si>
  <si>
    <t>Boody</t>
  </si>
  <si>
    <t xml:space="preserve">862 Nollan Rd </t>
  </si>
  <si>
    <t>Juan Leon &amp; Allison Delgado</t>
  </si>
  <si>
    <t xml:space="preserve">2104 NE 27th Ter  Cape Coral, FL 33909 </t>
  </si>
  <si>
    <t>33147-3646</t>
  </si>
  <si>
    <t>36-43-23-c2-02541.0050</t>
  </si>
  <si>
    <t xml:space="preserve">1281 Edge Hill Rd </t>
  </si>
  <si>
    <t xml:space="preserve">1917 NE 15th Ter </t>
  </si>
  <si>
    <t xml:space="preserve">4754 Tumbleweed Dr </t>
  </si>
  <si>
    <t xml:space="preserve">1634 NE 33rd Ter </t>
  </si>
  <si>
    <t>Ingram</t>
  </si>
  <si>
    <t xml:space="preserve">11700 Oakdale Dr </t>
  </si>
  <si>
    <t>32244-7154</t>
  </si>
  <si>
    <t>Joseph &amp; Terry Battaglia</t>
  </si>
  <si>
    <t>Carver School</t>
  </si>
  <si>
    <t>Cape Coral Unit 85 Blk 5664 Pb 24 Pg 57 Lots 46 + 47</t>
  </si>
  <si>
    <t>Gail Foster</t>
  </si>
  <si>
    <t>Ketcham</t>
  </si>
  <si>
    <t xml:space="preserve">4411 Running Pine Dr </t>
  </si>
  <si>
    <t xml:space="preserve">4372 Abbotts Way  Hoover, AL 35226-6354 </t>
  </si>
  <si>
    <t>Lehigh Acres W 1/2 Ut 10 Blk 48 Pb 26 Pg 12 Lot 3</t>
  </si>
  <si>
    <t>21-43-26-03-00027.0000</t>
  </si>
  <si>
    <t xml:space="preserve">2025 NE 33rd Ter </t>
  </si>
  <si>
    <t>Evan Graves</t>
  </si>
  <si>
    <t>19-43-24-c3-05559.0050</t>
  </si>
  <si>
    <t>Naziha Mustafa</t>
  </si>
  <si>
    <t>07624-1816</t>
  </si>
  <si>
    <t xml:space="preserve">705 Village Green Way #310, West Bend, WI 53090-2528 </t>
  </si>
  <si>
    <t>Nicola</t>
  </si>
  <si>
    <t xml:space="preserve">5212 Marsh Mallow Trl  Fort Myers, FL 33905 </t>
  </si>
  <si>
    <t>33903-4729</t>
  </si>
  <si>
    <t xml:space="preserve">309 NE 10th St </t>
  </si>
  <si>
    <t xml:space="preserve">2800 NE 2nd Pl </t>
  </si>
  <si>
    <t xml:space="preserve">2215 NE 43rd Ln </t>
  </si>
  <si>
    <t xml:space="preserve">925 NE 34th Ter </t>
  </si>
  <si>
    <t>Fabio</t>
  </si>
  <si>
    <t>12-46-23-04-00000.5390</t>
  </si>
  <si>
    <t>Brett &amp; Alison Couacaud</t>
  </si>
  <si>
    <t>John &amp; Marlene Daley</t>
  </si>
  <si>
    <t>33909-2073</t>
  </si>
  <si>
    <t xml:space="preserve">313 SE 31st Ter  Cape Coral, FL 33904 </t>
  </si>
  <si>
    <t>48375-3342</t>
  </si>
  <si>
    <t>33903-2822</t>
  </si>
  <si>
    <t>Cape Coral Unit 88 Blk 5820 Pb 24 Pg 140 Lot 40</t>
  </si>
  <si>
    <t xml:space="preserve">756 Marina Rd </t>
  </si>
  <si>
    <t>Kenneth &amp; Christina Hoeckelberg</t>
  </si>
  <si>
    <t>33909-4754</t>
  </si>
  <si>
    <t>Heike &amp; Florian Eekhoff</t>
  </si>
  <si>
    <t>Revocabl &amp; Brian Bohne</t>
  </si>
  <si>
    <t>Laurelton</t>
  </si>
  <si>
    <t>33909-6101</t>
  </si>
  <si>
    <t>33909-1988</t>
  </si>
  <si>
    <t>Lutz Anthony D &amp; Sue A Tr</t>
  </si>
  <si>
    <t xml:space="preserve">3725 Trent St  Fort Myers, FL 33905 </t>
  </si>
  <si>
    <t xml:space="preserve">3721 Trent St  Fort Myers, FL 33905 </t>
  </si>
  <si>
    <t>Vindhya</t>
  </si>
  <si>
    <t xml:space="preserve">907 Wolcott Ave </t>
  </si>
  <si>
    <t>PO Box 205</t>
  </si>
  <si>
    <t>Patricia Ralph</t>
  </si>
  <si>
    <t xml:space="preserve">10260 Meadow Beauty Trl  Fort Myers, FL 33905 </t>
  </si>
  <si>
    <t xml:space="preserve">343 NE 31st St </t>
  </si>
  <si>
    <t>Lehigh Acres Unit 8 Blk 35 Pb 26 Pg 10 Lot 18</t>
  </si>
  <si>
    <t>11-44-24-01-000k0.0150</t>
  </si>
  <si>
    <t>Raul Gonzalez</t>
  </si>
  <si>
    <t>Cape Coral Unit 36 Blk 2533 Pb 16 Pg 117 Lots 7 + 8</t>
  </si>
  <si>
    <t>Cape Coral Unit 36 Pt 1 Blk 2506 Pb 23 Pg 91 Lots 7 + 8</t>
  </si>
  <si>
    <t>33909-6493</t>
  </si>
  <si>
    <t>12443-5701</t>
  </si>
  <si>
    <t>33905-8607</t>
  </si>
  <si>
    <t xml:space="preserve">5852 S Channel  Harsens Island, MI 48028 </t>
  </si>
  <si>
    <t>Cape Coral Unit 31 Blk.2080 Pb 14 Pg 161 Lot 48 Thru 50</t>
  </si>
  <si>
    <t>03-44-26-13-00070.0040</t>
  </si>
  <si>
    <t>Herzon</t>
  </si>
  <si>
    <t>Skyline</t>
  </si>
  <si>
    <t xml:space="preserve">6009 Jonathan Ave  Fort Myers, FL 33905 </t>
  </si>
  <si>
    <t>Benicia</t>
  </si>
  <si>
    <t>Tommy Hagglund</t>
  </si>
  <si>
    <t>Cape Coral Unit 17 Blk.1515 Pb 14 Pg 27 Lots 6 + 7</t>
  </si>
  <si>
    <t xml:space="preserve">6021 Thrush Ave </t>
  </si>
  <si>
    <t xml:space="preserve">11 Randolph Ave </t>
  </si>
  <si>
    <t>Desiree</t>
  </si>
  <si>
    <t xml:space="preserve">6024 Jonathan Ave </t>
  </si>
  <si>
    <t>Maximiano Calvillo</t>
  </si>
  <si>
    <t>Manahawkin</t>
  </si>
  <si>
    <t>Forcellina</t>
  </si>
  <si>
    <t>33909-8885</t>
  </si>
  <si>
    <t>Cape Coral Unit 33 Blk 2223 Pb 16 Pg 43 Lots 67 Thru 69</t>
  </si>
  <si>
    <t xml:space="preserve">4120 Garden Blvd </t>
  </si>
  <si>
    <t xml:space="preserve">1501 NE 43rd Ter  Cape Coral, FL 33909 </t>
  </si>
  <si>
    <t xml:space="preserve">10061 Willowood Dr  Fort Myers, FL 33905 </t>
  </si>
  <si>
    <t>Carollo</t>
  </si>
  <si>
    <t xml:space="preserve">1150 Eastbourne Ave </t>
  </si>
  <si>
    <t xml:space="preserve">6540 Pine St  Fort Myers, FL 33905 </t>
  </si>
  <si>
    <t xml:space="preserve">E9-105 Avenida Isaac Barrera  Quito, EC </t>
  </si>
  <si>
    <t xml:space="preserve">85 Stedman St  Chelmsford, MA 01824-1866 </t>
  </si>
  <si>
    <t>33351-5755</t>
  </si>
  <si>
    <t xml:space="preserve">2816 NE 3rd Ave </t>
  </si>
  <si>
    <t>Randy Gramsey &amp; Joycelyn Masar</t>
  </si>
  <si>
    <t>14094-9648</t>
  </si>
  <si>
    <t xml:space="preserve">454 Capitol St </t>
  </si>
  <si>
    <t xml:space="preserve">1527 NE 33rd Ln  Cape Coral, FL 33909 </t>
  </si>
  <si>
    <t xml:space="preserve">391 N Salem Rd  Brewster, NY 10509-3516 </t>
  </si>
  <si>
    <t xml:space="preserve">4827 Clearview Expy </t>
  </si>
  <si>
    <t>Mountain Top</t>
  </si>
  <si>
    <t>48315-5117</t>
  </si>
  <si>
    <t>Nashville-Davidson Metropolitan Government (Balance)</t>
  </si>
  <si>
    <t>25-43-23-c2-02316.0630</t>
  </si>
  <si>
    <t xml:space="preserve">2528 SE 24th Ave </t>
  </si>
  <si>
    <t xml:space="preserve">707 NE 23rd Ter  Cape Coral, FL 33909 </t>
  </si>
  <si>
    <t>32824-5077</t>
  </si>
  <si>
    <t>Cape Coral Unit 31 Blk 2098 Pb 14 Pg 160 Lots 45 + 46</t>
  </si>
  <si>
    <t>Edward &amp; Emily Leonard</t>
  </si>
  <si>
    <t xml:space="preserve">3230 Ruby Red Dr  Naples, FL 34120-1437 </t>
  </si>
  <si>
    <t>21601-8723</t>
  </si>
  <si>
    <t>68046-4658</t>
  </si>
  <si>
    <t>Cape Coral Unit 33 Blk 2202 Pb 16 Pg 45 Lots 55 + 56</t>
  </si>
  <si>
    <t>28-43-24-l2-01000.0420</t>
  </si>
  <si>
    <t>Javier &amp; Cristina Sobrado</t>
  </si>
  <si>
    <t>Ty &amp; Dat Nguyen</t>
  </si>
  <si>
    <t>Hillandale</t>
  </si>
  <si>
    <t>Jeremy Kovak &amp; Britt Larsen-Kovak</t>
  </si>
  <si>
    <t>33909-4504</t>
  </si>
  <si>
    <t>Cape Coral Unit 36 Blk 2351 Pb 16 Pg 129 Lots 1 + 2</t>
  </si>
  <si>
    <t>33905-7776</t>
  </si>
  <si>
    <t>Daniel Webster</t>
  </si>
  <si>
    <t xml:space="preserve">3729 Tallman St </t>
  </si>
  <si>
    <t xml:space="preserve">1206 NE 7th Ave </t>
  </si>
  <si>
    <t>93955-3318</t>
  </si>
  <si>
    <t>Adrien</t>
  </si>
  <si>
    <t>Villas</t>
  </si>
  <si>
    <t>08-44-24-c2-01532.0670</t>
  </si>
  <si>
    <t xml:space="preserve">17 Rue Des Fleurines  Billings, NY 12510 </t>
  </si>
  <si>
    <t xml:space="preserve">693 N 275 E </t>
  </si>
  <si>
    <t xml:space="preserve">8385 N Fox Hollow Rd </t>
  </si>
  <si>
    <t>3m</t>
  </si>
  <si>
    <t>Cape Coral Unit 47 Part 2 Blk 3515 Pb 23 Pg 125 Lots 15 and 16</t>
  </si>
  <si>
    <t xml:space="preserve">19710 NE 13th Ct </t>
  </si>
  <si>
    <t>Cape Coral Unit 36 Pt 1 Blk 2479 Pb 23 Pg 93 Lots 11 + 12</t>
  </si>
  <si>
    <t xml:space="preserve">1 B </t>
  </si>
  <si>
    <t>Lehigh Acres Unit 6 Blk 29 Pb 26 Pg 8 Lot 10</t>
  </si>
  <si>
    <t xml:space="preserve">1329 NE 15th Ter  Cape Coral, FL 33909 </t>
  </si>
  <si>
    <t>Crans Montana</t>
  </si>
  <si>
    <t xml:space="preserve">605 Elizabeth Ave </t>
  </si>
  <si>
    <t>33909-1449</t>
  </si>
  <si>
    <t>Roger &amp; Sharon Heath</t>
  </si>
  <si>
    <t>33909-7373</t>
  </si>
  <si>
    <t>Wallkill</t>
  </si>
  <si>
    <t>34946-8717</t>
  </si>
  <si>
    <t>30228-3304</t>
  </si>
  <si>
    <t xml:space="preserve">312 Sherman St </t>
  </si>
  <si>
    <t>Dixon</t>
  </si>
  <si>
    <t>Cape Coral Unit 33 Blk 2273 Pb 16 Pg 61 Lots 16 + 17</t>
  </si>
  <si>
    <t>Chemin Du Stade</t>
  </si>
  <si>
    <t>F Hensley</t>
  </si>
  <si>
    <t>Cape Coral Unit 88 Blk 5825 Pb 24 Pg 142 Lots 22 + 23</t>
  </si>
  <si>
    <t>Craig George A Ii Tr</t>
  </si>
  <si>
    <t>Alexander Poddubny</t>
  </si>
  <si>
    <t>For Charles Fred Kraus Iii Trust</t>
  </si>
  <si>
    <t>Luci</t>
  </si>
  <si>
    <t xml:space="preserve">2614 NE 6th Ave  Cape Coral, FL 33909 </t>
  </si>
  <si>
    <t xml:space="preserve">1350 Ute St  Labelle, FL 33935-6525 </t>
  </si>
  <si>
    <t xml:space="preserve">1692 Edgewood Blvd </t>
  </si>
  <si>
    <t xml:space="preserve">3317 NE 13th Ave </t>
  </si>
  <si>
    <t xml:space="preserve">916 NE 36th Ter </t>
  </si>
  <si>
    <t>Cape Coral Unit 33 Blk.2180 Pb 16 Pg 53 Lots 46 + 47</t>
  </si>
  <si>
    <t xml:space="preserve">8940 151st Ave 1e </t>
  </si>
  <si>
    <t>33076-3529</t>
  </si>
  <si>
    <t>33129-1843</t>
  </si>
  <si>
    <t>Malvin</t>
  </si>
  <si>
    <t xml:space="preserve">5555 SW 192nd Ter </t>
  </si>
  <si>
    <t xml:space="preserve">903 NE 1st Ave  Cape Coral, FL 33909 </t>
  </si>
  <si>
    <t>Cypress Woods Rv Resort Un 3 Desc In Pb 72 Pgs 92-95 Blk C Lot 17</t>
  </si>
  <si>
    <t xml:space="preserve">5817 Weddington Rd  Matthews, NC 28104-6272 </t>
  </si>
  <si>
    <t>06-44-24-c1-02068.0610</t>
  </si>
  <si>
    <t>Silver Perch</t>
  </si>
  <si>
    <t>06-44-24-c2-02086.0010</t>
  </si>
  <si>
    <t>Mark &amp; Nicola Masser</t>
  </si>
  <si>
    <t xml:space="preserve">370 Hancock St  Brentwood, NY 11717-2854 </t>
  </si>
  <si>
    <t xml:space="preserve">2109 NE 15th Pl  Cape Coral, FL 33909 </t>
  </si>
  <si>
    <t xml:space="preserve">824 NE 7th Pl  Cape Coral, FL 33909 </t>
  </si>
  <si>
    <t>David Pena &amp; Brenda Vargas</t>
  </si>
  <si>
    <t xml:space="preserve">7590 Atherton Way  Eden Prairie, MN 55346-4412 </t>
  </si>
  <si>
    <t>Benincasa</t>
  </si>
  <si>
    <t>Cape Coral Unit 33 Blk 2187 Pb 16 Pg 48 Lots 29 + 30</t>
  </si>
  <si>
    <t xml:space="preserve">2326 NE 34th Ln </t>
  </si>
  <si>
    <t>Toan</t>
  </si>
  <si>
    <t xml:space="preserve">1508 NE 19th Ave  Cape Coral, FL 33909 </t>
  </si>
  <si>
    <t xml:space="preserve">3825 Hyde Park Dr </t>
  </si>
  <si>
    <t xml:space="preserve">37010 Charles Town Pike </t>
  </si>
  <si>
    <t>Osmany Lache &amp; Denis Perez</t>
  </si>
  <si>
    <t xml:space="preserve">686 Hentron Ct </t>
  </si>
  <si>
    <t xml:space="preserve">PO Box 89  Hendersonville, TN 37077 </t>
  </si>
  <si>
    <t>Francis Guelette</t>
  </si>
  <si>
    <t xml:space="preserve">5673 Brightwood Dr </t>
  </si>
  <si>
    <t xml:space="preserve">819 Maumee St  Orlando, FL 32828-5182 </t>
  </si>
  <si>
    <t xml:space="preserve">215 Harding Dr </t>
  </si>
  <si>
    <t xml:space="preserve">2633 S Canal St  Newton Falls, OH 44444-9423 </t>
  </si>
  <si>
    <t>Abe Ringer</t>
  </si>
  <si>
    <t>Hoeckelberg</t>
  </si>
  <si>
    <t xml:space="preserve">2326 NE 35th Ter  Cape Coral, FL 33909 </t>
  </si>
  <si>
    <t>Cape Coral Unit 84 Blk 5593 Pb 24 Pg 44 Lots 70 + 71</t>
  </si>
  <si>
    <t>33909-6150</t>
  </si>
  <si>
    <t>38019-7070</t>
  </si>
  <si>
    <t xml:space="preserve">108 NE 13th Ave  Cape Coral, FL 33909 </t>
  </si>
  <si>
    <t>Johanne &amp; Gary Beaupre</t>
  </si>
  <si>
    <t>Cypress Trail Rv Resort As Desc In Inst# 2013000212499 Lot 192</t>
  </si>
  <si>
    <t xml:space="preserve">6131 Higgins Ave </t>
  </si>
  <si>
    <t>33909-3384</t>
  </si>
  <si>
    <t>Cape Coral Unit 36 Blk 2355 Pb 16 Pg 119 Lots 24 + 25</t>
  </si>
  <si>
    <t xml:space="preserve">1922 NE 17th Ave </t>
  </si>
  <si>
    <t>33909-8831</t>
  </si>
  <si>
    <t>01-44-23-c1-02441.0110</t>
  </si>
  <si>
    <t xml:space="preserve">3344 Tupelo Ln  Johnstown, CO 80534-9171 </t>
  </si>
  <si>
    <t>Grants Pass</t>
  </si>
  <si>
    <t>Cape Coral Unit 36 Pt 1 Blk 2492 Pb 23 Pg 91 Lots 23 + 24</t>
  </si>
  <si>
    <t>36-43-23-c3-02508.0170</t>
  </si>
  <si>
    <t>7a</t>
  </si>
  <si>
    <t>Guy &amp; Julien Wauters</t>
  </si>
  <si>
    <t>32223-3526</t>
  </si>
  <si>
    <t xml:space="preserve">2204 Gill St SE </t>
  </si>
  <si>
    <t>Gloria Thomas</t>
  </si>
  <si>
    <t>G0C 2N0</t>
  </si>
  <si>
    <t xml:space="preserve">944 Sunbonnet Loop  San Jose, CA 95125-6344 </t>
  </si>
  <si>
    <t xml:space="preserve">18 NE 20th St  Cape Coral, FL 33909 </t>
  </si>
  <si>
    <t xml:space="preserve">2503 NE 5th Pl  Cape Coral, FL 33909 </t>
  </si>
  <si>
    <t xml:space="preserve">10 Cypress Ct  Piscataway, NJ 08854-2223 </t>
  </si>
  <si>
    <t xml:space="preserve">2012 NE 39th Ter  Cape Coral, FL 33909 </t>
  </si>
  <si>
    <t>Grass Lake</t>
  </si>
  <si>
    <t>Cape Coral Unit 6 Part 2 Blk 41A Pb 11 Pg 60 Lots 16 + 17 + S/W Ext</t>
  </si>
  <si>
    <t xml:space="preserve">12040 SW 32nd St  Davie, FL 33330-1620 </t>
  </si>
  <si>
    <t xml:space="preserve">1912 NW Waterwillow Way  Jensen Beach, FL 34957-3562 </t>
  </si>
  <si>
    <t>Destouche</t>
  </si>
  <si>
    <t>11-44-25-08-00000.1980</t>
  </si>
  <si>
    <t>Strasburg</t>
  </si>
  <si>
    <t>Muriel Bole</t>
  </si>
  <si>
    <t>31-43-24-c2-02138.0430</t>
  </si>
  <si>
    <t>Gary &amp; Katherine Penkal</t>
  </si>
  <si>
    <t xml:space="preserve">2713 NE 20th Pl </t>
  </si>
  <si>
    <t>18-43-24-c3-05747.0430</t>
  </si>
  <si>
    <t xml:space="preserve">6139 Higgins Ave  Fort Myers, FL 33905 </t>
  </si>
  <si>
    <t>94th</t>
  </si>
  <si>
    <t xml:space="preserve">809 NE 44th Ln </t>
  </si>
  <si>
    <t>Ferdinando &amp; Darlene Pitrelli</t>
  </si>
  <si>
    <t>Bayshore</t>
  </si>
  <si>
    <t xml:space="preserve">6755 NW 169th St B </t>
  </si>
  <si>
    <t>John &amp; Sue Bellardo</t>
  </si>
  <si>
    <t>Linda Loma Unit B Pb 25 Pg 78 Lot 127</t>
  </si>
  <si>
    <t xml:space="preserve">2818 NE 1st Pl  Cape Coral, FL 33909 </t>
  </si>
  <si>
    <t>M Vizzi</t>
  </si>
  <si>
    <t xml:space="preserve">821 NE 10th Ln </t>
  </si>
  <si>
    <t xml:space="preserve">3270 NE Irving St </t>
  </si>
  <si>
    <t xml:space="preserve">1311 SE 35th Ter  Cape Coral, FL 33904 </t>
  </si>
  <si>
    <t>Cape Coral Unit 36 Blk 2296 Pb 16 Pg 119 Lots 32 + 33</t>
  </si>
  <si>
    <t xml:space="preserve">2716 NE 2nd Pl  Cape Coral, FL 33909 </t>
  </si>
  <si>
    <t xml:space="preserve">1706 NE 27th Ter </t>
  </si>
  <si>
    <t xml:space="preserve">1630 NE 34th Ln  Cape Coral, FL 33909 </t>
  </si>
  <si>
    <t>32-43-24-c2-02188.0460</t>
  </si>
  <si>
    <t>36-43-23-c4-02546.0150</t>
  </si>
  <si>
    <t xml:space="preserve">411 NE 30th Ter  Cape Coral, FL 33909 </t>
  </si>
  <si>
    <t>Rue De La Matelotte</t>
  </si>
  <si>
    <t>Cape Coral Unit 32 Blk 2133 Pb 16 Pg 13 Lots 20 + 21</t>
  </si>
  <si>
    <t>Baldwin</t>
  </si>
  <si>
    <t xml:space="preserve">6045 Jonathan Ave  Fort Myers, FL 33905 </t>
  </si>
  <si>
    <t xml:space="preserve">1907 NE 15th Ln </t>
  </si>
  <si>
    <t xml:space="preserve">4432 Cedar Island Dr </t>
  </si>
  <si>
    <t>70342-2748</t>
  </si>
  <si>
    <t>05-45-24-c1-00576.0230</t>
  </si>
  <si>
    <t>55122-3807</t>
  </si>
  <si>
    <t>Weeks</t>
  </si>
  <si>
    <t>11-44-25-05-0000c.0240</t>
  </si>
  <si>
    <t>San Juan</t>
  </si>
  <si>
    <t>Cape Coral Unit 33 Blk.2230 Pb 16 Pg 52 Lots 42 + 43</t>
  </si>
  <si>
    <t>33905-7722</t>
  </si>
  <si>
    <t>Urb Quintas Del Rey</t>
  </si>
  <si>
    <t xml:space="preserve">3488 Bromfield Dr  Ocoee, FL 34761-5105 </t>
  </si>
  <si>
    <t>Rodriguez Jose &amp; Nirza Tr</t>
  </si>
  <si>
    <t>Vlg</t>
  </si>
  <si>
    <t xml:space="preserve">1625 NE 23rd St </t>
  </si>
  <si>
    <t>Weng</t>
  </si>
  <si>
    <t>L6A 1C7</t>
  </si>
  <si>
    <t xml:space="preserve">3507 NE 12th Pl  Cape Coral, FL 33909 </t>
  </si>
  <si>
    <t xml:space="preserve">9808 S Bullard Chapel Rd </t>
  </si>
  <si>
    <t>34145-3829</t>
  </si>
  <si>
    <t>Dario</t>
  </si>
  <si>
    <t>Carlos &amp; Marcelo Butiong</t>
  </si>
  <si>
    <t xml:space="preserve">58 C #152 </t>
  </si>
  <si>
    <t xml:space="preserve">446 Township Road 1275 </t>
  </si>
  <si>
    <t>Yui</t>
  </si>
  <si>
    <t>Don &amp; Virginia Ellis</t>
  </si>
  <si>
    <t>Morris</t>
  </si>
  <si>
    <t>Carl &amp; Carol Schwerdtfeger</t>
  </si>
  <si>
    <t>33909-4553</t>
  </si>
  <si>
    <t xml:space="preserve">5256 Stonehedge Blvd #7, Fort Wayne, IN 46835-3178 </t>
  </si>
  <si>
    <t xml:space="preserve">19a-59 Calle 118 #504 </t>
  </si>
  <si>
    <t xml:space="preserve">6065 Lacota Ave </t>
  </si>
  <si>
    <t>Cape Coral Unit 35 Blk 2370 Pb 16 Pg 104 Lots 30 + 31</t>
  </si>
  <si>
    <t>Cape Coral Unit 85 Blk 5665 Pb 24 Pg 53 Lots 44 + 45</t>
  </si>
  <si>
    <t xml:space="preserve">8052 Rochester Rd </t>
  </si>
  <si>
    <t xml:space="preserve">8419 Eliot Ave </t>
  </si>
  <si>
    <t>Udel</t>
  </si>
  <si>
    <t>31-43-23-c2-04327.0230</t>
  </si>
  <si>
    <t>33909-1787</t>
  </si>
  <si>
    <t>33909-1106</t>
  </si>
  <si>
    <t>Shugufta</t>
  </si>
  <si>
    <t>Hilton Head Island</t>
  </si>
  <si>
    <t>J H J &amp; Edna Nathe</t>
  </si>
  <si>
    <t>Lehigh Acres Unit 12 Blk 62 Pb 26 Pg 15 Lot 9</t>
  </si>
  <si>
    <t>Victor &amp; Adriana Lyle</t>
  </si>
  <si>
    <t>06-44-24-c3-02062.0400</t>
  </si>
  <si>
    <t>R &amp; R Dori Family Trust</t>
  </si>
  <si>
    <t>Valia</t>
  </si>
  <si>
    <t>Deborah Hicks</t>
  </si>
  <si>
    <t>Coppola</t>
  </si>
  <si>
    <t>33909-1498</t>
  </si>
  <si>
    <t>Pereira</t>
  </si>
  <si>
    <t>Sandra Carett</t>
  </si>
  <si>
    <t>Taylors</t>
  </si>
  <si>
    <t>Cape Coral Unit 36 Blk 2346 Pb 16 Pg 127 Lots 25 &amp; 26</t>
  </si>
  <si>
    <t>Kim Minasalli</t>
  </si>
  <si>
    <t xml:space="preserve">353 Lakeshore Ln  Ellerslie, GA 31807-5929 </t>
  </si>
  <si>
    <t xml:space="preserve">1801 Harewood Ct  Virginia Beach, VA 23456-7736 </t>
  </si>
  <si>
    <t>06-45-24-c1-00499.0490</t>
  </si>
  <si>
    <t>33909-5526</t>
  </si>
  <si>
    <t xml:space="preserve">8720 Lake Ridge Dr  Darien, IL 60561-8428 </t>
  </si>
  <si>
    <t>Cape Coral Unit 36Pt 1 Blk 2510 Pb 23 Pg 89 Lots 43 + 44</t>
  </si>
  <si>
    <t xml:space="preserve">1022 NE 34th Ln </t>
  </si>
  <si>
    <t>Champaign</t>
  </si>
  <si>
    <t xml:space="preserve">PO Box 667  Grantsville, MD 21536 </t>
  </si>
  <si>
    <t xml:space="preserve">321 Oregon Rd </t>
  </si>
  <si>
    <t xml:space="preserve">99 Crescent Ave  Chelsea, MA 02150-2975 </t>
  </si>
  <si>
    <t>33909-5237</t>
  </si>
  <si>
    <t xml:space="preserve">2110 NE 16th Ter  Cape Coral, FL 33909 </t>
  </si>
  <si>
    <t xml:space="preserve">1511 NE 17th Ter </t>
  </si>
  <si>
    <t>Oliver Kipar</t>
  </si>
  <si>
    <t>48307-5912</t>
  </si>
  <si>
    <t xml:space="preserve">1520 Kenmar Dr  Martinsville, VA 24112-5702 </t>
  </si>
  <si>
    <t xml:space="preserve">10 Rue Des Roseaux </t>
  </si>
  <si>
    <t xml:space="preserve">3020 NE 2nd Pl </t>
  </si>
  <si>
    <t>33909-3330</t>
  </si>
  <si>
    <t>Cape Coral Unit 36 Blk 2329 Pb 16 Pg 128 Lots 15 + 16</t>
  </si>
  <si>
    <t>San Pedro</t>
  </si>
  <si>
    <t>Ching</t>
  </si>
  <si>
    <t>24360-3232</t>
  </si>
  <si>
    <t xml:space="preserve">37 Josef-Fischhaber-Str  Starnberg, DE 82319 </t>
  </si>
  <si>
    <t xml:space="preserve">1319 NE 23rd St </t>
  </si>
  <si>
    <t>Lasalle</t>
  </si>
  <si>
    <t>33909-3041</t>
  </si>
  <si>
    <t>Gavini</t>
  </si>
  <si>
    <t>PO Box 69</t>
  </si>
  <si>
    <t>Roslyn</t>
  </si>
  <si>
    <t>19-43-24-c2-05602.0650</t>
  </si>
  <si>
    <t>Schneider</t>
  </si>
  <si>
    <t xml:space="preserve">471 NE 3rd Ave  Cape Coral, FL 33909 </t>
  </si>
  <si>
    <t>Schnable</t>
  </si>
  <si>
    <t xml:space="preserve">385 E Janet Dr  Braidwood, IL 60408-2088 </t>
  </si>
  <si>
    <t xml:space="preserve">4101 Defender Dr </t>
  </si>
  <si>
    <t>Boulder Junction</t>
  </si>
  <si>
    <t xml:space="preserve">429 NE 17th Ter  Cape Coral, FL 33909 </t>
  </si>
  <si>
    <t>33909-2956</t>
  </si>
  <si>
    <t>Maria T Teeple Living Trust</t>
  </si>
  <si>
    <t xml:space="preserve">10 Dora Ave #615 </t>
  </si>
  <si>
    <t>Smalley</t>
  </si>
  <si>
    <t>13-45-23-c3-00147.0650</t>
  </si>
  <si>
    <t>Ojus</t>
  </si>
  <si>
    <t>60016-6346</t>
  </si>
  <si>
    <t>06-44-24-c3-02065.0050</t>
  </si>
  <si>
    <t xml:space="preserve">10310 91st St </t>
  </si>
  <si>
    <t xml:space="preserve">1108 NE 16th Ter  Cape Coral, FL 33909 </t>
  </si>
  <si>
    <t xml:space="preserve">3615 NE 19th Ave  Cape Coral, FL 33909 </t>
  </si>
  <si>
    <t>C 39</t>
  </si>
  <si>
    <t>34695-4021</t>
  </si>
  <si>
    <t xml:space="preserve">2424 NE 6th Ave </t>
  </si>
  <si>
    <t>12-44-23-c3-03597.0630</t>
  </si>
  <si>
    <t>17-43-24-c1-05778.0150</t>
  </si>
  <si>
    <t>Heather &amp; E Forbes</t>
  </si>
  <si>
    <t>49770-2284</t>
  </si>
  <si>
    <t>25-43-25-00-00002.0040</t>
  </si>
  <si>
    <t xml:space="preserve">14100 Chancellor St </t>
  </si>
  <si>
    <t xml:space="preserve">3331 NE 13th Ave  Cape Coral, FL 33909 </t>
  </si>
  <si>
    <t>33905-2221</t>
  </si>
  <si>
    <t>Equity Trust Company &amp; Ahmed Waleed &amp; Equity Trust Compa</t>
  </si>
  <si>
    <t>Cape Coral Unit 36 Blk 2538 Pb 16 Pg 118 Lots 26 + 27</t>
  </si>
  <si>
    <t>Cape Coral Unit 85 Blk 5664 Pb 24 Pg 57 Lots 44 + 45</t>
  </si>
  <si>
    <t xml:space="preserve">4017 NE 8th Pl </t>
  </si>
  <si>
    <t>Edvard</t>
  </si>
  <si>
    <t>Byfield</t>
  </si>
  <si>
    <t>IL</t>
  </si>
  <si>
    <t>Torrey Pines Parcel 127 South As Desc In Inst# 2015000174442 Lot 7</t>
  </si>
  <si>
    <t>31-43-24-c4-02102.0350</t>
  </si>
  <si>
    <t>Freda Hilbert</t>
  </si>
  <si>
    <t>Cape Coral Unit 88 Blk 5782 Pb 24 Pg 132 Lots 38 + 39</t>
  </si>
  <si>
    <t>Solina Munoz</t>
  </si>
  <si>
    <t xml:space="preserve">101 SE Ocean Blvd #302 </t>
  </si>
  <si>
    <t xml:space="preserve">2117 NE 43rd Ln  Cape Coral, FL 33909 </t>
  </si>
  <si>
    <t xml:space="preserve">860 N 14th St </t>
  </si>
  <si>
    <t xml:space="preserve">19 Buchanan St  Cranford, NJ 07016-3426 </t>
  </si>
  <si>
    <t>11-44-25-08-00000.2610</t>
  </si>
  <si>
    <t xml:space="preserve">39 Laudermilch Rd </t>
  </si>
  <si>
    <t xml:space="preserve">7043 Brennan Pl  Columbus, OH 43235-2106 </t>
  </si>
  <si>
    <t>Seabreeze</t>
  </si>
  <si>
    <t>30642-5465</t>
  </si>
  <si>
    <t>18-43-24-c1-05701.0630</t>
  </si>
  <si>
    <t xml:space="preserve">4241 22nd Ave SW 85c </t>
  </si>
  <si>
    <t xml:space="preserve">7 Ziegeleistr  Scheessel, DE 27383 </t>
  </si>
  <si>
    <t>Pote Videt</t>
  </si>
  <si>
    <t xml:space="preserve">4963 N Galaxy Dr  Fort Myers, FL 33905 </t>
  </si>
  <si>
    <t>Gowdy Gregory M Tr</t>
  </si>
  <si>
    <t>55115-1486</t>
  </si>
  <si>
    <t>For Labrador Family Trust</t>
  </si>
  <si>
    <t xml:space="preserve">1623 NE 12th Pl </t>
  </si>
  <si>
    <t xml:space="preserve">1293 Prospect Ave #9, Brooklyn, NY 11218-1337 </t>
  </si>
  <si>
    <t>Cape Coral Unit 87 Blk 5685 Pb 24 Pg 74 Lots 47 + 48</t>
  </si>
  <si>
    <t xml:space="preserve">1001 NE 32nd Ter </t>
  </si>
  <si>
    <t xml:space="preserve">Po Box 567 </t>
  </si>
  <si>
    <t>Reiko</t>
  </si>
  <si>
    <t>Laserna</t>
  </si>
  <si>
    <t xml:space="preserve">2310 NE 21st Ter </t>
  </si>
  <si>
    <t>T2X 2E8</t>
  </si>
  <si>
    <t>33904-3982</t>
  </si>
  <si>
    <t>Cape Coral Unit 84 Blk 5560 Pb 24 Pg 32 Lots 29 + 30</t>
  </si>
  <si>
    <t>Jeanette</t>
  </si>
  <si>
    <t xml:space="preserve">14 Morning Mist Ln </t>
  </si>
  <si>
    <t>33909-1444</t>
  </si>
  <si>
    <t xml:space="preserve">PO Box 954  Boulder Junction, WI 54512 </t>
  </si>
  <si>
    <t xml:space="preserve">2028 NE 18th Ter </t>
  </si>
  <si>
    <t>Cape Coral Unit 17 Blk 1493 Pb 14 Pg 29 Lots 28 + 29</t>
  </si>
  <si>
    <t xml:space="preserve">3824 Kittyhawk Dr  Fort Myers, FL 33905 </t>
  </si>
  <si>
    <t>Lillstrung</t>
  </si>
  <si>
    <t>PO Box 342</t>
  </si>
  <si>
    <t xml:space="preserve">507 NE Juanita Ct  Cape Coral, FL 33909 </t>
  </si>
  <si>
    <t>C090</t>
  </si>
  <si>
    <t>Dwayne</t>
  </si>
  <si>
    <t>Stone School</t>
  </si>
  <si>
    <t xml:space="preserve">3565 NE 10th Ave </t>
  </si>
  <si>
    <t>Lino &amp; Anne Benincasa</t>
  </si>
  <si>
    <t>For Albert Urick Trust</t>
  </si>
  <si>
    <t>Wanzie</t>
  </si>
  <si>
    <t xml:space="preserve">2180 S Wolf Rd  Des Plaines, IL 60018-1932 </t>
  </si>
  <si>
    <t>For Linda &amp; Robert Oconnor Trust</t>
  </si>
  <si>
    <t>Lowell &amp; Marsha Briggs</t>
  </si>
  <si>
    <t>10312-5735</t>
  </si>
  <si>
    <t>K1Z 5Y2</t>
  </si>
  <si>
    <t xml:space="preserve">2019 NE 20th Ct </t>
  </si>
  <si>
    <t xml:space="preserve">3505 W 97th St  Hialeah, FL 33018-2027 </t>
  </si>
  <si>
    <t>Mangini</t>
  </si>
  <si>
    <t>18-43-24-c4-05701.0150</t>
  </si>
  <si>
    <t>Bernadeta Gebura</t>
  </si>
  <si>
    <t xml:space="preserve">2120 NE 39th Ter </t>
  </si>
  <si>
    <t>Scanlan</t>
  </si>
  <si>
    <t xml:space="preserve">12161 Sugar Pine Trl </t>
  </si>
  <si>
    <t xml:space="preserve">2201 NE 13th Ave </t>
  </si>
  <si>
    <t>08-44-24-c1-01540.0710</t>
  </si>
  <si>
    <t xml:space="preserve">17136 Fontana Ln  Lockport, IL 60441-4864 </t>
  </si>
  <si>
    <t>Cypress Woods Rv Resort Un 3 Desc In Pb 72 Pgs 92-95 Blk C Lot 12</t>
  </si>
  <si>
    <t>Alava</t>
  </si>
  <si>
    <t>Janusz</t>
  </si>
  <si>
    <t>Hicksville</t>
  </si>
  <si>
    <t xml:space="preserve">123 4th Ave S </t>
  </si>
  <si>
    <t>34983-8702</t>
  </si>
  <si>
    <t>County Rd 46</t>
  </si>
  <si>
    <t>01-45-23-c1-00830.0010</t>
  </si>
  <si>
    <t>Magali</t>
  </si>
  <si>
    <t xml:space="preserve">5 Chaminade  Newport Coast, CA 92657-1002 </t>
  </si>
  <si>
    <t>James &amp; For Odonnell</t>
  </si>
  <si>
    <t>Ts 401K Plan &amp; Trust</t>
  </si>
  <si>
    <t>Dumitru &amp; Mireila Dan</t>
  </si>
  <si>
    <t xml:space="preserve">7327 Briella Dr </t>
  </si>
  <si>
    <t>75094-4613</t>
  </si>
  <si>
    <t xml:space="preserve">223 NE 15th St </t>
  </si>
  <si>
    <t xml:space="preserve">1309 NE 21st Ave  Cape Coral, FL 33909 </t>
  </si>
  <si>
    <t>Gary &amp; Donna Windisch</t>
  </si>
  <si>
    <t>11-44-25-l1-1400a.1260</t>
  </si>
  <si>
    <t>36-43-23-c4-02513.0140</t>
  </si>
  <si>
    <t>Georgia</t>
  </si>
  <si>
    <t>Cape Coral Unit 26 Blk 863 Pb 14 Pg 129 Lot 41</t>
  </si>
  <si>
    <t xml:space="preserve">107 Cameron Station Blvd </t>
  </si>
  <si>
    <t>Shankaran Gnanashanmugam</t>
  </si>
  <si>
    <t>18-43-24-c2-05729.0540</t>
  </si>
  <si>
    <t xml:space="preserve">121 5th St  New Hyde Park, NY 11040-4107 </t>
  </si>
  <si>
    <t>Louissaint Lys Tr</t>
  </si>
  <si>
    <t>04-44-25-03-00005.1850</t>
  </si>
  <si>
    <t>Varughese</t>
  </si>
  <si>
    <t xml:space="preserve">4320 Connection Ave  Cape Coral, FL 33909 </t>
  </si>
  <si>
    <t xml:space="preserve">2708 NE 2nd Pl </t>
  </si>
  <si>
    <t>Emery</t>
  </si>
  <si>
    <t>Birkelbach</t>
  </si>
  <si>
    <t>C008</t>
  </si>
  <si>
    <t>Oscar &amp; Demaris Borsten</t>
  </si>
  <si>
    <t>Russo Revocable Trust</t>
  </si>
  <si>
    <t>Jaigobind</t>
  </si>
  <si>
    <t>05-44-24-c1-03532.0030</t>
  </si>
  <si>
    <t>26201-8612</t>
  </si>
  <si>
    <t xml:space="preserve">6132 Ferrier Ct </t>
  </si>
  <si>
    <t>Geese Trail</t>
  </si>
  <si>
    <t>James C Spangler Trust</t>
  </si>
  <si>
    <t>60085-6002</t>
  </si>
  <si>
    <t xml:space="preserve">523 NE 5th Ave  Cape Coral, FL 33909 </t>
  </si>
  <si>
    <t xml:space="preserve">58 Riverview Cres  Bedford, NS B4a 2X4 </t>
  </si>
  <si>
    <t xml:space="preserve">3518 NE 18th Pl </t>
  </si>
  <si>
    <t>Sorrento</t>
  </si>
  <si>
    <t>Dindial</t>
  </si>
  <si>
    <t xml:space="preserve">63 Centerport Rd  Greenlawn, NY 11740-1006 </t>
  </si>
  <si>
    <t>18-43-24-c1-05689.0300</t>
  </si>
  <si>
    <t xml:space="preserve">11925 NE 2nd Ave 215b, Miami, FL 33161-6162 </t>
  </si>
  <si>
    <t>Y</t>
  </si>
  <si>
    <t>11717-2854</t>
  </si>
  <si>
    <t>33909-6259</t>
  </si>
  <si>
    <t xml:space="preserve">2045 NE 24th Ter  Cape Coral, FL 33909 </t>
  </si>
  <si>
    <t xml:space="preserve">416 NE 7th Ter  Cape Coral, FL 33909 </t>
  </si>
  <si>
    <t xml:space="preserve">908 NE 19th St  Cape Coral, FL 33909 </t>
  </si>
  <si>
    <t xml:space="preserve">1309 NE 9th Ave  Cape Coral, FL 33909 </t>
  </si>
  <si>
    <t>For Mary Kay Ellman Trust</t>
  </si>
  <si>
    <t>Cui Li</t>
  </si>
  <si>
    <t>19-43-24-c2-05605.0050</t>
  </si>
  <si>
    <t>G1</t>
  </si>
  <si>
    <t xml:space="preserve">2522 NE 7th Pl  Cape Coral, FL 33909 </t>
  </si>
  <si>
    <t>Pine Manor Unit 1 Blk 7 Pb 9 Pg 134 Lot 20</t>
  </si>
  <si>
    <t xml:space="preserve">449 NE 7th Ave  Cape Coral, FL 33909 </t>
  </si>
  <si>
    <t>Richard &amp; Beth Dickey</t>
  </si>
  <si>
    <t>43215-5213</t>
  </si>
  <si>
    <t xml:space="preserve">3336 NE 19th Ave </t>
  </si>
  <si>
    <t>Cape Coral Unit 5 Blk 125 Pb 11 Pg 88 Lots 49 + 50</t>
  </si>
  <si>
    <t>97015-8475</t>
  </si>
  <si>
    <t>Frederic &amp; Axel Ibanez</t>
  </si>
  <si>
    <t>Gino</t>
  </si>
  <si>
    <t>33909-4352</t>
  </si>
  <si>
    <t>Menasha</t>
  </si>
  <si>
    <t>28303-2682</t>
  </si>
  <si>
    <t>Everton</t>
  </si>
  <si>
    <t>PO Box 1593</t>
  </si>
  <si>
    <t>Cape Coral Unit 33 Blk 2273 Pb 16 Pg 61 Lots 14 + 15</t>
  </si>
  <si>
    <t>Harry &amp; Judith Beauvais</t>
  </si>
  <si>
    <t>Cultural Park</t>
  </si>
  <si>
    <t xml:space="preserve">5446/5448 Eighth Ave </t>
  </si>
  <si>
    <t xml:space="preserve">678 NW 7th Ave </t>
  </si>
  <si>
    <t>Cepeda Vizcaino</t>
  </si>
  <si>
    <t xml:space="preserve">11280 Holiday Ln </t>
  </si>
  <si>
    <t>25-43-23-c1-02329.0170</t>
  </si>
  <si>
    <t>Cape Coral Unit 84 Blk 5566 Pb 24 Pg 40 Lots 61 + 62</t>
  </si>
  <si>
    <t xml:space="preserve">1905 NE 17th Ter  Cape Coral, FL 33909 </t>
  </si>
  <si>
    <t>Annier</t>
  </si>
  <si>
    <t>Flowery Branch</t>
  </si>
  <si>
    <t>33909-1297</t>
  </si>
  <si>
    <t>33905-8205</t>
  </si>
  <si>
    <t>Corinna</t>
  </si>
  <si>
    <t>Jane Day</t>
  </si>
  <si>
    <t>31-43-24-c1-02170.0250</t>
  </si>
  <si>
    <t xml:space="preserve">1608 S Gator Cir </t>
  </si>
  <si>
    <t>Plainfield</t>
  </si>
  <si>
    <t>Ruths</t>
  </si>
  <si>
    <t>Ketsia</t>
  </si>
  <si>
    <t xml:space="preserve">6136 Wayne Ave #2 </t>
  </si>
  <si>
    <t>93277-6565</t>
  </si>
  <si>
    <t>County Road 170</t>
  </si>
  <si>
    <t xml:space="preserve">121 NE 19th Ter  Cape Coral, FL 33909 </t>
  </si>
  <si>
    <t>06-45-24-c3-00537.0330</t>
  </si>
  <si>
    <t xml:space="preserve">220 Adams St 8b </t>
  </si>
  <si>
    <t>County Road V</t>
  </si>
  <si>
    <t>Elda</t>
  </si>
  <si>
    <t>Byorick</t>
  </si>
  <si>
    <t>Yisbet Miron &amp; Eric Gonzalez</t>
  </si>
  <si>
    <t>Michael Koza</t>
  </si>
  <si>
    <t xml:space="preserve">907 NE 1st Ave </t>
  </si>
  <si>
    <t>25-43-23-c3-02309.0440</t>
  </si>
  <si>
    <t xml:space="preserve">790 Clarkson Ave #1 </t>
  </si>
  <si>
    <t xml:space="preserve">5753 Highway 85 N #2102, Crestview, FL 32536-9365 </t>
  </si>
  <si>
    <t>Josh</t>
  </si>
  <si>
    <t xml:space="preserve">711 Kismet Pkwy E </t>
  </si>
  <si>
    <t>01-44-23-c4-02418.0130</t>
  </si>
  <si>
    <t>11231-2859</t>
  </si>
  <si>
    <t>18-43-24-c2-05712.0390</t>
  </si>
  <si>
    <t>Low</t>
  </si>
  <si>
    <t>34711-9019</t>
  </si>
  <si>
    <t>Line</t>
  </si>
  <si>
    <t>Nikita Mathew</t>
  </si>
  <si>
    <t xml:space="preserve">3212 Edinburgh Dr </t>
  </si>
  <si>
    <t>Cabral</t>
  </si>
  <si>
    <t>Alexander</t>
  </si>
  <si>
    <t>Hugo Sanchez</t>
  </si>
  <si>
    <t>Loudonville</t>
  </si>
  <si>
    <t xml:space="preserve">13425 Whispering Oaks Dr  Fort Myers, FL 33905 </t>
  </si>
  <si>
    <t>Cape Coral Unit 36 Blk 2543 Pb 16 Pg 115 Lots 8 + 9</t>
  </si>
  <si>
    <t>06811-3301</t>
  </si>
  <si>
    <t>07010-2130</t>
  </si>
  <si>
    <t xml:space="preserve">1103 E Capitol Dr </t>
  </si>
  <si>
    <t xml:space="preserve">1221 NE 16th Ter  Fort Lauderdale, FL 33304-2322 </t>
  </si>
  <si>
    <t>Oshields</t>
  </si>
  <si>
    <t>12-45-23-c1-00238.0030</t>
  </si>
  <si>
    <t xml:space="preserve">8 Fairview Ave  Frederick, MD 21701-4016 </t>
  </si>
  <si>
    <t>Abdeljaber</t>
  </si>
  <si>
    <t xml:space="preserve">8002 Piney Branch Rd  Silver Spring, MD 20910-5244 </t>
  </si>
  <si>
    <t>11-44-25-06-0000d.0460</t>
  </si>
  <si>
    <t>Robert Watkins</t>
  </si>
  <si>
    <t>Cape Coral Unit 88 Blk 5822 Pb 24 Pg 141 Lots 19 + 20</t>
  </si>
  <si>
    <t>Hollycrest</t>
  </si>
  <si>
    <t xml:space="preserve">6011 Jonathan Ave </t>
  </si>
  <si>
    <t>Luzern</t>
  </si>
  <si>
    <t>47274-7557</t>
  </si>
  <si>
    <t>Johnette</t>
  </si>
  <si>
    <t>33909-5521</t>
  </si>
  <si>
    <t>Cape Coral Unit 9 Blk 290 Pb 13 Pg 12 Lots 1 + 2</t>
  </si>
  <si>
    <t xml:space="preserve">1412 NE 5th Pl  Cape Coral, FL 33909 </t>
  </si>
  <si>
    <t>Cape Coral Unit 36 Blk 2338 Pb 16 Pg 124 Lots 1 + 2</t>
  </si>
  <si>
    <t xml:space="preserve">1701 Elmdale Ave  Glenview, IL 60026-1503 </t>
  </si>
  <si>
    <t xml:space="preserve">1041 NE 43rd Ter </t>
  </si>
  <si>
    <t>Colina</t>
  </si>
  <si>
    <t xml:space="preserve">1216 NE 4th Pl  Cape Coral, FL 33909 </t>
  </si>
  <si>
    <t xml:space="preserve">Billwerder #9 </t>
  </si>
  <si>
    <t xml:space="preserve">3759 NE 15th Pl  Cape Coral, FL 33909 </t>
  </si>
  <si>
    <t>For Clairy Family Trust</t>
  </si>
  <si>
    <t xml:space="preserve">3605 NE 18th Pl </t>
  </si>
  <si>
    <t xml:space="preserve">905 NE 13th Ave </t>
  </si>
  <si>
    <t xml:space="preserve">3898 Parkers Fry  Fort Mill, SC 29715-6555 </t>
  </si>
  <si>
    <t>Route De La Gorge</t>
  </si>
  <si>
    <t xml:space="preserve">2213 Long Park Ave  Prosper, TX 75078-2069 </t>
  </si>
  <si>
    <t>M1E 5C1</t>
  </si>
  <si>
    <t>Etter</t>
  </si>
  <si>
    <t>12-45-23-c2-00276.0010</t>
  </si>
  <si>
    <t>Herrera</t>
  </si>
  <si>
    <t xml:space="preserve">2617 NE 19th Ave </t>
  </si>
  <si>
    <t>American &amp; Cynthia Hampton</t>
  </si>
  <si>
    <t xml:space="preserve">4751 Storkwood Way A, Boynton Beach, FL 33436-4192 </t>
  </si>
  <si>
    <t xml:space="preserve">2329 S 4th St #42, Philadelphia, PA 19148-3947 </t>
  </si>
  <si>
    <t xml:space="preserve">275 NW 132nd Ave </t>
  </si>
  <si>
    <t xml:space="preserve">3347 SE 18th Ave </t>
  </si>
  <si>
    <t xml:space="preserve">10211 Butterweed Trl  Fort Myers, FL 33905 </t>
  </si>
  <si>
    <t>01550-2248</t>
  </si>
  <si>
    <t>33905-4701</t>
  </si>
  <si>
    <t>46224-1630</t>
  </si>
  <si>
    <t>Fort Sumter</t>
  </si>
  <si>
    <t>08854-2223</t>
  </si>
  <si>
    <t>the N 100 Ft Of S 1169 Ft Of E 150 Ft Of W 175 Ft Of E 1/2 Of E 1/2 Of Sw 1/4 Aka Lot 10 Deep Lagoon Heights Unrec</t>
  </si>
  <si>
    <t xml:space="preserve">2522 NE 2nd Ave  Cape Coral, FL 33909 </t>
  </si>
  <si>
    <t>33909-6886</t>
  </si>
  <si>
    <t>33909-6205</t>
  </si>
  <si>
    <t xml:space="preserve">205 S Columbus Ave C6, Mount Vernon, NY 10553-1529 </t>
  </si>
  <si>
    <t xml:space="preserve">1119 River Rd  North Fort Myers, FL 33903 </t>
  </si>
  <si>
    <t xml:space="preserve">7140 Danny Dr  Saginaw, MI 48609-5252 </t>
  </si>
  <si>
    <t xml:space="preserve">154 NE 4th St  Cape Coral, FL 33909 </t>
  </si>
  <si>
    <t>Martinsville</t>
  </si>
  <si>
    <t xml:space="preserve">500 Pennroyal Ln  Alpharetta, GA 30004-4345 </t>
  </si>
  <si>
    <t>Darin &amp; Lisa Hathaway</t>
  </si>
  <si>
    <t>Cape Coral Unit 87 Blk 5686 Pb 24 Pg 82 Lots 19 + 20</t>
  </si>
  <si>
    <t>33909-6597</t>
  </si>
  <si>
    <t>Mingqian</t>
  </si>
  <si>
    <t>Newcastle</t>
  </si>
  <si>
    <t>33909-1532</t>
  </si>
  <si>
    <t>Turning Leaf</t>
  </si>
  <si>
    <t>Cape Coral Unit 85 Blk 5665 Pb 24 Pg 53 Lots 42 + 43</t>
  </si>
  <si>
    <t>Amonde</t>
  </si>
  <si>
    <t>33175-1427</t>
  </si>
  <si>
    <t xml:space="preserve">1408 NE 37th St  Cape Coral, FL 33909 </t>
  </si>
  <si>
    <t>Huntington</t>
  </si>
  <si>
    <t>Souto</t>
  </si>
  <si>
    <t>64068-7146</t>
  </si>
  <si>
    <t>Daniel Lallave</t>
  </si>
  <si>
    <t>Cape Coral Unit 33 Blk.2200 Pb 16 Pg 45 Lots 67 + 68</t>
  </si>
  <si>
    <t xml:space="preserve">5900 Maplewood Ct </t>
  </si>
  <si>
    <t>Estelito</t>
  </si>
  <si>
    <t>33909-4690</t>
  </si>
  <si>
    <t xml:space="preserve">3337 James Harbor Way </t>
  </si>
  <si>
    <t xml:space="preserve">16443 95th St </t>
  </si>
  <si>
    <t>Cape Coral Unit 36 Blk 2518 Pb 16 Pg 116 Lots 44 + 45</t>
  </si>
  <si>
    <t>Omar</t>
  </si>
  <si>
    <t>Cape Coral Unit 84 Blk 5585 Pb 24 Pg 48 Lots 8 + 9</t>
  </si>
  <si>
    <t>33904-9427</t>
  </si>
  <si>
    <t>Russell Park Blk 4 Pb 8 Pg 36 Lots 149 + 150</t>
  </si>
  <si>
    <t>Guy Carter</t>
  </si>
  <si>
    <t>11-44-25-06-0000d.1340</t>
  </si>
  <si>
    <t>Cape Coral Unit 51 Blk 3775 Pb 19 Pg 15 Lots 49 + 50</t>
  </si>
  <si>
    <t>Cape Coral Unit 32 Blk 2106 Pb 16 Pg 5 Lots 24 + 25</t>
  </si>
  <si>
    <t>Reilly</t>
  </si>
  <si>
    <t>07-44-24-c3-01481.0360</t>
  </si>
  <si>
    <t xml:space="preserve">700 NW 4th Ave </t>
  </si>
  <si>
    <t>68025-3159</t>
  </si>
  <si>
    <t xml:space="preserve">2126 Bahama Ave </t>
  </si>
  <si>
    <t xml:space="preserve">10456 Nightwood Dr  Fort Myers, FL 33905 </t>
  </si>
  <si>
    <t xml:space="preserve">1415 Hawthorne Dr  Athens, GA 30606-5476 </t>
  </si>
  <si>
    <t>Caramela</t>
  </si>
  <si>
    <t xml:space="preserve">1384 Laurel Dr  Macedonia, OH 44056-1461 </t>
  </si>
  <si>
    <t xml:space="preserve">4 Blackstone Dr </t>
  </si>
  <si>
    <t>Cape Coral Unit 87 Blk 5696 Pb 24 Pg 81 Lots 7 + 8</t>
  </si>
  <si>
    <t xml:space="preserve">6153 Hester Ave </t>
  </si>
  <si>
    <t>Tosca-Beade</t>
  </si>
  <si>
    <t>Novato</t>
  </si>
  <si>
    <t xml:space="preserve">3457 NE 9th Pl  Cape Coral, FL 33909 </t>
  </si>
  <si>
    <t>Kevin &amp; Stacey Wierda</t>
  </si>
  <si>
    <t>Cape Coral Unit 36 Pt 1 Blk 2507 Pb 23 Pg 91 Lots 15 + 16</t>
  </si>
  <si>
    <t xml:space="preserve">1122 NE 35th Ter </t>
  </si>
  <si>
    <t>Defiance</t>
  </si>
  <si>
    <t>18-43-24-c1-05688.0010</t>
  </si>
  <si>
    <t>33909-5374</t>
  </si>
  <si>
    <t>Muhammad Muhammad &amp; Estate American</t>
  </si>
  <si>
    <t>Cape Coral Unit 36 Blk 2514 Pb 16 Pg 113 Lots 28 + 29</t>
  </si>
  <si>
    <t xml:space="preserve">220 N Meridian St #1607, Indianapolis, IN 46204-1915 </t>
  </si>
  <si>
    <t>48322-3684</t>
  </si>
  <si>
    <t>Seedhouse</t>
  </si>
  <si>
    <t>William G Miller Trust</t>
  </si>
  <si>
    <t>Cape Coral Unit 36 Blk 2329 Pb 16 Pg 128 Lots 13 + 14</t>
  </si>
  <si>
    <t>Maaraj</t>
  </si>
  <si>
    <t xml:space="preserve">1810 NE 27th Ter </t>
  </si>
  <si>
    <t xml:space="preserve">1805 NE 1st Ave  Cape Coral, FL 33909 </t>
  </si>
  <si>
    <t>Archer</t>
  </si>
  <si>
    <t xml:space="preserve">1000 SW 184th Ter  Pembroke Pines, FL 33029-6044 </t>
  </si>
  <si>
    <t xml:space="preserve">1308 Otto St  Lansing, MI 48906-4946 </t>
  </si>
  <si>
    <t xml:space="preserve">3578 NE 9th Pl </t>
  </si>
  <si>
    <t xml:space="preserve">2092 E Tobago Cir </t>
  </si>
  <si>
    <t>Tabor</t>
  </si>
  <si>
    <t>01-44-23-c4-02468.0340</t>
  </si>
  <si>
    <t>07305-2619</t>
  </si>
  <si>
    <t>33909-4608</t>
  </si>
  <si>
    <t>American &amp; Nara Vance</t>
  </si>
  <si>
    <t xml:space="preserve">7071 Orchard Lake Rd #333 </t>
  </si>
  <si>
    <t xml:space="preserve">10016 55th Ave  Pleasant Prairie, WI 53158-1809 </t>
  </si>
  <si>
    <t>Adam Schroeder</t>
  </si>
  <si>
    <t>Anthony &amp; Kathleen Messina</t>
  </si>
  <si>
    <t xml:space="preserve">7208 Meeker Creek Dr </t>
  </si>
  <si>
    <t xml:space="preserve">610 N Rock Island Rd #1, Margate, FL 33063-4346 </t>
  </si>
  <si>
    <t>Gsell</t>
  </si>
  <si>
    <t>89123-3895</t>
  </si>
  <si>
    <t>R113</t>
  </si>
  <si>
    <t>Cypress Trail Rv Resort Ph 4-B As Desc In Inst# 2017000057565 Lot 311</t>
  </si>
  <si>
    <t xml:space="preserve">50 Island Dr  Brick, NJ 08724-4432 </t>
  </si>
  <si>
    <t>Ruger &amp; Ines Rivas</t>
  </si>
  <si>
    <t>Traad</t>
  </si>
  <si>
    <t xml:space="preserve">2819 NE 5th Pl  Cape Coral, FL 33909 </t>
  </si>
  <si>
    <t>Middle Village</t>
  </si>
  <si>
    <t xml:space="preserve">3617 Andalusia Blvd  Cape Coral, FL 33909 </t>
  </si>
  <si>
    <t xml:space="preserve">8787 Bay Colony Dr #3000 </t>
  </si>
  <si>
    <t xml:space="preserve">1509 NE 33rd Ter  Cape Coral, FL 33909 </t>
  </si>
  <si>
    <t>19-43-24-c3-05611.0070</t>
  </si>
  <si>
    <t>G G &amp; Theresa Betancourt</t>
  </si>
  <si>
    <t>06484-1820</t>
  </si>
  <si>
    <t xml:space="preserve">427 Whac A Mole Way  Daytona Beach, FL 32117-2101 </t>
  </si>
  <si>
    <t xml:space="preserve">2115 Albert Ct </t>
  </si>
  <si>
    <t>Cape Coral Unit 87 Blk 5698 Pb24 Pg 75 Lots 11 + 12</t>
  </si>
  <si>
    <t>Ronald Bond</t>
  </si>
  <si>
    <t xml:space="preserve">5311 Cypress Trail Resort Cir  Fort Myers, FL 33905 </t>
  </si>
  <si>
    <t>Birgit</t>
  </si>
  <si>
    <t>Lehigh Acres W Pt Unit 1 Blk 3 Pb 26 Pg 2 Lot 25</t>
  </si>
  <si>
    <t xml:space="preserve">5708 Ridgefield Rd </t>
  </si>
  <si>
    <t>Cape Coral Unit 85 Blk 5664 Pb 24 Pg 57 Lots 42 + 43</t>
  </si>
  <si>
    <t xml:space="preserve">16605 Foothill Dr </t>
  </si>
  <si>
    <t>Randy &amp; Janet Jester</t>
  </si>
  <si>
    <t>33904-5923</t>
  </si>
  <si>
    <t>16-44-26-01-00030.0090</t>
  </si>
  <si>
    <t>Sandrine Fayon &amp; Sylvie Djeghlil</t>
  </si>
  <si>
    <t xml:space="preserve">5928 Boy Scout Rd  Indianapolis, IN 46226-1326 </t>
  </si>
  <si>
    <t xml:space="preserve">1213 S Stiles St  Linden, NJ 07036-4723 </t>
  </si>
  <si>
    <t xml:space="preserve">Po Box 15548 </t>
  </si>
  <si>
    <t>33909-6832</t>
  </si>
  <si>
    <t>Kimberle Peters</t>
  </si>
  <si>
    <t xml:space="preserve">2308 NE 23rd Pl  Cape Coral, FL 33909 </t>
  </si>
  <si>
    <t xml:space="preserve">2920 NE 6th Pl </t>
  </si>
  <si>
    <t xml:space="preserve">2470 Kaley Walk NW  Kennesaw, GA 30152-2683 </t>
  </si>
  <si>
    <t xml:space="preserve">741 Old State Rd </t>
  </si>
  <si>
    <t>Forehand</t>
  </si>
  <si>
    <t>Sisco</t>
  </si>
  <si>
    <t>34746-3577</t>
  </si>
  <si>
    <t xml:space="preserve">1101 NE 5th Ave </t>
  </si>
  <si>
    <t>Jeffrey &amp; Deborah Manning</t>
  </si>
  <si>
    <t>32-43-24-c2-02234.0400</t>
  </si>
  <si>
    <t>Stetson</t>
  </si>
  <si>
    <t xml:space="preserve">3617 NE 14th Pl </t>
  </si>
  <si>
    <t xml:space="preserve">7978 NW 116th Ave  Doral, FL 33178-2532 </t>
  </si>
  <si>
    <t>Emert</t>
  </si>
  <si>
    <t xml:space="preserve">108 Twin Lakes Rd B7 </t>
  </si>
  <si>
    <t xml:space="preserve">2983 Joyce Ct  Maryland Heights, MO 63043-1352 </t>
  </si>
  <si>
    <t>Lehigh Acres Unit 2 Blk 7 Pb 26 Pg 4 Lot 14</t>
  </si>
  <si>
    <t>Juerg</t>
  </si>
  <si>
    <t xml:space="preserve">400 NE 18th St </t>
  </si>
  <si>
    <t xml:space="preserve">5100 Dewberry Dr  Saginaw, MI 48603-1104 </t>
  </si>
  <si>
    <t xml:space="preserve">134 Muhs Cir  Eldridge, IA 52748-1349 </t>
  </si>
  <si>
    <t>Erick Sobalvarro</t>
  </si>
  <si>
    <t xml:space="preserve">1616 NE 8th Pl  Cape Coral, FL 33909 </t>
  </si>
  <si>
    <t>Coutinho</t>
  </si>
  <si>
    <t xml:space="preserve">1722 NE 35th St </t>
  </si>
  <si>
    <t xml:space="preserve">336 NE 27th Ter  Cape Coral, FL 33909 </t>
  </si>
  <si>
    <t>06-44-24-c4-02056.0010</t>
  </si>
  <si>
    <t>94107-4029</t>
  </si>
  <si>
    <t xml:space="preserve">4096 Rutz Ln </t>
  </si>
  <si>
    <t xml:space="preserve">2104 NE 25th Ter  Cape Coral, FL 33909 </t>
  </si>
  <si>
    <t>Tamiyra</t>
  </si>
  <si>
    <t>32-43-26-16-0000c.0310</t>
  </si>
  <si>
    <t xml:space="preserve">85 Stedman St </t>
  </si>
  <si>
    <t>Pentwater</t>
  </si>
  <si>
    <t>19-43-24-c2-05591.0410</t>
  </si>
  <si>
    <t>Center Moriches</t>
  </si>
  <si>
    <t xml:space="preserve">431 Capitol St  North Fort Myers, FL 33903 </t>
  </si>
  <si>
    <t xml:space="preserve">1920 SW 12th Ave </t>
  </si>
  <si>
    <t>33909-1581</t>
  </si>
  <si>
    <t xml:space="preserve">3617 Andalusia Blvd </t>
  </si>
  <si>
    <t>James Halligan &amp; Cathy Shapiro</t>
  </si>
  <si>
    <t>18-43-24-c3-05706.0490</t>
  </si>
  <si>
    <t xml:space="preserve">411 Walnut St #19095, Green Cove Springs, FL 32043-3443 </t>
  </si>
  <si>
    <t>22556-3650</t>
  </si>
  <si>
    <t>33905-5723</t>
  </si>
  <si>
    <t>18-43-24-c1-05725.0170</t>
  </si>
  <si>
    <t>03-44-26-10-00047.0040</t>
  </si>
  <si>
    <t xml:space="preserve">7305 SW 158th Pl </t>
  </si>
  <si>
    <t>Jose &amp; Liz Gonzalez</t>
  </si>
  <si>
    <t xml:space="preserve">632 Randall Way </t>
  </si>
  <si>
    <t>36-43-23-c2-02536.0300</t>
  </si>
  <si>
    <t xml:space="preserve">1130 NE 12th St </t>
  </si>
  <si>
    <t>10940-6180</t>
  </si>
  <si>
    <t xml:space="preserve">78 Daniel Boone Plz </t>
  </si>
  <si>
    <t xml:space="preserve">2032 NE 5th Ave </t>
  </si>
  <si>
    <t xml:space="preserve">6540 Maytree Cir </t>
  </si>
  <si>
    <t xml:space="preserve">672 Gulf Ridge Dr </t>
  </si>
  <si>
    <t>Max Price</t>
  </si>
  <si>
    <t>33909-5320</t>
  </si>
  <si>
    <t xml:space="preserve">325 NE 14th St </t>
  </si>
  <si>
    <t>34110-9256</t>
  </si>
  <si>
    <t xml:space="preserve">3409 NE 13th Pl </t>
  </si>
  <si>
    <t>01524-1836</t>
  </si>
  <si>
    <t>Tareco</t>
  </si>
  <si>
    <t xml:space="preserve">10 Saddle Ln  Huntington Station, NY 11746-4435 </t>
  </si>
  <si>
    <t xml:space="preserve">416 NE 7th Ter </t>
  </si>
  <si>
    <t>Hakan Charles-Harris</t>
  </si>
  <si>
    <t>89085-4418</t>
  </si>
  <si>
    <t>Maisons Alfort</t>
  </si>
  <si>
    <t xml:space="preserve">5651 Maplewood Ct  Fort Myers, FL 33905 </t>
  </si>
  <si>
    <t xml:space="preserve">5372 Tice St  Fort Myers, FL 33905 </t>
  </si>
  <si>
    <t>01-44-23-c4-02445.0590</t>
  </si>
  <si>
    <t>Cape Coral Unit 33 Blk.2285 Pb 16 Pg 54 Lots 1 + 2</t>
  </si>
  <si>
    <t xml:space="preserve">8101 Sargent Rdg  Indianapolis, IN 46256-1877 </t>
  </si>
  <si>
    <t>33909-2265</t>
  </si>
  <si>
    <t>Johnstown</t>
  </si>
  <si>
    <t xml:space="preserve">22607 SW 94th Path  Cutler Bay, FL 33190-1811 </t>
  </si>
  <si>
    <t>Cape Coral Unit 31 Blk 2098 Pb 14 Pg 160 Lots 41 + 42</t>
  </si>
  <si>
    <t xml:space="preserve">2018 NE 13th Pl </t>
  </si>
  <si>
    <t>25-43-23-c4-02294.0390</t>
  </si>
  <si>
    <t>For Gowdy Living Trust</t>
  </si>
  <si>
    <t>Jefferson Iles</t>
  </si>
  <si>
    <t>Matrisciano</t>
  </si>
  <si>
    <t xml:space="preserve">4401 NE 15th Pl </t>
  </si>
  <si>
    <t>68147-1728</t>
  </si>
  <si>
    <t xml:space="preserve">1246 NE 40th Ter </t>
  </si>
  <si>
    <t>Broomfield Harry Jr Tr</t>
  </si>
  <si>
    <t>Edward R Lesko Trust</t>
  </si>
  <si>
    <t>05-44-24-c1-03538.0360</t>
  </si>
  <si>
    <t>Cape Coral Unit 88 Blk 5773 Pb 24 Pg 132 Lots 9 + 10</t>
  </si>
  <si>
    <t>08-44-25-p4-0450c.0080</t>
  </si>
  <si>
    <t>J W J &amp; Joyce Stewart</t>
  </si>
  <si>
    <t xml:space="preserve">24064 Merriman Rd  New Boston, MI 48164-9466 </t>
  </si>
  <si>
    <t xml:space="preserve">1910 NE 10th Pl </t>
  </si>
  <si>
    <t xml:space="preserve">515 NE 6th Ave </t>
  </si>
  <si>
    <t>Jose Lesteiro</t>
  </si>
  <si>
    <t>05-44-24-c4-03541.0550</t>
  </si>
  <si>
    <t>Petruzzella</t>
  </si>
  <si>
    <t xml:space="preserve">10711 Robinson St </t>
  </si>
  <si>
    <t>Lehigh Acres Unit 6 Blk 28 Pb 26 Pg 8 Lot 24</t>
  </si>
  <si>
    <t>Lewis &amp; Luke Steele</t>
  </si>
  <si>
    <t>Jeff</t>
  </si>
  <si>
    <t xml:space="preserve">301 NE 9th St </t>
  </si>
  <si>
    <t>Richard &amp; Brenda Coleman</t>
  </si>
  <si>
    <t>E L E &amp; Janet Wilson</t>
  </si>
  <si>
    <t>Cape Coral Unit 85 Blk 5634 Pb 24 Pg 50 Lots 29 + 30</t>
  </si>
  <si>
    <t xml:space="preserve">3530 NE 14th Pl  Cape Coral, FL 33909 </t>
  </si>
  <si>
    <t>Marcelle</t>
  </si>
  <si>
    <t>Gilles Gleizes</t>
  </si>
  <si>
    <t>Orchard</t>
  </si>
  <si>
    <t xml:space="preserve">617 W Archer Pkwy </t>
  </si>
  <si>
    <t>Huddle</t>
  </si>
  <si>
    <t xml:space="preserve">1251 NW 20th St #209 </t>
  </si>
  <si>
    <t xml:space="preserve">202 NE 9th Ct  Cape Coral, FL 33909 </t>
  </si>
  <si>
    <t>Betty</t>
  </si>
  <si>
    <t>Strawberry Hill</t>
  </si>
  <si>
    <t>Erwin Waelti</t>
  </si>
  <si>
    <t>Cape Coral Unit 36 Pt 1 Blk 2508 Pb 23 Pg 93 Lots 25 + 26</t>
  </si>
  <si>
    <t xml:space="preserve">3402 SE 4th Pl </t>
  </si>
  <si>
    <t>07-44-24-c4-03591.0710</t>
  </si>
  <si>
    <t xml:space="preserve">PO Box 10278-1000  New York, NY 10101 </t>
  </si>
  <si>
    <t>25-43-23-c1-02349.0010</t>
  </si>
  <si>
    <t>10k</t>
  </si>
  <si>
    <t xml:space="preserve">3616 NE 9th Ave </t>
  </si>
  <si>
    <t>Cape Coral Unit 25 Blk.827 Pb 14 Pg 91 Lots 39 + 40</t>
  </si>
  <si>
    <t xml:space="preserve">20549 Linden Blvd B, Saint Albans, NY 11412-2925 </t>
  </si>
  <si>
    <t>Shelmith</t>
  </si>
  <si>
    <t xml:space="preserve">2111 NE 16th Ter  Cape Coral, FL 33909 </t>
  </si>
  <si>
    <t>Jeffcotts Wm Add Resub Blk B Pb 5 Pg 65 Lot 15</t>
  </si>
  <si>
    <t>33904-2814</t>
  </si>
  <si>
    <t>Miles</t>
  </si>
  <si>
    <t>01-44-23-c1-02437.0660</t>
  </si>
  <si>
    <t>11-44-25-04-0000a.0500</t>
  </si>
  <si>
    <t>36-43-23-c2-02533.0410</t>
  </si>
  <si>
    <t>Cape Coral Unit 6 Part 2 Blk.39 Pb 11 Pg 61 Lots 3 + 4</t>
  </si>
  <si>
    <t>Mirian</t>
  </si>
  <si>
    <t>33904-5972</t>
  </si>
  <si>
    <t xml:space="preserve">4509 Walter St </t>
  </si>
  <si>
    <t>05-44-24-c1-03539.0160</t>
  </si>
  <si>
    <t>Elise &amp; For Dunn</t>
  </si>
  <si>
    <t>93312-6870</t>
  </si>
  <si>
    <t xml:space="preserve">3725 SE 13th Ave </t>
  </si>
  <si>
    <t>33909-6881</t>
  </si>
  <si>
    <t>20-43-24-c1-05650.0750</t>
  </si>
  <si>
    <t xml:space="preserve">1061 NE 157th St  North Miami Beach, FL 33162-5331 </t>
  </si>
  <si>
    <t xml:space="preserve">1021 NE 5th Pl  Cape Coral, FL 33909 </t>
  </si>
  <si>
    <t xml:space="preserve">9 Larium Pl  Hilton Head Island, SC 29926-2239 </t>
  </si>
  <si>
    <t>Sanchez</t>
  </si>
  <si>
    <t xml:space="preserve">5114 Cypress Trail Resort Cir  Fort Myers, FL 33905 </t>
  </si>
  <si>
    <t>31-43-24-c1-02161.0270</t>
  </si>
  <si>
    <t>09-44-25-07-00007.0060</t>
  </si>
  <si>
    <t>PO Box 9768</t>
  </si>
  <si>
    <t>11236-3513</t>
  </si>
  <si>
    <t xml:space="preserve">1307 NE 7th Pl </t>
  </si>
  <si>
    <t>33178-4220</t>
  </si>
  <si>
    <t xml:space="preserve">12328 Medford Rd </t>
  </si>
  <si>
    <t xml:space="preserve">29 Halsey St #1, Brooklyn, NY 11216-1937 </t>
  </si>
  <si>
    <t xml:space="preserve">29481 590th Ave  Comfrey, MN 56019-4202 </t>
  </si>
  <si>
    <t>12-44-23-c2-02383.0710</t>
  </si>
  <si>
    <t>Larrabee Family Trust</t>
  </si>
  <si>
    <t>01-44-23-c1-02436.0610</t>
  </si>
  <si>
    <t>Murdock-Johnson</t>
  </si>
  <si>
    <t>Dubuque</t>
  </si>
  <si>
    <t>John &amp; Vicki Lentine</t>
  </si>
  <si>
    <t xml:space="preserve">10330 Prairie Iris Dr </t>
  </si>
  <si>
    <t xml:space="preserve">4436 Thorngate Ln  Acworth, GA 30101-6818 </t>
  </si>
  <si>
    <t>Serrano</t>
  </si>
  <si>
    <t>Cape Coral Unit 33 Blk.2229 Pb 16 Pg 47 Lots 34 + 35</t>
  </si>
  <si>
    <t xml:space="preserve">1542 Sun Meadow Dr </t>
  </si>
  <si>
    <t xml:space="preserve">3705 NE 16th Ave </t>
  </si>
  <si>
    <t>Latorrez</t>
  </si>
  <si>
    <t xml:space="preserve">6022 Thorpe Ave </t>
  </si>
  <si>
    <t>60014-1927</t>
  </si>
  <si>
    <t xml:space="preserve">10041 Stonewood Dr  Fort Myers, FL 33905 </t>
  </si>
  <si>
    <t>06-44-24-c4-02049.0370</t>
  </si>
  <si>
    <t>Lithia</t>
  </si>
  <si>
    <t>33909-4407</t>
  </si>
  <si>
    <t xml:space="preserve">1560 NW 117th Ave </t>
  </si>
  <si>
    <t>Sunrise Lakes</t>
  </si>
  <si>
    <t>Bayside</t>
  </si>
  <si>
    <t>Tamru</t>
  </si>
  <si>
    <t>Rohrbaugh</t>
  </si>
  <si>
    <t>Raymond &amp; Mery Keil</t>
  </si>
  <si>
    <t xml:space="preserve">4221 Lazy Acres Rd  Middleburg, FL 32068-4917 </t>
  </si>
  <si>
    <t>11509-1626</t>
  </si>
  <si>
    <t xml:space="preserve">342 NE 25th Ter  Cape Coral, FL 33909 </t>
  </si>
  <si>
    <t xml:space="preserve">12 Anthonys Mill Rd </t>
  </si>
  <si>
    <t>Calle Alameda</t>
  </si>
  <si>
    <t>Cape Coral Unit 31 Blk 2056 Pb 14 Pg 158 Lots 6 + 7</t>
  </si>
  <si>
    <t>Haupt</t>
  </si>
  <si>
    <t>Debora</t>
  </si>
  <si>
    <t xml:space="preserve">62 S Spinnaker Dr </t>
  </si>
  <si>
    <t>Cookson</t>
  </si>
  <si>
    <t>01-44-23-c2-02460.0330</t>
  </si>
  <si>
    <t>Laucerica</t>
  </si>
  <si>
    <t xml:space="preserve">134 Muhs Cir </t>
  </si>
  <si>
    <t>Hazel</t>
  </si>
  <si>
    <t>20-46-25-05-00002.0370</t>
  </si>
  <si>
    <t xml:space="preserve">2127 NE 43rd Ln  Cape Coral, FL 33909 </t>
  </si>
  <si>
    <t xml:space="preserve">8899 NW 47th Dr  Coral Springs, FL 33067-1953 </t>
  </si>
  <si>
    <t xml:space="preserve">144 SE 27th Ter </t>
  </si>
  <si>
    <t>Cape Coral Unit 87 Blk 5701 Pb 24 Pg 74 Lots 27 + 28</t>
  </si>
  <si>
    <t xml:space="preserve">7c-80 Calle 139 #303, Bogota, CO </t>
  </si>
  <si>
    <t>Jose Dunand &amp; Maria Rojas</t>
  </si>
  <si>
    <t xml:space="preserve">1038 N Gator Cir </t>
  </si>
  <si>
    <t xml:space="preserve">PO Box Li30010  BS </t>
  </si>
  <si>
    <t>32839-1030</t>
  </si>
  <si>
    <t xml:space="preserve">326 NE 9th Ter </t>
  </si>
  <si>
    <t xml:space="preserve">6240 Arbor Ave </t>
  </si>
  <si>
    <t>17-43-24-c2-05801.0530</t>
  </si>
  <si>
    <t>07112-2310</t>
  </si>
  <si>
    <t xml:space="preserve">2815 SE 15th Pl </t>
  </si>
  <si>
    <t>Seman</t>
  </si>
  <si>
    <t xml:space="preserve">829 NE 1st Ave  Cape Coral, FL 33909 </t>
  </si>
  <si>
    <t xml:space="preserve">1 Beverly Pl  Norwalk, CT 06850-2901 </t>
  </si>
  <si>
    <t xml:space="preserve">956 Whalebone Bay Dr  Kissimmee, FL 34741-7401 </t>
  </si>
  <si>
    <t xml:space="preserve">14415 Round Lick Ln </t>
  </si>
  <si>
    <t xml:space="preserve">924 Kismet Pkwy E </t>
  </si>
  <si>
    <t>Taylor Rise</t>
  </si>
  <si>
    <t xml:space="preserve">1300 N 70th Ter  Hollywood, FL 33024-5433 </t>
  </si>
  <si>
    <t>Rock Palm</t>
  </si>
  <si>
    <t>Lourdes Coelho</t>
  </si>
  <si>
    <t>Cape Coral Unit 84 Blk 5590 Pb 24 Pg 41 Lots 1 + 2</t>
  </si>
  <si>
    <t>Svea &amp; For Olson</t>
  </si>
  <si>
    <t>32-43-24-c3-02229.0550</t>
  </si>
  <si>
    <t xml:space="preserve">1301 NE 36th Ln </t>
  </si>
  <si>
    <t>PO Box 5779</t>
  </si>
  <si>
    <t xml:space="preserve">2610 NE Juanita Pl  Cape Coral, FL 33909 </t>
  </si>
  <si>
    <t xml:space="preserve">6661 SW 137th Ct A </t>
  </si>
  <si>
    <t xml:space="preserve">1628 NE 27th Ter </t>
  </si>
  <si>
    <t xml:space="preserve">3927 NE 21st Pl  Cape Coral, FL 33909 </t>
  </si>
  <si>
    <t xml:space="preserve">5880 Pathwood Ct </t>
  </si>
  <si>
    <t xml:space="preserve">2100 NE 13th Ln </t>
  </si>
  <si>
    <t xml:space="preserve">1720 NE 6th St </t>
  </si>
  <si>
    <t xml:space="preserve">2 E Prairie Ct  Tuscola, IL 61953-1110 </t>
  </si>
  <si>
    <t>Vanness</t>
  </si>
  <si>
    <t xml:space="preserve">6050 Jadestone Ave </t>
  </si>
  <si>
    <t xml:space="preserve">519 Long Hill Ave  Shelton, CT 06484-4263 </t>
  </si>
  <si>
    <t xml:space="preserve">301 NE 9th St  Cape Coral, FL 33909 </t>
  </si>
  <si>
    <t>Carlson Albert W Tr</t>
  </si>
  <si>
    <t>Viviane &amp; For Berreitter</t>
  </si>
  <si>
    <t xml:space="preserve">1625 Edith Esplanade  Cape Coral, FL 33904 </t>
  </si>
  <si>
    <t>06-44-24-c3-02039.0170</t>
  </si>
  <si>
    <t>Alfonso &amp; Leonilda Isip</t>
  </si>
  <si>
    <t>33909-6342</t>
  </si>
  <si>
    <t>14624-2537</t>
  </si>
  <si>
    <t>36-43-23-c2-02535.0010</t>
  </si>
  <si>
    <t xml:space="preserve">43 Massachusetts Ave </t>
  </si>
  <si>
    <t xml:space="preserve">978 SW 71st Ct  Miami, FL 33144-4630 </t>
  </si>
  <si>
    <t>Erickson</t>
  </si>
  <si>
    <t>Timothy Hollum</t>
  </si>
  <si>
    <t>15215-1014</t>
  </si>
  <si>
    <t>03-44-25-08-00000.4190</t>
  </si>
  <si>
    <t>Hines</t>
  </si>
  <si>
    <t>01-44-23-c1-02450.0130</t>
  </si>
  <si>
    <t>Cape Coral Unit 84 Blk 5557 Pb 24 Pg 32 Lots 45 + 46</t>
  </si>
  <si>
    <t xml:space="preserve">15631 Cemetery Rd  Fort Myers, FL 33905 </t>
  </si>
  <si>
    <t xml:space="preserve">1165 Everglades Blvd N </t>
  </si>
  <si>
    <t xml:space="preserve">4401 NE 22nd Ct </t>
  </si>
  <si>
    <t xml:space="preserve">4117 Gilman Rd </t>
  </si>
  <si>
    <t>Cape Coral Unit 36 Blk 2353 Pb 16 Pg 120 Lots 30 + 31</t>
  </si>
  <si>
    <t xml:space="preserve">PO Box 258  Heislerville, NJ 08324 </t>
  </si>
  <si>
    <t>Taneshia</t>
  </si>
  <si>
    <t>Lehigh Acres Unit 13 Blk 69 Pb 26 Pg 17 Lots 1 + 2</t>
  </si>
  <si>
    <t>33909-3287</t>
  </si>
  <si>
    <t>17-43-24-c2-05802.0330</t>
  </si>
  <si>
    <t>Joshi</t>
  </si>
  <si>
    <t xml:space="preserve">10074 Parkwood Dr  Fort Myers, FL 33905 </t>
  </si>
  <si>
    <t>18-43-24-c3-05742.0190</t>
  </si>
  <si>
    <t>Paterno</t>
  </si>
  <si>
    <t>Maria Pinto</t>
  </si>
  <si>
    <t xml:space="preserve">4116 NE 15th Ave </t>
  </si>
  <si>
    <t xml:space="preserve">173 Baldwin Ave </t>
  </si>
  <si>
    <t>64145-1164</t>
  </si>
  <si>
    <t>60148-5075</t>
  </si>
  <si>
    <t xml:space="preserve">704 NE 2nd Ave  Cape Coral, FL 33909 </t>
  </si>
  <si>
    <t>22151-3117</t>
  </si>
  <si>
    <t xml:space="preserve">3 Dogwood Dr </t>
  </si>
  <si>
    <t>18-45-24-c3-00031.0060</t>
  </si>
  <si>
    <t>06351-2508</t>
  </si>
  <si>
    <t xml:space="preserve">10398 Nightwood Dr  Fort Myers, FL 33905 </t>
  </si>
  <si>
    <t xml:space="preserve">1011 NE 1st Ave </t>
  </si>
  <si>
    <t xml:space="preserve">2820 NE 7th Pl  Cape Coral, FL 33909 </t>
  </si>
  <si>
    <t>Big Lake</t>
  </si>
  <si>
    <t xml:space="preserve">1432 NE 37th St  Cape Coral, FL 33909 </t>
  </si>
  <si>
    <t xml:space="preserve">3646 N Albany Ave  Chicago, IL 60618-4512 </t>
  </si>
  <si>
    <t>Cape Coral Unit 87 Blk 5731 Pb 24 Pg 87 Lots 11 + 12</t>
  </si>
  <si>
    <t xml:space="preserve">16102 Emerald Estates Dr #306, Weston, FL 33331-6120 </t>
  </si>
  <si>
    <t xml:space="preserve">1191 NW 100th St  Miami, FL 33150-1538 </t>
  </si>
  <si>
    <t>34266-8079</t>
  </si>
  <si>
    <t>36-44-23-c4-00878.0330</t>
  </si>
  <si>
    <t xml:space="preserve">3854 Hopevale St </t>
  </si>
  <si>
    <t xml:space="preserve">2416 NE 23rd Pl </t>
  </si>
  <si>
    <t xml:space="preserve">13 Rachmilevitch 1/1, Jerusalem, IL 97791 </t>
  </si>
  <si>
    <t xml:space="preserve">2641 Elmbrook Dr  Carrollton, TX 75010-4222 </t>
  </si>
  <si>
    <t>Arcides</t>
  </si>
  <si>
    <t>Carlos Amaya</t>
  </si>
  <si>
    <t>14580-9041</t>
  </si>
  <si>
    <t>Frazer</t>
  </si>
  <si>
    <t>Daniel &amp; Julie Madigan</t>
  </si>
  <si>
    <t>Cape Coral Unit 36 Pt 1 Blk 2507 Pb 23 Pg 91 Lots 13 + 14</t>
  </si>
  <si>
    <t>33177-5442</t>
  </si>
  <si>
    <t xml:space="preserve">5783 Burrwood Ct </t>
  </si>
  <si>
    <t xml:space="preserve">6700 Louella Dr  Fort Myers, FL 33905 </t>
  </si>
  <si>
    <t>42127-9431</t>
  </si>
  <si>
    <t xml:space="preserve">935 Waring Ave </t>
  </si>
  <si>
    <t>55441-5919</t>
  </si>
  <si>
    <t>Shradeja</t>
  </si>
  <si>
    <t xml:space="preserve">2 Willis St </t>
  </si>
  <si>
    <t xml:space="preserve">2336 Imperial Golf Course Blvd  Naples, FL 34110 </t>
  </si>
  <si>
    <t>34-43-24-01-00021.0230</t>
  </si>
  <si>
    <t xml:space="preserve">3102 SE 19th Ave  Cape Coral, FL 33904 </t>
  </si>
  <si>
    <t>Betty-Jane &amp; For Maguire</t>
  </si>
  <si>
    <t>31-43-26-01-00000.0110</t>
  </si>
  <si>
    <t>Pine Spring</t>
  </si>
  <si>
    <t>Flagler</t>
  </si>
  <si>
    <t>19-43-24-c1-05549.0190</t>
  </si>
  <si>
    <t>48906-4946</t>
  </si>
  <si>
    <t xml:space="preserve">2016 NE 24th Ave </t>
  </si>
  <si>
    <t>33909-2064</t>
  </si>
  <si>
    <t xml:space="preserve">112 Gerber Dairy Rd </t>
  </si>
  <si>
    <t>Oriana</t>
  </si>
  <si>
    <t>Hosenkamp Gerald B Tr</t>
  </si>
  <si>
    <t xml:space="preserve">5601 Brightwood Dr  Fort Myers, FL 33905 </t>
  </si>
  <si>
    <t xml:space="preserve">831 Meadow Ridge Dr  West Chicago, IL 60185-5817 </t>
  </si>
  <si>
    <t>Rosa &amp; Fred Hoepfner</t>
  </si>
  <si>
    <t xml:space="preserve">502 Fayette Ave </t>
  </si>
  <si>
    <t xml:space="preserve">5850 Maplewood Ct </t>
  </si>
  <si>
    <t>Lazizkhon</t>
  </si>
  <si>
    <t>20-43-24-c2-05668.0400</t>
  </si>
  <si>
    <t>Portico Phase Iiib A Replat Of Tracts Fd-1 Lk-C3b Lk-C3c Lk-C3d Lk-C3e Lk-C3f Lk-C3g and Lk-Ch Portico Phase Iiia As Desc In 2021000273091 Tract Lk-C3f</t>
  </si>
  <si>
    <t>Bellevue</t>
  </si>
  <si>
    <t xml:space="preserve">33 Tulpen St </t>
  </si>
  <si>
    <t xml:space="preserve">4136 NE 10th Pl  Cape Coral, FL 33909 </t>
  </si>
  <si>
    <t>Puja</t>
  </si>
  <si>
    <t>Aguilar</t>
  </si>
  <si>
    <t>Marie-Curie-Str</t>
  </si>
  <si>
    <t xml:space="preserve">13311 Indiana Ct  Huntley, IL 60142-7477 </t>
  </si>
  <si>
    <t>Reid Weiner</t>
  </si>
  <si>
    <t xml:space="preserve">2 Iroquois Way  Morgantown, WV 26508-2977 </t>
  </si>
  <si>
    <t xml:space="preserve">14094 Village Ln  Riverview, MI 48193-7661 </t>
  </si>
  <si>
    <t>Desimone</t>
  </si>
  <si>
    <t>Nathans Cove</t>
  </si>
  <si>
    <t xml:space="preserve">3307 W Christy Dr  Phoenix, AZ 85029-4230 </t>
  </si>
  <si>
    <t>Johns Creek</t>
  </si>
  <si>
    <t xml:space="preserve">2116 NE 20th Ter  Cape Coral, FL 33909 </t>
  </si>
  <si>
    <t>Clay</t>
  </si>
  <si>
    <t xml:space="preserve">1225 NE 8th Pl  Cape Coral, FL 33909 </t>
  </si>
  <si>
    <t>11740-2007</t>
  </si>
  <si>
    <t xml:space="preserve">10221 Nightwood Dr  Fort Myers, FL 33905 </t>
  </si>
  <si>
    <t xml:space="preserve">2713 NE 4th Pl </t>
  </si>
  <si>
    <t>Richard &amp; Donna Schmidt</t>
  </si>
  <si>
    <t xml:space="preserve">5226 Elm Ct </t>
  </si>
  <si>
    <t>Leon</t>
  </si>
  <si>
    <t xml:space="preserve">3261 Sabal Palm Mnr #206 </t>
  </si>
  <si>
    <t>19-43-24-c2-05587.0170</t>
  </si>
  <si>
    <t xml:space="preserve">135 Pleasant St #604 </t>
  </si>
  <si>
    <t xml:space="preserve">220 N Phelps Ave  Winter Park, FL 32789-4023 </t>
  </si>
  <si>
    <t xml:space="preserve">1141 Sweet Creek Cir  Webster, NY 14580-9041 </t>
  </si>
  <si>
    <t xml:space="preserve">5157 Petit Thouars </t>
  </si>
  <si>
    <t>Newton</t>
  </si>
  <si>
    <t>Sterling &amp; Roman Hawryluk</t>
  </si>
  <si>
    <t>33909-8876</t>
  </si>
  <si>
    <t>11-44-25-10-00000.4340</t>
  </si>
  <si>
    <t>Vonlooz</t>
  </si>
  <si>
    <t>Mary Sumner</t>
  </si>
  <si>
    <t>17-43-24-c2-05797.0370</t>
  </si>
  <si>
    <t>Pera</t>
  </si>
  <si>
    <t xml:space="preserve">6028 Langdon Ave </t>
  </si>
  <si>
    <t>David &amp; Caroline Sy</t>
  </si>
  <si>
    <t>Cypress Trail Rv Resort Phase 2-A As Desc In Inst# 2014000026506 Lot 28</t>
  </si>
  <si>
    <t>Pkwy</t>
  </si>
  <si>
    <t>Stefan</t>
  </si>
  <si>
    <t>Bulat</t>
  </si>
  <si>
    <t xml:space="preserve">1907 NE 2nd Ter </t>
  </si>
  <si>
    <t>For Thomas F Humphfrey 2016 Trust</t>
  </si>
  <si>
    <t xml:space="preserve">1904 NE 3rd Ave </t>
  </si>
  <si>
    <t xml:space="preserve">93 Rue Gutenberg </t>
  </si>
  <si>
    <t xml:space="preserve">931 NE 1st Ave </t>
  </si>
  <si>
    <t>07512-1504</t>
  </si>
  <si>
    <t xml:space="preserve">10215 Butterweed Trl  Fort Myers, FL 33905 </t>
  </si>
  <si>
    <t xml:space="preserve">1517 S Gator Cir  Cape Coral, FL 33909 </t>
  </si>
  <si>
    <t xml:space="preserve">1818 NE 4th Pl </t>
  </si>
  <si>
    <t>South Service</t>
  </si>
  <si>
    <t>33909-3522</t>
  </si>
  <si>
    <t xml:space="preserve">2326 NE 24th Ter  Cape Coral, FL 33909 </t>
  </si>
  <si>
    <t>05-44-24-c2-03511.0610</t>
  </si>
  <si>
    <t xml:space="preserve">14221 County Road 633  Blue Ridge, TX 75424-2373 </t>
  </si>
  <si>
    <t>White Plains</t>
  </si>
  <si>
    <t>Cape Coral Unit 33 Blk.2254 Pb 16 Pg 57 Lots 10 + 11</t>
  </si>
  <si>
    <t>Jamie</t>
  </si>
  <si>
    <t xml:space="preserve">46 Quellenstrabe </t>
  </si>
  <si>
    <t xml:space="preserve">2324 NE 39th Ter </t>
  </si>
  <si>
    <t>Forked River</t>
  </si>
  <si>
    <t>Tita</t>
  </si>
  <si>
    <t xml:space="preserve">1706 NE 28th St </t>
  </si>
  <si>
    <t>Kapic</t>
  </si>
  <si>
    <t>Brown Karen L Tr</t>
  </si>
  <si>
    <t>Jose Ma Vigil</t>
  </si>
  <si>
    <t>Detroit Lakes</t>
  </si>
  <si>
    <t>67865-8531</t>
  </si>
  <si>
    <t>Saddlebrook</t>
  </si>
  <si>
    <t>33909-3233</t>
  </si>
  <si>
    <t xml:space="preserve">404 NE 18th St </t>
  </si>
  <si>
    <t>11-44-25-11-00000.2280</t>
  </si>
  <si>
    <t>25-43-23-c1-02350.0350</t>
  </si>
  <si>
    <t>Latimer</t>
  </si>
  <si>
    <t>01469-1122</t>
  </si>
  <si>
    <t>06092-2312</t>
  </si>
  <si>
    <t xml:space="preserve">3 the Falls Dr </t>
  </si>
  <si>
    <t>11753-2609</t>
  </si>
  <si>
    <t xml:space="preserve">1413 Jacks Corner Rd </t>
  </si>
  <si>
    <t xml:space="preserve">1110 Weybridge Ln  Dunedin, FL 34698-2251 </t>
  </si>
  <si>
    <t>Norberto</t>
  </si>
  <si>
    <t xml:space="preserve">2380 47th Ave NE </t>
  </si>
  <si>
    <t>11-44-25-09-00000.2050</t>
  </si>
  <si>
    <t xml:space="preserve">75 Landshuter Aly  Munich, DE 80637 </t>
  </si>
  <si>
    <t>34667-3966</t>
  </si>
  <si>
    <t xml:space="preserve">11037 SW 78th Ct  Pinecrest, FL 33156-3733 </t>
  </si>
  <si>
    <t xml:space="preserve">408 NE 25th Ter  Cape Coral, FL 33909 </t>
  </si>
  <si>
    <t>33196-2339</t>
  </si>
  <si>
    <t>31-43-24-c2-02155.0370</t>
  </si>
  <si>
    <t xml:space="preserve">16881 SW 278th St  Homestead, FL 33031-2745 </t>
  </si>
  <si>
    <t xml:space="preserve">103 Smith St #8, Brooklyn, NY 11201-5721 </t>
  </si>
  <si>
    <t>30012-4033</t>
  </si>
  <si>
    <t>01-44-23-c3-02389.0250</t>
  </si>
  <si>
    <t>Wytheville</t>
  </si>
  <si>
    <t>32-43-24-c4-02208.0590</t>
  </si>
  <si>
    <t>Elizabeth Menefee</t>
  </si>
  <si>
    <t>Mayra</t>
  </si>
  <si>
    <t xml:space="preserve">2309 NE 35th Ln  Cape Coral, FL 33909 </t>
  </si>
  <si>
    <t>36-44-23-c1-00923.0170</t>
  </si>
  <si>
    <t>Willow</t>
  </si>
  <si>
    <t>For Phyllis A Lye Trust</t>
  </si>
  <si>
    <t>Yuleima</t>
  </si>
  <si>
    <t>A1002</t>
  </si>
  <si>
    <t>Efrain &amp; Sandra Garcia</t>
  </si>
  <si>
    <t>N9H 1B7</t>
  </si>
  <si>
    <t>33175-7548</t>
  </si>
  <si>
    <t xml:space="preserve">3330 NE 9th Ave </t>
  </si>
  <si>
    <t xml:space="preserve">1501 NE 23rd Ter  Cape Coral, FL 33909 </t>
  </si>
  <si>
    <t xml:space="preserve">3339 NE 23rd Pl  Cape Coral, FL 33909 </t>
  </si>
  <si>
    <t>34983-3016</t>
  </si>
  <si>
    <t>Santa Rosa</t>
  </si>
  <si>
    <t xml:space="preserve">301 Carlisle Ave  Mingo Junction, OH 43938-1449 </t>
  </si>
  <si>
    <t>19-43-24-c3-05617.0150</t>
  </si>
  <si>
    <t>07083-6250</t>
  </si>
  <si>
    <t xml:space="preserve">623 SE 31st St  Cape Coral, FL 33904 </t>
  </si>
  <si>
    <t>Stephenson</t>
  </si>
  <si>
    <t>Asril</t>
  </si>
  <si>
    <t>East Earl</t>
  </si>
  <si>
    <t>Terry Tice + Vandawalker Blk 1 Pb 1 Pg 46 Lot 12</t>
  </si>
  <si>
    <t xml:space="preserve">812 Sando Dr </t>
  </si>
  <si>
    <t>33904-3008</t>
  </si>
  <si>
    <t>Gordon Pumphrey &amp; For Gordon</t>
  </si>
  <si>
    <t>Richard Macclugage</t>
  </si>
  <si>
    <t>Cape Coral Unit 84 Blk 5576 Pb 24 Pg 45 Lots 47 + 48</t>
  </si>
  <si>
    <t xml:space="preserve">2122 NE 34th Ln  Cape Coral, FL 33909 </t>
  </si>
  <si>
    <t>Lehigh Acres Unit 14 E Pt Blk 78 Pb 26 Pg 19 Lot 10</t>
  </si>
  <si>
    <t>Sint Pieters Leeuw</t>
  </si>
  <si>
    <t xml:space="preserve">10014 Rambelwood Ct  Fort Myers, FL 33905 </t>
  </si>
  <si>
    <t>Stillwell</t>
  </si>
  <si>
    <t xml:space="preserve">38701 7 mile Rd #195 </t>
  </si>
  <si>
    <t>31-43-24-c3-02141.0050</t>
  </si>
  <si>
    <t xml:space="preserve">6324 W Villa Linda Dr </t>
  </si>
  <si>
    <t xml:space="preserve">6700 Louella Dr </t>
  </si>
  <si>
    <t>11-44-25-05-0000c.0770</t>
  </si>
  <si>
    <t xml:space="preserve">2124 NE 20th Ter </t>
  </si>
  <si>
    <t>Kirby</t>
  </si>
  <si>
    <t>16-44-26-06-00013.0310</t>
  </si>
  <si>
    <t>11209-4212</t>
  </si>
  <si>
    <t>33909-2010</t>
  </si>
  <si>
    <t>Commons</t>
  </si>
  <si>
    <t>Paraluman</t>
  </si>
  <si>
    <t xml:space="preserve">2420 NE 20th Ave </t>
  </si>
  <si>
    <t>18-43-24-c4-05583.0230</t>
  </si>
  <si>
    <t>85615-9633</t>
  </si>
  <si>
    <t xml:space="preserve">107 Cameron Station Blvd  Alexandria, VA 22304-7713 </t>
  </si>
  <si>
    <t xml:space="preserve">1637 Cleveland Ave  Whiting, IN 46394-1311 </t>
  </si>
  <si>
    <t xml:space="preserve">606 Collins St </t>
  </si>
  <si>
    <t>Cypress Trail Rv Resort Ph 3 As Desc In Inst# 2015000085552 Lot 46</t>
  </si>
  <si>
    <t xml:space="preserve">3102 NE 6th Pl  Cape Coral, FL 33909 </t>
  </si>
  <si>
    <t>Cape Coral Unit 34 Blk 2424 Pb 16 Pg 76 Lots 69 + 70</t>
  </si>
  <si>
    <t xml:space="preserve">21 Rue Pierre Semard </t>
  </si>
  <si>
    <t xml:space="preserve">2502 NE 19th Pl  Cape Coral, FL 33909 </t>
  </si>
  <si>
    <t>Jonra</t>
  </si>
  <si>
    <t>16-44-26-04-00003.0170</t>
  </si>
  <si>
    <t xml:space="preserve">34418 Giannetti Dr </t>
  </si>
  <si>
    <t xml:space="preserve">263 Calle Monte Ebano </t>
  </si>
  <si>
    <t>33909-1636</t>
  </si>
  <si>
    <t xml:space="preserve">15b Rue Meckenheck </t>
  </si>
  <si>
    <t>03-44-26-07-00033.0150</t>
  </si>
  <si>
    <t>79605-5855</t>
  </si>
  <si>
    <t>For Riverside Drive Land Trust</t>
  </si>
  <si>
    <t>Cape Coral Unit 84 Blk 5601 Pb 24 Pg 43 Lots 61 + 62</t>
  </si>
  <si>
    <t xml:space="preserve">1784 Vidalia Ct  Greenwood, IN 46143-6737 </t>
  </si>
  <si>
    <t>Arash Behravesh</t>
  </si>
  <si>
    <t>Frank &amp; Barbara Gentile</t>
  </si>
  <si>
    <t>Joseph &amp; Nancy Solicito</t>
  </si>
  <si>
    <t>33909-4794</t>
  </si>
  <si>
    <t xml:space="preserve">2629 NE 4th Pl </t>
  </si>
  <si>
    <t>19-43-24-c1-05572.0230</t>
  </si>
  <si>
    <t xml:space="preserve">29 Montilla Ave  Coral Gables, FL 33134-1844 </t>
  </si>
  <si>
    <t>Shell Pit</t>
  </si>
  <si>
    <t>33909-6141</t>
  </si>
  <si>
    <t xml:space="preserve">471 NE 3rd Ave </t>
  </si>
  <si>
    <t xml:space="preserve">3515 Ayrshire Cir </t>
  </si>
  <si>
    <t>Bergen</t>
  </si>
  <si>
    <t xml:space="preserve">8 Coupland Crt </t>
  </si>
  <si>
    <t>Brad</t>
  </si>
  <si>
    <t>33909-8822</t>
  </si>
  <si>
    <t>15340-1321</t>
  </si>
  <si>
    <t xml:space="preserve">1417 SE 31st Ter </t>
  </si>
  <si>
    <t xml:space="preserve">3534 NE 15th Ave  Cape Coral, FL 33909 </t>
  </si>
  <si>
    <t>Twilley</t>
  </si>
  <si>
    <t>Cape Coral Unit 31 Blk 2052 Pb 14 Pg 154 Lots 11 + 12</t>
  </si>
  <si>
    <t xml:space="preserve">1520 Crystal Lake Cir #10, Green Bay, WI 54311-5972 </t>
  </si>
  <si>
    <t>Cape Coral Unit 25 Blk 907 Pb 14 Pg 95 Lots 34 + 35</t>
  </si>
  <si>
    <t>03-44-26-13-00070.0080</t>
  </si>
  <si>
    <t xml:space="preserve">10328 Fire Flag Trl  Fort Myers, FL 33905 </t>
  </si>
  <si>
    <t xml:space="preserve">31 Pittaway Ave  Ottawa, ON K1g 4P3 </t>
  </si>
  <si>
    <t xml:space="preserve">6111 Higgins Ave  Fort Myers, FL 33905 </t>
  </si>
  <si>
    <t>11003-2308</t>
  </si>
  <si>
    <t xml:space="preserve">426 Prospect St </t>
  </si>
  <si>
    <t>20-43-24-c4-05634.0170</t>
  </si>
  <si>
    <t xml:space="preserve">5947 Maleville Ave  Carmichael, CA 95608 </t>
  </si>
  <si>
    <t>Exeter</t>
  </si>
  <si>
    <t xml:space="preserve">1415 W Stratford Rd </t>
  </si>
  <si>
    <t>Schleithal</t>
  </si>
  <si>
    <t xml:space="preserve">1417 SE 31st Ter  Cape Coral, FL 33904 </t>
  </si>
  <si>
    <t xml:space="preserve">2006 NE 17th Pl  Cape Coral, FL 33909 </t>
  </si>
  <si>
    <t xml:space="preserve">Avenue Moscicki #11, Brussels, BE </t>
  </si>
  <si>
    <t xml:space="preserve">10309 Fire Flag Trl </t>
  </si>
  <si>
    <t xml:space="preserve">378 Brandi Ln  Blaine, TN 37709-2535 </t>
  </si>
  <si>
    <t xml:space="preserve">2208 NE 23rd Ave  Cape Coral, FL 33909 </t>
  </si>
  <si>
    <t xml:space="preserve">333 NE 30th Ter  Cape Coral, FL 33909 </t>
  </si>
  <si>
    <t>Devon Bryant &amp; Michael Acquah</t>
  </si>
  <si>
    <t>31-43-24-c4-02111.0120</t>
  </si>
  <si>
    <t xml:space="preserve">12 Anthonys Mill Rd  Barto, PA 19504-8812 </t>
  </si>
  <si>
    <t xml:space="preserve">3008 NE 6th Ave </t>
  </si>
  <si>
    <t>For Michael P Kremski Trust</t>
  </si>
  <si>
    <t>Briggs</t>
  </si>
  <si>
    <t>Cape Coral Unit 33 Blk.2253 Pb 16 Pg 57 Lots 70 + 71</t>
  </si>
  <si>
    <t>Ureta</t>
  </si>
  <si>
    <t>L4S 2B4</t>
  </si>
  <si>
    <t>11-44-25-06-0000d.0510</t>
  </si>
  <si>
    <t xml:space="preserve">PO Box 508  Osoyoos, BC V0h 1V0 </t>
  </si>
  <si>
    <t>Aliso Viejo</t>
  </si>
  <si>
    <t xml:space="preserve">13462 Caribbean Blvd </t>
  </si>
  <si>
    <t>Fire Flag</t>
  </si>
  <si>
    <t>Chung Nguyen &amp; Uyen Vu</t>
  </si>
  <si>
    <t xml:space="preserve">921 NE 15th St </t>
  </si>
  <si>
    <t>33905-7713</t>
  </si>
  <si>
    <t xml:space="preserve">1226 Susquehanna Ave  Middle River, MD 21220-4341 </t>
  </si>
  <si>
    <t>Mormon Coulee</t>
  </si>
  <si>
    <t xml:space="preserve">4300 Connection Ave  Cape Coral, FL 33909 </t>
  </si>
  <si>
    <t xml:space="preserve">10 Spring Harbor Cir </t>
  </si>
  <si>
    <t>N 1/2 Of Nw 1/4 Of Ne 1/4</t>
  </si>
  <si>
    <t xml:space="preserve">13345 Whispering Oaks Dr </t>
  </si>
  <si>
    <t>29-43-24-c3-02254.0540</t>
  </si>
  <si>
    <t>Louis</t>
  </si>
  <si>
    <t>33909-9217</t>
  </si>
  <si>
    <t xml:space="preserve">1108 NE 34th Ln </t>
  </si>
  <si>
    <t>Clemente</t>
  </si>
  <si>
    <t xml:space="preserve">539 S 302nd St  Federal Way, WA 98003-4053 </t>
  </si>
  <si>
    <t>Waites</t>
  </si>
  <si>
    <t xml:space="preserve">3346 NE 13th Pl </t>
  </si>
  <si>
    <t xml:space="preserve">1619 NE 36th St </t>
  </si>
  <si>
    <t xml:space="preserve">2620 NE 22nd Ave </t>
  </si>
  <si>
    <t xml:space="preserve">13 S Shore Dr </t>
  </si>
  <si>
    <t xml:space="preserve">1305 NE 2nd Ave  Cape Coral, FL 33909 </t>
  </si>
  <si>
    <t>33429-1377</t>
  </si>
  <si>
    <t>33909-7310</t>
  </si>
  <si>
    <t>Norcross</t>
  </si>
  <si>
    <t>For Ivan &amp; De Ette Carroll Family Trust</t>
  </si>
  <si>
    <t>60526-1215</t>
  </si>
  <si>
    <t xml:space="preserve">2302 NE 35th St </t>
  </si>
  <si>
    <t xml:space="preserve">341 NE 14th Ter  Cape Coral, FL 33909 </t>
  </si>
  <si>
    <t xml:space="preserve">20 Whiting St </t>
  </si>
  <si>
    <t xml:space="preserve">21739 N Park Dr </t>
  </si>
  <si>
    <t>Sweet Gum</t>
  </si>
  <si>
    <t>Dean &amp; Renee Baker</t>
  </si>
  <si>
    <t>Sahuaro</t>
  </si>
  <si>
    <t xml:space="preserve">4008 NE 8th Pl  Cape Coral, FL 33909 </t>
  </si>
  <si>
    <t>Erize</t>
  </si>
  <si>
    <t>Mayorga</t>
  </si>
  <si>
    <t xml:space="preserve">Access Undetermined </t>
  </si>
  <si>
    <t xml:space="preserve">1501 NE 34th Ln </t>
  </si>
  <si>
    <t xml:space="preserve">111 Roe St </t>
  </si>
  <si>
    <t>34-43-25-00-00004.0160</t>
  </si>
  <si>
    <t xml:space="preserve">1120 NE 34th St  Cape Coral, FL 33909 </t>
  </si>
  <si>
    <t>Jeana</t>
  </si>
  <si>
    <t>33909-4255</t>
  </si>
  <si>
    <t xml:space="preserve">3402 NE 21st Pl  Cape Coral, FL 33909 </t>
  </si>
  <si>
    <t>Nashville</t>
  </si>
  <si>
    <t xml:space="preserve">830 NE 34th Ter  Cape Coral, FL 33909 </t>
  </si>
  <si>
    <t xml:space="preserve">1605 NE 34th St </t>
  </si>
  <si>
    <t>05-45-24-c3-00565.0030</t>
  </si>
  <si>
    <t xml:space="preserve"># 31  Sidney, KY 41564 </t>
  </si>
  <si>
    <t>Jutta Koehler</t>
  </si>
  <si>
    <t>21403-4407</t>
  </si>
  <si>
    <t>For Donald J Schneider Childrens Trust #2</t>
  </si>
  <si>
    <t>33909-1489</t>
  </si>
  <si>
    <t>10010-4008</t>
  </si>
  <si>
    <t>Gina Furci</t>
  </si>
  <si>
    <t xml:space="preserve">9153 Glenforest Dr  Naples, FL 34120-5345 </t>
  </si>
  <si>
    <t>Cape Coral Unit 34 Blk 2463 Pb 16 Pg 84 Lots 28 + 29</t>
  </si>
  <si>
    <t>27360-7305</t>
  </si>
  <si>
    <t xml:space="preserve">2589 Quails Run </t>
  </si>
  <si>
    <t>Cape Coral Unit 36 Pt 1 Blk 2543 Pb 23 Pg 94 Lots 1 Thru 3</t>
  </si>
  <si>
    <t>195th</t>
  </si>
  <si>
    <t>15228-1611</t>
  </si>
  <si>
    <t>Rhonda Benbo</t>
  </si>
  <si>
    <t>32817-2466</t>
  </si>
  <si>
    <t>Scenic Glade</t>
  </si>
  <si>
    <t>19610-3104</t>
  </si>
  <si>
    <t xml:space="preserve">6 Nate Ln  Howell, NJ 07731-9085 </t>
  </si>
  <si>
    <t>19-43-24-c3-05621.0380</t>
  </si>
  <si>
    <t xml:space="preserve">7 Sugar Hollow Ln  West Simsbury, CT 06092-2312 </t>
  </si>
  <si>
    <t xml:space="preserve">411 NE 7th St  Cape Coral, FL 33909 </t>
  </si>
  <si>
    <t>Cape Coral Unit 36 Blk 2300B Pb 16 Pg 122 Lots 11 Thru 13</t>
  </si>
  <si>
    <t xml:space="preserve">5509 Cypress Trail Resort Cir </t>
  </si>
  <si>
    <t>Merari</t>
  </si>
  <si>
    <t xml:space="preserve">712 NE 3rd Ave </t>
  </si>
  <si>
    <t xml:space="preserve">144 Roosevelt Blvd  Long Beach, NY 11561-3710 </t>
  </si>
  <si>
    <t>03-44-26-09-00041.0200</t>
  </si>
  <si>
    <t>17-43-24-c3-05796.0020</t>
  </si>
  <si>
    <t xml:space="preserve">1 Equity Way  Westlake, OH 44145-1050 </t>
  </si>
  <si>
    <t>Michael &amp; Karen Frey</t>
  </si>
  <si>
    <t>Pathwood</t>
  </si>
  <si>
    <t xml:space="preserve">6136 Hepner Ave </t>
  </si>
  <si>
    <t>33909-5228</t>
  </si>
  <si>
    <t>31-43-24-c1-02167.0350</t>
  </si>
  <si>
    <t xml:space="preserve">3318 NE 20th Pl  Cape Coral, FL 33909 </t>
  </si>
  <si>
    <t>Cypress Woods Rv Resort Un 3 Desc In Pb 72 Pgs 92-95 Blk C Lot 57</t>
  </si>
  <si>
    <t>Szymanski</t>
  </si>
  <si>
    <t>Ronald Johnson &amp; Diana Dell</t>
  </si>
  <si>
    <t>Ortiz</t>
  </si>
  <si>
    <t xml:space="preserve">1122 NE 39th St </t>
  </si>
  <si>
    <t>33909-1974</t>
  </si>
  <si>
    <t>Cape Coral Unit 85 Blk 5641 Pb 24 Pg 54 Lots 48 + 49</t>
  </si>
  <si>
    <t>Rickard</t>
  </si>
  <si>
    <t xml:space="preserve">1576 Veracruz Ln  Weston, FL 33327-1732 </t>
  </si>
  <si>
    <t>Migdalia</t>
  </si>
  <si>
    <t xml:space="preserve">13340 SW 10th Pl </t>
  </si>
  <si>
    <t>Clara</t>
  </si>
  <si>
    <t xml:space="preserve">1824 NE 19th Pl  Cape Coral, FL 33909 </t>
  </si>
  <si>
    <t xml:space="preserve">2217 NE 4th St </t>
  </si>
  <si>
    <t>Bayol</t>
  </si>
  <si>
    <t>Lehigh Acres Ut 3 Blk 13 Pb 26 Pg 5 Lot 49</t>
  </si>
  <si>
    <t>Eckartz &amp; David Eckartz</t>
  </si>
  <si>
    <t xml:space="preserve">1820 Madison Ave 7d </t>
  </si>
  <si>
    <t xml:space="preserve">1120 NE 15th Ln </t>
  </si>
  <si>
    <t>Laguna Niguel</t>
  </si>
  <si>
    <t>Havana</t>
  </si>
  <si>
    <t>Lehigh Acres Unit 10 Blk 47 Pb 26 Pg 12 Lot 11</t>
  </si>
  <si>
    <t>Cape Coral Unit 88 Blk 5783 Pb 24 Pg 132 Lots 46 + 47</t>
  </si>
  <si>
    <t>Silvio Barreiro</t>
  </si>
  <si>
    <t>Barnstable Town</t>
  </si>
  <si>
    <t>211th</t>
  </si>
  <si>
    <t xml:space="preserve">15621 SW 109th Ave  Miami, FL 33157-1301 </t>
  </si>
  <si>
    <t>33909-8871</t>
  </si>
  <si>
    <t>25-43-23-c3-02174.0370</t>
  </si>
  <si>
    <t>Eliecer &amp; Maria Machado</t>
  </si>
  <si>
    <t>Feltis</t>
  </si>
  <si>
    <t>Abdul Haq</t>
  </si>
  <si>
    <t xml:space="preserve">10711 Robinson St  Fort Myers, FL 33908 </t>
  </si>
  <si>
    <t>33012-2867</t>
  </si>
  <si>
    <t>33319-2475</t>
  </si>
  <si>
    <t xml:space="preserve">2734 NE 4th Pl  Cape Coral, FL 33909 </t>
  </si>
  <si>
    <t>Grainne Doherty</t>
  </si>
  <si>
    <t>52002-9690</t>
  </si>
  <si>
    <t xml:space="preserve">719 E 80th St  Brooklyn, NY 11236-3513 </t>
  </si>
  <si>
    <t>Richard &amp; Elna Bonewitz</t>
  </si>
  <si>
    <t>25-43-23-c4-02300.b110</t>
  </si>
  <si>
    <t>33909-2658</t>
  </si>
  <si>
    <t xml:space="preserve">7 Tropicana Pkwy E  Cape Coral, FL 33909 </t>
  </si>
  <si>
    <t>Barbara Gattuso Trust</t>
  </si>
  <si>
    <t>17-43-24-c1-05820.0390</t>
  </si>
  <si>
    <t xml:space="preserve">347 Main St </t>
  </si>
  <si>
    <t>19465-7649</t>
  </si>
  <si>
    <t>83642-3123</t>
  </si>
  <si>
    <t xml:space="preserve">2018 NE 13th Pl  Cape Coral, FL 33909 </t>
  </si>
  <si>
    <t>Park Ridge</t>
  </si>
  <si>
    <t>Olivas</t>
  </si>
  <si>
    <t xml:space="preserve">1006 5th St SE </t>
  </si>
  <si>
    <t>Ariana &amp; Kingdom Ayu</t>
  </si>
  <si>
    <t>08-44-24-02-00003.0140</t>
  </si>
  <si>
    <t xml:space="preserve">4274 Cottage Trl </t>
  </si>
  <si>
    <t xml:space="preserve">3540 NE 13th Ave  Cape Coral, FL 33909 </t>
  </si>
  <si>
    <t>45159-9381</t>
  </si>
  <si>
    <t>Zima</t>
  </si>
  <si>
    <t>Millennium &amp; Mitchell Blauch</t>
  </si>
  <si>
    <t xml:space="preserve">1608 NE 37th St </t>
  </si>
  <si>
    <t>Groton</t>
  </si>
  <si>
    <t>Ed</t>
  </si>
  <si>
    <t>A86</t>
  </si>
  <si>
    <t>25-43-23-c3-02351.0760</t>
  </si>
  <si>
    <t>92064-2930</t>
  </si>
  <si>
    <t>05-44-24-c1-03528.0090</t>
  </si>
  <si>
    <t>01-44-23-c4-02422.0410</t>
  </si>
  <si>
    <t>Ascarrunz</t>
  </si>
  <si>
    <t>Suzanne Luis</t>
  </si>
  <si>
    <t>36-43-23-c4-02546.0190</t>
  </si>
  <si>
    <t>Duane &amp; Patricia Land</t>
  </si>
  <si>
    <t>Clawson</t>
  </si>
  <si>
    <t xml:space="preserve">1406 NE 22nd Ave </t>
  </si>
  <si>
    <t>33908-3085</t>
  </si>
  <si>
    <t xml:space="preserve">935 SW 11th St  Miami, FL 33129-1843 </t>
  </si>
  <si>
    <t xml:space="preserve">1214 NE 40th Ter  Cape Coral, FL 33909 </t>
  </si>
  <si>
    <t xml:space="preserve">1725 NE 5th Pl </t>
  </si>
  <si>
    <t>John Bellack &amp; Barbara Macheda</t>
  </si>
  <si>
    <t>11-44-25-05-0000c.0280</t>
  </si>
  <si>
    <t>Orient</t>
  </si>
  <si>
    <t>55369-2283</t>
  </si>
  <si>
    <t>Cape Coral Unit 33 Blk.2189 Pb 16 Pg 50 Lots 3 + 4</t>
  </si>
  <si>
    <t>36-44-23-c1-00912.0590</t>
  </si>
  <si>
    <t xml:space="preserve">6721 Eliot Ave  Middle Village, NY 11379-1128 </t>
  </si>
  <si>
    <t>Paulmar</t>
  </si>
  <si>
    <t xml:space="preserve">440 Wyandot Rd  Bucyrus, OH 44820-9595 </t>
  </si>
  <si>
    <t>Kolton</t>
  </si>
  <si>
    <t xml:space="preserve">9945 Marlin Rd  Cutler Bay, FL 33157-8650 </t>
  </si>
  <si>
    <t>33142-6315</t>
  </si>
  <si>
    <t>West Creek</t>
  </si>
  <si>
    <t>29-43-26-05-00089.0040</t>
  </si>
  <si>
    <t>19-43-24-c4-05562.0210</t>
  </si>
  <si>
    <t xml:space="preserve">400 NE 24th Ter  Cape Coral, FL 33909 </t>
  </si>
  <si>
    <t xml:space="preserve">2833 NE 2nd Ave  Cape Coral, FL 33909 </t>
  </si>
  <si>
    <t>Hallas Richard P Tr</t>
  </si>
  <si>
    <t>Sterling</t>
  </si>
  <si>
    <t>33909-4201</t>
  </si>
  <si>
    <t xml:space="preserve">1519 NE 34th St  Cape Coral, FL 33909 </t>
  </si>
  <si>
    <t xml:space="preserve">2123 NE 27th Ter </t>
  </si>
  <si>
    <t>Cape Coral Unit 36 Blk 2325 Pb 16 Pg 127 Lots 55 + 56</t>
  </si>
  <si>
    <t>Juan &amp; Angela Alvarez</t>
  </si>
  <si>
    <t>Cypress Trail Rv Resort Phase 4-A As Desc In Inst# 20160000135610 Lot 378</t>
  </si>
  <si>
    <t>17-43-24-c1-05821.0190</t>
  </si>
  <si>
    <t>11-44-25-00-00013.0000</t>
  </si>
  <si>
    <t>Odonnell</t>
  </si>
  <si>
    <t>Ponce</t>
  </si>
  <si>
    <t xml:space="preserve">825 NE 44th Ln  Cape Coral, FL 33909 </t>
  </si>
  <si>
    <t xml:space="preserve">4148 NE 8th Pl </t>
  </si>
  <si>
    <t xml:space="preserve">5733 Luther Miles Rd </t>
  </si>
  <si>
    <t>96099-3747</t>
  </si>
  <si>
    <t xml:space="preserve">2042 NE 25th St </t>
  </si>
  <si>
    <t>33319-6410</t>
  </si>
  <si>
    <t xml:space="preserve">525 NW Biscayne Dr </t>
  </si>
  <si>
    <t>33909-4593</t>
  </si>
  <si>
    <t>Solveig</t>
  </si>
  <si>
    <t xml:space="preserve">5901 Orange Ln </t>
  </si>
  <si>
    <t>30-45-24-08-00000.0310</t>
  </si>
  <si>
    <t xml:space="preserve">3732 Kittyhawk Dr </t>
  </si>
  <si>
    <t>Coe</t>
  </si>
  <si>
    <t xml:space="preserve">10910 N San Marino Dr  Mequon, WI 53092-5850 </t>
  </si>
  <si>
    <t xml:space="preserve">Koenigsteiner #116, Bad Soden 2, DE 65812 </t>
  </si>
  <si>
    <t xml:space="preserve">6111 Higgins Ave </t>
  </si>
  <si>
    <t>Overriver</t>
  </si>
  <si>
    <t xml:space="preserve">186 N Seine Dr </t>
  </si>
  <si>
    <t xml:space="preserve">32 Broadview Dr </t>
  </si>
  <si>
    <t>South Miami</t>
  </si>
  <si>
    <t xml:space="preserve">10074 Rambelwood Ct </t>
  </si>
  <si>
    <t xml:space="preserve">15 Blossom Row </t>
  </si>
  <si>
    <t xml:space="preserve">619 Pascal St N </t>
  </si>
  <si>
    <t>Clary Daniel E Tr</t>
  </si>
  <si>
    <t xml:space="preserve">344 NE 30th Ter </t>
  </si>
  <si>
    <t>G R Marlow Living Trust</t>
  </si>
  <si>
    <t>Cape Coral Unit 36 Blk 2305 Pb 16 Pg 119 Lots 32 + 33</t>
  </si>
  <si>
    <t>33909-1920</t>
  </si>
  <si>
    <t xml:space="preserve">1020 Grignon Rue </t>
  </si>
  <si>
    <t xml:space="preserve">4132 NE 21st Pl  Cape Coral, FL 33909 </t>
  </si>
  <si>
    <t>Cape Coral Unit 35 Blk.2398 Pb 16 Pg 107 Lots 9 + 10</t>
  </si>
  <si>
    <t>Minh Nguyen</t>
  </si>
  <si>
    <t>B026</t>
  </si>
  <si>
    <t>LA</t>
  </si>
  <si>
    <t>Deerhaven</t>
  </si>
  <si>
    <t xml:space="preserve">4006 Anna Ave  Lyons, IL 60534-1012 </t>
  </si>
  <si>
    <t xml:space="preserve">618 NE 12th St  Cape Coral, FL 33909 </t>
  </si>
  <si>
    <t xml:space="preserve">4328 Connection Ave  Cape Coral, FL 33909 </t>
  </si>
  <si>
    <t>Rajkumar</t>
  </si>
  <si>
    <t xml:space="preserve">4474 Weston Rd #189 </t>
  </si>
  <si>
    <t>44144-2931</t>
  </si>
  <si>
    <t>Roussos</t>
  </si>
  <si>
    <t>Jimenez</t>
  </si>
  <si>
    <t xml:space="preserve">3344 Junction Blvd 3v, Jackson Heights, NY 11372-2022 </t>
  </si>
  <si>
    <t xml:space="preserve">12235 SW 115th Ter </t>
  </si>
  <si>
    <t>01-44-23-c1-02464.0380</t>
  </si>
  <si>
    <t xml:space="preserve">601 Kent Ave </t>
  </si>
  <si>
    <t>Burwell</t>
  </si>
  <si>
    <t>33909-5277</t>
  </si>
  <si>
    <t>32-43-24-c4-02202.0310</t>
  </si>
  <si>
    <t>33908-4254</t>
  </si>
  <si>
    <t>Maureen Boland</t>
  </si>
  <si>
    <t xml:space="preserve">19681 Summerlin Rd #9 </t>
  </si>
  <si>
    <t xml:space="preserve">6061 Laurelwood Dr </t>
  </si>
  <si>
    <t>Roy &amp; Robert Daniel</t>
  </si>
  <si>
    <t>Joseph Dasilva &amp; For Realty</t>
  </si>
  <si>
    <t xml:space="preserve">5226 Elm Ct  Cape Coral, FL 33904 </t>
  </si>
  <si>
    <t xml:space="preserve">153 Kamal Pkwy  Cape Coral, FL 33904 </t>
  </si>
  <si>
    <t>Cape Coral Unit 36 Blk 2353 Pb 16 Pg 119 Lot 54 + 55</t>
  </si>
  <si>
    <t>11229-3639</t>
  </si>
  <si>
    <t xml:space="preserve">3907 NE 12th Ave  Cape Coral, FL 33909 </t>
  </si>
  <si>
    <t xml:space="preserve">1306 NE 37th St  Cape Coral, FL 33909 </t>
  </si>
  <si>
    <t>29-43-26-05-00084.0300</t>
  </si>
  <si>
    <t>33909-3370</t>
  </si>
  <si>
    <t>Cape Coral Unit 36 Blk 2518 Pb 16 Pg 116 Lots 52 &amp; 53</t>
  </si>
  <si>
    <t>11-44-25-05-0000c.0030</t>
  </si>
  <si>
    <t xml:space="preserve">167 Jerry Liefert Dr  Monticello, MN 55362-9003 </t>
  </si>
  <si>
    <t xml:space="preserve">39 Twistback Rd </t>
  </si>
  <si>
    <t xml:space="preserve">14120 Cherrydale St  Fort Myers, FL 33905 </t>
  </si>
  <si>
    <t>Alfons</t>
  </si>
  <si>
    <t>R016</t>
  </si>
  <si>
    <t>Green Bay</t>
  </si>
  <si>
    <t>11-44-25-09-00000.1710</t>
  </si>
  <si>
    <t>19-43-24-c3-05613.0690</t>
  </si>
  <si>
    <t xml:space="preserve">2510 NE 6th Pl </t>
  </si>
  <si>
    <t>Quynh</t>
  </si>
  <si>
    <t>01-44-23-c4-02424.0010</t>
  </si>
  <si>
    <t xml:space="preserve">252 Parkside Dr  Union, NJ 07083-5563 </t>
  </si>
  <si>
    <t>Wenzlick</t>
  </si>
  <si>
    <t xml:space="preserve">Eichendorff #25 </t>
  </si>
  <si>
    <t>Margery</t>
  </si>
  <si>
    <t>Riviera</t>
  </si>
  <si>
    <t>Haring</t>
  </si>
  <si>
    <t xml:space="preserve">2110 Lydia St  Waukegan, IL 60085-3466 </t>
  </si>
  <si>
    <t>Bipin</t>
  </si>
  <si>
    <t>Christopher Plourde</t>
  </si>
  <si>
    <t>08-44-24-c1-01539.0170</t>
  </si>
  <si>
    <t xml:space="preserve">1318 NE 1st Ave  Cape Coral, FL 33909 </t>
  </si>
  <si>
    <t>Angel Monroy &amp; Canon Cortes</t>
  </si>
  <si>
    <t>Burlingham</t>
  </si>
  <si>
    <t>11-45-24-03-00014.0090</t>
  </si>
  <si>
    <t>11-44-25-l1-12000.2820</t>
  </si>
  <si>
    <t xml:space="preserve">34 F 1 #3401 </t>
  </si>
  <si>
    <t>Yobalis Betancourt</t>
  </si>
  <si>
    <t xml:space="preserve">428 River Styx Rd </t>
  </si>
  <si>
    <t>Cape Coral Unit 84 Blk 5582 Pb 24 Pg 48 Lots 9 + 10</t>
  </si>
  <si>
    <t>06-44-24-c3-02065.0090</t>
  </si>
  <si>
    <t xml:space="preserve">4682 SW 164th Ct  Miami, FL 33185-5198 </t>
  </si>
  <si>
    <t xml:space="preserve">1827 NE 17th Ter  Cape Coral, FL 33909 </t>
  </si>
  <si>
    <t>03-44-26-02-00008.0190</t>
  </si>
  <si>
    <t>American &amp; Laura Strater</t>
  </si>
  <si>
    <t xml:space="preserve">2005 NE 44th Ter </t>
  </si>
  <si>
    <t xml:space="preserve">2530 NE 6th Ave </t>
  </si>
  <si>
    <t xml:space="preserve">1421 River Edge Dr  Kent, OH 44240-2387 </t>
  </si>
  <si>
    <t>13021-2706</t>
  </si>
  <si>
    <t>17-43-24-c1-05778.0190</t>
  </si>
  <si>
    <t>Lehigh Acres W Pt Ut 14 Blk 83 Pb 26 Pg 20 Lot 13</t>
  </si>
  <si>
    <t>25-43-25-00-00002.0080</t>
  </si>
  <si>
    <t>49024-1197</t>
  </si>
  <si>
    <t>Billerica</t>
  </si>
  <si>
    <t>Cape Coral Unit 36 Blk 2310 Pb 16 Pg 123 Lots 25 + 26</t>
  </si>
  <si>
    <t xml:space="preserve">4105 Andalusia Blvd </t>
  </si>
  <si>
    <t xml:space="preserve">3710 Kilarney St </t>
  </si>
  <si>
    <t>Bohrer</t>
  </si>
  <si>
    <t>25-43-23-c4-02353.0300</t>
  </si>
  <si>
    <t xml:space="preserve">140 NE 51st St </t>
  </si>
  <si>
    <t>33480-3225</t>
  </si>
  <si>
    <t xml:space="preserve">2236 Golf Course Blvd  Naples, FL 34110 </t>
  </si>
  <si>
    <t>34637-7487</t>
  </si>
  <si>
    <t xml:space="preserve">10317 Nightwood Dr  Fort Myers, FL 33905 </t>
  </si>
  <si>
    <t>Mcdonough</t>
  </si>
  <si>
    <t xml:space="preserve">1703 NE 1st Ave  Cape Coral, FL 33909 </t>
  </si>
  <si>
    <t xml:space="preserve">4101 NE 16th Ave  Cape Coral, FL 33909 </t>
  </si>
  <si>
    <t>Cape Coral Unit 87 Blk 5682 Pb 24 Pg 73 Lots 3 + 4</t>
  </si>
  <si>
    <t>11-44-25-08-00000.2650</t>
  </si>
  <si>
    <t xml:space="preserve">6901 Clark Rd </t>
  </si>
  <si>
    <t xml:space="preserve">4548 W Alhambra Cir </t>
  </si>
  <si>
    <t>Cape Coral Unit 36 Blk 2352 Pb 16 Pg 121 Lots 30 + 31</t>
  </si>
  <si>
    <t xml:space="preserve">3111 NE 1st Ave  Cape Coral, FL 33909 </t>
  </si>
  <si>
    <t>Cape Coral Unit 31 Blk.2062 Pb 14 Pg 162 Lots 1 + 2</t>
  </si>
  <si>
    <t>32-43-24-c3-02218.0230</t>
  </si>
  <si>
    <t>03-44-26-02-00007.0140</t>
  </si>
  <si>
    <t>33315-1023</t>
  </si>
  <si>
    <t xml:space="preserve">1816 NE 7th Ave  Cape Coral, FL 33909 </t>
  </si>
  <si>
    <t>Geary</t>
  </si>
  <si>
    <t>Cape Coral Unit 36 Blk 2330 Pb 16 Pg 129 Lots 59 + 60</t>
  </si>
  <si>
    <t>Sonia Paniura</t>
  </si>
  <si>
    <t xml:space="preserve">132 NE 20th St  Cape Coral, FL 33909 </t>
  </si>
  <si>
    <t xml:space="preserve">9331 Buckingham Rd  Fort Myers, FL 33905 </t>
  </si>
  <si>
    <t xml:space="preserve">Carr 74 49a-04 </t>
  </si>
  <si>
    <t>01-44-23-c2-02465.0120</t>
  </si>
  <si>
    <t>Lehigh Acres Unit 10 Blk 47 Pb 26 Pg 12 Lot 4</t>
  </si>
  <si>
    <t>60517-7709</t>
  </si>
  <si>
    <t>Arthur &amp; Nellie Sahakian</t>
  </si>
  <si>
    <t>Branch</t>
  </si>
  <si>
    <t>33009-3797</t>
  </si>
  <si>
    <t xml:space="preserve">1725 S Gator Cir  Cape Coral, FL 33909 </t>
  </si>
  <si>
    <t>Stewart George C Tr</t>
  </si>
  <si>
    <t>Brink</t>
  </si>
  <si>
    <t>Van Wert</t>
  </si>
  <si>
    <t>48433-9710</t>
  </si>
  <si>
    <t xml:space="preserve">9207 SW 227th St #1 </t>
  </si>
  <si>
    <t xml:space="preserve">10241 NW 75th Ter </t>
  </si>
  <si>
    <t>36-43-23-c4-02505.0010</t>
  </si>
  <si>
    <t>11411-1329</t>
  </si>
  <si>
    <t>33033-3670</t>
  </si>
  <si>
    <t xml:space="preserve">15101 Cemetery Rd  Fort Myers, FL 33905 </t>
  </si>
  <si>
    <t xml:space="preserve">220 Reist Rd  Lebanon, PA 17042-9458 </t>
  </si>
  <si>
    <t>Hamilton</t>
  </si>
  <si>
    <t>Leroy &amp; Bessie Debetham</t>
  </si>
  <si>
    <t>Cape Coral Unit 34 Blk 2465 Pb 16 Pg 80 Lots 79 + 80</t>
  </si>
  <si>
    <t>11518-1308</t>
  </si>
  <si>
    <t>Sulaica Escalante</t>
  </si>
  <si>
    <t>Gravel</t>
  </si>
  <si>
    <t xml:space="preserve">2307 Rolling Hill Rd </t>
  </si>
  <si>
    <t>Pelican Bay</t>
  </si>
  <si>
    <t>33904-5080</t>
  </si>
  <si>
    <t xml:space="preserve">28095 E 91st St S </t>
  </si>
  <si>
    <t>North Andover</t>
  </si>
  <si>
    <t>31-43-24-c4-02103.0190</t>
  </si>
  <si>
    <t xml:space="preserve">2206 NE 23rd Pl  Cape Coral, FL 33909 </t>
  </si>
  <si>
    <t xml:space="preserve">Po Box 6001 #18 </t>
  </si>
  <si>
    <t>20-43-24-c1-05600.0350</t>
  </si>
  <si>
    <t>Paucar</t>
  </si>
  <si>
    <t>08817-2224</t>
  </si>
  <si>
    <t xml:space="preserve">12155 SW 27th St  Miramar, FL 33025 </t>
  </si>
  <si>
    <t>06516-6903</t>
  </si>
  <si>
    <t xml:space="preserve">10345 Nightwood Dr  Fort Myers, FL 33905 </t>
  </si>
  <si>
    <t xml:space="preserve">7946 S 7110 W  West Jordan, UT 84081-5094 </t>
  </si>
  <si>
    <t>75th</t>
  </si>
  <si>
    <t>Alvin &amp; Sharah Ramkalawan</t>
  </si>
  <si>
    <t xml:space="preserve">6009 Lindbrook Ave </t>
  </si>
  <si>
    <t xml:space="preserve">1136 Stockleybridge Dr </t>
  </si>
  <si>
    <t xml:space="preserve">10219 Butterweed Trl  Fort Myers, FL 33905 </t>
  </si>
  <si>
    <t>12-44-23-c1-02370.0360</t>
  </si>
  <si>
    <t xml:space="preserve">5521 NW 180th Ter  Miami Gardens, FL 33055-3165 </t>
  </si>
  <si>
    <t>36-43-23-c3-02500.0330</t>
  </si>
  <si>
    <t>Vonlippke</t>
  </si>
  <si>
    <t>Cypress Woods Rv Resort Un 3 Desc In Pb 72 Pgs 92-95 Blk C Lot 52</t>
  </si>
  <si>
    <t xml:space="preserve">2916 NE 1st Ave  Cape Coral, FL 33909 </t>
  </si>
  <si>
    <t>Nikola &amp; Zoraja Novakovski</t>
  </si>
  <si>
    <t>Beaulier</t>
  </si>
  <si>
    <t>Seale</t>
  </si>
  <si>
    <t xml:space="preserve">555 Eaton St F, Oceanside, CA 92054-6572 </t>
  </si>
  <si>
    <t>Schrock</t>
  </si>
  <si>
    <t>Yalico</t>
  </si>
  <si>
    <t>George &amp; Ildiko Zentai</t>
  </si>
  <si>
    <t>Sudeer</t>
  </si>
  <si>
    <t>W &amp; Teresa Jenkins Family</t>
  </si>
  <si>
    <t>Thouny</t>
  </si>
  <si>
    <t>11803-5108</t>
  </si>
  <si>
    <t xml:space="preserve">720 2nd Ave #2, Lyndhurst, NJ 07071-1221 </t>
  </si>
  <si>
    <t xml:space="preserve">121 Ridgeland Dr  Six Mile, SC 29682-9772 </t>
  </si>
  <si>
    <t>Harley</t>
  </si>
  <si>
    <t>Harrington</t>
  </si>
  <si>
    <t>Thomas &amp; Tanner Nayes</t>
  </si>
  <si>
    <t xml:space="preserve">10461 SW 210th Ter </t>
  </si>
  <si>
    <t>18-43-24-c2-05729.0580</t>
  </si>
  <si>
    <t>Marcel</t>
  </si>
  <si>
    <t>Brian Mori</t>
  </si>
  <si>
    <t>Cape Coral Unit 87 Blk 5731 Pb 24 Pg 78 Lots 42 + 43</t>
  </si>
  <si>
    <t>Lehigh Acres Unit 1 Blk 1 Pb 26 Pg 28 Lot 11</t>
  </si>
  <si>
    <t>G D G &amp; Roberta Nelson</t>
  </si>
  <si>
    <t>Blossom</t>
  </si>
  <si>
    <t>E H E &amp; Grace Hoyt</t>
  </si>
  <si>
    <t xml:space="preserve">1708 NE 6th Ave  Cape Coral, FL 33909 </t>
  </si>
  <si>
    <t>Cape Coral Unit 33 Blk 2223 Pb 16 Pg 44 Lots 9 + 10</t>
  </si>
  <si>
    <t>C048</t>
  </si>
  <si>
    <t>Roland &amp; Barbara Fackel</t>
  </si>
  <si>
    <t xml:space="preserve">1401 NE 19th Ave  Cape Coral, FL 33909 </t>
  </si>
  <si>
    <t xml:space="preserve">1404 SE 26th St  Cape Coral, FL 33904 </t>
  </si>
  <si>
    <t xml:space="preserve">2707 NE 7th Ave </t>
  </si>
  <si>
    <t>Kenneth &amp; Marion Kidd</t>
  </si>
  <si>
    <t>09-44-24-10-00000.0370</t>
  </si>
  <si>
    <t xml:space="preserve">860 NE 7th Pl  Cape Coral, FL 33909 </t>
  </si>
  <si>
    <t xml:space="preserve">451 Beach 125th St </t>
  </si>
  <si>
    <t xml:space="preserve">4406 NE 21st Ave </t>
  </si>
  <si>
    <t>Dirk Miederhoff</t>
  </si>
  <si>
    <t>33145-3630</t>
  </si>
  <si>
    <t xml:space="preserve">2005 NE 44th Ter  Cape Coral, FL 33909 </t>
  </si>
  <si>
    <t>Cape Coral Unit 85 Blk 5668 Pb 24 Pg 53 Lots 1 + 2</t>
  </si>
  <si>
    <t xml:space="preserve">2001 NE 33rd Ln  Cape Coral, FL 33909 </t>
  </si>
  <si>
    <t>01-44-23-c4-02417.0370</t>
  </si>
  <si>
    <t>19-43-24-c2-05605.0090</t>
  </si>
  <si>
    <t>33909-1234</t>
  </si>
  <si>
    <t xml:space="preserve">1317 NE 33rd Ter </t>
  </si>
  <si>
    <t>20-43-24-c3-05639.0260</t>
  </si>
  <si>
    <t>19-43-24-c4-05552.0680</t>
  </si>
  <si>
    <t xml:space="preserve">900 W Whitmer St  Central City, KY 42330-2053 </t>
  </si>
  <si>
    <t>Cape Coral Unit 34 Blk 2463 Pb 16 Pg 84 Lots 26 + 27</t>
  </si>
  <si>
    <t>Cape Coral Unit 84 Blk 5564 Pb 24 Pg 37 Lots 3 + 4</t>
  </si>
  <si>
    <t xml:space="preserve">11178 Sunburst Ln </t>
  </si>
  <si>
    <t>Bruce &amp; Robert Marshall</t>
  </si>
  <si>
    <t xml:space="preserve">8909 Southbay Dr </t>
  </si>
  <si>
    <t>Gerard Bourelly</t>
  </si>
  <si>
    <t>Lauri Altman</t>
  </si>
  <si>
    <t xml:space="preserve">1438 NE 33rd Ter  Cape Coral, FL 33909 </t>
  </si>
  <si>
    <t>Andrew Rzhepkin</t>
  </si>
  <si>
    <t xml:space="preserve">827 Maraval Ct </t>
  </si>
  <si>
    <t>Cypress Woods Rv Resort Ut 1 Pb 65 Pg 85 + 86 Blk B Lot 37</t>
  </si>
  <si>
    <t xml:space="preserve">111 John St #800 </t>
  </si>
  <si>
    <t xml:space="preserve">Auf Jagert #7 </t>
  </si>
  <si>
    <t>Albertus Sempel</t>
  </si>
  <si>
    <t>Hamden</t>
  </si>
  <si>
    <t>21921-2957</t>
  </si>
  <si>
    <t xml:space="preserve">11650 Ariana Dr </t>
  </si>
  <si>
    <t xml:space="preserve">3706 Stagg Ct  Fort Myers, FL 33905 </t>
  </si>
  <si>
    <t>Tebo</t>
  </si>
  <si>
    <t xml:space="preserve">907 Red Oak Creek Dr  Red Oak, TX 75154-3615 </t>
  </si>
  <si>
    <t xml:space="preserve">448 Lafayette St #2 </t>
  </si>
  <si>
    <t>Sunnydale</t>
  </si>
  <si>
    <t>Hulse</t>
  </si>
  <si>
    <t>32-43-24-c4-02227.0140</t>
  </si>
  <si>
    <t xml:space="preserve">4003 SE Oakhurst St #1, Hillsboro, OR 97123-8657 </t>
  </si>
  <si>
    <t>Eamon</t>
  </si>
  <si>
    <t xml:space="preserve">Obere Rodstr #11 </t>
  </si>
  <si>
    <t>61st</t>
  </si>
  <si>
    <t>31-43-24-c1-02170.0290</t>
  </si>
  <si>
    <t xml:space="preserve">3841 Knowlton St  Fort Myers, FL 33905 </t>
  </si>
  <si>
    <t>Christopher &amp; Esther Mendoza</t>
  </si>
  <si>
    <t xml:space="preserve">1725 NE 33rd Ter  Cape Coral, FL 33909 </t>
  </si>
  <si>
    <t>25-43-23-c3-02352.0070</t>
  </si>
  <si>
    <t xml:space="preserve">100 NW Jackie Ave </t>
  </si>
  <si>
    <t>02-44-25-l2-02001.0000</t>
  </si>
  <si>
    <t xml:space="preserve">31 Ronald Dr  Tewksbury, MA 01876-2923 </t>
  </si>
  <si>
    <t xml:space="preserve">1216 Hazelwood Dr  Fort Washington, PA 19034-1653 </t>
  </si>
  <si>
    <t>Pumphrey Gordon Tr</t>
  </si>
  <si>
    <t>20707-2970</t>
  </si>
  <si>
    <t>Ondrejicka</t>
  </si>
  <si>
    <t>Scotch Plains</t>
  </si>
  <si>
    <t>Lehigh Acres Unit 4 Blk 21 Pb 26 Pg 6 Lot 10</t>
  </si>
  <si>
    <t>Emily C Mercier Revocable Trust</t>
  </si>
  <si>
    <t>J Trent J &amp; Gladys Stahnke</t>
  </si>
  <si>
    <t>29-43-24-c3-02277.0030</t>
  </si>
  <si>
    <t>Lehigh Acres Unit 14 Blk 80 Pb 26 Pg 19 Lot 6</t>
  </si>
  <si>
    <t xml:space="preserve">5840 W 75th Pl </t>
  </si>
  <si>
    <t>Cape Coral Unit 33 Blk 2247 Pb 16 Pg 58 Lots 39 + 40</t>
  </si>
  <si>
    <t xml:space="preserve">5464 Cypress Trail Resort Cir  Fort Myers, FL 33905 </t>
  </si>
  <si>
    <t>Tallout</t>
  </si>
  <si>
    <t>Garwood</t>
  </si>
  <si>
    <t>Thomas Morabito</t>
  </si>
  <si>
    <t xml:space="preserve">8927 Sheldon West Dr </t>
  </si>
  <si>
    <t xml:space="preserve">70 Fairview St #1 </t>
  </si>
  <si>
    <t xml:space="preserve">15501 Cemetery Rd </t>
  </si>
  <si>
    <t xml:space="preserve">1454 Natalie Ct  North Fort Myers, FL 33903 </t>
  </si>
  <si>
    <t xml:space="preserve">6th eucalyptus St  Campus, IL 60920 </t>
  </si>
  <si>
    <t xml:space="preserve">6239 Lavery Crt  Mississauga, ON L5n 3G2 </t>
  </si>
  <si>
    <t>33027-4950</t>
  </si>
  <si>
    <t xml:space="preserve">1072 Coney Island Ave </t>
  </si>
  <si>
    <t>Buckingham Pk Re Blk B U-2 Blk 7 Pb 27 Pg 189 Lot 40</t>
  </si>
  <si>
    <t>Longmont</t>
  </si>
  <si>
    <t>Christopher &amp; Anne White</t>
  </si>
  <si>
    <t xml:space="preserve">129 NE 12th Ct </t>
  </si>
  <si>
    <t xml:space="preserve">1504 NE 35th Ter  Cape Coral, FL 33909 </t>
  </si>
  <si>
    <t xml:space="preserve">3612 NE 8th Pl  Cape Coral, FL 33909 </t>
  </si>
  <si>
    <t xml:space="preserve">204 W Lake Blvd  Mahopac, NY 10541-3164 </t>
  </si>
  <si>
    <t>For Myrna A Wheelock Trust</t>
  </si>
  <si>
    <t xml:space="preserve">916 NE 20th St  Cape Coral, FL 33909 </t>
  </si>
  <si>
    <t xml:space="preserve">3710 River Point Dr  Fort Myers, FL 33905 </t>
  </si>
  <si>
    <t xml:space="preserve">273 Beaumont St  Brooklyn, NY 11235-4120 </t>
  </si>
  <si>
    <t>Marie Beernaert</t>
  </si>
  <si>
    <t xml:space="preserve">4 Nelkenweg  Malsch Baden Wurttemberg, DE 69254 </t>
  </si>
  <si>
    <t>33-44-24-c1-01235.0070</t>
  </si>
  <si>
    <t>Alexander Paraschos</t>
  </si>
  <si>
    <t>Cypress Woods Rv Resort Desc In Inst#2006-358211 Lot 141</t>
  </si>
  <si>
    <t>Rue Antoine Breart</t>
  </si>
  <si>
    <t>Mary Guilbaud</t>
  </si>
  <si>
    <t>29-43-26-05-00091.0180</t>
  </si>
  <si>
    <t xml:space="preserve">19a Calle 161 A #30 </t>
  </si>
  <si>
    <t>Stephen &amp; Donna Brimble</t>
  </si>
  <si>
    <t xml:space="preserve">1690 W Prescott Pl  Addison, IL 60101-1863 </t>
  </si>
  <si>
    <t>33467-1957</t>
  </si>
  <si>
    <t>Leoniak</t>
  </si>
  <si>
    <t>20-43-24-c3-05672.0560</t>
  </si>
  <si>
    <t>22003-6214</t>
  </si>
  <si>
    <t>Peterborough</t>
  </si>
  <si>
    <t xml:space="preserve">6142 Higgins Ave </t>
  </si>
  <si>
    <t xml:space="preserve">86 Fairmount St  Dorchester Center, MA 02124-4604 </t>
  </si>
  <si>
    <t>Don</t>
  </si>
  <si>
    <t>Fife</t>
  </si>
  <si>
    <t>Zollo</t>
  </si>
  <si>
    <t>Blakelock</t>
  </si>
  <si>
    <t xml:space="preserve">8950 NE 8th Ave #308, Miami, FL 33138-3301 </t>
  </si>
  <si>
    <t>33326-1535</t>
  </si>
  <si>
    <t>Richard &amp; Dianne Simon</t>
  </si>
  <si>
    <t>Nghia Ly &amp; My Tran</t>
  </si>
  <si>
    <t xml:space="preserve">6267 Robins Trce  Stone Mountain, GA 30087-6537 </t>
  </si>
  <si>
    <t>01-44-23-c3-02465.0790</t>
  </si>
  <si>
    <t>31-43-24-c1-02147.0310</t>
  </si>
  <si>
    <t>19-43-26-02-00029.085d</t>
  </si>
  <si>
    <t>06-46-24-18-00y00.0250</t>
  </si>
  <si>
    <t>Dinah</t>
  </si>
  <si>
    <t xml:space="preserve">1806 NE 11th Ln </t>
  </si>
  <si>
    <t xml:space="preserve">34 Bd De Charonne </t>
  </si>
  <si>
    <t>07726-3143</t>
  </si>
  <si>
    <t xml:space="preserve">1528 38th St #1, North Bergen, NJ 07047-2521 </t>
  </si>
  <si>
    <t>Hillsboro</t>
  </si>
  <si>
    <t>29-43-24-c4-02286.0190</t>
  </si>
  <si>
    <t>36-43-23-c3-02496.0170</t>
  </si>
  <si>
    <t>Cape Coral Unit 36 Blk 2300B Pb 16 Pg 122 Lots 20 Thru 22</t>
  </si>
  <si>
    <t>Cape Coral Unit 84 Blk 5559 Pb 24 Pg 33 Lot 12</t>
  </si>
  <si>
    <t>27613-7406</t>
  </si>
  <si>
    <t>11369-1614</t>
  </si>
  <si>
    <t>Pogu</t>
  </si>
  <si>
    <t xml:space="preserve">11048 Stardust Dr </t>
  </si>
  <si>
    <t>Mavros</t>
  </si>
  <si>
    <t xml:space="preserve">1216 NE 12th St </t>
  </si>
  <si>
    <t>36-43-23-c2-02173.0620</t>
  </si>
  <si>
    <t xml:space="preserve">8 Muenchner St  Voehringen, DE 89269 </t>
  </si>
  <si>
    <t>Cape Coral Unit 36 Blk 2533 Pb 16 Pg 117 Lots 41 + 42</t>
  </si>
  <si>
    <t>34-43-25-09-00000.0780</t>
  </si>
  <si>
    <t>Sky Lake</t>
  </si>
  <si>
    <t>Cape Coral Unit 87 Blk 5703 Pb 24 Pg 72 Lots 23 + 24</t>
  </si>
  <si>
    <t xml:space="preserve">2118 NE 5th Ave </t>
  </si>
  <si>
    <t>36-43-23-c4-02511.0090</t>
  </si>
  <si>
    <t>Cape Coral Unit 87 Blk 5730 Pb 24 Pg 85 Lots 5 + 6</t>
  </si>
  <si>
    <t xml:space="preserve">63 Castle Mountain Rd </t>
  </si>
  <si>
    <t xml:space="preserve">2050 NE 20th Ln  Cape Coral, FL 33909 </t>
  </si>
  <si>
    <t>18-43-24-c1-05692.0770</t>
  </si>
  <si>
    <t>Cape Coral Unit 4 Pt 2 Blk 141 Pb 12 Pg 15 Lots 54 + 55 + S/W Ext Desc In Or 965 Pg 495 Ex B</t>
  </si>
  <si>
    <t>33860-5521</t>
  </si>
  <si>
    <t xml:space="preserve">3429 Monninger Dr  Indianapolis, IN 46224-1630 </t>
  </si>
  <si>
    <t>Dasilva Jose &amp; Linda Tr</t>
  </si>
  <si>
    <t xml:space="preserve">10381 Nightwood Dr  Fort Myers, FL 33905 </t>
  </si>
  <si>
    <t xml:space="preserve">3618 NE 18th Ave </t>
  </si>
  <si>
    <t>33909-6245</t>
  </si>
  <si>
    <t xml:space="preserve">3132 NE 15th Pl  Cape Coral, FL 33909 </t>
  </si>
  <si>
    <t>09-44-25-00-00021.0160</t>
  </si>
  <si>
    <t>29-43-24-c4-02285.0140</t>
  </si>
  <si>
    <t>24211-7209</t>
  </si>
  <si>
    <t xml:space="preserve">152 Lapis Ct  Warrenton, VA 20186-4355 </t>
  </si>
  <si>
    <t xml:space="preserve">331 NE 25th St  Cape Coral, FL 33909 </t>
  </si>
  <si>
    <t>Oscar &amp; Janet Isla</t>
  </si>
  <si>
    <t xml:space="preserve">2108 NE 27th Ter </t>
  </si>
  <si>
    <t xml:space="preserve">55 Woodbury St </t>
  </si>
  <si>
    <t>Tidewater</t>
  </si>
  <si>
    <t>Cape Coral Unit 85 Blk 5647 Pb 24 Pg 55 Lot 29</t>
  </si>
  <si>
    <t>Diane Garrett</t>
  </si>
  <si>
    <t>Kim Y &amp; Raymond W Cook Trust</t>
  </si>
  <si>
    <t>18-43-24-c1-05687.0250</t>
  </si>
  <si>
    <t>David Cruz &amp; Virginia Rosario</t>
  </si>
  <si>
    <t xml:space="preserve">1115 NE 18th Ave </t>
  </si>
  <si>
    <t>Richmond</t>
  </si>
  <si>
    <t>Shing &amp; May Chan</t>
  </si>
  <si>
    <t>18-43-24-c3-05713.0170</t>
  </si>
  <si>
    <t>Mary</t>
  </si>
  <si>
    <t xml:space="preserve">47 Agatha Dr  Edison, NJ 08817-2224 </t>
  </si>
  <si>
    <t xml:space="preserve">1109 NE 2nd Ave  Cape Coral, FL 33909 </t>
  </si>
  <si>
    <t>Pine Manor Unit 2 Blk 12 Pb 10 Pg 40 Lot 18</t>
  </si>
  <si>
    <t>Darby Chase</t>
  </si>
  <si>
    <t>Ettore</t>
  </si>
  <si>
    <t>Anchorage</t>
  </si>
  <si>
    <t>Blakeman</t>
  </si>
  <si>
    <t>Delia Galban</t>
  </si>
  <si>
    <t>Black Hill</t>
  </si>
  <si>
    <t>Cypress Trail Rv Resort Ph 3 As Desc In Inst# 2015000085552 Lot 230</t>
  </si>
  <si>
    <t>Carol Brazeau</t>
  </si>
  <si>
    <t>19-43-24-c2-05593.0540</t>
  </si>
  <si>
    <t>20-43-24-c3-05637.0170</t>
  </si>
  <si>
    <t>Youssef</t>
  </si>
  <si>
    <t>Cape Coral Unit 36 Blk 2543 Pb 16 Pg 118 Lots 31 + 32</t>
  </si>
  <si>
    <t xml:space="preserve">1525 NE 18th Pl </t>
  </si>
  <si>
    <t>Denney</t>
  </si>
  <si>
    <t xml:space="preserve">1323 NE 33rd Ln  Cape Coral, FL 33909 </t>
  </si>
  <si>
    <t xml:space="preserve">5 Chaminade </t>
  </si>
  <si>
    <t>33909-1283</t>
  </si>
  <si>
    <t xml:space="preserve">6139 Holt Ct  Fort Myers, FL 33905 </t>
  </si>
  <si>
    <t>Cape Coral Unit 33 Blk 2287 Pb 16 Pg 58 Lots 27 + 28</t>
  </si>
  <si>
    <t>Chaminade</t>
  </si>
  <si>
    <t>PO Box 181</t>
  </si>
  <si>
    <t xml:space="preserve">21 Rue Chasselas  Ellijay, GA 30540 </t>
  </si>
  <si>
    <t>L6Y 6J7</t>
  </si>
  <si>
    <t>Glover</t>
  </si>
  <si>
    <t xml:space="preserve">1138 Durden Pkwy </t>
  </si>
  <si>
    <t>Ender</t>
  </si>
  <si>
    <t xml:space="preserve">10349 Prairie Iris Dr </t>
  </si>
  <si>
    <t xml:space="preserve">459 NE 5th Ave  Cape Coral, FL 33909 </t>
  </si>
  <si>
    <t xml:space="preserve">214 Jacaranda Pkwy E  Cape Coral, FL 33909 </t>
  </si>
  <si>
    <t>Maitland</t>
  </si>
  <si>
    <t xml:space="preserve">90 W 61st St </t>
  </si>
  <si>
    <t xml:space="preserve">10331 Fire Flag Trl </t>
  </si>
  <si>
    <t>19-43-24-c2-05588.0020</t>
  </si>
  <si>
    <t xml:space="preserve">Oberschneit  Hagenbuch, CH 00000 </t>
  </si>
  <si>
    <t>11209-7224</t>
  </si>
  <si>
    <t xml:space="preserve">3213 NE 13th Ave </t>
  </si>
  <si>
    <t>Carol B Taute Family Trust</t>
  </si>
  <si>
    <t xml:space="preserve">12110 Cypress Dr  Fort Myers, FL 33908 </t>
  </si>
  <si>
    <t>92131-1268</t>
  </si>
  <si>
    <t>03-44-26-13-00073.0020</t>
  </si>
  <si>
    <t>Seong</t>
  </si>
  <si>
    <t>Lima</t>
  </si>
  <si>
    <t>01-44-23-c4-02466.0530</t>
  </si>
  <si>
    <t xml:space="preserve">55 Woodbury St  New Rochelle, NY 10805-1512 </t>
  </si>
  <si>
    <t>Raro</t>
  </si>
  <si>
    <t>23322-9173</t>
  </si>
  <si>
    <t xml:space="preserve">6105 Higgins Ave  Fort Myers, FL 33905 </t>
  </si>
  <si>
    <t xml:space="preserve">2010 Durden Pkwy  Cape Coral, FL 33909 </t>
  </si>
  <si>
    <t xml:space="preserve">9115 SW 28th St  Miami, FL 33165-3216 </t>
  </si>
  <si>
    <t>Shoemaker</t>
  </si>
  <si>
    <t>18-43-24-c1-05688.0050</t>
  </si>
  <si>
    <t>Lehigh Acres Unit 11 Blk 58 Pb 26 Pg 14 Lot 12</t>
  </si>
  <si>
    <t xml:space="preserve">90 Wonham St </t>
  </si>
  <si>
    <t xml:space="preserve">19681 Summerlin Rd #51, Fort Myers, FL 33908 </t>
  </si>
  <si>
    <t xml:space="preserve">Villa Real  Vega Baja, PR 00693 </t>
  </si>
  <si>
    <t>Paddington</t>
  </si>
  <si>
    <t xml:space="preserve">1704 NE 7th Ave  Cape Coral, FL 33909 </t>
  </si>
  <si>
    <t># 40</t>
  </si>
  <si>
    <t>Donna Stanbury</t>
  </si>
  <si>
    <t>12-44-23-c2-02395.0130</t>
  </si>
  <si>
    <t>Jill Cummins</t>
  </si>
  <si>
    <t>01-44-23-c1-02448.0030</t>
  </si>
  <si>
    <t>60630-3225</t>
  </si>
  <si>
    <t>Clifton</t>
  </si>
  <si>
    <t>33021-6032</t>
  </si>
  <si>
    <t>Cape Coral Unit 31 Blk 2061 Pb 14 Pg 159 Lots 19 + 20</t>
  </si>
  <si>
    <t>Diane Dufresne &amp; Christine Heiser</t>
  </si>
  <si>
    <t xml:space="preserve">4410 SE 20th Ave  Cape Coral, FL 33904 </t>
  </si>
  <si>
    <t>Cape Coral Unit 33 Blk.2236 Pb 16 Pg 48 Lots 57 + 58</t>
  </si>
  <si>
    <t>Berrien</t>
  </si>
  <si>
    <t xml:space="preserve">304 Ernest Ct </t>
  </si>
  <si>
    <t>Cape Coral Unit 61 Blk 4294 Pb 21 Pg 10 Lots 5 + 6</t>
  </si>
  <si>
    <t>Estevez</t>
  </si>
  <si>
    <t>Cape Coral Unit 36 Blk 2355 Pb 16 Pg 120 Lots 62 + 63</t>
  </si>
  <si>
    <t>Cape Coral Unit 84 Blk 5600 Pb 24 Pg 43 Lots 29 + 30</t>
  </si>
  <si>
    <t xml:space="preserve">3412 NE 21st Pl  Cape Coral, FL 33909 </t>
  </si>
  <si>
    <t>Stephen Dachino</t>
  </si>
  <si>
    <t xml:space="preserve">2531 NE 6th Pl  Cape Coral, FL 33909 </t>
  </si>
  <si>
    <t>06-44-24-c3-02042.0400</t>
  </si>
  <si>
    <t>Sigrid Balks</t>
  </si>
  <si>
    <t>Bushi</t>
  </si>
  <si>
    <t xml:space="preserve">46 Marrett Rd  Lexington, MA 02421-5704 </t>
  </si>
  <si>
    <t>Cypress Trail Rv Resort Ph 4-B As Desc In Inst# 2017000057565 Lot 351</t>
  </si>
  <si>
    <t>18-43-24-c1-05694.0370</t>
  </si>
  <si>
    <t>Candler</t>
  </si>
  <si>
    <t>Sharp</t>
  </si>
  <si>
    <t xml:space="preserve">2220 NE 36th St  Cape Coral, FL 33909 </t>
  </si>
  <si>
    <t xml:space="preserve">36 Booth Meadow Ct  Northampton, GB 00000 </t>
  </si>
  <si>
    <t xml:space="preserve">1330 NE 37th St  Cape Coral, FL 33909 </t>
  </si>
  <si>
    <t xml:space="preserve">1924 NE 19th Ave </t>
  </si>
  <si>
    <t xml:space="preserve">9204 SE 177th simons Ln  the Villages, FL 32162 </t>
  </si>
  <si>
    <t>Lone Oak</t>
  </si>
  <si>
    <t>Chicca</t>
  </si>
  <si>
    <t>Stamos</t>
  </si>
  <si>
    <t>25-43-23-c3-02337.0010</t>
  </si>
  <si>
    <t>Xi Lin</t>
  </si>
  <si>
    <t>George &amp; Betty Lam</t>
  </si>
  <si>
    <t>Ware</t>
  </si>
  <si>
    <t>32-43-24-c2-02235.0490</t>
  </si>
  <si>
    <t xml:space="preserve">1305 NE 2nd Ave </t>
  </si>
  <si>
    <t>the Nw 1/4 Of Nw 1/4 Of Se 1/4 Of Ne 1/4</t>
  </si>
  <si>
    <t>Colorado Springs</t>
  </si>
  <si>
    <t xml:space="preserve">1809 SW Stonecrest Dr </t>
  </si>
  <si>
    <t>John &amp; John Busch</t>
  </si>
  <si>
    <t>N7s 0</t>
  </si>
  <si>
    <t>Cape Coral Unit 36 Blk 2323 Pb 16 Pg 123 Lots 47 + 48</t>
  </si>
  <si>
    <t>Cape Coral Unit 32 Blk.2142 Pb 16 Pg 6 Lots 5 + 6</t>
  </si>
  <si>
    <t>C621</t>
  </si>
  <si>
    <t xml:space="preserve">4237 NE 23rd Pl </t>
  </si>
  <si>
    <t>David &amp; For Doyle</t>
  </si>
  <si>
    <t xml:space="preserve">2441 NW 93rd Ln  Sunrise, FL 33322-3269 </t>
  </si>
  <si>
    <t>Pittsboro</t>
  </si>
  <si>
    <t>Cape Coral Unit 36 Blk 2310 Pb 16 Pg 123 Lots 23 + 24</t>
  </si>
  <si>
    <t xml:space="preserve">H Consciencestraat 75  Sint Pieters Leeuw, BE </t>
  </si>
  <si>
    <t xml:space="preserve">5256 Stonehedge Blvd #7 </t>
  </si>
  <si>
    <t>11-44-25-06-0000d.1130</t>
  </si>
  <si>
    <t>28411-6873</t>
  </si>
  <si>
    <t>Platanenweg</t>
  </si>
  <si>
    <t>Orly Wides</t>
  </si>
  <si>
    <t xml:space="preserve">7 Holman Heights Cir </t>
  </si>
  <si>
    <t>Joel Vanwert</t>
  </si>
  <si>
    <t xml:space="preserve">2028 NE 7th Ave </t>
  </si>
  <si>
    <t xml:space="preserve">48065 Basswood Ct  Plymouth, MI 48170-3301 </t>
  </si>
  <si>
    <t>34-43-24-01-00019.0130</t>
  </si>
  <si>
    <t>Golden Gate</t>
  </si>
  <si>
    <t>01-45-23-c1-00417.0360</t>
  </si>
  <si>
    <t>Fiorbello Mersilio</t>
  </si>
  <si>
    <t>33909-3425</t>
  </si>
  <si>
    <t xml:space="preserve">432 NE 9th St </t>
  </si>
  <si>
    <t>Schultz</t>
  </si>
  <si>
    <t>32-43-24-c2-02234.0440</t>
  </si>
  <si>
    <t xml:space="preserve">3814 W Gator Cir  Cape Coral, FL 33909 </t>
  </si>
  <si>
    <t>Starlight</t>
  </si>
  <si>
    <t xml:space="preserve">19621 N Tamiami Trl #19 </t>
  </si>
  <si>
    <t>Cape Coral Unit 87 Blk 5729 Pb 24 Pg 86 Lots 33 + 34</t>
  </si>
  <si>
    <t xml:space="preserve">3758 NE 16th Ave  Cape Coral, FL 33909 </t>
  </si>
  <si>
    <t>Jacson Moscoso</t>
  </si>
  <si>
    <t xml:space="preserve">2408 Parkview Dr </t>
  </si>
  <si>
    <t xml:space="preserve">11416 E 13 mile Rd  Warren, MI 48093-2566 </t>
  </si>
  <si>
    <t>33955-2270</t>
  </si>
  <si>
    <t>Ricky &amp; Joan Norman</t>
  </si>
  <si>
    <t>Cape Coral Unit 35 Blk 2362 Pb 16 Pg 105 Lots 3 + 4</t>
  </si>
  <si>
    <t xml:space="preserve">13516 Torrey Way  Fort Myers, FL 33905 </t>
  </si>
  <si>
    <t>Cape Coral Unit 85 Blk 5666 Pb 24 Pg 53 Lots 69 + 70</t>
  </si>
  <si>
    <t xml:space="preserve">2700 W Glendale Ave </t>
  </si>
  <si>
    <t xml:space="preserve">300 Falmouth Rd 14a </t>
  </si>
  <si>
    <t xml:space="preserve">1705 NE 1st Pl  Cape Coral, FL 33909 </t>
  </si>
  <si>
    <t xml:space="preserve">15481 Road 5 SE  Moses Lake, WA 98837-9475 </t>
  </si>
  <si>
    <t xml:space="preserve">21 Gunderhauser St  Reinheim, DE 64354 </t>
  </si>
  <si>
    <t>20-43-24-c3-05671.0270</t>
  </si>
  <si>
    <t>Mauline</t>
  </si>
  <si>
    <t>South Hempstead</t>
  </si>
  <si>
    <t>Mccormack</t>
  </si>
  <si>
    <t>Matthew &amp; Lizanne Brown</t>
  </si>
  <si>
    <t xml:space="preserve">21380 SW 240th St </t>
  </si>
  <si>
    <t>28714-7279</t>
  </si>
  <si>
    <t xml:space="preserve">759 W County Road 125 S </t>
  </si>
  <si>
    <t>Cypress Trail Rv Resort Phase 2-A As Desc In Inst# 2014000026506 Lot 186</t>
  </si>
  <si>
    <t xml:space="preserve">1403 NE 44th St  Cape Coral, FL 33909 </t>
  </si>
  <si>
    <t xml:space="preserve">1719 Plunkett St  Hollywood, FL 33020-6445 </t>
  </si>
  <si>
    <t xml:space="preserve">315 Tropicana Pkwy E  Cape Coral, FL 33909 </t>
  </si>
  <si>
    <t xml:space="preserve">3635 NE 9th Ave </t>
  </si>
  <si>
    <t xml:space="preserve">2020 NE 35th St </t>
  </si>
  <si>
    <t xml:space="preserve">1500 Pine St #15, Concord, CA 94520-3438 </t>
  </si>
  <si>
    <t xml:space="preserve">4 Rue Port De Careme </t>
  </si>
  <si>
    <t xml:space="preserve">121 NE 19th Ave </t>
  </si>
  <si>
    <t xml:space="preserve">3513 W Gator Cir </t>
  </si>
  <si>
    <t>18-43-24-c3-05749.0610</t>
  </si>
  <si>
    <t xml:space="preserve">2048 NE 34th Ln  Cape Coral, FL 33909 </t>
  </si>
  <si>
    <t>Thai</t>
  </si>
  <si>
    <t>36-43-23-c4-02489.0470</t>
  </si>
  <si>
    <t>YEAR BUILT</t>
  </si>
  <si>
    <t>Kingdom Trust Company</t>
  </si>
  <si>
    <t xml:space="preserve">8 Hohenstrabe #1  Eisingen, DE 75239 </t>
  </si>
  <si>
    <t>Cape Coral Unit 34 Blk.2423 Pb 16 Pg 76 Lots 9 + 10</t>
  </si>
  <si>
    <t xml:space="preserve">8690 Lake George Cir E </t>
  </si>
  <si>
    <t>Paul &amp; Jane Antola</t>
  </si>
  <si>
    <t xml:space="preserve">1287 Matias Crt </t>
  </si>
  <si>
    <t>Marcella Huff</t>
  </si>
  <si>
    <t xml:space="preserve">3740 NE 14th Ave </t>
  </si>
  <si>
    <t xml:space="preserve">540 NE 113th St </t>
  </si>
  <si>
    <t>Bellardo</t>
  </si>
  <si>
    <t>36-43-23-c2-02536.0340</t>
  </si>
  <si>
    <t>Grand Central</t>
  </si>
  <si>
    <t>Carpinello</t>
  </si>
  <si>
    <t xml:space="preserve">2002 NE 23rd Pl </t>
  </si>
  <si>
    <t xml:space="preserve">205 Chatham Ct  Ambler, PA 19002-2866 </t>
  </si>
  <si>
    <t>25-43-23-c2-02333.0130</t>
  </si>
  <si>
    <t>Fr Se Cor Of Ne 1/4 Run W 220 Ft Th Turn R 90 Deg + Run 115 Ft To Pob Cont N</t>
  </si>
  <si>
    <t>32-43-24-c2-02235.0240</t>
  </si>
  <si>
    <t xml:space="preserve">1511 NE 17th Ter  Cape Coral, FL 33909 </t>
  </si>
  <si>
    <t xml:space="preserve">427 NE 31st Ter  Cape Coral, FL 33909 </t>
  </si>
  <si>
    <t>Veronika Masser</t>
  </si>
  <si>
    <t>Karen Szymanski &amp; Lisa Licata</t>
  </si>
  <si>
    <t>Kurish</t>
  </si>
  <si>
    <t>Larry &amp; Mary Robson</t>
  </si>
  <si>
    <t>Cape Coral Unit 26 Blk.882 Pb 14 Pg 126 Lots 28 + 29</t>
  </si>
  <si>
    <t>33028-2810</t>
  </si>
  <si>
    <t>For Elise M Dunn Trust</t>
  </si>
  <si>
    <t>33909-2594</t>
  </si>
  <si>
    <t xml:space="preserve">3720 Tareco St </t>
  </si>
  <si>
    <t xml:space="preserve">5186 Cypress Trail Resort Cir </t>
  </si>
  <si>
    <t xml:space="preserve">4580 Broadway 1u, New York, NY 10040-2108 </t>
  </si>
  <si>
    <t>12-44-23-c1-02409.0370</t>
  </si>
  <si>
    <t>15001-4852</t>
  </si>
  <si>
    <t>K P K &amp; Christine Kuzmitski</t>
  </si>
  <si>
    <t>Cape Coral Unit 36 Blk 2301 Pb 16 Pg 122 Lots 5 + 6</t>
  </si>
  <si>
    <t>Oriyavong</t>
  </si>
  <si>
    <t>Dennis &amp; Mary Grieco</t>
  </si>
  <si>
    <t xml:space="preserve">28 Seabreeze Dr  Buzzards Bay, MA 02532-4120 </t>
  </si>
  <si>
    <t xml:space="preserve">1947 SE 32nd Ter </t>
  </si>
  <si>
    <t xml:space="preserve">1326 NE 13th Ave </t>
  </si>
  <si>
    <t>Byp</t>
  </si>
  <si>
    <t>Franck Maudier &amp; Maxance Maudier-Isetti</t>
  </si>
  <si>
    <t>12-44-23-c2-02393.0040</t>
  </si>
  <si>
    <t>Campton Hills</t>
  </si>
  <si>
    <t xml:space="preserve">721 E 43rd St  Hialeah, FL 33013-2360 </t>
  </si>
  <si>
    <t>Carmel</t>
  </si>
  <si>
    <t>John &amp; Joanne Schmidt</t>
  </si>
  <si>
    <t>Leonilda</t>
  </si>
  <si>
    <t>30022-5115</t>
  </si>
  <si>
    <t>Minneapolis</t>
  </si>
  <si>
    <t>33909-6333</t>
  </si>
  <si>
    <t xml:space="preserve">239 Springmount Pl  Kitchener, ON N2a 3V4 </t>
  </si>
  <si>
    <t>Devoe</t>
  </si>
  <si>
    <t>Frank &amp; Paul Wrisley</t>
  </si>
  <si>
    <t xml:space="preserve">2809 NE 6th Ave  Cape Coral, FL 33909 </t>
  </si>
  <si>
    <t xml:space="preserve">7140 Danny Dr </t>
  </si>
  <si>
    <t xml:space="preserve">8805 Tamiami Trl N #117, Naples, FL 34108-2525 </t>
  </si>
  <si>
    <t xml:space="preserve">2265 E Sahuaro Dr  Phoenix, AZ 85028-3128 </t>
  </si>
  <si>
    <t xml:space="preserve">5427/5429 Eleventh Ave  Fort Myers, FL 33907 </t>
  </si>
  <si>
    <t>Ralph Payson</t>
  </si>
  <si>
    <t xml:space="preserve">27 S Bedford St  Burlington, MA 01803-4512 </t>
  </si>
  <si>
    <t>Sylvan</t>
  </si>
  <si>
    <t>33909-3278</t>
  </si>
  <si>
    <t>Adam Houtman</t>
  </si>
  <si>
    <t>Peck</t>
  </si>
  <si>
    <t xml:space="preserve">2122 NE 23rd Ave </t>
  </si>
  <si>
    <t>Lanes Riverview Pb 1 Pg 39 Lot Pt 2 Or 571 Pg 432</t>
  </si>
  <si>
    <t xml:space="preserve">727 Alwyne Rd  Carmel, IN 46032-1831 </t>
  </si>
  <si>
    <t>48047-6406</t>
  </si>
  <si>
    <t xml:space="preserve">12716 Headwater Cir  Wellington, FL 33414-4910 </t>
  </si>
  <si>
    <t>North Richland Hills</t>
  </si>
  <si>
    <t xml:space="preserve">2922 Pulaski Hwy </t>
  </si>
  <si>
    <t>Cape Coral Unit 34 Blk 2463 Pb 16 Pg 84 Lots 24 + 25</t>
  </si>
  <si>
    <t xml:space="preserve">1910 NE 6th St </t>
  </si>
  <si>
    <t>11-44-25-08-00000.4640</t>
  </si>
  <si>
    <t>Jennifer &amp; Shawn Barratt</t>
  </si>
  <si>
    <t xml:space="preserve">29 Hitching Post Dr </t>
  </si>
  <si>
    <t>Ft Myers Shores Unit 2 Blk 19 Pb 10 Pg 7 Lots 39 + 40</t>
  </si>
  <si>
    <t>Cape Coral Unit 84 Blk 5611 Pb 24 Pg 35 Lots 7 + 8</t>
  </si>
  <si>
    <t>Cape Coral Unit 88 Blk 5775 Pb 24 Pg 134 Lots 12 + 13</t>
  </si>
  <si>
    <t xml:space="preserve">3635 Andalusia Blvd </t>
  </si>
  <si>
    <t>Cedar Rapids</t>
  </si>
  <si>
    <t>Cape Coral Unit 17 Blk.1535 Pb 14 Pg 31 Lots 67 + 68</t>
  </si>
  <si>
    <t xml:space="preserve">6031 Tabor Ave </t>
  </si>
  <si>
    <t>32-43-24-c1-02231.0360</t>
  </si>
  <si>
    <t>Brewerton</t>
  </si>
  <si>
    <t>Vaught</t>
  </si>
  <si>
    <t xml:space="preserve">1607 Harbor Pointe Pkwy </t>
  </si>
  <si>
    <t>Naresh Boodhoo</t>
  </si>
  <si>
    <t>Tri-Dung</t>
  </si>
  <si>
    <t xml:space="preserve">1810 SW 5th Ave 2a, Miami, FL 33129-1008 </t>
  </si>
  <si>
    <t>Cape Coral Unit 32 Blk.2116 Pb 16 Pg 4 Lots 35 + 36</t>
  </si>
  <si>
    <t>Cape Coral Unit 88 Blk 5797 Pb 24 Pg 131 Lots 63 + 64</t>
  </si>
  <si>
    <t>31009-3144</t>
  </si>
  <si>
    <t>Drexel Hill</t>
  </si>
  <si>
    <t>06-44-24-c4-02052.0110</t>
  </si>
  <si>
    <t xml:space="preserve">7355 SW 37th St </t>
  </si>
  <si>
    <t>33325-5126</t>
  </si>
  <si>
    <t>Mr Pherai-Bogeajis</t>
  </si>
  <si>
    <t xml:space="preserve">418 Kismet Pkwy E </t>
  </si>
  <si>
    <t>Joseph Close &amp; Alys Clevenger</t>
  </si>
  <si>
    <t>Sieloff</t>
  </si>
  <si>
    <t xml:space="preserve">1040 Enola Rd </t>
  </si>
  <si>
    <t xml:space="preserve">406 NE 26th St  Cape Coral, FL 33909 </t>
  </si>
  <si>
    <t xml:space="preserve">309 Kismet Pkwy E </t>
  </si>
  <si>
    <t xml:space="preserve">5500 Harborage Dr </t>
  </si>
  <si>
    <t>33331-3707</t>
  </si>
  <si>
    <t>Fredericksburg</t>
  </si>
  <si>
    <t xml:space="preserve">13311 Indiana Ct </t>
  </si>
  <si>
    <t xml:space="preserve">556 Clark St </t>
  </si>
  <si>
    <t>Newburg</t>
  </si>
  <si>
    <t xml:space="preserve">307 NE 7th St  Cape Coral, FL 33909 </t>
  </si>
  <si>
    <t xml:space="preserve">11835 Cannon Rd  Orland Park, IL 60467-1097 </t>
  </si>
  <si>
    <t>Jean</t>
  </si>
  <si>
    <t xml:space="preserve">3464 NE 9th Pl  Cape Coral, FL 33909 </t>
  </si>
  <si>
    <t>Denise</t>
  </si>
  <si>
    <t>Cape Coral Unit 36 Blk 2299 Pb 16 Pg 122 Lots 17 + 18</t>
  </si>
  <si>
    <t>Biltz</t>
  </si>
  <si>
    <t xml:space="preserve">1801 SW 139th Ave  Miami, FL 33175-7548 </t>
  </si>
  <si>
    <t>Mt Pleasant</t>
  </si>
  <si>
    <t xml:space="preserve">1703 N Gator Cir  Cape Coral, FL 33909 </t>
  </si>
  <si>
    <t>Miramar</t>
  </si>
  <si>
    <t>Nancy Walent</t>
  </si>
  <si>
    <t>32-45-24-00-00021.004a</t>
  </si>
  <si>
    <t xml:space="preserve">1226 NE 40th Ter </t>
  </si>
  <si>
    <t>20-43-24-c1-05645.0270</t>
  </si>
  <si>
    <t>32-43-24-c2-02231.0300</t>
  </si>
  <si>
    <t>07-44-24-c4-03592.0550</t>
  </si>
  <si>
    <t xml:space="preserve">13650 SW 23rd Ter </t>
  </si>
  <si>
    <t xml:space="preserve">5198 Cypress Trail Resort Cir </t>
  </si>
  <si>
    <t>61944-6459</t>
  </si>
  <si>
    <t>33909-4447</t>
  </si>
  <si>
    <t>For Gloria D Martin Trust</t>
  </si>
  <si>
    <t>Sutter</t>
  </si>
  <si>
    <t xml:space="preserve">2707 NE Juanita Pl </t>
  </si>
  <si>
    <t>Campbell</t>
  </si>
  <si>
    <t>33165-6649</t>
  </si>
  <si>
    <t>Cape Coral Unit 36 Pt 1 Blk 2503 Pb 23 Pg 93 Lots 29 + 30</t>
  </si>
  <si>
    <t>Helen Mayo &amp; Eleanor Morell</t>
  </si>
  <si>
    <t>33904-3249</t>
  </si>
  <si>
    <t>25-43-23-c1-02300.a520</t>
  </si>
  <si>
    <t xml:space="preserve">5497 9th Line </t>
  </si>
  <si>
    <t>11-44-25-04-0000b.0340</t>
  </si>
  <si>
    <t xml:space="preserve">PO Box 312  Sandwich, IL 60548 </t>
  </si>
  <si>
    <t>Decourt</t>
  </si>
  <si>
    <t>Cape Coral Unit 88 Blk 5776 Pb 24 Pg 134 Lots 35 + 36</t>
  </si>
  <si>
    <t xml:space="preserve">1403 Waring Ave  Bronx, NY 10469-5723 </t>
  </si>
  <si>
    <t xml:space="preserve">3714 NE 13th Ave </t>
  </si>
  <si>
    <t xml:space="preserve">6613 S Kostner Ave </t>
  </si>
  <si>
    <t>32159-9003</t>
  </si>
  <si>
    <t>19-43-24-c2-05605.0630</t>
  </si>
  <si>
    <t xml:space="preserve">314 NE 23rd Ter  Cape Coral, FL 33909 </t>
  </si>
  <si>
    <t xml:space="preserve">5229 Pineland Daisy Trl  Fort Myers, FL 33905 </t>
  </si>
  <si>
    <t>Beatriz Morejon</t>
  </si>
  <si>
    <t xml:space="preserve">797 Heritage Rd </t>
  </si>
  <si>
    <t>Zalasar</t>
  </si>
  <si>
    <t>Dunad</t>
  </si>
  <si>
    <t xml:space="preserve">1130 NE 39th Ter </t>
  </si>
  <si>
    <t>Florin &amp; Lucia Lupse</t>
  </si>
  <si>
    <t xml:space="preserve">391 N Salem Rd </t>
  </si>
  <si>
    <t>Chemin Des Barger</t>
  </si>
  <si>
    <t>Ramsawak</t>
  </si>
  <si>
    <t xml:space="preserve">425 Leisure Dr  Ridge, NY 11961-1656 </t>
  </si>
  <si>
    <t>34957-3562</t>
  </si>
  <si>
    <t>Cape Coral Unit 32 Blk 2110 Pb 16 Pg 2 Lots 3 Thru 5</t>
  </si>
  <si>
    <t>Michael &amp; Anna Rosa</t>
  </si>
  <si>
    <t>Palma Del Mar</t>
  </si>
  <si>
    <t>15-44-26-01-00018.0140</t>
  </si>
  <si>
    <t>33905-6104</t>
  </si>
  <si>
    <t xml:space="preserve">310 NE 29th Ter  Cape Coral, FL 33909 </t>
  </si>
  <si>
    <t>Lehigh Acres W Pt Ut 12 Blk 61 Pb 26 Pg 16 Lot 8</t>
  </si>
  <si>
    <t>Lubomir Brejcha</t>
  </si>
  <si>
    <t xml:space="preserve">801 SE 33rd St  Cape Coral, FL 33904 </t>
  </si>
  <si>
    <t xml:space="preserve">1113 NE 36th Ter </t>
  </si>
  <si>
    <t>Capitol Heights</t>
  </si>
  <si>
    <t>Lehigh Acres Unit 6 Blk 28 Pb 26 Pg 8 Lot 10</t>
  </si>
  <si>
    <t>Cape Coral Unit 34 Blk 2441 Pb 16 Pg 81 Lots 9 + 10</t>
  </si>
  <si>
    <t>Cypress Woods Rv Resort Unit 4 Pb 79 Pgs 68-71 Blk D Lot 27</t>
  </si>
  <si>
    <t xml:space="preserve">10021 Willowood Dr  Fort Myers, FL 33905 </t>
  </si>
  <si>
    <t xml:space="preserve">8351 Buckingham Rd  Fort Myers, FL 33905 </t>
  </si>
  <si>
    <t xml:space="preserve">PO Box 157  Troy, NY 12181 </t>
  </si>
  <si>
    <t xml:space="preserve">507 N Calhoun St  Lapeer, MI 48446-2011 </t>
  </si>
  <si>
    <t>33909-3224</t>
  </si>
  <si>
    <t>Cypress Trail Rv Resort Phase 4-C Block A Lot 119 As Desc In Inst 2019000042424</t>
  </si>
  <si>
    <t xml:space="preserve">376 Tremont Cir  Valparaiso, IN 46385-8061 </t>
  </si>
  <si>
    <t xml:space="preserve">4234 Connection Ave </t>
  </si>
  <si>
    <t xml:space="preserve">7410 Oak Brook Dr  Urbandale, IA 50322-4153 </t>
  </si>
  <si>
    <t>Malvin &amp; Aubrey Vilella</t>
  </si>
  <si>
    <t>Cape Coral Unit 34 Blk 2454 Pb 16 Pg 86 Lots 11 + 12</t>
  </si>
  <si>
    <t>12-44-23-c2-02379.0030</t>
  </si>
  <si>
    <t>19-43-24-c4-05559.0560</t>
  </si>
  <si>
    <t>Kahari</t>
  </si>
  <si>
    <t xml:space="preserve">9025 Madrid Cir  Naples, FL 34104-6228 </t>
  </si>
  <si>
    <t xml:space="preserve">4534 SE 6th Ct </t>
  </si>
  <si>
    <t xml:space="preserve">3538 NE 15th Ave </t>
  </si>
  <si>
    <t>PO Box 486</t>
  </si>
  <si>
    <t xml:space="preserve">53-46 Ap 405 #14 </t>
  </si>
  <si>
    <t>Avenue B</t>
  </si>
  <si>
    <t>06-44-24-c2-02063.0350</t>
  </si>
  <si>
    <t>07002-1224</t>
  </si>
  <si>
    <t>Woods</t>
  </si>
  <si>
    <t>Cape Coral Unit 46 Blk 3594 Pb 17 Pg 123 Lots 27 + 28</t>
  </si>
  <si>
    <t xml:space="preserve">6920 Motor Inn Dr </t>
  </si>
  <si>
    <t>14606-5109</t>
  </si>
  <si>
    <t xml:space="preserve">515 NE 5th Ave </t>
  </si>
  <si>
    <t xml:space="preserve">2027 NE 17th Ave </t>
  </si>
  <si>
    <t xml:space="preserve">119 Sharp St </t>
  </si>
  <si>
    <t xml:space="preserve">430 Windsor St #1, Cambridge, MA 02141-1343 </t>
  </si>
  <si>
    <t>Stone Edge</t>
  </si>
  <si>
    <t>Yucca Valley</t>
  </si>
  <si>
    <t>Hsu</t>
  </si>
  <si>
    <t>32903-4237</t>
  </si>
  <si>
    <t>31-43-24-c4-02111.0650</t>
  </si>
  <si>
    <t>01-44-23-c2-02099.0500</t>
  </si>
  <si>
    <t xml:space="preserve">2129 NE 10th Pl  Cape Coral, FL 33909 </t>
  </si>
  <si>
    <t>Cypress Trail Rv Resort Phase 4-C Block B Lot 458 As Desc In Inst 2019000042424</t>
  </si>
  <si>
    <t>Westbrook</t>
  </si>
  <si>
    <t>Manan</t>
  </si>
  <si>
    <t>Cypress Trail Rv Resort Ph 4-B As Desc In Inst# 2017000057565 Lot 91</t>
  </si>
  <si>
    <t xml:space="preserve">3 Roanoke Dr  Fort Myers, FL 33905 </t>
  </si>
  <si>
    <t>Palumbo</t>
  </si>
  <si>
    <t>33323-5325</t>
  </si>
  <si>
    <t xml:space="preserve">1389 Tanglewood Dr  North Wales, PA 19454-4600 </t>
  </si>
  <si>
    <t>Ferrera</t>
  </si>
  <si>
    <t>Marisol Pita</t>
  </si>
  <si>
    <t>Ramos</t>
  </si>
  <si>
    <t>Cape Coral Unit 34 Blk 2439 Pb 16 Pg 81 Lots 63 + 64</t>
  </si>
  <si>
    <t>Uzy &amp; Esther Blachman Family Trust</t>
  </si>
  <si>
    <t>Morisseau</t>
  </si>
  <si>
    <t xml:space="preserve">715 Knob Hill Cir  Kissimmee, FL 34744-4998 </t>
  </si>
  <si>
    <t>33990-4312</t>
  </si>
  <si>
    <t xml:space="preserve">4248 NE 17th Ave </t>
  </si>
  <si>
    <t>96749-9200</t>
  </si>
  <si>
    <t xml:space="preserve">632 NE 8th Ter </t>
  </si>
  <si>
    <t xml:space="preserve">3339 NE 21st Ave  Cape Coral, FL 33909 </t>
  </si>
  <si>
    <t xml:space="preserve">26180 Panama Ave </t>
  </si>
  <si>
    <t>31-43-24-c2-02132.0180</t>
  </si>
  <si>
    <t xml:space="preserve">5190 Cypress Trail Resort Cir  Fort Myers, FL 33905 </t>
  </si>
  <si>
    <t>Gary Marquette</t>
  </si>
  <si>
    <t>Arthur A Alleshire Trust</t>
  </si>
  <si>
    <t>Cape Coral Unit 32 Blk 2110 Pb 16 Pg 2 Lots 55 + 56</t>
  </si>
  <si>
    <t>Cape Coral Unit 85 Blk 5668 Pb 24 Pg 53 Lots 26 + 27</t>
  </si>
  <si>
    <t>Hong Tran</t>
  </si>
  <si>
    <t>32-43-24-c3-02229.0340</t>
  </si>
  <si>
    <t xml:space="preserve">428 Windsor Dr </t>
  </si>
  <si>
    <t>Shavvy Raj-Singh &amp; Martin Dessejour</t>
  </si>
  <si>
    <t>Horst Kersten</t>
  </si>
  <si>
    <t>Rushlow</t>
  </si>
  <si>
    <t>Northern</t>
  </si>
  <si>
    <t>Tessie</t>
  </si>
  <si>
    <t xml:space="preserve">1719 NE 17th St  Cape Coral, FL 33909 </t>
  </si>
  <si>
    <t>Saint-Barnabe-Sud</t>
  </si>
  <si>
    <t xml:space="preserve">4265 Clayton Rd #322 </t>
  </si>
  <si>
    <t>Dianne</t>
  </si>
  <si>
    <t>17-43-24-c2-05803.0170</t>
  </si>
  <si>
    <t xml:space="preserve">10 Skipworth Green Cir </t>
  </si>
  <si>
    <t xml:space="preserve">2127 Kismet Pkwy E </t>
  </si>
  <si>
    <t>Flanagan Station</t>
  </si>
  <si>
    <t xml:space="preserve">5224 Marsh Mallow Trl  Fort Myers, FL 33905 </t>
  </si>
  <si>
    <t>Elenor</t>
  </si>
  <si>
    <t>Veronika Kovarova</t>
  </si>
  <si>
    <t>95757-2549</t>
  </si>
  <si>
    <t>For Spyros &amp; Yota Pappas Trust</t>
  </si>
  <si>
    <t>Cape Coral Unit 84 Blk 5551 Pb 24 Pg 39 Lots 43 + 44</t>
  </si>
  <si>
    <t>Juan Medina &amp; Yannibert Jota</t>
  </si>
  <si>
    <t xml:space="preserve">50 11th St </t>
  </si>
  <si>
    <t>Creal</t>
  </si>
  <si>
    <t>Angeline</t>
  </si>
  <si>
    <t>33909-4785</t>
  </si>
  <si>
    <t xml:space="preserve">1419 NE 16th Pl </t>
  </si>
  <si>
    <t>Kornelia Brosze</t>
  </si>
  <si>
    <t xml:space="preserve">1105 Alexander Ave  Drexel Hill, PA 19026-4201 </t>
  </si>
  <si>
    <t>91402-1080</t>
  </si>
  <si>
    <t xml:space="preserve">1120 NE 15th Ln  Cape Coral, FL 33909 </t>
  </si>
  <si>
    <t>Eng</t>
  </si>
  <si>
    <t xml:space="preserve">14730 SW 151st Ter  Miami, FL 33196-2339 </t>
  </si>
  <si>
    <t xml:space="preserve">6012 Jadestone Ave </t>
  </si>
  <si>
    <t>33904-3587</t>
  </si>
  <si>
    <t>Deanna Gulke</t>
  </si>
  <si>
    <t>Joachim</t>
  </si>
  <si>
    <t xml:space="preserve">3 Devon Dr  Manchester, CT 06040-3809 </t>
  </si>
  <si>
    <t>Cape Coral Unit 21 Blk 602 Pb 13 Pg 152 Lots 31 + 32</t>
  </si>
  <si>
    <t>Sriram Hariharan &amp; Puja Banerjee</t>
  </si>
  <si>
    <t>Lourlyn</t>
  </si>
  <si>
    <t>St Jean Pla De Corps</t>
  </si>
  <si>
    <t>33905-8638</t>
  </si>
  <si>
    <t>Elana</t>
  </si>
  <si>
    <t>98031-1491</t>
  </si>
  <si>
    <t xml:space="preserve">5657 Brightwood Dr  Fort Myers, FL 33905 </t>
  </si>
  <si>
    <t>Gail &amp; John Micheli</t>
  </si>
  <si>
    <t>06-44-24-c1-02073.0730</t>
  </si>
  <si>
    <t xml:space="preserve">5845 Trailwood Ct </t>
  </si>
  <si>
    <t xml:space="preserve">2116 NE 16th Pl  Cape Coral, FL 33909 </t>
  </si>
  <si>
    <t xml:space="preserve">58 Century Ln </t>
  </si>
  <si>
    <t>Wildwood</t>
  </si>
  <si>
    <t>Cape Coral Unit 31 Blk 2068 Pb 14 Pg 163 Lots 55 + 56</t>
  </si>
  <si>
    <t>16-44-25-p1-0090f.0010</t>
  </si>
  <si>
    <t>Rosa</t>
  </si>
  <si>
    <t>Cape Coral Unit 33 Blk 2182 Pb 16 Pg 49 Lots 30 + 31</t>
  </si>
  <si>
    <t xml:space="preserve">1904 NE 6th Ave </t>
  </si>
  <si>
    <t xml:space="preserve">6775 SW 158th Ave  Miami, FL 33193-3675 </t>
  </si>
  <si>
    <t xml:space="preserve">1279 Nova Dr  Waynesboro, VA 22980-3428 </t>
  </si>
  <si>
    <t xml:space="preserve">2316 NE 19th Pl  Cape Coral, FL 33909 </t>
  </si>
  <si>
    <t>Jeanette Baxley</t>
  </si>
  <si>
    <t>Ognianov</t>
  </si>
  <si>
    <t>Steve Marriott</t>
  </si>
  <si>
    <t xml:space="preserve">1505 NE 35th Ter  Cape Coral, FL 33909 </t>
  </si>
  <si>
    <t>Potomac Enclave</t>
  </si>
  <si>
    <t xml:space="preserve">6004 Stratton Rd  Fort Myers, FL 33905 </t>
  </si>
  <si>
    <t xml:space="preserve">2028 NE 18th Ter  Cape Coral, FL 33909 </t>
  </si>
  <si>
    <t>Cape Coral Unit 14 Blk.537 Pb 13 Pg 63 Lots 33 + 34</t>
  </si>
  <si>
    <t>55033-2405</t>
  </si>
  <si>
    <t>Stephen &amp; Mary Hartlage</t>
  </si>
  <si>
    <t>Cape Coral Unit 84 Blk 5551 Pb 24 Pg 38 Lots 7 + 8</t>
  </si>
  <si>
    <t xml:space="preserve">10130 Sunnywood Ct </t>
  </si>
  <si>
    <t>33909-9208</t>
  </si>
  <si>
    <t>03-44-26-12-00060.0160</t>
  </si>
  <si>
    <t>West Salem</t>
  </si>
  <si>
    <t xml:space="preserve">Jard De Country Clb </t>
  </si>
  <si>
    <t>25-43-23-c1-02350.0390</t>
  </si>
  <si>
    <t xml:space="preserve">11321 Mcburney Ridge Ln </t>
  </si>
  <si>
    <t>16-44-24-03-00004.0270</t>
  </si>
  <si>
    <t>20-43-24-c1-05598.0330</t>
  </si>
  <si>
    <t xml:space="preserve">616 NE 8th St </t>
  </si>
  <si>
    <t xml:space="preserve">37180 Rickard Ln </t>
  </si>
  <si>
    <t>33909-7301</t>
  </si>
  <si>
    <t xml:space="preserve">300 SW 23rd Ave </t>
  </si>
  <si>
    <t>18-43-24-c4-05699.0170</t>
  </si>
  <si>
    <t>Andrei</t>
  </si>
  <si>
    <t>Covely</t>
  </si>
  <si>
    <t xml:space="preserve">20230 Warrington Dr  Katy, TX 77450-3032 </t>
  </si>
  <si>
    <t>Cape Coral Unit 36 Blk 2355 Pb 16 Pg 121 Lots 86 + 87</t>
  </si>
  <si>
    <t>Houtman</t>
  </si>
  <si>
    <t xml:space="preserve">27 Winding River Dr </t>
  </si>
  <si>
    <t>36-43-23-c3-02498.0310</t>
  </si>
  <si>
    <t>Cape Coral Unit 41 Blk 2901 Pb 17 Pg 14 Lots 85 + 86</t>
  </si>
  <si>
    <t>Paul &amp; Vickie Lewis</t>
  </si>
  <si>
    <t xml:space="preserve">4306 NE 21st Pl </t>
  </si>
  <si>
    <t xml:space="preserve">280 Northern Blvd </t>
  </si>
  <si>
    <t xml:space="preserve">140 River St </t>
  </si>
  <si>
    <t>Keaau</t>
  </si>
  <si>
    <t xml:space="preserve">1250 Greenwood Ave #422 </t>
  </si>
  <si>
    <t>Codie</t>
  </si>
  <si>
    <t>Gerardo Peralta &amp; Duvpera For</t>
  </si>
  <si>
    <t>Nila</t>
  </si>
  <si>
    <t>07011-2652</t>
  </si>
  <si>
    <t xml:space="preserve">4413 NE 22nd Pl  Cape Coral, FL 33909 </t>
  </si>
  <si>
    <t xml:space="preserve">8 Harris Pl </t>
  </si>
  <si>
    <t>36-43-23-c1-02514.0510</t>
  </si>
  <si>
    <t>92706-3125</t>
  </si>
  <si>
    <t>10462-5629</t>
  </si>
  <si>
    <t>12-44-23-c1-02410.0460</t>
  </si>
  <si>
    <t xml:space="preserve">1703 NE 44th Ter </t>
  </si>
  <si>
    <t xml:space="preserve">107 Ariola Dr </t>
  </si>
  <si>
    <t xml:space="preserve">7773 Jewel Ln #204 </t>
  </si>
  <si>
    <t>Lehigh Acres W Pt Unit 1 Blk 1 Pb 26 Pg 2 Lot 9</t>
  </si>
  <si>
    <t xml:space="preserve">14917 Martin Dr  Fort Myers, FL 33908 </t>
  </si>
  <si>
    <t>31-44-24-c2-00634.0330</t>
  </si>
  <si>
    <t>Cape Coral Unit 88 Blk 5817 Pb 24 Pg 140 Lots 21 + 22</t>
  </si>
  <si>
    <t xml:space="preserve">4209 Auburn Hills Dr </t>
  </si>
  <si>
    <t>Cape Coral Unit 36 Pt 1 Blk 2510 Pb 23 Pg 89 Lots 59 + 60</t>
  </si>
  <si>
    <t xml:space="preserve">4209 47th Ave 6e, Sunnyside, NY 11104-3034 </t>
  </si>
  <si>
    <t xml:space="preserve">1760 Bruckner Blvd 14b </t>
  </si>
  <si>
    <t xml:space="preserve">6330 Bluebird Ln </t>
  </si>
  <si>
    <t>07109-2514</t>
  </si>
  <si>
    <t>03-44-26-01-00003.0310</t>
  </si>
  <si>
    <t>Fairouz</t>
  </si>
  <si>
    <t>Squire Johns</t>
  </si>
  <si>
    <t>20002-4306</t>
  </si>
  <si>
    <t>Herland Ribera-Perez &amp; Jaqueline Franco-Peredo</t>
  </si>
  <si>
    <t>31-43-24-c3-02141.0090</t>
  </si>
  <si>
    <t>33904-5729</t>
  </si>
  <si>
    <t xml:space="preserve">472 Bradford St  Brooklyn, NY 11207-4824 </t>
  </si>
  <si>
    <t>Clemensstrasse 19 A</t>
  </si>
  <si>
    <t xml:space="preserve">1631 Grunwald Cv </t>
  </si>
  <si>
    <t xml:space="preserve">274 E 46th St </t>
  </si>
  <si>
    <t>Ch Des Cruyes</t>
  </si>
  <si>
    <t>Cape Coral Unit 87 Blk 5747 Pb 24 Pg 69 Lots 49 + 50</t>
  </si>
  <si>
    <t>31-43-24-c2-02130.0090</t>
  </si>
  <si>
    <t>Cape Coral Unit 88 Blk 5804 Pb 24 Pg 137 Lots 43 + 44</t>
  </si>
  <si>
    <t xml:space="preserve">2811 S Meridian Rd  Greenfield, IN 46140-9272 </t>
  </si>
  <si>
    <t xml:space="preserve">11 Crownridge Rd  Westborough, MA 01581-3203 </t>
  </si>
  <si>
    <t xml:space="preserve">1753 Bikini Ct  Cape Coral, FL 33904 </t>
  </si>
  <si>
    <t>20-43-24-c2-05664.0500</t>
  </si>
  <si>
    <t>36-43-23-c1-02547.0030</t>
  </si>
  <si>
    <t>Cape Coral Unit 87 Blk.5739 Pb 24 Pg 77 Lots 5 Thru 7</t>
  </si>
  <si>
    <t xml:space="preserve">1328 NE 34th Ln  Cape Coral, FL 33909 </t>
  </si>
  <si>
    <t>12-44-23-c2-02382.0210</t>
  </si>
  <si>
    <t xml:space="preserve">6151 Herrick Ave  Fort Myers, FL 33905 </t>
  </si>
  <si>
    <t>Lorrenda</t>
  </si>
  <si>
    <t>Trevor</t>
  </si>
  <si>
    <t>33909-4731</t>
  </si>
  <si>
    <t>Philip &amp; Anla Wong</t>
  </si>
  <si>
    <t>Lake Ridge</t>
  </si>
  <si>
    <t>La Grange Park</t>
  </si>
  <si>
    <t xml:space="preserve">200 Leslie Dr #802, Hallandale Beach, FL 33009-7317 </t>
  </si>
  <si>
    <t xml:space="preserve">916 NE 18th St  Cape Coral, FL 33909 </t>
  </si>
  <si>
    <t xml:space="preserve">2700 Cozy Cv  Grass Lake, MI 49240-7800 </t>
  </si>
  <si>
    <t xml:space="preserve">1116 Laguna Ave #4 </t>
  </si>
  <si>
    <t>Avenida Avila</t>
  </si>
  <si>
    <t>Schimmel</t>
  </si>
  <si>
    <t xml:space="preserve">3825 Heyburn St  Fort Myers, FL 33905 </t>
  </si>
  <si>
    <t xml:space="preserve">10105 SE 227th St </t>
  </si>
  <si>
    <t>Cape Coral Unit 36 Blk 2316 Pb 16 Pg 126 Lots 73 + 74</t>
  </si>
  <si>
    <t>Adrian Romeo</t>
  </si>
  <si>
    <t>11-44-25-07-00000.1390</t>
  </si>
  <si>
    <t xml:space="preserve">5147 Cypress Trail Resort Cir </t>
  </si>
  <si>
    <t xml:space="preserve">4435 E County Road 550 N  Pittsboro, IN 46167-9384 </t>
  </si>
  <si>
    <t>31-43-24-c4-02110.0360</t>
  </si>
  <si>
    <t xml:space="preserve">200 Oak Knoll Rd </t>
  </si>
  <si>
    <t xml:space="preserve">21627 Little Bear Ln  Boca Raton, FL 33428-2663 </t>
  </si>
  <si>
    <t xml:space="preserve">1713 NE 5th Ter  Cape Coral, FL 33909 </t>
  </si>
  <si>
    <t>33909-1676</t>
  </si>
  <si>
    <t>19-43-24-c4-05564.0590</t>
  </si>
  <si>
    <t xml:space="preserve">2223 NE 36th St </t>
  </si>
  <si>
    <t xml:space="preserve">3930 Garden Blvd  Cape Coral, FL 33909 </t>
  </si>
  <si>
    <t>Huntington Beach</t>
  </si>
  <si>
    <t xml:space="preserve">204 NE 18th St </t>
  </si>
  <si>
    <t>04-44-24-01-00000.0200</t>
  </si>
  <si>
    <t>Noel Brugeille</t>
  </si>
  <si>
    <t>Rego</t>
  </si>
  <si>
    <t>03-44-26-09-00045.0180</t>
  </si>
  <si>
    <t xml:space="preserve">1702 SW 103rd Ln  Davie, FL 33324-7466 </t>
  </si>
  <si>
    <t xml:space="preserve">309 Lakewood Ct </t>
  </si>
  <si>
    <t>33186-8621</t>
  </si>
  <si>
    <t>Greg Baldeo</t>
  </si>
  <si>
    <t>Vickie</t>
  </si>
  <si>
    <t>Fred &amp; Arlys Reimers</t>
  </si>
  <si>
    <t xml:space="preserve">109 Beechwold Pl  Bardstown, KY 40004-2180 </t>
  </si>
  <si>
    <t>Cape Coral Unit 36 Part 1 Blk 2513 Pb 23 Pg 91 Lots 26 + 27</t>
  </si>
  <si>
    <t>03-44-26-01-00004.0110</t>
  </si>
  <si>
    <t>Flock</t>
  </si>
  <si>
    <t>Cape Coral Unit 34 Blk 2463 Pb 16 Pg 84 Lots 22 + 23</t>
  </si>
  <si>
    <t>Libra</t>
  </si>
  <si>
    <t>19-43-24-c1-05546.0090</t>
  </si>
  <si>
    <t>17-43-24-c2-05800.0030</t>
  </si>
  <si>
    <t>Wilkinson</t>
  </si>
  <si>
    <t>98056-2152</t>
  </si>
  <si>
    <t xml:space="preserve">9001 Lake Park Cir N  Davie, FL 33328-7003 </t>
  </si>
  <si>
    <t>Kim Huntington</t>
  </si>
  <si>
    <t>06-44-24-c3-02043.0190</t>
  </si>
  <si>
    <t>Paola</t>
  </si>
  <si>
    <t>Oversmith</t>
  </si>
  <si>
    <t>Cypress Trail Rv Resort Phase 2-A As Desc In Inst# 2014000026506 Lot 14</t>
  </si>
  <si>
    <t xml:space="preserve">8529 SW 136th Loop  Ocala, FL 34473-6817 </t>
  </si>
  <si>
    <t xml:space="preserve">5163 Cypress Trail Resort Cir </t>
  </si>
  <si>
    <t xml:space="preserve">314 Bellair Rd </t>
  </si>
  <si>
    <t>33909-2649</t>
  </si>
  <si>
    <t>Okpaleke</t>
  </si>
  <si>
    <t>For Granner Trust</t>
  </si>
  <si>
    <t>Ramon Perez</t>
  </si>
  <si>
    <t>30340-2328</t>
  </si>
  <si>
    <t xml:space="preserve">11890 SW 8th St #503 </t>
  </si>
  <si>
    <t>63129-3066</t>
  </si>
  <si>
    <t>Keith &amp; Gary Sandy</t>
  </si>
  <si>
    <t>18-43-24-c4-05584.0070</t>
  </si>
  <si>
    <t xml:space="preserve">15481 Cemetery Rd  Fort Myers, FL 33905 </t>
  </si>
  <si>
    <t>Cape Coral Unit 36 Blk 2353 Pb 16 Pg 120 Lots 16 &amp; 17</t>
  </si>
  <si>
    <t>10706-2307</t>
  </si>
  <si>
    <t xml:space="preserve">42 Palmdale Dr </t>
  </si>
  <si>
    <t>Simpson</t>
  </si>
  <si>
    <t xml:space="preserve">7925 Asheville Hwy </t>
  </si>
  <si>
    <t>Wallington</t>
  </si>
  <si>
    <t xml:space="preserve">1614 NE 36th Ter </t>
  </si>
  <si>
    <t>Olin</t>
  </si>
  <si>
    <t>Cardenas</t>
  </si>
  <si>
    <t>Lyman</t>
  </si>
  <si>
    <t>Cape Coral Unit 88 Blk 5797 Pb 24 Pg 131 Lots 61 + 62</t>
  </si>
  <si>
    <t>34748-9774</t>
  </si>
  <si>
    <t>33165-2944</t>
  </si>
  <si>
    <t>Cape Coral Unit 36 Blk 2350 Pb 16 Pg 129 Lots 43 + 44</t>
  </si>
  <si>
    <t>Cape Coral Unit 33 Blk.2274 Pb 16 Pg 61 Lots 20 + 21</t>
  </si>
  <si>
    <t>De</t>
  </si>
  <si>
    <t>Weber</t>
  </si>
  <si>
    <t xml:space="preserve">6 Hine St  Seymour, CT 06483-3308 </t>
  </si>
  <si>
    <t>40222-5330</t>
  </si>
  <si>
    <t xml:space="preserve">10221 Yellowtop Trl </t>
  </si>
  <si>
    <t xml:space="preserve">60 Distillery Wharf Regatta Ln  London, GB 00000 </t>
  </si>
  <si>
    <t>Cape Coral Unit 33 Blk 2284 Pb 16 Pg 59 Lots 8 + 9</t>
  </si>
  <si>
    <t xml:space="preserve">1820 Hibiscus Dr  North Miami, FL 33181-2347 </t>
  </si>
  <si>
    <t>33904-8637</t>
  </si>
  <si>
    <t xml:space="preserve">214 NE 15th Ter </t>
  </si>
  <si>
    <t xml:space="preserve">6034 Jonathan Ave </t>
  </si>
  <si>
    <t>11-44-25-06-0000d.0550</t>
  </si>
  <si>
    <t xml:space="preserve">1715 NE 27th St  Cape Coral, FL 33909 </t>
  </si>
  <si>
    <t>Flaviano &amp; Rosalina Garcia</t>
  </si>
  <si>
    <t>Korth James Frederick Tr</t>
  </si>
  <si>
    <t xml:space="preserve">3857 Hoffman St  Fort Myers, FL 33905 </t>
  </si>
  <si>
    <t xml:space="preserve">237 North Rd </t>
  </si>
  <si>
    <t>Cape Coral Unit 36 Blk 2299 Pb 16 Pg 122 Lots 15 + 16</t>
  </si>
  <si>
    <t>33905-7753</t>
  </si>
  <si>
    <t>Dawn</t>
  </si>
  <si>
    <t>62263-1571</t>
  </si>
  <si>
    <t>Massapequa</t>
  </si>
  <si>
    <t>Cape Coral Unit 84 Blk 5593 Pb 24 Pg 44 Lots 45 Thru 47</t>
  </si>
  <si>
    <t>Cleredene Sheriff</t>
  </si>
  <si>
    <t>Mark &amp; Shana Lester</t>
  </si>
  <si>
    <t xml:space="preserve">1011 NE 23rd St </t>
  </si>
  <si>
    <t xml:space="preserve">5864 Baer Rd  Sanborn, NY 14132-9230 </t>
  </si>
  <si>
    <t>33905-4306</t>
  </si>
  <si>
    <t xml:space="preserve">2307 NE 5th Ter  Cape Coral, FL 33909 </t>
  </si>
  <si>
    <t xml:space="preserve">1704 NE 6th Pl  Cape Coral, FL 33909 </t>
  </si>
  <si>
    <t>Eugene Smolka</t>
  </si>
  <si>
    <t>PO Box 670877</t>
  </si>
  <si>
    <t xml:space="preserve">2111 Oxford Cir </t>
  </si>
  <si>
    <t>Bessie Rezaba</t>
  </si>
  <si>
    <t>Gustavo</t>
  </si>
  <si>
    <t>Boring Robert F Tr</t>
  </si>
  <si>
    <t>Marchand</t>
  </si>
  <si>
    <t xml:space="preserve">5446/5448 Eighth Ave  Fort Myers, FL 33907 </t>
  </si>
  <si>
    <t>Kenneth &amp; Judith Vonderau</t>
  </si>
  <si>
    <t>33909-7350</t>
  </si>
  <si>
    <t>Ethan</t>
  </si>
  <si>
    <t>Mimose Lamore</t>
  </si>
  <si>
    <t>Cape Coral Unit 31 Blk 2053 Pb 14 Pg 157 Lots 25 Thru 27</t>
  </si>
  <si>
    <t>Giang Nguyen</t>
  </si>
  <si>
    <t xml:space="preserve">10091 Rambelwood Ct </t>
  </si>
  <si>
    <t>Rob Seward</t>
  </si>
  <si>
    <t xml:space="preserve">3761 NE 16th Pl </t>
  </si>
  <si>
    <t>Francoise</t>
  </si>
  <si>
    <t xml:space="preserve">74 Hillside Dr </t>
  </si>
  <si>
    <t>25-43-23-c2-02320.0210</t>
  </si>
  <si>
    <t>49456-1162</t>
  </si>
  <si>
    <t>Ramon</t>
  </si>
  <si>
    <t>33174-3456</t>
  </si>
  <si>
    <t>Beck</t>
  </si>
  <si>
    <t>Blades</t>
  </si>
  <si>
    <t xml:space="preserve">N2026 N Lakeshore Dr </t>
  </si>
  <si>
    <t>Franklin Lakes</t>
  </si>
  <si>
    <t>Northwest Harwich</t>
  </si>
  <si>
    <t>Reist</t>
  </si>
  <si>
    <t>Cape Coral Unit 88 Blk 5776 Pb 24 Pg 134 Lots 33 + 34</t>
  </si>
  <si>
    <t xml:space="preserve">278 Abbey Dr  Somerset, NJ 08873-6403 </t>
  </si>
  <si>
    <t>07724-4708</t>
  </si>
  <si>
    <t xml:space="preserve">300 Sleepy Hollow Rd  Nottingham, PA 19362-9003 </t>
  </si>
  <si>
    <t xml:space="preserve">2312 NE 33rd Ln  Cape Coral, FL 33909 </t>
  </si>
  <si>
    <t>33029-2768</t>
  </si>
  <si>
    <t>Vanrheem</t>
  </si>
  <si>
    <t>Carmichael</t>
  </si>
  <si>
    <t>19-43-24-c4-05566.0190</t>
  </si>
  <si>
    <t>80465-1230</t>
  </si>
  <si>
    <t>08527-4746</t>
  </si>
  <si>
    <t>Sparks</t>
  </si>
  <si>
    <t xml:space="preserve">27d Sur 60 #201 </t>
  </si>
  <si>
    <t xml:space="preserve">17 Moeller Crt  Scarborough, ON M1e 5C1 </t>
  </si>
  <si>
    <t>01-44-23-c3-02386.0150</t>
  </si>
  <si>
    <t xml:space="preserve">15141 Cemetery Rd </t>
  </si>
  <si>
    <t>9 xiang hong qi lu</t>
  </si>
  <si>
    <t>For Roberto C Gonzalez Trust</t>
  </si>
  <si>
    <t>20-46-25-00-00016.1160</t>
  </si>
  <si>
    <t>Cape Coral Unit 88 Blk 5801 Pb 24 Pg 136 Lots 3 + 4</t>
  </si>
  <si>
    <t>B017</t>
  </si>
  <si>
    <t>Cape Coral Unit 36 Blk 2294 Pb 16 Pg 120 Lots 11 + 12</t>
  </si>
  <si>
    <t>19-43-24-c2-05599.0130</t>
  </si>
  <si>
    <t xml:space="preserve">1705 E Crawford Cir </t>
  </si>
  <si>
    <t>06-44-24-c4-02065.0560</t>
  </si>
  <si>
    <t xml:space="preserve">625 Marshall Dr  Point Pleasant Boro, NJ 08742-2853 </t>
  </si>
  <si>
    <t>Anthony &amp; Jewel Rogers</t>
  </si>
  <si>
    <t>11234-6627</t>
  </si>
  <si>
    <t>Little Harlem Park Blk C Pb 9 Pg 18 Lot 8</t>
  </si>
  <si>
    <t>32-43-24-c2-02238.0430</t>
  </si>
  <si>
    <t>07039-1802</t>
  </si>
  <si>
    <t>Githinji</t>
  </si>
  <si>
    <t>33909-1622</t>
  </si>
  <si>
    <t>46167-9384</t>
  </si>
  <si>
    <t xml:space="preserve">70 Danielle Dr </t>
  </si>
  <si>
    <t>Homa</t>
  </si>
  <si>
    <t>33903-3336</t>
  </si>
  <si>
    <t xml:space="preserve">84 Lindbergh Ave </t>
  </si>
  <si>
    <t>29-43-24-c3-02248.0010</t>
  </si>
  <si>
    <t>Callahan</t>
  </si>
  <si>
    <t>Cape Coral Unit 47 Part 2 Blk 3539 Pb 23 Pg 117 Lots 16 + 17</t>
  </si>
  <si>
    <t>33909-5268</t>
  </si>
  <si>
    <t>Enzo Garcia &amp; Lizza Angulo</t>
  </si>
  <si>
    <t>Shalini</t>
  </si>
  <si>
    <t>Alicita</t>
  </si>
  <si>
    <t>Marcia Memorial</t>
  </si>
  <si>
    <t xml:space="preserve">30331 Oak St </t>
  </si>
  <si>
    <t>33177-6450</t>
  </si>
  <si>
    <t xml:space="preserve">Po Box 414 </t>
  </si>
  <si>
    <t xml:space="preserve">411 Emerald Ln </t>
  </si>
  <si>
    <t>Geca</t>
  </si>
  <si>
    <t>Cape Coral Unit 32 Blk 2144 Pb 16 Pg 5 Lots 25 Thru 27</t>
  </si>
  <si>
    <t>Lizanne</t>
  </si>
  <si>
    <t>Cypress Woods Rv Resort Un 3 Desc In Pb 72 Pgs 92-95 Blk C Lot 97</t>
  </si>
  <si>
    <t xml:space="preserve">1231 NE 7th Ave  Cape Coral, FL 33909 </t>
  </si>
  <si>
    <t>Elkhart Lake</t>
  </si>
  <si>
    <t xml:space="preserve">3021 SE 5th Ave </t>
  </si>
  <si>
    <t>11-44-25-11-00000.0380</t>
  </si>
  <si>
    <t xml:space="preserve">237 Hancock Ave </t>
  </si>
  <si>
    <t xml:space="preserve">Po Box 1807 </t>
  </si>
  <si>
    <t xml:space="preserve">3909 E Gator Cir </t>
  </si>
  <si>
    <t xml:space="preserve">1316 NE 1st Pl </t>
  </si>
  <si>
    <t>PO Box 231</t>
  </si>
  <si>
    <t>Gn1 Investing Llc</t>
  </si>
  <si>
    <t>Cape Coral Unit 25 Blk 884 Pb 14 Pg 92 Lots 59 + 60</t>
  </si>
  <si>
    <t xml:space="preserve">17 NE 11th Ter </t>
  </si>
  <si>
    <t>R007</t>
  </si>
  <si>
    <t>21838-2763</t>
  </si>
  <si>
    <t>Nicolas</t>
  </si>
  <si>
    <t xml:space="preserve">1100 NE 18th Ave  Cape Coral, FL 33909 </t>
  </si>
  <si>
    <t>Belle Vue Park Blk G Pb 5 Pg 50 Lot 24</t>
  </si>
  <si>
    <t>36-43-23-c2-02526.0070</t>
  </si>
  <si>
    <t>Grener</t>
  </si>
  <si>
    <t>Basswood</t>
  </si>
  <si>
    <t xml:space="preserve">4500 NW 39th St  Lauderdale Lakes, FL 33319-4752 </t>
  </si>
  <si>
    <t xml:space="preserve">4027 NE 9th Ave  Cape Coral, FL 33909 </t>
  </si>
  <si>
    <t>33908-4730</t>
  </si>
  <si>
    <t>05-44-24-c2-03525.0420</t>
  </si>
  <si>
    <t>55362-9003</t>
  </si>
  <si>
    <t>33014-2654</t>
  </si>
  <si>
    <t xml:space="preserve">2512 NE 1st Ave </t>
  </si>
  <si>
    <t xml:space="preserve">18086 Pioneer Rd </t>
  </si>
  <si>
    <t>For Virginia R Cochart Trust</t>
  </si>
  <si>
    <t>32828-6708</t>
  </si>
  <si>
    <t>Williston</t>
  </si>
  <si>
    <t>Taipei</t>
  </si>
  <si>
    <t xml:space="preserve">4109 NE 23rd Pl </t>
  </si>
  <si>
    <t xml:space="preserve">5457 Cypress Trail Resort Cir  Fort Myers, FL 33905 </t>
  </si>
  <si>
    <t xml:space="preserve">Po Box 157 </t>
  </si>
  <si>
    <t xml:space="preserve">1405 NE 34th St </t>
  </si>
  <si>
    <t>Richard &amp; Jodie Sparling</t>
  </si>
  <si>
    <t xml:space="preserve">Matsumoto Bldg #204 </t>
  </si>
  <si>
    <t>Lafrance</t>
  </si>
  <si>
    <t>Little Egg Harbor Twp</t>
  </si>
  <si>
    <t xml:space="preserve">2117 NE 17th Ter </t>
  </si>
  <si>
    <t>Mathew Mathai &amp; Matthew For</t>
  </si>
  <si>
    <t xml:space="preserve">3902 NE 171st St </t>
  </si>
  <si>
    <t xml:space="preserve">3135 NE 13th Ave </t>
  </si>
  <si>
    <t>Kenneth Githinji</t>
  </si>
  <si>
    <t xml:space="preserve">3441 NE 14th Pl </t>
  </si>
  <si>
    <t xml:space="preserve">2522 Briarwood Ave </t>
  </si>
  <si>
    <t xml:space="preserve">15525 Cairnryan Ct  Miami Lakes, FL 33014-2034 </t>
  </si>
  <si>
    <t xml:space="preserve">1125 NE 15th Ter </t>
  </si>
  <si>
    <t xml:space="preserve">6135 Hershey Ave </t>
  </si>
  <si>
    <t>Michael Castro</t>
  </si>
  <si>
    <t>48183-1724</t>
  </si>
  <si>
    <t>19-43-24-c3-05621.0170</t>
  </si>
  <si>
    <t xml:space="preserve">5 Tennis Ter </t>
  </si>
  <si>
    <t>Lehigh Acres Unit 13 Blk 72 Pb 26 Pg 17 Lot 8</t>
  </si>
  <si>
    <t>55347-1612</t>
  </si>
  <si>
    <t>33909-6437</t>
  </si>
  <si>
    <t>01-44-23-c4-02422.0450</t>
  </si>
  <si>
    <t xml:space="preserve">2524 W Mesa Verde Dr </t>
  </si>
  <si>
    <t xml:space="preserve">409 NE 18th Pl  Cape Coral, FL 33909 </t>
  </si>
  <si>
    <t xml:space="preserve">7517 Mourning Dove Way </t>
  </si>
  <si>
    <t xml:space="preserve">2308 Scholte Straat  Pella, IA 50219-7800 </t>
  </si>
  <si>
    <t xml:space="preserve">2885 E Keeling Rd  Hereford, AZ 85615-9633 </t>
  </si>
  <si>
    <t>Mathewson</t>
  </si>
  <si>
    <t>James Koszarek &amp; Olga Ponce</t>
  </si>
  <si>
    <t xml:space="preserve">3907 NE 12th Ave </t>
  </si>
  <si>
    <t xml:space="preserve">1704 NE 33rd Ln  Cape Coral, FL 33909 </t>
  </si>
  <si>
    <t>11-44-25-l1-13000.3130</t>
  </si>
  <si>
    <t>11933-1412</t>
  </si>
  <si>
    <t>Monterrosa</t>
  </si>
  <si>
    <t xml:space="preserve">1108 NE 12th Ter </t>
  </si>
  <si>
    <t>Deer Valley</t>
  </si>
  <si>
    <t>H083</t>
  </si>
  <si>
    <t>Cape Coral Unit 85 Blk 5658 Pb 24 Pg 54 Lots 27 + 28</t>
  </si>
  <si>
    <t xml:space="preserve">322 NE 15th Ter  Cape Coral, FL 33909 </t>
  </si>
  <si>
    <t>32-43-24-c4-02207.0090</t>
  </si>
  <si>
    <t xml:space="preserve">2704 NE 22nd Pl </t>
  </si>
  <si>
    <t>Cape Coral Unit 5 Blk.104 Pb 11 Pg 82 Lots 32 + 33</t>
  </si>
  <si>
    <t>Cape Coral Unit 84 Blk 5551 Pb 24 Pg 39 Lots 41 + 42</t>
  </si>
  <si>
    <t xml:space="preserve">529 Camway Dr  Wilmington, NC 28403-3415 </t>
  </si>
  <si>
    <t xml:space="preserve">338 NE 20th Ter </t>
  </si>
  <si>
    <t xml:space="preserve">1720 NE 7th Pl </t>
  </si>
  <si>
    <t xml:space="preserve">6028 Mornay Dr  Tampa, FL 33615-3424 </t>
  </si>
  <si>
    <t>65355-6633</t>
  </si>
  <si>
    <t>Theden</t>
  </si>
  <si>
    <t>Garland</t>
  </si>
  <si>
    <t>Baraboo</t>
  </si>
  <si>
    <t xml:space="preserve">307 N Keefer Dr  Wylie, TX 75098-4434 </t>
  </si>
  <si>
    <t>Pereyra</t>
  </si>
  <si>
    <t>01-44-23-c2-02429.0210</t>
  </si>
  <si>
    <t>48197-3723</t>
  </si>
  <si>
    <t>Elizabethport</t>
  </si>
  <si>
    <t>6i</t>
  </si>
  <si>
    <t>Leonardo &amp; Nicoletta Lopane</t>
  </si>
  <si>
    <t>Export</t>
  </si>
  <si>
    <t>Cape Coral Unit 17 Blk 1505 Pb 14 Pg 26 Lots 50 + 51 + S 1/2 Of Lot 49</t>
  </si>
  <si>
    <t>Kay Jennings</t>
  </si>
  <si>
    <t xml:space="preserve">1805 NE 6th Pl </t>
  </si>
  <si>
    <t>33909-1475</t>
  </si>
  <si>
    <t>Laurie Scofield</t>
  </si>
  <si>
    <t>06-44-24-c1-02096.0470</t>
  </si>
  <si>
    <t>Balmy Beach</t>
  </si>
  <si>
    <t>Monica &amp; Charles Tomlinson</t>
  </si>
  <si>
    <t xml:space="preserve">8 Fountain View Blvd </t>
  </si>
  <si>
    <t xml:space="preserve">4217 Garden Blvd  Cape Coral, FL 33909 </t>
  </si>
  <si>
    <t xml:space="preserve">17820 Holly Brook Way </t>
  </si>
  <si>
    <t xml:space="preserve">3901 Meadowlands St </t>
  </si>
  <si>
    <t>Kaley</t>
  </si>
  <si>
    <t xml:space="preserve">4617 Zorita St  Orlando, FL 32811-5574 </t>
  </si>
  <si>
    <t>Ocean City</t>
  </si>
  <si>
    <t xml:space="preserve">1313 NE 23rd Ave  Cape Coral, FL 33909 </t>
  </si>
  <si>
    <t>11580-1212</t>
  </si>
  <si>
    <t>Cape Coral Unit 34 Blk 2460 Pb 16 Pg 86 Lots 71 + 72</t>
  </si>
  <si>
    <t>Malsch</t>
  </si>
  <si>
    <t>Carlotta</t>
  </si>
  <si>
    <t>Cape Coral Unit 36 Blk 2319 Pb 16 Pg 129 Lots 55 + 56</t>
  </si>
  <si>
    <t>25-43-23-c3-02314.0560</t>
  </si>
  <si>
    <t>97236-2503</t>
  </si>
  <si>
    <t>33909-5214</t>
  </si>
  <si>
    <t>44663-2781</t>
  </si>
  <si>
    <t>19-43-24-c2-05597.0040</t>
  </si>
  <si>
    <t xml:space="preserve">3717 W Gator Cir </t>
  </si>
  <si>
    <t xml:space="preserve">325 NE 19th Ave </t>
  </si>
  <si>
    <t xml:space="preserve">8901 5th Ave </t>
  </si>
  <si>
    <t>33324-4207</t>
  </si>
  <si>
    <t xml:space="preserve">84 Crane Ave  Rutherford, NJ 07070-2540 </t>
  </si>
  <si>
    <t>Todd &amp; Lisa Young</t>
  </si>
  <si>
    <t>Orleans</t>
  </si>
  <si>
    <t xml:space="preserve">3843 Insdale St  Fort Myers, FL 33905 </t>
  </si>
  <si>
    <t>Buckingham Pk Re Blk B U-5 Blk 24 Pb 27 Pg 193 Lot 4</t>
  </si>
  <si>
    <t xml:space="preserve">58 Beechwood Ave </t>
  </si>
  <si>
    <t>33905-3421</t>
  </si>
  <si>
    <t xml:space="preserve">4010 78th Ave N </t>
  </si>
  <si>
    <t>Cypress Woods Rv Resort Un 3 Desc In Pb 72 Pgs 92-95 Blk C Lot 43</t>
  </si>
  <si>
    <t>B066</t>
  </si>
  <si>
    <t>PA</t>
  </si>
  <si>
    <t xml:space="preserve"># 40  Menen, BE </t>
  </si>
  <si>
    <t>90630-5633</t>
  </si>
  <si>
    <t>Kenneth &amp; E Johnston</t>
  </si>
  <si>
    <t xml:space="preserve">Hovedvejen 26 Vollum </t>
  </si>
  <si>
    <t>20-43-24-c1-05647.0410</t>
  </si>
  <si>
    <t xml:space="preserve">124 NE 8th Ter  Cape Coral, FL 33909 </t>
  </si>
  <si>
    <t>MX</t>
  </si>
  <si>
    <t xml:space="preserve">12 Heald Bailey Dr </t>
  </si>
  <si>
    <t xml:space="preserve">10501 Landing Way #232, Miamisburg, OH 45342-1198 </t>
  </si>
  <si>
    <t xml:space="preserve">506 NE 5th Pl </t>
  </si>
  <si>
    <t>Calle F</t>
  </si>
  <si>
    <t>Cape Coral Unit 88 Blk 5794 Pb 24 Pg 130 Lots 59 + 60</t>
  </si>
  <si>
    <t xml:space="preserve">14121 Carlotta St  Fort Myers, FL 33905 </t>
  </si>
  <si>
    <t xml:space="preserve">701 Grove St  Montclair, NJ 07043-2018 </t>
  </si>
  <si>
    <t>Malsch Baden Wurttemberg</t>
  </si>
  <si>
    <t>31-44-24-c3-00611.0280</t>
  </si>
  <si>
    <t xml:space="preserve">26118 Langston Ave B, Glen Oaks, NY 11004-1041 </t>
  </si>
  <si>
    <t>Joel &amp; Wendy Katz</t>
  </si>
  <si>
    <t>Margate City</t>
  </si>
  <si>
    <t xml:space="preserve">1830 NE 34th Ln </t>
  </si>
  <si>
    <t>Evenson</t>
  </si>
  <si>
    <t>Park</t>
  </si>
  <si>
    <t xml:space="preserve">6811 Tech Ct </t>
  </si>
  <si>
    <t>37208-1552</t>
  </si>
  <si>
    <t>White Sky</t>
  </si>
  <si>
    <t>89502-4920</t>
  </si>
  <si>
    <t>C039</t>
  </si>
  <si>
    <t xml:space="preserve">27 Balin Ave </t>
  </si>
  <si>
    <t>11-44-25-05-0000c.0070</t>
  </si>
  <si>
    <t xml:space="preserve">1428 NE 44th St </t>
  </si>
  <si>
    <t>12721-4216</t>
  </si>
  <si>
    <t>Cape Coral Unit 85 Blk.5639 Pb 24 Pg 51 Lots 1 + 2</t>
  </si>
  <si>
    <t xml:space="preserve">5839 Jeanne-Mance Rue </t>
  </si>
  <si>
    <t>Midroni</t>
  </si>
  <si>
    <t xml:space="preserve">2109 NE 15th St </t>
  </si>
  <si>
    <t>R056</t>
  </si>
  <si>
    <t>33331-6120</t>
  </si>
  <si>
    <t>31-43-24-c1-02164.0250</t>
  </si>
  <si>
    <t>James Freel</t>
  </si>
  <si>
    <t xml:space="preserve">92 Pelham Rd </t>
  </si>
  <si>
    <t>32-43-24-c3-02217.0470</t>
  </si>
  <si>
    <t xml:space="preserve">3115 3rd St </t>
  </si>
  <si>
    <t>Pinehurst</t>
  </si>
  <si>
    <t>11420-2317</t>
  </si>
  <si>
    <t>25-43-23-c3-02346.0030</t>
  </si>
  <si>
    <t>Stefanie</t>
  </si>
  <si>
    <t>19-43-24-c3-05606.0360</t>
  </si>
  <si>
    <t>Chaer</t>
  </si>
  <si>
    <t xml:space="preserve">409 Ainsworth Cir  the Villages, FL 32162-5003 </t>
  </si>
  <si>
    <t>Lehigh Acres Unit 14 Blk 79 Pb 26 Pg 19 Lot 9</t>
  </si>
  <si>
    <t>Lehigh Acres W 1/2 Unit 10 Blk 47 Pb 26 Pg 12 Lot 9</t>
  </si>
  <si>
    <t>Jacks Corner</t>
  </si>
  <si>
    <t>29-43-26-06-00091.b021</t>
  </si>
  <si>
    <t>48322-2301</t>
  </si>
  <si>
    <t>07514-2112</t>
  </si>
  <si>
    <t>92056-3048</t>
  </si>
  <si>
    <t>Cape Coral Unit 33 Blk.2202 Pb 16 Pg 45 Lots 29 + 30</t>
  </si>
  <si>
    <t>11783-1144</t>
  </si>
  <si>
    <t>Germering</t>
  </si>
  <si>
    <t>Bauman</t>
  </si>
  <si>
    <t>Schwuchow</t>
  </si>
  <si>
    <t xml:space="preserve">210 Holder Farm Rd </t>
  </si>
  <si>
    <t xml:space="preserve">2013 NE 20th Pl  Cape Coral, FL 33909 </t>
  </si>
  <si>
    <t xml:space="preserve">4546 W Copper Pot Ln </t>
  </si>
  <si>
    <t xml:space="preserve">4318 NE 13th Pl </t>
  </si>
  <si>
    <t>Sun Maiden</t>
  </si>
  <si>
    <t>Purandai Britton</t>
  </si>
  <si>
    <t xml:space="preserve">3724 Teakwood St </t>
  </si>
  <si>
    <t>Wulverdinghe</t>
  </si>
  <si>
    <t xml:space="preserve">7021 Cottage Ave </t>
  </si>
  <si>
    <t xml:space="preserve">18201 Roehampton Dr #323 </t>
  </si>
  <si>
    <t>Larry &amp; Pattie King</t>
  </si>
  <si>
    <t xml:space="preserve">6698 10th Ave N #222 </t>
  </si>
  <si>
    <t>Ambassador</t>
  </si>
  <si>
    <t xml:space="preserve">13132 SW 57th Ter 3a </t>
  </si>
  <si>
    <t>Appleton</t>
  </si>
  <si>
    <t>Weinstock</t>
  </si>
  <si>
    <t xml:space="preserve">1358 N 700 E  Rochester, IN 46975-8517 </t>
  </si>
  <si>
    <t>Fishermans</t>
  </si>
  <si>
    <t xml:space="preserve">3725 NE 14th Pl  Cape Coral, FL 33909 </t>
  </si>
  <si>
    <t>Cabana City Blks O + P Pb 8 Pg 61 W 1/2 Lts 53 + 54 55 56+ E 4 Ft Lts 57</t>
  </si>
  <si>
    <t xml:space="preserve">912 NE 10th St  Cape Coral, FL 33909 </t>
  </si>
  <si>
    <t>Lau Stephen Yan Mi Tr</t>
  </si>
  <si>
    <t>Glen Oaks</t>
  </si>
  <si>
    <t>Chew</t>
  </si>
  <si>
    <t>18-43-24-c3-05742.0520</t>
  </si>
  <si>
    <t xml:space="preserve">346 NE 25th Ter </t>
  </si>
  <si>
    <t xml:space="preserve">2900 NW 83rd Ter </t>
  </si>
  <si>
    <t xml:space="preserve">13 Kiscona Rd #15, Mount Kisco, NY 10549-2605 </t>
  </si>
  <si>
    <t xml:space="preserve">9 Lionel Dr </t>
  </si>
  <si>
    <t xml:space="preserve">2101 NE 23rd Ave  Cape Coral, FL 33909 </t>
  </si>
  <si>
    <t xml:space="preserve">1035 NE 10th Pl </t>
  </si>
  <si>
    <t>33909-1710</t>
  </si>
  <si>
    <t>33909-3328</t>
  </si>
  <si>
    <t>90042-3311</t>
  </si>
  <si>
    <t xml:space="preserve">3633 Lufberry Ave </t>
  </si>
  <si>
    <t>Bektasheva</t>
  </si>
  <si>
    <t>Jard De Country</t>
  </si>
  <si>
    <t xml:space="preserve">Po Box 220 </t>
  </si>
  <si>
    <t>11-44-25-08-00000.2690</t>
  </si>
  <si>
    <t>Granados</t>
  </si>
  <si>
    <t>1e</t>
  </si>
  <si>
    <t xml:space="preserve">216 E Main St  Columbus, OH 43215-5213 </t>
  </si>
  <si>
    <t xml:space="preserve">1721 NE 40th Ln  Cape Coral, FL 33909 </t>
  </si>
  <si>
    <t>33909-1421</t>
  </si>
  <si>
    <t xml:space="preserve">315 Shore Dr  Fort Myers, FL 33905 </t>
  </si>
  <si>
    <t xml:space="preserve">1311 35th St NW  Rochester, MN 55901-1456 </t>
  </si>
  <si>
    <t>Diana &amp; Robert Stevens</t>
  </si>
  <si>
    <t>Advantaira &amp; Eric Honcharenko</t>
  </si>
  <si>
    <t>Cape Coral Unit 84 Blk.5589 Pb 24 Pg 44 Lot 2</t>
  </si>
  <si>
    <t xml:space="preserve">1116 NE 33rd Ter  Cape Coral, FL 33909 </t>
  </si>
  <si>
    <t xml:space="preserve">20 W Park Ave </t>
  </si>
  <si>
    <t>Gold Canyon</t>
  </si>
  <si>
    <t>Cape Coral Unit 85 Blk 5656 Pb 24 Pg 57 Lots 61 + 62</t>
  </si>
  <si>
    <t xml:space="preserve">427 N Elena Ave #1 </t>
  </si>
  <si>
    <t xml:space="preserve">9 Telfer Dr  Glenwood, NJ 07418-1029 </t>
  </si>
  <si>
    <t>33029-6017</t>
  </si>
  <si>
    <t>02649-2693</t>
  </si>
  <si>
    <t>Eagles Landing</t>
  </si>
  <si>
    <t xml:space="preserve">2035 NE 34th St  Cape Coral, FL 33909 </t>
  </si>
  <si>
    <t>Denise Leroy</t>
  </si>
  <si>
    <t>Mosey</t>
  </si>
  <si>
    <t xml:space="preserve">10231 Meadow Beauty Trl </t>
  </si>
  <si>
    <t>41501-3404</t>
  </si>
  <si>
    <t>Arlene M Groseth and Marvin E Groseth Trust</t>
  </si>
  <si>
    <t>Samuel Hassan</t>
  </si>
  <si>
    <t>Cape Coral Unit 85 Blk 5663 Pb 24 Pg 58 Lots 19 + 20</t>
  </si>
  <si>
    <t>Rhinebeck</t>
  </si>
  <si>
    <t>Cyndy</t>
  </si>
  <si>
    <t>17-43-24-c1-05819.0630</t>
  </si>
  <si>
    <t xml:space="preserve">2314 NE 8th Pl </t>
  </si>
  <si>
    <t xml:space="preserve">1714 NE 44th St  Cape Coral, FL 33909 </t>
  </si>
  <si>
    <t xml:space="preserve">3003 Academy Blvd  Cape Coral, FL 33904 </t>
  </si>
  <si>
    <t>Lehigh Acres Unit 10 W 1/2 Blk 47 Pb 26 Pg 12 Lot 5</t>
  </si>
  <si>
    <t>Cape Coral Unit 88 Blk 5826 Pb 24 Pg 142 Lots 12 + 13</t>
  </si>
  <si>
    <t>03-44-26-12-00068.0090</t>
  </si>
  <si>
    <t xml:space="preserve">5751 Cypress Woods Resort Dr </t>
  </si>
  <si>
    <t xml:space="preserve">5697 Brightwood Dr  Fort Myers, FL 33905 </t>
  </si>
  <si>
    <t xml:space="preserve">2605 NE 2nd Ave  Cape Coral, FL 33909 </t>
  </si>
  <si>
    <t>Richard Lloyd</t>
  </si>
  <si>
    <t xml:space="preserve">44 Woodlane St </t>
  </si>
  <si>
    <t>B012</t>
  </si>
  <si>
    <t>01-44-23-c4-02445.0430</t>
  </si>
  <si>
    <t>Duhaney</t>
  </si>
  <si>
    <t>Joseph &amp; Richard Cupelli</t>
  </si>
  <si>
    <t>Muehltal</t>
  </si>
  <si>
    <t>Jurij</t>
  </si>
  <si>
    <t xml:space="preserve">8419 Rednock Ln  Miami Lakes, FL 33016-6433 </t>
  </si>
  <si>
    <t>Yankee Lake</t>
  </si>
  <si>
    <t>Manske</t>
  </si>
  <si>
    <t xml:space="preserve">1845 NE 22nd St </t>
  </si>
  <si>
    <t xml:space="preserve">1044 Bell Tower Dr  Lebanon, PA 17042-4935 </t>
  </si>
  <si>
    <t>33909-5263</t>
  </si>
  <si>
    <t>Cape Coral Unit 84 Blk 5553 Pb 24 Pg 38 Lots 67 + 68</t>
  </si>
  <si>
    <t>Janina</t>
  </si>
  <si>
    <t xml:space="preserve">290 Detroit Ave </t>
  </si>
  <si>
    <t>05-44-24-c1-03538.0200</t>
  </si>
  <si>
    <t>Waleska</t>
  </si>
  <si>
    <t>12-44-23-c1-02363.0030</t>
  </si>
  <si>
    <t xml:space="preserve">3614 NE 12th Pl  Cape Coral, FL 33909 </t>
  </si>
  <si>
    <t>60133-2525</t>
  </si>
  <si>
    <t>Gavin Gallagher</t>
  </si>
  <si>
    <t xml:space="preserve">2306 Andalusia Blvd  Cape Coral, FL 33909 </t>
  </si>
  <si>
    <t>32-43-24-c4-02224.0530</t>
  </si>
  <si>
    <t xml:space="preserve">5124 Cypress Trail Resort Cir </t>
  </si>
  <si>
    <t xml:space="preserve">811 W 57th Ter  Kansas City, MO 64113-1166 </t>
  </si>
  <si>
    <t>Holiday Travel Park Rv Condo Ph 1 Or 1557 Pg 1583 Unit 285</t>
  </si>
  <si>
    <t xml:space="preserve">4422 SW 129th Ave  Miami, FL 33175-4009 </t>
  </si>
  <si>
    <t xml:space="preserve">3206 Wisteria Ct  Augusta, GA 30907-3765 </t>
  </si>
  <si>
    <t xml:space="preserve">1128 Laurel Dr  York, PA 17404-9181 </t>
  </si>
  <si>
    <t>Howard &amp; Yajaira Dunkley</t>
  </si>
  <si>
    <t xml:space="preserve">89 Teddy Ave </t>
  </si>
  <si>
    <t>Lehigh Acres Unit 4 Blk 24 Pb 26 Pg 31 Lot 13</t>
  </si>
  <si>
    <t xml:space="preserve">5149 Water Lilly Way  Fort Pierce, FL 34981-4995 </t>
  </si>
  <si>
    <t>Jeanne</t>
  </si>
  <si>
    <t>Valdecy Oliveira</t>
  </si>
  <si>
    <t>20-43-24-c2-05658.0170</t>
  </si>
  <si>
    <t xml:space="preserve">1625 NE 33rd Ter </t>
  </si>
  <si>
    <t>Dwayne Weuve</t>
  </si>
  <si>
    <t>R002</t>
  </si>
  <si>
    <t>Juan Vilchez &amp; Diane Lopez-Carrasco</t>
  </si>
  <si>
    <t>Burch</t>
  </si>
  <si>
    <t>Valentin</t>
  </si>
  <si>
    <t>33901-0911</t>
  </si>
  <si>
    <t>Point</t>
  </si>
  <si>
    <t>Romain</t>
  </si>
  <si>
    <t>Richard &amp; Scott Ragno</t>
  </si>
  <si>
    <t xml:space="preserve">3727 Tareco St </t>
  </si>
  <si>
    <t>Walnut</t>
  </si>
  <si>
    <t>Governors Hill</t>
  </si>
  <si>
    <t>Daniela</t>
  </si>
  <si>
    <t xml:space="preserve">24 Long Meadow Pl  Rotonda West, FL 33947-1806 </t>
  </si>
  <si>
    <t xml:space="preserve">1732 NE 21st St </t>
  </si>
  <si>
    <t>25-43-23-c1-02325.0550</t>
  </si>
  <si>
    <t xml:space="preserve">1735 SE 46th St  Cape Coral, FL 33904 </t>
  </si>
  <si>
    <t>Ft Myers Shores Unit 6 Blk 90 Pb 17 Pg 75 Lot 24 + W 1/2 Of 25</t>
  </si>
  <si>
    <t>91320-4209</t>
  </si>
  <si>
    <t>33904-3420</t>
  </si>
  <si>
    <t>Iliana</t>
  </si>
  <si>
    <t>Vedishchev</t>
  </si>
  <si>
    <t>Dew</t>
  </si>
  <si>
    <t>Chesnokov</t>
  </si>
  <si>
    <t>BE</t>
  </si>
  <si>
    <t>C088</t>
  </si>
  <si>
    <t>06-44-24-c3-02061.0190</t>
  </si>
  <si>
    <t>Buckingham Pk Re Blk B U-2 Blk 6 Pb 27 Pg 189 Lot 15</t>
  </si>
  <si>
    <t>33182-1147</t>
  </si>
  <si>
    <t>32809-6501</t>
  </si>
  <si>
    <t xml:space="preserve">2917 SE 10th Pl  Cape Coral, FL 33904 </t>
  </si>
  <si>
    <t xml:space="preserve">1906 Ware Cir </t>
  </si>
  <si>
    <t>17-43-24-c2-05799.0550</t>
  </si>
  <si>
    <t>Chestnut Grove</t>
  </si>
  <si>
    <t xml:space="preserve">3534 Sanctuary Dr </t>
  </si>
  <si>
    <t xml:space="preserve">219 Sheridan Ave </t>
  </si>
  <si>
    <t>R1-W</t>
  </si>
  <si>
    <t xml:space="preserve">1019 Avenida Guardia Civil </t>
  </si>
  <si>
    <t xml:space="preserve">2915 W Wilder Ave  Tampa, FL 33614-6757 </t>
  </si>
  <si>
    <t>Armeda</t>
  </si>
  <si>
    <t xml:space="preserve">2012 NE 15th Ter  Cape Coral, FL 33909 </t>
  </si>
  <si>
    <t xml:space="preserve">8027 Altavan Ave  Los Angeles, CA 90045-2509 </t>
  </si>
  <si>
    <t>78744-4030</t>
  </si>
  <si>
    <t xml:space="preserve">5136 Cypress Trail Resort Cir  Fort Myers, FL 33905 </t>
  </si>
  <si>
    <t xml:space="preserve">1780 Us Highway 13 N </t>
  </si>
  <si>
    <t xml:space="preserve">2449 Rossett St  Fort Lee, NJ 07024-3919 </t>
  </si>
  <si>
    <t>68110-1901</t>
  </si>
  <si>
    <t>33909-1274</t>
  </si>
  <si>
    <t xml:space="preserve">111 W 120th St #2, New York, NY 10027-6402 </t>
  </si>
  <si>
    <t>New Port Richey</t>
  </si>
  <si>
    <t xml:space="preserve">416 Tropicana Pkwy E  Cape Coral, FL 33909 </t>
  </si>
  <si>
    <t>Jody</t>
  </si>
  <si>
    <t xml:space="preserve">106 Cultural Park Blvd N </t>
  </si>
  <si>
    <t>Kiser</t>
  </si>
  <si>
    <t>Cape Coral Unit 36 Pt 1 Blk 2509 Pb 23 Pg 90 Lots 30 + 31</t>
  </si>
  <si>
    <t xml:space="preserve">3919 NE 16th Pl </t>
  </si>
  <si>
    <t xml:space="preserve">616 Deer Creek North Shore Dr </t>
  </si>
  <si>
    <t xml:space="preserve">1720 NE 26th Ter  Cape Coral, FL 33909 </t>
  </si>
  <si>
    <t>Apt 304</t>
  </si>
  <si>
    <t xml:space="preserve">10216 Yellowtop Trl </t>
  </si>
  <si>
    <t>Manassas Park</t>
  </si>
  <si>
    <t xml:space="preserve">2 Twilley Rd </t>
  </si>
  <si>
    <t xml:space="preserve">1418 NE Juanita Pl </t>
  </si>
  <si>
    <t xml:space="preserve">2314 NE 36th St </t>
  </si>
  <si>
    <t>Pacific Island</t>
  </si>
  <si>
    <t xml:space="preserve">5250 Cypress Trail Resort Cir </t>
  </si>
  <si>
    <t>01-44-23-c2-02430.0550</t>
  </si>
  <si>
    <t xml:space="preserve">1209 NE 44th St </t>
  </si>
  <si>
    <t>Belle Vue Park Blk.G Pb 5 Pg 50 Lot 14</t>
  </si>
  <si>
    <t xml:space="preserve">10445 NW 130th St  Hialeah, FL 33018-1128 </t>
  </si>
  <si>
    <t>Garfield Heslop</t>
  </si>
  <si>
    <t xml:space="preserve">10337 SW 7th St </t>
  </si>
  <si>
    <t>Lehigh Acres W Pt Unit 14 Blk 82 Pb 26 Pg 20 Lot 7</t>
  </si>
  <si>
    <t xml:space="preserve">51 Breeze Ave </t>
  </si>
  <si>
    <t xml:space="preserve">1810 NE 41st St  Cape Coral, FL 33909 </t>
  </si>
  <si>
    <t>Brookview</t>
  </si>
  <si>
    <t>34119-8686</t>
  </si>
  <si>
    <t>Delray Beach</t>
  </si>
  <si>
    <t xml:space="preserve">PO Box 14  Brandy Station, VA 22714 </t>
  </si>
  <si>
    <t>32-43-24-c4-02227.0180</t>
  </si>
  <si>
    <t xml:space="preserve">5330 Peninsula Dr NW </t>
  </si>
  <si>
    <t xml:space="preserve">114 NE 7th Pl  Cape Coral, FL 33909 </t>
  </si>
  <si>
    <t>98327-7759</t>
  </si>
  <si>
    <t>10014-3305</t>
  </si>
  <si>
    <t>Rory &amp; Virginia Monk</t>
  </si>
  <si>
    <t>Los Angeles</t>
  </si>
  <si>
    <t>07722-2221</t>
  </si>
  <si>
    <t>Khmraj</t>
  </si>
  <si>
    <t>Lynkaylee</t>
  </si>
  <si>
    <t xml:space="preserve">1595 NE 135th St #213 </t>
  </si>
  <si>
    <t xml:space="preserve">2051 E 53rd Pl </t>
  </si>
  <si>
    <t>Carmen Fernandez</t>
  </si>
  <si>
    <t>Ella</t>
  </si>
  <si>
    <t xml:space="preserve">286 Deerfield Glen Dr </t>
  </si>
  <si>
    <t xml:space="preserve">9940 Asilomar Ln </t>
  </si>
  <si>
    <t># 31</t>
  </si>
  <si>
    <t>For Thomas O Merlino Trust</t>
  </si>
  <si>
    <t>Labrador Jacarti &amp; Mariana Tr</t>
  </si>
  <si>
    <t xml:space="preserve">339 Joys Ln  Hurley, NY 12443-5701 </t>
  </si>
  <si>
    <t xml:space="preserve">94 Magnolia Way </t>
  </si>
  <si>
    <t xml:space="preserve">107 N Wille St </t>
  </si>
  <si>
    <t>Salvatore</t>
  </si>
  <si>
    <t xml:space="preserve">1 International Pl  Boston, MA 02110-2602 </t>
  </si>
  <si>
    <t xml:space="preserve">334 NE 10th Ter  Cape Coral, FL 33909 </t>
  </si>
  <si>
    <t>33909-4639</t>
  </si>
  <si>
    <t>Rue Antoine Baron</t>
  </si>
  <si>
    <t xml:space="preserve">27 Centerville Rd  Holmdel, NJ 07733-1149 </t>
  </si>
  <si>
    <t xml:space="preserve">12020 NW 24th St </t>
  </si>
  <si>
    <t xml:space="preserve">3545 W 250 S  Kokomo, IN 46902-4658 </t>
  </si>
  <si>
    <t xml:space="preserve">102 Rosental </t>
  </si>
  <si>
    <t xml:space="preserve">2900 NE 6th Pl  Cape Coral, FL 33909 </t>
  </si>
  <si>
    <t xml:space="preserve">5758 Riverside Dr  Cape Coral, FL 33904 </t>
  </si>
  <si>
    <t>Cape Coral Unit 88 Blk 5796 Pb 24 Pg 131 Lots 26 + 27</t>
  </si>
  <si>
    <t>Cape Coral Unit 36 Part 1 Blk 2146 Pb 23 Pg 92 Lots 49 + 50</t>
  </si>
  <si>
    <t>33909-2732</t>
  </si>
  <si>
    <t>M1W 2P1</t>
  </si>
  <si>
    <t xml:space="preserve">3457 NE 9th Pl </t>
  </si>
  <si>
    <t>Bacchus</t>
  </si>
  <si>
    <t xml:space="preserve">34765 Gladstone Pl #100 </t>
  </si>
  <si>
    <t>Cape Coral Unit 35 Blk 2409 Pb 16 Pg 110 Lots 21 + 22</t>
  </si>
  <si>
    <t>Cape Coral Unit 26 Blk 417 Pb 14 Pg 126 Lots 24 + 25</t>
  </si>
  <si>
    <t>Jaime Rodriguez</t>
  </si>
  <si>
    <t>Knaap Vander</t>
  </si>
  <si>
    <t>208th</t>
  </si>
  <si>
    <t>Cape Coral Unit 34 Blk 2459 Pb 16 Pg 34 Lots 9 + 10</t>
  </si>
  <si>
    <t xml:space="preserve">637 Flock Ave </t>
  </si>
  <si>
    <t xml:space="preserve">550 Okeechobee Blvd #510 </t>
  </si>
  <si>
    <t>Marano</t>
  </si>
  <si>
    <t>06-44-24-c2-02064.0200</t>
  </si>
  <si>
    <t>Fleming</t>
  </si>
  <si>
    <t>Jannik Suter</t>
  </si>
  <si>
    <t xml:space="preserve">4723 Matilda Ave  Bronx, NY 10470-1018 </t>
  </si>
  <si>
    <t xml:space="preserve">6152 Herrick Ave  Fort Myers, FL 33905 </t>
  </si>
  <si>
    <t xml:space="preserve">257 Woodhill Ln </t>
  </si>
  <si>
    <t>Cape Coral Unit 36 Blk 2295 Pb 16 Pg 120 Lots 32 + 33</t>
  </si>
  <si>
    <t>Cape Coral Unit 36 Pt 1 Blk 2488 Pb 23 Pg 88 Lots 35 + 36</t>
  </si>
  <si>
    <t>35-45-24-00-00001.0040</t>
  </si>
  <si>
    <t xml:space="preserve">4324 17th Ave SW  Naples, FL 34116-5900 </t>
  </si>
  <si>
    <t>Esperanza</t>
  </si>
  <si>
    <t xml:space="preserve">6140 Barkwood Ct </t>
  </si>
  <si>
    <t xml:space="preserve">1317 NE 22nd Ave  Cape Coral, FL 33909 </t>
  </si>
  <si>
    <t>Araquistain</t>
  </si>
  <si>
    <t>18-43-24-c4-05682.0310</t>
  </si>
  <si>
    <t xml:space="preserve">3852 Insdale St </t>
  </si>
  <si>
    <t xml:space="preserve">23371 Mulholland Dr #443 </t>
  </si>
  <si>
    <t xml:space="preserve">3909 NE 15th Ave </t>
  </si>
  <si>
    <t xml:space="preserve">5246 Cypress Trail Resort Cir </t>
  </si>
  <si>
    <t>Old State Route 74</t>
  </si>
  <si>
    <t xml:space="preserve">22 Alte Berchtesgadener St </t>
  </si>
  <si>
    <t>Patricia Gareau &amp; Nancy Landy</t>
  </si>
  <si>
    <t xml:space="preserve">1112 NE 32nd Ln </t>
  </si>
  <si>
    <t>32-43-24-c2-02241.0120</t>
  </si>
  <si>
    <t xml:space="preserve">912 NE 1st Pl  Cape Coral, FL 33909 </t>
  </si>
  <si>
    <t>Lucian &amp; Carol Hammonds</t>
  </si>
  <si>
    <t>Cape Coral Unit 17 Blk 1529 Pb 14 Pg 35 Lots 27 + 28</t>
  </si>
  <si>
    <t xml:space="preserve">3307 NE 9th Ave  Cape Coral, FL 33909 </t>
  </si>
  <si>
    <t>33904-5665</t>
  </si>
  <si>
    <t>Bartonville</t>
  </si>
  <si>
    <t>20-46-25-05-00003.0010</t>
  </si>
  <si>
    <t>C034</t>
  </si>
  <si>
    <t>Cape Coral Unit 84 Blk 5548 Pb 24 Pg 46 Lots 47 + 48</t>
  </si>
  <si>
    <t xml:space="preserve">265 Ch Des Cruyes  Liverpool, NY 13090 </t>
  </si>
  <si>
    <t>John &amp; Kimberly Marion</t>
  </si>
  <si>
    <t xml:space="preserve">2317 NE 39th St </t>
  </si>
  <si>
    <t>11418-1140</t>
  </si>
  <si>
    <t>Cape Coral Unit 32 Blk 2101 Pb 16 Pg 2 Llots 26 27 + 28</t>
  </si>
  <si>
    <t xml:space="preserve">3 Voglbachlweg </t>
  </si>
  <si>
    <t xml:space="preserve">906 NE Juanita Pl </t>
  </si>
  <si>
    <t>Barreto</t>
  </si>
  <si>
    <t>Eldonna</t>
  </si>
  <si>
    <t>Beatty</t>
  </si>
  <si>
    <t xml:space="preserve">2006 NE 12th Ln </t>
  </si>
  <si>
    <t>54235-9735</t>
  </si>
  <si>
    <t xml:space="preserve">1033 NE 40th Ter </t>
  </si>
  <si>
    <t xml:space="preserve">233 NE 15th Pl  Cape Coral, FL 33909 </t>
  </si>
  <si>
    <t>Boguslawa</t>
  </si>
  <si>
    <t>36-43-23-c2-02544.0070</t>
  </si>
  <si>
    <t xml:space="preserve">1993 Burlington Dr  West Fargo, ND 58078-4324 </t>
  </si>
  <si>
    <t xml:space="preserve">123 Aviation Pkwy  Cape Coral, FL 33904 </t>
  </si>
  <si>
    <t>33165-3711</t>
  </si>
  <si>
    <t>914a</t>
  </si>
  <si>
    <t xml:space="preserve">1914 NE 15th Ln  Cape Coral, FL 33909 </t>
  </si>
  <si>
    <t>David &amp; Tonja Murray</t>
  </si>
  <si>
    <t>33909-6285</t>
  </si>
  <si>
    <t>34714-6654</t>
  </si>
  <si>
    <t xml:space="preserve">14060 Cedardale St </t>
  </si>
  <si>
    <t xml:space="preserve">5887 Brightwood Dr </t>
  </si>
  <si>
    <t xml:space="preserve">2050 Jamieson Ave #1210 </t>
  </si>
  <si>
    <t>Espaillat</t>
  </si>
  <si>
    <t xml:space="preserve">2129 Meredith Way </t>
  </si>
  <si>
    <t>29-43-24-c4-02285.0180</t>
  </si>
  <si>
    <t>11-44-25-00-00002.0210</t>
  </si>
  <si>
    <t>33909-1220</t>
  </si>
  <si>
    <t xml:space="preserve">5442/5444 Fifth Ave  Fort Myers, FL 33907 </t>
  </si>
  <si>
    <t>League City</t>
  </si>
  <si>
    <t xml:space="preserve">2733 NE 5th Pl  Cape Coral, FL 33909 </t>
  </si>
  <si>
    <t>Arshad</t>
  </si>
  <si>
    <t>18-43-24-c4-05586.0210</t>
  </si>
  <si>
    <t>Andres Gallego</t>
  </si>
  <si>
    <t>Cape Coral Unit 34 Blk 2452 Pb 16 Pg 86 Lots 29 + 30</t>
  </si>
  <si>
    <t>Blue Warbler</t>
  </si>
  <si>
    <t xml:space="preserve">6025 Lacota Ave  Fort Myers, FL 33905 </t>
  </si>
  <si>
    <t xml:space="preserve">3433 NE 11th Pl </t>
  </si>
  <si>
    <t>Tye</t>
  </si>
  <si>
    <t>12-44-23-c2-02394.0370</t>
  </si>
  <si>
    <t xml:space="preserve">37618 8 mile Rd </t>
  </si>
  <si>
    <t>18-43-24-c4-05683.0110</t>
  </si>
  <si>
    <t xml:space="preserve">2016 NE 40th St </t>
  </si>
  <si>
    <t>Kearny</t>
  </si>
  <si>
    <t xml:space="preserve">6610 Cody St </t>
  </si>
  <si>
    <t>Johane Baptiste &amp; Arsene Castor</t>
  </si>
  <si>
    <t>Dwayne Sandy</t>
  </si>
  <si>
    <t>B100</t>
  </si>
  <si>
    <t xml:space="preserve">1105 NE 7th Ave  Cape Coral, FL 33909 </t>
  </si>
  <si>
    <t xml:space="preserve">2983 Joyce Ct </t>
  </si>
  <si>
    <t>Cape Coral Unit 36 Blk 2319 Pb 16 Pg 129 Lots 53 + 54</t>
  </si>
  <si>
    <t>05-45-24-c3-00566.0410</t>
  </si>
  <si>
    <t>Cape Coral Unit 87 Blk 5692 Pb 24 Pg 85 Lots 43 + 44</t>
  </si>
  <si>
    <t xml:space="preserve">3924 Garden Blvd  Cape Coral, FL 33909 </t>
  </si>
  <si>
    <t>76182-7422</t>
  </si>
  <si>
    <t xml:space="preserve">19 E Circuit Dr  Succasunna, NJ 07876-1914 </t>
  </si>
  <si>
    <t>Glengariff</t>
  </si>
  <si>
    <t>95757-1768</t>
  </si>
  <si>
    <t xml:space="preserve">12040 NE 16th Ave #212 </t>
  </si>
  <si>
    <t xml:space="preserve">2621 N Old Dixie Hwy  Fort Pierce, FL 34946-8717 </t>
  </si>
  <si>
    <t>Wei</t>
  </si>
  <si>
    <t>33834-4037</t>
  </si>
  <si>
    <t>03-44-26-12-00060.0210</t>
  </si>
  <si>
    <t xml:space="preserve">9 Prairie Rose Ct </t>
  </si>
  <si>
    <t>For Stacy Family Trust</t>
  </si>
  <si>
    <t>60142-7114</t>
  </si>
  <si>
    <t xml:space="preserve">401 1st Ave 2a, New York, NY 10010-4008 </t>
  </si>
  <si>
    <t xml:space="preserve">1520 Kenmar Dr </t>
  </si>
  <si>
    <t>11355-2563</t>
  </si>
  <si>
    <t>Orban</t>
  </si>
  <si>
    <t xml:space="preserve">664 Palm Lake Dr </t>
  </si>
  <si>
    <t>For Prc Family Trust</t>
  </si>
  <si>
    <t xml:space="preserve">8787 Bay Colony Dr #3000, Naples, FL 34108 </t>
  </si>
  <si>
    <t>33904-4153</t>
  </si>
  <si>
    <t>Palmona Park Unit 2 Blk 30 Pb 7 Pg 57 Lot 6</t>
  </si>
  <si>
    <t xml:space="preserve">2523 NE 7th Pl </t>
  </si>
  <si>
    <t>33060-7032</t>
  </si>
  <si>
    <t xml:space="preserve">6726 W 400 S  Delphi, IN 46923-8865 </t>
  </si>
  <si>
    <t xml:space="preserve">2205 Kismet Pkwy E  Cape Coral, FL 33909 </t>
  </si>
  <si>
    <t xml:space="preserve">36 Meek Ave  Mono, ON L9w 6W8 </t>
  </si>
  <si>
    <t>33156-7436</t>
  </si>
  <si>
    <t xml:space="preserve">1709 NE 13th Ave  Cape Coral, FL 33909 </t>
  </si>
  <si>
    <t>18102-2209</t>
  </si>
  <si>
    <t xml:space="preserve">902 N Clarksville Rd  Oregonia, OH 45054-9730 </t>
  </si>
  <si>
    <t>Iris Rivas</t>
  </si>
  <si>
    <t>32-43-24-c1-02192.0640</t>
  </si>
  <si>
    <t xml:space="preserve">134 N 44th Rd </t>
  </si>
  <si>
    <t xml:space="preserve">4320 NE 23rd Pl  Cape Coral, FL 33909 </t>
  </si>
  <si>
    <t>Caroma</t>
  </si>
  <si>
    <t>94568-4295</t>
  </si>
  <si>
    <t>Cape Coral Unit 25 Blk.901 Pb 14 Pg 93 Lots 35 + 36</t>
  </si>
  <si>
    <t xml:space="preserve">319 SE 29th Ter </t>
  </si>
  <si>
    <t>Weirton</t>
  </si>
  <si>
    <t>Lisa Haugen &amp; Mary Krajcer</t>
  </si>
  <si>
    <t xml:space="preserve">3809 Pine Ridge Rd  Orlando, FL 32808-2541 </t>
  </si>
  <si>
    <t>Gratiot County Line Rt 2</t>
  </si>
  <si>
    <t xml:space="preserve">32 Richmond Rd  Assonet, MA 02702-1923 </t>
  </si>
  <si>
    <t>17-43-24-c2-05812.0190</t>
  </si>
  <si>
    <t>12-45-23-c1-00234.0170</t>
  </si>
  <si>
    <t>Diamelis</t>
  </si>
  <si>
    <t>17-44-25-p2-0170g.0160</t>
  </si>
  <si>
    <t xml:space="preserve">20846 Pinar Trl  Boca Raton, FL 33433-1618 </t>
  </si>
  <si>
    <t xml:space="preserve">8 Hohenstrabe  Eisingen, DE 75239 </t>
  </si>
  <si>
    <t>Lehigh Acres Unit 6 Blk 31 Pb 26 Pg 8 Lot 22</t>
  </si>
  <si>
    <t>Rajesh</t>
  </si>
  <si>
    <t>Scott &amp; Heather Kerkman</t>
  </si>
  <si>
    <t>Currie</t>
  </si>
  <si>
    <t>Cape Coral Unit 87 Blk 5734 Pb 24 Pg 78 Lots 27 + 28</t>
  </si>
  <si>
    <t xml:space="preserve">21 Rue Chasselas </t>
  </si>
  <si>
    <t xml:space="preserve">6775 SW 158th Ave </t>
  </si>
  <si>
    <t xml:space="preserve">4011 NE 19th Ave  Cape Coral, FL 33909 </t>
  </si>
  <si>
    <t>Cape Coral Unit 35 Blk.2366 Pb 16 Pg 105 Lots 49 + 50</t>
  </si>
  <si>
    <t>19th</t>
  </si>
  <si>
    <t xml:space="preserve">2735 NE 5th Ave  Cape Coral, FL 33909 </t>
  </si>
  <si>
    <t xml:space="preserve">826 NE 34th Ter  Cape Coral, FL 33909 </t>
  </si>
  <si>
    <t xml:space="preserve">5221 Pineland Daisy Trl  Fort Myers, FL 33905 </t>
  </si>
  <si>
    <t xml:space="preserve">2556 99th St </t>
  </si>
  <si>
    <t>Szkipala</t>
  </si>
  <si>
    <t>06-44-24-c3-02042.0440</t>
  </si>
  <si>
    <t xml:space="preserve">1352 S End Pkwy #700, Plainfield, NJ 07060-3345 </t>
  </si>
  <si>
    <t xml:space="preserve">316 NE 24th Ter  Cape Coral, FL 33909 </t>
  </si>
  <si>
    <t>Cape Coral Unit 36 Pt 1 Blk 2545 Pb 23 Pg 94 Lots 7 + 8</t>
  </si>
  <si>
    <t>33909-2781</t>
  </si>
  <si>
    <t xml:space="preserve">2730 NE 2nd Pl  Cape Coral, FL 33909 </t>
  </si>
  <si>
    <t xml:space="preserve">PO Box 10984  Midland, TX 79702-7984 </t>
  </si>
  <si>
    <t>Cape Coral Unit 4 Part 2 Blk 134 Pb 12 Pg 13-22 Lots 41 + 42</t>
  </si>
  <si>
    <t>North Tazewell</t>
  </si>
  <si>
    <t>07072-1122</t>
  </si>
  <si>
    <t xml:space="preserve">4416 Ramsey Blvd </t>
  </si>
  <si>
    <t xml:space="preserve">191 Saint Nicholas Ave 7d </t>
  </si>
  <si>
    <t>Ensign</t>
  </si>
  <si>
    <t xml:space="preserve">3714 Tracy St </t>
  </si>
  <si>
    <t xml:space="preserve">5183 Cypress Trail Resort Cir  Fort Myers, FL 33905 </t>
  </si>
  <si>
    <t>Barbara Rosenbaum &amp; Joyce Taylor</t>
  </si>
  <si>
    <t>Rte</t>
  </si>
  <si>
    <t>Billy Ford</t>
  </si>
  <si>
    <t xml:space="preserve">1031 Aqua Ln </t>
  </si>
  <si>
    <t>Engle</t>
  </si>
  <si>
    <t>33909-6520</t>
  </si>
  <si>
    <t xml:space="preserve">4024 W Gator Cir </t>
  </si>
  <si>
    <t>34120-1737</t>
  </si>
  <si>
    <t xml:space="preserve">10303 Fire Flag Trl  Fort Myers, FL 33905 </t>
  </si>
  <si>
    <t>L5M 5J9</t>
  </si>
  <si>
    <t xml:space="preserve">1633 SE 47th Ter </t>
  </si>
  <si>
    <t>11-44-25-06-0000d.1170</t>
  </si>
  <si>
    <t xml:space="preserve">8242 NW 42nd St  Coral Springs, FL 33065-1303 </t>
  </si>
  <si>
    <t xml:space="preserve">1101 N Gator Cir  Cape Coral, FL 33909 </t>
  </si>
  <si>
    <t>Leslie Duong</t>
  </si>
  <si>
    <t>Hardin Ridge</t>
  </si>
  <si>
    <t>Zvulun</t>
  </si>
  <si>
    <t xml:space="preserve">131 Allan St </t>
  </si>
  <si>
    <t>Camacho</t>
  </si>
  <si>
    <t>Vida</t>
  </si>
  <si>
    <t>33904-5322</t>
  </si>
  <si>
    <t>Harbor</t>
  </si>
  <si>
    <t>Cypress Trail Rv Resort As Desc In Inst# 2013000212499 Lot 273</t>
  </si>
  <si>
    <t>05-44-24-c2-03513.0300</t>
  </si>
  <si>
    <t xml:space="preserve">1522 NE 17th St </t>
  </si>
  <si>
    <t>16-43-24-01-00000.0680</t>
  </si>
  <si>
    <t xml:space="preserve">85 Union Ave </t>
  </si>
  <si>
    <t>31-43-24-c2-02155.0210</t>
  </si>
  <si>
    <t>Breeze</t>
  </si>
  <si>
    <t>Carriage</t>
  </si>
  <si>
    <t>Anh &amp; Lananh Do</t>
  </si>
  <si>
    <t>40004-2180</t>
  </si>
  <si>
    <t>Cape Coral Unit 31 Blk 2056 Pb 14 Pg 158 Lots 24 + 25</t>
  </si>
  <si>
    <t xml:space="preserve">2524 NE Juanita Pl  Cape Coral, FL 33909 </t>
  </si>
  <si>
    <t>Frank Schwuchow</t>
  </si>
  <si>
    <t>Kolmar</t>
  </si>
  <si>
    <t>Florence</t>
  </si>
  <si>
    <t>Aboud</t>
  </si>
  <si>
    <t>Kosciuszko</t>
  </si>
  <si>
    <t>Iris Torres</t>
  </si>
  <si>
    <t xml:space="preserve">3 Chemin Du Crosery </t>
  </si>
  <si>
    <t xml:space="preserve">1216 Pleasant Valley Rd N  Groton, CT 06340-6121 </t>
  </si>
  <si>
    <t>Cypress Woods Rv Resort Desc In Inst#2006-358211 Lot 148</t>
  </si>
  <si>
    <t>33125-1292</t>
  </si>
  <si>
    <t>29-43-24-c4-02283.0090</t>
  </si>
  <si>
    <t>Kimberly Caples</t>
  </si>
  <si>
    <t>Cape Coral Unit 31 Blk 2065 Pb 14 Pg 160 Lots 48 + 49</t>
  </si>
  <si>
    <t>Chemin Du Beav Veze</t>
  </si>
  <si>
    <t xml:space="preserve">185 Nanshanlu Huliqu #502, Xiamen, CN 36100 </t>
  </si>
  <si>
    <t>31-43-24-c2-02126.0390</t>
  </si>
  <si>
    <t>Harriman</t>
  </si>
  <si>
    <t>Bochi</t>
  </si>
  <si>
    <t>Jose Roberto Budejen &amp; Jose Budejen</t>
  </si>
  <si>
    <t>Lehigh Acres Unit 3 Blk 12 Pb 26 Pg 5 Lot 7</t>
  </si>
  <si>
    <t xml:space="preserve">7704 Rock Palm Ave #101, Tampa, FL 33615-2659 </t>
  </si>
  <si>
    <t>Wauters</t>
  </si>
  <si>
    <t xml:space="preserve">327 Royal Palm Park Rd  Fort Myers, FL 33905 </t>
  </si>
  <si>
    <t>60010-9343</t>
  </si>
  <si>
    <t>Chelmsford</t>
  </si>
  <si>
    <t>Notre-Dame</t>
  </si>
  <si>
    <t xml:space="preserve">104 Jacaranda Pkwy E  Cape Coral, FL 33909 </t>
  </si>
  <si>
    <t xml:space="preserve">2641 Elmbrook Dr </t>
  </si>
  <si>
    <t>Carly Sauveur</t>
  </si>
  <si>
    <t>18-43-24-c3-05749.0650</t>
  </si>
  <si>
    <t>Rondon</t>
  </si>
  <si>
    <t xml:space="preserve">22 Manning Rd </t>
  </si>
  <si>
    <t>Ronald Kaufman</t>
  </si>
  <si>
    <t xml:space="preserve">2667 Westwinde St NW </t>
  </si>
  <si>
    <t>Land O Lakes</t>
  </si>
  <si>
    <t>14051-1764</t>
  </si>
  <si>
    <t>03-44-26-09-00046.0030</t>
  </si>
  <si>
    <t>Cape Coral Unit 34 Blk 2467 Pb 16 Pg 75 Lots 9 + 10</t>
  </si>
  <si>
    <t>33905-5122</t>
  </si>
  <si>
    <t xml:space="preserve">13401 W Calusa Club Dr  Miami, FL 33186-1568 </t>
  </si>
  <si>
    <t>Cypress Woods Rv Resort Ut 1 Pb 65 Pg 85 + 86 Blk B Lot 72</t>
  </si>
  <si>
    <t xml:space="preserve">5919 Brightwood Dr </t>
  </si>
  <si>
    <t xml:space="preserve">204 NE 9th St  Cape Coral, FL 33909 </t>
  </si>
  <si>
    <t>Martinelli</t>
  </si>
  <si>
    <t>Krumpack</t>
  </si>
  <si>
    <t>Tudor Secasiu</t>
  </si>
  <si>
    <t xml:space="preserve">1852 Danielle Ln </t>
  </si>
  <si>
    <t>98837-9475</t>
  </si>
  <si>
    <t>Ramon Pizarro &amp; Lissette Rivera</t>
  </si>
  <si>
    <t>Veronica Artiles</t>
  </si>
  <si>
    <t>36-43-23-c4-02493.0010</t>
  </si>
  <si>
    <t>Cape Coral Unit 84 Blk 5557 Pb 24 Pg 32 Lots 7 + 8</t>
  </si>
  <si>
    <t xml:space="preserve">1105 NE 2nd Ave </t>
  </si>
  <si>
    <t>Seagrape</t>
  </si>
  <si>
    <t xml:space="preserve">1306 NE 12th St  Cape Coral, FL 33909 </t>
  </si>
  <si>
    <t>18-43-24-c2-05723.0340</t>
  </si>
  <si>
    <t>Keansburg</t>
  </si>
  <si>
    <t>78045-6420</t>
  </si>
  <si>
    <t>Plasencia</t>
  </si>
  <si>
    <t xml:space="preserve">4211 NE 20th Ct </t>
  </si>
  <si>
    <t xml:space="preserve">130 Deming Ln  Terre Haute, IN 47803-2079 </t>
  </si>
  <si>
    <t>Murakami</t>
  </si>
  <si>
    <t xml:space="preserve">4435 E County Road 550 N </t>
  </si>
  <si>
    <t xml:space="preserve">709 NE 31st Ter  Cape Coral, FL 33909 </t>
  </si>
  <si>
    <t>11729-2315</t>
  </si>
  <si>
    <t xml:space="preserve">5310 Craftsman Dr </t>
  </si>
  <si>
    <t xml:space="preserve">1518 NE 8th Pl </t>
  </si>
  <si>
    <t>John &amp; Monica Manthey</t>
  </si>
  <si>
    <t>Jackob Raz</t>
  </si>
  <si>
    <t>Mary Ann Priest &amp; Mary Priest</t>
  </si>
  <si>
    <t xml:space="preserve">2940 E 2850 north Rd </t>
  </si>
  <si>
    <t xml:space="preserve">1100 NE 44th Ln  Cape Coral, FL 33909 </t>
  </si>
  <si>
    <t>33909-4634</t>
  </si>
  <si>
    <t>Wylie</t>
  </si>
  <si>
    <t>Cypress Woods Rv Resort Unit 4 Pb 79 Pgs 68-71 Blk D Lot 18</t>
  </si>
  <si>
    <t xml:space="preserve">1521 SW 34th Ave  Fort Lauderdale, FL 33312-3609 </t>
  </si>
  <si>
    <t xml:space="preserve">302 NE 25th Ter  Cape Coral, FL 33909 </t>
  </si>
  <si>
    <t>95864-3149</t>
  </si>
  <si>
    <t xml:space="preserve">18970 Knoll Landing Dr  Fort Myers, FL 33908 </t>
  </si>
  <si>
    <t xml:space="preserve">3811 La Rue St  Fort Myers, FL 33905 </t>
  </si>
  <si>
    <t xml:space="preserve">1804 NE 10th Pl  Cape Coral, FL 33909 </t>
  </si>
  <si>
    <t xml:space="preserve">2445 Bluffs Cir  Pensacola, FL 32503-5833 </t>
  </si>
  <si>
    <t xml:space="preserve">248 Coneflower St  Encinitas, CA 92024-3301 </t>
  </si>
  <si>
    <t>Boon</t>
  </si>
  <si>
    <t>Alecia &amp; Delano Stephenson</t>
  </si>
  <si>
    <t>33909-1579</t>
  </si>
  <si>
    <t xml:space="preserve">182 Paraggi Ct  Clayton, NC 27527-9219 </t>
  </si>
  <si>
    <t>Milos &amp; Maria Papich</t>
  </si>
  <si>
    <t>33067-1439</t>
  </si>
  <si>
    <t>06-44-24-c3-02064.0620</t>
  </si>
  <si>
    <t>Minkel</t>
  </si>
  <si>
    <t>David &amp; David Peterson</t>
  </si>
  <si>
    <t>Douglass</t>
  </si>
  <si>
    <t xml:space="preserve">1314 NE 19th Pl </t>
  </si>
  <si>
    <t xml:space="preserve">4402 NE 72nd Ave </t>
  </si>
  <si>
    <t xml:space="preserve">103 10 91 St </t>
  </si>
  <si>
    <t>B A H A Building America Homes</t>
  </si>
  <si>
    <t>Luz Saenz</t>
  </si>
  <si>
    <t xml:space="preserve">11774 Quail Village Way </t>
  </si>
  <si>
    <t>Cape Coral Unit 36 Blk 2304 Pb 16 Pg 122 Lots 29 + 30</t>
  </si>
  <si>
    <t>55125-3827</t>
  </si>
  <si>
    <t>Capac</t>
  </si>
  <si>
    <t>J &amp; Marlis Schmid</t>
  </si>
  <si>
    <t>48082-2558</t>
  </si>
  <si>
    <t>PO Box 188</t>
  </si>
  <si>
    <t xml:space="preserve">3853 Insdale St  Fort Myers, FL 33905 </t>
  </si>
  <si>
    <t>Buckingham Pk Re Blk B U-5 Blk 25 Pb 27 Pg 193 Lot 7</t>
  </si>
  <si>
    <t xml:space="preserve">4417 NE 21st Ave </t>
  </si>
  <si>
    <t>Carlos &amp; May Faraon</t>
  </si>
  <si>
    <t>American &amp; Paul Croll</t>
  </si>
  <si>
    <t>Lehigh Acres Unit 9 Blk 40 Pb 26 Pg 11 Lot 15</t>
  </si>
  <si>
    <t>91335-3722</t>
  </si>
  <si>
    <t xml:space="preserve">PO Box 158  Gainesville, VA 20156 </t>
  </si>
  <si>
    <t>West Lebanon</t>
  </si>
  <si>
    <t>Tollefson</t>
  </si>
  <si>
    <t>10605-5311</t>
  </si>
  <si>
    <t>11-44-25-08-00000.4680</t>
  </si>
  <si>
    <t>19-43-24-c1-05580.0240</t>
  </si>
  <si>
    <t>Lyndel</t>
  </si>
  <si>
    <t>Pulley</t>
  </si>
  <si>
    <t>07305-1422</t>
  </si>
  <si>
    <t>Brian Griffith</t>
  </si>
  <si>
    <t>Hogsten</t>
  </si>
  <si>
    <t xml:space="preserve">19 St Sulpice Rue </t>
  </si>
  <si>
    <t xml:space="preserve">1801 NE 13th Ave </t>
  </si>
  <si>
    <t xml:space="preserve">3748 Kenyon St  Fort Myers, FL 33905 </t>
  </si>
  <si>
    <t>Barbara Cohen</t>
  </si>
  <si>
    <t>33772-5206</t>
  </si>
  <si>
    <t xml:space="preserve">14825 Oakwood Ct </t>
  </si>
  <si>
    <t xml:space="preserve">1432 NE 37th St </t>
  </si>
  <si>
    <t>17404-9181</t>
  </si>
  <si>
    <t xml:space="preserve">8144 NW 163rd Ter  Miami Lakes, FL 33016-6102 </t>
  </si>
  <si>
    <t>Isidora Badua</t>
  </si>
  <si>
    <t xml:space="preserve">5528/5530 Seventh Ave  Fort Myers, FL 33907 </t>
  </si>
  <si>
    <t xml:space="preserve"># 7 </t>
  </si>
  <si>
    <t>Glenforest</t>
  </si>
  <si>
    <t>Walter &amp; Linda Amend</t>
  </si>
  <si>
    <t>Etelka</t>
  </si>
  <si>
    <t>Comesana</t>
  </si>
  <si>
    <t>Kazanowski</t>
  </si>
  <si>
    <t xml:space="preserve">250 Pleasant View Dr  Lancaster, NY 14086-1106 </t>
  </si>
  <si>
    <t xml:space="preserve">2308 Scholte Straat </t>
  </si>
  <si>
    <t xml:space="preserve">NE 13th circle Dr #111, Homestead, FL 33033 </t>
  </si>
  <si>
    <t xml:space="preserve">921 NE 4th Pl  Cape Coral, FL 33909 </t>
  </si>
  <si>
    <t xml:space="preserve">917 SE 27th Ter  Cape Coral, FL 33904 </t>
  </si>
  <si>
    <t xml:space="preserve">1941 NE 15th St </t>
  </si>
  <si>
    <t>Bockholt</t>
  </si>
  <si>
    <t>Berhane Tsegai B &amp; Mehret B Tr</t>
  </si>
  <si>
    <t>Osewski</t>
  </si>
  <si>
    <t xml:space="preserve">11774 Quail Village Way  Naples, FL 34119-8911 </t>
  </si>
  <si>
    <t xml:space="preserve">2911 Gable Landing Ln  Katy, TX 77494-5988 </t>
  </si>
  <si>
    <t xml:space="preserve">3503 NE 17th Ave </t>
  </si>
  <si>
    <t xml:space="preserve">3339 NE 13th Ave </t>
  </si>
  <si>
    <t>01-44-23-c3-02427.0050</t>
  </si>
  <si>
    <t>Bay Point</t>
  </si>
  <si>
    <t xml:space="preserve">61 Mittenfeldstrasse </t>
  </si>
  <si>
    <t>Arostegui</t>
  </si>
  <si>
    <t>James &amp; Mindy Evarts</t>
  </si>
  <si>
    <t>16-43-24-01-00000.1310</t>
  </si>
  <si>
    <t xml:space="preserve">1329 NE 15th Ter </t>
  </si>
  <si>
    <t>Grant</t>
  </si>
  <si>
    <t>Griffith</t>
  </si>
  <si>
    <t>Adamson</t>
  </si>
  <si>
    <t xml:space="preserve">1414 NE 3rd Ave  Cape Coral, FL 33909 </t>
  </si>
  <si>
    <t>33015-2019</t>
  </si>
  <si>
    <t>48183-2540</t>
  </si>
  <si>
    <t>33909-1329</t>
  </si>
  <si>
    <t xml:space="preserve">41 Fair Oaks Dr  Saint Louis, MO 63124-1520 </t>
  </si>
  <si>
    <t>06-44-24-c1-02069.0540</t>
  </si>
  <si>
    <t>Marjorie Mckay</t>
  </si>
  <si>
    <t>Thoon</t>
  </si>
  <si>
    <t>04-44-25-05-00003.0100</t>
  </si>
  <si>
    <t xml:space="preserve">2732 NE 6th Pl </t>
  </si>
  <si>
    <t>Cape Coral Unit 31 Blk 2073 Pb 14 Pg 160 Lots 69 + 70</t>
  </si>
  <si>
    <t>Nghia</t>
  </si>
  <si>
    <t xml:space="preserve">1376 Washington Rd  Pittsburgh, PA 15228-1611 </t>
  </si>
  <si>
    <t>Meriden</t>
  </si>
  <si>
    <t>Ripoll</t>
  </si>
  <si>
    <t>Deer Park</t>
  </si>
  <si>
    <t xml:space="preserve">1732 NE 1st Ave </t>
  </si>
  <si>
    <t>Dunellen</t>
  </si>
  <si>
    <t xml:space="preserve">2217 NE 4th St  Cape Coral, FL 33909 </t>
  </si>
  <si>
    <t>Rezaba</t>
  </si>
  <si>
    <t xml:space="preserve">2415 NE 23rd Pl  Cape Coral, FL 33909 </t>
  </si>
  <si>
    <t>07960-6130</t>
  </si>
  <si>
    <t>Garzon</t>
  </si>
  <si>
    <t>98674-9689</t>
  </si>
  <si>
    <t>American &amp; Brenda S Wonderly-Smith</t>
  </si>
  <si>
    <t>11-44-25-04-0000b.0380</t>
  </si>
  <si>
    <t>10463-4305</t>
  </si>
  <si>
    <t xml:space="preserve">2 Rue De La Roite </t>
  </si>
  <si>
    <t>33909-2580</t>
  </si>
  <si>
    <t xml:space="preserve">3014 SE 18th Pl  Cape Coral, FL 33904 </t>
  </si>
  <si>
    <t>Clemente &amp; Luz Coronado Family</t>
  </si>
  <si>
    <t xml:space="preserve">2408 Parkview Dr  Fort Myers, FL 33905 </t>
  </si>
  <si>
    <t>Sloane</t>
  </si>
  <si>
    <t xml:space="preserve">1445 Route 776 </t>
  </si>
  <si>
    <t>Mander</t>
  </si>
  <si>
    <t>Cape Coral Unit 32 Blk 2153 Pb 16 Pg 13 Lots 21 + 22</t>
  </si>
  <si>
    <t>33904-7317</t>
  </si>
  <si>
    <t>Brest</t>
  </si>
  <si>
    <t>19-43-24-c2-05605.0670</t>
  </si>
  <si>
    <t>17f-3</t>
  </si>
  <si>
    <t xml:space="preserve">60 Bay Ridge Pkwy  Brooklyn, NY 11209-1925 </t>
  </si>
  <si>
    <t>36-43-23-c4-02486.0370</t>
  </si>
  <si>
    <t xml:space="preserve">4171 Saltwater Blvd  Tampa, FL 33615-5638 </t>
  </si>
  <si>
    <t xml:space="preserve">910 NE 15th Ln  Cape Coral, FL 33909 </t>
  </si>
  <si>
    <t xml:space="preserve">2137 Greenwood Dr  Waldorf, MD 20601-2902 </t>
  </si>
  <si>
    <t>Jeannine</t>
  </si>
  <si>
    <t>55066-1232</t>
  </si>
  <si>
    <t>Qin Gao</t>
  </si>
  <si>
    <t>Bibi</t>
  </si>
  <si>
    <t>07069-5417</t>
  </si>
  <si>
    <t>For Elizabeth Payne Trust</t>
  </si>
  <si>
    <t>Eliecerandres</t>
  </si>
  <si>
    <t>Cape Coral Unit 87 Blk 5684 Pb 24 Pg 74 Lots 3 + 4</t>
  </si>
  <si>
    <t>80601-4648</t>
  </si>
  <si>
    <t xml:space="preserve">1406 Shelby Pkwy </t>
  </si>
  <si>
    <t xml:space="preserve">612 93rd Ave N  Saint Petersburg, FL 33702-3040 </t>
  </si>
  <si>
    <t>Chudzik</t>
  </si>
  <si>
    <t>Cape Coral Unit 1 Part 2 Blk 31 Pb 11 Pg 32 Lots 6 + 7 + N 1/2 Lot 8</t>
  </si>
  <si>
    <t>36-43-23-c1-02522.0240</t>
  </si>
  <si>
    <t>Theodor-Heuss Street A</t>
  </si>
  <si>
    <t>Cypress Woods Rv Resort Unit 4 Pb 79 Pgs 68-71 Blk D Lot 67</t>
  </si>
  <si>
    <t xml:space="preserve">14220 Chetwood St </t>
  </si>
  <si>
    <t>Cape Coral Unit 88 Blk.5778 Pb 24 Pg 135 Lots 23 + 24</t>
  </si>
  <si>
    <t xml:space="preserve">411 Linden St </t>
  </si>
  <si>
    <t>Cape Coral Unit 31 Blk 2077 Pb 14 Pg 154 Lots 15 + 16</t>
  </si>
  <si>
    <t>Doughty</t>
  </si>
  <si>
    <t>33909-3264</t>
  </si>
  <si>
    <t>33908-2241</t>
  </si>
  <si>
    <t>Warren &amp; Clarke Morrow</t>
  </si>
  <si>
    <t>25-43-23-c3-02174.0210</t>
  </si>
  <si>
    <t xml:space="preserve">707 Kismet Pkwy E </t>
  </si>
  <si>
    <t>Daniel &amp; Teressa Antivilo</t>
  </si>
  <si>
    <t xml:space="preserve">1376 Washington Rd </t>
  </si>
  <si>
    <t>Ulysses</t>
  </si>
  <si>
    <t>Ft.Myers Shores Unit 6 Blk.70 Pb 17 Pg 75 Lots 1 2 + 3</t>
  </si>
  <si>
    <t>Wyckoff</t>
  </si>
  <si>
    <t>Gade</t>
  </si>
  <si>
    <t>Rommell</t>
  </si>
  <si>
    <t xml:space="preserve">PO Box 402  Middleton, MA 01949 </t>
  </si>
  <si>
    <t xml:space="preserve">8230 Bleeks Rd </t>
  </si>
  <si>
    <t>33165-2019</t>
  </si>
  <si>
    <t xml:space="preserve">1928 NE 33rd Ter  Cape Coral, FL 33909 </t>
  </si>
  <si>
    <t>Cypress Trail Rv Resort Ph 4-B As Desc In Inst# 2017000057565 Lot 108</t>
  </si>
  <si>
    <t xml:space="preserve">18401 Country Club Dr  Macomb, MI 48042-6217 </t>
  </si>
  <si>
    <t xml:space="preserve">32 Broadview Dr  Barrington, RI 02806-4012 </t>
  </si>
  <si>
    <t>17-43-24-c1-05820.0230</t>
  </si>
  <si>
    <t>Lock 7</t>
  </si>
  <si>
    <t xml:space="preserve">2210 NE 33rd Ln  Cape Coral, FL 33909 </t>
  </si>
  <si>
    <t>Isaza</t>
  </si>
  <si>
    <t>30075-1462</t>
  </si>
  <si>
    <t xml:space="preserve">2621 NE 5th Ave </t>
  </si>
  <si>
    <t xml:space="preserve">319 NE 19th Ter  Cape Coral, FL 33909 </t>
  </si>
  <si>
    <t>For Judy A Wittenberg Trust</t>
  </si>
  <si>
    <t>20-46-25-11-00000.0290</t>
  </si>
  <si>
    <t xml:space="preserve">PO Box 276  Keystone, IA 52249 </t>
  </si>
  <si>
    <t>Cape Coral Unit 36 Blk 2524 Pb 16 Pg 115 Lots 20 + 21</t>
  </si>
  <si>
    <t>Heritage</t>
  </si>
  <si>
    <t>Douglas Johnson</t>
  </si>
  <si>
    <t>Pietro</t>
  </si>
  <si>
    <t xml:space="preserve">1705 NE 23rd Ter  Cape Coral, FL 33909 </t>
  </si>
  <si>
    <t xml:space="preserve">3621 NE 20th Pl  Cape Coral, FL 33909 </t>
  </si>
  <si>
    <t>Vogiantzis</t>
  </si>
  <si>
    <t>Maspeth</t>
  </si>
  <si>
    <t xml:space="preserve">5303 S Watterson Trl </t>
  </si>
  <si>
    <t>Larry &amp; Carol Baughman</t>
  </si>
  <si>
    <t>Edward &amp; Stacy Cranmer</t>
  </si>
  <si>
    <t>33909-7395</t>
  </si>
  <si>
    <t>Annaberg</t>
  </si>
  <si>
    <t>07003-6026</t>
  </si>
  <si>
    <t>19-43-24-c4-05558.0550</t>
  </si>
  <si>
    <t>36-43-23-c4-02546.0030</t>
  </si>
  <si>
    <t xml:space="preserve">20 Rue Loui-Cochet </t>
  </si>
  <si>
    <t xml:space="preserve">3627 NE 12th Ct  Cape Coral, FL 33909 </t>
  </si>
  <si>
    <t>Cape Coral Unit 88 Blk 5798 Pb 24 Pg 131 Lot 1</t>
  </si>
  <si>
    <t xml:space="preserve">326 NE 12th Ct </t>
  </si>
  <si>
    <t>William &amp; Laura Ruhland</t>
  </si>
  <si>
    <t xml:space="preserve">5231 Stratford Ct  Cape Coral, FL 33904 </t>
  </si>
  <si>
    <t>11-44-25-05-0000c.0120</t>
  </si>
  <si>
    <t>Dominic &amp; For Giannini</t>
  </si>
  <si>
    <t xml:space="preserve">3220 Pussywillow St A </t>
  </si>
  <si>
    <t xml:space="preserve">1138 Durden Pkwy  Cape Coral, FL 33909 </t>
  </si>
  <si>
    <t>Allenby</t>
  </si>
  <si>
    <t>17-43-24-c1-05762.0170</t>
  </si>
  <si>
    <t>11-44-25-09-00000.1800</t>
  </si>
  <si>
    <t>Debra Obrien</t>
  </si>
  <si>
    <t>33904-4290</t>
  </si>
  <si>
    <t>White Spruce</t>
  </si>
  <si>
    <t>33903-4408</t>
  </si>
  <si>
    <t>11762-4011</t>
  </si>
  <si>
    <t>David &amp; Barbara Rest</t>
  </si>
  <si>
    <t>33909-4722</t>
  </si>
  <si>
    <t xml:space="preserve">615 Route De Genissieux  Peyrins, FR </t>
  </si>
  <si>
    <t xml:space="preserve">1300 NE 23rd Ter </t>
  </si>
  <si>
    <t>20-43-24-c1-05603.0330</t>
  </si>
  <si>
    <t>Vasquez Jose</t>
  </si>
  <si>
    <t>Marie-Ange Stjean &amp; Enock Pierre</t>
  </si>
  <si>
    <t xml:space="preserve">1416 Highridge Dr  Oceanside, CA 92056-3048 </t>
  </si>
  <si>
    <t xml:space="preserve">5298 Cypress Trail Resort Cir  Fort Myers, FL 33905 </t>
  </si>
  <si>
    <t>32-43-24-c3-02229.0380</t>
  </si>
  <si>
    <t>River Park</t>
  </si>
  <si>
    <t xml:space="preserve">2023 NE 18th St  Cape Coral, FL 33909 </t>
  </si>
  <si>
    <t xml:space="preserve">4729 Starbuck Ave  Santa Rosa, CA 95409-3454 </t>
  </si>
  <si>
    <t xml:space="preserve">6673 Norcross Rd  Duncan, BC V9l 6C3 </t>
  </si>
  <si>
    <t xml:space="preserve">1814 NE 11th Ln  Cape Coral, FL 33909 </t>
  </si>
  <si>
    <t>11-44-25-l1-12000.2910</t>
  </si>
  <si>
    <t>Sucet</t>
  </si>
  <si>
    <t xml:space="preserve">280 S Ronald Reagan Blvd #200, Longwood, FL 32750-5463 </t>
  </si>
  <si>
    <t>Mark Mcphee &amp; Renee Laface</t>
  </si>
  <si>
    <t>01-45-23-c4-00839.0610</t>
  </si>
  <si>
    <t>33909-1667</t>
  </si>
  <si>
    <t>Cape Coral Unit 84 Blk 5603 Pb 24 Pg 42 Lots 57 + 58</t>
  </si>
  <si>
    <t xml:space="preserve">25 Waterfront Dr  Sherwood, AR 72120-1651 </t>
  </si>
  <si>
    <t xml:space="preserve">179 Silver Rose Cres  Markham, ON L6c 1W9 </t>
  </si>
  <si>
    <t>Badriaki</t>
  </si>
  <si>
    <t xml:space="preserve">2134 NE 34th Ter </t>
  </si>
  <si>
    <t>Bacares</t>
  </si>
  <si>
    <t>For Faustin &amp; Holda Firmiez Trust</t>
  </si>
  <si>
    <t>Lehigh Acres Unit 8 Blk 39 Pb 26 Pg 10 Lot 10</t>
  </si>
  <si>
    <t>Grass</t>
  </si>
  <si>
    <t>Ilona</t>
  </si>
  <si>
    <t>30052-7701</t>
  </si>
  <si>
    <t>Lehigh Acres Unit 10 Lbk 52 Pb 26 Pg 13 Lot 7</t>
  </si>
  <si>
    <t xml:space="preserve">6621 Biscayne Blvd </t>
  </si>
  <si>
    <t>PO Box 276</t>
  </si>
  <si>
    <t>Hershey</t>
  </si>
  <si>
    <t>Desert Peace</t>
  </si>
  <si>
    <t>Jewell</t>
  </si>
  <si>
    <t>Lindenhurst</t>
  </si>
  <si>
    <t>33909-5406</t>
  </si>
  <si>
    <t xml:space="preserve">4215 NE 20th Pl  Cape Coral, FL 33909 </t>
  </si>
  <si>
    <t>Cape Coral Unit 85 Blk 5650 Pb 24 Pg 57 Lots 15 + 16</t>
  </si>
  <si>
    <t xml:space="preserve">913 NE 5th Pl  Cape Coral, FL 33909 </t>
  </si>
  <si>
    <t>Cottage Point Unrec Blk D Db 259 Pg 224 Lot 30</t>
  </si>
  <si>
    <t>03-44-26-04-00019.0220</t>
  </si>
  <si>
    <t>Buckingham Park N.E.Sec. Blk 33 Pb 9 Pg 65 Lot 5</t>
  </si>
  <si>
    <t>Cape Coral Unit 32 Blk 2131 Pb 16 Pg 10 Lots 5 + 6</t>
  </si>
  <si>
    <t>01-44-23-c1-02464.0220</t>
  </si>
  <si>
    <t>90703-8618</t>
  </si>
  <si>
    <t>Innisfil</t>
  </si>
  <si>
    <t>20-43-24-c1-05642.0170</t>
  </si>
  <si>
    <t xml:space="preserve">1434 Englewood St  Philadelphia, PA 19111-4225 </t>
  </si>
  <si>
    <t>Amir</t>
  </si>
  <si>
    <t xml:space="preserve"># 8  Walsforf, DE 96194 </t>
  </si>
  <si>
    <t>Bradford</t>
  </si>
  <si>
    <t>Cape Coral Unit 31 Blk 2089 Pb 14 Pg 162 Lots 49 + 50</t>
  </si>
  <si>
    <t>09-44-24-46-00000.0110</t>
  </si>
  <si>
    <t xml:space="preserve">291 Horizon Dr  Edison, NJ 08817-5765 </t>
  </si>
  <si>
    <t>Freddie</t>
  </si>
  <si>
    <t xml:space="preserve">37618 8 mile Rd  Northville, MI 48167-9047 </t>
  </si>
  <si>
    <t>02882-3503</t>
  </si>
  <si>
    <t xml:space="preserve">118 Diplomat Pkwy E  Cape Coral, FL 33909 </t>
  </si>
  <si>
    <t>Cypress Woods Rv Resort Unit 4 Pb 79 Pgs 68-71 Blk D Lot 13</t>
  </si>
  <si>
    <t xml:space="preserve">296 Lafayette Ave </t>
  </si>
  <si>
    <t>New Broad</t>
  </si>
  <si>
    <t>Jorge Hinostroza &amp; Sheila Rodriguez</t>
  </si>
  <si>
    <t>Noble</t>
  </si>
  <si>
    <t xml:space="preserve">3806 W Gator Cir </t>
  </si>
  <si>
    <t>Herman &amp; Sharon Dacosta</t>
  </si>
  <si>
    <t xml:space="preserve">8 Stearns Ave </t>
  </si>
  <si>
    <t>Siwicki</t>
  </si>
  <si>
    <t>Hopewell</t>
  </si>
  <si>
    <t>20-44-26-05-00025.0090</t>
  </si>
  <si>
    <t>07719-2522</t>
  </si>
  <si>
    <t>Philip &amp; Philip Arnholt</t>
  </si>
  <si>
    <t>Sanjay Sharma</t>
  </si>
  <si>
    <t xml:space="preserve">1610 NE 36th Ln  Cape Coral, FL 33909 </t>
  </si>
  <si>
    <t>33441-3617</t>
  </si>
  <si>
    <t>Jose Siranaula &amp; Rosa Azana</t>
  </si>
  <si>
    <t xml:space="preserve">14 Granite Hill Dr  Topsham, ME 04086-1665 </t>
  </si>
  <si>
    <t>Mahuron</t>
  </si>
  <si>
    <t xml:space="preserve">315 SE 29th Ter  Cape Coral, FL 33904 </t>
  </si>
  <si>
    <t>Mount Wolf</t>
  </si>
  <si>
    <t>Cape Coral Unit 88 Blk 5802 Pb 24 Pg 139 Lots 43 + 44</t>
  </si>
  <si>
    <t>Mindy Adams &amp; Holly Rawlins</t>
  </si>
  <si>
    <t>Cape Coral Unit 31 Blk 2065 Pb 14 Pg 160 Lots 46 + 47</t>
  </si>
  <si>
    <t xml:space="preserve">1641 SW 46th Ave  Fort Lauderdale, FL 33317-6807 </t>
  </si>
  <si>
    <t>48301-3963</t>
  </si>
  <si>
    <t xml:space="preserve">2721 NE 4th Ave  Cape Coral, FL 33909 </t>
  </si>
  <si>
    <t xml:space="preserve">308 E Howell Ave  Alexandria, VA 22301-1212 </t>
  </si>
  <si>
    <t xml:space="preserve">904 NE 43rd Ter </t>
  </si>
  <si>
    <t xml:space="preserve">480 Lombardy Blvd </t>
  </si>
  <si>
    <t xml:space="preserve">23 Meadow Ridge Rd </t>
  </si>
  <si>
    <t>Cypress Woods Rv Resort Unit 4 Pb 79 Pgs 68-71 Blk D Lot 135</t>
  </si>
  <si>
    <t xml:space="preserve">216 Susan Ln  Martinsburg, WV 25404-7011 </t>
  </si>
  <si>
    <t>Cape Coral Unit 87 Blk 5730 Pb 24 Pg 87 Lot 55</t>
  </si>
  <si>
    <t>Travis &amp; Alisa Ott</t>
  </si>
  <si>
    <t>01842-2362</t>
  </si>
  <si>
    <t>36-43-23-c1-02546.0270</t>
  </si>
  <si>
    <t xml:space="preserve">8360 SW 138th Ter </t>
  </si>
  <si>
    <t>154th</t>
  </si>
  <si>
    <t xml:space="preserve">S85w32595 Joshua Dr </t>
  </si>
  <si>
    <t xml:space="preserve">929 Brock Rd  Dundas, ON L9h 5E4 </t>
  </si>
  <si>
    <t>01-44-23-c1-02434.0350</t>
  </si>
  <si>
    <t>Gutierrez Garces</t>
  </si>
  <si>
    <t>33024-4905</t>
  </si>
  <si>
    <t>20-43-24-c1-05598.0370</t>
  </si>
  <si>
    <t xml:space="preserve">8 Canterbury Ln  Lebanon, NJ 08833-3215 </t>
  </si>
  <si>
    <t>Auburn Hills</t>
  </si>
  <si>
    <t>33909-7341</t>
  </si>
  <si>
    <t>07036-4723</t>
  </si>
  <si>
    <t xml:space="preserve">718 S Williams Ave  Palatine, IL 60074-7628 </t>
  </si>
  <si>
    <t>Verandah Unit One Desc In Pb 74 Pg 31 Blk F Lot 5</t>
  </si>
  <si>
    <t>Barbara &amp; For Weinberger</t>
  </si>
  <si>
    <t>Bradwahl</t>
  </si>
  <si>
    <t>Santa Cruz</t>
  </si>
  <si>
    <t>60467-1097</t>
  </si>
  <si>
    <t xml:space="preserve">7900 SW 50th Ct </t>
  </si>
  <si>
    <t>Piney</t>
  </si>
  <si>
    <t xml:space="preserve">PO Box 2357  Des Plaines, IL 60017-2357 </t>
  </si>
  <si>
    <t>Caloosa Vista Rev Plat Blk A Pb 8 Pg 74 All Blk A Less Ely 670</t>
  </si>
  <si>
    <t>Lehigh Acres Unit 7 Blk 32 Pb 26 Pg 9 Lot 19</t>
  </si>
  <si>
    <t>PO Box 4</t>
  </si>
  <si>
    <t>Cape Coral Unit 87 Blk.5730 Pb 24 Pg 85 Lots 1 + 2</t>
  </si>
  <si>
    <t xml:space="preserve">17767 63rd Rd N  Loxahatchee, FL 33470-3222 </t>
  </si>
  <si>
    <t>Meng &amp; Tao Huang</t>
  </si>
  <si>
    <t xml:space="preserve">1805 Staples Ave #205, Key West, FL 33040-3633 </t>
  </si>
  <si>
    <t>Mcelrath Arthur E Tr</t>
  </si>
  <si>
    <t>22172-2354</t>
  </si>
  <si>
    <t>33909-4286</t>
  </si>
  <si>
    <t>33418-7850</t>
  </si>
  <si>
    <t xml:space="preserve">1811 SE 4th St </t>
  </si>
  <si>
    <t xml:space="preserve">2601 NE Juanita Pl  Cape Coral, FL 33909 </t>
  </si>
  <si>
    <t>Maikoiko</t>
  </si>
  <si>
    <t>Cape Coral Unit 47 Pt 2 Blk 3516 Pb 23 Pg 122 Lots 43 + 44</t>
  </si>
  <si>
    <t xml:space="preserve">1021 NE 5th Pl </t>
  </si>
  <si>
    <t xml:space="preserve">32 Richmond Rd </t>
  </si>
  <si>
    <t>For Lee Ann Head Trust</t>
  </si>
  <si>
    <t>Port-Daniel</t>
  </si>
  <si>
    <t>95337-6753</t>
  </si>
  <si>
    <t>Cape Coral Unit 33 Blk.2207 Pb 16 Pg 41 Lots 45 + 46</t>
  </si>
  <si>
    <t>Cape Coral Unit 47 Pt 2 Blk 3544 Pb 23 Pg 118 Lots 5 + 6</t>
  </si>
  <si>
    <t>Lidonil Rubio &amp; Lelia Hernandez</t>
  </si>
  <si>
    <t>Westley</t>
  </si>
  <si>
    <t xml:space="preserve">315 SE 29th St </t>
  </si>
  <si>
    <t>Gertrude Esson</t>
  </si>
  <si>
    <t>11520-4141</t>
  </si>
  <si>
    <t xml:space="preserve">1908 NE 4th Pl  Cape Coral, FL 33909 </t>
  </si>
  <si>
    <t>Edward Gamble</t>
  </si>
  <si>
    <t xml:space="preserve">3674 SW 26th St  Miami, FL 33133-2011 </t>
  </si>
  <si>
    <t>Jeffrey &amp; Belinda Henry</t>
  </si>
  <si>
    <t>Cape Coral Unit 10 Blk.248 Pb 13 Pg 29 Lots 29 + 30</t>
  </si>
  <si>
    <t xml:space="preserve">1109 NE 2nd Ave </t>
  </si>
  <si>
    <t>Buckingham Pk Re Blk B U-3 Blk 15 Pb 27 Pg 191 Lot 10</t>
  </si>
  <si>
    <t xml:space="preserve">20 W Park Ave  Avenel, NJ 07001-1421 </t>
  </si>
  <si>
    <t xml:space="preserve">821 Somerset Pl  Hyattsville, MD 20783-3114 </t>
  </si>
  <si>
    <t>07753-3845</t>
  </si>
  <si>
    <t xml:space="preserve">1030 Clinton St </t>
  </si>
  <si>
    <t>33909-1613</t>
  </si>
  <si>
    <t>Gude</t>
  </si>
  <si>
    <t>Joe &amp; Helen Crider</t>
  </si>
  <si>
    <t xml:space="preserve">3073 Alta Ave  Yucca Valley, CA 92284-1177 </t>
  </si>
  <si>
    <t xml:space="preserve">6621 Staley Farms Rd </t>
  </si>
  <si>
    <t>25-43-23-c2-02338.0450</t>
  </si>
  <si>
    <t>Carrollton</t>
  </si>
  <si>
    <t>National Harbor</t>
  </si>
  <si>
    <t>Anne Gronberger</t>
  </si>
  <si>
    <t>33909-4771</t>
  </si>
  <si>
    <t>Merchan</t>
  </si>
  <si>
    <t>Sfr</t>
  </si>
  <si>
    <t xml:space="preserve">4124 NE 23rd Pl  Cape Coral, FL 33909 </t>
  </si>
  <si>
    <t xml:space="preserve">1528 38th St #1 </t>
  </si>
  <si>
    <t xml:space="preserve">2111 NE 17th Ave  Cape Coral, FL 33909 </t>
  </si>
  <si>
    <t>34741-7401</t>
  </si>
  <si>
    <t>Cape Coral Unit 84 Blk 5549 Pb 24 Pg 39 Lots 19 + 20</t>
  </si>
  <si>
    <t xml:space="preserve">3738 Tareco St  Fort Myers, FL 33905 </t>
  </si>
  <si>
    <t>Prairie Rose</t>
  </si>
  <si>
    <t xml:space="preserve">2125 NE 36th Ter </t>
  </si>
  <si>
    <t xml:space="preserve">2632 NE 20th Ct </t>
  </si>
  <si>
    <t xml:space="preserve">3924 Garden Blvd </t>
  </si>
  <si>
    <t xml:space="preserve">2 Horvath Dr  Ithaca, NY 14850-9711 </t>
  </si>
  <si>
    <t xml:space="preserve">29 Moritzstrasse </t>
  </si>
  <si>
    <t xml:space="preserve">1109 NE 4th Ave  Cape Coral, FL 33909 </t>
  </si>
  <si>
    <t xml:space="preserve">127 Taylor Ave </t>
  </si>
  <si>
    <t xml:space="preserve">318 NE 4th St </t>
  </si>
  <si>
    <t xml:space="preserve">281 E 57th St  Brooklyn, NY 11203-4801 </t>
  </si>
  <si>
    <t>11385-6957</t>
  </si>
  <si>
    <t>33905-8624</t>
  </si>
  <si>
    <t>Lynn Shawback</t>
  </si>
  <si>
    <t>Cape Coral Unit 33 Blk.2185 Pb 16 Pg 52 Lots 47 + 48</t>
  </si>
  <si>
    <t xml:space="preserve">4817 NW 117th Ave </t>
  </si>
  <si>
    <t>31-43-24-c4-02103.0030</t>
  </si>
  <si>
    <t xml:space="preserve">2225 NE 7th Ave </t>
  </si>
  <si>
    <t>33012-2506</t>
  </si>
  <si>
    <t>Cape Coral Unit 84 Blk 5622 Pb 24 Pg 33 Lots 23 + 24</t>
  </si>
  <si>
    <t xml:space="preserve">9301 SW 13th St  Miami, FL 33174-3003 </t>
  </si>
  <si>
    <t xml:space="preserve">PO Box 19000  Avon, CO 81620-9010 </t>
  </si>
  <si>
    <t>Augusta National</t>
  </si>
  <si>
    <t>31-43-24-c2-02181.0380</t>
  </si>
  <si>
    <t>19014-1035</t>
  </si>
  <si>
    <t>18-43-24-c4-05701.0030</t>
  </si>
  <si>
    <t xml:space="preserve">15327 T C Jester Blvd </t>
  </si>
  <si>
    <t>Cape Coral Unit 36 Blk 2330 Pb 16 Pg 129 Lots 29 + 30</t>
  </si>
  <si>
    <t>For Nelly Navarro Trust</t>
  </si>
  <si>
    <t>Alfred &amp; Carol Wanzie</t>
  </si>
  <si>
    <t xml:space="preserve">3720 Tareco St  Fort Myers, FL 33905 </t>
  </si>
  <si>
    <t>37341-9611</t>
  </si>
  <si>
    <t>Diamond Bar</t>
  </si>
  <si>
    <t>Gardendale</t>
  </si>
  <si>
    <t xml:space="preserve">1434 E Mowry Dr #106, Homestead, FL 33033-4961 </t>
  </si>
  <si>
    <t>33905-5569</t>
  </si>
  <si>
    <t>12-46-23-03-00000.5870</t>
  </si>
  <si>
    <t xml:space="preserve">522 NE 15th Ter </t>
  </si>
  <si>
    <t>Gene Farquharson &amp; Derlina Solomon</t>
  </si>
  <si>
    <t>Obere Bahnjofstrasse</t>
  </si>
  <si>
    <t xml:space="preserve">15215 E Fm 320 Dr </t>
  </si>
  <si>
    <t>33903-3523</t>
  </si>
  <si>
    <t>Elosia</t>
  </si>
  <si>
    <t>35901-5738</t>
  </si>
  <si>
    <t>Cape Coral Unit 36 Blk 2332 Pb 16 Pg 130 Lots 28 + 29</t>
  </si>
  <si>
    <t>Cape Coral Unit 88 Blk 5780 Pb 24 Pg 135 Lots 43 + 44</t>
  </si>
  <si>
    <t>01-44-23-c1-02462.0130</t>
  </si>
  <si>
    <t>Kemmer</t>
  </si>
  <si>
    <t>Cape Coral Unit 34 Blk 2389 Pb 16 Pg 77 Lots 43 + 44</t>
  </si>
  <si>
    <t>02889-3638</t>
  </si>
  <si>
    <t>Julianne</t>
  </si>
  <si>
    <t xml:space="preserve">10343 Fire Flag Trl  Fort Myers, FL 33905 </t>
  </si>
  <si>
    <t xml:space="preserve">3537 NE 20th Pl  Cape Coral, FL 33909 </t>
  </si>
  <si>
    <t>33177-1190</t>
  </si>
  <si>
    <t>33909-2008</t>
  </si>
  <si>
    <t xml:space="preserve">1455 Rail Head Blvd  Naples, FL 34110-8406 </t>
  </si>
  <si>
    <t>Kubelle</t>
  </si>
  <si>
    <t>Cypress Trail Rv Resort Phase 4-C Block B Lot 445 As Desc In Inst 2019000042424</t>
  </si>
  <si>
    <t>Portland</t>
  </si>
  <si>
    <t>Jason Jarvi</t>
  </si>
  <si>
    <t>Jeffrey &amp; Sandra Bush</t>
  </si>
  <si>
    <t xml:space="preserve">106 NE 31st Ter  Cape Coral, FL 33909 </t>
  </si>
  <si>
    <t xml:space="preserve">14720 Southwarke Pl </t>
  </si>
  <si>
    <t>Cape Coral Unit 46 Blk 1495 Pb 17 Pg 129 Lots 22 + 23</t>
  </si>
  <si>
    <t xml:space="preserve">533 NE 7th Ter  Cape Coral, FL 33909 </t>
  </si>
  <si>
    <t>75019-5828</t>
  </si>
  <si>
    <t xml:space="preserve">1078 Sunmeadow Cir </t>
  </si>
  <si>
    <t xml:space="preserve">5372 Tice St </t>
  </si>
  <si>
    <t>Saeid Rahmani &amp; Mariana Encarnacion</t>
  </si>
  <si>
    <t>Angel Rodriguez</t>
  </si>
  <si>
    <t>Triangle</t>
  </si>
  <si>
    <t xml:space="preserve">1 Aufeld St </t>
  </si>
  <si>
    <t>Cape Coral Unit 47 Pt 2 Blk 3534 Pb 23 Pg 120 Lots 3 + 4</t>
  </si>
  <si>
    <t>He</t>
  </si>
  <si>
    <t xml:space="preserve">2128 W Nicholas Farm Ln </t>
  </si>
  <si>
    <t>33909-6428</t>
  </si>
  <si>
    <t xml:space="preserve">3604 Southside Blvd </t>
  </si>
  <si>
    <t>Cape Coral Unit 33 Blk 2284 Pb 16 Pg 59 Lots 22 + 23</t>
  </si>
  <si>
    <t>Kevin Wargin &amp; John Noe</t>
  </si>
  <si>
    <t xml:space="preserve">Po Box 530 </t>
  </si>
  <si>
    <t>11-44-25-06-0000d.0590</t>
  </si>
  <si>
    <t>For Ab Trust</t>
  </si>
  <si>
    <t>33025-3585</t>
  </si>
  <si>
    <t>Horgen</t>
  </si>
  <si>
    <t>Tibor &amp; Miriam Grunstein</t>
  </si>
  <si>
    <t xml:space="preserve">1780 Sylvan Ln </t>
  </si>
  <si>
    <t>33909-6139</t>
  </si>
  <si>
    <t xml:space="preserve">1220 NE 6th Pl  Cape Coral, FL 33909 </t>
  </si>
  <si>
    <t>Villa Este</t>
  </si>
  <si>
    <t>33905-7793</t>
  </si>
  <si>
    <t>06-44-24-c2-02083.0480</t>
  </si>
  <si>
    <t>Italia N31-112Y Vancouver</t>
  </si>
  <si>
    <t xml:space="preserve">3213 NE 13th Ave  Cape Coral, FL 33909 </t>
  </si>
  <si>
    <t>Shelby Township</t>
  </si>
  <si>
    <t>10552-1406</t>
  </si>
  <si>
    <t>Frank Stamos</t>
  </si>
  <si>
    <t xml:space="preserve">6151 Hester Ave  Fort Myers, FL 33905 </t>
  </si>
  <si>
    <t xml:space="preserve">694 Muscogee Dr </t>
  </si>
  <si>
    <t xml:space="preserve">1407 14078th st Ct SE </t>
  </si>
  <si>
    <t xml:space="preserve">6320 SW 138th Ct #108 </t>
  </si>
  <si>
    <t xml:space="preserve">5202 Cypress Trail Resort Cir  Fort Myers, FL 33905 </t>
  </si>
  <si>
    <t>36-43-23-c4-02476.0590</t>
  </si>
  <si>
    <t>5j</t>
  </si>
  <si>
    <t>33909-4232</t>
  </si>
  <si>
    <t>17-43-24-c2-05815.0130</t>
  </si>
  <si>
    <t>34986-3727</t>
  </si>
  <si>
    <t>10473-2424</t>
  </si>
  <si>
    <t>33909-7390</t>
  </si>
  <si>
    <t xml:space="preserve">5467 Cypress Trail Resort Cir </t>
  </si>
  <si>
    <t>Ft Myers Shores Unit 5 Blk 76 Pb 16 Pg 69 Lots 8 + 9</t>
  </si>
  <si>
    <t xml:space="preserve">62 Park Ter W A86, New York, NY 10034 </t>
  </si>
  <si>
    <t>Verandah Unit 7 Desc In Pb 83 Pgs 23-31 Blk B Lot 59</t>
  </si>
  <si>
    <t>Pasquale &amp; Rose Armenio</t>
  </si>
  <si>
    <t>Roseanne</t>
  </si>
  <si>
    <t xml:space="preserve">2019 NE 25th Ter </t>
  </si>
  <si>
    <t xml:space="preserve">38 Fela Dr </t>
  </si>
  <si>
    <t>Wanda Uceta &amp; Eddy Almonte</t>
  </si>
  <si>
    <t>13-45-23-c1-00101.0730</t>
  </si>
  <si>
    <t>My Pham &amp; Anh Lam</t>
  </si>
  <si>
    <t>10469-3216</t>
  </si>
  <si>
    <t>Fitzpatrick</t>
  </si>
  <si>
    <t>33904-2949</t>
  </si>
  <si>
    <t xml:space="preserve">10974 Ash Pl </t>
  </si>
  <si>
    <t>Holiday Travel Park Rv Condo Ph 1 Or 1557 Pg 1583 Unit 21</t>
  </si>
  <si>
    <t xml:space="preserve">4027 NE 8th Pl </t>
  </si>
  <si>
    <t>25-43-23-c2-02334.0510</t>
  </si>
  <si>
    <t>Brigid</t>
  </si>
  <si>
    <t xml:space="preserve">425 Meadows Blvd #75 </t>
  </si>
  <si>
    <t>Scoca</t>
  </si>
  <si>
    <t>Riverdale Estates Pb 29 Pg 87 Lot 15</t>
  </si>
  <si>
    <t>33904-7454</t>
  </si>
  <si>
    <t>Pauline Bachiu &amp; Shawn Mcainey</t>
  </si>
  <si>
    <t>Cepeda</t>
  </si>
  <si>
    <t>06-46-24-15-00000.1260</t>
  </si>
  <si>
    <t>Pink Coral</t>
  </si>
  <si>
    <t>San</t>
  </si>
  <si>
    <t xml:space="preserve">8200 Boulevard E 5l </t>
  </si>
  <si>
    <t>Reina &amp; Joe Perez</t>
  </si>
  <si>
    <t>33950-5822</t>
  </si>
  <si>
    <t xml:space="preserve">5760 Pathwood Ct  Fort Myers, FL 33905 </t>
  </si>
  <si>
    <t>Cape Coral Unit 36 Blk 2344 Pb 16 Pg 121 Lots 26 Thru 28</t>
  </si>
  <si>
    <t>19-43-24-c2-05599.0170</t>
  </si>
  <si>
    <t>25-43-23-c3-02309.0320</t>
  </si>
  <si>
    <t># 88-27</t>
  </si>
  <si>
    <t xml:space="preserve">395 Devon Chase Hl #402 </t>
  </si>
  <si>
    <t>Lehigh Acres Unit 10 Blk 51 Pb 26 Pg 13 Lot 21</t>
  </si>
  <si>
    <t xml:space="preserve">462 Capitol St  North Fort Myers, FL 33903 </t>
  </si>
  <si>
    <t>Hilliard Barbara J Tr</t>
  </si>
  <si>
    <t>18-43-24-c2-05712.0270</t>
  </si>
  <si>
    <t>Walquirio</t>
  </si>
  <si>
    <t>For Beerman Trust</t>
  </si>
  <si>
    <t>Griffin</t>
  </si>
  <si>
    <t>Hilland</t>
  </si>
  <si>
    <t xml:space="preserve">6121 Barkwood Ct  Fort Myers, FL 33905 </t>
  </si>
  <si>
    <t>33909-1662</t>
  </si>
  <si>
    <t>32-43-24-c3-02222.0300</t>
  </si>
  <si>
    <t>Cape Coral Unit 36 Pt 1 Blk 2513 Pb 23 Pg 91 Lots 42 + 43</t>
  </si>
  <si>
    <t xml:space="preserve">4004 SE Sunrise Dr </t>
  </si>
  <si>
    <t>Parrish</t>
  </si>
  <si>
    <t>34116-5231</t>
  </si>
  <si>
    <t xml:space="preserve">48 Ivy Way </t>
  </si>
  <si>
    <t xml:space="preserve">250 Georgia Ave  Fort Lauderdale, FL 33312-1140 </t>
  </si>
  <si>
    <t>Cape Coral Unit 84 Blk 5574 Pb 24 Pg 36 Lots 3 + 4</t>
  </si>
  <si>
    <t xml:space="preserve">1906 N Tallyrand St </t>
  </si>
  <si>
    <t>Jarrett-Miller</t>
  </si>
  <si>
    <t>33909-7308</t>
  </si>
  <si>
    <t xml:space="preserve">6032 Jonathan Ave </t>
  </si>
  <si>
    <t>11-44-25-06-0000d.0340</t>
  </si>
  <si>
    <t>Pennant</t>
  </si>
  <si>
    <t xml:space="preserve">1352 S End Pkwy #700 </t>
  </si>
  <si>
    <t>Teresa Hall</t>
  </si>
  <si>
    <t xml:space="preserve">3352 Ardley Rd SW </t>
  </si>
  <si>
    <t>Saint Nicholas</t>
  </si>
  <si>
    <t xml:space="preserve">1706 NE 18th Pl  Cape Coral, FL 33909 </t>
  </si>
  <si>
    <t xml:space="preserve">314 Clark St  North Fort Myers, FL 33903 </t>
  </si>
  <si>
    <t>25-43-23-c4-02354.0670</t>
  </si>
  <si>
    <t>Partha</t>
  </si>
  <si>
    <t>Santos Alba</t>
  </si>
  <si>
    <t>33909-5401</t>
  </si>
  <si>
    <t>Mull</t>
  </si>
  <si>
    <t xml:space="preserve">8816 Le Pere School Rd  Millstadt, IL 62260-3236 </t>
  </si>
  <si>
    <t>Jockey Hollow</t>
  </si>
  <si>
    <t>R047</t>
  </si>
  <si>
    <t>Maite</t>
  </si>
  <si>
    <t xml:space="preserve">745 Americas Cup Cv </t>
  </si>
  <si>
    <t>For Amalia Guidi Family Trust</t>
  </si>
  <si>
    <t>Palladino</t>
  </si>
  <si>
    <t xml:space="preserve">471 NE 5th Ave </t>
  </si>
  <si>
    <t>Knightdale</t>
  </si>
  <si>
    <t>06475-2011</t>
  </si>
  <si>
    <t xml:space="preserve">530 Middle Frk </t>
  </si>
  <si>
    <t>Caloosa Vista</t>
  </si>
  <si>
    <t>Esther Santana</t>
  </si>
  <si>
    <t xml:space="preserve">2122 E Venice Rd </t>
  </si>
  <si>
    <t>Ismayexil Bermudez &amp; Eduardo Delgado-Lugo</t>
  </si>
  <si>
    <t xml:space="preserve">Po Box 3794 </t>
  </si>
  <si>
    <t>27d</t>
  </si>
  <si>
    <t>29-43-24-c4-02286.0030</t>
  </si>
  <si>
    <t xml:space="preserve">3849/3851 Hollycrest St  Fort Myers, FL 33905 </t>
  </si>
  <si>
    <t xml:space="preserve">2099 Hobbs Reesor Rd </t>
  </si>
  <si>
    <t>23510-1201</t>
  </si>
  <si>
    <t>Imber</t>
  </si>
  <si>
    <t xml:space="preserve">41 Lyon St  Pawtucket, RI 02860-3010 </t>
  </si>
  <si>
    <t xml:space="preserve">PO Box 1298  Azusa, CA 91702-1298 </t>
  </si>
  <si>
    <t xml:space="preserve">1849 Sundance Dr </t>
  </si>
  <si>
    <t xml:space="preserve">2629 NE 5th Pl  Cape Coral, FL 33909 </t>
  </si>
  <si>
    <t>19-43-24-c4-05561.0490</t>
  </si>
  <si>
    <t>Tamara Halloran &amp; Courtney Joners</t>
  </si>
  <si>
    <t xml:space="preserve">9643 River Trail Dr  Louisville, KY 40229-5222 </t>
  </si>
  <si>
    <t>03-44-26-09-00042.0080</t>
  </si>
  <si>
    <t>Manor Ridge</t>
  </si>
  <si>
    <t xml:space="preserve">1155 Whitemarsh Ct </t>
  </si>
  <si>
    <t>Cypress Woods Rv Resort Ut 1 Pb 65 Pg 85 + 86 Blk A Lot 9</t>
  </si>
  <si>
    <t>Cape Coral Unit 32 Blk.2149 Pb 16 Pg 11 Lots 34 + 35</t>
  </si>
  <si>
    <t>Cape Coral Unit 84 Blk 5569 Pb 24 Pg 40 Lots 17 + 18</t>
  </si>
  <si>
    <t>Zuliani</t>
  </si>
  <si>
    <t>Delia Deldelrosario</t>
  </si>
  <si>
    <t xml:space="preserve">111 S Suffolk Ave </t>
  </si>
  <si>
    <t xml:space="preserve">1709 Luin Ln  Windsor Heights, IA 50324-5754 </t>
  </si>
  <si>
    <t xml:space="preserve">303 NE 25th Ter  Cape Coral, FL 33909 </t>
  </si>
  <si>
    <t xml:space="preserve">5808 Countryview Ter  Cincinnati, OH 45233-4808 </t>
  </si>
  <si>
    <t>Dany &amp; Daniel Bedard</t>
  </si>
  <si>
    <t>For Belmas Trust</t>
  </si>
  <si>
    <t xml:space="preserve">2009 NE Juanita Pl  Cape Coral, FL 33909 </t>
  </si>
  <si>
    <t>Van Phan</t>
  </si>
  <si>
    <t>18-43-24-c1-05728.0190</t>
  </si>
  <si>
    <t>Phuong Vo</t>
  </si>
  <si>
    <t>07109-2353</t>
  </si>
  <si>
    <t>Leonel &amp; Sandra Perez</t>
  </si>
  <si>
    <t xml:space="preserve">10330 Prairie Iris Dr  Fort Myers, FL 33905 </t>
  </si>
  <si>
    <t>33909-3319</t>
  </si>
  <si>
    <t xml:space="preserve">Urb Fajardo Gdns  Fajardo, PR 00738 </t>
  </si>
  <si>
    <t>Lehigh Acres Unit 11 Blk 53 Pb 26 Pg 14 Lot 11</t>
  </si>
  <si>
    <t>Cape Coral Unit 47 Pt 2 Blk 3538 Pb 23 Pg 120 Lots 49 + 50</t>
  </si>
  <si>
    <t>Marcellino</t>
  </si>
  <si>
    <t>07204-2114</t>
  </si>
  <si>
    <t>Md</t>
  </si>
  <si>
    <t xml:space="preserve">11620 Park Blvd #309 </t>
  </si>
  <si>
    <t xml:space="preserve">3565 NE 10th Pl  Cape Coral, FL 33909 </t>
  </si>
  <si>
    <t>33909-6477</t>
  </si>
  <si>
    <t>Aldene</t>
  </si>
  <si>
    <t>Petit Patricia E Tr For Matthew M &amp; Patricia E Petit Trust</t>
  </si>
  <si>
    <t xml:space="preserve">1201 Rush St </t>
  </si>
  <si>
    <t xml:space="preserve">16560 Deer Path Ln  Wellington, FL 33470-5013 </t>
  </si>
  <si>
    <t>Firmin</t>
  </si>
  <si>
    <t xml:space="preserve">6046 Jadestone Ave </t>
  </si>
  <si>
    <t>Cypress Trail Rv Resort Phase 4-A As Desc In Inst# 20160000135610 Lot 355</t>
  </si>
  <si>
    <t xml:space="preserve">5052 White Sky Cir  Fort Myers, FL 33908 </t>
  </si>
  <si>
    <t>18-43-24-c3-05713.0010</t>
  </si>
  <si>
    <t xml:space="preserve">PO Box Postal 241405  Dulles, VA 20101 </t>
  </si>
  <si>
    <t>33909-1412</t>
  </si>
  <si>
    <t xml:space="preserve">3618 NE 9th Ave  Cape Coral, FL 33909 </t>
  </si>
  <si>
    <t>Cape Coral Unit 87 Blk 5712 Pb 24 Pg 76 Lots 17 + 18</t>
  </si>
  <si>
    <t>25-43-23-c1-02325.0110</t>
  </si>
  <si>
    <t>11-44-25-l1-13000.3170</t>
  </si>
  <si>
    <t>Leocadio</t>
  </si>
  <si>
    <t xml:space="preserve">16817 Pink Coral Path  North Fort Myers, FL 33903 </t>
  </si>
  <si>
    <t>42001-5907</t>
  </si>
  <si>
    <t xml:space="preserve">1211 NE 36th Ln </t>
  </si>
  <si>
    <t>11435-5815</t>
  </si>
  <si>
    <t>33624-4804</t>
  </si>
  <si>
    <t>Magby</t>
  </si>
  <si>
    <t>20-43-24-c3-05637.0010</t>
  </si>
  <si>
    <t>11413-2526</t>
  </si>
  <si>
    <t>34th</t>
  </si>
  <si>
    <t>Cape Coral Unit 85 Blk 5644 Pb 24 Pg 56 Lots 19 + 20</t>
  </si>
  <si>
    <t>03079-4231</t>
  </si>
  <si>
    <t>Lehigh Acres Unit 9 Blk 41 Pb 26 Pg 11 Lot 18</t>
  </si>
  <si>
    <t>Frazier &amp; April Hudlay</t>
  </si>
  <si>
    <t xml:space="preserve">2747 NE 6th Pl </t>
  </si>
  <si>
    <t xml:space="preserve">5020 24th St W A, Bradenton, FL 34207-2321 </t>
  </si>
  <si>
    <t>11-44-25-06-0000d.1220</t>
  </si>
  <si>
    <t xml:space="preserve">3503 NE 17th Ave  Cape Coral, FL 33909 </t>
  </si>
  <si>
    <t xml:space="preserve">50 Park Ave 11a, New York, NY 10016-3080 </t>
  </si>
  <si>
    <t xml:space="preserve">10319 Fire Flag Trl  Fort Myers, FL 33905 </t>
  </si>
  <si>
    <t>Electron</t>
  </si>
  <si>
    <t>Tony</t>
  </si>
  <si>
    <t xml:space="preserve">11338 Notchcliff Rd </t>
  </si>
  <si>
    <t xml:space="preserve">5212 Saranac St </t>
  </si>
  <si>
    <t>Cape Coral Unit 36 Pt.1 Blk.2478 Pb 23 Pg 90 Lots 1 + 2</t>
  </si>
  <si>
    <t xml:space="preserve"># 31 </t>
  </si>
  <si>
    <t>22124-1850</t>
  </si>
  <si>
    <t xml:space="preserve">1 Burlingham Ct </t>
  </si>
  <si>
    <t>B003</t>
  </si>
  <si>
    <t xml:space="preserve">218 E 50th St  Hialeah, FL 33013-1423 </t>
  </si>
  <si>
    <t xml:space="preserve">1900 NE 3rd St  Cape Coral, FL 33909 </t>
  </si>
  <si>
    <t xml:space="preserve">19 Dyck </t>
  </si>
  <si>
    <t>Tibor</t>
  </si>
  <si>
    <t xml:space="preserve">1205 NE 10th St  Cape Coral, FL 33909 </t>
  </si>
  <si>
    <t xml:space="preserve">1515 SE 32nd Ter </t>
  </si>
  <si>
    <t>Gleasman</t>
  </si>
  <si>
    <t>33904-7111</t>
  </si>
  <si>
    <t xml:space="preserve">9560 Gipson Rd </t>
  </si>
  <si>
    <t>Mcwilliams</t>
  </si>
  <si>
    <t xml:space="preserve">3711 Tracy St  Fort Myers, FL 33905 </t>
  </si>
  <si>
    <t xml:space="preserve">524 Wayside Rd </t>
  </si>
  <si>
    <t xml:space="preserve">18 Somerset A  West Palm Beach, FL 33417-2103 </t>
  </si>
  <si>
    <t xml:space="preserve">1017 Empire Blvd </t>
  </si>
  <si>
    <t xml:space="preserve">2325 NE 17th St </t>
  </si>
  <si>
    <t xml:space="preserve">5310 Cypress Trail Resort Cir </t>
  </si>
  <si>
    <t>Pascal Haase &amp; Kay Kim</t>
  </si>
  <si>
    <t>33909-5254</t>
  </si>
  <si>
    <t xml:space="preserve">534 Clark St </t>
  </si>
  <si>
    <t>Holiday Travel Park R V Condo Ph 2 Or 1557 Pg 1600 Unit 412</t>
  </si>
  <si>
    <t xml:space="preserve">1915 NE 20th Ct </t>
  </si>
  <si>
    <t xml:space="preserve">1301 Jacaranda Pkwy E  Cape Coral, FL 33909 </t>
  </si>
  <si>
    <t>Cape Coral Unit 44 Blk 1705 Pb 21 Pg 105 Lots 31 Thru 43</t>
  </si>
  <si>
    <t xml:space="preserve">149 Dublin Dr </t>
  </si>
  <si>
    <t xml:space="preserve">3702 Colorado Ave </t>
  </si>
  <si>
    <t xml:space="preserve">51 S Palm Aire Dr #9, Pompano Beach, FL 33069 </t>
  </si>
  <si>
    <t>Cape Coral Unit 84 Blk 5608 Pb 24 Pg 35 Lots 70 + 71</t>
  </si>
  <si>
    <t xml:space="preserve">3142 NE 15th Ave  Cape Coral, FL 33909 </t>
  </si>
  <si>
    <t>Cypress Woods Rv Resort Un 3 Desc In Pb 72 Pgs 92-95 Blk C Lot 83</t>
  </si>
  <si>
    <t xml:space="preserve">908 Kismet Pkwy E  Cape Coral, FL 33909 </t>
  </si>
  <si>
    <t xml:space="preserve">52 Goldring Cres  Markham, ON L6c 1Y7 </t>
  </si>
  <si>
    <t>John &amp; Helen Haas</t>
  </si>
  <si>
    <t>33904-4056</t>
  </si>
  <si>
    <t xml:space="preserve">78 Wilson St  Babylon, NY 11702-1514 </t>
  </si>
  <si>
    <t>Cape Coral Unit 31 Blk 2056 Pb 14 Pg 158 Lots 20 + 21</t>
  </si>
  <si>
    <t xml:space="preserve">5226 Pineland Daisy Trl  Fort Myers, FL 33905 </t>
  </si>
  <si>
    <t>50014-6913</t>
  </si>
  <si>
    <t xml:space="preserve">2120 NE 33rd Ter  Cape Coral, FL 33909 </t>
  </si>
  <si>
    <t>Cdd Lucaya</t>
  </si>
  <si>
    <t>06492-4608</t>
  </si>
  <si>
    <t xml:space="preserve">19 Newberry St </t>
  </si>
  <si>
    <t xml:space="preserve">1412 NE 2nd Ave  Cape Coral, FL 33909 </t>
  </si>
  <si>
    <t>18704-4722</t>
  </si>
  <si>
    <t>Patti-Ann Bruschi</t>
  </si>
  <si>
    <t>Riverton</t>
  </si>
  <si>
    <t>Mh-1</t>
  </si>
  <si>
    <t xml:space="preserve">339 NE 31st St </t>
  </si>
  <si>
    <t>19-43-24-c4-05563.0090</t>
  </si>
  <si>
    <t>Danielson</t>
  </si>
  <si>
    <t xml:space="preserve">43 A  Halstenbeck, DE 25469 </t>
  </si>
  <si>
    <t>07-44-24-c3-01482.0040</t>
  </si>
  <si>
    <t xml:space="preserve">801 Peyton Way  South Charleston, WV 25309-8515 </t>
  </si>
  <si>
    <t xml:space="preserve">1713 NE 5th Pl  Cape Coral, FL 33909 </t>
  </si>
  <si>
    <t xml:space="preserve">1210 NE 8th Pl  Cape Coral, FL 33909 </t>
  </si>
  <si>
    <t>Cypress Woods Rv Resort Un 3 Desc In Pb 72 Pgs 92-95 Blk C Lot 124</t>
  </si>
  <si>
    <t>PO Box 86</t>
  </si>
  <si>
    <t xml:space="preserve">442 Redlin St </t>
  </si>
  <si>
    <t>T T &amp; Doris Newman</t>
  </si>
  <si>
    <t>Cape Coral Unit 36 Blk 2348 Pb 16 Pg 128 Lots 37 + 38</t>
  </si>
  <si>
    <t>33904-4830</t>
  </si>
  <si>
    <t>Sharaba</t>
  </si>
  <si>
    <t xml:space="preserve">3404 W Highway 10 </t>
  </si>
  <si>
    <t xml:space="preserve">132 Deborah Dr </t>
  </si>
  <si>
    <t>Miller Jerry Lee Tr</t>
  </si>
  <si>
    <t xml:space="preserve">4717 Roadrunner Rd  Fontana, CA 92336-1127 </t>
  </si>
  <si>
    <t>37322-8256</t>
  </si>
  <si>
    <t>Yi Zhang &amp; Wenying Zhao</t>
  </si>
  <si>
    <t>Mauricia Ramos</t>
  </si>
  <si>
    <t>Cape Coral Unit 36 Blk 2527 Pb 16 Pg 114 Lots 51 + 52</t>
  </si>
  <si>
    <t xml:space="preserve">6017 Thrush Ave </t>
  </si>
  <si>
    <t xml:space="preserve">1922 NE 28th St </t>
  </si>
  <si>
    <t>Tipton</t>
  </si>
  <si>
    <t>South St. Paul</t>
  </si>
  <si>
    <t>33328-5106</t>
  </si>
  <si>
    <t>C079</t>
  </si>
  <si>
    <t xml:space="preserve">10339 Prairie Iris Dr </t>
  </si>
  <si>
    <t>03-44-26-14-00082.0020</t>
  </si>
  <si>
    <t xml:space="preserve">433 Santa Cruz St  North Fort Myers, FL 33903 </t>
  </si>
  <si>
    <t>Oak Crest</t>
  </si>
  <si>
    <t>01-44-23-c1-02451.0550</t>
  </si>
  <si>
    <t>Cape Coral Unit 36 Pt 1 Blk 2510 Pb 23 Pg 93 Lots 5 + 6</t>
  </si>
  <si>
    <t xml:space="preserve">101 NE 12th Ln  Cape Coral, FL 33909 </t>
  </si>
  <si>
    <t xml:space="preserve">1009 NE 36th St </t>
  </si>
  <si>
    <t xml:space="preserve">17522 Tuscan Cir </t>
  </si>
  <si>
    <t xml:space="preserve">7 Grandview Dr  Shirley, NY 11967-4205 </t>
  </si>
  <si>
    <t xml:space="preserve">1435 Glenwood Rd </t>
  </si>
  <si>
    <t>Sumarnkant</t>
  </si>
  <si>
    <t>Sahag</t>
  </si>
  <si>
    <t>R096</t>
  </si>
  <si>
    <t>11-44-25-09-00000.1790</t>
  </si>
  <si>
    <t>Charlevoix</t>
  </si>
  <si>
    <t xml:space="preserve">1560 S State St  Girard, OH 44420-3315 </t>
  </si>
  <si>
    <t>25-43-23-c3-02346.0070</t>
  </si>
  <si>
    <t>Josefa</t>
  </si>
  <si>
    <t xml:space="preserve">3307 NE 9th Ave </t>
  </si>
  <si>
    <t>Wischman</t>
  </si>
  <si>
    <t xml:space="preserve">Oberschneit </t>
  </si>
  <si>
    <t xml:space="preserve">4004 NE 17th Ave  Cape Coral, FL 33909 </t>
  </si>
  <si>
    <t xml:space="preserve">4404 King Rd </t>
  </si>
  <si>
    <t>01-44-23-c1-02439.0630</t>
  </si>
  <si>
    <t xml:space="preserve">511 Ohio Pl  Sarasota, FL 34236-7520 </t>
  </si>
  <si>
    <t>Watermill</t>
  </si>
  <si>
    <t>Lehigh Acres Unit 11 Blk 57 Pb 26 Pg 14 Lot 3</t>
  </si>
  <si>
    <t>Ronald Mcneill</t>
  </si>
  <si>
    <t xml:space="preserve">4000 River Grove Ln  Fort Myers, FL 33905 </t>
  </si>
  <si>
    <t xml:space="preserve">11025 Wakefield St  Westchester, IL 60154-4964 </t>
  </si>
  <si>
    <t>Kiomara Feliciano</t>
  </si>
  <si>
    <t xml:space="preserve">9140 SW 80th Ave  Miami, FL 33156-7436 </t>
  </si>
  <si>
    <t>Boxford</t>
  </si>
  <si>
    <t>87th</t>
  </si>
  <si>
    <t xml:space="preserve">2215 NE 34th Ln  Cape Coral, FL 33909 </t>
  </si>
  <si>
    <t>33909-6423</t>
  </si>
  <si>
    <t xml:space="preserve">6664 SW 41st Pl #28 </t>
  </si>
  <si>
    <t>Cypress Trail Rv Resort As Desc In Inst# 2013000212499 Lot 465</t>
  </si>
  <si>
    <t>Ginger Hill</t>
  </si>
  <si>
    <t>20-43-24-c3-05671.0110</t>
  </si>
  <si>
    <t>Christopher Giorgi &amp; Anthony Donadio</t>
  </si>
  <si>
    <t>Leland &amp; Leandra Forcier</t>
  </si>
  <si>
    <t xml:space="preserve">2008 NE 35th St  Cape Coral, FL 33909 </t>
  </si>
  <si>
    <t>17110-3217</t>
  </si>
  <si>
    <t>Willis Subd. Pb 5 Pg 47 Lots 35 + 36.</t>
  </si>
  <si>
    <t xml:space="preserve">5601 Cypress Woods Resort Dr  Fort Myers, FL 33905 </t>
  </si>
  <si>
    <t>Carol</t>
  </si>
  <si>
    <t>Hempstead</t>
  </si>
  <si>
    <t>Cape Coral Unit 36 Blk 2341 Pb 16 Pg 121 Lots 11 + 12</t>
  </si>
  <si>
    <t>Rooney</t>
  </si>
  <si>
    <t>07632-1916</t>
  </si>
  <si>
    <t>20-46-25-13-00000.0160</t>
  </si>
  <si>
    <t xml:space="preserve">2144 NE 43rd Ln </t>
  </si>
  <si>
    <t>Lehigh Acres Unit 12 Blk 62 Pb 26 Pg 15 Lot 16</t>
  </si>
  <si>
    <t>Cape Coral Unit 6 Part 3 Blk.77 Pb 11 Pg 71 Lts 26 + 27 + Or 1701/622</t>
  </si>
  <si>
    <t>33909-1750</t>
  </si>
  <si>
    <t xml:space="preserve">2031 SW 106th Ct  Miami, FL 33165-7942 </t>
  </si>
  <si>
    <t>33909-3368</t>
  </si>
  <si>
    <t xml:space="preserve">1708 NE 6th Ave </t>
  </si>
  <si>
    <t>Oren Zvulun</t>
  </si>
  <si>
    <t>Kerisnel</t>
  </si>
  <si>
    <t xml:space="preserve">3405 NE 18th Ave </t>
  </si>
  <si>
    <t>Cape Coral Unit 34 Blk 2460 Pb 16 Pg 86 Lots 45 + 46</t>
  </si>
  <si>
    <t>Gerald Walker</t>
  </si>
  <si>
    <t xml:space="preserve">2220 NE 33rd Ln  Cape Coral, FL 33909 </t>
  </si>
  <si>
    <t xml:space="preserve">363 Watsessing Ave #1, Bloomfield, NJ 07003-6026 </t>
  </si>
  <si>
    <t xml:space="preserve">7946 S 7110 W </t>
  </si>
  <si>
    <t xml:space="preserve">59 Camden Rd  Hillsborough, NJ 08844-3847 </t>
  </si>
  <si>
    <t xml:space="preserve">385 Detroit Ave </t>
  </si>
  <si>
    <t>01803-4512</t>
  </si>
  <si>
    <t>33909-1461</t>
  </si>
  <si>
    <t>Akili</t>
  </si>
  <si>
    <t>18-43-24-c3-05706.0370</t>
  </si>
  <si>
    <t>18-43-24-c1-05725.0050</t>
  </si>
  <si>
    <t>10514-3100</t>
  </si>
  <si>
    <t>Gypsum</t>
  </si>
  <si>
    <t>Jensen Beach</t>
  </si>
  <si>
    <t xml:space="preserve">1630 NE 34th Ln </t>
  </si>
  <si>
    <t xml:space="preserve">11767 S Dixie Hwy #450, Pinecrest, FL 33156-4438 </t>
  </si>
  <si>
    <t>Fr Se Cor Sec 20 Run W 2310 Ft Th N 450 Ft To Pob Th Cont N 75 Ft Th E 165</t>
  </si>
  <si>
    <t xml:space="preserve">6118 Kramer Ave </t>
  </si>
  <si>
    <t>Brant Lake</t>
  </si>
  <si>
    <t>Port Saint Lucie</t>
  </si>
  <si>
    <t>Cape Coral Unit 36 Blk 2341 Pb 16 Pg 124 Lots 29 + 30</t>
  </si>
  <si>
    <t xml:space="preserve">4405 Frankie Ct </t>
  </si>
  <si>
    <t xml:space="preserve">3315 NE 8th Pl </t>
  </si>
  <si>
    <t>Cape Coral Unit 47 Pt 2 Blk 3532 Pb 23 Pg 127 Lots 17 + 18</t>
  </si>
  <si>
    <t>33908-3318</t>
  </si>
  <si>
    <t>Hariharan</t>
  </si>
  <si>
    <t xml:space="preserve">PO Box 414  Orient, NY 11957 </t>
  </si>
  <si>
    <t>Livingston</t>
  </si>
  <si>
    <t>36-43-23-c4-02505.0090</t>
  </si>
  <si>
    <t>Debby Shoemaker</t>
  </si>
  <si>
    <t>17-43-24-c4-05763.0030</t>
  </si>
  <si>
    <t>33909-5200</t>
  </si>
  <si>
    <t xml:space="preserve">483 Bush Rd </t>
  </si>
  <si>
    <t xml:space="preserve">1532 NE 35th Ln </t>
  </si>
  <si>
    <t>05-44-24-c4-03542.0480</t>
  </si>
  <si>
    <t>33018-1128</t>
  </si>
  <si>
    <t xml:space="preserve">5218 Pineland Daisy Trl </t>
  </si>
  <si>
    <t>Du Bois</t>
  </si>
  <si>
    <t>02050-4728</t>
  </si>
  <si>
    <t>Hobe Sound</t>
  </si>
  <si>
    <t xml:space="preserve">63 County Way Ext </t>
  </si>
  <si>
    <t xml:space="preserve">6767 Wingeier Ave SE  Alto, MI 49302-9371 </t>
  </si>
  <si>
    <t xml:space="preserve">859 Indian Island Rd </t>
  </si>
  <si>
    <t>Towers</t>
  </si>
  <si>
    <t>Cape Coral Unit 32 Blk 2124 Pb 16 Pg 7 Lots 8 + 9</t>
  </si>
  <si>
    <t>Xuan</t>
  </si>
  <si>
    <t xml:space="preserve">420 Diplomat Pkwy E </t>
  </si>
  <si>
    <t>55358-3511</t>
  </si>
  <si>
    <t xml:space="preserve">124 Kismet Pkwy E  Cape Coral, FL 33909 </t>
  </si>
  <si>
    <t>Joseph Guinta Trust</t>
  </si>
  <si>
    <t xml:space="preserve">2108 NE 43rd Ln  Cape Coral, FL 33909 </t>
  </si>
  <si>
    <t xml:space="preserve">10678 Cypress Bend Dr </t>
  </si>
  <si>
    <t xml:space="preserve">1 Rue Mouloudji  Midway, GA 31320 </t>
  </si>
  <si>
    <t>Gallatin</t>
  </si>
  <si>
    <t xml:space="preserve">223 Packard Rd </t>
  </si>
  <si>
    <t>29-43-24-c3-02268.0140</t>
  </si>
  <si>
    <t xml:space="preserve">927 NE 33rd Ln  Cape Coral, FL 33909 </t>
  </si>
  <si>
    <t xml:space="preserve">90 Vantis Dr #6016 </t>
  </si>
  <si>
    <t>36-43-23-c3-02479.0110</t>
  </si>
  <si>
    <t xml:space="preserve">1406 NE 33rd Ln  Cape Coral, FL 33909 </t>
  </si>
  <si>
    <t>31-43-24-c4-02114.0630</t>
  </si>
  <si>
    <t>Cape Coral Unit 33 Blk 2284 Pb 16 Pg 59 Lots 20 + 21</t>
  </si>
  <si>
    <t xml:space="preserve">1405 NE 39th St </t>
  </si>
  <si>
    <t xml:space="preserve">71 Lambert St </t>
  </si>
  <si>
    <t>32-43-24-c4-02224.0570</t>
  </si>
  <si>
    <t>03-44-26-11-00056.0080</t>
  </si>
  <si>
    <t xml:space="preserve">1573 Lakeside Dr  Harveys Lake, PA 18618-3112 </t>
  </si>
  <si>
    <t xml:space="preserve">4138 NE 20th Pl </t>
  </si>
  <si>
    <t>C025</t>
  </si>
  <si>
    <t xml:space="preserve">2501 Haddow Ave  Downers Grove, IL 60515-3245 </t>
  </si>
  <si>
    <t>Oklahoma City</t>
  </si>
  <si>
    <t>Martin &amp; Rhonda Smith</t>
  </si>
  <si>
    <t xml:space="preserve">1813 NE 22nd Ave  Cape Coral, FL 33909 </t>
  </si>
  <si>
    <t xml:space="preserve">2209 NE 5th Pl  Cape Coral, FL 33909 </t>
  </si>
  <si>
    <t xml:space="preserve">60 Kosciuszko St </t>
  </si>
  <si>
    <t xml:space="preserve">3215 NE 15th Ave  Cape Coral, FL 33909 </t>
  </si>
  <si>
    <t xml:space="preserve">19501 N Water Tower Rd  Dale, IN 47523-9397 </t>
  </si>
  <si>
    <t>Schuster</t>
  </si>
  <si>
    <t xml:space="preserve">219 Rainbow Dr #11974 </t>
  </si>
  <si>
    <t xml:space="preserve">8275 Wyandotte St E #308 </t>
  </si>
  <si>
    <t>Hendin</t>
  </si>
  <si>
    <t>14-44-25-00-00002.2030</t>
  </si>
  <si>
    <t xml:space="preserve">14190 Chancellor St </t>
  </si>
  <si>
    <t xml:space="preserve">90 Oakwood Vlg #1 </t>
  </si>
  <si>
    <t xml:space="preserve">9911 Craftsman Park Way </t>
  </si>
  <si>
    <t>33068-3513</t>
  </si>
  <si>
    <t>44077-4687</t>
  </si>
  <si>
    <t xml:space="preserve">14081 Chancellor St </t>
  </si>
  <si>
    <t>33909-6276</t>
  </si>
  <si>
    <t>Ziegeleistr</t>
  </si>
  <si>
    <t>Cape Coral Unit 36 Pt 1 Blk 2496 Pb 23 Pg 92 Lots 7 + 8</t>
  </si>
  <si>
    <t>46040-9552</t>
  </si>
  <si>
    <t>Mahlon &amp; Monica Ray</t>
  </si>
  <si>
    <t xml:space="preserve">3338 NE 13th Pl  Cape Coral, FL 33909 </t>
  </si>
  <si>
    <t xml:space="preserve">14261 SW 119th Ave </t>
  </si>
  <si>
    <t>David &amp; Lisa Dangelo</t>
  </si>
  <si>
    <t>20-43-24-c1-05644.0310</t>
  </si>
  <si>
    <t xml:space="preserve">3730 Hyde Park Dr  Fort Myers, FL 33905 </t>
  </si>
  <si>
    <t>Belquis</t>
  </si>
  <si>
    <t>Seawright</t>
  </si>
  <si>
    <t>M1C 1J2</t>
  </si>
  <si>
    <t xml:space="preserve">2108 NE 6th Ave  Cape Coral, FL 33909 </t>
  </si>
  <si>
    <t xml:space="preserve">Stefan Zweig Weg #44 </t>
  </si>
  <si>
    <t>Queens Village</t>
  </si>
  <si>
    <t xml:space="preserve">3114 SE 10th Pl </t>
  </si>
  <si>
    <t>25-43-23-c3-02310.0410</t>
  </si>
  <si>
    <t xml:space="preserve">10956 Martingale Ct </t>
  </si>
  <si>
    <t xml:space="preserve">11 Riverside Dr 11ce, New York, NY 10023-1360 </t>
  </si>
  <si>
    <t>33909-3603</t>
  </si>
  <si>
    <t>Franck &amp; Katia Guillot</t>
  </si>
  <si>
    <t xml:space="preserve">1204 NE 12th St  Cape Coral, FL 33909 </t>
  </si>
  <si>
    <t>Sales</t>
  </si>
  <si>
    <t>Elmhurst</t>
  </si>
  <si>
    <t>Waelti</t>
  </si>
  <si>
    <t>S1</t>
  </si>
  <si>
    <t>04039-9728</t>
  </si>
  <si>
    <t xml:space="preserve">19 Liberty Ct </t>
  </si>
  <si>
    <t>Aqua</t>
  </si>
  <si>
    <t xml:space="preserve">9 Telfer Dr </t>
  </si>
  <si>
    <t>Cape Coral Unit 84 Blk 5575 Pb 24 Pg 45 Lots 32 Thru 34</t>
  </si>
  <si>
    <t>33909-3314</t>
  </si>
  <si>
    <t xml:space="preserve">1001 NE 36th Ln  Cape Coral, FL 33909 </t>
  </si>
  <si>
    <t xml:space="preserve">1500 NE 33rd Ln </t>
  </si>
  <si>
    <t>62966-4718</t>
  </si>
  <si>
    <t>60439-4226</t>
  </si>
  <si>
    <t xml:space="preserve">N8368 State Road 57  Elkhart Lake, WI 53020-2040 </t>
  </si>
  <si>
    <t>Ferdinand Salzmann &amp; Elizabeth Lute</t>
  </si>
  <si>
    <t xml:space="preserve">4237 Del Mar Village Dr SW  Grandville, MI 49418-8336 </t>
  </si>
  <si>
    <t>11-44-25-l1-12000.3530</t>
  </si>
  <si>
    <t xml:space="preserve">1702 NE 10th Pl  Cape Coral, FL 33909 </t>
  </si>
  <si>
    <t xml:space="preserve">20 Loewenburgstrasse  Lohmar Nr, DE 53797 </t>
  </si>
  <si>
    <t>Martin</t>
  </si>
  <si>
    <t>Buckingham Pk Re Blk B U-5 Blk 26 Pb 27 Pg 193 Lot 5</t>
  </si>
  <si>
    <t>Ronald Dyson</t>
  </si>
  <si>
    <t>Cape Coral Unit 85 Blk 5672 Pb 24 Pg 51 Lots 39 + 40</t>
  </si>
  <si>
    <t>Adela</t>
  </si>
  <si>
    <t>Derlina</t>
  </si>
  <si>
    <t xml:space="preserve">89 Huron Rd  Yonkers, NY 10710-5033 </t>
  </si>
  <si>
    <t>36-43-23-c4-02487.0220</t>
  </si>
  <si>
    <t xml:space="preserve">6845 Gleneagle Dr </t>
  </si>
  <si>
    <t>Victoriano</t>
  </si>
  <si>
    <t>Adi</t>
  </si>
  <si>
    <t xml:space="preserve">2038 NE 33rd Ln </t>
  </si>
  <si>
    <t xml:space="preserve">618 NE Juanita Pl </t>
  </si>
  <si>
    <t>Cape Coral Unit 88 Blk 5812 Pb 24 Pg 138 Lot 18</t>
  </si>
  <si>
    <t>David &amp; Indra Hudson</t>
  </si>
  <si>
    <t xml:space="preserve">837 Old State Rd </t>
  </si>
  <si>
    <t xml:space="preserve">37641 Murietta Ter </t>
  </si>
  <si>
    <t xml:space="preserve">5800 Billings Rd </t>
  </si>
  <si>
    <t>11-44-25-10-00000.3590</t>
  </si>
  <si>
    <t xml:space="preserve">PO Box 486  Almont, MI 48003 </t>
  </si>
  <si>
    <t>Conti</t>
  </si>
  <si>
    <t>Hollywood</t>
  </si>
  <si>
    <t>Cape Coral Unit 87 Blk 5683 Pb 24 Pg 74 Lots 9 + 10</t>
  </si>
  <si>
    <t xml:space="preserve">6008 Tabor Ave  Fort Myers, FL 33905 </t>
  </si>
  <si>
    <t>Robert Alan South Trust</t>
  </si>
  <si>
    <t xml:space="preserve">6520 38th Ln E  Sarasota, FL 34243-7921 </t>
  </si>
  <si>
    <t>Lubbeek</t>
  </si>
  <si>
    <t>Cape Coral Unit 15 Blk.432 Pb 13 Pg 75 Lots 28 + 29</t>
  </si>
  <si>
    <t xml:space="preserve">71 W Prairie Dawn Cir </t>
  </si>
  <si>
    <t xml:space="preserve">4141 Andalusia Blvd </t>
  </si>
  <si>
    <t>Jason Martinez</t>
  </si>
  <si>
    <t xml:space="preserve">4220 NE 19th Ave  Cape Coral, FL 33909 </t>
  </si>
  <si>
    <t>Cesar &amp; Mercedez Marcos</t>
  </si>
  <si>
    <t xml:space="preserve">188 N Grener Ave </t>
  </si>
  <si>
    <t>Greco</t>
  </si>
  <si>
    <t xml:space="preserve">204 NE 9th St </t>
  </si>
  <si>
    <t xml:space="preserve">2024 NE 4th Pl  Cape Coral, FL 33909 </t>
  </si>
  <si>
    <t>Ruben &amp; Maryjane Arcinas</t>
  </si>
  <si>
    <t xml:space="preserve">349 Commerce St </t>
  </si>
  <si>
    <t>R184</t>
  </si>
  <si>
    <t xml:space="preserve">144 Woodmount Ave  Toronto, ON M4c 3Z1 </t>
  </si>
  <si>
    <t xml:space="preserve">4101 Defender Dr  Agoura Hills, CA 91301-3509 </t>
  </si>
  <si>
    <t>Kerth</t>
  </si>
  <si>
    <t>Valerio</t>
  </si>
  <si>
    <t xml:space="preserve">85 Chemin Du Beav Veze  Carey, ID 83320 </t>
  </si>
  <si>
    <t xml:space="preserve">821 Penfield St  Bronx, NY 10470-1322 </t>
  </si>
  <si>
    <t xml:space="preserve">2611 NE 22nd Ave </t>
  </si>
  <si>
    <t>11-44-25-07-00000.1720</t>
  </si>
  <si>
    <t xml:space="preserve">8325 Hc 64 </t>
  </si>
  <si>
    <t>33909-8418</t>
  </si>
  <si>
    <t>Chadwick</t>
  </si>
  <si>
    <t>Ithaca</t>
  </si>
  <si>
    <t>For Timios Pension Scheme Trust</t>
  </si>
  <si>
    <t>Cape Coral Unit 34 Blk 2426 Pb 16 Pg 82 Lots 25 + 26</t>
  </si>
  <si>
    <t>Fine</t>
  </si>
  <si>
    <t xml:space="preserve">195 Winchester St </t>
  </si>
  <si>
    <t>Kleiman</t>
  </si>
  <si>
    <t xml:space="preserve">112 Green Bank Way </t>
  </si>
  <si>
    <t>46394-1311</t>
  </si>
  <si>
    <t xml:space="preserve">6401 Maytree Cir </t>
  </si>
  <si>
    <t>Elliot</t>
  </si>
  <si>
    <t xml:space="preserve">1012 NE 1st Ave  Cape Coral, FL 33909 </t>
  </si>
  <si>
    <t>Cd &amp; Christen George</t>
  </si>
  <si>
    <t>Malden</t>
  </si>
  <si>
    <t xml:space="preserve">2055 Siesta Dr #5843, Sarasota, FL 34277-7035 </t>
  </si>
  <si>
    <t>Connie Nguyen</t>
  </si>
  <si>
    <t>Larrison</t>
  </si>
  <si>
    <t xml:space="preserve">105 Bleecker St #1 </t>
  </si>
  <si>
    <t xml:space="preserve">14261 River Rd  Fort Myers, FL 33905 </t>
  </si>
  <si>
    <t>Bigelow</t>
  </si>
  <si>
    <t>19-43-24-c4-05559.0400</t>
  </si>
  <si>
    <t>Kumar</t>
  </si>
  <si>
    <t xml:space="preserve">14050 Roof St </t>
  </si>
  <si>
    <t xml:space="preserve">12510 NE 1st Ave  North Miami, FL 33161-4547 </t>
  </si>
  <si>
    <t xml:space="preserve">11702 SW 144th Ct  Miami, FL 33186-8621 </t>
  </si>
  <si>
    <t>06-44-24-c4-02044.0510</t>
  </si>
  <si>
    <t>33909-8903</t>
  </si>
  <si>
    <t xml:space="preserve">4130 NE 20th Ct  Cape Coral, FL 33909 </t>
  </si>
  <si>
    <t>08527-4384</t>
  </si>
  <si>
    <t xml:space="preserve">208 10th St  Hicksville, NY 11801-5510 </t>
  </si>
  <si>
    <t>93720-2814</t>
  </si>
  <si>
    <t>C074</t>
  </si>
  <si>
    <t>17-43-24-c3-05782.0380</t>
  </si>
  <si>
    <t>01-44-23-c1-02450.0010</t>
  </si>
  <si>
    <t xml:space="preserve">12901 SW 64th Ct </t>
  </si>
  <si>
    <t>05-44-24-c2-03515.0430</t>
  </si>
  <si>
    <t xml:space="preserve">42 Gutnickstr  Koeln, DE 50769 </t>
  </si>
  <si>
    <t>Alpena</t>
  </si>
  <si>
    <t>Lake Christine</t>
  </si>
  <si>
    <t>33909-3167</t>
  </si>
  <si>
    <t>Cypress Woods Rv Resort Desc In Inst#2006-358211 Lot 139</t>
  </si>
  <si>
    <t>33155-4518</t>
  </si>
  <si>
    <t xml:space="preserve">14351 Trinidad St </t>
  </si>
  <si>
    <t xml:space="preserve">6037 Tabor Ave  Fort Myers, FL 33905 </t>
  </si>
  <si>
    <t>36-45-23-31-00000.0150</t>
  </si>
  <si>
    <t>American &amp; Joan Connor</t>
  </si>
  <si>
    <t>Candice</t>
  </si>
  <si>
    <t>Pichardo</t>
  </si>
  <si>
    <t xml:space="preserve">3251 Silver Springs Dr #51, Louisville, KY 40220-3495 </t>
  </si>
  <si>
    <t>34-43-24-02-00033.0160</t>
  </si>
  <si>
    <t xml:space="preserve">745 Ferndale Rd N  Wayzata, MN 55391-1010 </t>
  </si>
  <si>
    <t>Lehigh Acres Unit 10 Blk 49 Pb 26 Pg 12 Lot 19</t>
  </si>
  <si>
    <t xml:space="preserve">356 Shear Hill Rd  Carmel, NY 10512-4416 </t>
  </si>
  <si>
    <t>33409-3848</t>
  </si>
  <si>
    <t>E 1/2 Of Se 1/4 Of Nw 1/4 Of Nw 1/4</t>
  </si>
  <si>
    <t>18-43-24-c4-05586.0250</t>
  </si>
  <si>
    <t>06-44-24-c1-02078.0310</t>
  </si>
  <si>
    <t>Asheville</t>
  </si>
  <si>
    <t>Cape Coral Unit 85 Blk 5650 Pb 24 Pg 57 Lots 11 + 12</t>
  </si>
  <si>
    <t xml:space="preserve">7341 NW 174th Ter #100 </t>
  </si>
  <si>
    <t>Michael &amp; Jill Wagner</t>
  </si>
  <si>
    <t xml:space="preserve">200 Camino Real </t>
  </si>
  <si>
    <t>20-43-24-c2-05655.0070</t>
  </si>
  <si>
    <t>Stanley &amp; Raczek Marie</t>
  </si>
  <si>
    <t>Hlinka</t>
  </si>
  <si>
    <t xml:space="preserve">6110 Hutton Ct </t>
  </si>
  <si>
    <t xml:space="preserve">1021 NE 13th Pl </t>
  </si>
  <si>
    <t>Blue Water Shores Pb 10 Pg 78 Lot 4</t>
  </si>
  <si>
    <t>Presser</t>
  </si>
  <si>
    <t>Cape Coral Unit 88 Blk 5761 Pb 24 Pg 134 Lots 29 + 30</t>
  </si>
  <si>
    <t xml:space="preserve">519 NE 6th Pl </t>
  </si>
  <si>
    <t>18-43-24-c4-05683.0150</t>
  </si>
  <si>
    <t>Jeannine Razzano</t>
  </si>
  <si>
    <t xml:space="preserve">800 SE 4th Ave #151 </t>
  </si>
  <si>
    <t xml:space="preserve">1333 S Gator Cir  Cape Coral, FL 33909 </t>
  </si>
  <si>
    <t>36-43-23-c2-02543.0060</t>
  </si>
  <si>
    <t>Errol &amp; Shaharazad Emrit</t>
  </si>
  <si>
    <t>Cape Coral Unit 87 Blk 5713 Pb 24 Pg 76 Lots 28 Thru 30</t>
  </si>
  <si>
    <t>David Ruiz &amp; Ilyse Grund</t>
  </si>
  <si>
    <t>Red Wing</t>
  </si>
  <si>
    <t>73rd</t>
  </si>
  <si>
    <t xml:space="preserve">1105 Vicar Ln </t>
  </si>
  <si>
    <t xml:space="preserve">10129 Spyglass Ln </t>
  </si>
  <si>
    <t xml:space="preserve">3322 NE 8th Pl  Cape Coral, FL 33909 </t>
  </si>
  <si>
    <t>Ft.Myers Shores Unit 5 Blk 84 Pb 16 Pg 66 Lot 30</t>
  </si>
  <si>
    <t>Fort Bragg</t>
  </si>
  <si>
    <t>Cape Coral Unit 88 Blk 5828 Pb 24 Pg 142 Lots 41 + 42</t>
  </si>
  <si>
    <t>Adam Meadows &amp; Estate American</t>
  </si>
  <si>
    <t xml:space="preserve">605 Peaceful Dr </t>
  </si>
  <si>
    <t>Cape Coral Unit 85 Blk 5649 Pb 24 Pg 54 Lots 29 + 30</t>
  </si>
  <si>
    <t>33905-7505</t>
  </si>
  <si>
    <t>Cape Coral Unit 87 Blk 5728 Pb 24 Pg 85 Lots 17 + 18</t>
  </si>
  <si>
    <t>Planco</t>
  </si>
  <si>
    <t>Feliciano</t>
  </si>
  <si>
    <t>East Aurora</t>
  </si>
  <si>
    <t xml:space="preserve">2033 NE 4th Pl </t>
  </si>
  <si>
    <t xml:space="preserve">1919 NE 20th Ct </t>
  </si>
  <si>
    <t xml:space="preserve">1870 NW 16th St </t>
  </si>
  <si>
    <t>J0H 1G0</t>
  </si>
  <si>
    <t>Mauck</t>
  </si>
  <si>
    <t xml:space="preserve">832 Stanton Dr </t>
  </si>
  <si>
    <t>Gustav &amp; Monika Benders</t>
  </si>
  <si>
    <t>Maria Canales</t>
  </si>
  <si>
    <t xml:space="preserve">3813 Kittyhawk Dr  Fort Myers, FL 33905 </t>
  </si>
  <si>
    <t>Cape Coral Unit 31 Blk 2065 Pb 14 Pg 160 Lots 42 + 43</t>
  </si>
  <si>
    <t xml:space="preserve">2346 Felicity Pl </t>
  </si>
  <si>
    <t xml:space="preserve">115 Gold St </t>
  </si>
  <si>
    <t>Willingham</t>
  </si>
  <si>
    <t>Route 22</t>
  </si>
  <si>
    <t>Kishore Siva &amp; Kostantina Dariotis</t>
  </si>
  <si>
    <t>Sandra Mogotocoro &amp; Gustavo Hernandez</t>
  </si>
  <si>
    <t>Classic</t>
  </si>
  <si>
    <t>Parham</t>
  </si>
  <si>
    <t>Mathai</t>
  </si>
  <si>
    <t>Cape Coral Unit 26 Blk.879 Pb 14 Pg 130 Lots 10 + 11</t>
  </si>
  <si>
    <t>Chicago</t>
  </si>
  <si>
    <t>33904-3427</t>
  </si>
  <si>
    <t>Cape Coral Unit 84 Blk.5581 Pb 24 Pg 45 Lots 28 + 29</t>
  </si>
  <si>
    <t>R130</t>
  </si>
  <si>
    <t>Seger</t>
  </si>
  <si>
    <t>Yanez</t>
  </si>
  <si>
    <t>60014-6650</t>
  </si>
  <si>
    <t xml:space="preserve">2610 NE 1st Ave  Cape Coral, FL 33909 </t>
  </si>
  <si>
    <t xml:space="preserve">1017 NE 6th Ave  Cape Coral, FL 33909 </t>
  </si>
  <si>
    <t>Fekette</t>
  </si>
  <si>
    <t>Benjamin &amp; Marguerite Bacon</t>
  </si>
  <si>
    <t>03-44-26-08-00036.0110</t>
  </si>
  <si>
    <t>33909-4336</t>
  </si>
  <si>
    <t xml:space="preserve">5759 Burrwood Ct </t>
  </si>
  <si>
    <t>Edgemont</t>
  </si>
  <si>
    <t xml:space="preserve">1518 NE 37th St </t>
  </si>
  <si>
    <t>Schlehleweg</t>
  </si>
  <si>
    <t>Ft Myers Shores Unit 3 Blk 37 Pb 10 Pg 27 Lots 20 21 + 22</t>
  </si>
  <si>
    <t>Anilyn</t>
  </si>
  <si>
    <t>Tsui</t>
  </si>
  <si>
    <t>01845-4547</t>
  </si>
  <si>
    <t xml:space="preserve">10349 Prairie Iris Dr  Fort Myers, FL 33905 </t>
  </si>
  <si>
    <t>Cypress Trail Rv Resort Ph 3 As Desc In Inst# 2015000085552 Lot 228</t>
  </si>
  <si>
    <t>19-43-24-c2-05587.0050</t>
  </si>
  <si>
    <t xml:space="preserve">1723 NE 27th Ter </t>
  </si>
  <si>
    <t>Cape Coral Unit 34 Blk.2430 Pb 16 Pg 83 Lots 9 + 10</t>
  </si>
  <si>
    <t>Mcgrfew</t>
  </si>
  <si>
    <t>Patruno</t>
  </si>
  <si>
    <t>30019-3026</t>
  </si>
  <si>
    <t>28311-2733</t>
  </si>
  <si>
    <t>11-44-25-10-00000.4220</t>
  </si>
  <si>
    <t xml:space="preserve">327 NE 9th Ter </t>
  </si>
  <si>
    <t>Lehigh Acres W Pt Unit 1 Blk 3 Pb 26 Pg 2 Lot 42</t>
  </si>
  <si>
    <t xml:space="preserve">4350 SW 137th Ct </t>
  </si>
  <si>
    <t>33909-5309</t>
  </si>
  <si>
    <t xml:space="preserve">5958 Brightwood Dr </t>
  </si>
  <si>
    <t>Edlie</t>
  </si>
  <si>
    <t xml:space="preserve">10214 Huffines Dr </t>
  </si>
  <si>
    <t>Gino Borrani</t>
  </si>
  <si>
    <t xml:space="preserve">221 NE 5th Ter </t>
  </si>
  <si>
    <t xml:space="preserve">1021 NE 4th Ave  Cape Coral, FL 33909 </t>
  </si>
  <si>
    <t xml:space="preserve">20549 Linden Blvd B </t>
  </si>
  <si>
    <t>Cape Coral Unit 34 Blk 2422 Pb 16 Pg 76 Lots 31 + 32</t>
  </si>
  <si>
    <t xml:space="preserve">11108 Stardust Dr  Fort Myers, FL 33908 </t>
  </si>
  <si>
    <t xml:space="preserve">1 Rue Mouloudji </t>
  </si>
  <si>
    <t>Sikorsky</t>
  </si>
  <si>
    <t>Mamie</t>
  </si>
  <si>
    <t xml:space="preserve">707 Little Hampton Ln </t>
  </si>
  <si>
    <t>33909-3402</t>
  </si>
  <si>
    <t>Mark Smith Revocable Trust</t>
  </si>
  <si>
    <t>03827-2079</t>
  </si>
  <si>
    <t xml:space="preserve">1018 Kismet Pkwy E </t>
  </si>
  <si>
    <t>William Bilsky</t>
  </si>
  <si>
    <t>Surrey</t>
  </si>
  <si>
    <t>34112-3831</t>
  </si>
  <si>
    <t xml:space="preserve">6931 E Presidio Rd </t>
  </si>
  <si>
    <t>Edgar</t>
  </si>
  <si>
    <t>Paul Little</t>
  </si>
  <si>
    <t xml:space="preserve">10409 Nightwood Dr  Fort Myers, FL 33905 </t>
  </si>
  <si>
    <t>33909-3113</t>
  </si>
  <si>
    <t>Peled</t>
  </si>
  <si>
    <t xml:space="preserve">200 Lake Christine Dr  Belleville, IL 62221-2515 </t>
  </si>
  <si>
    <t>Cape Coral Unit 33 Blk.2276 Pb 16 Pg 60 Lots 18 + 19</t>
  </si>
  <si>
    <t xml:space="preserve">1433 Weeping Willow Ct </t>
  </si>
  <si>
    <t>45036-1900</t>
  </si>
  <si>
    <t xml:space="preserve">267 Minorca Ave #200 </t>
  </si>
  <si>
    <t>Devin</t>
  </si>
  <si>
    <t>Cape Coral Unit 88 Blk 5783 Pb 24 Pg 132 Lots 11 + 12</t>
  </si>
  <si>
    <t>Vilmeus</t>
  </si>
  <si>
    <t>Peaceful</t>
  </si>
  <si>
    <t>Cypress Trail Rv Resort Phase 2-A As Desc In Inst# 2014000026506 Lot 163</t>
  </si>
  <si>
    <t xml:space="preserve">326 Diplomat Pkwy E  Cape Coral, FL 33909 </t>
  </si>
  <si>
    <t xml:space="preserve">47 Bowling Ln </t>
  </si>
  <si>
    <t>18-43-24-c4-05699.0010</t>
  </si>
  <si>
    <t>31-43-24-c2-02155.0250</t>
  </si>
  <si>
    <t xml:space="preserve">2148 NE 43rd Ln </t>
  </si>
  <si>
    <t>Eden Prairie</t>
  </si>
  <si>
    <t>Notchcliff</t>
  </si>
  <si>
    <t>Adel</t>
  </si>
  <si>
    <t xml:space="preserve">36011 Grand River Ave #104 </t>
  </si>
  <si>
    <t xml:space="preserve">4230 E Gator Cir  Cape Coral, FL 33909 </t>
  </si>
  <si>
    <t xml:space="preserve">1120 NE 32nd Ln  Cape Coral, FL 33909 </t>
  </si>
  <si>
    <t xml:space="preserve">2331 NE 35th Ln </t>
  </si>
  <si>
    <t>06-44-24-c3-02043.0280</t>
  </si>
  <si>
    <t>Cape Coral Unit 36 Blk 2532 Pb 16 Pg 117 Lots 5 + 6</t>
  </si>
  <si>
    <t>91343-1855</t>
  </si>
  <si>
    <t>Cypress Trail Rv Resort Ph 4-B As Desc In Inst# 2017000057565 Lot 349</t>
  </si>
  <si>
    <t>60136-4014</t>
  </si>
  <si>
    <t>Andrea &amp; Ariane Wulff</t>
  </si>
  <si>
    <t>Jorge &amp; Milagros Lau</t>
  </si>
  <si>
    <t>Foreman</t>
  </si>
  <si>
    <t>19-43-24-c3-05617.0030</t>
  </si>
  <si>
    <t>03-44-26-09-00044.0220</t>
  </si>
  <si>
    <t>Cape Coral Unit 47 Pt 2 Blk 3532 Pb 23 Pg 127 Lots 15 + 16</t>
  </si>
  <si>
    <t xml:space="preserve">5926 Burrwood Ct </t>
  </si>
  <si>
    <t xml:space="preserve">52 Burning Tree Rd  Natick, MA 01760-3239 </t>
  </si>
  <si>
    <t>For Linda M Soleau Trust</t>
  </si>
  <si>
    <t xml:space="preserve">2531 NE 5th Pl </t>
  </si>
  <si>
    <t>Ryan Barrett</t>
  </si>
  <si>
    <t xml:space="preserve">239 Waites Ln  Anderson, SC 29626-6448 </t>
  </si>
  <si>
    <t xml:space="preserve">1074 S Verde Santa Fe Pkwy  Cornville, AZ 86325-4940 </t>
  </si>
  <si>
    <t>Rue Abbe Nicolas Weyrich</t>
  </si>
  <si>
    <t xml:space="preserve">1202 Regent St </t>
  </si>
  <si>
    <t>80046-1300</t>
  </si>
  <si>
    <t xml:space="preserve">444 E 82nd St 12a, New York, NY 10028-5946 </t>
  </si>
  <si>
    <t>Cape Coral Unit 36 Blk 2332 Pb 16 Pg 130 Lots 24 + 25</t>
  </si>
  <si>
    <t xml:space="preserve">1012 NE 1st Ave </t>
  </si>
  <si>
    <t xml:space="preserve">3129 SE 8th Ave  Cape Coral, FL 33904 </t>
  </si>
  <si>
    <t>Sw 1/4 Of Se 1/4 Of Nw 1/4 Desc In Inst #2019000044620</t>
  </si>
  <si>
    <t>11220-2904</t>
  </si>
  <si>
    <t>11-44-25-05-0000c.0650</t>
  </si>
  <si>
    <t xml:space="preserve">4014 NE 9th Pl  Cape Coral, FL 33909 </t>
  </si>
  <si>
    <t>Cape Coral Unit 31 Blk 2063 Pb 14 Pg 162 Lots 9 + 10</t>
  </si>
  <si>
    <t xml:space="preserve">88 King St #619, San Francisco, CA 94107-4029 </t>
  </si>
  <si>
    <t xml:space="preserve">321 Wheatstone Dr </t>
  </si>
  <si>
    <t xml:space="preserve">1500 NE 33rd Ln  Cape Coral, FL 33909 </t>
  </si>
  <si>
    <t>Cape Coral Unit 84 Blk 5561 Pb 24 Pg 37 Lots 7 + 8</t>
  </si>
  <si>
    <t>Hays</t>
  </si>
  <si>
    <t xml:space="preserve">3521 NE 12th Ave </t>
  </si>
  <si>
    <t xml:space="preserve">1913 NE 5th Ave  Cape Coral, FL 33909 </t>
  </si>
  <si>
    <t xml:space="preserve">1600 Mara Dr  Henrico, VA 23238-4414 </t>
  </si>
  <si>
    <t xml:space="preserve">907 Wolcott Ave  Beacon, NY 12508-3760 </t>
  </si>
  <si>
    <t xml:space="preserve">25 E Private Road 140 N </t>
  </si>
  <si>
    <t>33166-5115</t>
  </si>
  <si>
    <t xml:space="preserve">3722 SW Wycoff St  Port Saint Lucie, FL 34953-5301 </t>
  </si>
  <si>
    <t xml:space="preserve">817 NE 32nd Ter </t>
  </si>
  <si>
    <t>66224-4550</t>
  </si>
  <si>
    <t xml:space="preserve">3613 W Gator Cir </t>
  </si>
  <si>
    <t>15-44-25-00-00023.0050</t>
  </si>
  <si>
    <t xml:space="preserve">Louisiana #2882 </t>
  </si>
  <si>
    <t>06-45-24-c3-00524.0050</t>
  </si>
  <si>
    <t>Cypress Woods Rv Resort Ut 1 Pb 65 Pg 85 + 86 Blk A Lot 23</t>
  </si>
  <si>
    <t>Gruber</t>
  </si>
  <si>
    <t>Rue Des Gravieres</t>
  </si>
  <si>
    <t xml:space="preserve">3848/3850 Hillandale St </t>
  </si>
  <si>
    <t>19465-7273</t>
  </si>
  <si>
    <t xml:space="preserve">1002 NE 6th Pl </t>
  </si>
  <si>
    <t>45414-2075</t>
  </si>
  <si>
    <t>Melvin</t>
  </si>
  <si>
    <t>18-43-24-c2-05723.0380</t>
  </si>
  <si>
    <t>Fernandes</t>
  </si>
  <si>
    <t xml:space="preserve">273 Devoe St #3 </t>
  </si>
  <si>
    <t>Jason &amp; Karmin Vanantwerp</t>
  </si>
  <si>
    <t>16-44-26-08-00027.0030</t>
  </si>
  <si>
    <t xml:space="preserve">6982 Eagle Dr  Nineveh, IN 46164-9631 </t>
  </si>
  <si>
    <t xml:space="preserve">10511 Harbor Dr </t>
  </si>
  <si>
    <t xml:space="preserve">185 Audubon Ave #35 </t>
  </si>
  <si>
    <t>Argentina Garcia</t>
  </si>
  <si>
    <t>36-44-23-c2-00884.0710</t>
  </si>
  <si>
    <t>Crest</t>
  </si>
  <si>
    <t>Belle Vue Park Blk.C Pb 5 Pg 50 Lots 21 22</t>
  </si>
  <si>
    <t>Cape Coral Unit 36 Blk 2345 Pb 16 Pg 121 Lots 4 + 5</t>
  </si>
  <si>
    <t xml:space="preserve">1814 NE 5th Ct  Cape Coral, FL 33909 </t>
  </si>
  <si>
    <t>Tiffany &amp; Ruben Cedano</t>
  </si>
  <si>
    <t>Juan &amp; Dolores Arvizu</t>
  </si>
  <si>
    <t>State Highway 96</t>
  </si>
  <si>
    <t xml:space="preserve">16830 NW 82nd Ave  Hialeah, FL 33016-3503 </t>
  </si>
  <si>
    <t>Cape Coral Unit 36 Pt 1 Blk 2498 Pb 23 Pg 92 Lots 21 + 22</t>
  </si>
  <si>
    <t>55304-2546</t>
  </si>
  <si>
    <t xml:space="preserve">1613 NE 33rd Ter  Cape Coral, FL 33909 </t>
  </si>
  <si>
    <t>22003-3420</t>
  </si>
  <si>
    <t xml:space="preserve">5112 W Wolfram St #1, Chicago, IL 60641-5032 </t>
  </si>
  <si>
    <t xml:space="preserve">1/3/9 Dietmayrg  Vienna, AT 01200 </t>
  </si>
  <si>
    <t>Brian &amp; Judy Shepherd</t>
  </si>
  <si>
    <t>Cape Coral Unit 47 Pt 2 Blk 3529 Pb 23 Pg 126 Lots 12 + 13</t>
  </si>
  <si>
    <t>Richard Seabreeze</t>
  </si>
  <si>
    <t>Cape Coral Unit 87 Blk 5693 Pb 24 Pg 81 Lots 16 + 17</t>
  </si>
  <si>
    <t>Cape Coral Unit 88 Blk 5797 Pb 24 Pg 137 Lots 43 + 44</t>
  </si>
  <si>
    <t>Cape Coral Unit 33 Blk 2286 Pb 16 Pg 60 Lots 1 + 2</t>
  </si>
  <si>
    <t>34-43-25-05-00012.0100</t>
  </si>
  <si>
    <t xml:space="preserve">Po Box 5100 </t>
  </si>
  <si>
    <t>94538-1253</t>
  </si>
  <si>
    <t>49508-1423</t>
  </si>
  <si>
    <t>Mabolo Rd Northern Hills Malab</t>
  </si>
  <si>
    <t>19-43-24-c3-05624.0150</t>
  </si>
  <si>
    <t>Dublin Ranch</t>
  </si>
  <si>
    <t>33909-8413</t>
  </si>
  <si>
    <t>60053-3549</t>
  </si>
  <si>
    <t>Christopher Williams</t>
  </si>
  <si>
    <t>Cypress Trail Rv Resort Phase 2-B As Desc In Inst# 2015000013050 Lot 432</t>
  </si>
  <si>
    <t xml:space="preserve">43 Massachusetts Ave  Danvers, MA 01923-2352 </t>
  </si>
  <si>
    <t>Cape Coral Unit 17 Pt 1 Blk 1540 Pb 23 Pg 4 Lots 67 + 68</t>
  </si>
  <si>
    <t xml:space="preserve">1627 NE 23rd Ter  Cape Coral, FL 33909 </t>
  </si>
  <si>
    <t>Lige</t>
  </si>
  <si>
    <t xml:space="preserve">19681 Summerlin Rd #539, Fort Myers, FL 33908 </t>
  </si>
  <si>
    <t>92110-2122</t>
  </si>
  <si>
    <t xml:space="preserve">4005 NE 10th Pl  Cape Coral, FL 33909 </t>
  </si>
  <si>
    <t xml:space="preserve">1328 NE 34th Ln </t>
  </si>
  <si>
    <t xml:space="preserve">329 NE 10th St </t>
  </si>
  <si>
    <t>John Spillenaar</t>
  </si>
  <si>
    <t>33905-3854</t>
  </si>
  <si>
    <t>Alger</t>
  </si>
  <si>
    <t>Albert Razon</t>
  </si>
  <si>
    <t>14221-5955</t>
  </si>
  <si>
    <t>33909-5358</t>
  </si>
  <si>
    <t>Cape Coral Unit 5 Blk 120 Pb 11 Pg 84 Lots 36 + 37</t>
  </si>
  <si>
    <t>19-43-24-c4-05565.0230</t>
  </si>
  <si>
    <t>Cape Coral Unit 1 Pt.1 Amd Blk 2 Pb 11 Pg 43 Lots 41 + 42 Also Sly 20 Ft Of Lot 43</t>
  </si>
  <si>
    <t xml:space="preserve">1805 NE 27th St </t>
  </si>
  <si>
    <t xml:space="preserve">818 Diplomat Pkwy E </t>
  </si>
  <si>
    <t>33155-2121</t>
  </si>
  <si>
    <t>06-44-24-c4-02050.0340</t>
  </si>
  <si>
    <t>36-43-23-c2-02524.0310</t>
  </si>
  <si>
    <t xml:space="preserve">3109 N Biscayne Dr  North Port, FL 34291-7015 </t>
  </si>
  <si>
    <t>Rachmilevitch</t>
  </si>
  <si>
    <t>11234-5009</t>
  </si>
  <si>
    <t>Modesta Soto &amp; Paola Acosta</t>
  </si>
  <si>
    <t>Juan</t>
  </si>
  <si>
    <t>Haines City</t>
  </si>
  <si>
    <t xml:space="preserve">1914 NE Juanita Pl  Cape Coral, FL 33909 </t>
  </si>
  <si>
    <t xml:space="preserve">1823 NE Van Loon Ter  Cape Coral, FL 33909 </t>
  </si>
  <si>
    <t xml:space="preserve">3600 NE 9th Ave  Cape Coral, FL 33909 </t>
  </si>
  <si>
    <t>Joanne Rainey</t>
  </si>
  <si>
    <t xml:space="preserve">23476 SW 112th Pl  Homestead, FL 33032-4709 </t>
  </si>
  <si>
    <t xml:space="preserve">4022 NE 23rd Pl  Cape Coral, FL 33909 </t>
  </si>
  <si>
    <t xml:space="preserve">1504 Andalusia Blvd  Cape Coral, FL 33909 </t>
  </si>
  <si>
    <t xml:space="preserve">1501 NE 40th St </t>
  </si>
  <si>
    <t xml:space="preserve">13864 5th St  Fort Myers, FL 33905 </t>
  </si>
  <si>
    <t xml:space="preserve">5301 W 5th Ave </t>
  </si>
  <si>
    <t>Risso</t>
  </si>
  <si>
    <t xml:space="preserve">17276 Kaison Cir  Riverside, CA 92508-9589 </t>
  </si>
  <si>
    <t>32-43-24-c1-02179.0470</t>
  </si>
  <si>
    <t>Harborage</t>
  </si>
  <si>
    <t xml:space="preserve">2133 NE 17th St  Cape Coral, FL 33909 </t>
  </si>
  <si>
    <t>Cape Coral Unit 84 Blk 5575 Pb 24 Pg 45 Lots 61 + 62</t>
  </si>
  <si>
    <t xml:space="preserve">1819 NE 41st St </t>
  </si>
  <si>
    <t xml:space="preserve">1712 Andalusia Blvd </t>
  </si>
  <si>
    <t xml:space="preserve">523 Prairie Ln  Luxemburg, WI 54217-1053 </t>
  </si>
  <si>
    <t xml:space="preserve">60985 Bachelor View Rd  Bend, OR 97702-9138 </t>
  </si>
  <si>
    <t>33905-7304</t>
  </si>
  <si>
    <t>Lyons</t>
  </si>
  <si>
    <t xml:space="preserve">1007 NE 4th Ave  Cape Coral, FL 33909 </t>
  </si>
  <si>
    <t>25-43-23-c3-02355.0580</t>
  </si>
  <si>
    <t>Pinzon</t>
  </si>
  <si>
    <t>Messenger</t>
  </si>
  <si>
    <t>Cheektowaga</t>
  </si>
  <si>
    <t xml:space="preserve">10 Redwing Ln </t>
  </si>
  <si>
    <t>Leslie Martins</t>
  </si>
  <si>
    <t>33904-3515</t>
  </si>
  <si>
    <t>33909-4424</t>
  </si>
  <si>
    <t>Sea Pine</t>
  </si>
  <si>
    <t>For Shaffer Spousal Trust</t>
  </si>
  <si>
    <t>Yeomalt</t>
  </si>
  <si>
    <t>Anna Vo</t>
  </si>
  <si>
    <t>County Road 3</t>
  </si>
  <si>
    <t>84065-7018</t>
  </si>
  <si>
    <t>44262-1545</t>
  </si>
  <si>
    <t>Haider</t>
  </si>
  <si>
    <t>Harry Ryan &amp; Ryan For</t>
  </si>
  <si>
    <t>Ashaway</t>
  </si>
  <si>
    <t xml:space="preserve">6933 Aura Ave  Reseda, CA 91335-3722 </t>
  </si>
  <si>
    <t>33126-6040</t>
  </si>
  <si>
    <t>33904-3226</t>
  </si>
  <si>
    <t>Lehigh Acres Unit 9 Blk 43 Pb 26 Pg 11 Lot 23</t>
  </si>
  <si>
    <t xml:space="preserve">5045 W Diversey Ave </t>
  </si>
  <si>
    <t>For Dampier Trust</t>
  </si>
  <si>
    <t xml:space="preserve">4126 SE 3rd Ave </t>
  </si>
  <si>
    <t xml:space="preserve">3765 NE 14th Pl </t>
  </si>
  <si>
    <t>19-43-24-c4-05566.0030</t>
  </si>
  <si>
    <t xml:space="preserve">1209 Eastridge Dr  Byrdstown, TN 38549-5421 </t>
  </si>
  <si>
    <t xml:space="preserve">1219 SE 33rd St </t>
  </si>
  <si>
    <t xml:space="preserve">2201 NE 23rd Pl  Cape Coral, FL 33909 </t>
  </si>
  <si>
    <t xml:space="preserve">2 Orchard Blossom Rd </t>
  </si>
  <si>
    <t>06855-1214</t>
  </si>
  <si>
    <t>Collazo</t>
  </si>
  <si>
    <t>Duaine &amp; Ann Kief</t>
  </si>
  <si>
    <t>33909-1369</t>
  </si>
  <si>
    <t xml:space="preserve">1803 NE 33rd Ter </t>
  </si>
  <si>
    <t>33909-6816</t>
  </si>
  <si>
    <t>Four Bridges</t>
  </si>
  <si>
    <t>Almero</t>
  </si>
  <si>
    <t>11725-2704</t>
  </si>
  <si>
    <t>Jayne Santoro &amp; Tracy Dewitt</t>
  </si>
  <si>
    <t>Cassandra</t>
  </si>
  <si>
    <t>Hollar</t>
  </si>
  <si>
    <t xml:space="preserve">2201 NE 25th Ter  Cape Coral, FL 33909 </t>
  </si>
  <si>
    <t xml:space="preserve">1622 NE 36th Ter  Cape Coral, FL 33909 </t>
  </si>
  <si>
    <t xml:space="preserve">2103 Kismet Pkwy E  Cape Coral, FL 33909 </t>
  </si>
  <si>
    <t xml:space="preserve">304 NE 16th Ter  Cape Coral, FL 33909 </t>
  </si>
  <si>
    <t xml:space="preserve">3712 Kelsey St  Fort Myers, FL 33905 </t>
  </si>
  <si>
    <t xml:space="preserve">2617 NE 7th Ave </t>
  </si>
  <si>
    <t>Fortunata</t>
  </si>
  <si>
    <t>Cape Coral Unit 46 Blk 3592 Pb 17 Pg 124 Lots 89 + 90</t>
  </si>
  <si>
    <t>Cape Coral Unit 47 Pt 2 Blk 3528 Pb 23 Pg 117 Lots 7 + 8</t>
  </si>
  <si>
    <t>Waksman</t>
  </si>
  <si>
    <t>Conner Paul R Tr</t>
  </si>
  <si>
    <t>Cape Coral Unit 33 Blk.2235 Pb 16 Pg 52 Lots 55 + 56</t>
  </si>
  <si>
    <t>02908-3931</t>
  </si>
  <si>
    <t xml:space="preserve">Av 6 #4490, Quito, EC </t>
  </si>
  <si>
    <t xml:space="preserve">12703 Willow Marsh Ln  Bowie, MD 20720-4656 </t>
  </si>
  <si>
    <t>Hoffenkamp</t>
  </si>
  <si>
    <t xml:space="preserve">3826 Hyde Park Dr  Fort Myers, FL 33905 </t>
  </si>
  <si>
    <t xml:space="preserve">2108 NE 25th Ter </t>
  </si>
  <si>
    <t>Stanley Wise</t>
  </si>
  <si>
    <t>33028-3035</t>
  </si>
  <si>
    <t xml:space="preserve">601 SE 25th Ter  Cape Coral, FL 33904 </t>
  </si>
  <si>
    <t>32-43-24-c2-02185.0730</t>
  </si>
  <si>
    <t>Lyall</t>
  </si>
  <si>
    <t>Rina</t>
  </si>
  <si>
    <t xml:space="preserve">5121 Rutland Ct  Cape Coral, FL 33904 </t>
  </si>
  <si>
    <t>18-43-24-c2-05721.0290</t>
  </si>
  <si>
    <t xml:space="preserve">6 Kirchstrasse  Pickford, MI 49774 </t>
  </si>
  <si>
    <t>Canyon Reach</t>
  </si>
  <si>
    <t xml:space="preserve">2113 NE 1st Ave  Cape Coral, FL 33909 </t>
  </si>
  <si>
    <t xml:space="preserve">13400 Bird Rd  Fort Myers, FL 33905 </t>
  </si>
  <si>
    <t xml:space="preserve">1020 NE 32nd Ter  Cape Coral, FL 33909 </t>
  </si>
  <si>
    <t>06-44-24-c1-02068.0530</t>
  </si>
  <si>
    <t>Plaza</t>
  </si>
  <si>
    <t xml:space="preserve">18790 Whitby St </t>
  </si>
  <si>
    <t>Ross &amp; Dianna Doe</t>
  </si>
  <si>
    <t>34983-2011</t>
  </si>
  <si>
    <t>East Falmouth</t>
  </si>
  <si>
    <t>Crownridge</t>
  </si>
  <si>
    <t xml:space="preserve">Rue Du Plit #21, Anvaing, BE </t>
  </si>
  <si>
    <t xml:space="preserve">5515 Cypress Trail Resort Cir </t>
  </si>
  <si>
    <t xml:space="preserve">4113 NE 21st Pl  Cape Coral, FL 33909 </t>
  </si>
  <si>
    <t>Medford</t>
  </si>
  <si>
    <t>Broad</t>
  </si>
  <si>
    <t>Cape Coral Unit 85 Blk 5656 Pb 24 Pg 54 Lots 39 + 40</t>
  </si>
  <si>
    <t>36-43-23-c2-02533.0280</t>
  </si>
  <si>
    <t>33905-5707</t>
  </si>
  <si>
    <t xml:space="preserve">6519 Rose Wine Way </t>
  </si>
  <si>
    <t>91106-5410</t>
  </si>
  <si>
    <t>36-44-23-c3-00888.0100</t>
  </si>
  <si>
    <t xml:space="preserve">105 S Tracy Ave  Dows, IA 50071-7541 </t>
  </si>
  <si>
    <t xml:space="preserve">2263 Dora St  Fort Myers, FL 33901 </t>
  </si>
  <si>
    <t>Robson</t>
  </si>
  <si>
    <t xml:space="preserve">360 N Myrtle Ave  New Smyrna Beach, FL 32168-6976 </t>
  </si>
  <si>
    <t xml:space="preserve">2719 NE 7th Pl  Cape Coral, FL 33909 </t>
  </si>
  <si>
    <t>25-43-23-c3-02174.0250</t>
  </si>
  <si>
    <t>Ginger Herrick</t>
  </si>
  <si>
    <t xml:space="preserve">1536 Fairway Village Dr </t>
  </si>
  <si>
    <t>36-43-23-c3-02508.0090</t>
  </si>
  <si>
    <t>Marrow</t>
  </si>
  <si>
    <t xml:space="preserve">10266 Meadow Beauty Trl </t>
  </si>
  <si>
    <t>Charles &amp; Dianna Kitchen</t>
  </si>
  <si>
    <t>Acorn</t>
  </si>
  <si>
    <t>Le Plaln D Aups</t>
  </si>
  <si>
    <t>Antioquia Sa</t>
  </si>
  <si>
    <t xml:space="preserve">14 Alpine Cir  Franklin, NJ 07416-9717 </t>
  </si>
  <si>
    <t xml:space="preserve">3131 58th St SW  Naples, FL 34116-7405 </t>
  </si>
  <si>
    <t>11580-3041</t>
  </si>
  <si>
    <t>Cape Coral Unit 36 Blk 2338 Pb 16 Pg 127 Lots 43 + 44</t>
  </si>
  <si>
    <t>Thomas &amp; Susanne Hecker</t>
  </si>
  <si>
    <t xml:space="preserve">3009 Meyers Rd </t>
  </si>
  <si>
    <t xml:space="preserve">12333 Baypointe Ter </t>
  </si>
  <si>
    <t>254th</t>
  </si>
  <si>
    <t>33144-5650</t>
  </si>
  <si>
    <t>18-43-24-c3-05747.0350</t>
  </si>
  <si>
    <t>Ochoa</t>
  </si>
  <si>
    <t xml:space="preserve">8902 Chilliwack Dr  San Antonio, TX 78250-5221 </t>
  </si>
  <si>
    <t>Cape Coral Unit 33 Blk 2277 Pb 16 Pg 58 Lots 11 12 + 13</t>
  </si>
  <si>
    <t>For Morse Trust</t>
  </si>
  <si>
    <t>06-44-24-c1-02069.0330</t>
  </si>
  <si>
    <t xml:space="preserve">2718 NE 20th Ct </t>
  </si>
  <si>
    <t xml:space="preserve">65 Myrtle St </t>
  </si>
  <si>
    <t>Susanne</t>
  </si>
  <si>
    <t xml:space="preserve">2110 NE 13th Ave  Cape Coral, FL 33909 </t>
  </si>
  <si>
    <t>Cape Coral Unit 34 Blk.2458 Pb 16 Pg 83 Lots 1 + 2</t>
  </si>
  <si>
    <t xml:space="preserve">2783 Paddington Dr SE </t>
  </si>
  <si>
    <t>Boyle</t>
  </si>
  <si>
    <t>Califano</t>
  </si>
  <si>
    <t xml:space="preserve">106 NE 20th Ct  Cape Coral, FL 33909 </t>
  </si>
  <si>
    <t xml:space="preserve">2300 W 56th St </t>
  </si>
  <si>
    <t>Stow</t>
  </si>
  <si>
    <t xml:space="preserve">2817 NE 6th Ave </t>
  </si>
  <si>
    <t>Cape Coral Unit 47 Pt 2 Blk 3515 Pb 23 Pg 124 Lots 43 Thru 45</t>
  </si>
  <si>
    <t>Hanger</t>
  </si>
  <si>
    <t xml:space="preserve">1628 NE 17th Ter </t>
  </si>
  <si>
    <t>Cape Coral Unit 84 Blk 5560 Pb 24 Pg 32 Lots 3 + 4</t>
  </si>
  <si>
    <t xml:space="preserve">402 Lake Shore Rd </t>
  </si>
  <si>
    <t>Loudon</t>
  </si>
  <si>
    <t>55330-9515</t>
  </si>
  <si>
    <t>10470-1018</t>
  </si>
  <si>
    <t>29-43-24-c4-02263.0330</t>
  </si>
  <si>
    <t xml:space="preserve">317 NE 13th Ter  Cape Coral, FL 33909 </t>
  </si>
  <si>
    <t xml:space="preserve">60 Branch Ave  Painesville, OH 44077-3819 </t>
  </si>
  <si>
    <t>Fm 320</t>
  </si>
  <si>
    <t>Vilchez</t>
  </si>
  <si>
    <t xml:space="preserve">2314 NE 35th Ln  Cape Coral, FL 33909 </t>
  </si>
  <si>
    <t xml:space="preserve">449 Kroshus Dr </t>
  </si>
  <si>
    <t>31-43-24-c3-02124.0030</t>
  </si>
  <si>
    <t xml:space="preserve">14151 Cherrydale St  Fort Myers, FL 33905 </t>
  </si>
  <si>
    <t>33125-4104</t>
  </si>
  <si>
    <t>Lehigh Acres Unit 13 W 1/2 Blk 74 Pb 26 Pg 18 Lot 20</t>
  </si>
  <si>
    <t xml:space="preserve">8551 Buckingham Rd </t>
  </si>
  <si>
    <t>11-44-25-09-00000.1840</t>
  </si>
  <si>
    <t xml:space="preserve">11780 Iona Rd  Fort Myers, FL 33908 </t>
  </si>
  <si>
    <t xml:space="preserve">1221 NE 41st St  Cape Coral, FL 33909 </t>
  </si>
  <si>
    <t>45118-9424</t>
  </si>
  <si>
    <t xml:space="preserve">86 A </t>
  </si>
  <si>
    <t>33134-1166</t>
  </si>
  <si>
    <t>05-44-24-c1-03534.0290</t>
  </si>
  <si>
    <t>Cape Coral Unit 84 Blk 5546 Pb 24 Pg 47 Lots 9 + 10</t>
  </si>
  <si>
    <t>20-43-24-c2-05666.0670</t>
  </si>
  <si>
    <t>Mirada</t>
  </si>
  <si>
    <t>44256-7330</t>
  </si>
  <si>
    <t xml:space="preserve">7946 W Elmgrove Dr </t>
  </si>
  <si>
    <t>33909-1315</t>
  </si>
  <si>
    <t>Cape Coral Unit 84 Blk.5591 Pb 24 Pg 41 Lot 14</t>
  </si>
  <si>
    <t xml:space="preserve">2122 NE 19th Pl  Cape Coral, FL 33909 </t>
  </si>
  <si>
    <t>Pittsburgh</t>
  </si>
  <si>
    <t>Manila</t>
  </si>
  <si>
    <t xml:space="preserve">829 NE 44th Ln </t>
  </si>
  <si>
    <t>48152-3055</t>
  </si>
  <si>
    <t>11-44-25-l1-12000.2950</t>
  </si>
  <si>
    <t xml:space="preserve">1126 NE 12th St </t>
  </si>
  <si>
    <t>33909-4473</t>
  </si>
  <si>
    <t>Silo</t>
  </si>
  <si>
    <t>Mirna</t>
  </si>
  <si>
    <t>33905-8615</t>
  </si>
  <si>
    <t>49024-8410</t>
  </si>
  <si>
    <t xml:space="preserve">1313 NE 7th Ave </t>
  </si>
  <si>
    <t>Mu</t>
  </si>
  <si>
    <t xml:space="preserve">1805 NE 6th Pl  Cape Coral, FL 33909 </t>
  </si>
  <si>
    <t>03-44-26-11-00059.0020</t>
  </si>
  <si>
    <t>Cape Coral Unit 88 Blk 5812 Pb 24 Pg 139 Lots 27 Thru 29</t>
  </si>
  <si>
    <t>12306-5733</t>
  </si>
  <si>
    <t>Natasha</t>
  </si>
  <si>
    <t xml:space="preserve">Stefan Zweig Weg #44, Moenchengladbach, DE 41068 </t>
  </si>
  <si>
    <t>60457-1406</t>
  </si>
  <si>
    <t>06-44-24-c3-02062.0320</t>
  </si>
  <si>
    <t>Fidel &amp; Rosa Avilleira</t>
  </si>
  <si>
    <t>Cape Coral Unit 4 Pt.2 Blk.141 Pb 12 Pg 15 Lots 34 + 35 + Port Between Lot + Canal As Desc In Or 965 Pg 495 Ex B</t>
  </si>
  <si>
    <t xml:space="preserve">3733 NE 13th Pl  Cape Coral, FL 33909 </t>
  </si>
  <si>
    <t>19-43-24-c3-05612.0770</t>
  </si>
  <si>
    <t>Sambar</t>
  </si>
  <si>
    <t xml:space="preserve">N8445 County Rd E </t>
  </si>
  <si>
    <t>Ilora</t>
  </si>
  <si>
    <t xml:space="preserve">511 SE 32nd St </t>
  </si>
  <si>
    <t>Cypress Trail Rv Resort Ph 4-B As Desc In Inst# 2017000057565 Lot 89</t>
  </si>
  <si>
    <t>Quia</t>
  </si>
  <si>
    <t xml:space="preserve">269 Clifton Ave  Staten Island, NY 10305-1601 </t>
  </si>
  <si>
    <t>06084-2551</t>
  </si>
  <si>
    <t xml:space="preserve">10705 Alloway Dr  Potomac, MD 20854-1602 </t>
  </si>
  <si>
    <t xml:space="preserve">4004 NE 20th Ct  Cape Coral, FL 33909 </t>
  </si>
  <si>
    <t>Ines &amp; Luis Villafuerte</t>
  </si>
  <si>
    <t>Steven</t>
  </si>
  <si>
    <t>Raoul Alcala</t>
  </si>
  <si>
    <t xml:space="preserve">2316 NE 28th St  Cape Coral, FL 33909 </t>
  </si>
  <si>
    <t>33909-1800</t>
  </si>
  <si>
    <t>Okla</t>
  </si>
  <si>
    <t xml:space="preserve">216 Stephens Ave </t>
  </si>
  <si>
    <t xml:space="preserve">5129 Atlantic Ct </t>
  </si>
  <si>
    <t>Cape Coral Unit 87 Blk 5715 Pb 24 Pg 76 Lots 24 + 25</t>
  </si>
  <si>
    <t>Moline</t>
  </si>
  <si>
    <t>03-44-26-01-00006.0280</t>
  </si>
  <si>
    <t>Cruz</t>
  </si>
  <si>
    <t xml:space="preserve">1995 Sedgwick Ave 4g, Bronx, NY 10453-2765 </t>
  </si>
  <si>
    <t>04-44-25-25-00000.0010</t>
  </si>
  <si>
    <t xml:space="preserve">1106 NE 18th Ave </t>
  </si>
  <si>
    <t xml:space="preserve">70 Linden Ave  Jersey City, NJ 07305-3919 </t>
  </si>
  <si>
    <t>Vista Sandia</t>
  </si>
  <si>
    <t xml:space="preserve">160 Pilot St #320 </t>
  </si>
  <si>
    <t xml:space="preserve">412 Phil Hansen Dr </t>
  </si>
  <si>
    <t>05-44-24-c1-03535.0090</t>
  </si>
  <si>
    <t>01-44-23-c1-02447.0850</t>
  </si>
  <si>
    <t xml:space="preserve">10101 SW 43rd St </t>
  </si>
  <si>
    <t>Chaviano</t>
  </si>
  <si>
    <t>Frias</t>
  </si>
  <si>
    <t>Diaz</t>
  </si>
  <si>
    <t>16-44-25-p1-0090f.0090</t>
  </si>
  <si>
    <t xml:space="preserve">1823 NE 22nd St </t>
  </si>
  <si>
    <t>Pina Bertuccio</t>
  </si>
  <si>
    <t>Sarah Smith</t>
  </si>
  <si>
    <t>Cypress Woods Rv Resort Unit 4 Pb 79 Pgs 68-71 Blk D Lot 53</t>
  </si>
  <si>
    <t xml:space="preserve">1123 NE 39th St </t>
  </si>
  <si>
    <t xml:space="preserve">10327 Fire Flag Trl </t>
  </si>
  <si>
    <t>33909-3250</t>
  </si>
  <si>
    <t xml:space="preserve">2046 NE 25th St  Cape Coral, FL 33909 </t>
  </si>
  <si>
    <t>11801-1649</t>
  </si>
  <si>
    <t>34-43-24-01-00035.010b</t>
  </si>
  <si>
    <t>16-44-26-01-00026.0270</t>
  </si>
  <si>
    <t>Cindy Senra &amp; Eugenia Viana</t>
  </si>
  <si>
    <t xml:space="preserve">105 SE 7th St #42 </t>
  </si>
  <si>
    <t xml:space="preserve">426 Lakeside Dr #147, Margate, FL 33063-7619 </t>
  </si>
  <si>
    <t>Cape Coral Unit 84 Blk 5600 Pb 24 Pg 43 Lots 65 + 66</t>
  </si>
  <si>
    <t xml:space="preserve">7 Grandview Dr </t>
  </si>
  <si>
    <t>25-43-23-c3-02353.0240</t>
  </si>
  <si>
    <t xml:space="preserve">5507 Cypress Trail Resort Cir  Fort Myers, FL 33905 </t>
  </si>
  <si>
    <t xml:space="preserve">12 Oakmont St </t>
  </si>
  <si>
    <t>33436-4192</t>
  </si>
  <si>
    <t>32-43-24-c3-02217.0310</t>
  </si>
  <si>
    <t xml:space="preserve">3755 Kenyon St  Fort Myers, FL 33905 </t>
  </si>
  <si>
    <t xml:space="preserve">11036 Stardust Dr  Fort Myers, FL 33908 </t>
  </si>
  <si>
    <t xml:space="preserve">1400 Kismet Pkwy E  Cape Coral, FL 33909 </t>
  </si>
  <si>
    <t xml:space="preserve">10072 Buena Vista Dr </t>
  </si>
  <si>
    <t>S 50 Ft.Of N 150 Ft.Of E 167 Ft.Of Nw 1/4 Of Se 1/4 Of Nw 1/4.</t>
  </si>
  <si>
    <t>Cerros</t>
  </si>
  <si>
    <t>33040-4751</t>
  </si>
  <si>
    <t xml:space="preserve">1226 NE 3rd Ave </t>
  </si>
  <si>
    <t>40045-8336</t>
  </si>
  <si>
    <t>Damaso</t>
  </si>
  <si>
    <t xml:space="preserve">3540 NE 18th Ave </t>
  </si>
  <si>
    <t>Cape Coral Unit 35 Blk 2400 Pb 16 Pg 109 Lots 76 + 77</t>
  </si>
  <si>
    <t>Gould</t>
  </si>
  <si>
    <t>33908-8265</t>
  </si>
  <si>
    <t>Mill Valley</t>
  </si>
  <si>
    <t xml:space="preserve">30 Meadow Brook Xing </t>
  </si>
  <si>
    <t>19701-1305</t>
  </si>
  <si>
    <t>65th</t>
  </si>
  <si>
    <t>Cape Coral Unit 36 Blk 2320 Pb 16 Pg 126 Lots 41 + 42</t>
  </si>
  <si>
    <t xml:space="preserve">4327 NE 13th Pl  Cape Coral, FL 33909 </t>
  </si>
  <si>
    <t xml:space="preserve">444 NE 2nd Pl  Cape Coral, FL 33909 </t>
  </si>
  <si>
    <t xml:space="preserve">6230 Castlewood Cir </t>
  </si>
  <si>
    <t>12-44-23-c2-02381.0490</t>
  </si>
  <si>
    <t xml:space="preserve">827 NE 19th St </t>
  </si>
  <si>
    <t>Wilton</t>
  </si>
  <si>
    <t>Cape Coral Unit 32 Blk 2101 Pb 16 Pg 5 Lots 51 + 52</t>
  </si>
  <si>
    <t xml:space="preserve">1314 NE 7th Ave  Cape Coral, FL 33909 </t>
  </si>
  <si>
    <t>24-45-23-c2-00141.0540</t>
  </si>
  <si>
    <t>Mahtomedi</t>
  </si>
  <si>
    <t xml:space="preserve">Odebacksvaegen </t>
  </si>
  <si>
    <t>For John S Hester Trust</t>
  </si>
  <si>
    <t xml:space="preserve">16627 Mcgregor Blvd </t>
  </si>
  <si>
    <t>Rinat</t>
  </si>
  <si>
    <t xml:space="preserve">5881 N Plum Bay Pkwy </t>
  </si>
  <si>
    <t>Jeffery &amp; Ramona Georgia</t>
  </si>
  <si>
    <t>Gloucester Point</t>
  </si>
  <si>
    <t xml:space="preserve">27 Franklin Ct #27, Newtown, CT 06470-1468 </t>
  </si>
  <si>
    <t>Cape Coral Unit 31 Blk 2083 Pb 14 Pg 164 Lots 26 + 27</t>
  </si>
  <si>
    <t>Cindy Ospina</t>
  </si>
  <si>
    <t>Hartwell</t>
  </si>
  <si>
    <t>19504-9371</t>
  </si>
  <si>
    <t>05-44-24-c1-03530.0350</t>
  </si>
  <si>
    <t>Cape Coral Unit 36 Pt 1 Blk 2511 Pb 23 Pg 88 Lots 20 + 21</t>
  </si>
  <si>
    <t xml:space="preserve">7907 Glenoak Pkwy </t>
  </si>
  <si>
    <t>Somkhit</t>
  </si>
  <si>
    <t xml:space="preserve">16421 SW 64th Ter  Miami, FL 33193-5627 </t>
  </si>
  <si>
    <t>Island Harbor</t>
  </si>
  <si>
    <t>Sweet Creek</t>
  </si>
  <si>
    <t>Momany</t>
  </si>
  <si>
    <t>92647-6607</t>
  </si>
  <si>
    <t xml:space="preserve">7 Sudetenstr  Weiterstadt, DE 64331 </t>
  </si>
  <si>
    <t>Czupryn</t>
  </si>
  <si>
    <t>Cypress Trail Rv Resort Ph 3 As Desc In Inst# 2015000085552 Lot 63</t>
  </si>
  <si>
    <t>Pham</t>
  </si>
  <si>
    <t>03-44-26-01-00003.0390</t>
  </si>
  <si>
    <t xml:space="preserve">1404 N Millstream Dr </t>
  </si>
  <si>
    <t>County Route 26</t>
  </si>
  <si>
    <t>Michael Testa</t>
  </si>
  <si>
    <t xml:space="preserve">1301 Jacaranda Pkwy E </t>
  </si>
  <si>
    <t>33904-3510</t>
  </si>
  <si>
    <t>De Pere</t>
  </si>
  <si>
    <t xml:space="preserve">219 Alta Vista Dr </t>
  </si>
  <si>
    <t xml:space="preserve">4103 Ridgebrook Dr  Westfield, IN 46062-7175 </t>
  </si>
  <si>
    <t>01-44-23-c1-02447.0600</t>
  </si>
  <si>
    <t>Hameraj Singh</t>
  </si>
  <si>
    <t xml:space="preserve">10030 Stonewood Dr  Fort Myers, FL 33905 </t>
  </si>
  <si>
    <t xml:space="preserve">109 Cottage St </t>
  </si>
  <si>
    <t>Robert Martin</t>
  </si>
  <si>
    <t>Copper</t>
  </si>
  <si>
    <t>Michael &amp; Shirley Daniels</t>
  </si>
  <si>
    <t>Mirsada</t>
  </si>
  <si>
    <t>33909-1653</t>
  </si>
  <si>
    <t>Zoe Howard &amp; Debra Seitz</t>
  </si>
  <si>
    <t xml:space="preserve">Po Box 559 </t>
  </si>
  <si>
    <t xml:space="preserve">1107 NE 37th Ter  Cape Coral, FL 33909 </t>
  </si>
  <si>
    <t>Emilio &amp; Astrid Brown</t>
  </si>
  <si>
    <t>Cape Coral Unit 35 Blk.2394 Pb 16 Pg 108 Lots 25 + 26</t>
  </si>
  <si>
    <t xml:space="preserve">1305 Jacks Ln  Fort Denaud, FL 33935 </t>
  </si>
  <si>
    <t>Taft</t>
  </si>
  <si>
    <t>Westward</t>
  </si>
  <si>
    <t>Cape Coral Unit 33 Blk.2182 Pb 16 Pg 49 Lots 75 + 76</t>
  </si>
  <si>
    <t>Homy</t>
  </si>
  <si>
    <t>Cape Coral Unit 47 Pt 2 Blk 3529 Pb 23 Pg 126 Lots 10 + 11</t>
  </si>
  <si>
    <t>Cape Coral Unit 88 Blk 5797 Pb 24 Pg 137 Lots 41 + 42</t>
  </si>
  <si>
    <t>Christian Alor</t>
  </si>
  <si>
    <t xml:space="preserve"># 84 </t>
  </si>
  <si>
    <t>Cane</t>
  </si>
  <si>
    <t>33909-1364</t>
  </si>
  <si>
    <t xml:space="preserve">1810 NE 5th Ct </t>
  </si>
  <si>
    <t xml:space="preserve">311 10th St NE  Naples, FL 34120-2056 </t>
  </si>
  <si>
    <t>Micah Lam &amp; Ziyue Gu</t>
  </si>
  <si>
    <t xml:space="preserve">1304 N Gator Cir  Cape Coral, FL 33909 </t>
  </si>
  <si>
    <t>Cornwell</t>
  </si>
  <si>
    <t>Ash Swamp</t>
  </si>
  <si>
    <t xml:space="preserve">3900 Fort Denaud Rd </t>
  </si>
  <si>
    <t xml:space="preserve">7 Theo Champion St  Duesseldorf, DE 40549 </t>
  </si>
  <si>
    <t xml:space="preserve">310 Randolph Rd  Freehold, NJ 07728-1596 </t>
  </si>
  <si>
    <t xml:space="preserve">2700 W 84th St  Hialeah, FL 33016-5704 </t>
  </si>
  <si>
    <t>Cape Coral Unit 85 Blk 5667 Pb 24 Pg 53 Lots 44 + 45</t>
  </si>
  <si>
    <t>33905-8664</t>
  </si>
  <si>
    <t xml:space="preserve">5213 Pineland Daisy Trl  Fort Myers, FL 33905 </t>
  </si>
  <si>
    <t>For Frances Ricca Trust</t>
  </si>
  <si>
    <t xml:space="preserve">1311 Diplomat Pkwy E  Cape Coral, FL 33909 </t>
  </si>
  <si>
    <t>Saluda</t>
  </si>
  <si>
    <t xml:space="preserve">2527 NE 7th Ave  Cape Coral, FL 33909 </t>
  </si>
  <si>
    <t xml:space="preserve">17 Tamiami Ct  Kings Park, NY 11754 </t>
  </si>
  <si>
    <t>Plainview</t>
  </si>
  <si>
    <t>Cape Coral Unit 36 Pt 1 Blk 2146 Pb 23 Pg 94 Lots 10 + 11</t>
  </si>
  <si>
    <t xml:space="preserve">11700 Oakdale Dr  Fort Myers, FL 33908 </t>
  </si>
  <si>
    <t xml:space="preserve">2208 NE 21st Pl  Cape Coral, FL 33909 </t>
  </si>
  <si>
    <t xml:space="preserve">14 Lindsay Ln </t>
  </si>
  <si>
    <t>Solis</t>
  </si>
  <si>
    <t xml:space="preserve">600 Westward Dr  Miami Springs, FL 33166-5160 </t>
  </si>
  <si>
    <t>36-43-23-c3-02500.0210</t>
  </si>
  <si>
    <t>Gleneagle</t>
  </si>
  <si>
    <t>35-43-25-09-00001.2530</t>
  </si>
  <si>
    <t xml:space="preserve">920 NE 10th Ln  Cape Coral, FL 33909 </t>
  </si>
  <si>
    <t xml:space="preserve">1003 NE 32nd Ter </t>
  </si>
  <si>
    <t xml:space="preserve">19203 SW 39th St  Miramar, FL 33029-2731 </t>
  </si>
  <si>
    <t xml:space="preserve">1300 SE 4th Ave #1, Fort Lauderdale, FL 33316-1914 </t>
  </si>
  <si>
    <t>33909-5495</t>
  </si>
  <si>
    <t xml:space="preserve">694 Lincoln Ave  Pittsburgh, PA 15202-3421 </t>
  </si>
  <si>
    <t>Millennium Trust Company Llc</t>
  </si>
  <si>
    <t xml:space="preserve">25 SW 63rd Ct </t>
  </si>
  <si>
    <t>20-43-24-c2-05665.0380</t>
  </si>
  <si>
    <t>Antonio &amp; Kathryn Bruno</t>
  </si>
  <si>
    <t>17-43-24-c4-05740.0330</t>
  </si>
  <si>
    <t>33909-2048</t>
  </si>
  <si>
    <t>Cape Coral Unit 13 Blk.504 Pb 13 Pg 60 Lots 5 + 6</t>
  </si>
  <si>
    <t xml:space="preserve">2516 W Douglas St </t>
  </si>
  <si>
    <t xml:space="preserve">625 Waltham Ave  Orlando, FL 32809-4205 </t>
  </si>
  <si>
    <t>Bone</t>
  </si>
  <si>
    <t>19709-8965</t>
  </si>
  <si>
    <t>Josemyre</t>
  </si>
  <si>
    <t>33015-3801</t>
  </si>
  <si>
    <t xml:space="preserve">1352 S End Pkwy </t>
  </si>
  <si>
    <t>33909-4729</t>
  </si>
  <si>
    <t>Carbonell</t>
  </si>
  <si>
    <t>Cape Coral Unit 36 Blk 2343 Pb 16 Pg 121 Lots 43 + 44</t>
  </si>
  <si>
    <t>Hanover Park</t>
  </si>
  <si>
    <t>Perera</t>
  </si>
  <si>
    <t>South Setauket</t>
  </si>
  <si>
    <t>Ronald &amp; For Iossi</t>
  </si>
  <si>
    <t>Cape Coral Unit 32 Blk 2161 Pb 16 Pg 11 Lots 67 + 68</t>
  </si>
  <si>
    <t xml:space="preserve">726 E Main St F, Lebanon, OH 45036-1900 </t>
  </si>
  <si>
    <t xml:space="preserve">Psc 10 Box 451  Apo, AE 09142 </t>
  </si>
  <si>
    <t>For Daniel &amp; Yasmin Ramirez Trust</t>
  </si>
  <si>
    <t>Cape Coral Unit 33 Blk 2286 Pb 16 Pg 60 Lots 7 + 8</t>
  </si>
  <si>
    <t>33909-9234</t>
  </si>
  <si>
    <t>25-43-23-c2-02333.0750</t>
  </si>
  <si>
    <t>Cape Coral Unit 25 Blk 907 Pb 14 Pg 96 Lots 12 + 13</t>
  </si>
  <si>
    <t>Le</t>
  </si>
  <si>
    <t>Rue De Pancraee</t>
  </si>
  <si>
    <t>Cecilla</t>
  </si>
  <si>
    <t>33909-6468</t>
  </si>
  <si>
    <t>03-44-26-06-00028.0110</t>
  </si>
  <si>
    <t>Natalie</t>
  </si>
  <si>
    <t>80233-4046</t>
  </si>
  <si>
    <t>03-44-26-10-00051.0200</t>
  </si>
  <si>
    <t xml:space="preserve">2039 Waltman St </t>
  </si>
  <si>
    <t>Cape Coral Unit 32 Blk.2171 Pb 16 Pg 8 Lots 1 + 2</t>
  </si>
  <si>
    <t>Edmund Averman</t>
  </si>
  <si>
    <t xml:space="preserve">404 De Vendee Rue </t>
  </si>
  <si>
    <t xml:space="preserve">7 Laning Ave </t>
  </si>
  <si>
    <t xml:space="preserve">14017 Western Reserve Rd </t>
  </si>
  <si>
    <t>Barratt</t>
  </si>
  <si>
    <t>01-44-23-c4-02417.0250</t>
  </si>
  <si>
    <t xml:space="preserve">526 NE 15th Ter  Cape Coral, FL 33909 </t>
  </si>
  <si>
    <t>32-43-24-c4-02228.0070</t>
  </si>
  <si>
    <t xml:space="preserve">2226 NE 15th Ter </t>
  </si>
  <si>
    <t>Ying</t>
  </si>
  <si>
    <t>33909-1114</t>
  </si>
  <si>
    <t>Miesch</t>
  </si>
  <si>
    <t>46514-4863</t>
  </si>
  <si>
    <t xml:space="preserve">1302 NE 2nd Ave </t>
  </si>
  <si>
    <t>Van Loon</t>
  </si>
  <si>
    <t>Cape Coral Unit 32 Blk 2139 Pb 16 Pg 10 Lots 57 + 58</t>
  </si>
  <si>
    <t>06-44-24-c2-02076.0150</t>
  </si>
  <si>
    <t xml:space="preserve">2605 NE 5th Pl </t>
  </si>
  <si>
    <t>Cape Coral Unit 33 Blk 2243 Pb 16 Pg 55 Lots 15 + 16</t>
  </si>
  <si>
    <t xml:space="preserve">44 W Hartsdale Ave </t>
  </si>
  <si>
    <t>Harold &amp; Robin Stone</t>
  </si>
  <si>
    <t>33909-4272</t>
  </si>
  <si>
    <t>Foxboro</t>
  </si>
  <si>
    <t xml:space="preserve">14260 Bigelow Rd  Fort Myers, FL 33905 </t>
  </si>
  <si>
    <t>36-45-23-03-0000i.0340</t>
  </si>
  <si>
    <t>Denia Olguin</t>
  </si>
  <si>
    <t>53511-9246</t>
  </si>
  <si>
    <t>07660-1720</t>
  </si>
  <si>
    <t>Castellanos Claudia Tr For Castellanos Trust</t>
  </si>
  <si>
    <t>For Rishi P Mohabir Trust</t>
  </si>
  <si>
    <t xml:space="preserve">5850 Maplewood Ct  Fort Myers, FL 33905 </t>
  </si>
  <si>
    <t>10-44-25-12-00000.1390</t>
  </si>
  <si>
    <t>Manasquan</t>
  </si>
  <si>
    <t>Cape Coral Unit 85 Blk 5637 Pb 24 Pg 51 Lot 15</t>
  </si>
  <si>
    <t>Indar</t>
  </si>
  <si>
    <t>29-43-24-c4-02283.0420</t>
  </si>
  <si>
    <t>Janice Hince &amp; Ronald Meyer</t>
  </si>
  <si>
    <t>Gregory Dale</t>
  </si>
  <si>
    <t>02126-2009</t>
  </si>
  <si>
    <t xml:space="preserve">8631 Ortiz Cir  Fort Myers, FL 33905 </t>
  </si>
  <si>
    <t>31-43-24-c1-02170.0170</t>
  </si>
  <si>
    <t xml:space="preserve">1712 Sunsine Pl </t>
  </si>
  <si>
    <t xml:space="preserve">15801 Cemetery Rd  Fort Myers, FL 33905 </t>
  </si>
  <si>
    <t>Steven &amp; Patricia Castelli</t>
  </si>
  <si>
    <t>Marcos Carrandi &amp; Yamile Correa</t>
  </si>
  <si>
    <t>Fruitport</t>
  </si>
  <si>
    <t>49417-8506</t>
  </si>
  <si>
    <t xml:space="preserve">5670 Cypress Woods Resort Dr  Fort Myers, FL 33905 </t>
  </si>
  <si>
    <t xml:space="preserve">107 Diplomat Pkwy E </t>
  </si>
  <si>
    <t>Via &amp; Ying Lo</t>
  </si>
  <si>
    <t>25-43-23-c3-02309.0360</t>
  </si>
  <si>
    <t>01-44-23-c4-02418.0050</t>
  </si>
  <si>
    <t>Juan &amp; Elsie Andujar</t>
  </si>
  <si>
    <t xml:space="preserve">3608 Nixon Rd </t>
  </si>
  <si>
    <t>Bueno Reyes &amp; Claudia Demarini</t>
  </si>
  <si>
    <t>Enoc</t>
  </si>
  <si>
    <t xml:space="preserve">92 Windsor St </t>
  </si>
  <si>
    <t xml:space="preserve">1222 NE 19th Ter </t>
  </si>
  <si>
    <t>Cape Coral Unit 33 Blk 2283 Pb 16 Pg 59 Lots 57 + 58</t>
  </si>
  <si>
    <t xml:space="preserve">1660 Brooks Ln </t>
  </si>
  <si>
    <t>Hua</t>
  </si>
  <si>
    <t xml:space="preserve">9101/9103 Buckingham Rd  Fort Myers, FL 33905 </t>
  </si>
  <si>
    <t xml:space="preserve">2718 NE 20th Ct  Cape Coral, FL 33909 </t>
  </si>
  <si>
    <t>33905-8610</t>
  </si>
  <si>
    <t>American &amp; Susan Hopkins</t>
  </si>
  <si>
    <t>Taylor Dame</t>
  </si>
  <si>
    <t>12-44-23-c1-02400.0030</t>
  </si>
  <si>
    <t xml:space="preserve">2601 NE 20th Pl </t>
  </si>
  <si>
    <t xml:space="preserve">1908 Dartford Ct  Valrico, FL 33594-3021 </t>
  </si>
  <si>
    <t xml:space="preserve">238 Bayshore Dr </t>
  </si>
  <si>
    <t>Cape Coral Unit 1 Pt.3 Blk.12 Pb 14 Pg 166 Lot 3 + Nwly 1/2 Lot 4 + Port Between Lot + Canal As Desc In Or 965 Pg 495 Ex B</t>
  </si>
  <si>
    <t xml:space="preserve">3215 NE 14th Ave </t>
  </si>
  <si>
    <t>Gloria Gulapa</t>
  </si>
  <si>
    <t>Whitestown</t>
  </si>
  <si>
    <t>Cape Coral Unit 36 Blk 2526 Pb 16 Pg 114 Lots 13 + 14</t>
  </si>
  <si>
    <t>Unity Heights Blk 4 Pb 5 Pg 8 Lot Pt 5 W 60 Ft</t>
  </si>
  <si>
    <t>Paul</t>
  </si>
  <si>
    <t>Roanoke</t>
  </si>
  <si>
    <t>Schmitten</t>
  </si>
  <si>
    <t>33909-7348</t>
  </si>
  <si>
    <t>11-44-25-06-0000d.0380</t>
  </si>
  <si>
    <t>135th</t>
  </si>
  <si>
    <t>29-43-24-c4-02284.0220</t>
  </si>
  <si>
    <t>Abel &amp; Natalie German</t>
  </si>
  <si>
    <t xml:space="preserve">1102 NE 12th St  Cape Coral, FL 33909 </t>
  </si>
  <si>
    <t>Easy</t>
  </si>
  <si>
    <t xml:space="preserve">Po Box 990865 </t>
  </si>
  <si>
    <t>Cherry Than</t>
  </si>
  <si>
    <t xml:space="preserve">2103 NE 40th Ter </t>
  </si>
  <si>
    <t>Cape Coral Unit 88 Blk 5799 Pb 24 Pg 135 Lots 15 + 16</t>
  </si>
  <si>
    <t xml:space="preserve">2125 NE 35th Ter </t>
  </si>
  <si>
    <t>R087</t>
  </si>
  <si>
    <t>Lortzingstr</t>
  </si>
  <si>
    <t>Everdell</t>
  </si>
  <si>
    <t>19-43-24-c4-05552.0310</t>
  </si>
  <si>
    <t>33909-2675</t>
  </si>
  <si>
    <t>Herndon Joint Trust</t>
  </si>
  <si>
    <t xml:space="preserve">16669 SW 55th Ter </t>
  </si>
  <si>
    <t>Vazquez</t>
  </si>
  <si>
    <t>05-45-24-c2-01163.0330</t>
  </si>
  <si>
    <t xml:space="preserve">4785 Tara Ct </t>
  </si>
  <si>
    <t>Buckingham Pk Re Blk B U-5 Blk 27 Pb 27 Pg 193 Lot 3</t>
  </si>
  <si>
    <t>11235-6115</t>
  </si>
  <si>
    <t xml:space="preserve">8604 Kirk Ln  North Richland Hills, TX 76182-7422 </t>
  </si>
  <si>
    <t>Weybridge</t>
  </si>
  <si>
    <t>Cape Coral Unit 19 Blk 1209 Pb 13 Pg 126 Lots 11 + 12</t>
  </si>
  <si>
    <t xml:space="preserve">31 Princess St </t>
  </si>
  <si>
    <t xml:space="preserve">2802 Hyde Cv  Roanoke, TX 76262-1179 </t>
  </si>
  <si>
    <t>29-43-24-c4-02286.0070</t>
  </si>
  <si>
    <t>Lindon</t>
  </si>
  <si>
    <t>Andrew Okpaleke &amp; Estate American</t>
  </si>
  <si>
    <t>Huynh</t>
  </si>
  <si>
    <t xml:space="preserve">17 Nevada Ave  Medford, NY 11763-3260 </t>
  </si>
  <si>
    <t xml:space="preserve">18101 Country Rd #86 </t>
  </si>
  <si>
    <t>Laucra</t>
  </si>
  <si>
    <t xml:space="preserve">7642 W Honey Creek Pkwy  Milwaukee, WI 53219-2738 </t>
  </si>
  <si>
    <t xml:space="preserve">316 Bell Blvd </t>
  </si>
  <si>
    <t>James &amp; Beth Snider</t>
  </si>
  <si>
    <t>Wakeman</t>
  </si>
  <si>
    <t xml:space="preserve">4175 NE 8th Pl </t>
  </si>
  <si>
    <t>Cape Coral Unit 84 Blk 5559 Pb 24 Pg 33 Lots 7 + 8</t>
  </si>
  <si>
    <t>Cape Coral Unit 36 Blk 2346 Pb 16 Pg 130 Lots 68 + 69</t>
  </si>
  <si>
    <t>33909-6414</t>
  </si>
  <si>
    <t xml:space="preserve">5537/5539 Third Ave  Fort Myers, FL 33907 </t>
  </si>
  <si>
    <t>Salvin</t>
  </si>
  <si>
    <t xml:space="preserve">2027 NE 8th Pl </t>
  </si>
  <si>
    <t xml:space="preserve">2999 NW 32nd Ave  Miami, FL 33142-6315 </t>
  </si>
  <si>
    <t>Panaro</t>
  </si>
  <si>
    <t>Rowland Heights</t>
  </si>
  <si>
    <t>Cape Coral Unit 36 Blk 2541 Pb 16 Pg 115 Lots 16 + 17</t>
  </si>
  <si>
    <t>Cypress Trail Rv Resort Phase 4-C Block A Lot 131 As Desc In Inst 2019000042424</t>
  </si>
  <si>
    <t xml:space="preserve">3532 NE 20th Pl </t>
  </si>
  <si>
    <t>20855-2422</t>
  </si>
  <si>
    <t xml:space="preserve">2929 SE 22nd Ave  Cape Coral, FL 33904 </t>
  </si>
  <si>
    <t xml:space="preserve">1505 NE 11th Ter  Cape Coral, FL 33909 </t>
  </si>
  <si>
    <t>Wasiak</t>
  </si>
  <si>
    <t>For J &amp; L Amador Trust</t>
  </si>
  <si>
    <t xml:space="preserve">14028 SW 160th Ct </t>
  </si>
  <si>
    <t xml:space="preserve">4505 Avondale Pl  Columbia, MO 65203-6053 </t>
  </si>
  <si>
    <t>Cape Coral Unit 32 Blk 2107 Pb 16 Pg 5 Lots 17 + 18</t>
  </si>
  <si>
    <t>R572</t>
  </si>
  <si>
    <t>Richard &amp; Lynn Leary</t>
  </si>
  <si>
    <t>Cape Coral Unit 84 Blk 5559 Pb 24 Pg 32 Lots 48 + 49</t>
  </si>
  <si>
    <t>08-45-24-c4-00349.0420</t>
  </si>
  <si>
    <t>Dina</t>
  </si>
  <si>
    <t xml:space="preserve">198 E Rue Doderot  Champigny, FR </t>
  </si>
  <si>
    <t>03-44-26-05-00025.0030</t>
  </si>
  <si>
    <t xml:space="preserve">3705 NE 13th Ave </t>
  </si>
  <si>
    <t>33909-3359</t>
  </si>
  <si>
    <t xml:space="preserve">1536 Fairway Village Dr  Las Cruces, NM 88007-4829 </t>
  </si>
  <si>
    <t>33905-4332</t>
  </si>
  <si>
    <t>Ft Myers Shores Unit 6 Blk 68 Pb 17 Pg 75 Lots 16 + 17</t>
  </si>
  <si>
    <t xml:space="preserve">1180 Moody Rd  North Fort Myers, FL 33903 </t>
  </si>
  <si>
    <t>31-43-24-c2-02128.0320</t>
  </si>
  <si>
    <t>Zabka</t>
  </si>
  <si>
    <t>18-43-24-c1-05687.0130</t>
  </si>
  <si>
    <t>Waltraud Stubits</t>
  </si>
  <si>
    <t xml:space="preserve">6650 SW 80th Ave </t>
  </si>
  <si>
    <t>Dale Klosterman</t>
  </si>
  <si>
    <t xml:space="preserve">30 Hubbard Pl </t>
  </si>
  <si>
    <t>Copper Beaches</t>
  </si>
  <si>
    <t>Cape Coral Unit 88 Blk 5786 Pb 24 Pg 131 Lots 41 + 42</t>
  </si>
  <si>
    <t>James Cassell</t>
  </si>
  <si>
    <t xml:space="preserve">18 Frederickson Ave </t>
  </si>
  <si>
    <t>48093-2566</t>
  </si>
  <si>
    <t xml:space="preserve">3319 NE 20th Ave </t>
  </si>
  <si>
    <t xml:space="preserve">31 Island Ave </t>
  </si>
  <si>
    <t xml:space="preserve">17 Normandy Rd </t>
  </si>
  <si>
    <t>62034-3506</t>
  </si>
  <si>
    <t xml:space="preserve">88 Sun Cir  Fort Myers, FL 33905 </t>
  </si>
  <si>
    <t xml:space="preserve">2020 Chic Inn Rd  Cadwell, GA 31009-3144 </t>
  </si>
  <si>
    <t>11-44-25-05-0000c.1270</t>
  </si>
  <si>
    <t>Rotondi Guiseppe Tr</t>
  </si>
  <si>
    <t>Cape Coral Unit 47 Part 2 Blk 3526 Pb 23 Pg 116 Lots 5 + 6</t>
  </si>
  <si>
    <t xml:space="preserve">4118 E Gator Cir </t>
  </si>
  <si>
    <t>Cape Coral Unit 88 Blk 5760 Pb 24 Pg 133 Lots 36 + 37</t>
  </si>
  <si>
    <t>AR</t>
  </si>
  <si>
    <t xml:space="preserve">14150 Cherrydale St </t>
  </si>
  <si>
    <t xml:space="preserve">4327 Arlington Ave  Fort Myers, FL 33905 </t>
  </si>
  <si>
    <t>Tima</t>
  </si>
  <si>
    <t xml:space="preserve">914 NE 12th St </t>
  </si>
  <si>
    <t xml:space="preserve">608 Wildwood Pkwy  Cape Coral, FL 33904 </t>
  </si>
  <si>
    <t xml:space="preserve">105 De La Reserve Rue  St-Colomban, QC J5k 2V5 </t>
  </si>
  <si>
    <t>121st</t>
  </si>
  <si>
    <t>34114-4508</t>
  </si>
  <si>
    <t xml:space="preserve">12200 Hibiscus Dr </t>
  </si>
  <si>
    <t>34116-7413</t>
  </si>
  <si>
    <t>01-44-25-01-00002.0120</t>
  </si>
  <si>
    <t>Peachtree</t>
  </si>
  <si>
    <t>Cypress Trail Rv Resort Phase 2-A As Desc In Inst# 2014000026506 Lot 213</t>
  </si>
  <si>
    <t>Hollis Wood &amp; Tara Thoman-Wood</t>
  </si>
  <si>
    <t xml:space="preserve">10214 Meadow Beauty Trl </t>
  </si>
  <si>
    <t>B043</t>
  </si>
  <si>
    <t>Cape Coral Unit 36 Pt 1 Blk 2508 Pb 23 Pg 93 Lots 34 Thru 36</t>
  </si>
  <si>
    <t>Cape Coral Unit 84 Blk.5564 Pb 24 Pg 36 Lots 33 + 34</t>
  </si>
  <si>
    <t>Cape Coral Unit 32 Blk 2137 Pb 16 Pg 13 Lots 3 + 4</t>
  </si>
  <si>
    <t xml:space="preserve">E9-105 Avenida Isaac Barrera </t>
  </si>
  <si>
    <t>Craig &amp; Lori Pekarek</t>
  </si>
  <si>
    <t>Butiong</t>
  </si>
  <si>
    <t>Cape Coral Unit 17 Blk.1525 Pb 14 Pg 32 Lots 35 + 36</t>
  </si>
  <si>
    <t>Boy Scout</t>
  </si>
  <si>
    <t>08-44-24-c1-01529.0270</t>
  </si>
  <si>
    <t>31-43-26-04-0000f.0050</t>
  </si>
  <si>
    <t>Riegelsberg</t>
  </si>
  <si>
    <t xml:space="preserve">1727 NE 11th St  Cape Coral, FL 33909 </t>
  </si>
  <si>
    <t>Midway</t>
  </si>
  <si>
    <t>75252-5165</t>
  </si>
  <si>
    <t xml:space="preserve">1406 Andalusia Blvd  Cape Coral, FL 33909 </t>
  </si>
  <si>
    <t xml:space="preserve">1210 NE 3rd Ave  Cape Coral, FL 33909 </t>
  </si>
  <si>
    <t xml:space="preserve">6010 Joplin Ave  Fort Myers, FL 33905 </t>
  </si>
  <si>
    <t xml:space="preserve">6876 Northtree Ct  Lake Worth, FL 33467-7956 </t>
  </si>
  <si>
    <t>Cape Coral Unit 55 Blk 4003 Pb 19 Pg 103 Lots 41 + 42</t>
  </si>
  <si>
    <t xml:space="preserve">1005 NE 2nd Pl </t>
  </si>
  <si>
    <t xml:space="preserve">2034 NE 33rd Ln  Cape Coral, FL 33909 </t>
  </si>
  <si>
    <t xml:space="preserve">3137 NE 15th Ave  Cape Coral, FL 33909 </t>
  </si>
  <si>
    <t xml:space="preserve">460 N Syracuse Ave </t>
  </si>
  <si>
    <t>Korte</t>
  </si>
  <si>
    <t>Crouch</t>
  </si>
  <si>
    <t xml:space="preserve">10794 Emerald Dr </t>
  </si>
  <si>
    <t>Cape Coral Unit 33 Blk.2229 Pb 16 Pg 47 Lots 9 + 10</t>
  </si>
  <si>
    <t xml:space="preserve">10082 Parkwood Dr </t>
  </si>
  <si>
    <t xml:space="preserve">918 SE 43rd St  Cape Coral, FL 33904 </t>
  </si>
  <si>
    <t xml:space="preserve">267 Union St  Lodi, NJ 07644-3240 </t>
  </si>
  <si>
    <t xml:space="preserve">214 Diplomat Pkwy E </t>
  </si>
  <si>
    <t>Pimentel</t>
  </si>
  <si>
    <t>11720-4012</t>
  </si>
  <si>
    <t>R033</t>
  </si>
  <si>
    <t xml:space="preserve">4172 NE 9th Pl  Cape Coral, FL 33909 </t>
  </si>
  <si>
    <t xml:space="preserve">1130 Andalusia Blvd </t>
  </si>
  <si>
    <t>Gertrudis</t>
  </si>
  <si>
    <t>Robert &amp; Teri Wenger</t>
  </si>
  <si>
    <t xml:space="preserve">90 Ash Swamp Rd  Newmarket, NH 03857-2029 </t>
  </si>
  <si>
    <t>Siranaula</t>
  </si>
  <si>
    <t>32-43-24-c1-02227.0010</t>
  </si>
  <si>
    <t>Zvi Reder</t>
  </si>
  <si>
    <t>06-44-24-c2-02081.0180</t>
  </si>
  <si>
    <t xml:space="preserve">6th eucalyptus St </t>
  </si>
  <si>
    <t>17-43-24-c1-05821.0610</t>
  </si>
  <si>
    <t xml:space="preserve">1910 Andalusia Blvd </t>
  </si>
  <si>
    <t xml:space="preserve">34 Skillman Ave  Jersey City, NJ 07306-5110 </t>
  </si>
  <si>
    <t>01-44-23-c4-02467.0210</t>
  </si>
  <si>
    <t>03-44-26-14-00082.0060</t>
  </si>
  <si>
    <t>Charles Gagne &amp; Julianne Desrochersas</t>
  </si>
  <si>
    <t>05-44-24-c2-03526.0050</t>
  </si>
  <si>
    <t xml:space="preserve">309 New York Dr  Fort Myers, FL 33905 </t>
  </si>
  <si>
    <t>60606-3428</t>
  </si>
  <si>
    <t>Stephanie &amp; William Adamczak</t>
  </si>
  <si>
    <t>Johnides</t>
  </si>
  <si>
    <t>Osvaldo</t>
  </si>
  <si>
    <t>Millway</t>
  </si>
  <si>
    <t>Ronkonkoma</t>
  </si>
  <si>
    <t>25314-2286</t>
  </si>
  <si>
    <t>Cape Coral Unit 33 Blk 2226 Pb 16 Pg 46 Lots 23 + 24</t>
  </si>
  <si>
    <t xml:space="preserve">1607 NE 36th Ln </t>
  </si>
  <si>
    <t>11-44-25-06-0000d.1010</t>
  </si>
  <si>
    <t>20012-2113</t>
  </si>
  <si>
    <t>30-43-26-04-0000a.0180</t>
  </si>
  <si>
    <t>17-43-24-c4-05760.0420</t>
  </si>
  <si>
    <t xml:space="preserve">1021 NE 32nd Ter  Cape Coral, FL 33909 </t>
  </si>
  <si>
    <t>Cape Coral Unit 87 Blk 5736 Pb 24 Pg 77 Lots 43 + 44</t>
  </si>
  <si>
    <t>Jibb</t>
  </si>
  <si>
    <t xml:space="preserve">606 N 10th St </t>
  </si>
  <si>
    <t xml:space="preserve">11 Fourth St  Bracebridge, ON P1l 0A1 </t>
  </si>
  <si>
    <t>Provident &amp; Sharon Alger</t>
  </si>
  <si>
    <t xml:space="preserve">1728 NE 12th Ter  Cape Coral, FL 33909 </t>
  </si>
  <si>
    <t>For Maria J Russell Separate Property Trust</t>
  </si>
  <si>
    <t>Wind Dancer</t>
  </si>
  <si>
    <t>34-43-24-01-00019.0010</t>
  </si>
  <si>
    <t xml:space="preserve">1514 NE 14th St  Cape Coral, FL 33909 </t>
  </si>
  <si>
    <t xml:space="preserve">960 Fern Trl  Crownsville, MD 21032-1621 </t>
  </si>
  <si>
    <t xml:space="preserve">10461 SW 210th Ter  Cutler Bay, FL 33189-3679 </t>
  </si>
  <si>
    <t>16652-1128</t>
  </si>
  <si>
    <t xml:space="preserve">113 Town Farm Rd  Farmington, CT 06032-1522 </t>
  </si>
  <si>
    <t>Creston</t>
  </si>
  <si>
    <t xml:space="preserve">4442 NE Connection Ave  Cape Coral, FL 33909 </t>
  </si>
  <si>
    <t xml:space="preserve">173 Baldwin Ave  Jersey City, NJ 07306-1901 </t>
  </si>
  <si>
    <t>Lwfm2 &amp; Lawrence White</t>
  </si>
  <si>
    <t>01-45-23-c1-00417.0240</t>
  </si>
  <si>
    <t>Marsha</t>
  </si>
  <si>
    <t>Ivone Ortega</t>
  </si>
  <si>
    <t>33909-3305</t>
  </si>
  <si>
    <t xml:space="preserve">10427 E Ambassador Rd  Mount Vernon, IL 62864-6419 </t>
  </si>
  <si>
    <t xml:space="preserve">17336 Mint Leaf Ln  Land O Lakes, FL 34638-8090 </t>
  </si>
  <si>
    <t xml:space="preserve">4117 Pearl St </t>
  </si>
  <si>
    <t>Ave</t>
  </si>
  <si>
    <t xml:space="preserve">10365 Nightwood Dr </t>
  </si>
  <si>
    <t xml:space="preserve">2640 Gately Dr W #506 </t>
  </si>
  <si>
    <t>Bergeron Richard A Tr</t>
  </si>
  <si>
    <t>T0J 0Y5</t>
  </si>
  <si>
    <t>33909-6463</t>
  </si>
  <si>
    <t xml:space="preserve">15 Alley 2 Ln </t>
  </si>
  <si>
    <t>06483-3308</t>
  </si>
  <si>
    <t xml:space="preserve">1210 NE 18th Ave </t>
  </si>
  <si>
    <t>Josephina Suarez</t>
  </si>
  <si>
    <t xml:space="preserve">217 Kismet Pkwy E  Cape Coral, FL 33909 </t>
  </si>
  <si>
    <t>Cape Coral Unit 31 Blk 2043 Pb 14 Pg 155 Lots 47 + 48</t>
  </si>
  <si>
    <t xml:space="preserve">821 NE 44th St </t>
  </si>
  <si>
    <t>Pine Bush</t>
  </si>
  <si>
    <t xml:space="preserve">518 NE 5th Pl  Cape Coral, FL 33909 </t>
  </si>
  <si>
    <t>Alison Wells</t>
  </si>
  <si>
    <t>18-43-24-c3-05735.0230</t>
  </si>
  <si>
    <t>Venizelos</t>
  </si>
  <si>
    <t xml:space="preserve">106 W Calendar Ave #133 </t>
  </si>
  <si>
    <t>32-43-24-c2-02236.0170</t>
  </si>
  <si>
    <t xml:space="preserve">4 Stonebrook Ct </t>
  </si>
  <si>
    <t xml:space="preserve">11729 Hickory Flat Rd  Highland, IL 62249-4017 </t>
  </si>
  <si>
    <t>Dwight</t>
  </si>
  <si>
    <t>01-44-23-c4-02468.0010</t>
  </si>
  <si>
    <t>Cape Coral Unit 84 Blk 5592 Pb 24 Pg 44 Lots 47 + 48</t>
  </si>
  <si>
    <t>Landshuter</t>
  </si>
  <si>
    <t>9e</t>
  </si>
  <si>
    <t xml:space="preserve">242 SW Eyerly Ave </t>
  </si>
  <si>
    <t xml:space="preserve">5 Curtis Rd </t>
  </si>
  <si>
    <t xml:space="preserve">1190 Long Hill Rd </t>
  </si>
  <si>
    <t xml:space="preserve">2318 NE 20th Ave </t>
  </si>
  <si>
    <t>Ellman Mary Kay Tr</t>
  </si>
  <si>
    <t>For Ann E Miller Trust</t>
  </si>
  <si>
    <t>Todd Hauf</t>
  </si>
  <si>
    <t>Cape Coral Unit 47 Part 2 Blk.3511 Pb 23 Pg 123 Lots 18 + 19</t>
  </si>
  <si>
    <t>36-43-23-c2-02543.0590</t>
  </si>
  <si>
    <t>Cape Coral Unit 88 Blk 5828 Pb 24 Pg 142 Lots 17 + 18</t>
  </si>
  <si>
    <t xml:space="preserve">3024 W Cavalry Dr  Phoenix, AZ 85086-3215 </t>
  </si>
  <si>
    <t xml:space="preserve">31 Muirhead Cres  Richmond Hill, ON L4e 3M7 </t>
  </si>
  <si>
    <t xml:space="preserve">6020 Juliet Ave </t>
  </si>
  <si>
    <t>Cape Coral Unit 36 Blk 2539 Pb 16 Pg 115 Lots 5 Thru 7</t>
  </si>
  <si>
    <t>36-43-23-c2-02536.0220</t>
  </si>
  <si>
    <t xml:space="preserve">341 Skyline Orchard Dr  Hockessin, DE 19707-9572 </t>
  </si>
  <si>
    <t>Peterson Ridge</t>
  </si>
  <si>
    <t>Nassal</t>
  </si>
  <si>
    <t>33144-2307</t>
  </si>
  <si>
    <t>18-43-24-c2-05730.0550</t>
  </si>
  <si>
    <t xml:space="preserve">14180 Carlotta St  Fort Myers, FL 33905 </t>
  </si>
  <si>
    <t xml:space="preserve">14221 Callan St </t>
  </si>
  <si>
    <t>34119-2308</t>
  </si>
  <si>
    <t>Glenvar Heights</t>
  </si>
  <si>
    <t>11214-6907</t>
  </si>
  <si>
    <t>A904</t>
  </si>
  <si>
    <t xml:space="preserve">708 NE 3rd Ave </t>
  </si>
  <si>
    <t>Peoria</t>
  </si>
  <si>
    <t>33909-5240</t>
  </si>
  <si>
    <t xml:space="preserve">Po Box 870 </t>
  </si>
  <si>
    <t>Ellington</t>
  </si>
  <si>
    <t>33442-2371</t>
  </si>
  <si>
    <t>Flamewood</t>
  </si>
  <si>
    <t xml:space="preserve">1333 S Ocean Blvd #518 </t>
  </si>
  <si>
    <t xml:space="preserve">1205 NE 12th Pl </t>
  </si>
  <si>
    <t>Helson</t>
  </si>
  <si>
    <t>H027</t>
  </si>
  <si>
    <t>Seaview</t>
  </si>
  <si>
    <t>Tab Denovellis</t>
  </si>
  <si>
    <t xml:space="preserve">194 Lakes Rd  Monroe, NY 10950-2548 </t>
  </si>
  <si>
    <t>Zaragosa</t>
  </si>
  <si>
    <t xml:space="preserve">9 Av Blanche Calvet </t>
  </si>
  <si>
    <t>17-43-24-c1-05823.0210</t>
  </si>
  <si>
    <t xml:space="preserve">10 Fichte St  Buckhead, GA 30625 </t>
  </si>
  <si>
    <t xml:space="preserve">1928 Kismet Pkwy E  Cape Coral, FL 33909 </t>
  </si>
  <si>
    <t xml:space="preserve">10311 Geese Trail Cir  Sun City Center, FL 33573-6786 </t>
  </si>
  <si>
    <t xml:space="preserve">3610 NE 12th Ave </t>
  </si>
  <si>
    <t xml:space="preserve">10794 Emerald Dr  Cement City, MI 49233-9686 </t>
  </si>
  <si>
    <t xml:space="preserve">1134 Bloom Hill Ave </t>
  </si>
  <si>
    <t>Cypress Woods Rv Resort Un 3 Desc In Pb 72 Pgs 92-95 Blk C Lot 110</t>
  </si>
  <si>
    <t>Aquila</t>
  </si>
  <si>
    <t>PO Box 72</t>
  </si>
  <si>
    <t>Arpaia</t>
  </si>
  <si>
    <t>07762-2349</t>
  </si>
  <si>
    <t>33428-4704</t>
  </si>
  <si>
    <t xml:space="preserve">87 Bloomfield Ave  Newark, NJ 07104-1904 </t>
  </si>
  <si>
    <t xml:space="preserve">123 NE 20th St  Cape Coral, FL 33909 </t>
  </si>
  <si>
    <t>01-46-23-00-00007.0300</t>
  </si>
  <si>
    <t>10566-4124</t>
  </si>
  <si>
    <t>03051-4100</t>
  </si>
  <si>
    <t>05-44-24-c4-03541.0470</t>
  </si>
  <si>
    <t>Cape Coral Unit 87 Blk 5702 Pb 24 Pg 74 Lots 19 + 20</t>
  </si>
  <si>
    <t>Richard &amp; Helen Whorley</t>
  </si>
  <si>
    <t>34211-2261</t>
  </si>
  <si>
    <t xml:space="preserve">309 E Webster Ave  Roselle Park, NJ 07204-2114 </t>
  </si>
  <si>
    <t xml:space="preserve">8 Franklin Hill Ave #1 </t>
  </si>
  <si>
    <t>Cape Coral Unit 46 Blk 3600 Pb 17 Pg 120 Lots 15 + 16</t>
  </si>
  <si>
    <t>C065</t>
  </si>
  <si>
    <t xml:space="preserve">1709 NE 5th Pl  Cape Coral, FL 33909 </t>
  </si>
  <si>
    <t xml:space="preserve">3711 SE 1st Pl  Cape Coral, FL 33904 </t>
  </si>
  <si>
    <t>33905-8719</t>
  </si>
  <si>
    <t>43452-3318</t>
  </si>
  <si>
    <t>32nd</t>
  </si>
  <si>
    <t xml:space="preserve">2119 Kismet Pkwy E  Cape Coral, FL 33909 </t>
  </si>
  <si>
    <t xml:space="preserve">1903 NE 10th Ave  Cape Coral, FL 33909 </t>
  </si>
  <si>
    <t>Arvizu</t>
  </si>
  <si>
    <t xml:space="preserve">9 School St </t>
  </si>
  <si>
    <t>11-44-25-10-00000.4750</t>
  </si>
  <si>
    <t xml:space="preserve">204 NE 31st Ter </t>
  </si>
  <si>
    <t xml:space="preserve">3905 NE 9th Pl  Cape Coral, FL 33909 </t>
  </si>
  <si>
    <t>Cheryl Peterson &amp; Denise Douthit</t>
  </si>
  <si>
    <t xml:space="preserve">6399 Hc 2  Barranquitas, PR 00794-9227 </t>
  </si>
  <si>
    <t>Hector &amp; Theresa Godoy</t>
  </si>
  <si>
    <t>Lan</t>
  </si>
  <si>
    <t xml:space="preserve">2212 NE 17th St </t>
  </si>
  <si>
    <t>Diaconescu &amp; Dan Diaconescu</t>
  </si>
  <si>
    <t>Heatherbrook</t>
  </si>
  <si>
    <t xml:space="preserve">4156 NE 10th Ave </t>
  </si>
  <si>
    <t xml:space="preserve">2310 NE 16th Ter </t>
  </si>
  <si>
    <t xml:space="preserve">14221 Callan St  Fort Myers, FL 33905 </t>
  </si>
  <si>
    <t>6th</t>
  </si>
  <si>
    <t xml:space="preserve">1725 NE 33rd Ter </t>
  </si>
  <si>
    <t xml:space="preserve">526 NE 18th St  Cape Coral, FL 33909 </t>
  </si>
  <si>
    <t xml:space="preserve">1400 Durden Pkwy </t>
  </si>
  <si>
    <t>33461-4519</t>
  </si>
  <si>
    <t xml:space="preserve">PO Box 567  Franklin, TN 37065 </t>
  </si>
  <si>
    <t>03-44-26-11-00055.0070</t>
  </si>
  <si>
    <t>PO Box 802</t>
  </si>
  <si>
    <t>Thomas Hallett</t>
  </si>
  <si>
    <t xml:space="preserve">5644 Desertgold Dr </t>
  </si>
  <si>
    <t xml:space="preserve">12455 Baywind Ct  Boca Raton, FL 33428-4704 </t>
  </si>
  <si>
    <t xml:space="preserve">852 Kirkwood Ave #3 </t>
  </si>
  <si>
    <t>Cape Coral Unit 31 Blk 2059 Pb 14 Pg 159 Lots 19 + 20</t>
  </si>
  <si>
    <t>08-44-24-c4-01545.0430</t>
  </si>
  <si>
    <t xml:space="preserve">1309 Robinson Creek Rd </t>
  </si>
  <si>
    <t>25-43-23-c3-02310.0450</t>
  </si>
  <si>
    <t>33904-2734</t>
  </si>
  <si>
    <t xml:space="preserve">1702 NE 40th Ln </t>
  </si>
  <si>
    <t>Ayesha</t>
  </si>
  <si>
    <t xml:space="preserve">4918 Viceroy St 1-6 </t>
  </si>
  <si>
    <t>James Douglas</t>
  </si>
  <si>
    <t xml:space="preserve">11771 Cardiff Dr  Fort Myers, FL 33908 </t>
  </si>
  <si>
    <t>Rejean &amp; Angela Lafleche</t>
  </si>
  <si>
    <t>Marianna Bechtold</t>
  </si>
  <si>
    <t>Azusa</t>
  </si>
  <si>
    <t>Cape Coral Unit 84 Blk 5609 Pb 24 Pg 41 Lots 25 + 26</t>
  </si>
  <si>
    <t xml:space="preserve">3445 NE 21st Pl  Cape Coral, FL 33909 </t>
  </si>
  <si>
    <t xml:space="preserve">18580 Ocean Mist Dr  Boca Raton, FL 33498-4927 </t>
  </si>
  <si>
    <t>11-44-25-09-00000.2460</t>
  </si>
  <si>
    <t>Muniz &amp; Francisco Muniz</t>
  </si>
  <si>
    <t xml:space="preserve">6 Dickinson St #2 </t>
  </si>
  <si>
    <t xml:space="preserve">140 Cotton Top Rd  Covington, TN 38019-7070 </t>
  </si>
  <si>
    <t>Cape Coral Unit 34 Blk 2417 Pb 16 Pg 75 Lots 41 + 42</t>
  </si>
  <si>
    <t xml:space="preserve">923 Beechwood Ct  Plainfield, NJ 07060-2307 </t>
  </si>
  <si>
    <t xml:space="preserve">148 Jupiter St </t>
  </si>
  <si>
    <t>Lustfield</t>
  </si>
  <si>
    <t xml:space="preserve">2 Rue De Pancraee  Digne Les Bains, FR </t>
  </si>
  <si>
    <t>06-46-24-15-00000.0960</t>
  </si>
  <si>
    <t xml:space="preserve">2307 NE 5th Ter </t>
  </si>
  <si>
    <t>Cape Coral Unit 33 Blk 2283 Pb 16 Pg 59 Lots 55 + 56</t>
  </si>
  <si>
    <t xml:space="preserve">5678 Ravenel Ln  Springfield, VA 22151-2431 </t>
  </si>
  <si>
    <t>80020-8122</t>
  </si>
  <si>
    <t>11787-4710</t>
  </si>
  <si>
    <t>Albino</t>
  </si>
  <si>
    <t xml:space="preserve">10347 Prairie Iris Dr </t>
  </si>
  <si>
    <t>For Paul A Veile Trust</t>
  </si>
  <si>
    <t>36-43-23-c4-02513.0600</t>
  </si>
  <si>
    <t>11-44-25-l1-12000.3570</t>
  </si>
  <si>
    <t xml:space="preserve">10425 195th St #411, Hollis, NY 11423 </t>
  </si>
  <si>
    <t>Cape Coral Unit 36 Blk 2546 Pb 16 Pg 113 Lots 56 Thru 58</t>
  </si>
  <si>
    <t>Kidd</t>
  </si>
  <si>
    <t>19-43-24-c1-05550.0210</t>
  </si>
  <si>
    <t xml:space="preserve">10217 Yellowtop Trl </t>
  </si>
  <si>
    <t xml:space="preserve">1611 Stony Ln  North Kingstown, RI 02852-2915 </t>
  </si>
  <si>
    <t>151t</t>
  </si>
  <si>
    <t>29588-9673</t>
  </si>
  <si>
    <t>20-43-24-c1-05645.0150</t>
  </si>
  <si>
    <t>34990-7824</t>
  </si>
  <si>
    <t xml:space="preserve">5188 Cypress Trail Resort Cir </t>
  </si>
  <si>
    <t>Ramkalawan</t>
  </si>
  <si>
    <t>33904-3418</t>
  </si>
  <si>
    <t>20735-2739</t>
  </si>
  <si>
    <t>C-1 C-2</t>
  </si>
  <si>
    <t>Cape Coral Unit 85 Blk 5630 Pb 24 Pg 50 Lots 5 + 6</t>
  </si>
  <si>
    <t>33909-4327</t>
  </si>
  <si>
    <t xml:space="preserve">3710 NE 13th Ave  Cape Coral, FL 33909 </t>
  </si>
  <si>
    <t>Castro</t>
  </si>
  <si>
    <t>Queenston</t>
  </si>
  <si>
    <t>06355-2853</t>
  </si>
  <si>
    <t>Nhan</t>
  </si>
  <si>
    <t>30041-8105</t>
  </si>
  <si>
    <t>11-44-25-l1-13000.1020</t>
  </si>
  <si>
    <t>Merle Webb &amp; Lillian Pawley</t>
  </si>
  <si>
    <t>Cypress Trail Rv Resort Phase 4-C Block A Lot 120 As Desc In Inst 2019000042424</t>
  </si>
  <si>
    <t>Cape Coral Unit 88 Blk 5819 Pb 24 Pg 140 Lots 7 + 8</t>
  </si>
  <si>
    <t>Green Acres Blk B Pb 5 Pg 72 Lot 10 + W 20 Ft Lot 9 Inst#2005-170215</t>
  </si>
  <si>
    <t xml:space="preserve">2428 NE 6th Pl </t>
  </si>
  <si>
    <t xml:space="preserve">9940 Berkshire Ln  Huntley, IL 60142-2411 </t>
  </si>
  <si>
    <t>Hemlock Point</t>
  </si>
  <si>
    <t>11-44-25-04-0000b.0220</t>
  </si>
  <si>
    <t>35630-1674</t>
  </si>
  <si>
    <t xml:space="preserve">3708 Tallman St </t>
  </si>
  <si>
    <t>33981-4614</t>
  </si>
  <si>
    <t>36-43-23-c1-02547.0400</t>
  </si>
  <si>
    <t>Felipe &amp; Paola Saboya-Galindo</t>
  </si>
  <si>
    <t>King</t>
  </si>
  <si>
    <t>01-44-23-c2-02460.0250</t>
  </si>
  <si>
    <t xml:space="preserve">32a Legion Rd  Oak Ridge, NJ 07438-9374 </t>
  </si>
  <si>
    <t xml:space="preserve">71-1 Rowland Rd </t>
  </si>
  <si>
    <t>Lehigh Acres Unit 12 Blk 66 Pb 26 Pg 15 Lot 4</t>
  </si>
  <si>
    <t>33314-3720</t>
  </si>
  <si>
    <t>27609-7242</t>
  </si>
  <si>
    <t xml:space="preserve">14351 Trinidad St  Fort Myers, FL 33905 </t>
  </si>
  <si>
    <t>Alfonso Villanueva</t>
  </si>
  <si>
    <t>Lambert</t>
  </si>
  <si>
    <t>Cape Coral Unit 85 Blk 5663 Pb 24 Pg 58 Lots 9 + 10</t>
  </si>
  <si>
    <t>19-43-24-c2-05605.0510</t>
  </si>
  <si>
    <t>Palm Beach Shores</t>
  </si>
  <si>
    <t xml:space="preserve">1209 Pangburn Rd  Schenectady, NY 12306-5854 </t>
  </si>
  <si>
    <t>Ferris</t>
  </si>
  <si>
    <t>33904-3903</t>
  </si>
  <si>
    <t>19-43-24-c1-05578.0180</t>
  </si>
  <si>
    <t>30068-5313</t>
  </si>
  <si>
    <t>Tuzet</t>
  </si>
  <si>
    <t>Catalina Ranch</t>
  </si>
  <si>
    <t xml:space="preserve">559 W 164th St 3m </t>
  </si>
  <si>
    <t>Marconi</t>
  </si>
  <si>
    <t>33909-4812</t>
  </si>
  <si>
    <t>02169-1106</t>
  </si>
  <si>
    <t>George Craig &amp; George For</t>
  </si>
  <si>
    <t>11-44-25-07-00000.1760</t>
  </si>
  <si>
    <t>Barbara Mcnally</t>
  </si>
  <si>
    <t xml:space="preserve">515 Hilltop Rd </t>
  </si>
  <si>
    <t>Ekmekjian</t>
  </si>
  <si>
    <t>Francis &amp; Norma Gorman</t>
  </si>
  <si>
    <t>01-44-23-c1-02437.0330</t>
  </si>
  <si>
    <t>Cypress Trail Rv Resort Phase 2-B As Desc In Inst# 2015000013050 Lot 477</t>
  </si>
  <si>
    <t>Arun Kumar &amp; Suman Dixit</t>
  </si>
  <si>
    <t xml:space="preserve">23 Bay Path Ln </t>
  </si>
  <si>
    <t xml:space="preserve">6 Blueberry Pt  Raymond, ME 04071-6849 </t>
  </si>
  <si>
    <t>Bobeda Family Trust</t>
  </si>
  <si>
    <t>Cape Coral Unit 47 Pt 2 Blk 3533 Pb 23 Pg 127 Lots 23 + 24</t>
  </si>
  <si>
    <t>Cape Coral Unit 32 Blk 2107 Pb 16 Pg 5 Lots 15 + 16</t>
  </si>
  <si>
    <t>C011</t>
  </si>
  <si>
    <t xml:space="preserve">181 N Main St </t>
  </si>
  <si>
    <t xml:space="preserve">1710 NE 27th St  Cape Coral, FL 33909 </t>
  </si>
  <si>
    <t>Macclugage</t>
  </si>
  <si>
    <t>Quimby</t>
  </si>
  <si>
    <t>Manan &amp; Komal Sheth</t>
  </si>
  <si>
    <t xml:space="preserve">1221 NE 19th Ave </t>
  </si>
  <si>
    <t>Cape Coral Unit 84 Blk 5559 Pb 24 Pg 32 Lots 46 + 47</t>
  </si>
  <si>
    <t xml:space="preserve">8351 Brittany Dr </t>
  </si>
  <si>
    <t>33909-3104</t>
  </si>
  <si>
    <t xml:space="preserve">97 George Rd </t>
  </si>
  <si>
    <t>18-43-24-c4-05682.0390</t>
  </si>
  <si>
    <t>Hansen Timothy Tr</t>
  </si>
  <si>
    <t># 29</t>
  </si>
  <si>
    <t>Mercier</t>
  </si>
  <si>
    <t>Annunciata</t>
  </si>
  <si>
    <t>Cape Coral Unit 84 Blk 5612 Pb 24 Pg 35 Lots 43 + 44</t>
  </si>
  <si>
    <t>33909-6262</t>
  </si>
  <si>
    <t>Cape Coral Unit 32 Blk 2165 Pb 16 Pg 11 Lots 15 + 16</t>
  </si>
  <si>
    <t xml:space="preserve">9 Edgewood Rd </t>
  </si>
  <si>
    <t>Marnia</t>
  </si>
  <si>
    <t xml:space="preserve">5825 Bear Run Cir </t>
  </si>
  <si>
    <t xml:space="preserve">4101 NE 13th Pl </t>
  </si>
  <si>
    <t>Elisabet</t>
  </si>
  <si>
    <t>Elyria</t>
  </si>
  <si>
    <t>32-43-24-c3-02228.0420</t>
  </si>
  <si>
    <t>33330-1155</t>
  </si>
  <si>
    <t>PO Box 366</t>
  </si>
  <si>
    <t xml:space="preserve">1000 NE 37th Ter </t>
  </si>
  <si>
    <t xml:space="preserve">8691 Commonwealth Ave </t>
  </si>
  <si>
    <t>Colchester</t>
  </si>
  <si>
    <t xml:space="preserve">1028 NE 43rd Ter </t>
  </si>
  <si>
    <t>Cape Coral Unit 36 Pt 1 Blk 2506 Pb 23 Pg 91 Lot 24 + 25</t>
  </si>
  <si>
    <t>David &amp; Mary Hehl</t>
  </si>
  <si>
    <t>Federico</t>
  </si>
  <si>
    <t xml:space="preserve">1018 NE 33rd St  Cape Coral, FL 33909 </t>
  </si>
  <si>
    <t>Cape Coral Unit 36 Blk 2342 Pb 16 Pg U21 Lots 51 + 52</t>
  </si>
  <si>
    <t xml:space="preserve">11022 SW 166th Ter </t>
  </si>
  <si>
    <t>Daunce</t>
  </si>
  <si>
    <t xml:space="preserve">4401 Seville Ln  Mckinney, TX 75070-4437 </t>
  </si>
  <si>
    <t>Cypress Woods Rv Resort Desc In Inst#2006-358211 Lot 179</t>
  </si>
  <si>
    <t xml:space="preserve">101 Soundview Ave </t>
  </si>
  <si>
    <t>33027-6046</t>
  </si>
  <si>
    <t>Jeff &amp; Karen Jarvis</t>
  </si>
  <si>
    <t>Terry &amp; Angela Hurst</t>
  </si>
  <si>
    <t>Marian</t>
  </si>
  <si>
    <t>33076-2418</t>
  </si>
  <si>
    <t>20-43-24-c2-05667.0520</t>
  </si>
  <si>
    <t xml:space="preserve">912 Brisley Cir </t>
  </si>
  <si>
    <t>Kupczak</t>
  </si>
  <si>
    <t>01-44-23-c1-02438.0130</t>
  </si>
  <si>
    <t xml:space="preserve">315 NE 17th Pl  Cape Coral, FL 33909 </t>
  </si>
  <si>
    <t>Cape Coral Unit 36 Blk 2318 Pb 16 Pg 130 Lots 55 + 56</t>
  </si>
  <si>
    <t>02360-2239</t>
  </si>
  <si>
    <t>Maltby</t>
  </si>
  <si>
    <t>Cape Coral Unit 34 Blk.2442 Pb 16 Pg 78 Lots 27 + 28</t>
  </si>
  <si>
    <t>Paseo Real</t>
  </si>
  <si>
    <t xml:space="preserve">15290 Codie St  Fort Myers, FL 33908 </t>
  </si>
  <si>
    <t>Cape Coral Unit 84 Blk 5546 Pb 24 Pg 47 Lots 1 + 2</t>
  </si>
  <si>
    <t xml:space="preserve">26 Lark Pl  Old Bridge, NJ 08857-3062 </t>
  </si>
  <si>
    <t>For Elsa Medina Trust</t>
  </si>
  <si>
    <t xml:space="preserve">6767 Wingeier Ave SE </t>
  </si>
  <si>
    <t>Jota</t>
  </si>
  <si>
    <t>33410-2618</t>
  </si>
  <si>
    <t>31-43-24-c4-02144.0050</t>
  </si>
  <si>
    <t>20-43-24-c1-05641.0210</t>
  </si>
  <si>
    <t>37087-1636</t>
  </si>
  <si>
    <t xml:space="preserve">445 E 52nd St </t>
  </si>
  <si>
    <t>Amaral</t>
  </si>
  <si>
    <t xml:space="preserve">2301 NE 35th St  Cape Coral, FL 33909 </t>
  </si>
  <si>
    <t>33483-5661</t>
  </si>
  <si>
    <t>Duran Armas</t>
  </si>
  <si>
    <t xml:space="preserve">406 Hawthorne Ave  Lancaster, OH 43130-1414 </t>
  </si>
  <si>
    <t>Arlington Pb 16 Pg 38-39 Lot 32+ W 29.34 Ft Lot 33</t>
  </si>
  <si>
    <t>Robert &amp; Kim Montwill</t>
  </si>
  <si>
    <t>Dennis Pfefferkorn</t>
  </si>
  <si>
    <t>Cape Coral Unit 87 Blk 5708 Pb 24 Pg 71 Lots 23 + 24</t>
  </si>
  <si>
    <t xml:space="preserve">7121 E Arkansas Ave </t>
  </si>
  <si>
    <t xml:space="preserve">30331 Oak St  Princess Anne, MD 21853-1333 </t>
  </si>
  <si>
    <t xml:space="preserve">55195 Jewell Rd </t>
  </si>
  <si>
    <t>Lohre</t>
  </si>
  <si>
    <t>Dickinson</t>
  </si>
  <si>
    <t xml:space="preserve">6009 Higgins Ave </t>
  </si>
  <si>
    <t>25-43-23-c2-02316.0110</t>
  </si>
  <si>
    <t xml:space="preserve">1615 S Gator Cir  Cape Coral, FL 33909 </t>
  </si>
  <si>
    <t>A Edwards &amp; For Pearson</t>
  </si>
  <si>
    <t>Palmona Park Unit 2 Blk 34 Pb 7 Pg 57 Lot 15</t>
  </si>
  <si>
    <t>Cape Coral Unit 25 Blk.884 Pb 14 Pg 93 Lots 71 + 72</t>
  </si>
  <si>
    <t xml:space="preserve">803 Cessna St </t>
  </si>
  <si>
    <t xml:space="preserve">108 Cornwall Ct </t>
  </si>
  <si>
    <t>David &amp; Susan Wiley</t>
  </si>
  <si>
    <t xml:space="preserve">2905 Harvest Grove Ln SE </t>
  </si>
  <si>
    <t>Jacek &amp; Anna Kokot</t>
  </si>
  <si>
    <t>River By Pb 11 Pg 16 Lot 16</t>
  </si>
  <si>
    <t xml:space="preserve">6106 Holt Ct  Fort Myers, FL 33905 </t>
  </si>
  <si>
    <t xml:space="preserve">3018 NE 1st Ave  Cape Coral, FL 33909 </t>
  </si>
  <si>
    <t xml:space="preserve">9 Hanoier St </t>
  </si>
  <si>
    <t xml:space="preserve">40 La Fonda Ln </t>
  </si>
  <si>
    <t>Gary</t>
  </si>
  <si>
    <t>29-43-24-c3-02287.0470</t>
  </si>
  <si>
    <t xml:space="preserve">6423 Fairbanks St  New Carrollton, MD 20784-3345 </t>
  </si>
  <si>
    <t>Kettering L</t>
  </si>
  <si>
    <t xml:space="preserve">1757 Bikini Ct </t>
  </si>
  <si>
    <t xml:space="preserve">219 NE 25th Ter  Cape Coral, FL 33909 </t>
  </si>
  <si>
    <t>Cape Coral Unit 84 Blk 5577 Pb 24 Pg 45 Lots 39 + 40</t>
  </si>
  <si>
    <t>33909-4665</t>
  </si>
  <si>
    <t xml:space="preserve">581 SW 47th Ave  Coral Gables, FL 33134-1431 </t>
  </si>
  <si>
    <t>Taoyuan City</t>
  </si>
  <si>
    <t xml:space="preserve">6126 Humboldt Ave </t>
  </si>
  <si>
    <t>Mercer Island</t>
  </si>
  <si>
    <t xml:space="preserve">1309 NE 34th Ln  Cape Coral, FL 33909 </t>
  </si>
  <si>
    <t xml:space="preserve">3618 E Gator Cir </t>
  </si>
  <si>
    <t xml:space="preserve">322 NE 25th St  Cape Coral, FL 33909 </t>
  </si>
  <si>
    <t>Quellenstrabe</t>
  </si>
  <si>
    <t>33909-1218</t>
  </si>
  <si>
    <t>Parcel Of Land In Sec 1 Twp 46 Rng 23 Desc In Instrument 2020000285848</t>
  </si>
  <si>
    <t>Ambleside</t>
  </si>
  <si>
    <t>06-44-24-c1-02079.0150</t>
  </si>
  <si>
    <t xml:space="preserve">1915 NE 18th Pl  Cape Coral, FL 33909 </t>
  </si>
  <si>
    <t>Joan Wallace</t>
  </si>
  <si>
    <t xml:space="preserve">50 Elm Ave #10 </t>
  </si>
  <si>
    <t>33904-3467</t>
  </si>
  <si>
    <t>R170</t>
  </si>
  <si>
    <t>Dover</t>
  </si>
  <si>
    <t xml:space="preserve">1312 NE 23rd Ter  Cape Coral, FL 33909 </t>
  </si>
  <si>
    <t>33909-4376</t>
  </si>
  <si>
    <t xml:space="preserve">506 NE 25th Ter  Cape Coral, FL 33909 </t>
  </si>
  <si>
    <t>Estelle Rodini</t>
  </si>
  <si>
    <t>80th</t>
  </si>
  <si>
    <t>91360-2136</t>
  </si>
  <si>
    <t>12-46-23-02-00000.0470</t>
  </si>
  <si>
    <t xml:space="preserve">2429 NE 6th Ave  Cape Coral, FL 33909 </t>
  </si>
  <si>
    <t xml:space="preserve">87 Bloomfield Ave </t>
  </si>
  <si>
    <t>Ryan</t>
  </si>
  <si>
    <t>Steed</t>
  </si>
  <si>
    <t>Brackenridge</t>
  </si>
  <si>
    <t xml:space="preserve">6044 Jadestone Ave  Fort Myers, FL 33905 </t>
  </si>
  <si>
    <t>33909-8404</t>
  </si>
  <si>
    <t>06-44-24-c1-02073.0610</t>
  </si>
  <si>
    <t xml:space="preserve">20 Atlas Ln </t>
  </si>
  <si>
    <t>19-43-24-c2-05587.0090</t>
  </si>
  <si>
    <t>Cypress Trail Rv Resort Phase 2-B As Desc In Inst# 2015000013050 Lot 423</t>
  </si>
  <si>
    <t>Roy</t>
  </si>
  <si>
    <t xml:space="preserve">1019 NE 10th Pl  Cape Coral, FL 33909 </t>
  </si>
  <si>
    <t>06-44-24-c4-02046.0150</t>
  </si>
  <si>
    <t>Goderich</t>
  </si>
  <si>
    <t>Upland</t>
  </si>
  <si>
    <t xml:space="preserve">47 Hilltop Ave </t>
  </si>
  <si>
    <t xml:space="preserve">510 Dubois Ave 4b, Valley Stream, NY 11581-3201 </t>
  </si>
  <si>
    <t>Jason Wu &amp; Cuiping Li</t>
  </si>
  <si>
    <t>Hitchings</t>
  </si>
  <si>
    <t>Gloria Gaines &amp; Christine Frederick</t>
  </si>
  <si>
    <t>Holiday Travel Park R V Condo Ph 2 Or 1557 Pg 1600 Unit 507</t>
  </si>
  <si>
    <t>Luzardo</t>
  </si>
  <si>
    <t xml:space="preserve">406 N Burson Ave </t>
  </si>
  <si>
    <t>Magnolia Ridge</t>
  </si>
  <si>
    <t xml:space="preserve">5 Country Club Ln </t>
  </si>
  <si>
    <t>07734-2025</t>
  </si>
  <si>
    <t>Stephen &amp; Carol Gee</t>
  </si>
  <si>
    <t>77068-3000</t>
  </si>
  <si>
    <t xml:space="preserve">12000 Kimberlyn Rd </t>
  </si>
  <si>
    <t>Patricia Glass &amp; Deneise Fuggle</t>
  </si>
  <si>
    <t xml:space="preserve">944 Sunbonnet Loop </t>
  </si>
  <si>
    <t xml:space="preserve">22 Rue Dalsale  Maiden Rock, WI 54750 </t>
  </si>
  <si>
    <t>Buckingham Pk Re Blk B U-2 Blk 7 Pb 27 Pg 189 Lot 24</t>
  </si>
  <si>
    <t>34120-8900</t>
  </si>
  <si>
    <t xml:space="preserve">2314 NE 21st Ter  Cape Coral, FL 33909 </t>
  </si>
  <si>
    <t>PO Box 312</t>
  </si>
  <si>
    <t>Cape Coral Unit 33 Blk.2190 Pb 16 Pg 49 Lots 22 + 23</t>
  </si>
  <si>
    <t>Slade</t>
  </si>
  <si>
    <t>Raul &amp; Blanca Chavez</t>
  </si>
  <si>
    <t xml:space="preserve">Im Gestockert 84 A  Adams, MA 01220 </t>
  </si>
  <si>
    <t xml:space="preserve">105 SE 47th St  Cape Coral, FL 33904 </t>
  </si>
  <si>
    <t>12-46-23-05-00000.2960</t>
  </si>
  <si>
    <t xml:space="preserve">1905 NE 38th Ter  Cape Coral, FL 33909 </t>
  </si>
  <si>
    <t>Mitman</t>
  </si>
  <si>
    <t>Shunpike</t>
  </si>
  <si>
    <t>Cape Coral Unit 87 Blk 5752 Pb 24 Pg 71 Lot 21</t>
  </si>
  <si>
    <t xml:space="preserve">2026 NE 9th Ave </t>
  </si>
  <si>
    <t>Pinefield</t>
  </si>
  <si>
    <t>27948-8661</t>
  </si>
  <si>
    <t xml:space="preserve">1728 NE 7th Pl  Cape Coral, FL 33909 </t>
  </si>
  <si>
    <t xml:space="preserve">5826 Deep Creek Dr  Fredericksburg, VA 22407-9221 </t>
  </si>
  <si>
    <t>22015-2701</t>
  </si>
  <si>
    <t>16-44-24-03-00004.0150</t>
  </si>
  <si>
    <t>20-43-24-c1-05598.0210</t>
  </si>
  <si>
    <t>Alza</t>
  </si>
  <si>
    <t xml:space="preserve">315 E 88th St 3f </t>
  </si>
  <si>
    <t>18-43-24-c3-05752.0430</t>
  </si>
  <si>
    <t>M6S 3A9</t>
  </si>
  <si>
    <t>Lai</t>
  </si>
  <si>
    <t>Amitava Raksit</t>
  </si>
  <si>
    <t xml:space="preserve">1735 Undercliff Ave </t>
  </si>
  <si>
    <t xml:space="preserve">6150 Whitaker Rd </t>
  </si>
  <si>
    <t xml:space="preserve">2114 NE 26th St </t>
  </si>
  <si>
    <t>Cape Coral Unit 33 Blk.2249 Pb 16 Pg 58 Lots 1 + 2</t>
  </si>
  <si>
    <t xml:space="preserve">246 Bavarian St  Middletown, OH 45044-5422 </t>
  </si>
  <si>
    <t>Taseski Bozana Tr</t>
  </si>
  <si>
    <t>22182-3334</t>
  </si>
  <si>
    <t xml:space="preserve">15961 Cemetery Rd </t>
  </si>
  <si>
    <t>Joseph Bauman &amp; Patsy Hajcak</t>
  </si>
  <si>
    <t>Rodney &amp; Betsy Donald</t>
  </si>
  <si>
    <t>Cape Coral Unit 36 Blk 2302 Pb 16 Pg 122 Lots 31 + 32</t>
  </si>
  <si>
    <t>Miles Banwell</t>
  </si>
  <si>
    <t xml:space="preserve">4423 NE Connection Ave  Cape Coral, FL 33909 </t>
  </si>
  <si>
    <t xml:space="preserve">Po Box 1587 </t>
  </si>
  <si>
    <t>Lehigh Acres Unit 9 Blk 43 Pb 26 Pg 11 Lot 14</t>
  </si>
  <si>
    <t xml:space="preserve">35 NE 31st Ter </t>
  </si>
  <si>
    <t>28403-3415</t>
  </si>
  <si>
    <t>Louis Defilippis</t>
  </si>
  <si>
    <t xml:space="preserve">7026 Stonewall Ridge Dr  Richmond, TX 77469-5921 </t>
  </si>
  <si>
    <t xml:space="preserve">31332 Avenue J </t>
  </si>
  <si>
    <t xml:space="preserve">4214 NE 17th Ave  Cape Coral, FL 33909 </t>
  </si>
  <si>
    <t>Wiley</t>
  </si>
  <si>
    <t>10309-2847</t>
  </si>
  <si>
    <t xml:space="preserve">12676 113 Rd  Minneola, KS 67865-8531 </t>
  </si>
  <si>
    <t>33908-3103</t>
  </si>
  <si>
    <t>Arora</t>
  </si>
  <si>
    <t>Phillipe Jaquet &amp; Michael Brulhart</t>
  </si>
  <si>
    <t xml:space="preserve">PO Box 164  Brandon, FL 33509 </t>
  </si>
  <si>
    <t xml:space="preserve">400 N Spruce St  Elizabethtown, PA 17022-1658 </t>
  </si>
  <si>
    <t>Poynor</t>
  </si>
  <si>
    <t>Derwood</t>
  </si>
  <si>
    <t>Chloe</t>
  </si>
  <si>
    <t xml:space="preserve">1318 NE 5th Pl  Cape Coral, FL 33909 </t>
  </si>
  <si>
    <t>Tamarack</t>
  </si>
  <si>
    <t>11-44-25-l1-13000.3500</t>
  </si>
  <si>
    <t>Van &amp; Vonda Boston</t>
  </si>
  <si>
    <t xml:space="preserve">6515 Delilah Rd #2065 </t>
  </si>
  <si>
    <t>Cape Coral Unit 36 Pt 1 Blk 2503 Pb 23 Pg 93 Lots 9 + 10</t>
  </si>
  <si>
    <t>Barry Oxley</t>
  </si>
  <si>
    <t>Munich</t>
  </si>
  <si>
    <t>11-44-25-05-0000c.0690</t>
  </si>
  <si>
    <t>Paul Latraverse Sr Trust</t>
  </si>
  <si>
    <t xml:space="preserve">9677 Sessions Rd  Sauquoit, NY 13456-2521 </t>
  </si>
  <si>
    <t>33909-4900</t>
  </si>
  <si>
    <t>33909-6518</t>
  </si>
  <si>
    <t xml:space="preserve">3508 NE 17th Pl </t>
  </si>
  <si>
    <t>Gunnison</t>
  </si>
  <si>
    <t xml:space="preserve">2203 NE 34th Ter </t>
  </si>
  <si>
    <t>33484-3575</t>
  </si>
  <si>
    <t xml:space="preserve">3495 Midnight Ridge Dr </t>
  </si>
  <si>
    <t xml:space="preserve">1637 Morning Glory Ln #42, Essex, MD 21221-1602 </t>
  </si>
  <si>
    <t>Scofield Carleton</t>
  </si>
  <si>
    <t>B</t>
  </si>
  <si>
    <t xml:space="preserve">3318 NE 8th Pl  Cape Coral, FL 33909 </t>
  </si>
  <si>
    <t>Cape Coral Unit 33 Blk 2237 Pb 16 Pg 48 Lots 45 + 46</t>
  </si>
  <si>
    <t>34-43-24-02-00030.0060</t>
  </si>
  <si>
    <t xml:space="preserve">1830 NE 34th Ln  Cape Coral, FL 33909 </t>
  </si>
  <si>
    <t xml:space="preserve">1206 NE 19th Pl  Cape Coral, FL 33909 </t>
  </si>
  <si>
    <t xml:space="preserve">2133 NE 33rd St  Cape Coral, FL 33909 </t>
  </si>
  <si>
    <t>Aparicio</t>
  </si>
  <si>
    <t xml:space="preserve">6047 Jonathan Ave  Fort Myers, FL 33905 </t>
  </si>
  <si>
    <t>Allan Monteith</t>
  </si>
  <si>
    <t>33909-4611</t>
  </si>
  <si>
    <t xml:space="preserve">38 Howes St </t>
  </si>
  <si>
    <t>18-43-24-c4-05583.0150</t>
  </si>
  <si>
    <t xml:space="preserve">3620 SE 18th Ave </t>
  </si>
  <si>
    <t>Cape Coral Unit 33 Blk 2227 Pb 16 Pg 50 Lots 8 + 9</t>
  </si>
  <si>
    <t>Southerland</t>
  </si>
  <si>
    <t>Marciano Angeles</t>
  </si>
  <si>
    <t xml:space="preserve">3578 NE 9th Ave  Cape Coral, FL 33909 </t>
  </si>
  <si>
    <t>Leyden</t>
  </si>
  <si>
    <t>Burlington</t>
  </si>
  <si>
    <t>Casallas</t>
  </si>
  <si>
    <t xml:space="preserve">5218 Pineland Daisy Trl  Fort Myers, FL 33905 </t>
  </si>
  <si>
    <t>42044-8636</t>
  </si>
  <si>
    <t>Minnette &amp; Andrew Kelly</t>
  </si>
  <si>
    <t xml:space="preserve">24 Lundigan Dr </t>
  </si>
  <si>
    <t>48111-9187</t>
  </si>
  <si>
    <t>44708-1597</t>
  </si>
  <si>
    <t>Cape Coral Unit 35 Blk.2369 Pb 16 Pg 101 Lots 32 + 33</t>
  </si>
  <si>
    <t>Marignane</t>
  </si>
  <si>
    <t>Lehigh Acres Unit 12 Blk 61 Pb 26 Pg 16 Lot 2</t>
  </si>
  <si>
    <t>13118-3459</t>
  </si>
  <si>
    <t>03-44-26-07-00033.0070</t>
  </si>
  <si>
    <t xml:space="preserve">1827 NE 18th Pl </t>
  </si>
  <si>
    <t>Cypress Trail Rv Resort Ph 3 As Desc In Inst# 2015000085552 Lot 214</t>
  </si>
  <si>
    <t>Les Vlieger</t>
  </si>
  <si>
    <t xml:space="preserve">3830 SW 145th Pl </t>
  </si>
  <si>
    <t xml:space="preserve">2705 NE 1st Pl </t>
  </si>
  <si>
    <t>Cape Coral Unit 85 Blk 5663 Pb 24 Pg 58 Lots 55 + 56</t>
  </si>
  <si>
    <t>Cape Coral Unit 87 Blk 5698 Pb 24 Pg 75 Lots 7 + 8</t>
  </si>
  <si>
    <t xml:space="preserve">W3124 Potter Rd </t>
  </si>
  <si>
    <t>25-43-23-c2-02351.0010</t>
  </si>
  <si>
    <t>Cypress Woods Rv Resort Unit 4 Pb 79 Pgs 68-71 Blk D Lot 98</t>
  </si>
  <si>
    <t xml:space="preserve">1707 Sutter Ave </t>
  </si>
  <si>
    <t>Gebura</t>
  </si>
  <si>
    <t>17-43-24-c4-05767.0300</t>
  </si>
  <si>
    <t xml:space="preserve">4694 Cemetery Rd #282, Hilliard, OH 43026-1124 </t>
  </si>
  <si>
    <t xml:space="preserve">5 Mayfair Ln  Hicksville, NY 11801-3717 </t>
  </si>
  <si>
    <t xml:space="preserve">5 Ashley Ct  Islip Terrace, NY 11752-2900 </t>
  </si>
  <si>
    <t xml:space="preserve">3405 NE 18th Ave  Cape Coral, FL 33909 </t>
  </si>
  <si>
    <t>Cape Coral Unit 84 Blk 5560 Pb 24 Pg 32 Lots 33 + 34</t>
  </si>
  <si>
    <t xml:space="preserve">2535 SW 119th Ter </t>
  </si>
  <si>
    <t>Frederick &amp; Frederick Haas</t>
  </si>
  <si>
    <t xml:space="preserve">214 NE 20th Ter </t>
  </si>
  <si>
    <t>Ezequiel</t>
  </si>
  <si>
    <t xml:space="preserve">3449 Chadwick Ave  Spring Hill, FL 34609-2606 </t>
  </si>
  <si>
    <t>02-46-23-02-0000i.010a</t>
  </si>
  <si>
    <t xml:space="preserve">13364 Marquette Blvd </t>
  </si>
  <si>
    <t xml:space="preserve">2203 NE 1st Ave </t>
  </si>
  <si>
    <t>19-43-24-c3-05624.0190</t>
  </si>
  <si>
    <t>N3W 2G9</t>
  </si>
  <si>
    <t>43557-7715</t>
  </si>
  <si>
    <t>Lachman</t>
  </si>
  <si>
    <t>South Amboy</t>
  </si>
  <si>
    <t>Tremain</t>
  </si>
  <si>
    <t xml:space="preserve">Avenue Moscicki #11 </t>
  </si>
  <si>
    <t>David Charles Reilly &amp; David Reilly</t>
  </si>
  <si>
    <t>Casey</t>
  </si>
  <si>
    <t>Koch</t>
  </si>
  <si>
    <t xml:space="preserve">1045 White Alder Ave </t>
  </si>
  <si>
    <t xml:space="preserve">3720 NE 14th Pl  Cape Coral, FL 33909 </t>
  </si>
  <si>
    <t>Carl &amp; For Bohne</t>
  </si>
  <si>
    <t>19-43-24-c1-05571.0100</t>
  </si>
  <si>
    <t xml:space="preserve">690 W Clearbrook Cir </t>
  </si>
  <si>
    <t xml:space="preserve">6020 Joplin Ave  Fort Myers, FL 33905 </t>
  </si>
  <si>
    <t>33904-2871</t>
  </si>
  <si>
    <t>Cape Coral Unit 36 Blk 2528 Pb 16 Pg 114 Lots 46 + 47</t>
  </si>
  <si>
    <t>Rua Manoel Rebelo Dos Santos</t>
  </si>
  <si>
    <t>Indelicato</t>
  </si>
  <si>
    <t xml:space="preserve">1706 NE 40th Ln </t>
  </si>
  <si>
    <t>Sanders</t>
  </si>
  <si>
    <t>Skiminia</t>
  </si>
  <si>
    <t>Hedgewood</t>
  </si>
  <si>
    <t xml:space="preserve">9271 SW 154th Pl  Miami, FL 33196-1127 </t>
  </si>
  <si>
    <t xml:space="preserve">8360 NW 103rd St #202 </t>
  </si>
  <si>
    <t>Murietta</t>
  </si>
  <si>
    <t>Palm Springs North</t>
  </si>
  <si>
    <t xml:space="preserve">6139 Deeside Dr </t>
  </si>
  <si>
    <t>37379-3860</t>
  </si>
  <si>
    <t xml:space="preserve">121 Hamilton Ave </t>
  </si>
  <si>
    <t>11-44-25-06-0000d.0430</t>
  </si>
  <si>
    <t>Susan S Bartels Revocable Trust</t>
  </si>
  <si>
    <t>Old Cut</t>
  </si>
  <si>
    <t xml:space="preserve">810 10th St NE  Naples, FL 34120-5059 </t>
  </si>
  <si>
    <t>Fernando</t>
  </si>
  <si>
    <t>Shawn Therrien</t>
  </si>
  <si>
    <t xml:space="preserve">2826 SE 8th Ave </t>
  </si>
  <si>
    <t xml:space="preserve">10145 Lucas Rd  Three Rivers, MI 49093-8557 </t>
  </si>
  <si>
    <t>Gortons Sub Portion Of Blk 7 Bk 5 Pg 20 E 85 Ft Of the W 319.5 Ft Length Of 151.50</t>
  </si>
  <si>
    <t>Hartford</t>
  </si>
  <si>
    <t>Melvin &amp; Aneesa Madan</t>
  </si>
  <si>
    <t xml:space="preserve">1264 Route 206  Shamong, NJ 08088-9579 </t>
  </si>
  <si>
    <t>06-44-24-c2-02083.0320</t>
  </si>
  <si>
    <t>06472-1620</t>
  </si>
  <si>
    <t>77316-3616</t>
  </si>
  <si>
    <t>Bogart</t>
  </si>
  <si>
    <t xml:space="preserve">1829 Savona Pkwy </t>
  </si>
  <si>
    <t xml:space="preserve">826 NE 44th Ln  Cape Coral, FL 33909 </t>
  </si>
  <si>
    <t xml:space="preserve">8690 Lake George Cir E  Macclenny, FL 32063-4669 </t>
  </si>
  <si>
    <t>Lehigh Acres Unit 12 Blk 64 Pb 26 Pg 15 Lot 12</t>
  </si>
  <si>
    <t>12-44-23-c1-02369.0190</t>
  </si>
  <si>
    <t xml:space="preserve">45 Park Ter W 4g, New York, NY 10034-1536 </t>
  </si>
  <si>
    <t xml:space="preserve">216 E Main St </t>
  </si>
  <si>
    <t xml:space="preserve">244 Capitol St  North Fort Myers, FL 33903 </t>
  </si>
  <si>
    <t>25-43-23-c2-02316.0590</t>
  </si>
  <si>
    <t xml:space="preserve">321 NE 27th St  Cape Coral, FL 33909 </t>
  </si>
  <si>
    <t xml:space="preserve">220 N Phelps Ave </t>
  </si>
  <si>
    <t>Meyer</t>
  </si>
  <si>
    <t xml:space="preserve">4369 Arlington Ave </t>
  </si>
  <si>
    <t>Reeves Creek</t>
  </si>
  <si>
    <t>Vlieger</t>
  </si>
  <si>
    <t>Persing</t>
  </si>
  <si>
    <t>33160-3076</t>
  </si>
  <si>
    <t>36-43-23-c3-02510.0030</t>
  </si>
  <si>
    <t>33904-3555</t>
  </si>
  <si>
    <t>Beinars</t>
  </si>
  <si>
    <t xml:space="preserve">48 Robin Ln  Rensselaer, NY 12144-9611 </t>
  </si>
  <si>
    <t>Cape Coral Unit 33 Blk 2285 Pb 16 Pg 56 Lots 18 + 19</t>
  </si>
  <si>
    <t>33909-4464</t>
  </si>
  <si>
    <t>Ramblewood</t>
  </si>
  <si>
    <t xml:space="preserve">608 Country Club Dr  Bensenville, IL 60106-1303 </t>
  </si>
  <si>
    <t>Blf</t>
  </si>
  <si>
    <t>12590-1733</t>
  </si>
  <si>
    <t>33909-1017</t>
  </si>
  <si>
    <t>Buergerschaft</t>
  </si>
  <si>
    <t>Wilma</t>
  </si>
  <si>
    <t>Rose &amp; John Hrenchuk</t>
  </si>
  <si>
    <t>Cape Coral Unit 36 Blk 2319 Pb 16 Pg 129 Lots 5 + 6</t>
  </si>
  <si>
    <t xml:space="preserve">7751 NW 7th St  Pembroke Pines, FL 33024-6868 </t>
  </si>
  <si>
    <t>Koszarek</t>
  </si>
  <si>
    <t xml:space="preserve">17867 Haberkorn Rd  Sherrill, IA 52073-9492 </t>
  </si>
  <si>
    <t xml:space="preserve">2109 NE 33rd Ter  Cape Coral, FL 33909 </t>
  </si>
  <si>
    <t xml:space="preserve">7520 Duncrest Rd </t>
  </si>
  <si>
    <t xml:space="preserve">2909 Garibaldi Ave </t>
  </si>
  <si>
    <t xml:space="preserve">5149 Cypress Trail Resort Cir </t>
  </si>
  <si>
    <t xml:space="preserve">1529 NE 18th Ave </t>
  </si>
  <si>
    <t>New City</t>
  </si>
  <si>
    <t>77384-4406</t>
  </si>
  <si>
    <t xml:space="preserve">1308 Andalusia Blvd </t>
  </si>
  <si>
    <t>Albert &amp; For Carlson</t>
  </si>
  <si>
    <t>44044-1069</t>
  </si>
  <si>
    <t>33909-6856</t>
  </si>
  <si>
    <t xml:space="preserve">15110 Flightline Ct  Fort Myers, FL 33905 </t>
  </si>
  <si>
    <t>Josh &amp; Rachael Haber</t>
  </si>
  <si>
    <t xml:space="preserve">1515 NE 23rd Ter </t>
  </si>
  <si>
    <t xml:space="preserve">222 Stevens Rd </t>
  </si>
  <si>
    <t>South Riding</t>
  </si>
  <si>
    <t xml:space="preserve">3204 NE 14th Ct </t>
  </si>
  <si>
    <t>Downs</t>
  </si>
  <si>
    <t>33909-3409</t>
  </si>
  <si>
    <t>Cape Coral Unit 35 Blk.2413 Pb 16 Pg 109 Lots 17 + 18</t>
  </si>
  <si>
    <t>Cape Coral Unit 36 Blk 2346 Pb 16 Pg 130 Lots 64 + 65</t>
  </si>
  <si>
    <t>San Marino</t>
  </si>
  <si>
    <t>Claremont</t>
  </si>
  <si>
    <t>Galban</t>
  </si>
  <si>
    <t>Ira Financial Trust Company</t>
  </si>
  <si>
    <t xml:space="preserve">2108 NE 14th Pl  Cape Coral, FL 33909 </t>
  </si>
  <si>
    <t xml:space="preserve">3429 Monninger Dr </t>
  </si>
  <si>
    <t>Vy</t>
  </si>
  <si>
    <t xml:space="preserve">24 W Grove St </t>
  </si>
  <si>
    <t>30228-5945</t>
  </si>
  <si>
    <t>George Isaac</t>
  </si>
  <si>
    <t>Cottage Point Unrec Blk D Db 259 Pg 224 Lot 61</t>
  </si>
  <si>
    <t>03-44-26-09-00041.0120</t>
  </si>
  <si>
    <t>Rainey</t>
  </si>
  <si>
    <t>Cerrato</t>
  </si>
  <si>
    <t>Ladderback</t>
  </si>
  <si>
    <t>33321-9584</t>
  </si>
  <si>
    <t>Cape Coral Unit 33 Blk.2277 Pb 16 Pg 58 Lots 41 + 42</t>
  </si>
  <si>
    <t>Nesmith Arthur B Tr</t>
  </si>
  <si>
    <t xml:space="preserve">5165 Cypress Trail Resort Cir </t>
  </si>
  <si>
    <t>32-43-24-c2-02185.0770</t>
  </si>
  <si>
    <t>Conifer</t>
  </si>
  <si>
    <t>113th</t>
  </si>
  <si>
    <t xml:space="preserve">Po Box 402 </t>
  </si>
  <si>
    <t xml:space="preserve">5 Rue Abbe Nicolas Weyrich  Itzig, LU 00000 </t>
  </si>
  <si>
    <t>Cypress Woods Rv Resort Unit 4 Pb 79 Pgs 68-71 Blk D Lot 44</t>
  </si>
  <si>
    <t xml:space="preserve">524 NE 31st Ter  Cape Coral, FL 33909 </t>
  </si>
  <si>
    <t>18-43-24-c1-05727.0230</t>
  </si>
  <si>
    <t>Cape Coral Unit 32 Blk 2165 Pb 16 Pg 11 Lots 13 + 14</t>
  </si>
  <si>
    <t>Miller Ann E Tr</t>
  </si>
  <si>
    <t>Gloria Carter</t>
  </si>
  <si>
    <t>33010-2937</t>
  </si>
  <si>
    <t>Vargyas</t>
  </si>
  <si>
    <t xml:space="preserve">814 Coolidge Ave </t>
  </si>
  <si>
    <t>Grape</t>
  </si>
  <si>
    <t xml:space="preserve">5111 Cypress Trail Resort Cir  Fort Myers, FL 33905 </t>
  </si>
  <si>
    <t xml:space="preserve">50 Bryant Dr </t>
  </si>
  <si>
    <t>N5Z 4H4</t>
  </si>
  <si>
    <t xml:space="preserve">11751 Ariana Dr </t>
  </si>
  <si>
    <t xml:space="preserve">790 E Woodland Ave </t>
  </si>
  <si>
    <t>Dietz</t>
  </si>
  <si>
    <t>36-44-23-c3-00888.0140</t>
  </si>
  <si>
    <t>Laurel Hill</t>
  </si>
  <si>
    <t>Kenneth Soviero</t>
  </si>
  <si>
    <t xml:space="preserve">1404 W Us 6  La Porte, IN 46350 </t>
  </si>
  <si>
    <t>M6S 1A8</t>
  </si>
  <si>
    <t xml:space="preserve">1410 NE 1st Pl </t>
  </si>
  <si>
    <t xml:space="preserve">3307 255th St </t>
  </si>
  <si>
    <t xml:space="preserve">5036 White Sky Cir </t>
  </si>
  <si>
    <t>Hering</t>
  </si>
  <si>
    <t xml:space="preserve">528 Diplomat Pkwy E </t>
  </si>
  <si>
    <t>33185-4761</t>
  </si>
  <si>
    <t>Cape Coral Unit 47 Pt 2 Blk 3542 Pb 23 Pg 119 Lots 32 + 33</t>
  </si>
  <si>
    <t>25-43-23-c3-02174.0290</t>
  </si>
  <si>
    <t xml:space="preserve">469 Vanderveer Rd </t>
  </si>
  <si>
    <t xml:space="preserve">2518 Van Buren St  Hollywood, FL 33020-4935 </t>
  </si>
  <si>
    <t>06614-1620</t>
  </si>
  <si>
    <t>Giancarlo</t>
  </si>
  <si>
    <t xml:space="preserve">5134 30th Ave 3o, Woodside, NY 11377-7923 </t>
  </si>
  <si>
    <t xml:space="preserve">934 NE 12th St  Cape Coral, FL 33909 </t>
  </si>
  <si>
    <t>33909-2578</t>
  </si>
  <si>
    <t xml:space="preserve">1410 NE 20th St  Cape Coral, FL 33909 </t>
  </si>
  <si>
    <t xml:space="preserve">301 NE 9th Ter </t>
  </si>
  <si>
    <t>31-43-24-c1-02168.0070</t>
  </si>
  <si>
    <t>Bibi Khan</t>
  </si>
  <si>
    <t>Clive Murdock &amp; Loris Murdock-Johnson</t>
  </si>
  <si>
    <t>Dupont</t>
  </si>
  <si>
    <t xml:space="preserve">Po Box 145 </t>
  </si>
  <si>
    <t>Patriot</t>
  </si>
  <si>
    <t xml:space="preserve">5644 Aspen Ln  Saint Paul, MN 55110-1091 </t>
  </si>
  <si>
    <t>Thomas &amp; Mary Whyte</t>
  </si>
  <si>
    <t xml:space="preserve">816 Laurel Ave  Menlo Park, CA 94025-2507 </t>
  </si>
  <si>
    <t>06520-7001</t>
  </si>
  <si>
    <t>Little Harbor</t>
  </si>
  <si>
    <t xml:space="preserve">41430 Mission Ln  Novi, MI 48375-5247 </t>
  </si>
  <si>
    <t xml:space="preserve">2736 NE 5th Pl  Cape Coral, FL 33909 </t>
  </si>
  <si>
    <t xml:space="preserve">2021 NE 6th Pl  Cape Coral, FL 33909 </t>
  </si>
  <si>
    <t>18-43-24-c1-05728.0030</t>
  </si>
  <si>
    <t>Cape Coral Unit 47 Pt 2 Blk 3534 Pb 23 Pg 127 Lots 44 + 45</t>
  </si>
  <si>
    <t xml:space="preserve">151 Nicklaus Blvd </t>
  </si>
  <si>
    <t>Cape Coral Unit 32 Blk 2139 Pb 16 Pg 10 Lots 52 + 53</t>
  </si>
  <si>
    <t>Spangler</t>
  </si>
  <si>
    <t xml:space="preserve">305 NE 5th Ter  Cape Coral, FL 33909 </t>
  </si>
  <si>
    <t>Diem &amp; Tham Nguyen</t>
  </si>
  <si>
    <t>77494-6358</t>
  </si>
  <si>
    <t>Circuit</t>
  </si>
  <si>
    <t xml:space="preserve">5511 Olympiad Dr  Houston, TX 77041-5523 </t>
  </si>
  <si>
    <t>Lysenko</t>
  </si>
  <si>
    <t xml:space="preserve">42 Mill Rd W </t>
  </si>
  <si>
    <t>Cape Coral Unit 84 Blk 5552 Pb 24 Pg 39 Lots 39 + 40</t>
  </si>
  <si>
    <t xml:space="preserve">14090 Cerrito St </t>
  </si>
  <si>
    <t>For Elsie Olivo Trust</t>
  </si>
  <si>
    <t>Parker</t>
  </si>
  <si>
    <t>21-43-26-07-0000a.0000</t>
  </si>
  <si>
    <t>29-43-24-c4-02263.0370</t>
  </si>
  <si>
    <t xml:space="preserve">121 Granada St </t>
  </si>
  <si>
    <t>11-44-25-l1-13000.3010</t>
  </si>
  <si>
    <t>Crismaurys Mejia &amp; Jossue Escobar</t>
  </si>
  <si>
    <t xml:space="preserve">1805 NE 17th St </t>
  </si>
  <si>
    <t>Frederickson</t>
  </si>
  <si>
    <t xml:space="preserve">1435 Glenwood Rd  Brooklyn, NY 11230-1711 </t>
  </si>
  <si>
    <t xml:space="preserve">801 S Ocean Dr #230 </t>
  </si>
  <si>
    <t xml:space="preserve">3705 NE 12th Pl </t>
  </si>
  <si>
    <t xml:space="preserve">2417 Charing Cross Rd NW  Canton, OH 44708-1597 </t>
  </si>
  <si>
    <t xml:space="preserve">1715 NE 13th Ter  Cape Coral, FL 33909 </t>
  </si>
  <si>
    <t>Hales Corners</t>
  </si>
  <si>
    <t xml:space="preserve">15801 Woods Chapel Rd E6 </t>
  </si>
  <si>
    <t>Omdat &amp; Ramdai Ramphaul</t>
  </si>
  <si>
    <t>Jarvis</t>
  </si>
  <si>
    <t>33351-6345</t>
  </si>
  <si>
    <t>Saint Luc</t>
  </si>
  <si>
    <t xml:space="preserve">408 SW 31st Ave </t>
  </si>
  <si>
    <t>33019-2220</t>
  </si>
  <si>
    <t xml:space="preserve">4314 Lakeway Dr </t>
  </si>
  <si>
    <t xml:space="preserve">348 NE 26th Ter </t>
  </si>
  <si>
    <t>Lilia</t>
  </si>
  <si>
    <t xml:space="preserve">17602 Silver Dollar Ct  Gaithersburg, MD 20877-4237 </t>
  </si>
  <si>
    <t xml:space="preserve">3400 Malaga Way </t>
  </si>
  <si>
    <t>34689-2015</t>
  </si>
  <si>
    <t>Belles Katherine A Tr</t>
  </si>
  <si>
    <t>33327-1118</t>
  </si>
  <si>
    <t>Peyton</t>
  </si>
  <si>
    <t xml:space="preserve">7410 Oak Brook Dr </t>
  </si>
  <si>
    <t>11550-5211</t>
  </si>
  <si>
    <t xml:space="preserve">1911 NE 27th Ter  Cape Coral, FL 33909 </t>
  </si>
  <si>
    <t>33909-6802</t>
  </si>
  <si>
    <t xml:space="preserve">1203 NE 2nd Pl </t>
  </si>
  <si>
    <t xml:space="preserve">9705 S Braden Ave  Tulsa, OK 74137-4938 </t>
  </si>
  <si>
    <t xml:space="preserve">1702 NE 40th Ln  Cape Coral, FL 33909 </t>
  </si>
  <si>
    <t>Fat Moo</t>
  </si>
  <si>
    <t>11-44-25-l1-12000.2990</t>
  </si>
  <si>
    <t xml:space="preserve">3762 NE 16th Pl </t>
  </si>
  <si>
    <t>07504-1102</t>
  </si>
  <si>
    <t xml:space="preserve">1630 S Gator Cir </t>
  </si>
  <si>
    <t xml:space="preserve">6 Barker St A </t>
  </si>
  <si>
    <t xml:space="preserve">2212 NE 5th Pl </t>
  </si>
  <si>
    <t>166th</t>
  </si>
  <si>
    <t xml:space="preserve">521 SE 30th Ter  Cape Coral, FL 33904 </t>
  </si>
  <si>
    <t>Mary &amp; Michael Massella</t>
  </si>
  <si>
    <t>21601-2901</t>
  </si>
  <si>
    <t>Lehigh Acres E 1/2 Unit 13 Blk 70 Pb 26 Pg 17 Lot 20</t>
  </si>
  <si>
    <t xml:space="preserve">3916 NE 16th Pl </t>
  </si>
  <si>
    <t>Picou</t>
  </si>
  <si>
    <t>River Edge</t>
  </si>
  <si>
    <t>25-43-23-c3-02314.0440</t>
  </si>
  <si>
    <t>Cape Coral Unit 7 Blk 372 Pb 12 Pg 115 Lot 75 + 76</t>
  </si>
  <si>
    <t xml:space="preserve">7021 Cottage Ave  North Bergen, NJ 07047-3820 </t>
  </si>
  <si>
    <t>Harrison City</t>
  </si>
  <si>
    <t xml:space="preserve">1925 NE 17th Ter  Cape Coral, FL 33909 </t>
  </si>
  <si>
    <t>06-44-24-c2-02082.0030</t>
  </si>
  <si>
    <t>Mcgregor Mobile Manor Pb 28 Pg 151 Lot 96</t>
  </si>
  <si>
    <t>Dieter</t>
  </si>
  <si>
    <t>V9L 6C3</t>
  </si>
  <si>
    <t>Ehemann Margaret M Tr</t>
  </si>
  <si>
    <t>For George V Gatto Trust</t>
  </si>
  <si>
    <t>Stiles</t>
  </si>
  <si>
    <t>Charlemagne</t>
  </si>
  <si>
    <t>33909-5486</t>
  </si>
  <si>
    <t xml:space="preserve">1290 Collier Cres </t>
  </si>
  <si>
    <t>36-44-23-c4-00864.0530</t>
  </si>
  <si>
    <t>Meade</t>
  </si>
  <si>
    <t>Robert &amp; Nancy Royster</t>
  </si>
  <si>
    <t>32-43-24-c3-02187.0310</t>
  </si>
  <si>
    <t xml:space="preserve">Po Box 690746 </t>
  </si>
  <si>
    <t xml:space="preserve">5428/5430 Third Ave </t>
  </si>
  <si>
    <t xml:space="preserve">6008 Tabor Ave </t>
  </si>
  <si>
    <t xml:space="preserve">Po Box Postal 241405 </t>
  </si>
  <si>
    <t xml:space="preserve">109 NE 8th Pl  Cape Coral, FL 33909 </t>
  </si>
  <si>
    <t>La Follette</t>
  </si>
  <si>
    <t>33904-4288</t>
  </si>
  <si>
    <t xml:space="preserve">303 Long St  Rock Hill, SC 29730-4128 </t>
  </si>
  <si>
    <t>Cape Coral Unit 33 Blk 2185 Pb 16 Pg 51 Lots 77 + 78</t>
  </si>
  <si>
    <t>Cape Coral Unit 33 Blk 2246 Pb 16 Pg 54 Lots 1 + 2</t>
  </si>
  <si>
    <t>Cape Coral Unit 36 Pt 1 Blk 2512 Pb 23 Pg 88 Lots 3 + 4</t>
  </si>
  <si>
    <t>Cape Coral Unit 88 Blk 5821 Pb 24 Pg 143 Lots 61 + 62</t>
  </si>
  <si>
    <t>Scott &amp; Deborah Garber</t>
  </si>
  <si>
    <t xml:space="preserve">5271 Cypress Trail Resort Cir  Fort Myers, FL 33905 </t>
  </si>
  <si>
    <t>Genaro &amp; Veronica Acurana</t>
  </si>
  <si>
    <t>03-44-26-10-00047.0010</t>
  </si>
  <si>
    <t>Diez</t>
  </si>
  <si>
    <t>07-45-24-c2-00336.0060</t>
  </si>
  <si>
    <t>Rudolph &amp; Dorothy Carlson</t>
  </si>
  <si>
    <t xml:space="preserve">2108 NE 24th Ter </t>
  </si>
  <si>
    <t>Route De Colombey</t>
  </si>
  <si>
    <t>Cypress Woods Rv Resort Unit 4 Pb 79 Pgs 68-71 Blk D Lot 112</t>
  </si>
  <si>
    <t>33909-9225</t>
  </si>
  <si>
    <t>33909-2813</t>
  </si>
  <si>
    <t xml:space="preserve">1819 NE 41st St  Cape Coral, FL 33909 </t>
  </si>
  <si>
    <t>Edward Valdes</t>
  </si>
  <si>
    <t xml:space="preserve">211 NE 15th Ter  Cape Coral, FL 33909 </t>
  </si>
  <si>
    <t>33909-3290</t>
  </si>
  <si>
    <t xml:space="preserve">15120 Montanez St </t>
  </si>
  <si>
    <t>Manzi &amp; Vioglio Liliana</t>
  </si>
  <si>
    <t xml:space="preserve">3411 Park Dr </t>
  </si>
  <si>
    <t xml:space="preserve">5-4-102 9 xiang hong qi lu  New York, NY 10008 </t>
  </si>
  <si>
    <t>Mazzacane</t>
  </si>
  <si>
    <t>Vanessa Mansur</t>
  </si>
  <si>
    <t xml:space="preserve">2314 NE 24th Ave  Cape Coral, FL 33909 </t>
  </si>
  <si>
    <t>89052-7084</t>
  </si>
  <si>
    <t xml:space="preserve">4152 NE 10th Ave  Cape Coral, FL 33909 </t>
  </si>
  <si>
    <t>Winter Haven</t>
  </si>
  <si>
    <t>Brandenburg Mary Warthen Tr</t>
  </si>
  <si>
    <t>11-44-25-09-00000.1630</t>
  </si>
  <si>
    <t>60106-1909</t>
  </si>
  <si>
    <t>Cape Coral Unit 88 Blk 5828 Pb 24 Pg 142 Lots 13 + 14</t>
  </si>
  <si>
    <t xml:space="preserve">900 NE 43rd Ter  Cape Coral, FL 33909 </t>
  </si>
  <si>
    <t xml:space="preserve">540 Lake Of Frst  Bonner Springs, KS 33909 </t>
  </si>
  <si>
    <t>11356-2106</t>
  </si>
  <si>
    <t>Rodolfo &amp; Carolina Gomez</t>
  </si>
  <si>
    <t xml:space="preserve">3733 Lily Haven Ave </t>
  </si>
  <si>
    <t>Powell</t>
  </si>
  <si>
    <t>34113-8770</t>
  </si>
  <si>
    <t xml:space="preserve">2118 NE 26th St </t>
  </si>
  <si>
    <t>Rolf</t>
  </si>
  <si>
    <t xml:space="preserve">561 Nuna Ave  Fort Myers, FL 33905 </t>
  </si>
  <si>
    <t>Knight</t>
  </si>
  <si>
    <t>16c</t>
  </si>
  <si>
    <t>Langenbach</t>
  </si>
  <si>
    <t xml:space="preserve">52964 Harmony Dr </t>
  </si>
  <si>
    <t>10512-4416</t>
  </si>
  <si>
    <t>91784-1306</t>
  </si>
  <si>
    <t>2350 east</t>
  </si>
  <si>
    <t xml:space="preserve">2533 NE 20th Pl </t>
  </si>
  <si>
    <t>20-43-24-c1-05655.0460</t>
  </si>
  <si>
    <t>Donald &amp; Veronica Pasko</t>
  </si>
  <si>
    <t>Cape Coral Unit 33 Blk 2233 Pb 16 Pg 53 Lots 19 + 20</t>
  </si>
  <si>
    <t xml:space="preserve">245 E Marshall St </t>
  </si>
  <si>
    <t xml:space="preserve">1224 NE 1st Pl  Cape Coral, FL 33909 </t>
  </si>
  <si>
    <t>Finkel</t>
  </si>
  <si>
    <t>Cape Coral Unit 87 Blk 5728 Pb 24 Pg 85 Lots 3 + 4</t>
  </si>
  <si>
    <t>Cape Coral Unit 88 Blk 5815 Pb 24 Pg 139 Lots 35 + 36</t>
  </si>
  <si>
    <t xml:space="preserve">356 Shear Hill Rd </t>
  </si>
  <si>
    <t xml:space="preserve">1924 NE 24th Ter  Cape Coral, FL 33909 </t>
  </si>
  <si>
    <t>Plant City</t>
  </si>
  <si>
    <t>Seward</t>
  </si>
  <si>
    <t>Vandalia</t>
  </si>
  <si>
    <t>21-43-26-05-00002.0000</t>
  </si>
  <si>
    <t xml:space="preserve">1121 2nd St A, Manhattan Beach, CA 90266-6862 </t>
  </si>
  <si>
    <t>Changhyeon</t>
  </si>
  <si>
    <t>Passkiewicz</t>
  </si>
  <si>
    <t>Gretchen</t>
  </si>
  <si>
    <t xml:space="preserve">3704 Kittyhawk Dr </t>
  </si>
  <si>
    <t xml:space="preserve">523 Richmond St #2 </t>
  </si>
  <si>
    <t xml:space="preserve">4311 Stoneleigh Ct </t>
  </si>
  <si>
    <t>Szeman</t>
  </si>
  <si>
    <t xml:space="preserve">1412 Trailridge Cir  Mount Juliet, TN 37122-4513 </t>
  </si>
  <si>
    <t xml:space="preserve">12669 Cold Springs Dr </t>
  </si>
  <si>
    <t>33909-3208</t>
  </si>
  <si>
    <t xml:space="preserve">5198 Cypress Trail Resort Cir  Fort Myers, FL 33905 </t>
  </si>
  <si>
    <t>PO Box 759</t>
  </si>
  <si>
    <t>33437-6321</t>
  </si>
  <si>
    <t>Hironaka</t>
  </si>
  <si>
    <t xml:space="preserve">906 NE Juanita Pl  Cape Coral, FL 33909 </t>
  </si>
  <si>
    <t xml:space="preserve">2710 NE 6th Pl </t>
  </si>
  <si>
    <t xml:space="preserve">602 NE 16th Ter </t>
  </si>
  <si>
    <t>Leonel Sanchez</t>
  </si>
  <si>
    <t>Cape Coral Unit 61 Blk 4327 Pb 21 Pg 19 Lots 23 + 24</t>
  </si>
  <si>
    <t>18-43-24-c1-05701.0590</t>
  </si>
  <si>
    <t xml:space="preserve">2700 W Glendale Ave  Visalia, CA 93291-8044 </t>
  </si>
  <si>
    <t xml:space="preserve">14081 Campus St </t>
  </si>
  <si>
    <t>33909-1301</t>
  </si>
  <si>
    <t>Mimose</t>
  </si>
  <si>
    <t>10-44-24-09-00011.0000</t>
  </si>
  <si>
    <t xml:space="preserve">2736 NE 5th Pl </t>
  </si>
  <si>
    <t>06-44-24-c1-02066.0230</t>
  </si>
  <si>
    <t>33-44-24-c2-01243.0590</t>
  </si>
  <si>
    <t>01-44-23-c1-02447.0640</t>
  </si>
  <si>
    <t>Cape Coral Unit 13 Blk 499 Pb 13 Pg 59 Lots 49 + 50</t>
  </si>
  <si>
    <t>10011-8682</t>
  </si>
  <si>
    <t>03-44-26-11-00055.0120</t>
  </si>
  <si>
    <t>85704-7338</t>
  </si>
  <si>
    <t>State Road 13</t>
  </si>
  <si>
    <t xml:space="preserve">769 Curran Rd  Shortsville, NY 14548-9348 </t>
  </si>
  <si>
    <t xml:space="preserve">1505 NE 11th Ter </t>
  </si>
  <si>
    <t xml:space="preserve">6202 Maplewood Rd  Mentor, OH 44060-2945 </t>
  </si>
  <si>
    <t>Forest Hill</t>
  </si>
  <si>
    <t>M2L 1Y9</t>
  </si>
  <si>
    <t>31-43-24-c4-02101.0260</t>
  </si>
  <si>
    <t xml:space="preserve">1608 NE 37th St  Cape Coral, FL 33909 </t>
  </si>
  <si>
    <t xml:space="preserve">6039 Lacota Ave </t>
  </si>
  <si>
    <t>Anderson &amp; Kris Anderson Family</t>
  </si>
  <si>
    <t xml:space="preserve">8695 SW 51st Pl #4, Cooper City, FL 33328-4310 </t>
  </si>
  <si>
    <t xml:space="preserve">10413 Nightwood Dr </t>
  </si>
  <si>
    <t>Cape Coral Unit 84 Blk 5560 Pb 24 Pg 32 Lots 31 + 32</t>
  </si>
  <si>
    <t>33909-7339</t>
  </si>
  <si>
    <t>Kokernak Frank T Tr</t>
  </si>
  <si>
    <t xml:space="preserve">126 NE 31st Ter </t>
  </si>
  <si>
    <t>18-43-24-c4-05685.0330</t>
  </si>
  <si>
    <t>91342-2666</t>
  </si>
  <si>
    <t>Justin Tatar</t>
  </si>
  <si>
    <t xml:space="preserve">1433 E Paradise Ln Az8502 </t>
  </si>
  <si>
    <t>Silverberg</t>
  </si>
  <si>
    <t>Les Valence</t>
  </si>
  <si>
    <t>31-43-24-c2-02134.0200</t>
  </si>
  <si>
    <t>Ooltewah</t>
  </si>
  <si>
    <t>11-44-25-09-00000.2510</t>
  </si>
  <si>
    <t>Cape Coral Unit 85 Blk 5670 Pb 24 Pg 52 Lots 53 + 54</t>
  </si>
  <si>
    <t>Moeller</t>
  </si>
  <si>
    <t xml:space="preserve">3520 NE 18th Ave </t>
  </si>
  <si>
    <t xml:space="preserve">Rua Do Padrao 219-4 Esq </t>
  </si>
  <si>
    <t>19355-8613</t>
  </si>
  <si>
    <t>Murillo</t>
  </si>
  <si>
    <t xml:space="preserve">20 Bradwahl Dr </t>
  </si>
  <si>
    <t>11550-6522</t>
  </si>
  <si>
    <t>Beavercreek</t>
  </si>
  <si>
    <t>20-43-24-c2-05663.0570</t>
  </si>
  <si>
    <t xml:space="preserve">13502 Island Rd  Fort Myers, FL 33905 </t>
  </si>
  <si>
    <t>11360-1167</t>
  </si>
  <si>
    <t xml:space="preserve">709 NE 5th Ave  Cape Coral, FL 33909 </t>
  </si>
  <si>
    <t>Pinson</t>
  </si>
  <si>
    <t>Academy</t>
  </si>
  <si>
    <t>33909-5143</t>
  </si>
  <si>
    <t>Cape Coral Unit 84 Blk.5570 Pb 24 Pg 45 Lots 37 + 38</t>
  </si>
  <si>
    <t>Pembroke Pines</t>
  </si>
  <si>
    <t>08-44-24-c1-01540.0670</t>
  </si>
  <si>
    <t>For Denissa F Grace Trust</t>
  </si>
  <si>
    <t>31-43-24-c1-02149.0320</t>
  </si>
  <si>
    <t>2021 antonio loffa trust</t>
  </si>
  <si>
    <t>Tuyet &amp; Kevin Pham</t>
  </si>
  <si>
    <t xml:space="preserve">100 W Rivercenter Blvd 3a </t>
  </si>
  <si>
    <t xml:space="preserve">5114 Cypress Trail Resort Cir </t>
  </si>
  <si>
    <t xml:space="preserve">10010 Willowood Dr  Fort Myers, FL 33905 </t>
  </si>
  <si>
    <t>Enel</t>
  </si>
  <si>
    <t>Octavio</t>
  </si>
  <si>
    <t xml:space="preserve">2529 NE 20th Pl  Cape Coral, FL 33909 </t>
  </si>
  <si>
    <t xml:space="preserve">33 50 58th St  Woodside, NY 11377 </t>
  </si>
  <si>
    <t xml:space="preserve">6308 W Homestead Ct </t>
  </si>
  <si>
    <t xml:space="preserve">4313 NE 9th Ct </t>
  </si>
  <si>
    <t>Cape Coral Unit 33 Blk.2258 Pb 16 Pg 56 Lots 45 + 46</t>
  </si>
  <si>
    <t>N0L 1M0</t>
  </si>
  <si>
    <t xml:space="preserve">6015 Laurelwood Dr  Fort Myers, FL 33905 </t>
  </si>
  <si>
    <t>33909-4769</t>
  </si>
  <si>
    <t xml:space="preserve">336 Claremont Ave </t>
  </si>
  <si>
    <t>Silhouette</t>
  </si>
  <si>
    <t>11-45-24-04-00021.0070</t>
  </si>
  <si>
    <t xml:space="preserve">1113 NE 15th Ter  Cape Coral, FL 33909 </t>
  </si>
  <si>
    <t xml:space="preserve">252 Oxford Rd </t>
  </si>
  <si>
    <t>Grossiord</t>
  </si>
  <si>
    <t>Arthur &amp; Nancy Nesmith</t>
  </si>
  <si>
    <t xml:space="preserve">2 Okala Rd </t>
  </si>
  <si>
    <t xml:space="preserve">71 Main St  Waterford, ON N0e 1Y0 </t>
  </si>
  <si>
    <t>Honcharenko</t>
  </si>
  <si>
    <t xml:space="preserve">5130 Cypress Trail Resort Cir </t>
  </si>
  <si>
    <t xml:space="preserve">421 Sacramento St </t>
  </si>
  <si>
    <t xml:space="preserve">7a Chemin Du Stade  North Egremont, MA 01252 </t>
  </si>
  <si>
    <t>Hum</t>
  </si>
  <si>
    <t>Ft.Myers Shores Unit 5 Blk.86 Pb 16 Pg 69 Lots 29 + N 1/2 Of Lt 30</t>
  </si>
  <si>
    <t xml:space="preserve">24-2-16 Kefergasse  Wien, AT 01140 </t>
  </si>
  <si>
    <t xml:space="preserve">1918 NE 15th St </t>
  </si>
  <si>
    <t xml:space="preserve">1400 NE 15th Ter  Cape Coral, FL 33909 </t>
  </si>
  <si>
    <t>17-43-24-c3-05786.0160</t>
  </si>
  <si>
    <t>17-43-24-c2-05799.0430</t>
  </si>
  <si>
    <t xml:space="preserve">1560 NW 117th Ave  Plantation, FL 33323-2220 </t>
  </si>
  <si>
    <t>Venada</t>
  </si>
  <si>
    <t xml:space="preserve">4121 NE 20th Ct </t>
  </si>
  <si>
    <t xml:space="preserve">2210 NE 2nd St </t>
  </si>
  <si>
    <t xml:space="preserve">3705 Dornoch Dr  Wooster, OH 44691-1292 </t>
  </si>
  <si>
    <t xml:space="preserve">816-07487 PO Box 816-07487  PA </t>
  </si>
  <si>
    <t>01-44-23-c4-02417.0290</t>
  </si>
  <si>
    <t>Cecilio Acuna</t>
  </si>
  <si>
    <t>Daniel &amp; E Johnston</t>
  </si>
  <si>
    <t xml:space="preserve">511 SW Squire Johns Ln  Palm City, FL 34990-7824 </t>
  </si>
  <si>
    <t>M Codner &amp; For Land</t>
  </si>
  <si>
    <t xml:space="preserve">514 Americas Way #8351 </t>
  </si>
  <si>
    <t>Delbert &amp; For Hooper</t>
  </si>
  <si>
    <t>Market</t>
  </si>
  <si>
    <t xml:space="preserve">4319 NE 13th Pl </t>
  </si>
  <si>
    <t xml:space="preserve">42 Mill Rd W  Brucefield, ON N0m 1J0 </t>
  </si>
  <si>
    <t>19-43-24-c3-05610.0470</t>
  </si>
  <si>
    <t>11766-3010</t>
  </si>
  <si>
    <t>17-43-24-c4-05741.0170</t>
  </si>
  <si>
    <t xml:space="preserve">19501 N Water Tower Rd </t>
  </si>
  <si>
    <t>Prevessin Moens</t>
  </si>
  <si>
    <t>Stacy &amp; Kelly Gunlikson</t>
  </si>
  <si>
    <t xml:space="preserve">5226 Cypress Trail Resort Cir  Fort Myers, FL 33905 </t>
  </si>
  <si>
    <t>Stinson Max L Tr</t>
  </si>
  <si>
    <t>17-43-24-c3-05785.0110</t>
  </si>
  <si>
    <t xml:space="preserve">217 SE 28th Ter  Cape Coral, FL 33904 </t>
  </si>
  <si>
    <t>Hoffman &amp; Henry Hoffman</t>
  </si>
  <si>
    <t>Briella</t>
  </si>
  <si>
    <t>Cynthia</t>
  </si>
  <si>
    <t>53558-9644</t>
  </si>
  <si>
    <t>Cape Coral Unit 34 Blk 2465 Pb 16 Pg 80 Lots 87 + 88</t>
  </si>
  <si>
    <t xml:space="preserve">213 Parkhaven Dr  Mckinney, TX 75071-5055 </t>
  </si>
  <si>
    <t xml:space="preserve">1224 NE 19th Pl </t>
  </si>
  <si>
    <t>Caleb Chandler</t>
  </si>
  <si>
    <t>Cape Coral Unit 84 Blk 5559 Pb 24 Pg 32 Lots 42 + 43</t>
  </si>
  <si>
    <t>Lehigh Acres Unit 4 Blk 18 Pb 0026 Pg 0006 Lot 16</t>
  </si>
  <si>
    <t xml:space="preserve">5771 Cypress Woods Resort Dr </t>
  </si>
  <si>
    <t>Morstein-Marx Virginia Tr</t>
  </si>
  <si>
    <t>Idaho Falls</t>
  </si>
  <si>
    <t>Cape Coral Unit 33 Blk.2287 Pb 16 Pg 57 Lots 17 + 18</t>
  </si>
  <si>
    <t xml:space="preserve">5590 W 8th Ave </t>
  </si>
  <si>
    <t xml:space="preserve">12410 W Galena Rd </t>
  </si>
  <si>
    <t>17-43-24-c2-05802.0300</t>
  </si>
  <si>
    <t>Golden Shores</t>
  </si>
  <si>
    <t xml:space="preserve">716 Tower Dr </t>
  </si>
  <si>
    <t xml:space="preserve">68 Towers St  Jersey City, NJ 07305-1005 </t>
  </si>
  <si>
    <t xml:space="preserve">916 NE 34th Ln </t>
  </si>
  <si>
    <t>03-44-26-10-00052.0040</t>
  </si>
  <si>
    <t>34104-6228</t>
  </si>
  <si>
    <t xml:space="preserve">186 Holmes St  Belleville, NJ 07109-2514 </t>
  </si>
  <si>
    <t xml:space="preserve">8409 Aachen Pl </t>
  </si>
  <si>
    <t xml:space="preserve">46 Brosnan Pl </t>
  </si>
  <si>
    <t>Kishore</t>
  </si>
  <si>
    <t>Lehigh Acres E 1/2 Ut 13 Blk 70 Pb 26 Pg 17 Lot 2</t>
  </si>
  <si>
    <t>Keysville</t>
  </si>
  <si>
    <t>Lehigh Acres Unit 4 Blk 16 Pb 26 Pg 6 Lot 2</t>
  </si>
  <si>
    <t xml:space="preserve">2326 NE 35th St </t>
  </si>
  <si>
    <t>Jenelle</t>
  </si>
  <si>
    <t xml:space="preserve">41430 Mission Ln </t>
  </si>
  <si>
    <t>33909-4519</t>
  </si>
  <si>
    <t>17-43-24-c2-05780.0430</t>
  </si>
  <si>
    <t>Coyles Subd. Pb 10 Pg 53 Lot 11</t>
  </si>
  <si>
    <t>Blanche</t>
  </si>
  <si>
    <t xml:space="preserve">10010 Parkwood Dr </t>
  </si>
  <si>
    <t>Glenarm</t>
  </si>
  <si>
    <t xml:space="preserve">85 Robeson St  New Bedford, MA 02740-5502 </t>
  </si>
  <si>
    <t>Cape Coral Unit 34 Blk 2431 Pb 16 Pg 85 Lots 42 + 43</t>
  </si>
  <si>
    <t>Psge</t>
  </si>
  <si>
    <t xml:space="preserve">4 Brantley Way </t>
  </si>
  <si>
    <t>29-43-26-06-00090.0240</t>
  </si>
  <si>
    <t xml:space="preserve">5800 Pathwood Ct  Fort Myers, FL 33905 </t>
  </si>
  <si>
    <t>30005-4368</t>
  </si>
  <si>
    <t>Chapin Lake</t>
  </si>
  <si>
    <t xml:space="preserve">16992 Cass Brook Ln </t>
  </si>
  <si>
    <t xml:space="preserve">325 Calusa St #95 </t>
  </si>
  <si>
    <t>Kiem Tran</t>
  </si>
  <si>
    <t xml:space="preserve">24 A  Redding, CA 96049 </t>
  </si>
  <si>
    <t>33905-8650</t>
  </si>
  <si>
    <t>Quakertown</t>
  </si>
  <si>
    <t xml:space="preserve">5126 Cypress Trail Resort Cir </t>
  </si>
  <si>
    <t>33909-2612</t>
  </si>
  <si>
    <t>Jaraba</t>
  </si>
  <si>
    <t>Cape Coral Unit 84 Blk 5548 Pb 24 Pg 46 Lots 11 + 12</t>
  </si>
  <si>
    <t>La Prairie</t>
  </si>
  <si>
    <t>Brandon Johnson</t>
  </si>
  <si>
    <t>Cape Coral Unit 88 Blk 5786 Pb 24 Pg 131 Lots 16 + 17</t>
  </si>
  <si>
    <t>John Posima</t>
  </si>
  <si>
    <t>92653-6335</t>
  </si>
  <si>
    <t xml:space="preserve">1826 NE 22nd Ter </t>
  </si>
  <si>
    <t xml:space="preserve"> Curitiba Pr 81830 285, BR </t>
  </si>
  <si>
    <t>08234-5157</t>
  </si>
  <si>
    <t xml:space="preserve">2308 NE 23rd Pl </t>
  </si>
  <si>
    <t>46th</t>
  </si>
  <si>
    <t xml:space="preserve">3509 NE 21st Ave  Cape Coral, FL 33909 </t>
  </si>
  <si>
    <t>Januz</t>
  </si>
  <si>
    <t>Laval</t>
  </si>
  <si>
    <t>Parl In N 1/2 Of Se 1/4 Of Sec 25 Desc Or 1968/3409 + Or 1968 Pg 3407</t>
  </si>
  <si>
    <t>Cape Coral Unit 31 Blk 2041 Pb 14 Pg 158 Lots 7 + 8</t>
  </si>
  <si>
    <t xml:space="preserve">3532 NE 17th Pl </t>
  </si>
  <si>
    <t>33909-5481</t>
  </si>
  <si>
    <t>36-43-23-c4-02495.0230</t>
  </si>
  <si>
    <t>Medellin Antioqiua</t>
  </si>
  <si>
    <t>19-43-24-c4-05552.0350</t>
  </si>
  <si>
    <t xml:space="preserve">813 NE 11th Ter </t>
  </si>
  <si>
    <t>Hung</t>
  </si>
  <si>
    <t>Zayas-Alvarez</t>
  </si>
  <si>
    <t>Jaegerstr</t>
  </si>
  <si>
    <t>31-43-24-c1-02147.0230</t>
  </si>
  <si>
    <t xml:space="preserve">2425 Kentucky Rd  Quincy, IL 62301-4436 </t>
  </si>
  <si>
    <t xml:space="preserve">925 NE 32nd St  Cape Coral, FL 33909 </t>
  </si>
  <si>
    <t xml:space="preserve">3610 NE 21st Pl </t>
  </si>
  <si>
    <t>Diponti</t>
  </si>
  <si>
    <t>01-44-23-c1-02446.0350</t>
  </si>
  <si>
    <t>19-43-24-c4-05566.0610</t>
  </si>
  <si>
    <t xml:space="preserve">1525 NE 13th Ave  Cape Coral, FL 33909 </t>
  </si>
  <si>
    <t>01-45-23-c2-00432.0280</t>
  </si>
  <si>
    <t>33909-1949</t>
  </si>
  <si>
    <t xml:space="preserve">5926 Burrwood Ct  Fort Myers, FL 33905 </t>
  </si>
  <si>
    <t xml:space="preserve">1214 Big Sky Dr  Wesley Chapel, FL 33543-6403 </t>
  </si>
  <si>
    <t>Malhi</t>
  </si>
  <si>
    <t>NJ</t>
  </si>
  <si>
    <t>Cape Coral Unit 36 Pt.1 Blk.2545 Pb 23 Pg 94 Lots 3 + 4</t>
  </si>
  <si>
    <t>Christensen</t>
  </si>
  <si>
    <t>33909-9220</t>
  </si>
  <si>
    <t>For Raymond E &amp; Judith W Chapman Trust</t>
  </si>
  <si>
    <t>Cape Coral Unit 33 Blk.2219 Pb 16 Pg 44 Lots 21 + 22</t>
  </si>
  <si>
    <t>Shawn &amp; Barbara Glosson</t>
  </si>
  <si>
    <t>Elizabeth</t>
  </si>
  <si>
    <t xml:space="preserve">5024 S Bur Oak Pl #200, Sioux Falls, SD 57108-2238 </t>
  </si>
  <si>
    <t xml:space="preserve">790 Montgomery Hwy #102, Vestavia Hills, AL 35216-1873 </t>
  </si>
  <si>
    <t>Apardado</t>
  </si>
  <si>
    <t>36-44-23-c4-00879.0100</t>
  </si>
  <si>
    <t>Racey</t>
  </si>
  <si>
    <t>19-43-24-c1-05548.0110</t>
  </si>
  <si>
    <t>Delicia &amp; Obdulia Chirinos</t>
  </si>
  <si>
    <t xml:space="preserve">2131 Simison Rd </t>
  </si>
  <si>
    <t>Rees</t>
  </si>
  <si>
    <t xml:space="preserve">436 Ocean Ave  East Rockaway, NY 11518-1207 </t>
  </si>
  <si>
    <t>Cape Coral Unit 85 Blk 5644 Pb 24 Pg 55 Lots 31 + 32</t>
  </si>
  <si>
    <t>01-44-23-c4-02413.0350</t>
  </si>
  <si>
    <t>03-44-26-01-00001.0090</t>
  </si>
  <si>
    <t>03-44-26-03-00013.0080</t>
  </si>
  <si>
    <t>12-44-23-c1-02415.0130</t>
  </si>
  <si>
    <t>Jean Desforges</t>
  </si>
  <si>
    <t xml:space="preserve">27 Centerville Rd </t>
  </si>
  <si>
    <t xml:space="preserve">67 Grieco Dr </t>
  </si>
  <si>
    <t xml:space="preserve">3735 Trent St </t>
  </si>
  <si>
    <t>Thiruloga</t>
  </si>
  <si>
    <t xml:space="preserve">5252 Cypress Trail Resort Cir </t>
  </si>
  <si>
    <t>Virginia Beach</t>
  </si>
  <si>
    <t>Igor</t>
  </si>
  <si>
    <t xml:space="preserve">5102 Cypress Trail Resort Cir  Fort Myers, FL 33905 </t>
  </si>
  <si>
    <t xml:space="preserve">5833 Brightwood Dr </t>
  </si>
  <si>
    <t xml:space="preserve">1733 NE 21st St </t>
  </si>
  <si>
    <t>33166-7772</t>
  </si>
  <si>
    <t>33909-1100</t>
  </si>
  <si>
    <t>33909-3399</t>
  </si>
  <si>
    <t xml:space="preserve">405 N Swift St  Winnebago, IL 61088-8561 </t>
  </si>
  <si>
    <t xml:space="preserve">1633 SE 47th Ter  Cape Coral, FL 33904-8731 </t>
  </si>
  <si>
    <t>33909-8846</t>
  </si>
  <si>
    <t xml:space="preserve">4423 NE 10th Ct  Cape Coral, FL 33909 </t>
  </si>
  <si>
    <t>95134-1656</t>
  </si>
  <si>
    <t>8f</t>
  </si>
  <si>
    <t>Renee</t>
  </si>
  <si>
    <t xml:space="preserve">1261 Everglades Blvd S </t>
  </si>
  <si>
    <t>33029-2731</t>
  </si>
  <si>
    <t>Wendy Ruiz</t>
  </si>
  <si>
    <t xml:space="preserve">18516 E 800th Rd  Paris, IL 61944-6459 </t>
  </si>
  <si>
    <t>18-43-24-c3-05713.0090</t>
  </si>
  <si>
    <t xml:space="preserve">1826 NE 11th Ln </t>
  </si>
  <si>
    <t>Martha Niemes &amp; Vicente Castaneda</t>
  </si>
  <si>
    <t>12-44-23-c2-02394.0250</t>
  </si>
  <si>
    <t>Julanne Sapronetti</t>
  </si>
  <si>
    <t>Kathryn</t>
  </si>
  <si>
    <t>Lehigh Acres Unit 4 Blk 24 Pb 26 Pg 31 Lot 8</t>
  </si>
  <si>
    <t xml:space="preserve">855 Favony Ave  Holland, OH 43528-9640 </t>
  </si>
  <si>
    <t>33903-3859</t>
  </si>
  <si>
    <t>Larry Cox</t>
  </si>
  <si>
    <t>Grieger</t>
  </si>
  <si>
    <t>33903-5206</t>
  </si>
  <si>
    <t>03-44-26-03-00012.0030</t>
  </si>
  <si>
    <t>Fountain View Rv Resort Or 1627 Pg 0179 Lot 40</t>
  </si>
  <si>
    <t>Bound Brook</t>
  </si>
  <si>
    <t>Ramon Garcia</t>
  </si>
  <si>
    <t xml:space="preserve">1120 NE 34th St </t>
  </si>
  <si>
    <t>Lashkari</t>
  </si>
  <si>
    <t>05-44-24-c2-2211a.0100</t>
  </si>
  <si>
    <t>Stephen &amp; Barbara Brevett</t>
  </si>
  <si>
    <t>Dezarate</t>
  </si>
  <si>
    <t xml:space="preserve">1026 Vogiantzis Pkwy </t>
  </si>
  <si>
    <t>11-44-25-11-00000.2250</t>
  </si>
  <si>
    <t>Rue Gutenberg</t>
  </si>
  <si>
    <t xml:space="preserve">9616 Percussion Way  Vienna, VA 22182-3334 </t>
  </si>
  <si>
    <t>For Phillip R Thomas Trust</t>
  </si>
  <si>
    <t>Richard &amp; Susan Buschling</t>
  </si>
  <si>
    <t xml:space="preserve">6041 Laurelwood Dr </t>
  </si>
  <si>
    <t>Raeanna</t>
  </si>
  <si>
    <t>Cape Coral Unit 88 Blk 5823 Pb 24 Pg 141 Lots 34 + 35</t>
  </si>
  <si>
    <t>Wuppertal 1</t>
  </si>
  <si>
    <t>33909-5231</t>
  </si>
  <si>
    <t xml:space="preserve">10241 Nightwood Dr </t>
  </si>
  <si>
    <t>Fazia</t>
  </si>
  <si>
    <t>20721-3094</t>
  </si>
  <si>
    <t>20-43-24-c1-05650.0230</t>
  </si>
  <si>
    <t xml:space="preserve">175 Leham St </t>
  </si>
  <si>
    <t>Windell &amp; Rosemary Kilmer</t>
  </si>
  <si>
    <t>Ne &amp; Scott Smith</t>
  </si>
  <si>
    <t xml:space="preserve">572 Daffodil Dr </t>
  </si>
  <si>
    <t>Pemberton Browns Mills</t>
  </si>
  <si>
    <t>11-44-25-l1-1400b.4620</t>
  </si>
  <si>
    <t>33905-7737</t>
  </si>
  <si>
    <t xml:space="preserve">388 Fox Ave  Yonkers, NY 10704-1406 </t>
  </si>
  <si>
    <t>33186-4616</t>
  </si>
  <si>
    <t>Mohammad &amp; Vivian Almasi</t>
  </si>
  <si>
    <t xml:space="preserve">3627 NE 12th Ct </t>
  </si>
  <si>
    <t xml:space="preserve">616 Clifford Dr  Minooka, IL 60447-4539 </t>
  </si>
  <si>
    <t>99th</t>
  </si>
  <si>
    <t>33904-3948</t>
  </si>
  <si>
    <t>Mesias</t>
  </si>
  <si>
    <t>10710-3723</t>
  </si>
  <si>
    <t>Claudia Murillo</t>
  </si>
  <si>
    <t xml:space="preserve">6 Odenwaldstrasse  Mettmann, DE 40822 </t>
  </si>
  <si>
    <t>Cape Coral Unit 33 Blk 2235 Pb 16 Pg 55 Lots 2 + 3</t>
  </si>
  <si>
    <t>Cypress Woods Rv Resort Un 3 Desc In Pb 72 Pgs 92-95 Blk C Lot 101</t>
  </si>
  <si>
    <t>Goblet Cove</t>
  </si>
  <si>
    <t>Attanasi</t>
  </si>
  <si>
    <t>34761-4413</t>
  </si>
  <si>
    <t xml:space="preserve">2809 NE 4th Pl  Cape Coral, FL 33909 </t>
  </si>
  <si>
    <t>Godoy</t>
  </si>
  <si>
    <t>Path</t>
  </si>
  <si>
    <t>Delynn</t>
  </si>
  <si>
    <t xml:space="preserve">627 NE 31st Ter </t>
  </si>
  <si>
    <t>John Witkowski</t>
  </si>
  <si>
    <t>Jean &amp; Miguel Guignabodet</t>
  </si>
  <si>
    <t xml:space="preserve">111 John St #800, New York, NY 10038-3180 </t>
  </si>
  <si>
    <t>33909-4568</t>
  </si>
  <si>
    <t>Gregory &amp; Melanie Novarro</t>
  </si>
  <si>
    <t xml:space="preserve">5248 Cypress Trail Resort Cir </t>
  </si>
  <si>
    <t>Cape Coral Unit 26 Blk 852 Pb 14 Pg 121 Lots 31 + 32</t>
  </si>
  <si>
    <t>Burgermeister</t>
  </si>
  <si>
    <t xml:space="preserve">1530 Alpine Dr </t>
  </si>
  <si>
    <t>19-43-24-c1-05545.0220</t>
  </si>
  <si>
    <t xml:space="preserve">1000 NE 37th Ter  Cape Coral, FL 33909 </t>
  </si>
  <si>
    <t xml:space="preserve">5 Mayfair Ln </t>
  </si>
  <si>
    <t>Marianna</t>
  </si>
  <si>
    <t>Dameshia</t>
  </si>
  <si>
    <t>32086-1826</t>
  </si>
  <si>
    <t>R073</t>
  </si>
  <si>
    <t xml:space="preserve">1103 Jacaranda Pkwy E </t>
  </si>
  <si>
    <t>Xelo</t>
  </si>
  <si>
    <t>Ledgeways</t>
  </si>
  <si>
    <t>Ribera-Perez</t>
  </si>
  <si>
    <t xml:space="preserve">Rte Des Monts-Delavaux 70 </t>
  </si>
  <si>
    <t xml:space="preserve">1002 Kismet Pkwy E  Cape Coral, FL 33909 </t>
  </si>
  <si>
    <t>33909-8307</t>
  </si>
  <si>
    <t>11234-2312</t>
  </si>
  <si>
    <t xml:space="preserve">1845 NE 22nd St  Cape Coral, FL 33909 </t>
  </si>
  <si>
    <t>Old Colony</t>
  </si>
  <si>
    <t>48169-9077</t>
  </si>
  <si>
    <t xml:space="preserve">359 Neptune Ave A, Encinitas, CA 92024-2522 </t>
  </si>
  <si>
    <t xml:space="preserve">1205 NE 15th Ter </t>
  </si>
  <si>
    <t xml:space="preserve">1125 NE 125th St #101 </t>
  </si>
  <si>
    <t>Leonard &amp; Timothy Wranosky</t>
  </si>
  <si>
    <t>08724-1001</t>
  </si>
  <si>
    <t>01-44-23-c4-02467.0250</t>
  </si>
  <si>
    <t xml:space="preserve">1546 Kemman Ave  La Grange Park, IL 60526-1215 </t>
  </si>
  <si>
    <t xml:space="preserve">17 Rue Des Fleurines </t>
  </si>
  <si>
    <t>Amy</t>
  </si>
  <si>
    <t>31-45-24-00-00001.0010</t>
  </si>
  <si>
    <t xml:space="preserve">1625 NE 33rd Ln  Cape Coral, FL 33909 </t>
  </si>
  <si>
    <t>Natasha Lee</t>
  </si>
  <si>
    <t xml:space="preserve">10624 W 35th Ln  Hialeah, FL 33018-2124 </t>
  </si>
  <si>
    <t>For Mary Jo Taschler Trust</t>
  </si>
  <si>
    <t xml:space="preserve">525 NE 31st Ter  Cape Coral, FL 33909 </t>
  </si>
  <si>
    <t xml:space="preserve">3853 Insdale St </t>
  </si>
  <si>
    <t xml:space="preserve">506 New St  Fairport Harbor, OH 44077-5533 </t>
  </si>
  <si>
    <t>John Newkirk &amp; Amy Kirk</t>
  </si>
  <si>
    <t xml:space="preserve">3161 SW 17th St  Fort Lauderdale, FL 33312-3716 </t>
  </si>
  <si>
    <t>33909-6111</t>
  </si>
  <si>
    <t>Beauregard</t>
  </si>
  <si>
    <t xml:space="preserve">2129 NE 1st Pl </t>
  </si>
  <si>
    <t>Jose Roberto Budejen Trust</t>
  </si>
  <si>
    <t>Kornak</t>
  </si>
  <si>
    <t>12-44-23-c2-02379.0440</t>
  </si>
  <si>
    <t>33018-2039</t>
  </si>
  <si>
    <t>33909-3345</t>
  </si>
  <si>
    <t xml:space="preserve">2626 NE 20th Ave </t>
  </si>
  <si>
    <t xml:space="preserve">2501 NE 18th Ave  Wilton Manors, FL 33305-1423 </t>
  </si>
  <si>
    <t xml:space="preserve">17930 SW 176th St </t>
  </si>
  <si>
    <t>21048-1805</t>
  </si>
  <si>
    <t xml:space="preserve">618 SE 33rd Ter </t>
  </si>
  <si>
    <t>03-44-26-14-00081.0050</t>
  </si>
  <si>
    <t xml:space="preserve">3833/3835 Hollycrest St </t>
  </si>
  <si>
    <t>Cypress Trail Rv Resort Phase 4-A As Desc In Inst# 20160000135610 Lot 381</t>
  </si>
  <si>
    <t xml:space="preserve">12595 Water Ln  Fort Myers, FL 33908 </t>
  </si>
  <si>
    <t xml:space="preserve">4001 SW 28th St </t>
  </si>
  <si>
    <t xml:space="preserve">41 La Fonda Ln  North Fort Myers, FL 33903 </t>
  </si>
  <si>
    <t>Cape Coral Unit 85 Blk 5663 Pb 24 Pg 58 Lots 51 + 52</t>
  </si>
  <si>
    <t xml:space="preserve">PO Box 530  Stony Brook, NY 11790 </t>
  </si>
  <si>
    <t>Paul Gonzalez</t>
  </si>
  <si>
    <t>Johnson &amp; Charles Alexander</t>
  </si>
  <si>
    <t xml:space="preserve">2020 NE 16th Pl </t>
  </si>
  <si>
    <t xml:space="preserve">4033 Andalusia Blvd  Cape Coral, FL 33909 </t>
  </si>
  <si>
    <t>Cape Coral Unit 35 Blk 2400 Pb 16 Pg 104 Lots 82 + 83</t>
  </si>
  <si>
    <t>Travis</t>
  </si>
  <si>
    <t xml:space="preserve">21 NE 7th Ter  Cape Coral, FL 33909 </t>
  </si>
  <si>
    <t>Bonora</t>
  </si>
  <si>
    <t>25309-8515</t>
  </si>
  <si>
    <t xml:space="preserve">322 NE 20th St  Cape Coral, FL 33909 </t>
  </si>
  <si>
    <t>Clearwater Beach</t>
  </si>
  <si>
    <t>Cape Coral Unit 87 Blk 5679 Pb 24 Pg 73 Lot 6</t>
  </si>
  <si>
    <t>Martin Gonzalez</t>
  </si>
  <si>
    <t xml:space="preserve">10170 Shadowood Ct  Fort Myers, FL 33905 </t>
  </si>
  <si>
    <t>32-43-26-16-0000c.0270</t>
  </si>
  <si>
    <t xml:space="preserve">2 Rue Les Chenevieres  Montlebon, FR </t>
  </si>
  <si>
    <t>12-44-23-c2-02413.0950</t>
  </si>
  <si>
    <t>36-43-23-c1-02523.0410</t>
  </si>
  <si>
    <t>Cape Coral Unit 85 Blk 5670 Pb 24 Pg 52 Lots 51 + 52</t>
  </si>
  <si>
    <t>36-43-23-c4-02489.0390</t>
  </si>
  <si>
    <t>33311-7614</t>
  </si>
  <si>
    <t>Maria Alonso &amp; Irfan Zinna</t>
  </si>
  <si>
    <t xml:space="preserve">2816 Waldens Pond Cv  Longwood, FL 32779-7037 </t>
  </si>
  <si>
    <t>Cape Coral Unit 85 Blk 5645 Pb 24 Pg 56 Lot 29</t>
  </si>
  <si>
    <t>Caep Coral Unit 84 Blk 5592 Pb 24 Pg 44 Lots 45 + 46</t>
  </si>
  <si>
    <t>36-44-23-c3-00884.0190</t>
  </si>
  <si>
    <t>Anthony Krug</t>
  </si>
  <si>
    <t>Clover Gardens</t>
  </si>
  <si>
    <t xml:space="preserve">11342 Roundelay Rd  Hollywood, FL 33026-1352 </t>
  </si>
  <si>
    <t xml:space="preserve">2816 State Road 13 </t>
  </si>
  <si>
    <t>Fall River</t>
  </si>
  <si>
    <t xml:space="preserve">1321 NE Juanita Pl  Cape Coral, FL 33909 </t>
  </si>
  <si>
    <t>Cape Coral Unit 17 Blk 1532 Pb 14 Pg 36 Lots 67 + 68</t>
  </si>
  <si>
    <t>Viktoriastrasse</t>
  </si>
  <si>
    <t xml:space="preserve">3719 NE 12th Ave  Cape Coral, FL 33909 </t>
  </si>
  <si>
    <t>33909-4803</t>
  </si>
  <si>
    <t xml:space="preserve">95-245 Wailawa St </t>
  </si>
  <si>
    <t>Cape Coral Unit 84 Blk 5562 Pb 24 Pg 36 Lots 41 + 42</t>
  </si>
  <si>
    <t>Cape Coral Unit 87 Blk 5714 Pg 24 Pg 76 Lots 9 + 10</t>
  </si>
  <si>
    <t>29-43-24-c3-02266.0370</t>
  </si>
  <si>
    <t>11432-2308</t>
  </si>
  <si>
    <t>22150-3228</t>
  </si>
  <si>
    <t xml:space="preserve">4800 E 8th Ln </t>
  </si>
  <si>
    <t>Cape Coral Unit 36 Blk 2304 Pb 16 Pg 119 Lots 39 + 40</t>
  </si>
  <si>
    <t>04-44-25-08-00000.0100</t>
  </si>
  <si>
    <t>Rackmill</t>
  </si>
  <si>
    <t>Fernando &amp; Solemne Ferreras</t>
  </si>
  <si>
    <t>C002</t>
  </si>
  <si>
    <t xml:space="preserve">1426 NE 2nd Ter </t>
  </si>
  <si>
    <t>05-44-24-c1-03529.0100</t>
  </si>
  <si>
    <t>Suson Oaks</t>
  </si>
  <si>
    <t xml:space="preserve">825 NE 9th Ter </t>
  </si>
  <si>
    <t xml:space="preserve">5149 Water Lilly Way </t>
  </si>
  <si>
    <t xml:space="preserve">4 Rice St </t>
  </si>
  <si>
    <t xml:space="preserve">S85w32595 Joshua Dr  Mukwonago, WI 53149-8768 </t>
  </si>
  <si>
    <t xml:space="preserve">3445 Andalusia Blvd  Cape Coral, FL 33909 </t>
  </si>
  <si>
    <t xml:space="preserve">16701 Amber Lk  Weston, FL 33331-3165 </t>
  </si>
  <si>
    <t xml:space="preserve">3010 Wycliff Dr SE </t>
  </si>
  <si>
    <t xml:space="preserve">53 Prospect St #610, Stamford, CT 06901-1713 </t>
  </si>
  <si>
    <t>Beresford Carol J Tr For William R &amp; Carol J Beresford Tru</t>
  </si>
  <si>
    <t xml:space="preserve">22 E Rue Du Docteur  Mouras Besanoon, FR </t>
  </si>
  <si>
    <t xml:space="preserve">4507 Cycad Ln </t>
  </si>
  <si>
    <t>19-43-24-c2-05592.0170</t>
  </si>
  <si>
    <t xml:space="preserve">3727 Tallman St </t>
  </si>
  <si>
    <t xml:space="preserve">1421 NE 6th Pl  Cape Coral, FL 33909 </t>
  </si>
  <si>
    <t xml:space="preserve">2571 W 17th St </t>
  </si>
  <si>
    <t>33909-6253</t>
  </si>
  <si>
    <t xml:space="preserve">71433 Baldwin Prairie Rd </t>
  </si>
  <si>
    <t>08081-1103</t>
  </si>
  <si>
    <t>33909-1459</t>
  </si>
  <si>
    <t xml:space="preserve">7946 Brooke Vista Ln  San Diego, CA 92129-5713 </t>
  </si>
  <si>
    <t>36-43-23-c3-02479.0190</t>
  </si>
  <si>
    <t>32-45-24-00-00010.0110</t>
  </si>
  <si>
    <t>01040-9668</t>
  </si>
  <si>
    <t>Morrow</t>
  </si>
  <si>
    <t>Jadoonauth</t>
  </si>
  <si>
    <t>Oakland Forest</t>
  </si>
  <si>
    <t>33904-5055</t>
  </si>
  <si>
    <t>Cape Coral Unit 88 Blk 5787 Pb 24 Pg 132 Lot 44</t>
  </si>
  <si>
    <t xml:space="preserve">4168 NE 9th Pl  Cape Coral, FL 33909 </t>
  </si>
  <si>
    <t xml:space="preserve">1907 NE 20th Ave </t>
  </si>
  <si>
    <t>Franklin Square</t>
  </si>
  <si>
    <t>Marcy</t>
  </si>
  <si>
    <t xml:space="preserve">3738 Kemper St  Fort Myers, FL 33905 </t>
  </si>
  <si>
    <t xml:space="preserve">2050 Jamieson Ave #1210, Alexandria, VA 22314-6827 </t>
  </si>
  <si>
    <t xml:space="preserve">3277 Fox Chase Cir N #110 </t>
  </si>
  <si>
    <t xml:space="preserve">2097 Overbrook Dr  Wall Township, NJ 07719-9687 </t>
  </si>
  <si>
    <t xml:space="preserve">9180 Galleria Ct #400 </t>
  </si>
  <si>
    <t>11-44-25-10-00000.4790</t>
  </si>
  <si>
    <t xml:space="preserve">4431 NE Connection Ave  Cape Coral, FL 33909 </t>
  </si>
  <si>
    <t>Inthoulay</t>
  </si>
  <si>
    <t>10-44-24-06-00000.0410</t>
  </si>
  <si>
    <t>Inosanto</t>
  </si>
  <si>
    <t>Country View</t>
  </si>
  <si>
    <t>33905-6852</t>
  </si>
  <si>
    <t xml:space="preserve">2214 NE 13th Ave </t>
  </si>
  <si>
    <t xml:space="preserve">5810 Pathwood Ct </t>
  </si>
  <si>
    <t>Cape Coral Unit 84 Blk 5584 Pb 24 Pg 48 Lots 5 + 6</t>
  </si>
  <si>
    <t xml:space="preserve">Burgermeister #10 </t>
  </si>
  <si>
    <t>Wilmar</t>
  </si>
  <si>
    <t xml:space="preserve">1519 NE 40th St </t>
  </si>
  <si>
    <t>Cypress Woods Rv Resort Un 3 Desc In Pb 72 Pgs 92-95 Blk C Lot 27</t>
  </si>
  <si>
    <t>20-43-24-c1-05644.0390</t>
  </si>
  <si>
    <t xml:space="preserve">1141 NE 37th Ter </t>
  </si>
  <si>
    <t xml:space="preserve">2010 NE 34th Ter </t>
  </si>
  <si>
    <t>03-44-26-06-00030.0040</t>
  </si>
  <si>
    <t>Skaarup Allen Frederick Tr</t>
  </si>
  <si>
    <t xml:space="preserve">18220 Chipstead Dr  South Bend, IN 46637-4425 </t>
  </si>
  <si>
    <t>Fontana</t>
  </si>
  <si>
    <t>NE</t>
  </si>
  <si>
    <t>El Dorado Hills</t>
  </si>
  <si>
    <t xml:space="preserve">1412 NE 2nd Ave </t>
  </si>
  <si>
    <t>Waunakee</t>
  </si>
  <si>
    <t xml:space="preserve">4534 SE 6th Ct  Cape Coral, FL 33904 </t>
  </si>
  <si>
    <t>91773-3917</t>
  </si>
  <si>
    <t xml:space="preserve">137 SE 44th Ter  Cape Coral, FL 33904 </t>
  </si>
  <si>
    <t>Horseplay</t>
  </si>
  <si>
    <t>Tongae</t>
  </si>
  <si>
    <t>Cape Coral Unit 34 Blk 2465 Pb 16 Pg 80 Lots 85 + 86</t>
  </si>
  <si>
    <t>Crystal</t>
  </si>
  <si>
    <t>James Winkels</t>
  </si>
  <si>
    <t>36-43-23-c1-02532.0380</t>
  </si>
  <si>
    <t>05-44-24-c1-02093.0620</t>
  </si>
  <si>
    <t>Cape Coral Unit 84 Blk 5559 Pb 24 Pg 32 Lots 40 + 41</t>
  </si>
  <si>
    <t>Apollon</t>
  </si>
  <si>
    <t xml:space="preserve">1521 NE 35th St  Cape Coral, FL 33909 </t>
  </si>
  <si>
    <t xml:space="preserve">42 Celler Ave </t>
  </si>
  <si>
    <t xml:space="preserve">9940 Asilomar Ln  Elk Grove, CA 95757-2549 </t>
  </si>
  <si>
    <t xml:space="preserve">3113 Beaver Pond Trl  Valrico, FL 33596-7932 </t>
  </si>
  <si>
    <t>Cadillon</t>
  </si>
  <si>
    <t xml:space="preserve">813 NE 11th Ter  Cape Coral, FL 33909 </t>
  </si>
  <si>
    <t>Deneise</t>
  </si>
  <si>
    <t xml:space="preserve">1900 NE 3rd St </t>
  </si>
  <si>
    <t>Cape Coral Unit 84 Blk 5618 Pb 24 Pg 34 Lots 15 + 16</t>
  </si>
  <si>
    <t xml:space="preserve">507 NE 15th St </t>
  </si>
  <si>
    <t>Douangmala</t>
  </si>
  <si>
    <t>Arlington Pb 16 Pg 38-39 Lot 300</t>
  </si>
  <si>
    <t xml:space="preserve">6189 Turning Leaf Way  Maineville, OH 45039-7805 </t>
  </si>
  <si>
    <t xml:space="preserve">10010 Chestnut Wood Ln  Burke, VA 22015-2701 </t>
  </si>
  <si>
    <t xml:space="preserve">2042 NE 28th St  Cape Coral, FL 33909 </t>
  </si>
  <si>
    <t>Myrna Schwichtenberg</t>
  </si>
  <si>
    <t xml:space="preserve">6421 Castlewood Cir </t>
  </si>
  <si>
    <t>Cape Coral Unit 84 Blk 5597 Pb 24 Pg 44 Lot 1</t>
  </si>
  <si>
    <t>01-44-23-c2-02452.0120</t>
  </si>
  <si>
    <t xml:space="preserve">6630 Arbor Ave </t>
  </si>
  <si>
    <t>Cumberland</t>
  </si>
  <si>
    <t>Grooms</t>
  </si>
  <si>
    <t>Macarthur Highway Matina Unit</t>
  </si>
  <si>
    <t xml:space="preserve">59 Hernandez Ave  Palm Coast, FL 32137-3247 </t>
  </si>
  <si>
    <t>Laketown</t>
  </si>
  <si>
    <t>21136-1926</t>
  </si>
  <si>
    <t xml:space="preserve">6 Hunns Lake Rd </t>
  </si>
  <si>
    <t>92604-2437</t>
  </si>
  <si>
    <t xml:space="preserve">3 Alward Rd  West Roxbury, MA 02132-7702 </t>
  </si>
  <si>
    <t>Elvira</t>
  </si>
  <si>
    <t>25-43-23-c4-02298.b010</t>
  </si>
  <si>
    <t xml:space="preserve">360 W Quail Roost Ct  Sherman, IL 62684-9570 </t>
  </si>
  <si>
    <t xml:space="preserve">346 NE 30th St  Cape Coral, FL 33909 </t>
  </si>
  <si>
    <t>19-43-24-c1-05550.0250</t>
  </si>
  <si>
    <t>New Ulm</t>
  </si>
  <si>
    <t>01-44-23-c3-02393.0200</t>
  </si>
  <si>
    <t>05-44-24-c1-03538.0070</t>
  </si>
  <si>
    <t>20-43-24-c1-05645.0190</t>
  </si>
  <si>
    <t xml:space="preserve">42970 Harris Rd  Belleville, MI 48111-9187 </t>
  </si>
  <si>
    <t xml:space="preserve">616 Stangle Rd  Martinsville, NJ 08836-2355 </t>
  </si>
  <si>
    <t>Thomas &amp; Judith White</t>
  </si>
  <si>
    <t>49201-9628</t>
  </si>
  <si>
    <t>34205-6151</t>
  </si>
  <si>
    <t>Compton</t>
  </si>
  <si>
    <t xml:space="preserve">314 Clark St </t>
  </si>
  <si>
    <t xml:space="preserve">485 E Alluvial Ave #105, Fresno, CA 93720-2814 </t>
  </si>
  <si>
    <t xml:space="preserve">1222 NE 2nd Pl  Cape Coral, FL 33909 </t>
  </si>
  <si>
    <t>Arturo</t>
  </si>
  <si>
    <t>33909-4367</t>
  </si>
  <si>
    <t>Wrice</t>
  </si>
  <si>
    <t xml:space="preserve">3708 Tracy St  Fort Myers, FL 33905 </t>
  </si>
  <si>
    <t>America Outdoors Camper Resort 1 Condo Blk B Or 1673 Pg 2487 Unit 15</t>
  </si>
  <si>
    <t>Raheela</t>
  </si>
  <si>
    <t xml:space="preserve">2128 NE 15th Ln  Cape Coral, FL 33909 </t>
  </si>
  <si>
    <t xml:space="preserve">3705 NE 13th Ave  Cape Coral, FL 33909 </t>
  </si>
  <si>
    <t>Ali</t>
  </si>
  <si>
    <t>Cape Coral Unit 36 Blk 2348 Pb 16 Pg 129 Lots 1 + 2</t>
  </si>
  <si>
    <t>33173-2216</t>
  </si>
  <si>
    <t xml:space="preserve">1823 Torrey Pkwy </t>
  </si>
  <si>
    <t>11-44-25-l1-13000.1060</t>
  </si>
  <si>
    <t>Moxam</t>
  </si>
  <si>
    <t>Cape Coral Unit 31 Blk 2063 Pb 14 Pg 162 Lots 17 + 18</t>
  </si>
  <si>
    <t>202nd</t>
  </si>
  <si>
    <t>33990-1324</t>
  </si>
  <si>
    <t>Lomita</t>
  </si>
  <si>
    <t>Buckingham Pk Re Blk B U-2 Blk 5 Pb 27 Pg 189 Lot 16</t>
  </si>
  <si>
    <t>Tracy</t>
  </si>
  <si>
    <t>12-46-23-04-00000.2330</t>
  </si>
  <si>
    <t>60561-4336</t>
  </si>
  <si>
    <t>04444-1345</t>
  </si>
  <si>
    <t xml:space="preserve">4378 S Yank St  Morrison, CO 80465-1230 </t>
  </si>
  <si>
    <t xml:space="preserve">Rte Des Monts-Delauzux70  Lacrois, CH 00000 </t>
  </si>
  <si>
    <t>Cape Coral Unit 88 Blk 5760 Pb 24 Pg 128 Lots 12 + 13</t>
  </si>
  <si>
    <t xml:space="preserve">14 Slayton Rd </t>
  </si>
  <si>
    <t xml:space="preserve">5205 Pineland Daisy Trl  Fort Myers, FL 33905 </t>
  </si>
  <si>
    <t>Dragan</t>
  </si>
  <si>
    <t xml:space="preserve">3727 Trent St  Fort Myers, FL 33905 </t>
  </si>
  <si>
    <t>H013</t>
  </si>
  <si>
    <t>Cryderman</t>
  </si>
  <si>
    <t>Greensburg</t>
  </si>
  <si>
    <t>Jere &amp; Barbara Freeman</t>
  </si>
  <si>
    <t>Cape Coral Unit 34 Blk 2457 Pb 16 Pg 83 Lots 38 + 39</t>
  </si>
  <si>
    <t>Rockhill</t>
  </si>
  <si>
    <t>Cape Coral Unit 84 Blk 5564 Pb 24 Pg 37 Lots 59 + 60</t>
  </si>
  <si>
    <t xml:space="preserve">5210 Pineland Daisy Trl  Fort Myers, FL 33905 </t>
  </si>
  <si>
    <t>Fredis</t>
  </si>
  <si>
    <t>Christian Chero &amp; John Zambrano</t>
  </si>
  <si>
    <t xml:space="preserve">4908 Stewart Dr  Decatur, IL 62521-2554 </t>
  </si>
  <si>
    <t>Aurie</t>
  </si>
  <si>
    <t>Maurer</t>
  </si>
  <si>
    <t xml:space="preserve">2011 Andalusia Blvd  Cape Coral, FL 33909 </t>
  </si>
  <si>
    <t xml:space="preserve">PO Box 557151  Miami, FL 33255-7151 </t>
  </si>
  <si>
    <t>11-44-25-04-0000a.0210</t>
  </si>
  <si>
    <t>18-43-24-c3-05748.0240</t>
  </si>
  <si>
    <t xml:space="preserve">2828 NE 6th Pl  Cape Coral, FL 33909 </t>
  </si>
  <si>
    <t>Cape Coral Unit 31 Blk 2037 Pb 14 Pg 155 Lots 3 + 4</t>
  </si>
  <si>
    <t>C051</t>
  </si>
  <si>
    <t>Flockton</t>
  </si>
  <si>
    <t>43026-8567</t>
  </si>
  <si>
    <t xml:space="preserve">6018 Vancil Dr </t>
  </si>
  <si>
    <t>25-43-23-c2-02351.0540</t>
  </si>
  <si>
    <t>33905-8705</t>
  </si>
  <si>
    <t xml:space="preserve">16 Bromley Ln </t>
  </si>
  <si>
    <t xml:space="preserve">24268 Lilys Nest Ln  Aldie, VA 20105-5934 </t>
  </si>
  <si>
    <t xml:space="preserve">413 Las Gaviotas Blvd </t>
  </si>
  <si>
    <t xml:space="preserve">3733 NE 16th Ave </t>
  </si>
  <si>
    <t xml:space="preserve">1500 NE 19th Ave  Cape Coral, FL 33909 </t>
  </si>
  <si>
    <t xml:space="preserve">300 Sleepy Hollow Rd </t>
  </si>
  <si>
    <t>Leeper</t>
  </si>
  <si>
    <t xml:space="preserve">4110 NE 19th Pl  Cape Coral, FL 33909 </t>
  </si>
  <si>
    <t xml:space="preserve">7832 Lascala Blvd  Indianapolis, IN 46237-8612 </t>
  </si>
  <si>
    <t>Temecula</t>
  </si>
  <si>
    <t>25-43-23-c3-02312.0090</t>
  </si>
  <si>
    <t>17402-7810</t>
  </si>
  <si>
    <t xml:space="preserve">4148 Timberline Cir  Oconto Falls, WI 54154-9676 </t>
  </si>
  <si>
    <t>Carlos Sanchez</t>
  </si>
  <si>
    <t>20-43-24-c1-05640.0450</t>
  </si>
  <si>
    <t>19-43-24-c4-05559.0480</t>
  </si>
  <si>
    <t>L5E 2B6</t>
  </si>
  <si>
    <t>Malano</t>
  </si>
  <si>
    <t>60016-2803</t>
  </si>
  <si>
    <t xml:space="preserve">311 NE 25th Ter </t>
  </si>
  <si>
    <t>06-44-24-c2-02063.0270</t>
  </si>
  <si>
    <t>IA</t>
  </si>
  <si>
    <t xml:space="preserve">5854 Burrwood Ct  Fort Myers, FL 33905 </t>
  </si>
  <si>
    <t>11-44-25-08-00000.1740</t>
  </si>
  <si>
    <t>Rolf &amp; Petra Maurer</t>
  </si>
  <si>
    <t>01-44-23-c1-02450.0090</t>
  </si>
  <si>
    <t>Dziedzic</t>
  </si>
  <si>
    <t xml:space="preserve">463 San Bernardino St </t>
  </si>
  <si>
    <t xml:space="preserve">903 NE 18th St </t>
  </si>
  <si>
    <t>17-43-24-c2-05802.0290</t>
  </si>
  <si>
    <t xml:space="preserve">10311 Fire Flag Trl </t>
  </si>
  <si>
    <t xml:space="preserve">7051 W 164th Ter  Stilwell, KS 66085-9186 </t>
  </si>
  <si>
    <t xml:space="preserve">615 Office 1301 </t>
  </si>
  <si>
    <t xml:space="preserve">1310 NE 22nd Pl  Cape Coral, FL 33909 </t>
  </si>
  <si>
    <t>Mcclellan</t>
  </si>
  <si>
    <t xml:space="preserve">11 Neptune Dr  Shrewsbury, MA 01545-1942 </t>
  </si>
  <si>
    <t xml:space="preserve">24460 SW 194th Ave  Homestead, FL 33031-3419 </t>
  </si>
  <si>
    <t xml:space="preserve">44 S Pistakee Lake Rd  Fox Lake, IL 60020-1754 </t>
  </si>
  <si>
    <t>20-43-24-c2-05667.0560</t>
  </si>
  <si>
    <t xml:space="preserve">5454/5456 Seventh Ave </t>
  </si>
  <si>
    <t xml:space="preserve">312 Av St Zacharie Temps </t>
  </si>
  <si>
    <t>29-43-24-c3-02279.0340</t>
  </si>
  <si>
    <t>Cape Coral Unit 47 Pt 2 Blk 3531 Pb 23 Pg 126 Lots 29 + 30</t>
  </si>
  <si>
    <t>Tech</t>
  </si>
  <si>
    <t xml:space="preserve">6131 Higgins Ave  Fort Myers, FL 33905 </t>
  </si>
  <si>
    <t>Wilmette</t>
  </si>
  <si>
    <t xml:space="preserve">2215 NE 43rd Ln  Cape Coral, FL 33909 </t>
  </si>
  <si>
    <t>Byram Township</t>
  </si>
  <si>
    <t>11-44-25-04-0000b.0010</t>
  </si>
  <si>
    <t>11-44-25-06-0000d.0960</t>
  </si>
  <si>
    <t xml:space="preserve">4129 E Gator Cir </t>
  </si>
  <si>
    <t>James &amp; Esther Obrien</t>
  </si>
  <si>
    <t xml:space="preserve">15 B </t>
  </si>
  <si>
    <t xml:space="preserve">1215 NE 9th Ter </t>
  </si>
  <si>
    <t>Larry &amp; Martin Steiner</t>
  </si>
  <si>
    <t>Charles Tecza</t>
  </si>
  <si>
    <t>33904-8758</t>
  </si>
  <si>
    <t>Laarsveld</t>
  </si>
  <si>
    <t>33609-3650</t>
  </si>
  <si>
    <t>Arsene</t>
  </si>
  <si>
    <t>Joseph &amp; Susan Finnemore</t>
  </si>
  <si>
    <t>Lilin Rook</t>
  </si>
  <si>
    <t>19-43-24-c3-05613.0660</t>
  </si>
  <si>
    <t>98607-9459</t>
  </si>
  <si>
    <t xml:space="preserve">14130 Roof St  Fort Myers, FL 33905 </t>
  </si>
  <si>
    <t xml:space="preserve">1006 NE 33rd Ter  Cape Coral, FL 33909 </t>
  </si>
  <si>
    <t>31-43-24-c4-02144.0090</t>
  </si>
  <si>
    <t>33909-4602</t>
  </si>
  <si>
    <t xml:space="preserve">3813 Kittyhawk Dr </t>
  </si>
  <si>
    <t>34-43-24-02-00032.0190</t>
  </si>
  <si>
    <t>Rv-Mh</t>
  </si>
  <si>
    <t>Bohne</t>
  </si>
  <si>
    <t xml:space="preserve">9300 W Flagler St #221, Miami, FL 33174-3456 </t>
  </si>
  <si>
    <t>18-43-24-c4-05704.0050</t>
  </si>
  <si>
    <t xml:space="preserve">1603 NE 35th Ter  Cape Coral, FL 33909 </t>
  </si>
  <si>
    <t>Cape Coral Unit 87 Blk 5706 Pb 24 Pg 71 Lots 39 + 40</t>
  </si>
  <si>
    <t>33904-3404</t>
  </si>
  <si>
    <t xml:space="preserve">3747 Kelsey St </t>
  </si>
  <si>
    <t>25-43-23-c1-02329.0420</t>
  </si>
  <si>
    <t>33909-4313</t>
  </si>
  <si>
    <t>Donna</t>
  </si>
  <si>
    <t xml:space="preserve">1859 Monitor Dr  Toms River, NJ 08753-3113 </t>
  </si>
  <si>
    <t>Erben</t>
  </si>
  <si>
    <t xml:space="preserve">Po Box 1261 </t>
  </si>
  <si>
    <t>Rymwid</t>
  </si>
  <si>
    <t xml:space="preserve">652 Bleeker St </t>
  </si>
  <si>
    <t>48323-3646</t>
  </si>
  <si>
    <t xml:space="preserve">3753 NE 15th Ave </t>
  </si>
  <si>
    <t xml:space="preserve">2622 S Saint Marks Ave  Bellmore, NY 11710-5012 </t>
  </si>
  <si>
    <t xml:space="preserve">13431 Mini Way </t>
  </si>
  <si>
    <t xml:space="preserve">823 NE 19th Ter </t>
  </si>
  <si>
    <t>Freel</t>
  </si>
  <si>
    <t>Vince &amp; Delores Sabella</t>
  </si>
  <si>
    <t>33909-1547</t>
  </si>
  <si>
    <t xml:space="preserve">202 Maplewood Ave </t>
  </si>
  <si>
    <t>Cape Coral Unit 31 Blk 2091 Pb 14 Pg 162 Lots 27 + 28</t>
  </si>
  <si>
    <t>Desantos</t>
  </si>
  <si>
    <t>Ft Myers Beach Kampground S/D Unit 1 Pb 35 Pg 47 Blk V Lot 22</t>
  </si>
  <si>
    <t xml:space="preserve">4265 80th St 2e, Elmhurst, NY 11373-3063 </t>
  </si>
  <si>
    <t xml:space="preserve">2105 NE 2nd Pl </t>
  </si>
  <si>
    <t>Ann Imber</t>
  </si>
  <si>
    <t>Mihai Radulescu</t>
  </si>
  <si>
    <t>Cape Coral Unit 34 Blk 2425 Pb 16 Pg 76 Lots 11 + 12</t>
  </si>
  <si>
    <t>20-43-24-c2-05668.0360</t>
  </si>
  <si>
    <t xml:space="preserve">3900 NE 16th Ave </t>
  </si>
  <si>
    <t xml:space="preserve">3343 SE 17th Pl  Cape Coral, FL 33904 </t>
  </si>
  <si>
    <t>For Kenneth L Drake Trust</t>
  </si>
  <si>
    <t xml:space="preserve">2580 De La Chaloupe Rang  Sainte-Elisabeth, QC J0k 2J0 </t>
  </si>
  <si>
    <t>Florinda</t>
  </si>
  <si>
    <t>Lau</t>
  </si>
  <si>
    <t xml:space="preserve">476 Yankee Lake Rd </t>
  </si>
  <si>
    <t>33909-1258</t>
  </si>
  <si>
    <t xml:space="preserve">1626 Exeter Rd </t>
  </si>
  <si>
    <t>19-43-24-c2-05601.0610</t>
  </si>
  <si>
    <t>Navubothu</t>
  </si>
  <si>
    <t xml:space="preserve">1817 NE 33rd Ter  Cape Coral, FL 33909 </t>
  </si>
  <si>
    <t>12-44-23-c1-02375.0070</t>
  </si>
  <si>
    <t>Cape Coral Unit 85 Blk 5667 Pb 24 Pg 53 Lots 15 + 16</t>
  </si>
  <si>
    <t>12-44-23-c2-02414.0260</t>
  </si>
  <si>
    <t xml:space="preserve">3825 Highlight St </t>
  </si>
  <si>
    <t>03-44-26-08-00036.0190</t>
  </si>
  <si>
    <t xml:space="preserve">1307 NE 23rd Ter  Cape Coral, FL 33909 </t>
  </si>
  <si>
    <t>Lockport</t>
  </si>
  <si>
    <t xml:space="preserve">8383 Washington Blvd  Indianapolis, IN 46240-2255 </t>
  </si>
  <si>
    <t>Ainsworth</t>
  </si>
  <si>
    <t>Buckingham Pk Re Blk B U-3 Blk 17 Pb 27 Pg 191 Lot 9</t>
  </si>
  <si>
    <t>Charles &amp; Laura Young</t>
  </si>
  <si>
    <t xml:space="preserve">84 Laurel Hill Rd  Brookfield, CT 06804-1730 </t>
  </si>
  <si>
    <t>Jasmine</t>
  </si>
  <si>
    <t xml:space="preserve">3602 NE 21st Pl  Cape Coral, FL 33909 </t>
  </si>
  <si>
    <t>Jose Irrizarry &amp; Daysi Acosta</t>
  </si>
  <si>
    <t>Ercole</t>
  </si>
  <si>
    <t xml:space="preserve">5209 Cypress Trail Resort Cir </t>
  </si>
  <si>
    <t>Laville</t>
  </si>
  <si>
    <t>03-44-26-02-00007.0110</t>
  </si>
  <si>
    <t>03-44-26-04-00019.0100</t>
  </si>
  <si>
    <t>01-44-23-c1-02464.0100</t>
  </si>
  <si>
    <t>Pupo</t>
  </si>
  <si>
    <t xml:space="preserve">565 Clothier Springs Rd </t>
  </si>
  <si>
    <t>Humboldt</t>
  </si>
  <si>
    <t>11226-8802</t>
  </si>
  <si>
    <t xml:space="preserve">Urb Puerto Nuevo  San Juan, PR 00920 </t>
  </si>
  <si>
    <t>16-44-26-05-00005.0160</t>
  </si>
  <si>
    <t>13-45-23-c2-00109.0430</t>
  </si>
  <si>
    <t>25-43-23-c3-02294.0220</t>
  </si>
  <si>
    <t xml:space="preserve">914a Heritage Hls </t>
  </si>
  <si>
    <t>Stephan &amp; Stefanie Paech</t>
  </si>
  <si>
    <t xml:space="preserve">3155 Gosheff Ln  Gambrills, MD 21054-1936 </t>
  </si>
  <si>
    <t xml:space="preserve">33 Virginia Dr  Kingston, NY 12401-6119 </t>
  </si>
  <si>
    <t>Pinard</t>
  </si>
  <si>
    <t>Catusse</t>
  </si>
  <si>
    <t xml:space="preserve">234 NE 15th St  Cape Coral, FL 33909 </t>
  </si>
  <si>
    <t>Blauch</t>
  </si>
  <si>
    <t>16-44-26-01-00026.0110</t>
  </si>
  <si>
    <t>31-43-24-c4-02101.0310</t>
  </si>
  <si>
    <t>Mersilio</t>
  </si>
  <si>
    <t>Wongkittiroch</t>
  </si>
  <si>
    <t>Abdool &amp; Bibi Jabar</t>
  </si>
  <si>
    <t>N</t>
  </si>
  <si>
    <t>32746-3320</t>
  </si>
  <si>
    <t xml:space="preserve">1018 NE 2nd Pl  Cape Coral, FL 33909 </t>
  </si>
  <si>
    <t xml:space="preserve">8731 254th St  Bellerose, NY 11426-2324 </t>
  </si>
  <si>
    <t>Tam Pham</t>
  </si>
  <si>
    <t xml:space="preserve">2125 NE 25th Ter  Cape Coral, FL 33909 </t>
  </si>
  <si>
    <t>Geralyn</t>
  </si>
  <si>
    <t>10469-5521</t>
  </si>
  <si>
    <t xml:space="preserve">244 Country Rd D </t>
  </si>
  <si>
    <t>10473-4440</t>
  </si>
  <si>
    <t>Vahid Sabati</t>
  </si>
  <si>
    <t>36-43-23-c2-02526.0480</t>
  </si>
  <si>
    <t>Winter Park</t>
  </si>
  <si>
    <t>Franco-Peredo</t>
  </si>
  <si>
    <t xml:space="preserve">3601 NE 13th Ave </t>
  </si>
  <si>
    <t>Cape Coral Unit 34 Blk 2448 Pb 16 Pg 81 Lots 75 + 76</t>
  </si>
  <si>
    <t>Suzhen Xu</t>
  </si>
  <si>
    <t xml:space="preserve">2744 Riverside Dr </t>
  </si>
  <si>
    <t>Cypress Trail Rv Resort Ph 4-B As Desc In Inst# 2017000057565 Lot 326</t>
  </si>
  <si>
    <t>Caridad Cuon</t>
  </si>
  <si>
    <t>Cypress Woods Rv Resort Desc In Inst#2006-358211 Lot 165</t>
  </si>
  <si>
    <t>Morejon</t>
  </si>
  <si>
    <t>Knaus</t>
  </si>
  <si>
    <t xml:space="preserve">1221 NE 18th Ave </t>
  </si>
  <si>
    <t>Bath</t>
  </si>
  <si>
    <t>Cashmere</t>
  </si>
  <si>
    <t xml:space="preserve">3873 8th St SW </t>
  </si>
  <si>
    <t>33018-2950</t>
  </si>
  <si>
    <t>Doyle</t>
  </si>
  <si>
    <t>20-43-24-c1-05598.0250</t>
  </si>
  <si>
    <t xml:space="preserve">1419 NE 21st Pl </t>
  </si>
  <si>
    <t xml:space="preserve">2937 NW 26th St  Miami, FL 33142-6415 </t>
  </si>
  <si>
    <t>Sierra Hills</t>
  </si>
  <si>
    <t>33027-5947</t>
  </si>
  <si>
    <t>R902</t>
  </si>
  <si>
    <t>Cape Coral Unit 32 Blk 2139 Pb 16 Pg 10 Lots 28 + 29</t>
  </si>
  <si>
    <t xml:space="preserve">1 Via Samborondon Km  Guayaquil, EC </t>
  </si>
  <si>
    <t xml:space="preserve">44170 Fair Oaks Dr </t>
  </si>
  <si>
    <t>Cape Coral Unit 84 Blk 5579 Pb 24 Pg 47 Lot 38</t>
  </si>
  <si>
    <t xml:space="preserve">2116 NE 6th Ave </t>
  </si>
  <si>
    <t>Daigneault</t>
  </si>
  <si>
    <t>Cape Coral Unit 88 Blk 5777 Pb 24 Pg 135 Lots 31 + 32</t>
  </si>
  <si>
    <t>County Road K</t>
  </si>
  <si>
    <t>Brewington</t>
  </si>
  <si>
    <t>Michel</t>
  </si>
  <si>
    <t xml:space="preserve">140 Wood Ln </t>
  </si>
  <si>
    <t xml:space="preserve">730 Bayside Ln </t>
  </si>
  <si>
    <t>35215-2716</t>
  </si>
  <si>
    <t>Erin</t>
  </si>
  <si>
    <t xml:space="preserve">2 Evergreen Ave </t>
  </si>
  <si>
    <t xml:space="preserve">205 W Hickory Grove Rd </t>
  </si>
  <si>
    <t>Sheldon</t>
  </si>
  <si>
    <t>33909-6847</t>
  </si>
  <si>
    <t>31-43-24-c2-02180.0460</t>
  </si>
  <si>
    <t>John &amp; Rose Hatfield</t>
  </si>
  <si>
    <t xml:space="preserve">1531 River Rd </t>
  </si>
  <si>
    <t xml:space="preserve">11108 Stardust Dr </t>
  </si>
  <si>
    <t>Margay</t>
  </si>
  <si>
    <t xml:space="preserve">1757 Bikini Ct  Cape Coral, FL 33904 </t>
  </si>
  <si>
    <t xml:space="preserve">690 Muscogee Dr  North Fort Myers, FL 33903 </t>
  </si>
  <si>
    <t>Cape Coral Unit 46 Blk 3594 Pb 17 Pg 124 Lots 3 + 4</t>
  </si>
  <si>
    <t>Weston</t>
  </si>
  <si>
    <t>11692-1058</t>
  </si>
  <si>
    <t>Cape Coral Unit 32 Blk 2155 Pb 16 Pg 13 Lots 37 + 38</t>
  </si>
  <si>
    <t xml:space="preserve">7 Elizabeth St </t>
  </si>
  <si>
    <t>Martin Cahn</t>
  </si>
  <si>
    <t>Cape Coral Unit 87 Blk 5723 Pb 24 Pg 80 Lots 29 + 30</t>
  </si>
  <si>
    <t xml:space="preserve">1528 NE 17th Pl  Cape Coral, FL 33909 </t>
  </si>
  <si>
    <t xml:space="preserve">4104 Villa Flora St </t>
  </si>
  <si>
    <t xml:space="preserve">6876 Northtree Ct </t>
  </si>
  <si>
    <t>20-43-24-c2-05664.0420</t>
  </si>
  <si>
    <t>Cuellar</t>
  </si>
  <si>
    <t>25-43-23-c2-02338.0330</t>
  </si>
  <si>
    <t xml:space="preserve">2335 Everest Pkwy </t>
  </si>
  <si>
    <t>07860-6112</t>
  </si>
  <si>
    <t>Villa Linda</t>
  </si>
  <si>
    <t xml:space="preserve">9800 Vesper Ave #90, Panorama City, CA 91402-1080 </t>
  </si>
  <si>
    <t xml:space="preserve">3817 Sebren Ave </t>
  </si>
  <si>
    <t>V Megerdichian</t>
  </si>
  <si>
    <t>Padmaja Neelamsetty</t>
  </si>
  <si>
    <t xml:space="preserve">1119 NE 44th Ln  Cape Coral, FL 33909 </t>
  </si>
  <si>
    <t>18-43-24-c4-05583.0190</t>
  </si>
  <si>
    <t>Norman &amp; Joann Farley</t>
  </si>
  <si>
    <t>Sadie</t>
  </si>
  <si>
    <t>92646-5527</t>
  </si>
  <si>
    <t>33909-1204</t>
  </si>
  <si>
    <t>Pine Manor Unit 3 Blk.14 Pb 10 Pg 93 Lot 8</t>
  </si>
  <si>
    <t xml:space="preserve">1522 Sheffield Ln  Pottstown, PA 19465-7273 </t>
  </si>
  <si>
    <t>02136-1910</t>
  </si>
  <si>
    <t>N8W 4N4</t>
  </si>
  <si>
    <t>Boniface</t>
  </si>
  <si>
    <t xml:space="preserve">4011 NE 13th Pl  Cape Coral, FL 33909 </t>
  </si>
  <si>
    <t>Gundersen</t>
  </si>
  <si>
    <t>PO Box 102</t>
  </si>
  <si>
    <t>Bingham Farms</t>
  </si>
  <si>
    <t>Daughtry</t>
  </si>
  <si>
    <t xml:space="preserve">1217 NE 13th Pl </t>
  </si>
  <si>
    <t xml:space="preserve">20 W Whitney Ave  Shelby, OH 44875-1228 </t>
  </si>
  <si>
    <t>Castle Hill</t>
  </si>
  <si>
    <t>08-44-24-c4-01535.0690</t>
  </si>
  <si>
    <t>Alfredo Bernal</t>
  </si>
  <si>
    <t xml:space="preserve">19 Northampton Rd </t>
  </si>
  <si>
    <t xml:space="preserve">5751 Cypress Woods Resort Dr  Fort Myers, FL 33905 </t>
  </si>
  <si>
    <t>Hyattsville</t>
  </si>
  <si>
    <t>Waterwillow</t>
  </si>
  <si>
    <t>33647-4031</t>
  </si>
  <si>
    <t>Kerber</t>
  </si>
  <si>
    <t>Lukavic</t>
  </si>
  <si>
    <t>91902-2572</t>
  </si>
  <si>
    <t xml:space="preserve">3418 NE 19th Pl </t>
  </si>
  <si>
    <t>Swift</t>
  </si>
  <si>
    <t>33905-5738</t>
  </si>
  <si>
    <t>33013-3409</t>
  </si>
  <si>
    <t>Gerard &amp; Francoise Beline</t>
  </si>
  <si>
    <t xml:space="preserve">1028 Isabella St </t>
  </si>
  <si>
    <t>Erlene &amp; Wilma Cole</t>
  </si>
  <si>
    <t>Bramanis</t>
  </si>
  <si>
    <t>Laurie</t>
  </si>
  <si>
    <t>25-43-23-c2-02351.0050</t>
  </si>
  <si>
    <t>17-43-24-c4-05767.0340</t>
  </si>
  <si>
    <t xml:space="preserve">13432 Classic Ct  Woodbridge, VA 22192-4502 </t>
  </si>
  <si>
    <t xml:space="preserve">1523 NE 11th St  Cape Coral, FL 33909 </t>
  </si>
  <si>
    <t>46240-3446</t>
  </si>
  <si>
    <t>97212-1224</t>
  </si>
  <si>
    <t xml:space="preserve">3779 W Gardenia Ave </t>
  </si>
  <si>
    <t>Payne Mark Douglas Tr</t>
  </si>
  <si>
    <t>07057-2013</t>
  </si>
  <si>
    <t>36-43-23-c1-02517.0080</t>
  </si>
  <si>
    <t>Dinosaur</t>
  </si>
  <si>
    <t>Sciullo</t>
  </si>
  <si>
    <t>Marina</t>
  </si>
  <si>
    <t>Patsy</t>
  </si>
  <si>
    <t>Karen &amp; Nathan Grannick</t>
  </si>
  <si>
    <t xml:space="preserve">157 Kamal Pkwy </t>
  </si>
  <si>
    <t>Wright</t>
  </si>
  <si>
    <t>Lehigh Acres Unit 4 Blk 18 Pb 26 Pg 6 Lot 13</t>
  </si>
  <si>
    <t xml:space="preserve">2321 NE 16th Ter </t>
  </si>
  <si>
    <t xml:space="preserve">2056 NE 18th St  Cape Coral, FL 33909 </t>
  </si>
  <si>
    <t xml:space="preserve">14191 Roof St  Fort Myers, FL 33905 </t>
  </si>
  <si>
    <t xml:space="preserve">1108 NE 32nd Ln </t>
  </si>
  <si>
    <t>Cape Coral Unit 84 Blk 5618 Pb 24 Pg 34 Lots 13 + 14</t>
  </si>
  <si>
    <t>Stadtbergen</t>
  </si>
  <si>
    <t>12-46-23-02-00000.1140</t>
  </si>
  <si>
    <t>For Paul Earnest Pormen Jr Trust</t>
  </si>
  <si>
    <t>Cape Coral Unit 87 Blk.5725 Pb 24 Pg 81 Lots 5 + 6</t>
  </si>
  <si>
    <t>77494-3180</t>
  </si>
  <si>
    <t xml:space="preserve">1323 NE 33rd Ln </t>
  </si>
  <si>
    <t>Nolani</t>
  </si>
  <si>
    <t>Joyce Fischetti</t>
  </si>
  <si>
    <t xml:space="preserve">723 Interlochen Ct  Riverwoods, IL 60015-3869 </t>
  </si>
  <si>
    <t>Moschberger</t>
  </si>
  <si>
    <t>Mann</t>
  </si>
  <si>
    <t>Mcintosh</t>
  </si>
  <si>
    <t>Jason Nemeth</t>
  </si>
  <si>
    <t>Raul Cordoba</t>
  </si>
  <si>
    <t xml:space="preserve">Jard De Country Clb  Carolina, PR 00983 </t>
  </si>
  <si>
    <t>Ippolito</t>
  </si>
  <si>
    <t>31807-5929</t>
  </si>
  <si>
    <t>Martirez</t>
  </si>
  <si>
    <t>11-44-25-06-0000d.0470</t>
  </si>
  <si>
    <t>01876-1673</t>
  </si>
  <si>
    <t>20148-1764</t>
  </si>
  <si>
    <t>Gilbert Plains</t>
  </si>
  <si>
    <t>Caridad Calderin &amp; Eduard Schilbrack</t>
  </si>
  <si>
    <t>William &amp; Linnet Daley</t>
  </si>
  <si>
    <t>08270-3201</t>
  </si>
  <si>
    <t xml:space="preserve">217 Duncan Rd </t>
  </si>
  <si>
    <t>For Judith R Lawton Trust</t>
  </si>
  <si>
    <t>06906-1954</t>
  </si>
  <si>
    <t>Eby</t>
  </si>
  <si>
    <t>46517-8920</t>
  </si>
  <si>
    <t xml:space="preserve">18958 NW 80th Ct  Hialeah, FL 33015-5230 </t>
  </si>
  <si>
    <t xml:space="preserve">4637 Elvas Ave  Fort Myers, FL 33905 </t>
  </si>
  <si>
    <t>53094-9530</t>
  </si>
  <si>
    <t xml:space="preserve">27415 Canyon Reach Dr  Katy, TX 77494-1657 </t>
  </si>
  <si>
    <t>Rada</t>
  </si>
  <si>
    <t>33905-7673</t>
  </si>
  <si>
    <t>Huron</t>
  </si>
  <si>
    <t>Cape Coral Unit 84 Blk 5552 Pb 24 Pg 38 Lots 68 + 69</t>
  </si>
  <si>
    <t>33177-7201</t>
  </si>
  <si>
    <t xml:space="preserve">3140 NE 15th Pl </t>
  </si>
  <si>
    <t>02368-1765</t>
  </si>
  <si>
    <t xml:space="preserve">9503 San Marco Dr  Missouri City, TX 77459-7271 </t>
  </si>
  <si>
    <t>Peter Kochalski</t>
  </si>
  <si>
    <t>Alberto &amp; Vinceuza Cruz</t>
  </si>
  <si>
    <t>Broadway Manor Pb 11 Pg 93 Lot 2</t>
  </si>
  <si>
    <t>48038-1095</t>
  </si>
  <si>
    <t>Joseph Potolicchio</t>
  </si>
  <si>
    <t>Horseshoe Bend</t>
  </si>
  <si>
    <t>Skokie</t>
  </si>
  <si>
    <t xml:space="preserve">9219 SW 136th street Cir  Miami, FL 33176-5823 </t>
  </si>
  <si>
    <t>Scano</t>
  </si>
  <si>
    <t>Johanneck</t>
  </si>
  <si>
    <t>Cypress Trail Rv Resort Phase 4-A As Desc In Inst# 20160000135610 Lot 289</t>
  </si>
  <si>
    <t xml:space="preserve">254 San Diego St </t>
  </si>
  <si>
    <t>Leary</t>
  </si>
  <si>
    <t xml:space="preserve">137 SE 28th Ter </t>
  </si>
  <si>
    <t>Saginaw</t>
  </si>
  <si>
    <t>33165-6314</t>
  </si>
  <si>
    <t>Cape Coral Unit 36 Blk 2343 Pb 16 Pg 121 Lots 13 + 14</t>
  </si>
  <si>
    <t>36-43-23-c3-02510.0070</t>
  </si>
  <si>
    <t xml:space="preserve">761 19th St NW </t>
  </si>
  <si>
    <t xml:space="preserve">1902 NE 8th Pl  Cape Coral, FL 33909 </t>
  </si>
  <si>
    <t>Cape Coral Unit 88 Blk 5762 Pb 24 Pg 134 Lots 19 + 20</t>
  </si>
  <si>
    <t>Cape Coral Unit 31 Blk 2044 Pb 14 Pg 155 Lots 51 + 52</t>
  </si>
  <si>
    <t xml:space="preserve">398 Beachy Rd </t>
  </si>
  <si>
    <t>Richard and Karen Young Trust</t>
  </si>
  <si>
    <t xml:space="preserve">416 Whitewood Rd  Englewood, NJ 07631-1943 </t>
  </si>
  <si>
    <t>Cape Coral Unit 33 Blk.2227 Pb 16 Pg 46 Lots 30 + 31</t>
  </si>
  <si>
    <t>Concepcion</t>
  </si>
  <si>
    <t>85142-9519</t>
  </si>
  <si>
    <t xml:space="preserve">916 NE 9th Ter </t>
  </si>
  <si>
    <t>Deer Path</t>
  </si>
  <si>
    <t xml:space="preserve">437 Ferris Rd </t>
  </si>
  <si>
    <t xml:space="preserve">514 Americas Way #9103 </t>
  </si>
  <si>
    <t>Suham</t>
  </si>
  <si>
    <t>Alex &amp; Bella Faktorovich</t>
  </si>
  <si>
    <t xml:space="preserve">3842 Highlight St  Fort Myers, FL 33905 </t>
  </si>
  <si>
    <t xml:space="preserve">13111 Woodford St  Orlando, FL 32832-6959 </t>
  </si>
  <si>
    <t>17-43-24-c3-05794.0130</t>
  </si>
  <si>
    <t>06902-5229</t>
  </si>
  <si>
    <t xml:space="preserve">3418 NE 19th Pl  Cape Coral, FL 33909 </t>
  </si>
  <si>
    <t xml:space="preserve">308 Jacaranda Pkwy E </t>
  </si>
  <si>
    <t xml:space="preserve">1313 NE 15th Ln </t>
  </si>
  <si>
    <t>Marilyn Mccloskey</t>
  </si>
  <si>
    <t>New Hackensack</t>
  </si>
  <si>
    <t>08755-1167</t>
  </si>
  <si>
    <t xml:space="preserve">3505 NE 19th Pl </t>
  </si>
  <si>
    <t xml:space="preserve">7421 Meridian St  Miramar, FL 33023-4768 </t>
  </si>
  <si>
    <t xml:space="preserve">5473 Cypress Trail Resort Cir </t>
  </si>
  <si>
    <t>Comfrey</t>
  </si>
  <si>
    <t xml:space="preserve">Nahal Hayarmukh 1 9/5 </t>
  </si>
  <si>
    <t xml:space="preserve">314 W 31st St #2 </t>
  </si>
  <si>
    <t>Tunkhannock</t>
  </si>
  <si>
    <t>Jean Nicolas</t>
  </si>
  <si>
    <t>Fausto</t>
  </si>
  <si>
    <t>06-44-24-c4-02065.0480</t>
  </si>
  <si>
    <t>Whisper</t>
  </si>
  <si>
    <t>Nawrocki</t>
  </si>
  <si>
    <t xml:space="preserve">3449 Andalusia Blvd  Cape Coral, FL 33909 </t>
  </si>
  <si>
    <t xml:space="preserve">12422 SW 193rd St  Miami, FL 33177-6508 </t>
  </si>
  <si>
    <t>32-43-24-c2-02238.0350</t>
  </si>
  <si>
    <t>Cape Coral Unit 36 Blk 2292 Pb 16 Pg 120 Lots 1 + 2</t>
  </si>
  <si>
    <t>Shane</t>
  </si>
  <si>
    <t xml:space="preserve">339 NE 23rd St  Cape Coral, FL 33909 </t>
  </si>
  <si>
    <t xml:space="preserve">3336 Garden Blvd </t>
  </si>
  <si>
    <t xml:space="preserve">2 Joshua Ct  South Barrington, IL 60010-1065 </t>
  </si>
  <si>
    <t>Heather</t>
  </si>
  <si>
    <t xml:space="preserve">4232 NE 22nd Pl  Cape Coral, FL 33909 </t>
  </si>
  <si>
    <t>20639-9610</t>
  </si>
  <si>
    <t>29673-9155</t>
  </si>
  <si>
    <t>Davao City</t>
  </si>
  <si>
    <t xml:space="preserve">2309 NE 35th Ter </t>
  </si>
  <si>
    <t xml:space="preserve">2920 NE 4th Pl  Cape Coral, FL 33909 </t>
  </si>
  <si>
    <t xml:space="preserve">2225 NW 64th Pl </t>
  </si>
  <si>
    <t xml:space="preserve">356 Greenlawn Dr </t>
  </si>
  <si>
    <t>11-44-25-06-0000d.0220</t>
  </si>
  <si>
    <t>Cypress Woods Rv Resort Unit 4 Pb 79 Pgs 68-71 Blk D Lot 84</t>
  </si>
  <si>
    <t>Lehigh Acres Unit 5 Blk 25 Pb 26 Pg 7 Lot 25</t>
  </si>
  <si>
    <t>Cypress Woods Rv Resort Unit 4 Pb 79 Pgs 68-71 Blk D Lot 103</t>
  </si>
  <si>
    <t>Cape Coral Unit 36 Blk 2348 Pb 16 Pg 129 Lots 7 + 8</t>
  </si>
  <si>
    <t>33909-3281</t>
  </si>
  <si>
    <t>Diana &amp; Trang Nguyen</t>
  </si>
  <si>
    <t>Medina Elsa Tr</t>
  </si>
  <si>
    <t xml:space="preserve">4220 NE 20th Pl  Cape Coral, FL 33909 </t>
  </si>
  <si>
    <t>Russell Park Blk 15 Pb 8 Pg 25 Lot 599 Less Sly 3 Ft</t>
  </si>
  <si>
    <t>25-43-23-c4-02354.0550</t>
  </si>
  <si>
    <t xml:space="preserve">2047 NE 27th Ter  Cape Coral, FL 33909 </t>
  </si>
  <si>
    <t>Richlands</t>
  </si>
  <si>
    <t xml:space="preserve">140 Chemin De Martenard  Peron, FR </t>
  </si>
  <si>
    <t>48095-1376</t>
  </si>
  <si>
    <t>Cape Coral Unit 34 Blk 2466 Pb 16 Pg 77 Lots 3 + 4</t>
  </si>
  <si>
    <t>Palmona Park Unit 1 Blk.23 Pb 7 Pg 55 Lots 3 + 4</t>
  </si>
  <si>
    <t>48315-1221</t>
  </si>
  <si>
    <t>Sherleen &amp; Daniel Bathke</t>
  </si>
  <si>
    <t xml:space="preserve">2214 Seward Ave  Bronx, NY 10473-1408 </t>
  </si>
  <si>
    <t xml:space="preserve">6410 Castlewood Cir  Fort Myers, FL 33905 </t>
  </si>
  <si>
    <t xml:space="preserve">1811 NE 44th Ter  Cape Coral, FL 33909 </t>
  </si>
  <si>
    <t xml:space="preserve">15121 Cemetery Rd  Fort Myers, FL 33905 </t>
  </si>
  <si>
    <t xml:space="preserve">2306 NE 20th Ave  Cape Coral, FL 33909 </t>
  </si>
  <si>
    <t>Cape Coral Unit 34 Blk 2417 Pb 16 Pg 75 Lots 13 + 14</t>
  </si>
  <si>
    <t>36-44-23-c3-00888.0180</t>
  </si>
  <si>
    <t>John &amp; Tamara Lamb</t>
  </si>
  <si>
    <t>Cape Coral Unit 88 Blk 5777 Pb 24 Pg 135 Lots 9 + 10</t>
  </si>
  <si>
    <t xml:space="preserve">53893 Spring Mill Dr W </t>
  </si>
  <si>
    <t>33909-2226</t>
  </si>
  <si>
    <t>Cape Coral Unit 17 Blk.1508 Pb 14 Pg 31 Lots 49 + 50</t>
  </si>
  <si>
    <t xml:space="preserve">102 Rosental  Bonn, DE 53111 </t>
  </si>
  <si>
    <t>Amador Jorge Tr</t>
  </si>
  <si>
    <t xml:space="preserve">82 Dawes Ave </t>
  </si>
  <si>
    <t xml:space="preserve">6151 Hester Ave </t>
  </si>
  <si>
    <t>11010-1818</t>
  </si>
  <si>
    <t>46142-1153</t>
  </si>
  <si>
    <t>Lake Crescent</t>
  </si>
  <si>
    <t>31-43-24-c3-02120.0410</t>
  </si>
  <si>
    <t>34-43-24-01-00042.0080</t>
  </si>
  <si>
    <t>Sandar</t>
  </si>
  <si>
    <t>32-43-24-c3-02230.0350</t>
  </si>
  <si>
    <t>Mokady</t>
  </si>
  <si>
    <t>Bala Ayala &amp; Estate American</t>
  </si>
  <si>
    <t>Treasure</t>
  </si>
  <si>
    <t>For Michael E &amp; Drucella A Bond Trust</t>
  </si>
  <si>
    <t>Wanda Rojek</t>
  </si>
  <si>
    <t>Allene</t>
  </si>
  <si>
    <t>Silverwood</t>
  </si>
  <si>
    <t>Makensey</t>
  </si>
  <si>
    <t>Boddington</t>
  </si>
  <si>
    <t xml:space="preserve">2230 NE 13th Ln </t>
  </si>
  <si>
    <t xml:space="preserve">1611 SW 93rd Ct </t>
  </si>
  <si>
    <t>For Arne J Jensen Trust</t>
  </si>
  <si>
    <t>11004-1041</t>
  </si>
  <si>
    <t xml:space="preserve">5314 NE Holly Brooke Ln  Loganville, GA 30052-7701 </t>
  </si>
  <si>
    <t>Macgregor</t>
  </si>
  <si>
    <t>C106</t>
  </si>
  <si>
    <t>Gerard &amp; Erin Gallo</t>
  </si>
  <si>
    <t>Pineland Daisy</t>
  </si>
  <si>
    <t xml:space="preserve">1725 S Gator Cir </t>
  </si>
  <si>
    <t xml:space="preserve">2509 95th St </t>
  </si>
  <si>
    <t>Rue Loui-Cochet</t>
  </si>
  <si>
    <t>Jennifer Wells-Patton</t>
  </si>
  <si>
    <t xml:space="preserve">238 Bayshore Dr  Cape Coral, FL 33904 </t>
  </si>
  <si>
    <t xml:space="preserve">1020 Grignon Rue  Sainte-Adele, QC J8b 2R7 </t>
  </si>
  <si>
    <t>Theo Champion</t>
  </si>
  <si>
    <t>Kristina</t>
  </si>
  <si>
    <t>Aharon</t>
  </si>
  <si>
    <t>Danilo &amp; Marilyn Geronimo</t>
  </si>
  <si>
    <t>11-44-25-l1-13000.3050</t>
  </si>
  <si>
    <t>K7P 0C2</t>
  </si>
  <si>
    <t>High Clear</t>
  </si>
  <si>
    <t>James Hawkins &amp; James For</t>
  </si>
  <si>
    <t xml:space="preserve">16835 Juanita Ave  Fort Myers, FL 33908 </t>
  </si>
  <si>
    <t xml:space="preserve">2011 NE 52nd Ct  Fort Lauderdale, FL 33308-3126 </t>
  </si>
  <si>
    <t>Wood Run</t>
  </si>
  <si>
    <t>Beyer</t>
  </si>
  <si>
    <t>K0A 1B0</t>
  </si>
  <si>
    <t xml:space="preserve">1018 Kismet Pkwy E  Cape Coral, FL 33909 </t>
  </si>
  <si>
    <t>33909-4450</t>
  </si>
  <si>
    <t xml:space="preserve">2329 NE 34th Ter </t>
  </si>
  <si>
    <t>Oberschneit</t>
  </si>
  <si>
    <t>For Richard P Hallas Trust</t>
  </si>
  <si>
    <t xml:space="preserve">6851 Julia Gardens Dr </t>
  </si>
  <si>
    <t xml:space="preserve">1501 NE 36th Ter </t>
  </si>
  <si>
    <t>Barrio Polo Club Bogota</t>
  </si>
  <si>
    <t>Cape Coral Unit 87 Blk 5752 Pb 24 Pg 71 Lots 3 + 4</t>
  </si>
  <si>
    <t>Aura</t>
  </si>
  <si>
    <t xml:space="preserve">8318 Wahl Manor Ct  Houston, TX 77083-7402 </t>
  </si>
  <si>
    <t>Scharpel</t>
  </si>
  <si>
    <t>01-44-23-c2-02429.0130</t>
  </si>
  <si>
    <t>Viktor Ivanov</t>
  </si>
  <si>
    <t>18-43-24-c4-05709.0330</t>
  </si>
  <si>
    <t xml:space="preserve">3322 NE 9th Ave  Cape Coral, FL 33909 </t>
  </si>
  <si>
    <t xml:space="preserve">1139 N Vecino Ln </t>
  </si>
  <si>
    <t>Kristi Bergen</t>
  </si>
  <si>
    <t xml:space="preserve">22a Marion St </t>
  </si>
  <si>
    <t>Raoul</t>
  </si>
  <si>
    <t xml:space="preserve">2204 NE 2nd Pl </t>
  </si>
  <si>
    <t>Orangevale</t>
  </si>
  <si>
    <t>32-43-24-c1-02233.0420</t>
  </si>
  <si>
    <t xml:space="preserve">14 Edgemont St #2 </t>
  </si>
  <si>
    <t xml:space="preserve">3713 NE 13th Pl </t>
  </si>
  <si>
    <t>Fidel Alvarez &amp; Mercedes Zayas-Alvarez</t>
  </si>
  <si>
    <t>Cape Coral Unit 84 Blk 5552 Pb 24 Pg 31 Lots 1 + 2</t>
  </si>
  <si>
    <t>Michelle Dominek</t>
  </si>
  <si>
    <t xml:space="preserve">10388 Nightwood Dr </t>
  </si>
  <si>
    <t>Dolecka</t>
  </si>
  <si>
    <t xml:space="preserve">3261 Sabal Palm Mnr #206, Hollywood, FL 33024-9008 </t>
  </si>
  <si>
    <t xml:space="preserve">2807 Jake St  Reno, NV 89502-4920 </t>
  </si>
  <si>
    <t xml:space="preserve">9280 17th Ave NW </t>
  </si>
  <si>
    <t>11-44-25-l1-12000.3900</t>
  </si>
  <si>
    <t>Lincolnton</t>
  </si>
  <si>
    <t>17-43-24-c1-05780.0050</t>
  </si>
  <si>
    <t>33905-8695</t>
  </si>
  <si>
    <t>Radha</t>
  </si>
  <si>
    <t>Cape Coral Unit 87 Blk 5684 Pb 24 Pg 82 Lots 39 + 40</t>
  </si>
  <si>
    <t>Marcia Ulrich</t>
  </si>
  <si>
    <t xml:space="preserve">2900 NE 6th Pl </t>
  </si>
  <si>
    <t>97232-2537</t>
  </si>
  <si>
    <t>Buckhannon</t>
  </si>
  <si>
    <t>Cape Coral Unit 36 Pt 1 Blk 2500 Pb 23 Pg 93 Lots 23 + 24</t>
  </si>
  <si>
    <t xml:space="preserve">5 Durlacher St  Ketsch, DE 68775 </t>
  </si>
  <si>
    <t>25-43-23-c1-02302.0490</t>
  </si>
  <si>
    <t xml:space="preserve">3568 NE 9th Pl  Cape Coral, FL 33909 </t>
  </si>
  <si>
    <t>18-43-24-c2-05734.0330</t>
  </si>
  <si>
    <t xml:space="preserve">14342 Trinidad St </t>
  </si>
  <si>
    <t>Middletown</t>
  </si>
  <si>
    <t xml:space="preserve">114 Walnut Dr  Hendersonville, TN 37075-5030 </t>
  </si>
  <si>
    <t>Lehigh Acres Unit 4 Blk 20 Pb 26 Pg 6 Lot 1</t>
  </si>
  <si>
    <t>Cape Coral Unit 34 Blk 2431 Pb 16 Pg 85 Lots 18 + 19</t>
  </si>
  <si>
    <t xml:space="preserve">2566 Dryden Cir  Fort Myers, FL 33905 </t>
  </si>
  <si>
    <t xml:space="preserve">3618 NE 12th Ct  Cape Coral, FL 33909 </t>
  </si>
  <si>
    <t>Sarbo</t>
  </si>
  <si>
    <t xml:space="preserve">5800 Brightwood Dr </t>
  </si>
  <si>
    <t>Beg 1980 Ft W + 150 Ft N Of Se Cor Sec 20 Th N 75 Ft Th E 165 Ft Th S 75 Ft W 165 Ft Aka Lot 16</t>
  </si>
  <si>
    <t>Cape Coral Unit 31 Blk.2066 Pb 14 Pg 163 Lots 51 + 52</t>
  </si>
  <si>
    <t xml:space="preserve">4440 Selhurst Rd </t>
  </si>
  <si>
    <t>Annelise</t>
  </si>
  <si>
    <t>Blue Lagoon</t>
  </si>
  <si>
    <t>D1b</t>
  </si>
  <si>
    <t>Delno</t>
  </si>
  <si>
    <t>01-44-23-c4-02468.0100</t>
  </si>
  <si>
    <t xml:space="preserve">4011 NE 19th Ave </t>
  </si>
  <si>
    <t>30038-4315</t>
  </si>
  <si>
    <t xml:space="preserve">11 Atlantis Ave </t>
  </si>
  <si>
    <t>Impasse D Iena</t>
  </si>
  <si>
    <t>Nesmith Nancy J Tr For Nesmith Family Trust</t>
  </si>
  <si>
    <t>33909-2079</t>
  </si>
  <si>
    <t xml:space="preserve">6051 Tabor Ave  Fort Myers, FL 33905 </t>
  </si>
  <si>
    <t xml:space="preserve">299 Riviera Vista Blvd  Labelle, FL 33935-5251 </t>
  </si>
  <si>
    <t>Cape Coral Unit 36 Pt 1 Blk 2511 Pb 23 Pg 88 Lots 9 + 10</t>
  </si>
  <si>
    <t>33177-3261</t>
  </si>
  <si>
    <t>Mornay</t>
  </si>
  <si>
    <t>Lehigh Acres Unit 5 Blk 22 Pb 26 Pg 7 Lot 10</t>
  </si>
  <si>
    <t xml:space="preserve">1414 NE 20th St </t>
  </si>
  <si>
    <t>33905-5733</t>
  </si>
  <si>
    <t xml:space="preserve">679 Racquet Club Rd #2 </t>
  </si>
  <si>
    <t>03-44-26-10-00047.0050</t>
  </si>
  <si>
    <t>24-44-24-p4-01401.0230</t>
  </si>
  <si>
    <t>Cahn</t>
  </si>
  <si>
    <t>36-44-23-c3-00827.0390</t>
  </si>
  <si>
    <t xml:space="preserve">1124 NE 19th St  Cape Coral, FL 33909 </t>
  </si>
  <si>
    <t xml:space="preserve">159 Oakland Ave </t>
  </si>
  <si>
    <t xml:space="preserve">8631 Ortiz Cir </t>
  </si>
  <si>
    <t>25-43-23-c2-02340.0470</t>
  </si>
  <si>
    <t xml:space="preserve">8351 Brittany Dr  Dublin, CA 94568-3508 </t>
  </si>
  <si>
    <t>33908-8242</t>
  </si>
  <si>
    <t xml:space="preserve">212 NE 8th Pl </t>
  </si>
  <si>
    <t>Farmakis</t>
  </si>
  <si>
    <t xml:space="preserve">5619 Nicholson Rd </t>
  </si>
  <si>
    <t>11-44-25-09-00000.1670</t>
  </si>
  <si>
    <t xml:space="preserve">3906 SE 11th Pl </t>
  </si>
  <si>
    <t>32-43-24-c3-02217.0390</t>
  </si>
  <si>
    <t>Susan Stevens</t>
  </si>
  <si>
    <t>PO Box Postal 241405</t>
  </si>
  <si>
    <t>Tracy &amp; Craig Freund</t>
  </si>
  <si>
    <t>67301-1517</t>
  </si>
  <si>
    <t>Delemo</t>
  </si>
  <si>
    <t>Amesbury</t>
  </si>
  <si>
    <t xml:space="preserve">166 Ethel Rd </t>
  </si>
  <si>
    <t>Ft Myers Shores Unit 5 Blk 90 Pb 16 Pg 69 Lot 7</t>
  </si>
  <si>
    <t>Bernard &amp; Marcia Roussos</t>
  </si>
  <si>
    <t>Ft.Myers Shores Unit 4 Blk B Pb 11/28 Lt 21 Less 21A Thru 21G Aka Lt 21D</t>
  </si>
  <si>
    <t xml:space="preserve">1928 NE 6th Ave </t>
  </si>
  <si>
    <t>Sara &amp; Harald Schuster</t>
  </si>
  <si>
    <t>Hitchin Post</t>
  </si>
  <si>
    <t>Holley</t>
  </si>
  <si>
    <t>Vincent Raffone</t>
  </si>
  <si>
    <t>Yi</t>
  </si>
  <si>
    <t>18-43-24-c1-05690.0400</t>
  </si>
  <si>
    <t xml:space="preserve">11090 Sunglow Ln </t>
  </si>
  <si>
    <t xml:space="preserve">701 Grove St </t>
  </si>
  <si>
    <t>Adrian &amp; Laura Maiolo</t>
  </si>
  <si>
    <t xml:space="preserve">1813 NE 22nd St  Cape Coral, FL 33909 </t>
  </si>
  <si>
    <t>Donatila</t>
  </si>
  <si>
    <t xml:space="preserve">1409 NE 14th Ter  Cape Coral, FL 33909 </t>
  </si>
  <si>
    <t xml:space="preserve">3916 NE 17th Ave  Cape Coral, FL 33909 </t>
  </si>
  <si>
    <t>18053-2534</t>
  </si>
  <si>
    <t>18-43-24-c4-05684.0570</t>
  </si>
  <si>
    <t>33909-3537</t>
  </si>
  <si>
    <t xml:space="preserve">2016 NE 13th Pl </t>
  </si>
  <si>
    <t xml:space="preserve">59 Hernandez Ave </t>
  </si>
  <si>
    <t xml:space="preserve">280 Northern Blvd  Great Neck, NY 11021-4704 </t>
  </si>
  <si>
    <t xml:space="preserve">150 W 96th St 7g, New York, NY 10025-6433 </t>
  </si>
  <si>
    <t xml:space="preserve">10 Maple St </t>
  </si>
  <si>
    <t>18-43-24-c3-05742.0440</t>
  </si>
  <si>
    <t>11419-1807</t>
  </si>
  <si>
    <t xml:space="preserve">407 Saddlebrook Ln  Naples, FL 34110-1379 </t>
  </si>
  <si>
    <t xml:space="preserve">706 NE 12th St  Cape Coral, FL 33909 </t>
  </si>
  <si>
    <t>53020-2040</t>
  </si>
  <si>
    <t>Perron</t>
  </si>
  <si>
    <t>Somi</t>
  </si>
  <si>
    <t xml:space="preserve">701 NW 57th Ave #220, Miami, FL 33126-2072 </t>
  </si>
  <si>
    <t>33909-1630</t>
  </si>
  <si>
    <t>Edward &amp; Theresa Lesko</t>
  </si>
  <si>
    <t>Cape Coral Unit 33 Blk 2283 Pb 16 Pg 59 Lots 26 + 27</t>
  </si>
  <si>
    <t>06-45-24-c3-00527.0560</t>
  </si>
  <si>
    <t xml:space="preserve">4017 NE 9th Pl  Cape Coral, FL 33909 </t>
  </si>
  <si>
    <t>Benson</t>
  </si>
  <si>
    <t xml:space="preserve">10210 Yellowtop Trl  Fort Myers, FL 33905 </t>
  </si>
  <si>
    <t xml:space="preserve">1000 5th Ave  Toms River, NJ 08757-2513 </t>
  </si>
  <si>
    <t xml:space="preserve">532 SE 26th Ter </t>
  </si>
  <si>
    <t xml:space="preserve">5539/5541 Eighth Ave  Fort Myers, FL 33907 </t>
  </si>
  <si>
    <t>Presley</t>
  </si>
  <si>
    <t xml:space="preserve">5855 Burrwood Ct  Fort Myers, FL 33905 </t>
  </si>
  <si>
    <t>17-43-24-c2-05804.0430</t>
  </si>
  <si>
    <t>Cypress Trail Rv Resort Phase 4-A As Desc In Inst# 20160000135610 Lot 284</t>
  </si>
  <si>
    <t>Cape Coral Unit 87 Blk 5736 Pb 24 Pg 77 Lots 13 + 14</t>
  </si>
  <si>
    <t>Dock Side</t>
  </si>
  <si>
    <t xml:space="preserve">1630 Durden Pkwy </t>
  </si>
  <si>
    <t>33909-1341</t>
  </si>
  <si>
    <t xml:space="preserve">5312 Cypress Trail Resort Cir </t>
  </si>
  <si>
    <t xml:space="preserve">6510 Maytree Cir  Fort Myers, FL 33905 </t>
  </si>
  <si>
    <t>Carlos Jimenez</t>
  </si>
  <si>
    <t>06-44-24-c1-02066.0270</t>
  </si>
  <si>
    <t xml:space="preserve">4013 Andalusia Blvd  Cape Coral, FL 33909 </t>
  </si>
  <si>
    <t>MARKET VALUE</t>
  </si>
  <si>
    <t>Cape Coral Unit 36 Blk 2341 Pb 16 Pg 124 Lots 63 + 64</t>
  </si>
  <si>
    <t xml:space="preserve">3726 Teakwood St </t>
  </si>
  <si>
    <t xml:space="preserve">4025 NE 22nd Ave </t>
  </si>
  <si>
    <t>07039-1232</t>
  </si>
  <si>
    <t xml:space="preserve">339 NE 23rd St </t>
  </si>
  <si>
    <t xml:space="preserve">217 NE 23rd Pl  Cape Coral, FL 33909 </t>
  </si>
  <si>
    <t>Slawomir</t>
  </si>
  <si>
    <t xml:space="preserve">4317 Richardson Ave #1, Bronx, NY 10466-1403 </t>
  </si>
  <si>
    <t xml:space="preserve">2480 Lakebend Dr </t>
  </si>
  <si>
    <t>Cape Coral Unit 31 Blk 2058 Pb 14 Pg 158 Lots 20 + 21</t>
  </si>
  <si>
    <t>Lindder</t>
  </si>
  <si>
    <t>Lehigh Acres Unit 6 Blk 29 Pb 26 Pg 8 Lot 16</t>
  </si>
  <si>
    <t>33334-5213</t>
  </si>
  <si>
    <t>25-43-23-c3-02341.0210</t>
  </si>
  <si>
    <t>06-46-24-15-00000.5070</t>
  </si>
  <si>
    <t xml:space="preserve">3614 NE 9th Ave </t>
  </si>
  <si>
    <t>61008-9504</t>
  </si>
  <si>
    <t xml:space="preserve">10326 Prairie Iris Dr  Fort Myers, FL 33905 </t>
  </si>
  <si>
    <t>33909-7379</t>
  </si>
  <si>
    <t>Cave</t>
  </si>
  <si>
    <t>Alpharetta</t>
  </si>
  <si>
    <t xml:space="preserve">2122 NE 33rd Ln </t>
  </si>
  <si>
    <t>Vauinaveys Le Haut</t>
  </si>
  <si>
    <t xml:space="preserve">927 NE 1st Ave  Cape Coral, FL 33909 </t>
  </si>
  <si>
    <t>America Outdoors Camper Resort 1 Condo Blk W Or 1673 Pg 2487 Unit 88</t>
  </si>
  <si>
    <t xml:space="preserve">6322 SW 150th Ct  Miami, FL 33193-2791 </t>
  </si>
  <si>
    <t>Pinnock</t>
  </si>
  <si>
    <t xml:space="preserve">7138 Shannon Blvd </t>
  </si>
  <si>
    <t xml:space="preserve">142 Mclaughlin St  Staten Island, NY 10305-4329 </t>
  </si>
  <si>
    <t xml:space="preserve">1523 NE 33rd Ln  Cape Coral, FL 33909 </t>
  </si>
  <si>
    <t>G L G &amp; Sharon Ribstein</t>
  </si>
  <si>
    <t>Torrey Pines Parcel 127 South As Desc In Inst# 2015000174442 Lot 10</t>
  </si>
  <si>
    <t xml:space="preserve">9526 Dekalb Pl  Stockton, CA 95209-4021 </t>
  </si>
  <si>
    <t>Cape Coral Unit 87 Blk 5747 Pb 24 Pg 70 Lots 3 + 4</t>
  </si>
  <si>
    <t>Cape Coral Unit 36 Blk 2543 Pb 16 Pg 118 Lots 59 + 60</t>
  </si>
  <si>
    <t xml:space="preserve">71 Sandpiper Dr  Manalapan, NJ 07726-3671 </t>
  </si>
  <si>
    <t>Cypress Trail Rv Resort Phase 2-A As Desc In Inst# 2014000026506 Lot 71</t>
  </si>
  <si>
    <t>Michael &amp; Joanne Rosenberg</t>
  </si>
  <si>
    <t>Cape Coral Unit 84 Blk 5592 Pb 24 Pg 44 Lots 17 + 18</t>
  </si>
  <si>
    <t>Cape Coral Unit 32 Blk 2115 Pb 16 Pg 6 Lots 27 + 28</t>
  </si>
  <si>
    <t>Brieanne Nikrandt &amp; David Silcock</t>
  </si>
  <si>
    <t>52404-3836</t>
  </si>
  <si>
    <t>Moises</t>
  </si>
  <si>
    <t>Yoraine Gonzalez &amp; Manuel Oteroalburquerque</t>
  </si>
  <si>
    <t>Rahula Basnagoda</t>
  </si>
  <si>
    <t xml:space="preserve">11130 Shadywood Dr </t>
  </si>
  <si>
    <t xml:space="preserve">6642 Vermont Ave </t>
  </si>
  <si>
    <t>Gerald &amp; Holle Custer</t>
  </si>
  <si>
    <t xml:space="preserve">5066 Sorrento Ct  Cape Coral, FL 33904 </t>
  </si>
  <si>
    <t>Beade</t>
  </si>
  <si>
    <t>Tiffin</t>
  </si>
  <si>
    <t>33904-4274</t>
  </si>
  <si>
    <t>Mary Williams</t>
  </si>
  <si>
    <t>Leal</t>
  </si>
  <si>
    <t>07652-3826</t>
  </si>
  <si>
    <t>33909-4706</t>
  </si>
  <si>
    <t>Aram Kradjian &amp; Eileen Dergarabetian</t>
  </si>
  <si>
    <t xml:space="preserve">1818 NE 4th Pl  Cape Coral, FL 33909 </t>
  </si>
  <si>
    <t>36-43-23-c3-02500.0290</t>
  </si>
  <si>
    <t>31-43-24-c1-02149.0360</t>
  </si>
  <si>
    <t>Susquehanna</t>
  </si>
  <si>
    <t xml:space="preserve">78 Daniel Boone Plz  Hazard, KY 41701-5334 </t>
  </si>
  <si>
    <t xml:space="preserve">2039 NE 20th St </t>
  </si>
  <si>
    <t xml:space="preserve">4790 W 3rd Ave  Hialeah, FL 33012-3931 </t>
  </si>
  <si>
    <t>Charles Opitz</t>
  </si>
  <si>
    <t>33909-9211</t>
  </si>
  <si>
    <t>33024-4486</t>
  </si>
  <si>
    <t>Guelette</t>
  </si>
  <si>
    <t>Epping</t>
  </si>
  <si>
    <t xml:space="preserve">9069 SW 22nd St C, Boca Raton, FL 33428-7775 </t>
  </si>
  <si>
    <t xml:space="preserve">241 Montclair Rd  Leesburg, FL 34748-9774 </t>
  </si>
  <si>
    <t>Jonathan Harbour U-Ii Pb 48 Pg 73 Lot 33</t>
  </si>
  <si>
    <t>33905-2624</t>
  </si>
  <si>
    <t>25-43-23-c3-02342.0010</t>
  </si>
  <si>
    <t>32-43-24-c1-02232.0130</t>
  </si>
  <si>
    <t xml:space="preserve">20 Amesbury Ct </t>
  </si>
  <si>
    <t xml:space="preserve">10071 Rambelwood Ct </t>
  </si>
  <si>
    <t xml:space="preserve">1013 NE 32nd St </t>
  </si>
  <si>
    <t>17-43-24-c3-05784.0350</t>
  </si>
  <si>
    <t xml:space="preserve">1909 NE 33rd Ter </t>
  </si>
  <si>
    <t xml:space="preserve">905 NE 13th Ave  Cape Coral, FL 33909 </t>
  </si>
  <si>
    <t>Cape Coral Unit 87 Blk 5747 Pb 24 Pg 69 Lots 55 + 56</t>
  </si>
  <si>
    <t xml:space="preserve">662 Des Epinettes Plac </t>
  </si>
  <si>
    <t>Dixie</t>
  </si>
  <si>
    <t xml:space="preserve">1308 NE 23rd Ter  Cape Coral, FL 33909 </t>
  </si>
  <si>
    <t xml:space="preserve">3854 Hopevale St  Fort Myers, FL 33905 </t>
  </si>
  <si>
    <t>Cape Coral Unit 32 Blk 2170 Pb 16 Pg 8 Lots 15 + 16</t>
  </si>
  <si>
    <t xml:space="preserve">1715 NE 12th St </t>
  </si>
  <si>
    <t>85254-4027</t>
  </si>
  <si>
    <t>Sears</t>
  </si>
  <si>
    <t>Hooper</t>
  </si>
  <si>
    <t xml:space="preserve">6111 Humboldt Ave </t>
  </si>
  <si>
    <t xml:space="preserve">5208 Junction Blvd  Elmhurst, NY 11373-2848 </t>
  </si>
  <si>
    <t>Port Charlotte</t>
  </si>
  <si>
    <t>Rebeca Gonzalez</t>
  </si>
  <si>
    <t>25-43-23-c1-02325.0470</t>
  </si>
  <si>
    <t>Belcher</t>
  </si>
  <si>
    <t xml:space="preserve">2449 Rossett St </t>
  </si>
  <si>
    <t xml:space="preserve">2001 NE 14th Ave </t>
  </si>
  <si>
    <t>33909-8837</t>
  </si>
  <si>
    <t xml:space="preserve">48 Normandy Dr  Kenner, LA 70065-2031 </t>
  </si>
  <si>
    <t xml:space="preserve">714 Saw Mill River Rd #1, Yorktown Heights, NY 10598-6152 </t>
  </si>
  <si>
    <t>Scheele Paul Tr</t>
  </si>
  <si>
    <t>Odalys Silva</t>
  </si>
  <si>
    <t>11776-1321</t>
  </si>
  <si>
    <t>William &amp; Deborah Caines</t>
  </si>
  <si>
    <t>Elias</t>
  </si>
  <si>
    <t>Cape Coral Unit 31 Blk 2063 Pb 14 Pg 162 Lots 13 + 14</t>
  </si>
  <si>
    <t xml:space="preserve">3238 NE 9th Ave  Cape Coral, FL 33909 </t>
  </si>
  <si>
    <t>Leonardo &amp; Janet Rosario</t>
  </si>
  <si>
    <t xml:space="preserve">124 Smith Pl </t>
  </si>
  <si>
    <t xml:space="preserve">1818 SE 37th St </t>
  </si>
  <si>
    <t xml:space="preserve">1100 Azie Morton Rd #1105, Austin, TX 78704-2048 </t>
  </si>
  <si>
    <t>Deragisch Maribeth Tr</t>
  </si>
  <si>
    <t xml:space="preserve">921 Andalusia Blvd </t>
  </si>
  <si>
    <t xml:space="preserve">1501 NE 35th St </t>
  </si>
  <si>
    <t>Two Rivers</t>
  </si>
  <si>
    <t xml:space="preserve">1829 NE 21st St  Cape Coral, FL 33909 </t>
  </si>
  <si>
    <t>Chauvighy</t>
  </si>
  <si>
    <t>Antelope</t>
  </si>
  <si>
    <t>147th</t>
  </si>
  <si>
    <t>55391-1010</t>
  </si>
  <si>
    <t xml:space="preserve">29 Smith St  Rockville Centre, NY 11570-5216 </t>
  </si>
  <si>
    <t>Cape Coral Unit 34 Blk.2432 Pb 16 Pg 82 Lots 59 + 60</t>
  </si>
  <si>
    <t>Verandah Unit Twelve Desc In Inst#2005-156524 Blk A Lot 10</t>
  </si>
  <si>
    <t>Ryan Gilbert</t>
  </si>
  <si>
    <t>Inshore Landing</t>
  </si>
  <si>
    <t>33904-2966</t>
  </si>
  <si>
    <t>Cape Coral Unit 36 Blk 2341 Pb 16 Pg 121 Lots 69 + 70</t>
  </si>
  <si>
    <t>Enilien</t>
  </si>
  <si>
    <t>92602-6022</t>
  </si>
  <si>
    <t xml:space="preserve">5230 Pineland Daisy Trl </t>
  </si>
  <si>
    <t xml:space="preserve">4 Bridge St  West Warwick, RI 02893-3604 </t>
  </si>
  <si>
    <t>Gutierrez Quevedo &amp; Mendoza Camargo</t>
  </si>
  <si>
    <t>31-43-24-c1-02161.0030</t>
  </si>
  <si>
    <t>Steven &amp; Cindy Peters</t>
  </si>
  <si>
    <t>36-43-23-c1-02517.0620</t>
  </si>
  <si>
    <t xml:space="preserve">13458 Caribbean Blvd </t>
  </si>
  <si>
    <t>Cape Coral Unit 34 Blk 2448 Pb 16 Pg 81 Lots 5 + 6</t>
  </si>
  <si>
    <t xml:space="preserve">1132 NE 5th Pl  Cape Coral, FL 33909 </t>
  </si>
  <si>
    <t>Cypress Trail Rv Resort Phase 2-A As Desc In Inst# 2014000026506 Lot 244</t>
  </si>
  <si>
    <t>Cape Coral Unit 84 Blk 5572 Pb 24 Pg 40 Lots 30 + 31</t>
  </si>
  <si>
    <t>33176-2886</t>
  </si>
  <si>
    <t xml:space="preserve">1707 Sutter Ave  Simi Valley, CA 93065-4542 </t>
  </si>
  <si>
    <t>Melinda</t>
  </si>
  <si>
    <t>33905-7728</t>
  </si>
  <si>
    <t>Wentzville</t>
  </si>
  <si>
    <t>NV</t>
  </si>
  <si>
    <t>Kolby</t>
  </si>
  <si>
    <t>Tyler</t>
  </si>
  <si>
    <t>Stanley Vuletich</t>
  </si>
  <si>
    <t xml:space="preserve">1029 29th St </t>
  </si>
  <si>
    <t>Betty &amp; Lilian Wu</t>
  </si>
  <si>
    <t xml:space="preserve">918 NE 34th Ter </t>
  </si>
  <si>
    <t xml:space="preserve">7 Hanover Ln  Norristown, PA 19401-1724 </t>
  </si>
  <si>
    <t xml:space="preserve">2100 Andalusia Blvd </t>
  </si>
  <si>
    <t xml:space="preserve">3705 NE 11th Ave  Cape Coral, FL 33909 </t>
  </si>
  <si>
    <t xml:space="preserve">3025 NE 7th Ave </t>
  </si>
  <si>
    <t>L1S 1W8</t>
  </si>
  <si>
    <t xml:space="preserve">475 Bronx River Rd </t>
  </si>
  <si>
    <t xml:space="preserve">3715 Kelsey St  Fort Myers, FL 33905 </t>
  </si>
  <si>
    <t>Black Earth</t>
  </si>
  <si>
    <t>Benjamin Sampson</t>
  </si>
  <si>
    <t xml:space="preserve">5804 NW 85th Ave </t>
  </si>
  <si>
    <t>Old White Plains</t>
  </si>
  <si>
    <t xml:space="preserve">1036 NE 19th St </t>
  </si>
  <si>
    <t>33909-7325</t>
  </si>
  <si>
    <t>Ivan Ramirez &amp; Adriana Maldonado</t>
  </si>
  <si>
    <t xml:space="preserve">13418 SW 136th Ter  Miami, FL 33186-8931 </t>
  </si>
  <si>
    <t xml:space="preserve">522 Coral Dr  Cape Coral, FL 33904 </t>
  </si>
  <si>
    <t xml:space="preserve">1715 NE 27th St </t>
  </si>
  <si>
    <t>53012-2229</t>
  </si>
  <si>
    <t xml:space="preserve">2901 Clint Moore Rd </t>
  </si>
  <si>
    <t xml:space="preserve">3802 NE 17th Ave </t>
  </si>
  <si>
    <t>Old Southwick</t>
  </si>
  <si>
    <t xml:space="preserve">1136 Castle Hill Ave  Bronx, NY 10462-4801 </t>
  </si>
  <si>
    <t>33909-4559</t>
  </si>
  <si>
    <t>17-43-24-c2-05780.0470</t>
  </si>
  <si>
    <t>11373-3063</t>
  </si>
  <si>
    <t>Brightmoor Blk H Pb 6 Pg 34 Lots 1 + 4</t>
  </si>
  <si>
    <t xml:space="preserve">PO Box 31  Trujillo Alto, PR 00977 </t>
  </si>
  <si>
    <t>Cape Coral Unit 84 Blk 5595 Pb 24 Pg 44 Lots 28 + 29</t>
  </si>
  <si>
    <t xml:space="preserve">206 Jacaranda Pkwy E </t>
  </si>
  <si>
    <t>Cape Coral Unit 14 Blk.541 Pb 13 Pg 65 Lots 30 + 31</t>
  </si>
  <si>
    <t xml:space="preserve">1709 Luin Ln </t>
  </si>
  <si>
    <t xml:space="preserve">10344 Prairie Iris Dr  Fort Myers, FL 33905 </t>
  </si>
  <si>
    <t>11355-2630</t>
  </si>
  <si>
    <t>11561-5224</t>
  </si>
  <si>
    <t>33905-8690</t>
  </si>
  <si>
    <t>R064</t>
  </si>
  <si>
    <t xml:space="preserve">8536 W Lyndale St  Chicago, IL 60647 </t>
  </si>
  <si>
    <t>Concord</t>
  </si>
  <si>
    <t xml:space="preserve">382 Park Hill Ave </t>
  </si>
  <si>
    <t xml:space="preserve">4021 NE 22nd Pl </t>
  </si>
  <si>
    <t xml:space="preserve">3628 NE 15th Ave  Cape Coral, FL 33909 </t>
  </si>
  <si>
    <t xml:space="preserve">12232 SW 122nd Ct </t>
  </si>
  <si>
    <t>American &amp; Diane Stewart-Thomas</t>
  </si>
  <si>
    <t>19-43-24-c1-05578.0020</t>
  </si>
  <si>
    <t xml:space="preserve">2149 Barbados Ave </t>
  </si>
  <si>
    <t>Kuchera</t>
  </si>
  <si>
    <t xml:space="preserve">5 Eastern Dr  Princeton Junction, NJ 08550-5126 </t>
  </si>
  <si>
    <t>20905-3757</t>
  </si>
  <si>
    <t xml:space="preserve">2723 NW Timbercreek Cir  Boca Raton, FL 33431-4037 </t>
  </si>
  <si>
    <t xml:space="preserve">1404 W Us 6 </t>
  </si>
  <si>
    <t>36-44-23-c2-00925.0210</t>
  </si>
  <si>
    <t xml:space="preserve">16095 Johns Lake Overlook Dr </t>
  </si>
  <si>
    <t xml:space="preserve">4510 NW 36th St #403 </t>
  </si>
  <si>
    <t xml:space="preserve">5990 Maplewood Ct </t>
  </si>
  <si>
    <t>Heather Marchant</t>
  </si>
  <si>
    <t>Lehigh Acres Unit 1 Blk 1 Pb 26 Pg 2 Lot 6</t>
  </si>
  <si>
    <t>Hampton Bays</t>
  </si>
  <si>
    <t xml:space="preserve">5291 SW 5th Ter  Coral Gables, FL 33134-1166 </t>
  </si>
  <si>
    <t>Cape Coral Unit 34 Blk 2392 Pb 16 Pg 80 Lots 14 Thru 16</t>
  </si>
  <si>
    <t xml:space="preserve">1523 SE 36th Ter </t>
  </si>
  <si>
    <t xml:space="preserve">341 E 5th St #103, Hialeah, FL 33010-4823 </t>
  </si>
  <si>
    <t xml:space="preserve">8511 Avenue N </t>
  </si>
  <si>
    <t xml:space="preserve">10337 Prairie Iris Dr </t>
  </si>
  <si>
    <t>Newhaven Point</t>
  </si>
  <si>
    <t xml:space="preserve">1305 NE 16th Ter </t>
  </si>
  <si>
    <t>53217-5933</t>
  </si>
  <si>
    <t>Cape Coral Unit 84 Blk 5598 Pb 24 Pg 43 Lots 13 + 14</t>
  </si>
  <si>
    <t>Cape Coral Unit 87 Blk 5689 Pb 24 Pg 83 Lots 43 + 44</t>
  </si>
  <si>
    <t xml:space="preserve">330 W Lockwood Ave #302, Saint Louis, MO 63119-2302 </t>
  </si>
  <si>
    <t>47906-5798</t>
  </si>
  <si>
    <t>19-43-24-c4-05552.0390</t>
  </si>
  <si>
    <t>Franzecarole J Tr</t>
  </si>
  <si>
    <t>33615-5638</t>
  </si>
  <si>
    <t>79316-7608</t>
  </si>
  <si>
    <t xml:space="preserve">55 Abbey Ln #5320 </t>
  </si>
  <si>
    <t xml:space="preserve">6149 Humboldt Ave </t>
  </si>
  <si>
    <t xml:space="preserve">3518 NE 18th Pl  Cape Coral, FL 33909 </t>
  </si>
  <si>
    <t xml:space="preserve">1136 Castle Hill Ave </t>
  </si>
  <si>
    <t>58385-9530</t>
  </si>
  <si>
    <t>Betti</t>
  </si>
  <si>
    <t>01-44-23-c1-02446.0390</t>
  </si>
  <si>
    <t>Erik &amp; Christina Hutchinson</t>
  </si>
  <si>
    <t>19-43-24-c4-05566.0650</t>
  </si>
  <si>
    <t xml:space="preserve">3131 NE 14th Pl  Cape Coral, FL 33909 </t>
  </si>
  <si>
    <t>Obrenski Trust</t>
  </si>
  <si>
    <t>Virginie &amp; Denis Durand</t>
  </si>
  <si>
    <t xml:space="preserve">3605 Andalusia Blvd  Cape Coral, FL 33909 </t>
  </si>
  <si>
    <t>Craig &amp; For Fischer</t>
  </si>
  <si>
    <t xml:space="preserve">412 NE 9th St  Cape Coral, FL 33909 </t>
  </si>
  <si>
    <t>31-43-24-c2-02131.0100</t>
  </si>
  <si>
    <t>Avon Lake</t>
  </si>
  <si>
    <t>Richard Struzynski &amp; Jennifer Blau</t>
  </si>
  <si>
    <t>33904-8351</t>
  </si>
  <si>
    <t xml:space="preserve">3255 Kira Ct  Triangle, VA 22172-2354 </t>
  </si>
  <si>
    <t>Zarka</t>
  </si>
  <si>
    <t>Narindra &amp; Elizabeth Maharaj</t>
  </si>
  <si>
    <t>33909-3336</t>
  </si>
  <si>
    <t>Shauna</t>
  </si>
  <si>
    <t>Alex &amp; Josefa Carolino</t>
  </si>
  <si>
    <t>Cumberland Hills</t>
  </si>
  <si>
    <t>L9W 6W8</t>
  </si>
  <si>
    <t>2c</t>
  </si>
  <si>
    <t>33909-6494</t>
  </si>
  <si>
    <t>Karen Mierop &amp; Marilyn May</t>
  </si>
  <si>
    <t xml:space="preserve">4855 W Greenleaf Ave </t>
  </si>
  <si>
    <t>Beg 160 Ft W + 660 Ft N Of Se Cor Of Sw 1/4 Of Nw 1/4 Th Cont W 100 Ft Th S 150</t>
  </si>
  <si>
    <t>Paul Hassfurder</t>
  </si>
  <si>
    <t xml:space="preserve">2448 Raleigh St </t>
  </si>
  <si>
    <t>Halloran</t>
  </si>
  <si>
    <t>07-46-25-04-00w00.018a</t>
  </si>
  <si>
    <t>11718-2012</t>
  </si>
  <si>
    <t>Marion Alberts &amp; For Land</t>
  </si>
  <si>
    <t xml:space="preserve">437 Southwick Dr  Fayetteville, NC 28303-2682 </t>
  </si>
  <si>
    <t>Eyerly</t>
  </si>
  <si>
    <t xml:space="preserve">911 Winters Ave  Hazle Township, PA 18202-3630 </t>
  </si>
  <si>
    <t>John &amp; Marilyn Leeper</t>
  </si>
  <si>
    <t xml:space="preserve">611 E Locust St  Geneseo, IL 61254-1727 </t>
  </si>
  <si>
    <t>11-44-25-00-00002.0130</t>
  </si>
  <si>
    <t>Cape Coral Unit 85 Blk 5667 Pb 24 Pg 53 Lots 11 + 12</t>
  </si>
  <si>
    <t>Bordeaux</t>
  </si>
  <si>
    <t>33909-8886</t>
  </si>
  <si>
    <t xml:space="preserve">9300 W Flagler St #224 </t>
  </si>
  <si>
    <t>Barbara</t>
  </si>
  <si>
    <t>20-44-26-04-00024.0030</t>
  </si>
  <si>
    <t>36-43-23-c4-02496.0070</t>
  </si>
  <si>
    <t>Shaffer Orville Wendell Tr</t>
  </si>
  <si>
    <t xml:space="preserve">2173 SW 132nd Way  Davie, FL 33325-5126 </t>
  </si>
  <si>
    <t>17-43-24-c1-05817.0210</t>
  </si>
  <si>
    <t>19-43-24-c4-05553.0190</t>
  </si>
  <si>
    <t>Matsumoto Bldg</t>
  </si>
  <si>
    <t xml:space="preserve">3404 NE 12th Ave  Cape Coral, FL 33909 </t>
  </si>
  <si>
    <t>25-43-23-c3-02341.0690</t>
  </si>
  <si>
    <t xml:space="preserve">206 NE 20th St  Cape Coral, FL 33909 </t>
  </si>
  <si>
    <t>De Pineda</t>
  </si>
  <si>
    <t>Cape Coral Unit 88 Blk 5774 Pb 24 Pg 132 Lots 25 + 26</t>
  </si>
  <si>
    <t>Cape Coral Unit 36 Pt 1 Blk 2500 Pb 23 Pg 93 Lots 21 + 22</t>
  </si>
  <si>
    <t>10707-1736</t>
  </si>
  <si>
    <t>Spyglass</t>
  </si>
  <si>
    <t>Dennis &amp; Kathryn Willey</t>
  </si>
  <si>
    <t>Cape Coral Unit 32 Blk 2145 Pb 16 Pg 5 Lots 11 + 12</t>
  </si>
  <si>
    <t>Alvin</t>
  </si>
  <si>
    <t>B020</t>
  </si>
  <si>
    <t>03-44-26-03-00012.0070</t>
  </si>
  <si>
    <t>03-44-26-05-00024.0060</t>
  </si>
  <si>
    <t>36-43-23-c2-02526.0530</t>
  </si>
  <si>
    <t xml:space="preserve">1319 NE 20th Pl </t>
  </si>
  <si>
    <t>19-43-24-c1-05575.0130</t>
  </si>
  <si>
    <t xml:space="preserve">1142 NE Juanita Pl  Cape Coral, FL 33909 </t>
  </si>
  <si>
    <t>Mariposa</t>
  </si>
  <si>
    <t xml:space="preserve">6525 Utopia Pkwy </t>
  </si>
  <si>
    <t>03-44-26-12-00060.0130</t>
  </si>
  <si>
    <t xml:space="preserve">1104 NE 36th Ln  Cape Coral, FL 33909 </t>
  </si>
  <si>
    <t xml:space="preserve">650 Sanford St SW </t>
  </si>
  <si>
    <t>33909-5271</t>
  </si>
  <si>
    <t>Georges</t>
  </si>
  <si>
    <t>Anthony &amp; Lisa Marchese</t>
  </si>
  <si>
    <t>Olga Castro</t>
  </si>
  <si>
    <t>Randal</t>
  </si>
  <si>
    <t>Raziel</t>
  </si>
  <si>
    <t>Linda Bittinger</t>
  </si>
  <si>
    <t>29-43-24-c3-02287.0310</t>
  </si>
  <si>
    <t>Laudermilch</t>
  </si>
  <si>
    <t>Gifford</t>
  </si>
  <si>
    <t xml:space="preserve">1244 NE 41st St  Cape Coral, FL 33909 </t>
  </si>
  <si>
    <t>33909-4505</t>
  </si>
  <si>
    <t>Stuenkel</t>
  </si>
  <si>
    <t>American &amp; Gary Payne</t>
  </si>
  <si>
    <t>34-43-24-01-00047.0110</t>
  </si>
  <si>
    <t>Susan Hakala</t>
  </si>
  <si>
    <t>Orlando</t>
  </si>
  <si>
    <t>Bensenville</t>
  </si>
  <si>
    <t xml:space="preserve">1861 NE 23rd St </t>
  </si>
  <si>
    <t xml:space="preserve">33 Poplar Cir  Peekskill, NY 10566-4124 </t>
  </si>
  <si>
    <t>Pleasant Valley</t>
  </si>
  <si>
    <t xml:space="preserve">5520 Cypress Woods Resort Dr </t>
  </si>
  <si>
    <t xml:space="preserve">2628 NE 20th Ct </t>
  </si>
  <si>
    <t xml:space="preserve">2417 NE 5th Pl </t>
  </si>
  <si>
    <t>Neunkirchen Seelscheid</t>
  </si>
  <si>
    <t>22701-8944</t>
  </si>
  <si>
    <t xml:space="preserve">3331 SE 19th Ave  Cape Coral, FL 33904 </t>
  </si>
  <si>
    <t xml:space="preserve">9827 Cameron Way  Missouri City, TX 77459-7285 </t>
  </si>
  <si>
    <t>R010</t>
  </si>
  <si>
    <t xml:space="preserve">156 Merryknoll Rd </t>
  </si>
  <si>
    <t xml:space="preserve">3453 NE 11th Pl </t>
  </si>
  <si>
    <t>Paul Latraverse</t>
  </si>
  <si>
    <t>Cape Coral Unit 34 Blk 2440 Pb 16 Pg 81 Lots 5 + 6</t>
  </si>
  <si>
    <t>James &amp; Ilene Reynolds</t>
  </si>
  <si>
    <t>33909-4216</t>
  </si>
  <si>
    <t>Veronica</t>
  </si>
  <si>
    <t>Centurelli</t>
  </si>
  <si>
    <t>17-43-24-c1-05818.0010</t>
  </si>
  <si>
    <t>Grenier</t>
  </si>
  <si>
    <t>Cape Coral Unit 36 Pt 1 Blk 2478 Pb 23 Pg 90 Lots 42 + 43</t>
  </si>
  <si>
    <t>17-44-25-p2-0170g.0080</t>
  </si>
  <si>
    <t>Alberto &amp; Maria Juliachs</t>
  </si>
  <si>
    <t>Mohamed Khan &amp; Bibi Ramroop</t>
  </si>
  <si>
    <t>Watsonville</t>
  </si>
  <si>
    <t xml:space="preserve">501a # 160 Dept, Jesus Maria Lima, PE </t>
  </si>
  <si>
    <t>11-44-25-04-0000b.0790</t>
  </si>
  <si>
    <t>Regina &amp; Stephen Edersheim</t>
  </si>
  <si>
    <t>02152-3020</t>
  </si>
  <si>
    <t>Stephen &amp; Sandra Persaud</t>
  </si>
  <si>
    <t xml:space="preserve">7 Ash Rd </t>
  </si>
  <si>
    <t>25-43-23-c4-02305.0440</t>
  </si>
  <si>
    <t>Cape Coral Unit 87 Blk 5695 Pb 24 Pg 81 Lots 43 + 44</t>
  </si>
  <si>
    <t xml:space="preserve">2329 S 4th St </t>
  </si>
  <si>
    <t>P1P 1E8</t>
  </si>
  <si>
    <t>Todd &amp; Sue Hepner</t>
  </si>
  <si>
    <t>Erick</t>
  </si>
  <si>
    <t>Subick Vevaykanand Tr</t>
  </si>
  <si>
    <t>Valeriy Vedishchev</t>
  </si>
  <si>
    <t>Britt</t>
  </si>
  <si>
    <t>11-44-25-10-00000.4100</t>
  </si>
  <si>
    <t>Cape Coral Unit 46 Blk 3598 Pb 17 Pg 123 Lots 53 + 54</t>
  </si>
  <si>
    <t>Newport Beach</t>
  </si>
  <si>
    <t xml:space="preserve">5760 Maplewood Ct  Fort Myers, FL 33905 </t>
  </si>
  <si>
    <t xml:space="preserve">705 Breton Way  Glen Cove, NY 11542-2666 </t>
  </si>
  <si>
    <t>17-43-24-c3-05798.0120</t>
  </si>
  <si>
    <t>Palmona Park Unit 1 Blk 30 Pb 7 Pg 54 Lots 17 + 18</t>
  </si>
  <si>
    <t>Caravel</t>
  </si>
  <si>
    <t>Cypress Woods Rv Resort Un 3 Desc In Pb 72 Pgs 92-95 Blk C Lot 18</t>
  </si>
  <si>
    <t xml:space="preserve">1909 NE 44th Ter </t>
  </si>
  <si>
    <t xml:space="preserve">1631 NE 34th St  Cape Coral, FL 33909 </t>
  </si>
  <si>
    <t xml:space="preserve">1554 Ellis Ave </t>
  </si>
  <si>
    <t>Cape Coral Unit 35 Blk 2400 Pb 16 Pg 109 Lots 42 + 43</t>
  </si>
  <si>
    <t xml:space="preserve">646 Mcintosh Cir </t>
  </si>
  <si>
    <t>Grayfox</t>
  </si>
  <si>
    <t>Cape Coral Unit 88 Blk 5828 Pb 24 Pg 142 Lot 30</t>
  </si>
  <si>
    <t>Cape Coral Unit 32 Blk 2173 Pb 16 Pg 8 Lots 5 Thru 7</t>
  </si>
  <si>
    <t xml:space="preserve">353 Lakeshore Ln </t>
  </si>
  <si>
    <t xml:space="preserve">339 NE 23rd Ter </t>
  </si>
  <si>
    <t xml:space="preserve">1012 Nameoke St 1f, Far Rockaway, NY 11691-4908 </t>
  </si>
  <si>
    <t>Cape Coral Unit 36 Blk 2298B Pb 16 Pg 122 Lots 8 + 9</t>
  </si>
  <si>
    <t>33905-3107</t>
  </si>
  <si>
    <t>33909-6440</t>
  </si>
  <si>
    <t xml:space="preserve">Po Box 990 </t>
  </si>
  <si>
    <t xml:space="preserve">De-Shalit #4 </t>
  </si>
  <si>
    <t xml:space="preserve">4233 SE 8th Ave </t>
  </si>
  <si>
    <t>99504-4149</t>
  </si>
  <si>
    <t>Cape Coral Unit 36 Part 1 Blk 2484 Pb 23 Pg 89 Lots 15 + 16</t>
  </si>
  <si>
    <t>Odebacksvaegen</t>
  </si>
  <si>
    <t>Arlington Heights</t>
  </si>
  <si>
    <t>Giles</t>
  </si>
  <si>
    <t xml:space="preserve">18375 Ventura Blvd #216, Tarzana, CA 91356-4218 </t>
  </si>
  <si>
    <t>Bracebridge</t>
  </si>
  <si>
    <t>Juan Escobar</t>
  </si>
  <si>
    <t>Fairfield</t>
  </si>
  <si>
    <t xml:space="preserve">419 NE 31st Ter </t>
  </si>
  <si>
    <t xml:space="preserve">330 NE 29th Ter  Cape Coral, FL 33909 </t>
  </si>
  <si>
    <t>John Gibula &amp; Joann Farmakis</t>
  </si>
  <si>
    <t>Cypress Trail Rv Resort As Desc In Inst# 2013000212499 Lot 193</t>
  </si>
  <si>
    <t xml:space="preserve">211 Los Cerezos St #307 </t>
  </si>
  <si>
    <t>WI</t>
  </si>
  <si>
    <t xml:space="preserve">209 Eddie Lewis Dr  Wexford, PA 15090-1545 </t>
  </si>
  <si>
    <t xml:space="preserve">Copper Beaches </t>
  </si>
  <si>
    <t>Phillips</t>
  </si>
  <si>
    <t>John &amp; Alice Riley</t>
  </si>
  <si>
    <t>Cape Coral Unit 84 Blk 5565 Pb 24 Pg 39 Lots 1 + 2</t>
  </si>
  <si>
    <t>Ironwood</t>
  </si>
  <si>
    <t>Lubeck</t>
  </si>
  <si>
    <t>34236-7520</t>
  </si>
  <si>
    <t>Dykun</t>
  </si>
  <si>
    <t>Mercedes Tores</t>
  </si>
  <si>
    <t xml:space="preserve">6478 W Lone Wash Way  West Jordan, UT 84081-1938 </t>
  </si>
  <si>
    <t xml:space="preserve">78 Central Hwy  Stony Point, NY 10980-2614 </t>
  </si>
  <si>
    <t>03-44-26-09-00044.0100</t>
  </si>
  <si>
    <t>Cape Coral Unit 36 Blk 2323 Pb 16 Pg 126 Lots 67 + 68</t>
  </si>
  <si>
    <t xml:space="preserve">1403 NE 44th St </t>
  </si>
  <si>
    <t xml:space="preserve">9713 31st Ave  East Elmhurst, NY 11369-1845 </t>
  </si>
  <si>
    <t xml:space="preserve">2655 Montego Dr </t>
  </si>
  <si>
    <t>Monter</t>
  </si>
  <si>
    <t>Cape Coral Unit 33 Blk.2247 Pb 16 Pg 57 Lots 3 + 4</t>
  </si>
  <si>
    <t>133rd</t>
  </si>
  <si>
    <t>Tezcuco</t>
  </si>
  <si>
    <t xml:space="preserve">21 Christina Ave  Monroe Township, NJ 08831-4025 </t>
  </si>
  <si>
    <t>Carter</t>
  </si>
  <si>
    <t xml:space="preserve">1485 Ohio Ave  Lawrence Township, NJ 08648-4649 </t>
  </si>
  <si>
    <t>Shelbourne</t>
  </si>
  <si>
    <t xml:space="preserve">4528 Boston Rd  Brecksville, OH 44141-3900 </t>
  </si>
  <si>
    <t>Deguzman</t>
  </si>
  <si>
    <t xml:space="preserve">3860 Hollycrest St </t>
  </si>
  <si>
    <t>98040-5769</t>
  </si>
  <si>
    <t xml:space="preserve">3003 Academy Blvd </t>
  </si>
  <si>
    <t xml:space="preserve">5916 Las Virgenes Rd #589 </t>
  </si>
  <si>
    <t xml:space="preserve">216 Reeves Creek Way </t>
  </si>
  <si>
    <t xml:space="preserve">2126 NE 33rd Ln </t>
  </si>
  <si>
    <t>H004</t>
  </si>
  <si>
    <t>Todd &amp; Colleen Hunter</t>
  </si>
  <si>
    <t xml:space="preserve">411 Walnut St #13954, Green Cove Springs, FL 32043-3443 </t>
  </si>
  <si>
    <t xml:space="preserve">1920 NE 1st Pl  Cape Coral, FL 33909 </t>
  </si>
  <si>
    <t>J8B 2R7</t>
  </si>
  <si>
    <t>33905-7723</t>
  </si>
  <si>
    <t>Guayaquil</t>
  </si>
  <si>
    <t>Marlboro</t>
  </si>
  <si>
    <t>302nd</t>
  </si>
  <si>
    <t>33909-2162</t>
  </si>
  <si>
    <t xml:space="preserve">248 Coneflower St </t>
  </si>
  <si>
    <t>Joshua J Basso Trust</t>
  </si>
  <si>
    <t xml:space="preserve">12008 SW 28th St #402, Miramar, FL 33025 </t>
  </si>
  <si>
    <t xml:space="preserve">2132 White Farm Ln </t>
  </si>
  <si>
    <t>31-43-24-c2-02139.0520</t>
  </si>
  <si>
    <t>Glen Eagle</t>
  </si>
  <si>
    <t>55304-2715</t>
  </si>
  <si>
    <t>R Williner</t>
  </si>
  <si>
    <t>Sherwood</t>
  </si>
  <si>
    <t xml:space="preserve">3706 Trent St  Fort Myers, FL 33905 </t>
  </si>
  <si>
    <t>Eric Owens &amp; Estate American</t>
  </si>
  <si>
    <t>Cypress Trail Rv Resort Phase 4-A As Desc In Inst# 20160000135610 Lot 339</t>
  </si>
  <si>
    <t xml:space="preserve">506 NE 23rd Ter </t>
  </si>
  <si>
    <t xml:space="preserve">904 NE 19th St  Cape Coral, FL 33909 </t>
  </si>
  <si>
    <t xml:space="preserve">3514 NE 15th Ave </t>
  </si>
  <si>
    <t>Kathryn Schaller</t>
  </si>
  <si>
    <t xml:space="preserve">22 Flintlock Rd  Nantucket, MA 02554-7632 </t>
  </si>
  <si>
    <t>Ivonne &amp; Modesto Perera</t>
  </si>
  <si>
    <t xml:space="preserve">314 NE 13th Ter </t>
  </si>
  <si>
    <t>33304-2322</t>
  </si>
  <si>
    <t>Charles &amp; Jean Mattes</t>
  </si>
  <si>
    <t>Rafael &amp; Rafael Rico</t>
  </si>
  <si>
    <t>Ptak</t>
  </si>
  <si>
    <t>Cape Coral Unit 85 Blk 5657 Pb 24 Pg 54 Lots 13 + 14</t>
  </si>
  <si>
    <t>33909-4554</t>
  </si>
  <si>
    <t xml:space="preserve">Submerged </t>
  </si>
  <si>
    <t>Naquisha</t>
  </si>
  <si>
    <t xml:space="preserve">3905 NE 15th Pl </t>
  </si>
  <si>
    <t>C042</t>
  </si>
  <si>
    <t>25-43-23-c4-02300.a240</t>
  </si>
  <si>
    <t>Kummer</t>
  </si>
  <si>
    <t>Old Tappan</t>
  </si>
  <si>
    <t>Judith &amp; For Lawton</t>
  </si>
  <si>
    <t>33909-1788</t>
  </si>
  <si>
    <t>Reddish</t>
  </si>
  <si>
    <t xml:space="preserve">826 NE 44th Ln </t>
  </si>
  <si>
    <t xml:space="preserve">17001 Puppy Dog Dr  Fort Myers, FL 33908 </t>
  </si>
  <si>
    <t>62236-2730</t>
  </si>
  <si>
    <t>Roger &amp; Nicole Demaeght</t>
  </si>
  <si>
    <t>56470-4641</t>
  </si>
  <si>
    <t>Martines</t>
  </si>
  <si>
    <t>Greenville</t>
  </si>
  <si>
    <t xml:space="preserve">497 Apardado </t>
  </si>
  <si>
    <t xml:space="preserve">1711 Beach Pkwy  Cape Coral, FL 33904 </t>
  </si>
  <si>
    <t>32746-6131</t>
  </si>
  <si>
    <t xml:space="preserve">1310 NE 7th Ave </t>
  </si>
  <si>
    <t>Cape Coral Unit 33 Blk.2240 Pb 16 Pg 55 Lots 47 + 48</t>
  </si>
  <si>
    <t>Fox Chase</t>
  </si>
  <si>
    <t>33909-1499</t>
  </si>
  <si>
    <t xml:space="preserve">1725 NE Juanita Pl </t>
  </si>
  <si>
    <t xml:space="preserve">92 Windsor St  Kearny, NJ 07032-2017 </t>
  </si>
  <si>
    <t xml:space="preserve">20 Sylvan Ave </t>
  </si>
  <si>
    <t>Dewitt</t>
  </si>
  <si>
    <t xml:space="preserve">5257 Cypress Trail Resort Cir  Fort Myers, FL 33905 </t>
  </si>
  <si>
    <t>Thomas Cooper</t>
  </si>
  <si>
    <t xml:space="preserve">2202 NE 36th St </t>
  </si>
  <si>
    <t>Macalester</t>
  </si>
  <si>
    <t>Fernando Rodriguez</t>
  </si>
  <si>
    <t xml:space="preserve">1125 NE 2nd Ave </t>
  </si>
  <si>
    <t>Katy</t>
  </si>
  <si>
    <t xml:space="preserve">Camanchile Dr Balingbing  Zamboanga City, PH </t>
  </si>
  <si>
    <t xml:space="preserve">120 NE 16th Ter  Cape Coral, FL 33909 </t>
  </si>
  <si>
    <t>Shambaugh</t>
  </si>
  <si>
    <t>Lumir</t>
  </si>
  <si>
    <t>33904-2711</t>
  </si>
  <si>
    <t>33903-3306</t>
  </si>
  <si>
    <t>White</t>
  </si>
  <si>
    <t>33909-5238</t>
  </si>
  <si>
    <t>20-43-24-c1-05770.0150</t>
  </si>
  <si>
    <t>Lin</t>
  </si>
  <si>
    <t>Denise Escobar</t>
  </si>
  <si>
    <t>Pete Foreman</t>
  </si>
  <si>
    <t>Wilmer</t>
  </si>
  <si>
    <t>Carle</t>
  </si>
  <si>
    <t xml:space="preserve">103 Rock Spring Rd #2, Stamford, CT 06906-1954 </t>
  </si>
  <si>
    <t>Rommell Herrera</t>
  </si>
  <si>
    <t xml:space="preserve">1128 Darlene Ave  Ocean, NJ 07712-4127 </t>
  </si>
  <si>
    <t xml:space="preserve">5017 Toledo Bend Dr  Frisco, TX 75033-2943 </t>
  </si>
  <si>
    <t>32-43-24-c2-02230.0460</t>
  </si>
  <si>
    <t>Desforges</t>
  </si>
  <si>
    <t>03-44-26-06-00030.0080</t>
  </si>
  <si>
    <t>Donald Myers</t>
  </si>
  <si>
    <t xml:space="preserve">27082 SW 140th Psge </t>
  </si>
  <si>
    <t>33909-3331</t>
  </si>
  <si>
    <t xml:space="preserve"> Le Plaln D Aups, FR </t>
  </si>
  <si>
    <t xml:space="preserve">2660 NE 189th St  Miami, FL 33180-2628 </t>
  </si>
  <si>
    <t>90077-2011</t>
  </si>
  <si>
    <t>03103-6743</t>
  </si>
  <si>
    <t>Christian Mussner</t>
  </si>
  <si>
    <t>P Razvi</t>
  </si>
  <si>
    <t>Framingham</t>
  </si>
  <si>
    <t xml:space="preserve">2715 62nd Ave E F11 </t>
  </si>
  <si>
    <t>Claudia &amp; Wendy Rodriguez</t>
  </si>
  <si>
    <t>Arborwood</t>
  </si>
  <si>
    <t>08-44-24-c1-01539.0420</t>
  </si>
  <si>
    <t xml:space="preserve">128 Jacaranda Pkwy E  Cape Coral, FL 33909 </t>
  </si>
  <si>
    <t>Malaga</t>
  </si>
  <si>
    <t>06-44-24-c4-02052.0070</t>
  </si>
  <si>
    <t>Saint Jullen Du Sault</t>
  </si>
  <si>
    <t xml:space="preserve">6024 Stratton Rd  Fort Myers, FL 33905 </t>
  </si>
  <si>
    <t>33411-4531</t>
  </si>
  <si>
    <t xml:space="preserve">35 Saint Roberts Dr </t>
  </si>
  <si>
    <t xml:space="preserve">622 Greenwich St 5a </t>
  </si>
  <si>
    <t>Basque</t>
  </si>
  <si>
    <t xml:space="preserve">234 Pheasant Ln </t>
  </si>
  <si>
    <t>Cristita</t>
  </si>
  <si>
    <t>Alfonso</t>
  </si>
  <si>
    <t>32-43-24-c1-02190.0220</t>
  </si>
  <si>
    <t>Rodrigo Ceja</t>
  </si>
  <si>
    <t>Peter Foreman</t>
  </si>
  <si>
    <t xml:space="preserve">11615 Carrollwood Dr  Tampa, FL 33618-3713 </t>
  </si>
  <si>
    <t xml:space="preserve">107 Summit Dr </t>
  </si>
  <si>
    <t>56007-1544</t>
  </si>
  <si>
    <t>Mogotocoro</t>
  </si>
  <si>
    <t xml:space="preserve">859 Indian Island Rd  Indian Island, NB E4w 1S8 </t>
  </si>
  <si>
    <t>33909-4304</t>
  </si>
  <si>
    <t xml:space="preserve">9068 Libra Dr  San Diego, CA 92126-4708 </t>
  </si>
  <si>
    <t>James &amp; Rosanne Hum</t>
  </si>
  <si>
    <t xml:space="preserve">5219 Pineland Daisy Trl </t>
  </si>
  <si>
    <t xml:space="preserve">155 Waters Edge </t>
  </si>
  <si>
    <t>Karmin</t>
  </si>
  <si>
    <t>Sherly Arbilo</t>
  </si>
  <si>
    <t>Cape Coral Unit 11 Blk.565 Pb 13 Pg 46 Lots 34 + 35</t>
  </si>
  <si>
    <t xml:space="preserve">522 Jacaranda Pkwy E </t>
  </si>
  <si>
    <t>Robert Francis</t>
  </si>
  <si>
    <t xml:space="preserve">1507 NE 13th Ter </t>
  </si>
  <si>
    <t>Darrell &amp; Vicki Fisher</t>
  </si>
  <si>
    <t>Star Coral</t>
  </si>
  <si>
    <t>Sunset Strip</t>
  </si>
  <si>
    <t>19-43-24-c1-05550.0290</t>
  </si>
  <si>
    <t xml:space="preserve">Po Box 2261 </t>
  </si>
  <si>
    <t>Kline</t>
  </si>
  <si>
    <t>33909-1249</t>
  </si>
  <si>
    <t xml:space="preserve">1029 NE 15th Ter  Cape Coral, FL 33909 </t>
  </si>
  <si>
    <t xml:space="preserve">2193 Havana Ave  Fort Myers, FL 33905 </t>
  </si>
  <si>
    <t>06-44-24-c1-02069.0460</t>
  </si>
  <si>
    <t>Dustin Neiman</t>
  </si>
  <si>
    <t xml:space="preserve">2600 NE 5th Pl </t>
  </si>
  <si>
    <t>Cape Coral Unit 32 Blk 2125 Pb 16 Pg 10 Lots 3 + 4</t>
  </si>
  <si>
    <t>Blakeway</t>
  </si>
  <si>
    <t xml:space="preserve">402 NE 26th St </t>
  </si>
  <si>
    <t>Jesus Victorero</t>
  </si>
  <si>
    <t xml:space="preserve">575 Ione Ave </t>
  </si>
  <si>
    <t xml:space="preserve">608 Christie St  South Hempstead, NY 11550-8007 </t>
  </si>
  <si>
    <t xml:space="preserve">427 SE 28th Ter  Cape Coral, FL 33904 </t>
  </si>
  <si>
    <t xml:space="preserve">417 NE 19th Ter  Cape Coral, FL 33909 </t>
  </si>
  <si>
    <t>Santoro</t>
  </si>
  <si>
    <t xml:space="preserve">Po Box 60660 </t>
  </si>
  <si>
    <t>55113-1348</t>
  </si>
  <si>
    <t xml:space="preserve">6030 Langdon Ave </t>
  </si>
  <si>
    <t xml:space="preserve">1918 NE 16th Pl </t>
  </si>
  <si>
    <t>Januareo &amp; Carmen Pereira</t>
  </si>
  <si>
    <t xml:space="preserve">14808 Oakwood Ct  Fort Myers, FL 33905 </t>
  </si>
  <si>
    <t xml:space="preserve">713 N 15th St  Allentown, PA 18102-1223 </t>
  </si>
  <si>
    <t>Boulton</t>
  </si>
  <si>
    <t>Cape Coral Unit 87 Blk 5689 Pb 24 Pg 83 Lots 41 + 42</t>
  </si>
  <si>
    <t>H053</t>
  </si>
  <si>
    <t xml:space="preserve">860 E 26th St </t>
  </si>
  <si>
    <t>J7N 0R5</t>
  </si>
  <si>
    <t>Kenneth &amp; Bertha Strauch</t>
  </si>
  <si>
    <t xml:space="preserve">3604 SE Santa Barbara Pl </t>
  </si>
  <si>
    <t xml:space="preserve">1803 NE 23rd Ter  Cape Coral, FL 33909 </t>
  </si>
  <si>
    <t>Ali Taeb</t>
  </si>
  <si>
    <t>Arriaga</t>
  </si>
  <si>
    <t>18-43-24-c2-05721.0170</t>
  </si>
  <si>
    <t>Rosita</t>
  </si>
  <si>
    <t>75070-4437</t>
  </si>
  <si>
    <t>19-43-24-c2-05605.0590</t>
  </si>
  <si>
    <t>06-44-24-c1-02068.0410</t>
  </si>
  <si>
    <t>07052-1149</t>
  </si>
  <si>
    <t>Karl &amp; Theresa Eichhorn</t>
  </si>
  <si>
    <t>Temehulc</t>
  </si>
  <si>
    <t>02324-1920</t>
  </si>
  <si>
    <t xml:space="preserve">620 Winterspice Dr  Frederick, MD 21703-4410 </t>
  </si>
  <si>
    <t xml:space="preserve">47 Littlefield St </t>
  </si>
  <si>
    <t>Cape Coral Unit 31 Blk 2056 Pb 14 Pg 155 Lots 38 + 39</t>
  </si>
  <si>
    <t xml:space="preserve">2047 NE 25th Ter  Cape Coral, FL 33909 </t>
  </si>
  <si>
    <t>Ying Hsu &amp; Lai Leean</t>
  </si>
  <si>
    <t xml:space="preserve">106 Hudson Ave  Roosevelt, NY 11575-2009 </t>
  </si>
  <si>
    <t>Vincent</t>
  </si>
  <si>
    <t xml:space="preserve">1404 NE 37th St  Cape Coral, FL 33909 </t>
  </si>
  <si>
    <t>Primavera</t>
  </si>
  <si>
    <t xml:space="preserve">104 Jacaranda Pkwy E </t>
  </si>
  <si>
    <t xml:space="preserve">21200 NE 12th Ct  Miami, FL 33179-1351 </t>
  </si>
  <si>
    <t>Cape Coral Unit 88 Blk.5794 Pb 24 Pg 130 Lots 1 + 2</t>
  </si>
  <si>
    <t>11225-4715</t>
  </si>
  <si>
    <t xml:space="preserve">5649 Brightwood Dr </t>
  </si>
  <si>
    <t>11-44-25-04-0000a.0250</t>
  </si>
  <si>
    <t>08823-1821</t>
  </si>
  <si>
    <t>Buckingham Pk Re Blk B U-2 Blk 7 Pb 27 Pg 189 Lot 55</t>
  </si>
  <si>
    <t>N7V 3C4</t>
  </si>
  <si>
    <t>Fanny Velasquez</t>
  </si>
  <si>
    <t xml:space="preserve">1317 NE 5th Ave </t>
  </si>
  <si>
    <t>93274-3262</t>
  </si>
  <si>
    <t xml:space="preserve">1630 NE 23rd Ter </t>
  </si>
  <si>
    <t>C091</t>
  </si>
  <si>
    <t>Am Kindergarten</t>
  </si>
  <si>
    <t>Cape Coral Unit 36 Blk 2343 Pb 16 Pg 121 Lots 21 &amp; 22</t>
  </si>
  <si>
    <t>N O N &amp; Vyrl Olsson</t>
  </si>
  <si>
    <t>Yampa</t>
  </si>
  <si>
    <t xml:space="preserve">4128 NE 8th Pl </t>
  </si>
  <si>
    <t>80233-3732</t>
  </si>
  <si>
    <t>Del Vecchio</t>
  </si>
  <si>
    <t>Llewellyn</t>
  </si>
  <si>
    <t xml:space="preserve">1503 NE 40th St  Cape Coral, FL 33909 </t>
  </si>
  <si>
    <t xml:space="preserve">5825 Bear Run Cir  Fairview, PA 16415-3806 </t>
  </si>
  <si>
    <t>Pedro &amp; Regina Nevarez</t>
  </si>
  <si>
    <t>17-43-24-c1-05761.0290</t>
  </si>
  <si>
    <t>Cypress Woods Rv Resort Desc In Inst#2006-358211 Lot 156</t>
  </si>
  <si>
    <t>Fm Se Cor Run N 0 Deg 44 Min E 1762.80 Ft Th N 77 Deg 54 Min W 1984.89 Ft To</t>
  </si>
  <si>
    <t>Robert Mottl</t>
  </si>
  <si>
    <t xml:space="preserve">4148 NE 8th Pl  Cape Coral, FL 33909 </t>
  </si>
  <si>
    <t xml:space="preserve">1221 NE 9th St </t>
  </si>
  <si>
    <t>Judith Ribeiro</t>
  </si>
  <si>
    <t xml:space="preserve">2891 Route 22 </t>
  </si>
  <si>
    <t>K1K 1X9</t>
  </si>
  <si>
    <t>17-43-24-c1-05820.0150</t>
  </si>
  <si>
    <t>Beech</t>
  </si>
  <si>
    <t>Kimberly</t>
  </si>
  <si>
    <t>Cape Coral Unit 84 Blk 5624 Pb 24 Pg 33 Lots 35 + 36</t>
  </si>
  <si>
    <t xml:space="preserve">9 White Oak Dr </t>
  </si>
  <si>
    <t>Selbyville</t>
  </si>
  <si>
    <t>MA</t>
  </si>
  <si>
    <t>11-44-25-08-00000.1780</t>
  </si>
  <si>
    <t>34113-8664</t>
  </si>
  <si>
    <t>31-43-24-c2-02138.0230</t>
  </si>
  <si>
    <t>Charles &amp; For Dampier</t>
  </si>
  <si>
    <t xml:space="preserve">6046 Stratton Rd </t>
  </si>
  <si>
    <t>18-43-24-c3-05747.0230</t>
  </si>
  <si>
    <t xml:space="preserve">4108 NE 10th Pl  Cape Coral, FL 33909 </t>
  </si>
  <si>
    <t>Peekskill</t>
  </si>
  <si>
    <t>John Leypoldt &amp; Cynthia Fassel</t>
  </si>
  <si>
    <t>08-44-24-c2-01522.0210</t>
  </si>
  <si>
    <t>Horizon Trust Company</t>
  </si>
  <si>
    <t>Adelina</t>
  </si>
  <si>
    <t>Modesta</t>
  </si>
  <si>
    <t>Whiteaker</t>
  </si>
  <si>
    <t xml:space="preserve">8910 Albert Stewart Ln  Silver Spring, MD 20910-1901 </t>
  </si>
  <si>
    <t>Lanham</t>
  </si>
  <si>
    <t>Robert Buster &amp; Joshua White</t>
  </si>
  <si>
    <t xml:space="preserve">10221 Butterweed Trl </t>
  </si>
  <si>
    <t xml:space="preserve">2210 SE 28th St </t>
  </si>
  <si>
    <t>Cypress Woods Rv Resort Ut 1 Pb 65 Pg 85 + 86 Blk B Lot 80</t>
  </si>
  <si>
    <t>Xuan Lai</t>
  </si>
  <si>
    <t xml:space="preserve">Po Box 31 </t>
  </si>
  <si>
    <t>33014-6505</t>
  </si>
  <si>
    <t>Cape Coral Unit 36 Blk 2353 Pb 16 Pg 119 Lots 42 +43</t>
  </si>
  <si>
    <t>Beacom</t>
  </si>
  <si>
    <t>11-44-25-04-0000b.0050</t>
  </si>
  <si>
    <t>Ft Myers Shores Unit 2 Blk 21 Pb 10 Pg 7 Lots 7 + 8</t>
  </si>
  <si>
    <t>Richard Fong &amp; Qinglin Yang</t>
  </si>
  <si>
    <t>34-43-24-01-00039.0180</t>
  </si>
  <si>
    <t>45817-1088</t>
  </si>
  <si>
    <t>Berrymore</t>
  </si>
  <si>
    <t xml:space="preserve">816 NE 7th Ave  Cape Coral, FL 33909 </t>
  </si>
  <si>
    <t>C009</t>
  </si>
  <si>
    <t>Foristell</t>
  </si>
  <si>
    <t xml:space="preserve">2244 Wiseman Crt </t>
  </si>
  <si>
    <t>Alma Cash</t>
  </si>
  <si>
    <t>Pm &amp; Mariamma Mathews</t>
  </si>
  <si>
    <t>V Louise Mixon Trust</t>
  </si>
  <si>
    <t xml:space="preserve">4125 NE 23rd Pl  Cape Coral, FL 33909 </t>
  </si>
  <si>
    <t>Quarry View</t>
  </si>
  <si>
    <t xml:space="preserve">99 Olivewood Dr </t>
  </si>
  <si>
    <t>Sam &amp; Kesone Chanthaphonh</t>
  </si>
  <si>
    <t xml:space="preserve">8852 Satterfield Dr  Huntington Beach, CA 92646-7139 </t>
  </si>
  <si>
    <t>Taborda</t>
  </si>
  <si>
    <t xml:space="preserve">1500 NE 34th Ln  Cape Coral, FL 33909 </t>
  </si>
  <si>
    <t>33149-2618</t>
  </si>
  <si>
    <t>Vicenza</t>
  </si>
  <si>
    <t>Ashby Fork</t>
  </si>
  <si>
    <t>33909-4642</t>
  </si>
  <si>
    <t xml:space="preserve">3231 NE 13th Pl  Cape Coral, FL 33909 </t>
  </si>
  <si>
    <t>17-43-24-c1-05776.0350</t>
  </si>
  <si>
    <t>Cape Coral Unit 33 Blk.2232 Pb 16 Pg 53 Lots 33 + 34</t>
  </si>
  <si>
    <t>G2</t>
  </si>
  <si>
    <t>Howells</t>
  </si>
  <si>
    <t xml:space="preserve">6960 Circle Dr </t>
  </si>
  <si>
    <t xml:space="preserve">4121 NE 20th Ct  Cape Coral, FL 33909 </t>
  </si>
  <si>
    <t xml:space="preserve">114 NE 21st Ave  Cape Coral, FL 33909 </t>
  </si>
  <si>
    <t>Nessa</t>
  </si>
  <si>
    <t>Dundee</t>
  </si>
  <si>
    <t>11-44-25-l1-12000.2830</t>
  </si>
  <si>
    <t xml:space="preserve">5541 Janeru Cir </t>
  </si>
  <si>
    <t>33909-4353</t>
  </si>
  <si>
    <t>Cape Coral Unit 36-Pt 1 Blk 2484 Pb 23 Pg 89 Lot 9 + 10</t>
  </si>
  <si>
    <t xml:space="preserve">1 Voyages Ct </t>
  </si>
  <si>
    <t>John &amp; Kishon Vanderweele</t>
  </si>
  <si>
    <t xml:space="preserve">2506 NE 19th Pl </t>
  </si>
  <si>
    <t>Canada</t>
  </si>
  <si>
    <t>Golub</t>
  </si>
  <si>
    <t>33909-1587</t>
  </si>
  <si>
    <t xml:space="preserve">1918 NE 27th Ter </t>
  </si>
  <si>
    <t>Cape Coral Unit 88 Blk 5776 Pb 24 Pg 134 Lots 9 + 10</t>
  </si>
  <si>
    <t xml:space="preserve">11076 Sunburst Ln </t>
  </si>
  <si>
    <t xml:space="preserve">401 NE 21st Ave  Cape Coral, FL 33909 </t>
  </si>
  <si>
    <t>Lehigh Acres Unit 14 W Pt Blk 77 Pb 26 Pg 20 Lots 9 + 10</t>
  </si>
  <si>
    <t xml:space="preserve">4140 NE 10th Pl </t>
  </si>
  <si>
    <t xml:space="preserve">3446 NE 9th Pl  Cape Coral, FL 33909 </t>
  </si>
  <si>
    <t xml:space="preserve">5517 Cypress Trail Resort Cir </t>
  </si>
  <si>
    <t>Cape Coral Unit 36 Blk 2335 Pb 16 Pg 127 Lots 7 + 8</t>
  </si>
  <si>
    <t xml:space="preserve">2202 Glendale St </t>
  </si>
  <si>
    <t>Av St Barnabe</t>
  </si>
  <si>
    <t>Kim Koopman</t>
  </si>
  <si>
    <t xml:space="preserve">308 73rd St  North Bergen, NJ 07047-5622 </t>
  </si>
  <si>
    <t>Fairbanks</t>
  </si>
  <si>
    <t>33909-1298</t>
  </si>
  <si>
    <t xml:space="preserve">10041 Stonewood Dr </t>
  </si>
  <si>
    <t xml:space="preserve">3941 Ely Ave </t>
  </si>
  <si>
    <t xml:space="preserve">6017 Lacota Ave </t>
  </si>
  <si>
    <t xml:space="preserve">3832 E 200 N  Greenfield, IN 46140-8905 </t>
  </si>
  <si>
    <t>Lehigh Acres Unit 3 Blk 11 Pb 26 Pg 5 Lot 19</t>
  </si>
  <si>
    <t>PO Box 196</t>
  </si>
  <si>
    <t>32738-9517</t>
  </si>
  <si>
    <t>60015-3869</t>
  </si>
  <si>
    <t>F &amp; Sandra Shelton</t>
  </si>
  <si>
    <t xml:space="preserve">46 Marrett Rd </t>
  </si>
  <si>
    <t>Nyquist B Anders Tr</t>
  </si>
  <si>
    <t>Ezzo</t>
  </si>
  <si>
    <t>Emma Greaves</t>
  </si>
  <si>
    <t>03-44-26-01-00006.0160</t>
  </si>
  <si>
    <t>Woodlawn</t>
  </si>
  <si>
    <t>Palmetto Palms Rv Resort Condo Ph 3 Or 1530 Pg 1466 Res Unit 514</t>
  </si>
  <si>
    <t xml:space="preserve">1532 S Gator Cir </t>
  </si>
  <si>
    <t>32-44-24-c4-01162.0140</t>
  </si>
  <si>
    <t>03-44-26-02-00007.0150</t>
  </si>
  <si>
    <t>01-44-23-c1-02464.0140</t>
  </si>
  <si>
    <t>06-44-24-c1-02073.0690</t>
  </si>
  <si>
    <t>Alan &amp; Kathryn Lang</t>
  </si>
  <si>
    <t>Whitby</t>
  </si>
  <si>
    <t>Sebring</t>
  </si>
  <si>
    <t>17-43-24-c1-05777.0150</t>
  </si>
  <si>
    <t>10019-4527</t>
  </si>
  <si>
    <t>Kofi</t>
  </si>
  <si>
    <t>18-43-24-c3-05587.0530</t>
  </si>
  <si>
    <t>Breckenridge</t>
  </si>
  <si>
    <t>32-43-24-c4-02223.0700</t>
  </si>
  <si>
    <t>Cape Coral Unit 36 Pt.1 Blk.2497 Pb 23 Pg 92 Lots 19 and 20</t>
  </si>
  <si>
    <t>Hester John S Tr</t>
  </si>
  <si>
    <t xml:space="preserve">78 Highland Ave  Winthrop, MA 02152-1513 </t>
  </si>
  <si>
    <t>32-43-24-c1-02184.0380</t>
  </si>
  <si>
    <t>32789-5739</t>
  </si>
  <si>
    <t>Cape Coral Unit 36 Blk 2294 Pb 16 Pg 120 Lots 39 + 40</t>
  </si>
  <si>
    <t xml:space="preserve">1510 NE 21st Ave  Cape Coral, FL 33909 </t>
  </si>
  <si>
    <t xml:space="preserve">10436 Nightwood Dr </t>
  </si>
  <si>
    <t>North Bend</t>
  </si>
  <si>
    <t xml:space="preserve">3212 NE 13th Pl </t>
  </si>
  <si>
    <t>Doherty</t>
  </si>
  <si>
    <t>Shaw</t>
  </si>
  <si>
    <t>Philip</t>
  </si>
  <si>
    <t>Bellemeade</t>
  </si>
  <si>
    <t>Lindamood</t>
  </si>
  <si>
    <t>04-44-25-01-0000b.0250</t>
  </si>
  <si>
    <t xml:space="preserve">2305 NE 8th Pl  Cape Coral, FL 33909 </t>
  </si>
  <si>
    <t>16-44-26-01-00026.0150</t>
  </si>
  <si>
    <t xml:space="preserve">746 Jefferson Ave </t>
  </si>
  <si>
    <t>Parq Del Rio</t>
  </si>
  <si>
    <t xml:space="preserve">41 S Douglas St  Rockland, MA 02370-2157 </t>
  </si>
  <si>
    <t xml:space="preserve">11548 SW 142nd Ave </t>
  </si>
  <si>
    <t xml:space="preserve">310 Randolph Rd </t>
  </si>
  <si>
    <t>35-45-23-02-00000.0010</t>
  </si>
  <si>
    <t>19-43-24-c3-05613.0450</t>
  </si>
  <si>
    <t xml:space="preserve">3441 NE 8th Pl </t>
  </si>
  <si>
    <t xml:space="preserve">426 Lakeside Dr #147 </t>
  </si>
  <si>
    <t>11561-3710</t>
  </si>
  <si>
    <t>14033-9604</t>
  </si>
  <si>
    <t>48315-1462</t>
  </si>
  <si>
    <t>Humacao</t>
  </si>
  <si>
    <t>R168</t>
  </si>
  <si>
    <t xml:space="preserve">1040 Darrow Rd </t>
  </si>
  <si>
    <t xml:space="preserve">3830 NE 19th Pl </t>
  </si>
  <si>
    <t>Milagros Espinal &amp; Walrogen Estevez</t>
  </si>
  <si>
    <t>40205-2776</t>
  </si>
  <si>
    <t xml:space="preserve">5222 Marsh Mallow Trl </t>
  </si>
  <si>
    <t>Deperio</t>
  </si>
  <si>
    <t>Remanso</t>
  </si>
  <si>
    <t xml:space="preserve">3733 NE 15th Ave </t>
  </si>
  <si>
    <t>Renton</t>
  </si>
  <si>
    <t xml:space="preserve">10161 Sunnywood Ct </t>
  </si>
  <si>
    <t>Weiner</t>
  </si>
  <si>
    <t>Richard Thomas</t>
  </si>
  <si>
    <t xml:space="preserve">26 Dayman Crt  Kitchener, ON N2m 2Z9 </t>
  </si>
  <si>
    <t>Cape Coral Unit 36 Blk 2354 Pb 16 Pg 119 Lots 67 + 68</t>
  </si>
  <si>
    <t>02675-2108</t>
  </si>
  <si>
    <t>18914-2023</t>
  </si>
  <si>
    <t xml:space="preserve">1342 NE 33rd Ln </t>
  </si>
  <si>
    <t>Amana</t>
  </si>
  <si>
    <t>Lien</t>
  </si>
  <si>
    <t>Lehigh Acres E Pt Unit 14 Blk 79 Pb 26 Pg 19 Lot 3</t>
  </si>
  <si>
    <t>19-43-24-c3-05574.0200</t>
  </si>
  <si>
    <t>Dennis Suanino &amp; Lovely Gonzales</t>
  </si>
  <si>
    <t>41051-8171</t>
  </si>
  <si>
    <t xml:space="preserve">17051 Ralphs Ranch Rd #502 </t>
  </si>
  <si>
    <t>03-44-26-03-00013.0410</t>
  </si>
  <si>
    <t>Nottoway</t>
  </si>
  <si>
    <t xml:space="preserve">7015 Fountain Ave </t>
  </si>
  <si>
    <t>Drilon</t>
  </si>
  <si>
    <t xml:space="preserve">2059 NE 20th Ter </t>
  </si>
  <si>
    <t>C H C &amp; Aleather Green</t>
  </si>
  <si>
    <t>Binondo</t>
  </si>
  <si>
    <t xml:space="preserve">3130 NE 13th Ct </t>
  </si>
  <si>
    <t xml:space="preserve">2000 Drennen Rd </t>
  </si>
  <si>
    <t xml:space="preserve">14 Mabolo Rd Northern Hills Malab  Groton, MA 01470 </t>
  </si>
  <si>
    <t>05-44-24-c1-03530.0230</t>
  </si>
  <si>
    <t>Starboard</t>
  </si>
  <si>
    <t>33904-5978</t>
  </si>
  <si>
    <t xml:space="preserve">14311 Oviedo Pl  Fort Myers, FL 33905 </t>
  </si>
  <si>
    <t xml:space="preserve">7611 23e Av </t>
  </si>
  <si>
    <t>18-43-24-c4-05700.0150</t>
  </si>
  <si>
    <t>Cape Coral Unit 87 Blk 5746 Pb 24 Pg 70 Lots 9 + 10</t>
  </si>
  <si>
    <t>Emily &amp; For Lipps</t>
  </si>
  <si>
    <t>25-43-23-c1-02327.b030</t>
  </si>
  <si>
    <t>Wilkie</t>
  </si>
  <si>
    <t>Cape Coral Unit 84 Blk 5565 Pb 24 Pg 39 Lots 7 + 8</t>
  </si>
  <si>
    <t xml:space="preserve">560 Ellis St  North Fort Myers, FL 33903 </t>
  </si>
  <si>
    <t xml:space="preserve">12926 2nd St </t>
  </si>
  <si>
    <t>11226-1117</t>
  </si>
  <si>
    <t xml:space="preserve">5839 Burrwood Ct </t>
  </si>
  <si>
    <t>Ronald &amp; Shirley Cornwell</t>
  </si>
  <si>
    <t xml:space="preserve">1233 Alegriano Ave </t>
  </si>
  <si>
    <t>Golaszewski</t>
  </si>
  <si>
    <t>Doug &amp; Kingdom Romeo</t>
  </si>
  <si>
    <t>60546-1746</t>
  </si>
  <si>
    <t xml:space="preserve">204 NE 31st Ter  Cape Coral, FL 33909 </t>
  </si>
  <si>
    <t>04-44-25-21-0000b.0010</t>
  </si>
  <si>
    <t xml:space="preserve">4148 NE 14th Pl  Cape Coral, FL 33909 </t>
  </si>
  <si>
    <t>27540-9182</t>
  </si>
  <si>
    <t>Skidmore</t>
  </si>
  <si>
    <t>20-43-24-c2-05664.0460</t>
  </si>
  <si>
    <t>Soltese</t>
  </si>
  <si>
    <t xml:space="preserve">3909 NE 15th Ave  Cape Coral, FL 33909 </t>
  </si>
  <si>
    <t>05-44-24-c2-03519.0300</t>
  </si>
  <si>
    <t xml:space="preserve">2891 Stevenson St  Santa Clara, CA 95051-5621 </t>
  </si>
  <si>
    <t>Kristie</t>
  </si>
  <si>
    <t xml:space="preserve">459 Willow Rd E #2 </t>
  </si>
  <si>
    <t xml:space="preserve">850 SW Airoso Blvd </t>
  </si>
  <si>
    <t>25-43-23-c2-02338.0370</t>
  </si>
  <si>
    <t xml:space="preserve">3230 S Ocean Blvd #211 </t>
  </si>
  <si>
    <t xml:space="preserve">1225 NE 11th St </t>
  </si>
  <si>
    <t xml:space="preserve">808 Mary Meadows Ln </t>
  </si>
  <si>
    <t>Heaven</t>
  </si>
  <si>
    <t xml:space="preserve">1125 NE 33rd St  Cape Coral, FL 33909 </t>
  </si>
  <si>
    <t xml:space="preserve">4936 Bay Park Dr  Port Richey, FL 34668-6206 </t>
  </si>
  <si>
    <t>Beaubrun</t>
  </si>
  <si>
    <t>11-45-24-04-00020.0110</t>
  </si>
  <si>
    <t xml:space="preserve">3569 Andalusia Blvd </t>
  </si>
  <si>
    <t xml:space="preserve">6820 W Flagler St #205 </t>
  </si>
  <si>
    <t>Cypress Woods Rv Resort Unit 4 Pb 79 Pgs 68-71 Blk D Lot 75</t>
  </si>
  <si>
    <t>33909-1244</t>
  </si>
  <si>
    <t>Osamah</t>
  </si>
  <si>
    <t xml:space="preserve">2508 NE Juanita Pl </t>
  </si>
  <si>
    <t xml:space="preserve">14420 SW 46th Ter  Miami, FL 33175-6834 </t>
  </si>
  <si>
    <t>Maribeth Deragisch &amp; For Holverson</t>
  </si>
  <si>
    <t>Gudaro</t>
  </si>
  <si>
    <t xml:space="preserve">70 Saint John Rd  Jewett City, CT 06351-2508 </t>
  </si>
  <si>
    <t>Tower Hill</t>
  </si>
  <si>
    <t>Hodzic Trust</t>
  </si>
  <si>
    <t xml:space="preserve">710 Whitehall Dr  Madison, WI 53714-3450 </t>
  </si>
  <si>
    <t xml:space="preserve">1011 NE 34th St </t>
  </si>
  <si>
    <t>North Weymouth</t>
  </si>
  <si>
    <t>13820-2694</t>
  </si>
  <si>
    <t>Cape Coral Unit 88 Blk 5793 Pb 24 Pg 130 Lots 4 + 5</t>
  </si>
  <si>
    <t>Jarvin Presiga</t>
  </si>
  <si>
    <t xml:space="preserve">1102 NE 9th Ter </t>
  </si>
  <si>
    <t xml:space="preserve">1314 NE 7th Ave </t>
  </si>
  <si>
    <t>92054-5730</t>
  </si>
  <si>
    <t>05-44-24-c1-03531.0030</t>
  </si>
  <si>
    <t>16-44-26-08-00024.0250</t>
  </si>
  <si>
    <t>17-43-24-c3-05785.0200</t>
  </si>
  <si>
    <t xml:space="preserve">2113 NE 1st St </t>
  </si>
  <si>
    <t>Cape Coral Unit 36 Blk 2300A Pb 16 Pg 125 Lots 73 + 74</t>
  </si>
  <si>
    <t>80602-8930</t>
  </si>
  <si>
    <t>Kenneth &amp; Leslye Huebsch</t>
  </si>
  <si>
    <t xml:space="preserve">1940 NE 23rd Pl </t>
  </si>
  <si>
    <t>60142-7427</t>
  </si>
  <si>
    <t xml:space="preserve">7705 Bank Street Rd  Batavia, NY 14020-9755 </t>
  </si>
  <si>
    <t>Heikkila</t>
  </si>
  <si>
    <t xml:space="preserve">180 Summit Ave  Jersey City, NJ 07304-3106 </t>
  </si>
  <si>
    <t>Vicente &amp; Alejandra Pacheco</t>
  </si>
  <si>
    <t xml:space="preserve">2515 NE 20th Ave  Cape Coral, FL 33909 </t>
  </si>
  <si>
    <t>Ft Myers Shores Unit 5 Blk 91 Pb 16 Pg 66 Lot 13 + W 1/2 Lot 12</t>
  </si>
  <si>
    <t>Cape Coral Unit 36 Pt 1 Blk 2146 Pb 23 Pg 92 Lots 77 + 78</t>
  </si>
  <si>
    <t xml:space="preserve">237 North Rd  Sudbury, MA 01776-1109 </t>
  </si>
  <si>
    <t>Ahmad Khreis</t>
  </si>
  <si>
    <t>01-44-23-c4-02416.0330</t>
  </si>
  <si>
    <t xml:space="preserve">1306 NE 4th Pl </t>
  </si>
  <si>
    <t xml:space="preserve">536 Clark St  North Fort Myers, FL 33903 </t>
  </si>
  <si>
    <t xml:space="preserve">2618 NE 1st Ave </t>
  </si>
  <si>
    <t xml:space="preserve">2610 NE 19th Pl  Cape Coral, FL 33909 </t>
  </si>
  <si>
    <t>Zahida</t>
  </si>
  <si>
    <t>Germantown</t>
  </si>
  <si>
    <t>Martin Harrington &amp; Angela Berg</t>
  </si>
  <si>
    <t>19-43-24-c2-05604.0050</t>
  </si>
  <si>
    <t>College Point</t>
  </si>
  <si>
    <t>03-44-26-13-00075.0120</t>
  </si>
  <si>
    <t>33904-4466</t>
  </si>
  <si>
    <t xml:space="preserve">2130 Andalusia Blvd  Cape Coral, FL 33909 </t>
  </si>
  <si>
    <t>Hallman</t>
  </si>
  <si>
    <t>01-44-23-c1-02462.0050</t>
  </si>
  <si>
    <t xml:space="preserve">42 Denise Dr </t>
  </si>
  <si>
    <t>Cape Coral Unit 26 Blk 866 Pb 14 Pg 131 Lots 51 + 52</t>
  </si>
  <si>
    <t>33909-5375</t>
  </si>
  <si>
    <t>Lehigh Acres Unit 14 W Pt Blk 77 Pb 26 Pg 20 Lots 11 + 12</t>
  </si>
  <si>
    <t>Cape Coral Unit 87 Blk 5679 Pb 24 Pg 73 Lots 15 + 16</t>
  </si>
  <si>
    <t xml:space="preserve">2621 NE 5th Pl  Cape Coral, FL 33909 </t>
  </si>
  <si>
    <t xml:space="preserve">7965 SW 165th St </t>
  </si>
  <si>
    <t>34103-2529</t>
  </si>
  <si>
    <t xml:space="preserve">400 NW 127th Ave </t>
  </si>
  <si>
    <t>33909-4609</t>
  </si>
  <si>
    <t>Mohican</t>
  </si>
  <si>
    <t>Cape Coral Unit 33 Blk 2217 Pb 16 Pg 43 Lots 1 + 2</t>
  </si>
  <si>
    <t xml:space="preserve">918 NE 34th Ter  Cape Coral, FL 33909 </t>
  </si>
  <si>
    <t>Jimmy Smith</t>
  </si>
  <si>
    <t xml:space="preserve">135 Ocean Ave 6i </t>
  </si>
  <si>
    <t xml:space="preserve">1824 NE 22nd St </t>
  </si>
  <si>
    <t xml:space="preserve">3619 NE 9th Ave  Cape Coral, FL 33909 </t>
  </si>
  <si>
    <t>Gulf Bank</t>
  </si>
  <si>
    <t xml:space="preserve">26-28 Rosenstrasse  Cadolzburg, DE 90556 </t>
  </si>
  <si>
    <t>34239-7225</t>
  </si>
  <si>
    <t>Machado</t>
  </si>
  <si>
    <t xml:space="preserve">5918 Shell Ridge Dr  Lithia, FL 33547-4086 </t>
  </si>
  <si>
    <t xml:space="preserve">4120 NE 14th Pl  Cape Coral, FL 33909 </t>
  </si>
  <si>
    <t xml:space="preserve">1209 NE 8th Pl </t>
  </si>
  <si>
    <t>R114</t>
  </si>
  <si>
    <t xml:space="preserve">2059 NE 20th Ter  Cape Coral, FL 33909 </t>
  </si>
  <si>
    <t>25-43-23-c2-02333.0630</t>
  </si>
  <si>
    <t xml:space="preserve">562 NE 6th Ter  Cape Coral, FL 33909 </t>
  </si>
  <si>
    <t xml:space="preserve">14190 Chetwood St  Fort Myers, FL 33905 </t>
  </si>
  <si>
    <t>Cynthia Boyd</t>
  </si>
  <si>
    <t>Equity &amp; Maureen Hession</t>
  </si>
  <si>
    <t xml:space="preserve">311 NW 82nd Ave #1217, Miami, FL 33126-8344 </t>
  </si>
  <si>
    <t>06902-1427</t>
  </si>
  <si>
    <t>Theresa Cendrowski</t>
  </si>
  <si>
    <t>20-43-24-c2-05664.0210</t>
  </si>
  <si>
    <t xml:space="preserve">7417 Flamewood Dr  Clarksville, MD 21029-1820 </t>
  </si>
  <si>
    <t xml:space="preserve">702 Cipres St </t>
  </si>
  <si>
    <t xml:space="preserve">2123 NE 43rd Ln  Cape Coral, FL 33909 </t>
  </si>
  <si>
    <t>29-43-24-c4-02284.0350</t>
  </si>
  <si>
    <t>Manh Dong</t>
  </si>
  <si>
    <t>Dung Kim Cao Separate Property Trust</t>
  </si>
  <si>
    <t>Cutricka</t>
  </si>
  <si>
    <t>01-44-23-c4-02417.0130</t>
  </si>
  <si>
    <t>33182-1259</t>
  </si>
  <si>
    <t>Panagiotis</t>
  </si>
  <si>
    <t>Nocera</t>
  </si>
  <si>
    <t>Alvaro Cortes</t>
  </si>
  <si>
    <t>Cape Coral Unit 33 Blk.2189 Pb 16 Pg 50 Lots 58 + 59</t>
  </si>
  <si>
    <t>Gallo</t>
  </si>
  <si>
    <t>Rafael Pereira &amp; Dayami Estrabao</t>
  </si>
  <si>
    <t>Robeson</t>
  </si>
  <si>
    <t>L3R 8A8</t>
  </si>
  <si>
    <t xml:space="preserve">8351 Buckingham Rd </t>
  </si>
  <si>
    <t xml:space="preserve">1017 NE 13th Pl </t>
  </si>
  <si>
    <t>Marsha Diamond</t>
  </si>
  <si>
    <t>Sherleen</t>
  </si>
  <si>
    <t xml:space="preserve">2618 Paterson Plank Rd #2 </t>
  </si>
  <si>
    <t>33904-5924</t>
  </si>
  <si>
    <t>19-43-24-c3-05610.0310</t>
  </si>
  <si>
    <t>17-43-24-c2-05815.0050</t>
  </si>
  <si>
    <t xml:space="preserve">3923 NE 21st Pl  Cape Coral, FL 33909 </t>
  </si>
  <si>
    <t xml:space="preserve">511 Diplomat Pkwy E  Cape Coral, FL 33909 </t>
  </si>
  <si>
    <t>33909-6833</t>
  </si>
  <si>
    <t>Huntwicke</t>
  </si>
  <si>
    <t xml:space="preserve">921 NE 5th Pl </t>
  </si>
  <si>
    <t>Lafortune</t>
  </si>
  <si>
    <t xml:space="preserve">1417 NE 7th Ave  Cape Coral, FL 33909 </t>
  </si>
  <si>
    <t>Ninety Six</t>
  </si>
  <si>
    <t>Cape Coral Unit 84 Blk 5565 Pb 24 Pg 37 Lots 60 + 61</t>
  </si>
  <si>
    <t xml:space="preserve">245 Pine St </t>
  </si>
  <si>
    <t>Strock Arthur V Tr</t>
  </si>
  <si>
    <t>21403-4015</t>
  </si>
  <si>
    <t xml:space="preserve">10100 Sunnywood Ct </t>
  </si>
  <si>
    <t xml:space="preserve">1717 N Gator Cir  Cape Coral, FL 33909 </t>
  </si>
  <si>
    <t>11418-1110</t>
  </si>
  <si>
    <t>33040-5653</t>
  </si>
  <si>
    <t>33904-2869</t>
  </si>
  <si>
    <t xml:space="preserve">4565 SW 153rd Ave  Miramar, FL 33027-3374 </t>
  </si>
  <si>
    <t>18-43-24-c1-05730.0010</t>
  </si>
  <si>
    <t xml:space="preserve">20334 NW 53rd Ct </t>
  </si>
  <si>
    <t>Claire</t>
  </si>
  <si>
    <t xml:space="preserve">45 Kingsbridge Garden Cir #1202 </t>
  </si>
  <si>
    <t>19-43-24-c2-05599.0090</t>
  </si>
  <si>
    <t>13-45-23-c2-00107.0130</t>
  </si>
  <si>
    <t xml:space="preserve">16579 Cedar Crest Dr </t>
  </si>
  <si>
    <t xml:space="preserve">4058 Ellesmere Rd  Toronto, ON M1c 1J2 </t>
  </si>
  <si>
    <t xml:space="preserve">2 Colletto Ct </t>
  </si>
  <si>
    <t xml:space="preserve">750 Cowboy Way </t>
  </si>
  <si>
    <t xml:space="preserve">5730 SW 11th St  West Miami, FL 33144-5108 </t>
  </si>
  <si>
    <t>33322-5230</t>
  </si>
  <si>
    <t xml:space="preserve">4013 NE 23rd Pl  Cape Coral, FL 33909 </t>
  </si>
  <si>
    <t>33190-1811</t>
  </si>
  <si>
    <t>33065-1303</t>
  </si>
  <si>
    <t xml:space="preserve">7003 60th Ave  Hudsonville, MI 49426-9547 </t>
  </si>
  <si>
    <t>33032-1205</t>
  </si>
  <si>
    <t xml:space="preserve">5700 Keeney St  Morton Grove, IL 60053-3549 </t>
  </si>
  <si>
    <t xml:space="preserve">401 NE 25th Ter  Cape Coral, FL 33909 </t>
  </si>
  <si>
    <t>Bak</t>
  </si>
  <si>
    <t xml:space="preserve">29-55 Calle 128 B #402 </t>
  </si>
  <si>
    <t xml:space="preserve">9 NE 19th Ter  Cape Coral, FL 33909 </t>
  </si>
  <si>
    <t>Audubon</t>
  </si>
  <si>
    <t>Ercole Ricioppo</t>
  </si>
  <si>
    <t xml:space="preserve">10121 SW 40th Ter  Miami, FL 33165-5028 </t>
  </si>
  <si>
    <t>Buckingham Pk Re Blk B U-1 Blk 3 Pb 27 Pg 188 Lot 23</t>
  </si>
  <si>
    <t>01929-1003</t>
  </si>
  <si>
    <t xml:space="preserve">2220 NE 19th Pl </t>
  </si>
  <si>
    <t xml:space="preserve">2024 NE 18th St </t>
  </si>
  <si>
    <t>Humbarger</t>
  </si>
  <si>
    <t>33905-5724</t>
  </si>
  <si>
    <t>Cypress Trail Rv Resort Ph 3 As Desc In Inst# 2015000085552 Lot 240</t>
  </si>
  <si>
    <t>33935-9436</t>
  </si>
  <si>
    <t>Errol Russell</t>
  </si>
  <si>
    <t>Highland Park</t>
  </si>
  <si>
    <t>Michael Kyser &amp; Eileen Caramela</t>
  </si>
  <si>
    <t>22031-3816</t>
  </si>
  <si>
    <t>Cedar Canyon</t>
  </si>
  <si>
    <t xml:space="preserve">712 NE 3rd Ave  Cape Coral, FL 33909 </t>
  </si>
  <si>
    <t xml:space="preserve">165 E Chemin Des Barger </t>
  </si>
  <si>
    <t>19-43-24-c2-05600.0110</t>
  </si>
  <si>
    <t>Slimani</t>
  </si>
  <si>
    <t xml:space="preserve">4316 Connection Ave  Cape Coral, FL 33909 </t>
  </si>
  <si>
    <t>David &amp; Leslie Biskner</t>
  </si>
  <si>
    <t>29-43-24-c4-02284.0100</t>
  </si>
  <si>
    <t xml:space="preserve">1025 NE 2nd Pl  Cape Coral, FL 33909 </t>
  </si>
  <si>
    <t>Bean Ruth L Tr</t>
  </si>
  <si>
    <t xml:space="preserve">7431 SW 105th Pl </t>
  </si>
  <si>
    <t>Delilah &amp; Leonel Alvarez</t>
  </si>
  <si>
    <t xml:space="preserve">3438 Countrywood Ln  Vestavia, AL 35243-4424 </t>
  </si>
  <si>
    <t xml:space="preserve">15 Marie Curie St  Asheville, NC 28816 </t>
  </si>
  <si>
    <t xml:space="preserve">502 Winston Dr </t>
  </si>
  <si>
    <t>Beach 125th</t>
  </si>
  <si>
    <t>33909-5321</t>
  </si>
  <si>
    <t>Calle Aleli</t>
  </si>
  <si>
    <t>Rockville</t>
  </si>
  <si>
    <t xml:space="preserve">6133 Hutton Ct  Fort Myers, FL 33905 </t>
  </si>
  <si>
    <t>33312-3716</t>
  </si>
  <si>
    <t xml:space="preserve">56540 Hayes Rd  Macomb, MI 48042-1009 </t>
  </si>
  <si>
    <t>18-43-24-c3-05750.0170</t>
  </si>
  <si>
    <t>18-43-24-c3-05712.0130</t>
  </si>
  <si>
    <t>03-44-26-14-00084.0030</t>
  </si>
  <si>
    <t xml:space="preserve">14233 SE Marci Way </t>
  </si>
  <si>
    <t>76001-7864</t>
  </si>
  <si>
    <t xml:space="preserve">605 E Robinson St #450 </t>
  </si>
  <si>
    <t>Dasilva Joseph Tr</t>
  </si>
  <si>
    <t>Teaneck</t>
  </si>
  <si>
    <t xml:space="preserve">902 NE 23rd Ter  Cape Coral, FL 33909 </t>
  </si>
  <si>
    <t>Cape Coral Unit 88 Blk 5824 Pb 24 Pg 143 Lots 2 + 3</t>
  </si>
  <si>
    <t xml:space="preserve">3601 NE 17th Ave  Cape Coral, FL 33909 </t>
  </si>
  <si>
    <t>Jesus Barrios</t>
  </si>
  <si>
    <t>Belair</t>
  </si>
  <si>
    <t>Holiday Travel Park Rv Condo Ph 1 Or 1557 Pg 1583 Unit 343</t>
  </si>
  <si>
    <t>60142-2411</t>
  </si>
  <si>
    <t xml:space="preserve">218 E 50th St </t>
  </si>
  <si>
    <t>Cypress Trail Rv Resort Phase 4-C Block B Lot 459 As Desc In Inst 2019000042424</t>
  </si>
  <si>
    <t>11236-5111</t>
  </si>
  <si>
    <t>18-43-24-c1-05726.0260</t>
  </si>
  <si>
    <t>57719-7600</t>
  </si>
  <si>
    <t>31-43-24-c3-02120.0450</t>
  </si>
  <si>
    <t>Beatrix</t>
  </si>
  <si>
    <t xml:space="preserve">1502 NE 10th Ln  Cape Coral, FL 33909 </t>
  </si>
  <si>
    <t>Myrtle Beach</t>
  </si>
  <si>
    <t>19-43-24-c4-05554.0040</t>
  </si>
  <si>
    <t xml:space="preserve">8535 Drake Ave </t>
  </si>
  <si>
    <t>33055-4005</t>
  </si>
  <si>
    <t>18-43-24-c1-05692.0530</t>
  </si>
  <si>
    <t>Harriet</t>
  </si>
  <si>
    <t xml:space="preserve">227 Holly Ave  Hempstead, NY 11550-5211 </t>
  </si>
  <si>
    <t>11030-2812</t>
  </si>
  <si>
    <t>Burbacher</t>
  </si>
  <si>
    <t>Cape Coral Unit 34 Blk 2455 Pb 16 Pg 86 Lots 45 + 46</t>
  </si>
  <si>
    <t>Cape Coral Unit 36 Blk 2300A Pb 16 Pg 125 Lots 75 Thru 78</t>
  </si>
  <si>
    <t>25-43-23-c1-02330.0550</t>
  </si>
  <si>
    <t>Cox Ferry</t>
  </si>
  <si>
    <t xml:space="preserve">330 Kismet Pkwy E  Cape Coral, FL 33909 </t>
  </si>
  <si>
    <t xml:space="preserve">6006 Latimer Ave  Fort Myers, FL 33905 </t>
  </si>
  <si>
    <t>28304-3740</t>
  </si>
  <si>
    <t>Alberto &amp; Fabiola Leggeri</t>
  </si>
  <si>
    <t xml:space="preserve">7506 Lilly St </t>
  </si>
  <si>
    <t>25-43-23-c4-02303.0090</t>
  </si>
  <si>
    <t>Lehigh Acres Unit 6 Blk 28 Pb 26 Pg 8 Lot 25</t>
  </si>
  <si>
    <t>Cristofer Cerros</t>
  </si>
  <si>
    <t>34787-4623</t>
  </si>
  <si>
    <t>33909-3239</t>
  </si>
  <si>
    <t xml:space="preserve">473 Narragansett St NE  Palm Bay, FL 32907-1332 </t>
  </si>
  <si>
    <t xml:space="preserve">1261 W 12500 S </t>
  </si>
  <si>
    <t xml:space="preserve">4104 NE 21st Pl  Cape Coral, FL 33909 </t>
  </si>
  <si>
    <t xml:space="preserve">11 NE 8th Ter </t>
  </si>
  <si>
    <t xml:space="preserve">3713 Andalusia Blvd </t>
  </si>
  <si>
    <t>Coradeschi</t>
  </si>
  <si>
    <t xml:space="preserve">2723 NW Timbercreek Cir </t>
  </si>
  <si>
    <t>Anthem Village</t>
  </si>
  <si>
    <t>Barasch</t>
  </si>
  <si>
    <t>Ena</t>
  </si>
  <si>
    <t>33909-1332</t>
  </si>
  <si>
    <t>01-44-23-c3-02466.0350</t>
  </si>
  <si>
    <t>Brunswick</t>
  </si>
  <si>
    <t>Roehampton</t>
  </si>
  <si>
    <t xml:space="preserve">4092 Princeton St </t>
  </si>
  <si>
    <t xml:space="preserve">5660 Maplewood Ct </t>
  </si>
  <si>
    <t>91326-4003</t>
  </si>
  <si>
    <t>Brian Miller</t>
  </si>
  <si>
    <t>11-44-25-05-0000c.1150</t>
  </si>
  <si>
    <t>L6L 6X4</t>
  </si>
  <si>
    <t xml:space="preserve">2417 NE 5th Pl  Cape Coral, FL 33909 </t>
  </si>
  <si>
    <t>Lauri &amp; Aili Peltonen</t>
  </si>
  <si>
    <t>Rodger</t>
  </si>
  <si>
    <t>Auva</t>
  </si>
  <si>
    <t>Shalini Jaigobind</t>
  </si>
  <si>
    <t>11-44-25-06-0000d.1140</t>
  </si>
  <si>
    <t>Josette</t>
  </si>
  <si>
    <t>07-44-24-c3-01481.0160</t>
  </si>
  <si>
    <t xml:space="preserve">7198 Maida Ln  Fort Myers, FL 33908 </t>
  </si>
  <si>
    <t>Mingjie Hu &amp; Yuzhi Li</t>
  </si>
  <si>
    <t xml:space="preserve">910 White Oak Pt  Byrdstown, TN 38549-2900 </t>
  </si>
  <si>
    <t xml:space="preserve">36 Orchard Rd </t>
  </si>
  <si>
    <t>Brian &amp; Melanie Botwinski</t>
  </si>
  <si>
    <t>Natick</t>
  </si>
  <si>
    <t xml:space="preserve">9211 212th Pl </t>
  </si>
  <si>
    <t>Donavon</t>
  </si>
  <si>
    <t>Lehigh Acres Unit 8 Blk 36 Pb 26 Pg 10 Lot 17</t>
  </si>
  <si>
    <t>02110-2602</t>
  </si>
  <si>
    <t>Edward Uritza</t>
  </si>
  <si>
    <t>Stephen Davis</t>
  </si>
  <si>
    <t xml:space="preserve">1202 NE Juanita Pl </t>
  </si>
  <si>
    <t>Sunfish Lake</t>
  </si>
  <si>
    <t>79904-2425</t>
  </si>
  <si>
    <t xml:space="preserve">4011 NE 13th Pl </t>
  </si>
  <si>
    <t xml:space="preserve">4 Georg-Buchner-Str  Munster, DE 64839 </t>
  </si>
  <si>
    <t xml:space="preserve">203 Paxton St  Paterson, NJ 07503-2763 </t>
  </si>
  <si>
    <t xml:space="preserve">616 Clifford Dr </t>
  </si>
  <si>
    <t>Cape Coral Unit 17 Blk.1509 Pb 14 Pg 32 Lots 78 + 79</t>
  </si>
  <si>
    <t xml:space="preserve">2215 NE 34th Ln </t>
  </si>
  <si>
    <t>Kathryn Petrie</t>
  </si>
  <si>
    <t>33018-4157</t>
  </si>
  <si>
    <t xml:space="preserve">1517 S Gator Cir </t>
  </si>
  <si>
    <t xml:space="preserve">1401 NE 1st Ave </t>
  </si>
  <si>
    <t>Bye</t>
  </si>
  <si>
    <t xml:space="preserve">4413 NE 22nd Pl </t>
  </si>
  <si>
    <t>Yu</t>
  </si>
  <si>
    <t>33909-2016</t>
  </si>
  <si>
    <t xml:space="preserve">1601 NE 33rd Ter </t>
  </si>
  <si>
    <t xml:space="preserve">27907 Eastonwood Ct  Katy, TX 77494-1739 </t>
  </si>
  <si>
    <t xml:space="preserve">131 NE 25th St </t>
  </si>
  <si>
    <t xml:space="preserve">2050 SE Doverbrook St  Port Saint Lucie, FL 34983-4698 </t>
  </si>
  <si>
    <t xml:space="preserve">5202 Pineland Daisy Trl  Fort Myers, FL 33905 </t>
  </si>
  <si>
    <t>Elgersma</t>
  </si>
  <si>
    <t>Rx-D</t>
  </si>
  <si>
    <t>65737-9521</t>
  </si>
  <si>
    <t>Lehigh Acres Unit 9 Blk 43 Pb 26 Pg 11 Lot 6</t>
  </si>
  <si>
    <t>W2056</t>
  </si>
  <si>
    <t xml:space="preserve">422 13th Ave N </t>
  </si>
  <si>
    <t>Persephone</t>
  </si>
  <si>
    <t>Cape Coral Unit 87 Blk 5725 Pb 24 Pg 79 Lot 39</t>
  </si>
  <si>
    <t xml:space="preserve">2305 NE 35th Ln  Cape Coral, FL 33909 </t>
  </si>
  <si>
    <t>Cypress Woods Rv Resort Unit 4 Pb 79 Pgs 68-71 Blk D Lot 70</t>
  </si>
  <si>
    <t xml:space="preserve">234 Martin Grove Rd </t>
  </si>
  <si>
    <t>01-44-23-c4-02468.0140</t>
  </si>
  <si>
    <t>33909-4408</t>
  </si>
  <si>
    <t>03-44-26-04-00021.0030</t>
  </si>
  <si>
    <t>Nicoletta</t>
  </si>
  <si>
    <t xml:space="preserve">650 16th Ave NE  Naples, FL 34120-2393 </t>
  </si>
  <si>
    <t>Lakend</t>
  </si>
  <si>
    <t xml:space="preserve">3335 NE 23rd Pl  Cape Coral, FL 33909 </t>
  </si>
  <si>
    <t>32-43-24-c3-02187.0390</t>
  </si>
  <si>
    <t>Castaic</t>
  </si>
  <si>
    <t>John &amp; Katherine Vitollo</t>
  </si>
  <si>
    <t xml:space="preserve">5608 Ridgewood Ave </t>
  </si>
  <si>
    <t>17-43-24-c1-05827.0030</t>
  </si>
  <si>
    <t xml:space="preserve">3537 NE 18th Ave  Cape Coral, FL 33909 </t>
  </si>
  <si>
    <t xml:space="preserve">Via Samborondon Km 25 Biblos  Guayaquil, EC </t>
  </si>
  <si>
    <t xml:space="preserve">10207 Butterweed Trl  Fort Myers, FL 33905 </t>
  </si>
  <si>
    <t>Sara &amp; Mina Delene</t>
  </si>
  <si>
    <t>44072-9573</t>
  </si>
  <si>
    <t xml:space="preserve">10 Horseshoe Rd </t>
  </si>
  <si>
    <t>County Road 515</t>
  </si>
  <si>
    <t xml:space="preserve">15720 SW 53rd Ct </t>
  </si>
  <si>
    <t>03-44-26-10-00047.0090</t>
  </si>
  <si>
    <t>Hoffman Estates</t>
  </si>
  <si>
    <t>29-43-24-c4-02282.0010</t>
  </si>
  <si>
    <t xml:space="preserve">1144 Sunview Dr  Mogadore, OH 44260-9783 </t>
  </si>
  <si>
    <t>Cape Coral Unit 36 Blk 2543 Pb 16 Pg 115 Lots 16 + 17</t>
  </si>
  <si>
    <t>32-43-24-c1-02234.0260</t>
  </si>
  <si>
    <t>Newell Protection &amp; Judith Newell</t>
  </si>
  <si>
    <t>34233-2037</t>
  </si>
  <si>
    <t>Amber</t>
  </si>
  <si>
    <t>Glen &amp; Doreen Neely</t>
  </si>
  <si>
    <t>Cape Coral Unit 36 Blk 2354 Pb 16 Pg 119 Lots 65 + 66</t>
  </si>
  <si>
    <t>Cape Coral Unit 36 Blk 2313 Pb 16 Pg 126 Lots 19 + 20</t>
  </si>
  <si>
    <t>11520-6002</t>
  </si>
  <si>
    <t>Lehigh Acres E 1/2 Unit 13 Blk 70 Pb 26 Pg 17 Lot 18</t>
  </si>
  <si>
    <t xml:space="preserve">23604 48th Ave W  Mountlake Terrace, WA 98043-5704 </t>
  </si>
  <si>
    <t>Baypointe</t>
  </si>
  <si>
    <t xml:space="preserve">1418 NE 7th Pl </t>
  </si>
  <si>
    <t xml:space="preserve">2528 SE 24th Ave  Cape Coral, FL 33904 </t>
  </si>
  <si>
    <t>Ament</t>
  </si>
  <si>
    <t>L G L &amp; Tongae Salvin</t>
  </si>
  <si>
    <t>06-45-24-c4-00541.0300</t>
  </si>
  <si>
    <t xml:space="preserve">10058 Parkwood Dr </t>
  </si>
  <si>
    <t>Dorothy Dombal</t>
  </si>
  <si>
    <t>Jarquin</t>
  </si>
  <si>
    <t>Mary Croser &amp; Carol Spigel</t>
  </si>
  <si>
    <t xml:space="preserve">4421 Shawn Dr  Traverse City, MI 49685-9629 </t>
  </si>
  <si>
    <t>Succasunna</t>
  </si>
  <si>
    <t>Nairn</t>
  </si>
  <si>
    <t>Cape Coral Unit 47 Pt 2 Blk 3540 Pb 23 Pg 117 Lots 56 Thru 58</t>
  </si>
  <si>
    <t>Trenton</t>
  </si>
  <si>
    <t>Mona</t>
  </si>
  <si>
    <t>32-43-24-c2-02241.0570</t>
  </si>
  <si>
    <t>Cape Coral Unit 31 Blk 2049 Pb 14 Pg 157 Lots 28 + 29</t>
  </si>
  <si>
    <t>Crowndale</t>
  </si>
  <si>
    <t>PO Box 736</t>
  </si>
  <si>
    <t xml:space="preserve">1801 Harewood Ct </t>
  </si>
  <si>
    <t>For Emma Hazel Varner Trust</t>
  </si>
  <si>
    <t xml:space="preserve">837 Old State Rd  Berwyn, PA 19312-1442 </t>
  </si>
  <si>
    <t>Cape Coral Unit 36 Pt 1 Blk 2509 Pb 23 Pg 90 Lots 27 Thru 29</t>
  </si>
  <si>
    <t xml:space="preserve">553 Alton Way C, Denver, CO 80230-6185 </t>
  </si>
  <si>
    <t>Destiny Estriplet</t>
  </si>
  <si>
    <t xml:space="preserve">331 NE 15th St </t>
  </si>
  <si>
    <t>Cape Coral Unit 36 Blk 2314 Pb 16 Pg 123 Lots 24 + 25</t>
  </si>
  <si>
    <t>For John &amp; Pamela A Busch Trust</t>
  </si>
  <si>
    <t>20-43-24-c3-05671.0030</t>
  </si>
  <si>
    <t>David &amp; Sheila Sisco</t>
  </si>
  <si>
    <t xml:space="preserve">6901 32nd Ave N  Saint Petersburg, FL 33710-1403 </t>
  </si>
  <si>
    <t xml:space="preserve">1222 NE 1st Pl </t>
  </si>
  <si>
    <t>12-44-23-c1-02408.0330</t>
  </si>
  <si>
    <t xml:space="preserve">1521 SW 34th Ave </t>
  </si>
  <si>
    <t>33909-3288</t>
  </si>
  <si>
    <t>Amparo Canelo</t>
  </si>
  <si>
    <t xml:space="preserve">6410 Arbor Ave </t>
  </si>
  <si>
    <t xml:space="preserve">10007 NE 125th Ln 13-4 </t>
  </si>
  <si>
    <t>Sonja</t>
  </si>
  <si>
    <t xml:space="preserve">1708 NE 44th St </t>
  </si>
  <si>
    <t>PO Box 7323</t>
  </si>
  <si>
    <t>Sylvain &amp; Cindy Bourgon</t>
  </si>
  <si>
    <t xml:space="preserve">18 Springhill Dr  Howell, NJ 07731-2114 </t>
  </si>
  <si>
    <t xml:space="preserve">3775 La Rue St  Fort Myers, FL 33905 </t>
  </si>
  <si>
    <t>56172-1404</t>
  </si>
  <si>
    <t xml:space="preserve">311 Lincoln St </t>
  </si>
  <si>
    <t>33909-7316</t>
  </si>
  <si>
    <t>07047-4954</t>
  </si>
  <si>
    <t xml:space="preserve">1905 NE 4th Ave </t>
  </si>
  <si>
    <t xml:space="preserve">18001 Greenwood Dr </t>
  </si>
  <si>
    <t>32-44-24-c1-01210.0410</t>
  </si>
  <si>
    <t>36-43-23-c2-02543.0470</t>
  </si>
  <si>
    <t>Eward</t>
  </si>
  <si>
    <t>Cape Coral Unit 34 Blk.2419 Pb 16 Pg 75 Lots 1 + 2</t>
  </si>
  <si>
    <t xml:space="preserve">PO Box 700836  Plymouth, MI 48170 </t>
  </si>
  <si>
    <t xml:space="preserve">5 Burnet St </t>
  </si>
  <si>
    <t xml:space="preserve">2002 NE 17th Pl  Cape Coral, FL 33909 </t>
  </si>
  <si>
    <t>18092-2022</t>
  </si>
  <si>
    <t>Reiner Meutsch</t>
  </si>
  <si>
    <t>33905-8681</t>
  </si>
  <si>
    <t>Gold</t>
  </si>
  <si>
    <t>South Park</t>
  </si>
  <si>
    <t>Cape Coral Unit 36 Pt 1 Blk 2146 Pb 23 Pg 92 Lots 75 + 76</t>
  </si>
  <si>
    <t xml:space="preserve">4318 NE 13th Pl  Cape Coral, FL 33909 </t>
  </si>
  <si>
    <t>18-43-24-c2-05730.0430</t>
  </si>
  <si>
    <t>Zaky</t>
  </si>
  <si>
    <t xml:space="preserve">2624 Clinton St  Vandalia, IL 62471-1432 </t>
  </si>
  <si>
    <t xml:space="preserve">14210 Carberry St </t>
  </si>
  <si>
    <t xml:space="preserve">2698 Fountain View Cir #103, Naples, FL 34109-1780 </t>
  </si>
  <si>
    <t>Alyssum</t>
  </si>
  <si>
    <t>Queen Creek</t>
  </si>
  <si>
    <t>33904-4211</t>
  </si>
  <si>
    <t>20171-6409</t>
  </si>
  <si>
    <t>Cape Coral Unit 36 Pt 1 Blk 2146 Pb 23 Pg 94 Lots 8 + 9</t>
  </si>
  <si>
    <t>Dame</t>
  </si>
  <si>
    <t>Woodbury</t>
  </si>
  <si>
    <t xml:space="preserve">4209 Auburn Hills Dr  Raleigh, NC 27616-5996 </t>
  </si>
  <si>
    <t xml:space="preserve">505 Capitol St  North Fort Myers, FL 33903 </t>
  </si>
  <si>
    <t>Chatman</t>
  </si>
  <si>
    <t>Trets</t>
  </si>
  <si>
    <t>05-44-24-c1-03536.0310</t>
  </si>
  <si>
    <t xml:space="preserve">331 Dover Milton Rd </t>
  </si>
  <si>
    <t xml:space="preserve">1205 NE 13th Ave  Cape Coral, FL 33909 </t>
  </si>
  <si>
    <t xml:space="preserve">3628 NE 17th Pl  Cape Coral, FL 33909 </t>
  </si>
  <si>
    <t>Fishers</t>
  </si>
  <si>
    <t xml:space="preserve">1405 NE 4th Pl </t>
  </si>
  <si>
    <t xml:space="preserve">60 Bay Ridge Pkwy </t>
  </si>
  <si>
    <t xml:space="preserve">11315 Calgary Cir </t>
  </si>
  <si>
    <t>12-44-23-c1-02409.0130</t>
  </si>
  <si>
    <t xml:space="preserve">4430 NE 11th Pl </t>
  </si>
  <si>
    <t>Sigfredo</t>
  </si>
  <si>
    <t>Edward Revollo</t>
  </si>
  <si>
    <t>Lugo</t>
  </si>
  <si>
    <t>11368-5215</t>
  </si>
  <si>
    <t xml:space="preserve">1402 NE 41st St </t>
  </si>
  <si>
    <t>Lehigh Acres E Pt Unit 14 Blk 77 Pb 26 Pg 19 Lots 21 + 22</t>
  </si>
  <si>
    <t>Av</t>
  </si>
  <si>
    <t xml:space="preserve">5171 Cypress Trail Resort Cir  Fort Myers, FL 33905 </t>
  </si>
  <si>
    <t>Maiden Rock</t>
  </si>
  <si>
    <t>33903-2814</t>
  </si>
  <si>
    <t>24541-4728</t>
  </si>
  <si>
    <t xml:space="preserve">1209 NE 19th St </t>
  </si>
  <si>
    <t xml:space="preserve">1625 Palm Ave #3 </t>
  </si>
  <si>
    <t xml:space="preserve">11590 Wiles Rd </t>
  </si>
  <si>
    <t>Cape Coral Unit 47 Pt 2 Blk 3530 Pb 23 Pg 126 Lots 57 + 58</t>
  </si>
  <si>
    <t>Mauricio</t>
  </si>
  <si>
    <t>Cape Coral Unit 88 Blk 5793 Pb 24 Pg 130 Lots 18 + 19</t>
  </si>
  <si>
    <t>For George C Stewart Trust</t>
  </si>
  <si>
    <t>22716-2722</t>
  </si>
  <si>
    <t>33147-2415</t>
  </si>
  <si>
    <t>PO Box 149020</t>
  </si>
  <si>
    <t>Estelito &amp; Guadalupe Calilap</t>
  </si>
  <si>
    <t xml:space="preserve">13201/203 1st St  Fort Myers, FL 33905 </t>
  </si>
  <si>
    <t>Vanorden</t>
  </si>
  <si>
    <t xml:space="preserve">96 Holly Tree Dr  Crossville, TN 38555-6197 </t>
  </si>
  <si>
    <t>Edward &amp; For Tanida</t>
  </si>
  <si>
    <t xml:space="preserve">15620 Glencrest Ave  Delray Beach, FL 33446-9578 </t>
  </si>
  <si>
    <t>33909-3038</t>
  </si>
  <si>
    <t>Molano</t>
  </si>
  <si>
    <t>PO Box 589</t>
  </si>
  <si>
    <t>Daniel Laski</t>
  </si>
  <si>
    <t>Danlier Chavez</t>
  </si>
  <si>
    <t xml:space="preserve">3620 NE 20th Pl </t>
  </si>
  <si>
    <t xml:space="preserve">8710 Ortiz Cir  Fort Myers, FL 33905 </t>
  </si>
  <si>
    <t>Cape Coral Unit 85 Blk 5650 Pb 24 Pg 54 Lots 27 + 28</t>
  </si>
  <si>
    <t>Dominador Deguzman</t>
  </si>
  <si>
    <t>Vindhya Gude</t>
  </si>
  <si>
    <t>For Matthew G &amp; Danielle G Marhai Trust</t>
  </si>
  <si>
    <t xml:space="preserve">1750 Curtiss Dr #107 </t>
  </si>
  <si>
    <t xml:space="preserve">2390 SW 24th Ter </t>
  </si>
  <si>
    <t>Pine Brook</t>
  </si>
  <si>
    <t>Lynette Lamboy</t>
  </si>
  <si>
    <t>Young</t>
  </si>
  <si>
    <t>Rutz</t>
  </si>
  <si>
    <t xml:space="preserve">4270 SW 150th Ave </t>
  </si>
  <si>
    <t>Joyce Moroney</t>
  </si>
  <si>
    <t>State Road 7</t>
  </si>
  <si>
    <t>Cypress Trail Rv Resort Phase 2-A As Desc In Inst# 2014000026506 Lot 29</t>
  </si>
  <si>
    <t xml:space="preserve">884 Picasso Ave </t>
  </si>
  <si>
    <t xml:space="preserve">215 Heather Dr </t>
  </si>
  <si>
    <t xml:space="preserve">642 NE 7th Ave </t>
  </si>
  <si>
    <t xml:space="preserve">8468 Shadyview Ln N  Maple Grove, MN 55311-1707 </t>
  </si>
  <si>
    <t>Michael Franklin</t>
  </si>
  <si>
    <t xml:space="preserve">2764 Fox Woods Ln </t>
  </si>
  <si>
    <t>Mijes</t>
  </si>
  <si>
    <t>Scott Toussaint</t>
  </si>
  <si>
    <t>Group Uv &amp; For Land</t>
  </si>
  <si>
    <t>Eckartz Family Irrevocable Asset Management Trust</t>
  </si>
  <si>
    <t>58th</t>
  </si>
  <si>
    <t>33909-3523</t>
  </si>
  <si>
    <t>11-44-25-04-0000a.0300</t>
  </si>
  <si>
    <t>10025-5325</t>
  </si>
  <si>
    <t>Charles &amp; Yolando Demartino</t>
  </si>
  <si>
    <t>Roosevelt</t>
  </si>
  <si>
    <t>20-43-24-c1-05650.0550</t>
  </si>
  <si>
    <t xml:space="preserve">1820 NE 19th Pl  Cape Coral, FL 33909 </t>
  </si>
  <si>
    <t>Lockey Ian Melbourne Tr</t>
  </si>
  <si>
    <t>Berlin</t>
  </si>
  <si>
    <t>Cape Coral Unit 36 Blk 2304 Pb 16 Pg 122 Lots 33 + 34</t>
  </si>
  <si>
    <t>Hiltz</t>
  </si>
  <si>
    <t>33909-3234</t>
  </si>
  <si>
    <t xml:space="preserve">7665 SW 88th Ct  Miami, FL 33173-3540 </t>
  </si>
  <si>
    <t>Larry &amp; Rebecca Flink</t>
  </si>
  <si>
    <t xml:space="preserve">14190 Chetwood St </t>
  </si>
  <si>
    <t>Yacerin Tapanes</t>
  </si>
  <si>
    <t>Lehigh Acres W Pt Ut 1 Blk 3 Pb 26 Pg 2 Lot 32</t>
  </si>
  <si>
    <t>03-44-26-06-00027.0180</t>
  </si>
  <si>
    <t xml:space="preserve">1801 NE Juanita Pl </t>
  </si>
  <si>
    <t xml:space="preserve">11201 Wilmar Dr </t>
  </si>
  <si>
    <t xml:space="preserve">1817 NE 17th St  Cape Coral, FL 33909 </t>
  </si>
  <si>
    <t xml:space="preserve">132 Jacaranda Pkwy E </t>
  </si>
  <si>
    <t xml:space="preserve">2824 NE 4th Pl </t>
  </si>
  <si>
    <t>07751-9747</t>
  </si>
  <si>
    <t xml:space="preserve">3615 NE 19th Pl </t>
  </si>
  <si>
    <t>North Miami</t>
  </si>
  <si>
    <t>12-44-23-c1-02406.0240</t>
  </si>
  <si>
    <t>47901-1172</t>
  </si>
  <si>
    <t>Reynard</t>
  </si>
  <si>
    <t xml:space="preserve">2126 NE 17th St </t>
  </si>
  <si>
    <t xml:space="preserve">13 Buttermilk Dr  New Windsor, NY 12553-8013 </t>
  </si>
  <si>
    <t>19-43-24-c3-05617.0440</t>
  </si>
  <si>
    <t>92833-1341</t>
  </si>
  <si>
    <t xml:space="preserve">931 Eagle Rd </t>
  </si>
  <si>
    <t>South Plainfield</t>
  </si>
  <si>
    <t>Karbach</t>
  </si>
  <si>
    <t>Czalpinski</t>
  </si>
  <si>
    <t>33145-3837</t>
  </si>
  <si>
    <t xml:space="preserve">7234 67th Pl  Glendale, NY 11385-6957 </t>
  </si>
  <si>
    <t>33909-4207</t>
  </si>
  <si>
    <t>Emily</t>
  </si>
  <si>
    <t>Weger</t>
  </si>
  <si>
    <t xml:space="preserve">621 NE 8th St </t>
  </si>
  <si>
    <t>33909-7365</t>
  </si>
  <si>
    <t xml:space="preserve">818 E Myrtle St  Arcadia, FL 34266-4822 </t>
  </si>
  <si>
    <t xml:space="preserve">6140 Barkwood Ct  Fort Myers, FL 33905 </t>
  </si>
  <si>
    <t>32-43-24-c2-02240.0280</t>
  </si>
  <si>
    <t>11-44-25-04-0000b.0100</t>
  </si>
  <si>
    <t>Vancil</t>
  </si>
  <si>
    <t>Edwardsport</t>
  </si>
  <si>
    <t xml:space="preserve">525 Willow Ave  Piscataway, NJ 08854-4532 </t>
  </si>
  <si>
    <t>Cape Coral Unit 31 Blk.2039 Pb 14 Pg 158 Lots 30 + 31</t>
  </si>
  <si>
    <t>David Gibb</t>
  </si>
  <si>
    <t>33909-2692</t>
  </si>
  <si>
    <t>33909-2011</t>
  </si>
  <si>
    <t xml:space="preserve">7 Theodor-Heuss-Strasse  Spicer, MN 56288 </t>
  </si>
  <si>
    <t xml:space="preserve">14071 Binghampton Dr </t>
  </si>
  <si>
    <t>19-43-24-c1-05578.0060</t>
  </si>
  <si>
    <t xml:space="preserve">2891 Stevenson St </t>
  </si>
  <si>
    <t>Cape Coral Unit 33 Blk.2183 Pb 16 Pg 53 Lots 40 41 + 42</t>
  </si>
  <si>
    <t xml:space="preserve">9271 SW 154th Pl </t>
  </si>
  <si>
    <t>11-44-25-07-00000.1640</t>
  </si>
  <si>
    <t>Daniel &amp; Yaxy Sysol</t>
  </si>
  <si>
    <t>Frick</t>
  </si>
  <si>
    <t xml:space="preserve">205 NE 31st Ter  Cape Coral, FL 33909 </t>
  </si>
  <si>
    <t>Cypress Trail Rv Resort Ph 3 As Desc In Inst# 2015000085552 Lot 47</t>
  </si>
  <si>
    <t>Little River</t>
  </si>
  <si>
    <t>Cape Coral Unit 21 Blk 640 Pb 13 Pg 157 Lots 65 + 66</t>
  </si>
  <si>
    <t>19-43-24-c3-05618.0240</t>
  </si>
  <si>
    <t xml:space="preserve">2030 NE 10th Ave </t>
  </si>
  <si>
    <t>Cape Coral Unit 31 Blk 2073 Pb 14 Pg 160 Lots 73 + 74</t>
  </si>
  <si>
    <t>14111-9602</t>
  </si>
  <si>
    <t xml:space="preserve">55 E 57th St </t>
  </si>
  <si>
    <t>09-44-25-07-00002.0120</t>
  </si>
  <si>
    <t>Paradise Shores Unit 2 Pb 11 Pg 49 Lot 27</t>
  </si>
  <si>
    <t>For Bean Trust</t>
  </si>
  <si>
    <t>33909-6431</t>
  </si>
  <si>
    <t>33624-2348</t>
  </si>
  <si>
    <t xml:space="preserve">8630 NW 28th St </t>
  </si>
  <si>
    <t>Fu</t>
  </si>
  <si>
    <t>Magaraci</t>
  </si>
  <si>
    <t>W3313</t>
  </si>
  <si>
    <t>Bosley</t>
  </si>
  <si>
    <t>Jenco</t>
  </si>
  <si>
    <t>43938-1449</t>
  </si>
  <si>
    <t>80467-8570</t>
  </si>
  <si>
    <t>Lisa M Hauser &amp; Lisa Hauser</t>
  </si>
  <si>
    <t>05-44-24-c1-03540.0540</t>
  </si>
  <si>
    <t xml:space="preserve">119 Trupenny Turn </t>
  </si>
  <si>
    <t>Osvaldo &amp; Leydiana Menendez</t>
  </si>
  <si>
    <t>31-43-24-c2-02131.0140</t>
  </si>
  <si>
    <t>Rte Des Monts-Delavaux 70</t>
  </si>
  <si>
    <t>33909-6142</t>
  </si>
  <si>
    <t>Inez Hibbert-Masters &amp; Lloyd Hurd</t>
  </si>
  <si>
    <t>Holland</t>
  </si>
  <si>
    <t>19-43-24-c4-05559.0320</t>
  </si>
  <si>
    <t xml:space="preserve">2102 NE 2nd Ave </t>
  </si>
  <si>
    <t>PO Box 630791</t>
  </si>
  <si>
    <t>Eleanor Bustos &amp; Juliana Deguzman</t>
  </si>
  <si>
    <t xml:space="preserve">913 NE 11th Ter </t>
  </si>
  <si>
    <t>33909-8823</t>
  </si>
  <si>
    <t>PO Box 246</t>
  </si>
  <si>
    <t>Cape Coral Unit 84 Blk 5587 Pb 24 Pg 44 Lots 9 + 10</t>
  </si>
  <si>
    <t>Sheldon &amp; Lynetta Greene</t>
  </si>
  <si>
    <t>Middle Grove</t>
  </si>
  <si>
    <t xml:space="preserve">6030 Langdon Ave  Fort Myers, FL 33905 </t>
  </si>
  <si>
    <t xml:space="preserve">322 NE 25th Ter  Cape Coral, FL 33909 </t>
  </si>
  <si>
    <t>Cape Coral Unit 35 Blk 2383 Pb 16 Pg 108 Lots 57 + 58</t>
  </si>
  <si>
    <t>6c</t>
  </si>
  <si>
    <t xml:space="preserve">34 Porter St  Billerica, MA 01821-2832 </t>
  </si>
  <si>
    <t xml:space="preserve">1712 NE 14th St </t>
  </si>
  <si>
    <t>Cape Coral Unit 36 Pt 1 Blk 2489 Pb 23 Pg 91 Lots 25 + 26</t>
  </si>
  <si>
    <t>02840-4313</t>
  </si>
  <si>
    <t xml:space="preserve">935 Iris Dr </t>
  </si>
  <si>
    <t xml:space="preserve">25 NE 11th St </t>
  </si>
  <si>
    <t xml:space="preserve">2516 NE 20th Ave  Cape Coral, FL 33909 </t>
  </si>
  <si>
    <t>Cape Coral Unit 34 Blk 2438 Pb 16 Pg 81 Lots 9 + 10</t>
  </si>
  <si>
    <t>19-43-24-c1-05548.0190</t>
  </si>
  <si>
    <t>17-43-24-c2-05802.0130</t>
  </si>
  <si>
    <t>Cape Coral Unit 84 Blk 5602 Bp 24 Pg 43 Lots 23 + 24</t>
  </si>
  <si>
    <t>Phillip &amp; Susan Bartels</t>
  </si>
  <si>
    <t xml:space="preserve">12072 90th Ave N </t>
  </si>
  <si>
    <t xml:space="preserve">36 Av St Barnabe </t>
  </si>
  <si>
    <t xml:space="preserve">1802 NE 23rd Ave </t>
  </si>
  <si>
    <t>Christophe &amp; Marlene Salles</t>
  </si>
  <si>
    <t>James &amp; Yvonne Pittman</t>
  </si>
  <si>
    <t xml:space="preserve">10146 NW 127th St </t>
  </si>
  <si>
    <t xml:space="preserve">351 Moosehill Rd  East Walpole, MA 02032-1404 </t>
  </si>
  <si>
    <t>Cape Coral Unit 36 Blk 2340 Pb 16 Pg 124 Lots 13 + 14</t>
  </si>
  <si>
    <t>Cape Coral Unit 31 Blk 2041 Pb 14 Pg 158 Lots 51 + 52</t>
  </si>
  <si>
    <t>Cape Coral Unit 36 Blk 2353 Pb 16 Pg 119 Lots 40 + 41</t>
  </si>
  <si>
    <t>David Taylor</t>
  </si>
  <si>
    <t xml:space="preserve">5935 NW 200th St </t>
  </si>
  <si>
    <t xml:space="preserve">614 NE 12th St  Cape Coral, FL 33909 </t>
  </si>
  <si>
    <t xml:space="preserve">5228 Marsh Mallow Trl </t>
  </si>
  <si>
    <t>Joseph &amp; Joann Occhipinti</t>
  </si>
  <si>
    <t xml:space="preserve">1727 NE 1st Ave  Cape Coral, FL 33909 </t>
  </si>
  <si>
    <t>11-44-25-06-0000d.0800</t>
  </si>
  <si>
    <t xml:space="preserve">105 De La Reserve Rue </t>
  </si>
  <si>
    <t>Bowmanville</t>
  </si>
  <si>
    <t>21220-1113</t>
  </si>
  <si>
    <t>01-44-23-c3-02385.0600</t>
  </si>
  <si>
    <t>Aponte</t>
  </si>
  <si>
    <t xml:space="preserve">15 Alley 2 Ln #2 </t>
  </si>
  <si>
    <t xml:space="preserve">5126 Cypress Trail Resort Cir  Fort Myers, FL 33905 </t>
  </si>
  <si>
    <t>Woodruff</t>
  </si>
  <si>
    <t xml:space="preserve">2070 Camilla Rd #111 </t>
  </si>
  <si>
    <t xml:space="preserve">3739 NE 16th Pl </t>
  </si>
  <si>
    <t>90277-2823</t>
  </si>
  <si>
    <t xml:space="preserve">6025 N Cox Ferry Rd  Campbellsburg, IN 47108-6326 </t>
  </si>
  <si>
    <t xml:space="preserve">563 San Bernardino St  North Fort Myers, FL 33903 </t>
  </si>
  <si>
    <t xml:space="preserve">603 Martin Rd  Franklin Square, NY 11010-1818 </t>
  </si>
  <si>
    <t>Ahah</t>
  </si>
  <si>
    <t>22206-1370</t>
  </si>
  <si>
    <t xml:space="preserve">4842/48/50 Garcia Ave  Fort Myers, FL 33905 </t>
  </si>
  <si>
    <t>Olivia</t>
  </si>
  <si>
    <t xml:space="preserve">3300 N State Road 7 F501, Hollywood, FL 33021-2166 </t>
  </si>
  <si>
    <t xml:space="preserve">10007 NE 125th Ln 13-4, Kirkland, WA 98034-9032 </t>
  </si>
  <si>
    <t>20-43-24-c4-05633.0410</t>
  </si>
  <si>
    <t>Stinson</t>
  </si>
  <si>
    <t>43542-8616</t>
  </si>
  <si>
    <t>08-44-24-c2-01526.0680</t>
  </si>
  <si>
    <t xml:space="preserve">5583 Victoria Falls Pkwy </t>
  </si>
  <si>
    <t xml:space="preserve">112 NE 15th Ter </t>
  </si>
  <si>
    <t>33125-2829</t>
  </si>
  <si>
    <t>33414-5831</t>
  </si>
  <si>
    <t xml:space="preserve">1302 NE 37th St  Cape Coral, FL 33909 </t>
  </si>
  <si>
    <t>Berg</t>
  </si>
  <si>
    <t>Chard Marvin J &amp; Elaine E Tr</t>
  </si>
  <si>
    <t>Cape Coral Unit 84 Blk 5601 Pb 24 Pg 43 Lots 59 + 60</t>
  </si>
  <si>
    <t>Country Club</t>
  </si>
  <si>
    <t>06525-1633</t>
  </si>
  <si>
    <t xml:space="preserve">22 S Nashville Ave  Ventnor City, NJ 08406-2927 </t>
  </si>
  <si>
    <t>Lehigh Acres Unit 13 E 1/2 Blk 71 Pb 26 Pg 17 Lot 15</t>
  </si>
  <si>
    <t xml:space="preserve">2330 NW 139th Ave  Sunrise, FL 33323-5325 </t>
  </si>
  <si>
    <t>Youakim</t>
  </si>
  <si>
    <t>Dwightlee &amp; Mary Terry</t>
  </si>
  <si>
    <t xml:space="preserve">2437 Hardin Ridge Dr  Henderson, NV 89052-7084 </t>
  </si>
  <si>
    <t xml:space="preserve">4 Dana Ln  Commack, NY 11725-2704 </t>
  </si>
  <si>
    <t xml:space="preserve">10386 Drummer Rd  Warrensburg, IL 62573-2100 </t>
  </si>
  <si>
    <t>12-45-24-01-000o0.0070</t>
  </si>
  <si>
    <t xml:space="preserve">4317 NE 20th Ct </t>
  </si>
  <si>
    <t xml:space="preserve">2530 2nd St  Fort Myers, FL 33901 </t>
  </si>
  <si>
    <t xml:space="preserve">7560 Andover Dr </t>
  </si>
  <si>
    <t xml:space="preserve">6800 Columbia Ave 3v </t>
  </si>
  <si>
    <t>Ellesmere</t>
  </si>
  <si>
    <t>Saturn</t>
  </si>
  <si>
    <t>33909-7311</t>
  </si>
  <si>
    <t>29-43-24-c3-02287.0350</t>
  </si>
  <si>
    <t>Katarina</t>
  </si>
  <si>
    <t xml:space="preserve">3206 N Blue Heron Walk  Marion, IN 46952-1278 </t>
  </si>
  <si>
    <t>Cape Coral Unit 33 Blk 2230 Pb 16 Pg 48 Lots 28 + 29</t>
  </si>
  <si>
    <t>33909-4545</t>
  </si>
  <si>
    <t>Mililani Mauka</t>
  </si>
  <si>
    <t xml:space="preserve">4244 E Gator Cir </t>
  </si>
  <si>
    <t>Kapo &amp; Mariam Coulibaly</t>
  </si>
  <si>
    <t xml:space="preserve">Gaspar E14-44, Mechanicsburg, PA 17050 </t>
  </si>
  <si>
    <t>Fortin</t>
  </si>
  <si>
    <t xml:space="preserve">2205 NE 35th Ter </t>
  </si>
  <si>
    <t xml:space="preserve">1529 Prairie Duch En Rd </t>
  </si>
  <si>
    <t xml:space="preserve">17 Greifswalder St  Glendale, CA 91207 </t>
  </si>
  <si>
    <t xml:space="preserve">6005 Amherst Ave </t>
  </si>
  <si>
    <t>60527-6948</t>
  </si>
  <si>
    <t xml:space="preserve">9585 E 300 N </t>
  </si>
  <si>
    <t xml:space="preserve">6806 Dangelo Ct </t>
  </si>
  <si>
    <t>Tong</t>
  </si>
  <si>
    <t xml:space="preserve">633 N 10th St </t>
  </si>
  <si>
    <t xml:space="preserve">238 Lick Island Cir </t>
  </si>
  <si>
    <t>R050</t>
  </si>
  <si>
    <t>33909-4256</t>
  </si>
  <si>
    <t>Lauren Mcbride</t>
  </si>
  <si>
    <t>Little Farm</t>
  </si>
  <si>
    <t>Edson</t>
  </si>
  <si>
    <t>11024-1427</t>
  </si>
  <si>
    <t xml:space="preserve">3202 NE 13th Ct  Cape Coral, FL 33909 </t>
  </si>
  <si>
    <t>Cape Coral Unit 32 Blk 2094 Pb 16 Pg 4 Lots 6 + 7</t>
  </si>
  <si>
    <t xml:space="preserve">41614 Revival Dr </t>
  </si>
  <si>
    <t xml:space="preserve">101 Cultural Park Blvd N </t>
  </si>
  <si>
    <t>Antonio Iacia &amp; Ippolito Leotta</t>
  </si>
  <si>
    <t xml:space="preserve">2417 Charing Cross Rd NW </t>
  </si>
  <si>
    <t>Feula</t>
  </si>
  <si>
    <t>Buckingham Park N.E.Sec. Blk.31 Pb 9 Pg 59 All Blk</t>
  </si>
  <si>
    <t xml:space="preserve">2110 NE 6th St </t>
  </si>
  <si>
    <t>Cape Coral Unit 21 Blk.635 Pb 13 Pg 161 Lots 29 + 30</t>
  </si>
  <si>
    <t xml:space="preserve">1715 NE 17th St </t>
  </si>
  <si>
    <t>Ghiles Tallout</t>
  </si>
  <si>
    <t xml:space="preserve">3428 Kings Lair Dr  Spring Grove, IL 60081-9699 </t>
  </si>
  <si>
    <t>Bimni</t>
  </si>
  <si>
    <t>11-44-25-11-00000.0630</t>
  </si>
  <si>
    <t xml:space="preserve">7631 S 41st Ave </t>
  </si>
  <si>
    <t>Albertson</t>
  </si>
  <si>
    <t>33909-5229</t>
  </si>
  <si>
    <t xml:space="preserve">3841 Hoffman St </t>
  </si>
  <si>
    <t xml:space="preserve">3449 Chadwick Ave </t>
  </si>
  <si>
    <t xml:space="preserve">2122 NE 23rd Ave  Cape Coral, FL 33909 </t>
  </si>
  <si>
    <t>01-46-23-00-00013.0010</t>
  </si>
  <si>
    <t>17-43-24-c3-05798.0160</t>
  </si>
  <si>
    <t>Lea Laloum</t>
  </si>
  <si>
    <t xml:space="preserve">309 Tropicana Pkwy E </t>
  </si>
  <si>
    <t>West Middlesex</t>
  </si>
  <si>
    <t>Tadeusz</t>
  </si>
  <si>
    <t>33905-3436</t>
  </si>
  <si>
    <t>Cypress Woods Rv Resort Un 3 Desc In Pb 72 Pgs 92-95 Blk C Lot 58</t>
  </si>
  <si>
    <t>Demera</t>
  </si>
  <si>
    <t>33909-1975</t>
  </si>
  <si>
    <t>02806-4012</t>
  </si>
  <si>
    <t xml:space="preserve">3516 NE 17th Pl  Cape Coral, FL 33909 </t>
  </si>
  <si>
    <t>20877-4237</t>
  </si>
  <si>
    <t xml:space="preserve">1604 Ivanhoe Ct  Alexandria, VA 22304-1537 </t>
  </si>
  <si>
    <t>33909-3322</t>
  </si>
  <si>
    <t>Grapevine</t>
  </si>
  <si>
    <t>Gananoque</t>
  </si>
  <si>
    <t>Cao</t>
  </si>
  <si>
    <t xml:space="preserve">1813 NE 27th St  Cape Coral, FL 33909 </t>
  </si>
  <si>
    <t>Cape Coral Unit 32 Blk 2164 Pb 16 Pg 11 Lots 9 + 10</t>
  </si>
  <si>
    <t xml:space="preserve">106 Cultural Park Blvd N  Cape Coral, FL 33909 </t>
  </si>
  <si>
    <t>Cape Coral Unit 84 Blk 5581 Pb 24 Pg 48 Lots 3 + 4</t>
  </si>
  <si>
    <t>Gerald J &amp; Judith A Gombas Tru</t>
  </si>
  <si>
    <t xml:space="preserve">11753 W Atlantic Blvd #5 </t>
  </si>
  <si>
    <t>33909-6480</t>
  </si>
  <si>
    <t xml:space="preserve">331 NE 15th St  Cape Coral, FL 33909 </t>
  </si>
  <si>
    <t xml:space="preserve">11781 Holiday Condo Dr  Fort Myers, FL 33908 </t>
  </si>
  <si>
    <t xml:space="preserve">10119 Ashburton Ln  Bethesda, MD 20817-1729 </t>
  </si>
  <si>
    <t xml:space="preserve">408 NE 9th St  Cape Coral, FL 33909 </t>
  </si>
  <si>
    <t>Point Pleasant Boro</t>
  </si>
  <si>
    <t xml:space="preserve">600 Kismet Pkwy E </t>
  </si>
  <si>
    <t>Purisima</t>
  </si>
  <si>
    <t xml:space="preserve">2020 NE 18th Ter  Cape Coral, FL 33909 </t>
  </si>
  <si>
    <t>33881-9062</t>
  </si>
  <si>
    <t xml:space="preserve">1216 W Cayman Cv  Peoria, IL 61615-4303 </t>
  </si>
  <si>
    <t xml:space="preserve">594 Lambton Ln  Naples, FL 34104-8373 </t>
  </si>
  <si>
    <t xml:space="preserve">8509 Kokosing Rd </t>
  </si>
  <si>
    <t xml:space="preserve">1105 Madison 310 </t>
  </si>
  <si>
    <t>18-43-24-c3-05752.0310</t>
  </si>
  <si>
    <t xml:space="preserve">15018 Wildflower Cir </t>
  </si>
  <si>
    <t xml:space="preserve">514 Americas Way  Box Elder, SD 57719-7600 </t>
  </si>
  <si>
    <t>Hector Ball &amp; Elizabeth Velazquez</t>
  </si>
  <si>
    <t>Peter &amp; Mary Odiot</t>
  </si>
  <si>
    <t>33905-3921</t>
  </si>
  <si>
    <t>Fairview</t>
  </si>
  <si>
    <t>32-43-24-c4-02208.0390</t>
  </si>
  <si>
    <t xml:space="preserve">14090 Cerrito St  Fort Myers, FL 33905 </t>
  </si>
  <si>
    <t>Driscoll</t>
  </si>
  <si>
    <t>Pierre-Louis</t>
  </si>
  <si>
    <t xml:space="preserve">14215 Franklin Ave 4e </t>
  </si>
  <si>
    <t>Jeffery</t>
  </si>
  <si>
    <t>Raul Ascarrunz and Melissa Perlman Revocable Trust</t>
  </si>
  <si>
    <t>Des Epinettes</t>
  </si>
  <si>
    <t>Parmly</t>
  </si>
  <si>
    <t xml:space="preserve">14801 Lynhodge Ct </t>
  </si>
  <si>
    <t>Cape Coral Unit 84 Blk 5605 Pb 24 Pg 42 Lots 53 + 54</t>
  </si>
  <si>
    <t>19-43-24-c4-05563.0550</t>
  </si>
  <si>
    <t>Aldyth Morgan</t>
  </si>
  <si>
    <t>Cape Coral Unit 32 Blk 2147 Pb 16 Pg 8 Lots 17 + 18</t>
  </si>
  <si>
    <t xml:space="preserve">6251 130th Ave NE  Eyota, MN 55934-2107 </t>
  </si>
  <si>
    <t xml:space="preserve">13901 Nassau St </t>
  </si>
  <si>
    <t>Coral Trust</t>
  </si>
  <si>
    <t>Hendrix</t>
  </si>
  <si>
    <t>Cape Coral Unit 36 Pt 1 Blk 2146 Pb 23 Pg 92 Lots 73 + 74</t>
  </si>
  <si>
    <t xml:space="preserve">2912 NE 1st Ave  Cape Coral, FL 33909 </t>
  </si>
  <si>
    <t xml:space="preserve">10345 Prairie Iris Dr </t>
  </si>
  <si>
    <t xml:space="preserve">7811 NW 159th Ter  Miami Lakes, FL 33016-6680 </t>
  </si>
  <si>
    <t>Cummings</t>
  </si>
  <si>
    <t>Maximo &amp; Gilda Rodriguez</t>
  </si>
  <si>
    <t xml:space="preserve">339 NE 19th Ter  Cape Coral, FL 33909 </t>
  </si>
  <si>
    <t>Lueders</t>
  </si>
  <si>
    <t>Hopkins</t>
  </si>
  <si>
    <t>60473-1137</t>
  </si>
  <si>
    <t>HN</t>
  </si>
  <si>
    <t xml:space="preserve">6020 Stratton Rd </t>
  </si>
  <si>
    <t>33909-4398</t>
  </si>
  <si>
    <t xml:space="preserve">Po Box 570854 </t>
  </si>
  <si>
    <t xml:space="preserve">1010 NE 7th Pl </t>
  </si>
  <si>
    <t xml:space="preserve">10011 Rambelwood Ct  Fort Myers, FL 33905 </t>
  </si>
  <si>
    <t xml:space="preserve">3840/3842 Hillandale St  Fort Myers, FL 33905 </t>
  </si>
  <si>
    <t xml:space="preserve">962 W Portobello Ave  Mesa, AZ 85210-8254 </t>
  </si>
  <si>
    <t>Long &amp; Kelly Nguyen</t>
  </si>
  <si>
    <t>Case-Russell</t>
  </si>
  <si>
    <t>Tomicic</t>
  </si>
  <si>
    <t>Nicholas &amp; Anthoula Zakas</t>
  </si>
  <si>
    <t xml:space="preserve">Po Box 327 </t>
  </si>
  <si>
    <t>11-44-25-05-0000c.0570</t>
  </si>
  <si>
    <t xml:space="preserve">3928 NE 17th Ave </t>
  </si>
  <si>
    <t xml:space="preserve">22102 Gault St  Canoga Park, CA 91303-1805 </t>
  </si>
  <si>
    <t xml:space="preserve">1329 NE 39th St  Cape Coral, FL 33909 </t>
  </si>
  <si>
    <t>Pelican Marsh</t>
  </si>
  <si>
    <t xml:space="preserve">9526 Dekalb Pl </t>
  </si>
  <si>
    <t>Teresita Santiago</t>
  </si>
  <si>
    <t xml:space="preserve">1212 SE 37th St  Cape Coral, FL 33904 </t>
  </si>
  <si>
    <t xml:space="preserve">7 Mccormick Rd  Newport, RI 02840-4313 </t>
  </si>
  <si>
    <t xml:space="preserve">812 NE 43rd Ln  Cape Coral, FL 33909 </t>
  </si>
  <si>
    <t>07109-4013</t>
  </si>
  <si>
    <t>06029-3111</t>
  </si>
  <si>
    <t>Pizarro</t>
  </si>
  <si>
    <t>Amityville</t>
  </si>
  <si>
    <t>Liz</t>
  </si>
  <si>
    <t>Fay</t>
  </si>
  <si>
    <t>Cape Coral Unit 36 Blk 2520 Pb 16 Pg 113 Lots 56 Thru 58</t>
  </si>
  <si>
    <t>Cape Coral Unit 32 Blk 2144 Pb 16 Pg 5 Lots 9 + 10</t>
  </si>
  <si>
    <t>Morella</t>
  </si>
  <si>
    <t xml:space="preserve">1704 NE 6th Ave  Cape Coral, FL 33909 </t>
  </si>
  <si>
    <t xml:space="preserve">3606 E Gator Cir  Cape Coral, FL 33909 </t>
  </si>
  <si>
    <t xml:space="preserve">400 NE 24th Ter </t>
  </si>
  <si>
    <t>Peled Midroni</t>
  </si>
  <si>
    <t xml:space="preserve">1710 NE 42nd Ter </t>
  </si>
  <si>
    <t>For Radmila L Bogoevski Trust</t>
  </si>
  <si>
    <t xml:space="preserve">913 NE 19th Ter  Cape Coral, FL 33909 </t>
  </si>
  <si>
    <t>Cape Coral Unit 32 Blk 2141 Pb 16 Pg 4 Lots 45 Thru 47</t>
  </si>
  <si>
    <t>33909-1725</t>
  </si>
  <si>
    <t>Cape Coral Unit 36 Blk 2351 Pb 16 Pg 124 Lots 71 72 + 73</t>
  </si>
  <si>
    <t xml:space="preserve">14170 Chancellor St </t>
  </si>
  <si>
    <t>10025-3527</t>
  </si>
  <si>
    <t xml:space="preserve">300 10th St W </t>
  </si>
  <si>
    <t xml:space="preserve">3785 La Rue St </t>
  </si>
  <si>
    <t>2j</t>
  </si>
  <si>
    <t>Cypress Trail Rv Resort Phase 4-A As Desc In Inst# 20160000135610 Lot 379</t>
  </si>
  <si>
    <t>L0S 1L0</t>
  </si>
  <si>
    <t>Cape Coral Unit 34 Blk.2390 Pb 16 Pg 77 Lots 43 + 44</t>
  </si>
  <si>
    <t>33909-1436</t>
  </si>
  <si>
    <t xml:space="preserve">293 Creekside East Dr  Wilmington, NC 28411-6873 </t>
  </si>
  <si>
    <t>Christine Cristopher</t>
  </si>
  <si>
    <t>Barroso</t>
  </si>
  <si>
    <t xml:space="preserve">1401 Howlett Cir  London, ON N5x 0K5 </t>
  </si>
  <si>
    <t>140th</t>
  </si>
  <si>
    <t xml:space="preserve">1722 NE 24th Ave </t>
  </si>
  <si>
    <t>33904-5032</t>
  </si>
  <si>
    <t>33909-4594</t>
  </si>
  <si>
    <t>05-44-24-c1-03529.0180</t>
  </si>
  <si>
    <t>C082</t>
  </si>
  <si>
    <t xml:space="preserve">1148 NE 44th Ln </t>
  </si>
  <si>
    <t>Janice Gerard</t>
  </si>
  <si>
    <t>Jimmy &amp; Rebecca Abarca</t>
  </si>
  <si>
    <t xml:space="preserve">4203 NE 15th Pl </t>
  </si>
  <si>
    <t>Hc 2</t>
  </si>
  <si>
    <t xml:space="preserve">105 NE 8th Ter </t>
  </si>
  <si>
    <t xml:space="preserve">259 Mathews Ave NE  Atlanta, GA 30307-2335 </t>
  </si>
  <si>
    <t>Casselberry</t>
  </si>
  <si>
    <t>45342-1198</t>
  </si>
  <si>
    <t>Fredy</t>
  </si>
  <si>
    <t>Frank Manske &amp; Frank Pelanek</t>
  </si>
  <si>
    <t xml:space="preserve">244 Laurier St </t>
  </si>
  <si>
    <t xml:space="preserve">1231 Portmoor Way  Winter Garden, FL 34787-4623 </t>
  </si>
  <si>
    <t xml:space="preserve">6133 Hellman Ave </t>
  </si>
  <si>
    <t xml:space="preserve">1810 NE 6th Pl </t>
  </si>
  <si>
    <t xml:space="preserve">20325 Chestnut Grove Dr  Tampa, FL 33647-3345 </t>
  </si>
  <si>
    <t xml:space="preserve">10801 Gladiolus Dr  Fort Myers, FL 33908 </t>
  </si>
  <si>
    <t>Emedira</t>
  </si>
  <si>
    <t xml:space="preserve">812 NE 6th Ave  Cape Coral, FL 33909 </t>
  </si>
  <si>
    <t>Morse Shores Blk 12 Pb 9 Pg 158 Lot 10</t>
  </si>
  <si>
    <t xml:space="preserve">270 Main St #3, Keansburg, NJ 07734-2025 </t>
  </si>
  <si>
    <t>48623-8907</t>
  </si>
  <si>
    <t xml:space="preserve">5833 Brightwood Dr  Fort Myers, FL 33905 </t>
  </si>
  <si>
    <t xml:space="preserve">15946 Overview Rd </t>
  </si>
  <si>
    <t>Princeton Street Gardens Pb 44 Pg 47 Lot 6</t>
  </si>
  <si>
    <t>Frank Marcos</t>
  </si>
  <si>
    <t xml:space="preserve">10325 Fire Flag Trl  Fort Myers, FL 33905 </t>
  </si>
  <si>
    <t>33177-5209</t>
  </si>
  <si>
    <t>Arlene Greenhalgh</t>
  </si>
  <si>
    <t>Avoca Park Blk C Pb 7 Pg 23 Lots 8 9 10</t>
  </si>
  <si>
    <t>33908-4544</t>
  </si>
  <si>
    <t>32080-5958</t>
  </si>
  <si>
    <t xml:space="preserve">483 NE 3rd Ct </t>
  </si>
  <si>
    <t>Great Falls</t>
  </si>
  <si>
    <t>Aalo</t>
  </si>
  <si>
    <t>Ronald &amp; Sheryl Burkle</t>
  </si>
  <si>
    <t>33903-3346</t>
  </si>
  <si>
    <t xml:space="preserve">28419 Corbara Pl </t>
  </si>
  <si>
    <t xml:space="preserve">1301 NE 39th St  Cape Coral, FL 33909 </t>
  </si>
  <si>
    <t>Edna</t>
  </si>
  <si>
    <t>Buckingham Park Ne Sec Blk 29 Pb 9 Pg 59 Lot 7</t>
  </si>
  <si>
    <t xml:space="preserve">5234 Santa Rosa Ct  Cape Coral, FL 33904 </t>
  </si>
  <si>
    <t xml:space="preserve">2109 NE 21st Pl </t>
  </si>
  <si>
    <t xml:space="preserve">3522 SE 17th Pl </t>
  </si>
  <si>
    <t>33908-4255</t>
  </si>
  <si>
    <t>PO Box 530</t>
  </si>
  <si>
    <t>Neumann</t>
  </si>
  <si>
    <t xml:space="preserve">919 NE 23rd St  Cape Coral, FL 33909 </t>
  </si>
  <si>
    <t>Felora</t>
  </si>
  <si>
    <t>Geda</t>
  </si>
  <si>
    <t>Cape Coral Unit 47 Pt 2 Blk 3518 Pb 3 Pg 122 Lots 19 + 20</t>
  </si>
  <si>
    <t xml:space="preserve">12407 Darby Chase Dr </t>
  </si>
  <si>
    <t>Stefan Davis</t>
  </si>
  <si>
    <t>VE</t>
  </si>
  <si>
    <t>33540-1033</t>
  </si>
  <si>
    <t xml:space="preserve">97 Schneider Dr  Fort Myers, FL 33905 </t>
  </si>
  <si>
    <t xml:space="preserve">6141 Hughes Ave </t>
  </si>
  <si>
    <t>33909-3371</t>
  </si>
  <si>
    <t>Avenida Guardia Civil</t>
  </si>
  <si>
    <t xml:space="preserve">1815 NE 13th Ter </t>
  </si>
  <si>
    <t xml:space="preserve">621 E Windward Pl </t>
  </si>
  <si>
    <t>Cape Coral Unit 87 Blk 5710 Pb 24 Pg 75 Lots 28 + 29</t>
  </si>
  <si>
    <t>33154-5998</t>
  </si>
  <si>
    <t>Bamieh</t>
  </si>
  <si>
    <t>G11</t>
  </si>
  <si>
    <t xml:space="preserve">914 Kismet Pkwy E  Cape Coral, FL 33909 </t>
  </si>
  <si>
    <t xml:space="preserve">32 St. Francis St #3, Ottawa, ON K1y 1W5 </t>
  </si>
  <si>
    <t xml:space="preserve">13534 Island Rd  Fort Myers, FL 33905 </t>
  </si>
  <si>
    <t>Cape Coral Unit 33 Blk.2190 Pb 16 Pg 49 Lots 1 + 2</t>
  </si>
  <si>
    <t>Yuriy &amp; Elena Kovalenko</t>
  </si>
  <si>
    <t>Stanley Baptiste</t>
  </si>
  <si>
    <t>Genda</t>
  </si>
  <si>
    <t xml:space="preserve">6721 Eliot Ave </t>
  </si>
  <si>
    <t>Alpenweg</t>
  </si>
  <si>
    <t>07936-1609</t>
  </si>
  <si>
    <t>Lehigh Acres Unit 4 Blk 21 Pb 26 Pg 6 Lot 4</t>
  </si>
  <si>
    <t xml:space="preserve">973 SW 147th Ct  Miami, FL 33194-2916 </t>
  </si>
  <si>
    <t xml:space="preserve">1315 Diplomat Pkwy E </t>
  </si>
  <si>
    <t>33189-2107</t>
  </si>
  <si>
    <t>31-43-24-c1-02166.0350</t>
  </si>
  <si>
    <t xml:space="preserve">33 Roberta Dr  Aston, PA 19014-1035 </t>
  </si>
  <si>
    <t>32-43-24-c1-02190.0260</t>
  </si>
  <si>
    <t>Izet</t>
  </si>
  <si>
    <t>Gladney</t>
  </si>
  <si>
    <t>Chemin De Mireille</t>
  </si>
  <si>
    <t>33909-4344</t>
  </si>
  <si>
    <t>Jacoby</t>
  </si>
  <si>
    <t>06-44-24-c2-02085.0050</t>
  </si>
  <si>
    <t xml:space="preserve">20 Studio Dr  Buzzards Bay, MA 02532-2952 </t>
  </si>
  <si>
    <t xml:space="preserve">15 Alley 2 Ln #2, Taipei City, CN 00106 </t>
  </si>
  <si>
    <t>Moshe Cohen</t>
  </si>
  <si>
    <t>Gillespie</t>
  </si>
  <si>
    <t xml:space="preserve">207 Seabrook Dr  Ponte Vedra, FL 32081 </t>
  </si>
  <si>
    <t>Gustave Huber</t>
  </si>
  <si>
    <t>Delacampa</t>
  </si>
  <si>
    <t xml:space="preserve">2006 NE 19th Ter </t>
  </si>
  <si>
    <t>Szubinski</t>
  </si>
  <si>
    <t>Lehigh Acres W Pt Ut 14 Blk 83 Pb 26 Pg 20 Lot 14</t>
  </si>
  <si>
    <t>Robert &amp; Ericka Wheeler</t>
  </si>
  <si>
    <t>10307-1218</t>
  </si>
  <si>
    <t>Nicholas Spyreas &amp; John Barbosa</t>
  </si>
  <si>
    <t>97317-9558</t>
  </si>
  <si>
    <t>Christopher Marrow</t>
  </si>
  <si>
    <t xml:space="preserve">3856 Heyburn St </t>
  </si>
  <si>
    <t xml:space="preserve">12203 Bedrock Ln  Bentonville, AR 72712-8044 </t>
  </si>
  <si>
    <t>33909-1289</t>
  </si>
  <si>
    <t xml:space="preserve">4702 215th St </t>
  </si>
  <si>
    <t>Persio</t>
  </si>
  <si>
    <t>20721-2981</t>
  </si>
  <si>
    <t>Cape Coral Unit 88 Blk 5768 Pb 24 Pg 128 Lots 9 + 10</t>
  </si>
  <si>
    <t>Shanna</t>
  </si>
  <si>
    <t xml:space="preserve">5710 Cypress Woods Resort Dr  Fort Myers, FL 33905 </t>
  </si>
  <si>
    <t>50701-3405</t>
  </si>
  <si>
    <t>60031-3377</t>
  </si>
  <si>
    <t>25-43-23-c4-02355.0440</t>
  </si>
  <si>
    <t>Cape Coral Unit 36 Blk 2355 Pb 16 Pg 119 Lots 5 + 6</t>
  </si>
  <si>
    <t>Hwy 8</t>
  </si>
  <si>
    <t xml:space="preserve">2309 NE 22nd Pl </t>
  </si>
  <si>
    <t xml:space="preserve">4373 New York Ave </t>
  </si>
  <si>
    <t>Rodriguez &amp; Ramon Rodriguez</t>
  </si>
  <si>
    <t xml:space="preserve">3515 NE 19th Pl  Cape Coral, FL 33909 </t>
  </si>
  <si>
    <t xml:space="preserve">462 NE Juanita Ct </t>
  </si>
  <si>
    <t>33904-4119</t>
  </si>
  <si>
    <t xml:space="preserve">1916 NE 1st Pl  Cape Coral, FL 33909 </t>
  </si>
  <si>
    <t xml:space="preserve">10624 W 35th Ln </t>
  </si>
  <si>
    <t>10-44-24-06-00000.0240</t>
  </si>
  <si>
    <t>Burton</t>
  </si>
  <si>
    <t>Cape Coral Unit 84 Blk 5613 Pb 24 Pg 35 Lots 39 + 40</t>
  </si>
  <si>
    <t>H093</t>
  </si>
  <si>
    <t xml:space="preserve">6154 Hughes Ave  Fort Myers, FL 33905 </t>
  </si>
  <si>
    <t xml:space="preserve">11740 Wild Flax Dr  Fort Myers, FL 33908 </t>
  </si>
  <si>
    <t>Royal Colony</t>
  </si>
  <si>
    <t>31-43-24-c1-02167.0150</t>
  </si>
  <si>
    <t xml:space="preserve">330 NE 17th St  Cape Coral, FL 33909 </t>
  </si>
  <si>
    <t>Damore</t>
  </si>
  <si>
    <t>Jose &amp; Teresita Macias</t>
  </si>
  <si>
    <t xml:space="preserve">1814 NE 2nd Pl  Cape Coral, FL 33909 </t>
  </si>
  <si>
    <t>11-44-25-05-0000c.1200</t>
  </si>
  <si>
    <t xml:space="preserve">3022 SE 6th Ave  Cape Coral, FL 33904 </t>
  </si>
  <si>
    <t>For Foroogh West Trust</t>
  </si>
  <si>
    <t>06-44-24-c1-02068.0450</t>
  </si>
  <si>
    <t>Andreas &amp; Regina Flitsch</t>
  </si>
  <si>
    <t>12-44-23-c1-02364.0330</t>
  </si>
  <si>
    <t xml:space="preserve">28 S Hillside Ave </t>
  </si>
  <si>
    <t>18-43-24-c1-05727.0110</t>
  </si>
  <si>
    <t>Filipina Garcia</t>
  </si>
  <si>
    <t xml:space="preserve">1105 NE 2nd Ave  Cape Coral, FL 33909 </t>
  </si>
  <si>
    <t>33905-5916</t>
  </si>
  <si>
    <t xml:space="preserve">846 Five Oaks Ln  Collierville, TN 38017-8560 </t>
  </si>
  <si>
    <t>Hateram</t>
  </si>
  <si>
    <t xml:space="preserve">3811 Heyburn St  Fort Myers, FL 33905 </t>
  </si>
  <si>
    <t>28376-5635</t>
  </si>
  <si>
    <t>Cape Coral Unit 32 Blk 2113 Pb 16 Pg 6 Lots 5 + 6</t>
  </si>
  <si>
    <t xml:space="preserve">3531 NE 17th Ave </t>
  </si>
  <si>
    <t>Schlottmann</t>
  </si>
  <si>
    <t>Rojas</t>
  </si>
  <si>
    <t>David &amp; Larissa Ambrose</t>
  </si>
  <si>
    <t xml:space="preserve">913 Fernhill Rd </t>
  </si>
  <si>
    <t>Mccusker</t>
  </si>
  <si>
    <t>Bernardo</t>
  </si>
  <si>
    <t>Lyndon</t>
  </si>
  <si>
    <t xml:space="preserve">19310 Mclaughlin Ave  Hollis, NY 11423-1148 </t>
  </si>
  <si>
    <t>Cape Coral Unit 33 Blk 2277 Pb 16 Pg 57 Lots 47 + 48</t>
  </si>
  <si>
    <t>Forsyth Riverview Pk Unrec Fr Se Cor Govt Lot 4 W 15Ft N250 Ft W20ft To Pob</t>
  </si>
  <si>
    <t xml:space="preserve">3513 W Gator Cir  Cape Coral, FL 33909 </t>
  </si>
  <si>
    <t xml:space="preserve">6496 NW Morrell Dr  Kansas City, MO 64152-3825 </t>
  </si>
  <si>
    <t>Seay</t>
  </si>
  <si>
    <t xml:space="preserve">1805 NE 33rd Ter </t>
  </si>
  <si>
    <t>Stanley Fallens</t>
  </si>
  <si>
    <t>Cape Coral Unit 84 Blk 5566 Pb 24 Pg 38 Lots 21 + 22</t>
  </si>
  <si>
    <t xml:space="preserve">16764 Carob Ave </t>
  </si>
  <si>
    <t>33909-8960</t>
  </si>
  <si>
    <t>36-43-23-c4-02507.0150</t>
  </si>
  <si>
    <t xml:space="preserve">5171 Cypress Trail Resort Cir </t>
  </si>
  <si>
    <t xml:space="preserve">1804 Andalusia Blvd  Cape Coral, FL 33909 </t>
  </si>
  <si>
    <t>Ismael</t>
  </si>
  <si>
    <t>Lys Louissaint &amp; Trb For</t>
  </si>
  <si>
    <t>Fountain View R V Resort Or 1627 Pg 0179 Lot 117</t>
  </si>
  <si>
    <t>Meadowlands</t>
  </si>
  <si>
    <t xml:space="preserve">907 SE 26th St  Cape Coral, FL 33904 </t>
  </si>
  <si>
    <t xml:space="preserve">9207 SW 227th St #1, Cutler Bay, FL 33190-1882 </t>
  </si>
  <si>
    <t xml:space="preserve">112 Pelasgias  Old Chatham, NY 12136 </t>
  </si>
  <si>
    <t>Colfax</t>
  </si>
  <si>
    <t xml:space="preserve">2118 NE 23rd Pl  Cape Coral, FL 33909 </t>
  </si>
  <si>
    <t>Bentonville</t>
  </si>
  <si>
    <t>Marisol Hubert</t>
  </si>
  <si>
    <t xml:space="preserve">47 Ahlendung </t>
  </si>
  <si>
    <t xml:space="preserve">21384 W Preston Ct  Mundelein, IL 60060-9129 </t>
  </si>
  <si>
    <t>Cape Coral Unit 36 Blk 2340 Pb 16 Pg 124 Lots 11 + 12</t>
  </si>
  <si>
    <t>95209-4021</t>
  </si>
  <si>
    <t>25-43-23-c3-02174.0170</t>
  </si>
  <si>
    <t>30-43-26-02-00029.0520</t>
  </si>
  <si>
    <t xml:space="preserve">2117 NE 33rd St </t>
  </si>
  <si>
    <t>Kearns</t>
  </si>
  <si>
    <t>63437-3210</t>
  </si>
  <si>
    <t>Danny &amp; Beverly Rock</t>
  </si>
  <si>
    <t>28227-9277</t>
  </si>
  <si>
    <t>Symmes</t>
  </si>
  <si>
    <t xml:space="preserve">11375 SW 58th Ter </t>
  </si>
  <si>
    <t>06-46-24-15-00000.2830</t>
  </si>
  <si>
    <t>Cape Coral Unit 17 Blk.1509 Pb 14 Pg 32 Lots 74 + 75</t>
  </si>
  <si>
    <t xml:space="preserve">420 Wayne Ave </t>
  </si>
  <si>
    <t xml:space="preserve">4241 NE 19th Ave </t>
  </si>
  <si>
    <t>10-46-23-00-00004.0020</t>
  </si>
  <si>
    <t xml:space="preserve">618 Kismet Pkwy E  Cape Coral, FL 33909 </t>
  </si>
  <si>
    <t xml:space="preserve">127 Kismet Pkwy E </t>
  </si>
  <si>
    <t>El Monte</t>
  </si>
  <si>
    <t xml:space="preserve">5202 Pineland Daisy Trl </t>
  </si>
  <si>
    <t>18-43-24-c3-05747.0270</t>
  </si>
  <si>
    <t xml:space="preserve">3231 NE 13th Pl </t>
  </si>
  <si>
    <t>Ringgold</t>
  </si>
  <si>
    <t>Joseph Papini</t>
  </si>
  <si>
    <t>44256-7707</t>
  </si>
  <si>
    <t>Marie-Line</t>
  </si>
  <si>
    <t>08-44-24-c4-01534.0240</t>
  </si>
  <si>
    <t>Paul &amp; Nina Mischuk</t>
  </si>
  <si>
    <t>Redlands</t>
  </si>
  <si>
    <t>Patrick Mclaughlin</t>
  </si>
  <si>
    <t xml:space="preserve">20631 Goshawk Ln </t>
  </si>
  <si>
    <t>33067-2029</t>
  </si>
  <si>
    <t>03-44-26-11-00058.0140</t>
  </si>
  <si>
    <t>92657-1002</t>
  </si>
  <si>
    <t>Barlok</t>
  </si>
  <si>
    <t>33543-4822</t>
  </si>
  <si>
    <t xml:space="preserve">126 NE 31st Ter  Cape Coral, FL 33909 </t>
  </si>
  <si>
    <t>11-44-25-04-0000b.0090</t>
  </si>
  <si>
    <t>Bruce &amp; James Bruce Family</t>
  </si>
  <si>
    <t>Maria &amp; For Linmark</t>
  </si>
  <si>
    <t>Cape Coral Unit 33 Blk 2180 Pb 16 Pg 53 E Por Of Lots 38 + 39 As Desc In Inst #2006-399308</t>
  </si>
  <si>
    <t>Scot</t>
  </si>
  <si>
    <t>Reeves</t>
  </si>
  <si>
    <t xml:space="preserve">10801 Roberts Rd </t>
  </si>
  <si>
    <t>Ocean Shores</t>
  </si>
  <si>
    <t>Cape Coral Unit 47 Pt 2 Blk 3540 Pb 23 Pg 117 Lots 52 + 53</t>
  </si>
  <si>
    <t>Mui Tang</t>
  </si>
  <si>
    <t>C049</t>
  </si>
  <si>
    <t>18-43-24-c1-05689.0630</t>
  </si>
  <si>
    <t>Andreas Haaft</t>
  </si>
  <si>
    <t>Mierop</t>
  </si>
  <si>
    <t xml:space="preserve">231 174th St #2117 </t>
  </si>
  <si>
    <t xml:space="preserve">1046 NE 40th Ter </t>
  </si>
  <si>
    <t xml:space="preserve">36 Isle Vista Dr  Pefferlaw, ON L0e 1N0 </t>
  </si>
  <si>
    <t>32-43-24-c1-02181.0770</t>
  </si>
  <si>
    <t>Dariotis</t>
  </si>
  <si>
    <t>2110 ne 16th land trust</t>
  </si>
  <si>
    <t>48808-9606</t>
  </si>
  <si>
    <t xml:space="preserve">2507 NE 7th Pl  Cape Coral, FL 33909 </t>
  </si>
  <si>
    <t>15940-7205</t>
  </si>
  <si>
    <t>Baumgardner</t>
  </si>
  <si>
    <t xml:space="preserve">882 Roosevelt St  West Hempstead, NY 11552-3823 </t>
  </si>
  <si>
    <t xml:space="preserve">10511 Robinson St </t>
  </si>
  <si>
    <t>Thomas &amp; Maria Faulkner</t>
  </si>
  <si>
    <t>Cleveland</t>
  </si>
  <si>
    <t>33411-1462</t>
  </si>
  <si>
    <t>01-44-23-c1-02463.0380</t>
  </si>
  <si>
    <t>Magee Patrick Tr</t>
  </si>
  <si>
    <t xml:space="preserve">1022 Cedar Canyon Rd  Billings, MT 59101-6444 </t>
  </si>
  <si>
    <t>Cape Coral Unit 36 Blk 2543 Pb 16 Pg 115 Lots 12 + 13</t>
  </si>
  <si>
    <t>32-44-24-c2-01228.0050</t>
  </si>
  <si>
    <t xml:space="preserve">5809 Brightwood Dr  Fort Myers, FL 33905 </t>
  </si>
  <si>
    <t>22309-8219</t>
  </si>
  <si>
    <t xml:space="preserve">4836 Boxwood Cir  Boynton Beach, FL 33436-4749 </t>
  </si>
  <si>
    <t>Pleasantville</t>
  </si>
  <si>
    <t>33909-1235</t>
  </si>
  <si>
    <t>Michael &amp; Janet Mitura</t>
  </si>
  <si>
    <t>Cape Coral Unit 87 Blk 5689 Pb 24 Pg 83 Lots 15 + 16</t>
  </si>
  <si>
    <t xml:space="preserve">38 Sharon Dr </t>
  </si>
  <si>
    <t>Marcelo Juarez &amp; Natalia Marovich</t>
  </si>
  <si>
    <t xml:space="preserve">1117 NE 5th Ave </t>
  </si>
  <si>
    <t>Yuma</t>
  </si>
  <si>
    <t>Baltazar &amp; Loreto Gamboa</t>
  </si>
  <si>
    <t xml:space="preserve">5708 Ridgefield Rd  Bethesda, MD 20816-1262 </t>
  </si>
  <si>
    <t>OWNER 1 LAST NAME</t>
  </si>
  <si>
    <t xml:space="preserve">4629 SE 1st Ave  Cape Coral, FL 33904 </t>
  </si>
  <si>
    <t>11-44-25-l1-12000.2870</t>
  </si>
  <si>
    <t xml:space="preserve">31192 Santa Margarita Pl </t>
  </si>
  <si>
    <t xml:space="preserve">2901 NE 5th Ave </t>
  </si>
  <si>
    <t>Southridge</t>
  </si>
  <si>
    <t xml:space="preserve">2011 Spruce Dr NW  Washington, DC 20012-1026 </t>
  </si>
  <si>
    <t>08-44-24-c3-01517.0640</t>
  </si>
  <si>
    <t>America Outdoors Camper Resort 1 Condo Blk B Or 1673 Pg 2487 Unit 41</t>
  </si>
  <si>
    <t xml:space="preserve">1919 NE 20th Ct  Cape Coral, FL 33909 </t>
  </si>
  <si>
    <t>Cape Coral Unit 87 Blk 5739 Pb 24 Pg 78 Lots 31 + 32</t>
  </si>
  <si>
    <t xml:space="preserve">Po Box 920 </t>
  </si>
  <si>
    <t xml:space="preserve">13451 Beloit Woods Ln  Orlando, FL 32824-9410 </t>
  </si>
  <si>
    <t xml:space="preserve">196 Cedar St 2c </t>
  </si>
  <si>
    <t xml:space="preserve">1108 W Milburn Ave  Mount Prospect, IL 60056-2928 </t>
  </si>
  <si>
    <t>33904-2718</t>
  </si>
  <si>
    <t>Kitchener</t>
  </si>
  <si>
    <t xml:space="preserve">3717 NE 11th Pl </t>
  </si>
  <si>
    <t>Ivette</t>
  </si>
  <si>
    <t>Cypress Woods Rv Resort Ut 1 Pb 65 Pg 85 + 86 Blk B Lot 38</t>
  </si>
  <si>
    <t xml:space="preserve">17055 NW 78th Ave  Hialeah, FL 33015-3801 </t>
  </si>
  <si>
    <t xml:space="preserve">7560 Andover Dr  Canton, MI 48187-1118 </t>
  </si>
  <si>
    <t>19-43-24-c3-05612.0690</t>
  </si>
  <si>
    <t>Loweth</t>
  </si>
  <si>
    <t xml:space="preserve">6113 Holt Ct  Fort Myers, FL 33905 </t>
  </si>
  <si>
    <t xml:space="preserve">128 SW Grove Ave </t>
  </si>
  <si>
    <t>Liu</t>
  </si>
  <si>
    <t xml:space="preserve">51 John St  Raymond, NH 03077-1822 </t>
  </si>
  <si>
    <t>Cape Coral Unit 84 Blk 5588 Pb 24 Pg 45 Lots 3 + 4</t>
  </si>
  <si>
    <t>Cape Coral Unit 33 Blk 2247 Pb 16 Pg 54 Lots 63 + 64</t>
  </si>
  <si>
    <t>33905-1834</t>
  </si>
  <si>
    <t>Cape Coral Unit 33 Blk.2182 Pb 16 Pg 49 Lots 14 + 15</t>
  </si>
  <si>
    <t xml:space="preserve">17541 NW 49th Ave  Miami Gardens, FL 33055-3619 </t>
  </si>
  <si>
    <t xml:space="preserve">8051 W Highway 318 </t>
  </si>
  <si>
    <t xml:space="preserve">1915 NE 18th Pl </t>
  </si>
  <si>
    <t>Gary Runciman &amp; Susan Casey</t>
  </si>
  <si>
    <t xml:space="preserve">1719 NE 17th St </t>
  </si>
  <si>
    <t>65809-4689</t>
  </si>
  <si>
    <t xml:space="preserve">3835 Hillandale St  Fort Myers, FL 33905 </t>
  </si>
  <si>
    <t>Pelegrin</t>
  </si>
  <si>
    <t xml:space="preserve">10511 Harbor Dr  Charlotte, NC 28214-8983 </t>
  </si>
  <si>
    <t>Maryse</t>
  </si>
  <si>
    <t>Ceja</t>
  </si>
  <si>
    <t>33909-1720</t>
  </si>
  <si>
    <t>Valera</t>
  </si>
  <si>
    <t>J J &amp; Colleen Becerra</t>
  </si>
  <si>
    <t>Cape Coral Unit 87 Blk 5732 Pb 24 Pg 87 Lots 15 + 16</t>
  </si>
  <si>
    <t>33909-5366</t>
  </si>
  <si>
    <t>11-45-24-05-00025.0080</t>
  </si>
  <si>
    <t xml:space="preserve">4520 La Salle Ave S </t>
  </si>
  <si>
    <t>Cape Coral Unit 31 Blk 2099 Pb 14 Pg 160 Lots 5 Thru 7</t>
  </si>
  <si>
    <t>Edgardo Gabas</t>
  </si>
  <si>
    <t>R G R &amp; Jacquelyn Morse</t>
  </si>
  <si>
    <t>Nathan Cline</t>
  </si>
  <si>
    <t xml:space="preserve">1720 NE 12th Ter </t>
  </si>
  <si>
    <t>Cape Coral Unit 84 Blk.5597 Pb 24 Pg 43 Lots 4 + 5</t>
  </si>
  <si>
    <t>Panny</t>
  </si>
  <si>
    <t>03-44-26-02-00007.0190</t>
  </si>
  <si>
    <t xml:space="preserve">10219 Butterweed Trl </t>
  </si>
  <si>
    <t xml:space="preserve">4 White Rd </t>
  </si>
  <si>
    <t>Dpto</t>
  </si>
  <si>
    <t>01-44-23-c1-02464.0180</t>
  </si>
  <si>
    <t xml:space="preserve">3928 NE 15th Pl </t>
  </si>
  <si>
    <t xml:space="preserve">1803 N Gator Cir </t>
  </si>
  <si>
    <t>17-43-24-c1-05739.0150</t>
  </si>
  <si>
    <t>Gallena</t>
  </si>
  <si>
    <t>Alor</t>
  </si>
  <si>
    <t>Waldrop</t>
  </si>
  <si>
    <t xml:space="preserve">201 NE 9th Ave </t>
  </si>
  <si>
    <t>Hongzhen Po</t>
  </si>
  <si>
    <t xml:space="preserve">200 4th St  Fort Myers, FL 33907 </t>
  </si>
  <si>
    <t>17-43-24-c4-05773.0010</t>
  </si>
  <si>
    <t>Gila</t>
  </si>
  <si>
    <t>17-43-24-c2-05809.0010</t>
  </si>
  <si>
    <t xml:space="preserve">40682 N Entry Rd </t>
  </si>
  <si>
    <t>Cape Coral Unit 36 Pt 1 Blk 2510 Pb 23 Pg 89 Lots 36 + 37</t>
  </si>
  <si>
    <t>Koster</t>
  </si>
  <si>
    <t>R105</t>
  </si>
  <si>
    <t xml:space="preserve">2044 NE 34th Ln  Cape Coral, FL 33909 </t>
  </si>
  <si>
    <t>Cypress Trail Rv Resort Ph 4-B As Desc In Inst# 2017000057565 Lot 303</t>
  </si>
  <si>
    <t>Cypress Woods Rv Resort Desc In Inst#2006-358211 Lot 142</t>
  </si>
  <si>
    <t>Cape Coral Unit 32 Blk 2163 Pb 16 Pg 8 Lots 35 + 36</t>
  </si>
  <si>
    <t>Cape Coral Unit 17 Blk 1512 Pb 14 Pg 27 Lots 31 + 32</t>
  </si>
  <si>
    <t xml:space="preserve">14 Berrymans Ln </t>
  </si>
  <si>
    <t>20th</t>
  </si>
  <si>
    <t>Huaying</t>
  </si>
  <si>
    <t xml:space="preserve">437 Santa Cruz St  North Fort Myers, FL 33903 </t>
  </si>
  <si>
    <t>25-43-23-c3-02353.0160</t>
  </si>
  <si>
    <t>Wahoo</t>
  </si>
  <si>
    <t>Mukhtar</t>
  </si>
  <si>
    <t>Yarmouth Port</t>
  </si>
  <si>
    <t xml:space="preserve">1293 Prospect Ave #9 </t>
  </si>
  <si>
    <t>03-44-26-04-00018.0130</t>
  </si>
  <si>
    <t>Cape Coral Unit 84 Blk 5605 Pb 24 Pg 42 Lots 51 + 52</t>
  </si>
  <si>
    <t xml:space="preserve">25 Hartland Rd  Etobicoke, ON M9c 4S9 </t>
  </si>
  <si>
    <t>Rue Coeurs Des Pres</t>
  </si>
  <si>
    <t>03-44-26-12-00065.0200</t>
  </si>
  <si>
    <t>19-43-24-c2-05602.0490</t>
  </si>
  <si>
    <t>Cape Coral Unit 32 Blk 2147 Pb 16 Pg 8 Lots 15 + 16</t>
  </si>
  <si>
    <t>Fong</t>
  </si>
  <si>
    <t>New Castle</t>
  </si>
  <si>
    <t>92127-2889</t>
  </si>
  <si>
    <t>Stephane Filion</t>
  </si>
  <si>
    <t>Clotilde Gordon</t>
  </si>
  <si>
    <t>Rady</t>
  </si>
  <si>
    <t xml:space="preserve">25810 Hull Prairie Rd </t>
  </si>
  <si>
    <t>Zaldana</t>
  </si>
  <si>
    <t>Shelton</t>
  </si>
  <si>
    <t>Keating</t>
  </si>
  <si>
    <t>Hudlay</t>
  </si>
  <si>
    <t xml:space="preserve">607 Marcy Ave  Staten Island, NY 10309-2420 </t>
  </si>
  <si>
    <t xml:space="preserve">2347 Franklin Park Dr  Sterling Heights, MI 48310-2380 </t>
  </si>
  <si>
    <t>Cape Coral Unit 33 Blk.2263 Pb 16 Pg 59 Lots 37 + 38</t>
  </si>
  <si>
    <t xml:space="preserve">1115 NE 18th Ave  Cape Coral, FL 33909 </t>
  </si>
  <si>
    <t xml:space="preserve">12252 Edgewater Dr  Hampton, GA 30228-3304 </t>
  </si>
  <si>
    <t>33909-6824</t>
  </si>
  <si>
    <t xml:space="preserve">346 NE 30th St </t>
  </si>
  <si>
    <t>Cape Coral Unit 32 Blk 2162 Pb 16 Pg 11 Lots 59 + 60</t>
  </si>
  <si>
    <t>29680-7714</t>
  </si>
  <si>
    <t xml:space="preserve">14151 SW 202nd Ave  Miami, FL 33196-2166 </t>
  </si>
  <si>
    <t>19-43-24-c3-05574.0240</t>
  </si>
  <si>
    <t>25-43-23-c1-02323.0710</t>
  </si>
  <si>
    <t xml:space="preserve">10724 78th St </t>
  </si>
  <si>
    <t>95747-9764</t>
  </si>
  <si>
    <t xml:space="preserve">125 Wembley Ct  Atlanta, GA 30328-6760 </t>
  </si>
  <si>
    <t>Windsor Mill</t>
  </si>
  <si>
    <t xml:space="preserve">2805 NE 6th Ave  Cape Coral, FL 33909 </t>
  </si>
  <si>
    <t>Skipworth Green</t>
  </si>
  <si>
    <t>07040-1417</t>
  </si>
  <si>
    <t>Yiqing</t>
  </si>
  <si>
    <t xml:space="preserve">3734 Kilarney St </t>
  </si>
  <si>
    <t>Braden</t>
  </si>
  <si>
    <t>Cape Coral Unit 17 Blk 1528 Pb 14 Pg 36 Lots 33 + 34</t>
  </si>
  <si>
    <t>10562-4000</t>
  </si>
  <si>
    <t>33434-5431</t>
  </si>
  <si>
    <t xml:space="preserve">25 Gaertnergasse </t>
  </si>
  <si>
    <t>Cape Coral Unit 88 Blk 5793 Pb 24 Pg 130 Lots 14 + 15</t>
  </si>
  <si>
    <t>Vannguyen</t>
  </si>
  <si>
    <t>07047-5231</t>
  </si>
  <si>
    <t>James &amp; Cecilla Greco</t>
  </si>
  <si>
    <t xml:space="preserve">18 Frederickson Ave  Holden, MA 01520-1730 </t>
  </si>
  <si>
    <t>Romie</t>
  </si>
  <si>
    <t xml:space="preserve">347 Main St  South Windsor, CT 06074-3909 </t>
  </si>
  <si>
    <t>Marcelle Levy Trust</t>
  </si>
  <si>
    <t>Hehman</t>
  </si>
  <si>
    <t>Maraval</t>
  </si>
  <si>
    <t>02-46-23-03-00000.0960</t>
  </si>
  <si>
    <t>20120-1678</t>
  </si>
  <si>
    <t>33909-1573</t>
  </si>
  <si>
    <t xml:space="preserve">280 Lowndes Ave #111 </t>
  </si>
  <si>
    <t>Panama City</t>
  </si>
  <si>
    <t>Cypress Trail Rv Resort Ph 3 As Desc In Inst# 2015000085552 Lot 231</t>
  </si>
  <si>
    <t xml:space="preserve">2721 Jackson Pike </t>
  </si>
  <si>
    <t xml:space="preserve">2123 NE 43rd Ln </t>
  </si>
  <si>
    <t xml:space="preserve">31 Nussdorf </t>
  </si>
  <si>
    <t>Simison</t>
  </si>
  <si>
    <t>Lehigh Acres Unit 1 Blk 5 Pb 26 Pg 22 Lot 1</t>
  </si>
  <si>
    <t xml:space="preserve">5289 Cypress Trail Resort Cir </t>
  </si>
  <si>
    <t>Fields</t>
  </si>
  <si>
    <t>Cape Coral Unit 33 Blk.2265 Pb 16 Pg 59 Lots 29 + 30</t>
  </si>
  <si>
    <t xml:space="preserve">5271 Dana Rd </t>
  </si>
  <si>
    <t xml:space="preserve">205 Sojourn Dr  North Fort Myers, FL 33903 </t>
  </si>
  <si>
    <t xml:space="preserve">4836 Boxwood Cir </t>
  </si>
  <si>
    <t xml:space="preserve">16 Langenfelder St  Bad Salzungen, DE 36433 </t>
  </si>
  <si>
    <t>Magothy</t>
  </si>
  <si>
    <t>Grandview</t>
  </si>
  <si>
    <t>Misuraca</t>
  </si>
  <si>
    <t>Rahm</t>
  </si>
  <si>
    <t>Melvyn</t>
  </si>
  <si>
    <t>Washington</t>
  </si>
  <si>
    <t>Nikrandt</t>
  </si>
  <si>
    <t xml:space="preserve">1835 Franklin St #903, San Francisco, CA 94109-3457 </t>
  </si>
  <si>
    <t xml:space="preserve">7305 Islander Ln </t>
  </si>
  <si>
    <t>Ingrid &amp; Kurt Scharpel</t>
  </si>
  <si>
    <t xml:space="preserve">824 NE 23rd Ter  Cape Coral, FL 33909 </t>
  </si>
  <si>
    <t>Melva Zegarra</t>
  </si>
  <si>
    <t xml:space="preserve">3523 NE 17th Ave  Cape Coral, FL 33909 </t>
  </si>
  <si>
    <t xml:space="preserve">911 NE 32nd St </t>
  </si>
  <si>
    <t>06-45-24-c3-00528.0200</t>
  </si>
  <si>
    <t xml:space="preserve">49 Rosebud Ln  Mount Clemens, MI 48043-1475 </t>
  </si>
  <si>
    <t>Will</t>
  </si>
  <si>
    <t xml:space="preserve">6024 Langdon Ave  Fort Myers, FL 33905 </t>
  </si>
  <si>
    <t>Cyril &amp; Alexandra Barth</t>
  </si>
  <si>
    <t xml:space="preserve">56540 Hayes Rd </t>
  </si>
  <si>
    <t>Francesco Piccirillo</t>
  </si>
  <si>
    <t>33015-6394</t>
  </si>
  <si>
    <t>Saddleback</t>
  </si>
  <si>
    <t xml:space="preserve">402 NE 26th St  Cape Coral, FL 33909 </t>
  </si>
  <si>
    <t>33647-3345</t>
  </si>
  <si>
    <t>Legallais St Channel Port Aux</t>
  </si>
  <si>
    <t xml:space="preserve">6125 Holt Ct </t>
  </si>
  <si>
    <t>Adriana</t>
  </si>
  <si>
    <t>Cape Coral Unit 36 Blk 2330 Pb 16 Pg 129 Lots 31 + 32</t>
  </si>
  <si>
    <t xml:space="preserve">12611 Silver Lake Rd  Highland, IL 62249-3425 </t>
  </si>
  <si>
    <t xml:space="preserve">6039 Joplin Ave  Fort Myers, FL 33905 </t>
  </si>
  <si>
    <t>Cape Coral Unit 36 Blk 2304 Pb 16 Pg 119 Lots 9 + 10</t>
  </si>
  <si>
    <t>Nelky</t>
  </si>
  <si>
    <t>10977-2335</t>
  </si>
  <si>
    <t>Ausenon</t>
  </si>
  <si>
    <t>Manuel &amp; Martha Arbelaez</t>
  </si>
  <si>
    <t>Cape Coral Unit 34 Blk 2461 Pb 16 Pg 84 Lots 40 + 41</t>
  </si>
  <si>
    <t>Cape Coral Unit 26 Blk 879 Pb 14 Pg 130 Lots 33 + 34</t>
  </si>
  <si>
    <t xml:space="preserve">1916 NE 21st Pl  Cape Coral, FL 33909 </t>
  </si>
  <si>
    <t>278th</t>
  </si>
  <si>
    <t>Eward &amp; Defrancesco Planco</t>
  </si>
  <si>
    <t xml:space="preserve">1097 Milstead Dr  Hiawatha, IA 52233-1868 </t>
  </si>
  <si>
    <t xml:space="preserve">34 Kismet Pkwy E </t>
  </si>
  <si>
    <t>Frey</t>
  </si>
  <si>
    <t xml:space="preserve">2800 NE Pine Island Rd </t>
  </si>
  <si>
    <t>33909-4649</t>
  </si>
  <si>
    <t>Cape Coral Unit 12 Blk.508 Pb 13 Pg 54 Lots 69 Thru 71</t>
  </si>
  <si>
    <t xml:space="preserve">12931 SW 117th St </t>
  </si>
  <si>
    <t>60525-2325</t>
  </si>
  <si>
    <t>Cape Coral Unit 35 Blk 2379 Pb 16 Pg 103 Lots 3 + 4</t>
  </si>
  <si>
    <t xml:space="preserve">860 Olive Ave A, Coronado, CA 92118-2584 </t>
  </si>
  <si>
    <t xml:space="preserve">5910 Brightwood Dr  Fort Myers, FL 33905 </t>
  </si>
  <si>
    <t xml:space="preserve">534 6 warren St  Naples, FL 34113 </t>
  </si>
  <si>
    <t>03-44-26-01-00003.0060</t>
  </si>
  <si>
    <t xml:space="preserve">1902 NE 23rd Ave  Cape Coral, FL 33909 </t>
  </si>
  <si>
    <t>Cape Coral Unit 36 Blk 2543 Pb 16 Pg 118 Lots 29 + 30</t>
  </si>
  <si>
    <t xml:space="preserve">13 Pine Ave </t>
  </si>
  <si>
    <t>25-43-23-c2-02333.0670</t>
  </si>
  <si>
    <t>Solange</t>
  </si>
  <si>
    <t xml:space="preserve">4412 SW 50th St  Fort Lauderdale, FL 33314-5729 </t>
  </si>
  <si>
    <t>Cypress Trail Rv Resort Ph 4-B As Desc In Inst# 2017000057565 Lot 352</t>
  </si>
  <si>
    <t>Fort Hunt</t>
  </si>
  <si>
    <t>Angel Sesarego &amp; Audenis Pardo</t>
  </si>
  <si>
    <t>Richard &amp; James Hehman</t>
  </si>
  <si>
    <t>52748-1349</t>
  </si>
  <si>
    <t xml:space="preserve">3405 Grant St </t>
  </si>
  <si>
    <t>03-44-26-10-00051.0120</t>
  </si>
  <si>
    <t>Litchfield</t>
  </si>
  <si>
    <t>Johnny Tran</t>
  </si>
  <si>
    <t>Cape Coral Unit 34 Blk 2465 Pb 16 Pg 77 Lots 97 + 98</t>
  </si>
  <si>
    <t>20-43-24-c2-05664.0250</t>
  </si>
  <si>
    <t xml:space="preserve">665 Larry Ct  Waukesha, WI 53186-1811 </t>
  </si>
  <si>
    <t>Walton</t>
  </si>
  <si>
    <t>Harold &amp; Kimberly Danson</t>
  </si>
  <si>
    <t xml:space="preserve">3437 NE 9th Pl </t>
  </si>
  <si>
    <t>For Robert &amp; Ericka Wheeler Trust</t>
  </si>
  <si>
    <t xml:space="preserve">3014 NE 7th Pl  Cape Coral, FL 33909 </t>
  </si>
  <si>
    <t>33156-4827</t>
  </si>
  <si>
    <t>29-43-24-c4-02284.0390</t>
  </si>
  <si>
    <t xml:space="preserve">71331 Baldwin Prairie Rd  Union, MI 49130-9704 </t>
  </si>
  <si>
    <t>Arminda</t>
  </si>
  <si>
    <t>Cypress Trail Rv Resort Phase 2-B As Desc In Inst# 2015000013050 Lot 407</t>
  </si>
  <si>
    <t>Kephart</t>
  </si>
  <si>
    <t>Cape Coral Unit 34 Blk 2467 Pb 16 Pg 75 Lots 3 + 4</t>
  </si>
  <si>
    <t xml:space="preserve">3746 Kenyon St </t>
  </si>
  <si>
    <t>Stafford Woods</t>
  </si>
  <si>
    <t>Wolfram</t>
  </si>
  <si>
    <t xml:space="preserve">8352 Talbot St 1h, Kew Gardens, NY 11415-3566 </t>
  </si>
  <si>
    <t xml:space="preserve">113 NE 12th Ter  Cape Coral, FL 33909 </t>
  </si>
  <si>
    <t>08-44-24-c3-01515.0300</t>
  </si>
  <si>
    <t>Barone</t>
  </si>
  <si>
    <t xml:space="preserve">707 Overlook Pt  Woodstock, GA 30189-1562 </t>
  </si>
  <si>
    <t xml:space="preserve">131 Allan St  Cortlandt Manor, NY 10567-1613 </t>
  </si>
  <si>
    <t>Onoria</t>
  </si>
  <si>
    <t xml:space="preserve">10051 Rambelwood Ct  Fort Myers, FL 33905 </t>
  </si>
  <si>
    <t xml:space="preserve">2534 NE 20th Pl </t>
  </si>
  <si>
    <t xml:space="preserve">2314 NE 21st Ter </t>
  </si>
  <si>
    <t xml:space="preserve">2906 NE Juanita Pl </t>
  </si>
  <si>
    <t xml:space="preserve">9766 Ross Ave  Montgomery, OH 45242-7125 </t>
  </si>
  <si>
    <t>Matthew Allen</t>
  </si>
  <si>
    <t xml:space="preserve">5164 Cypress Trail Resort Cir  Fort Myers, FL 33905 </t>
  </si>
  <si>
    <t xml:space="preserve">2055 Berkeley Dr  Westlake, OH 44145-3219 </t>
  </si>
  <si>
    <t>Meyer Ronald H Tr For Ronald H Meyer Living Trust</t>
  </si>
  <si>
    <t>33982-2344</t>
  </si>
  <si>
    <t>Edwin Parsells</t>
  </si>
  <si>
    <t>17-43-24-c4-05741.0050</t>
  </si>
  <si>
    <t>17-43-24-c2-05815.0090</t>
  </si>
  <si>
    <t xml:space="preserve">1907 NE 42nd St </t>
  </si>
  <si>
    <t xml:space="preserve">220 Reist Rd </t>
  </si>
  <si>
    <t>Guionnaud Rose Marie Tr</t>
  </si>
  <si>
    <t>33909-6873</t>
  </si>
  <si>
    <t xml:space="preserve">6167 Eldridge Blvd </t>
  </si>
  <si>
    <t>Leticia</t>
  </si>
  <si>
    <t xml:space="preserve">923 NE 32nd Ter </t>
  </si>
  <si>
    <t>17033-9786</t>
  </si>
  <si>
    <t xml:space="preserve">4024 NE 17th Ave  Cape Coral, FL 33909 </t>
  </si>
  <si>
    <t>Jaime &amp; Margarita Mira</t>
  </si>
  <si>
    <t>07416-9717</t>
  </si>
  <si>
    <t xml:space="preserve">52 Cherry St #3 </t>
  </si>
  <si>
    <t xml:space="preserve">3850 Insdale St </t>
  </si>
  <si>
    <t>33909-3426</t>
  </si>
  <si>
    <t xml:space="preserve">1039 Ringo Ln </t>
  </si>
  <si>
    <t>29-43-24-c4-02283.0340</t>
  </si>
  <si>
    <t>PO Box 977</t>
  </si>
  <si>
    <t xml:space="preserve">212 W Washington St #1175, Chicago, IL 60606-3428 </t>
  </si>
  <si>
    <t xml:space="preserve">46 White Pond Rd </t>
  </si>
  <si>
    <t xml:space="preserve">2829 NE 7th Ave  Cape Coral, FL 33909 </t>
  </si>
  <si>
    <t xml:space="preserve">902 Calle 21 Norte </t>
  </si>
  <si>
    <t>31-43-24-c1-02170.0090</t>
  </si>
  <si>
    <t xml:space="preserve">284 Roosevelt Ave  Freeport, NY 11520-5414 </t>
  </si>
  <si>
    <t>Munroe Falls</t>
  </si>
  <si>
    <t>Cape Coral Unit 34 Blk 2442 Pb 16 Pg 78 Lots 1 + 2</t>
  </si>
  <si>
    <t>66085-9186</t>
  </si>
  <si>
    <t xml:space="preserve">1775 Georgian Heights Blvd </t>
  </si>
  <si>
    <t>Cape Coral Unit 32 Blk 2149 Pb 16 Pg 11 Lots 54 + 55</t>
  </si>
  <si>
    <t xml:space="preserve">3811 Heyburn St </t>
  </si>
  <si>
    <t>19-43-24-c4-05551.0430</t>
  </si>
  <si>
    <t>Steven Malaret</t>
  </si>
  <si>
    <t>Dolce</t>
  </si>
  <si>
    <t>18-43-24-c1-05730.0050</t>
  </si>
  <si>
    <t>Cape Coral Unit 36 Pt 1 Blk 2513 Pb 23 Pg 88 Lots 20 + 21</t>
  </si>
  <si>
    <t>Maryville</t>
  </si>
  <si>
    <t>20-43-24-c2-05665.0050</t>
  </si>
  <si>
    <t xml:space="preserve">2205 NE 13th Ave </t>
  </si>
  <si>
    <t>Cape Coral Unit 21 Blk 633 Pb 13 Pg 150 Lots 49 + 50</t>
  </si>
  <si>
    <t>Luc &amp; Isabelle Nouvel</t>
  </si>
  <si>
    <t xml:space="preserve">5872 SW 17th St  Miami, FL 33155-2121 </t>
  </si>
  <si>
    <t>Southwarke</t>
  </si>
  <si>
    <t>John F &amp; Sandra J Timmons Trus</t>
  </si>
  <si>
    <t>Eckman</t>
  </si>
  <si>
    <t xml:space="preserve">1712 NE 33rd Ter  Cape Coral, FL 33909 </t>
  </si>
  <si>
    <t xml:space="preserve">4120 NE 21st Ave  Cape Coral, FL 33909 </t>
  </si>
  <si>
    <t>33158-1062</t>
  </si>
  <si>
    <t>Kimgdom Trust Company Cust</t>
  </si>
  <si>
    <t xml:space="preserve">2 Urb Montalvo </t>
  </si>
  <si>
    <t>17-43-24-c2-05780.0310</t>
  </si>
  <si>
    <t xml:space="preserve">2529 NE 19th Pl </t>
  </si>
  <si>
    <t>Cape Coral Unit 34 Blk 2435 Pb 16 Pg 85 Lots 9 + 10</t>
  </si>
  <si>
    <t>Cape Coral Unit 33 Blk 2277 Pb 16 Pg 57 Lots 45 + 46</t>
  </si>
  <si>
    <t xml:space="preserve">3103 Lakeside Dr </t>
  </si>
  <si>
    <t xml:space="preserve">1734 SE 40th St  Cape Coral, FL 33904 </t>
  </si>
  <si>
    <t xml:space="preserve">13350 Fourth St </t>
  </si>
  <si>
    <t>For Schmidt 2018 Trust</t>
  </si>
  <si>
    <t xml:space="preserve">1002 NE 15th Ter  Cape Coral, FL 33909 </t>
  </si>
  <si>
    <t>25-43-23-c1-02349.0590</t>
  </si>
  <si>
    <t>Lamar</t>
  </si>
  <si>
    <t xml:space="preserve">3003 NE 1st Ave </t>
  </si>
  <si>
    <t xml:space="preserve">5116 Cypress Trail Resort Cir </t>
  </si>
  <si>
    <t xml:space="preserve">14924 Wyndham Oaks Dr  Charlotte, NC 28277-1512 </t>
  </si>
  <si>
    <t>Pearl Beach</t>
  </si>
  <si>
    <t>01887-2508</t>
  </si>
  <si>
    <t xml:space="preserve">1708 S Indiana Ave  Chicago, IL 60616-1302 </t>
  </si>
  <si>
    <t>Waxahachie</t>
  </si>
  <si>
    <t xml:space="preserve">2125 NE 10th Pl  Cape Coral, FL 33909 </t>
  </si>
  <si>
    <t>Dale George Constine Trust</t>
  </si>
  <si>
    <t xml:space="preserve">20803 Estates Dr #2 </t>
  </si>
  <si>
    <t xml:space="preserve">21 Gunderhauser St </t>
  </si>
  <si>
    <t>33905-5764</t>
  </si>
  <si>
    <t xml:space="preserve">2802 Hyde Cv </t>
  </si>
  <si>
    <t xml:space="preserve">1183 Patterson Rd </t>
  </si>
  <si>
    <t>Andrew &amp; Brande Defilippis</t>
  </si>
  <si>
    <t>Matthew &amp; Patricia Petit</t>
  </si>
  <si>
    <t xml:space="preserve">2200 Cherokee Dr  Burlington, IA 52601-3314 </t>
  </si>
  <si>
    <t>12401-2643</t>
  </si>
  <si>
    <t>Lehigh Acres Unit 5 Blk 23 Pb 26 Pg 7 Lot 5</t>
  </si>
  <si>
    <t>Juliachs</t>
  </si>
  <si>
    <t>Cape Coral Unit 85 Blk 5672 Pb 24 Pg 51 Lots 43 + 44</t>
  </si>
  <si>
    <t xml:space="preserve">1803 NE 26th Ter </t>
  </si>
  <si>
    <t>29-43-24-c4-02284.0140</t>
  </si>
  <si>
    <t>Cape Coral Unit 88 Blk 5816 Pb 24 Pg 139 Lots 11 + 12</t>
  </si>
  <si>
    <t xml:space="preserve">627 NE 19th Ter  Cape Coral, FL 33909 </t>
  </si>
  <si>
    <t xml:space="preserve">3790 8th Ave NE  Naples, FL 34120-4923 </t>
  </si>
  <si>
    <t>Danny</t>
  </si>
  <si>
    <t>Th S 1/2 Of Ne 1/4 Of Nw 1/4 Of Sw 1/4</t>
  </si>
  <si>
    <t>36-43-23-c2-02538.0480</t>
  </si>
  <si>
    <t>Wolin</t>
  </si>
  <si>
    <t xml:space="preserve">8917 Melrose Ln  New Orleans, LA 70123-2915 </t>
  </si>
  <si>
    <t>29-43-24-c3-02273.0140</t>
  </si>
  <si>
    <t>33909-5361</t>
  </si>
  <si>
    <t>25-43-23-c2-02335.0270</t>
  </si>
  <si>
    <t>Wichita</t>
  </si>
  <si>
    <t xml:space="preserve">457 NE Juanita Ct </t>
  </si>
  <si>
    <t>Sugar Bluff</t>
  </si>
  <si>
    <t>GROSS AREA</t>
  </si>
  <si>
    <t xml:space="preserve">2323 Unity Ave </t>
  </si>
  <si>
    <t>Florence Black-Gordon &amp; Cordinel Gordon</t>
  </si>
  <si>
    <t>18-43-24-c3-05712.0170</t>
  </si>
  <si>
    <t>33909-2595</t>
  </si>
  <si>
    <t>Nelson Aponte</t>
  </si>
  <si>
    <t xml:space="preserve">5260 Willow Ct  Cape Coral, FL 33904 </t>
  </si>
  <si>
    <t xml:space="preserve">3875 NW 135th St </t>
  </si>
  <si>
    <t>Epstein</t>
  </si>
  <si>
    <t xml:space="preserve">19681 Summerlin Rd #587 </t>
  </si>
  <si>
    <t xml:space="preserve">1212 Spanish Cay Ln  Punta Gorda, FL 33950-5822 </t>
  </si>
  <si>
    <t>18-43-24-c3-05586.0030</t>
  </si>
  <si>
    <t xml:space="preserve">730 Joes Creek Rd </t>
  </si>
  <si>
    <t xml:space="preserve">1715 NE 17th St  Cape Coral, FL 33909 </t>
  </si>
  <si>
    <t xml:space="preserve">2503 NE 7th Pl </t>
  </si>
  <si>
    <t>David Vargas</t>
  </si>
  <si>
    <t>36-43-23-c2-02173.0420</t>
  </si>
  <si>
    <t xml:space="preserve">1751 W Bluewater Ter  North Fort Myers, FL 33903 </t>
  </si>
  <si>
    <t>For James &amp; Sandra L Mcghee Trust</t>
  </si>
  <si>
    <t xml:space="preserve">2621 NE 20th Pl </t>
  </si>
  <si>
    <t xml:space="preserve">1708 NE 11th St </t>
  </si>
  <si>
    <t>Dixfield</t>
  </si>
  <si>
    <t>77059-2810</t>
  </si>
  <si>
    <t>33909-6334</t>
  </si>
  <si>
    <t xml:space="preserve">1704 Sierra Hills Way  Las Vegas, NV 89128-3193 </t>
  </si>
  <si>
    <t>Trang Nguyen</t>
  </si>
  <si>
    <t>Blume</t>
  </si>
  <si>
    <t xml:space="preserve">27421 Retreat Kanaskat Rd SE  Ravensdale, WA 98051-9714 </t>
  </si>
  <si>
    <t>Robert &amp; Edna Mcdonough</t>
  </si>
  <si>
    <t>25-43-23-c1-02330.0590</t>
  </si>
  <si>
    <t xml:space="preserve">221 Wae Trl </t>
  </si>
  <si>
    <t>Alon Aharon</t>
  </si>
  <si>
    <t>Atwood</t>
  </si>
  <si>
    <t xml:space="preserve">1409 NE 18th Pl  Cape Coral, FL 33909 </t>
  </si>
  <si>
    <t>Cape Coral Unit 34 Blk 2421 Pb 16 Pg 79 Lots 1 + 2</t>
  </si>
  <si>
    <t>33321-4557</t>
  </si>
  <si>
    <t>Eileen Centurelli</t>
  </si>
  <si>
    <t xml:space="preserve">N8172 Carver School Rd </t>
  </si>
  <si>
    <t>Barbara Weismiller</t>
  </si>
  <si>
    <t>12-44-23-c1-02415.0010</t>
  </si>
  <si>
    <t>Oconto Falls</t>
  </si>
  <si>
    <t xml:space="preserve">924 Main St  Farmingdale, NY 11735-6508 </t>
  </si>
  <si>
    <t>Hialeah</t>
  </si>
  <si>
    <t xml:space="preserve">10801 Roberts Rd  Punta Gorda, FL 33950-8347 </t>
  </si>
  <si>
    <t xml:space="preserve">1358 N 700 E </t>
  </si>
  <si>
    <t xml:space="preserve">4826 NW 93rd Ter  Sunrise, FL 33351-5220 </t>
  </si>
  <si>
    <t>For Dennis A Jameyfield Trust</t>
  </si>
  <si>
    <t>Altemir</t>
  </si>
  <si>
    <t>33905-4252</t>
  </si>
  <si>
    <t xml:space="preserve">1530 Alpine Dr  Aiken, SC 29803-2531 </t>
  </si>
  <si>
    <t>Alliance</t>
  </si>
  <si>
    <t>Magaly Bonet</t>
  </si>
  <si>
    <t>31-43-24-c2-02128.0240</t>
  </si>
  <si>
    <t>Caffee</t>
  </si>
  <si>
    <t>Pangola</t>
  </si>
  <si>
    <t>Cape Coral Unit 87 Blk 5689 Pb 24 Pg 83 Lots 13 + 14</t>
  </si>
  <si>
    <t xml:space="preserve">2213 NE 33rd Ter  Cape Coral, FL 33909 </t>
  </si>
  <si>
    <t xml:space="preserve">2217 Kismet Pkwy E </t>
  </si>
  <si>
    <t>06-44-24-c2-02067.0580</t>
  </si>
  <si>
    <t xml:space="preserve">57 Huntleigh Woods </t>
  </si>
  <si>
    <t>Calle Monte Ebano</t>
  </si>
  <si>
    <t>Cape Coral Unit 84 Blk 5566 Pb 24 Pg 39 Lots 45 + 46</t>
  </si>
  <si>
    <t>Rue</t>
  </si>
  <si>
    <t>01-44-23-c3-02428.0350</t>
  </si>
  <si>
    <t xml:space="preserve">684 Sunnyside Ave </t>
  </si>
  <si>
    <t xml:space="preserve">10327 Prairie Iris Dr </t>
  </si>
  <si>
    <t>12-44-23-c2-02394.0130</t>
  </si>
  <si>
    <t>Terhune</t>
  </si>
  <si>
    <t xml:space="preserve">3522 NE 15th Ave  Cape Coral, FL 33909 </t>
  </si>
  <si>
    <t>Spring Grove</t>
  </si>
  <si>
    <t xml:space="preserve">1822 NE 18th Ave </t>
  </si>
  <si>
    <t>Tonja</t>
  </si>
  <si>
    <t>Apt 402</t>
  </si>
  <si>
    <t>State Road 84</t>
  </si>
  <si>
    <t>Urban</t>
  </si>
  <si>
    <t>11-44-25-05-0000c.1190</t>
  </si>
  <si>
    <t>Waskawood</t>
  </si>
  <si>
    <t>31-43-24-c3-02140.0100</t>
  </si>
  <si>
    <t>15301-9647</t>
  </si>
  <si>
    <t xml:space="preserve">40541 Little Farm Rd </t>
  </si>
  <si>
    <t>Mattes</t>
  </si>
  <si>
    <t>Thoa</t>
  </si>
  <si>
    <t>Brookfield</t>
  </si>
  <si>
    <t xml:space="preserve">1929 NE 27th Ter </t>
  </si>
  <si>
    <t xml:space="preserve">8855 SW 1st Pl </t>
  </si>
  <si>
    <t xml:space="preserve">2 Evergreen Ave  Hamden, CT 06518-2704 </t>
  </si>
  <si>
    <t xml:space="preserve">2658 SE 19th Ave </t>
  </si>
  <si>
    <t>the Villages</t>
  </si>
  <si>
    <t xml:space="preserve">7250 N Oakmont Dr  Hialeah, FL 33015-2019 </t>
  </si>
  <si>
    <t xml:space="preserve">28419 Corbara Pl  Wesley Chapel, FL 33543-6409 </t>
  </si>
  <si>
    <t>16925-9167</t>
  </si>
  <si>
    <t>Carl L Schmitz &amp; Carl Schmitz</t>
  </si>
  <si>
    <t>08-44-24-c2-01528.0330</t>
  </si>
  <si>
    <t xml:space="preserve">5476 Cypress Trail Resort Cir  Fort Myers, FL 33905 </t>
  </si>
  <si>
    <t>20-43-24-c1-05650.0110</t>
  </si>
  <si>
    <t xml:space="preserve">148 Jupiter St  Morgan City, LA 70380-5300 </t>
  </si>
  <si>
    <t xml:space="preserve">3917 NE 8th Pl  Cape Coral, FL 33909 </t>
  </si>
  <si>
    <t>Joseph Chowansky</t>
  </si>
  <si>
    <t xml:space="preserve">1419 NE 18th St  Cape Coral, FL 33909 </t>
  </si>
  <si>
    <t>33033-5661</t>
  </si>
  <si>
    <t>Jupiter</t>
  </si>
  <si>
    <t xml:space="preserve">3849 Heyburn St  Fort Myers, FL 33905 </t>
  </si>
  <si>
    <t xml:space="preserve">9801 SW 87th St </t>
  </si>
  <si>
    <t xml:space="preserve">302 NE 25th Ter </t>
  </si>
  <si>
    <t xml:space="preserve">234 Martin Grove Rd  Etobicoke, ON M9b 4L4 </t>
  </si>
  <si>
    <t>Getman</t>
  </si>
  <si>
    <t>12586-1825</t>
  </si>
  <si>
    <t>11-44-25-l1-1400b.4500</t>
  </si>
  <si>
    <t>Earlene</t>
  </si>
  <si>
    <t xml:space="preserve">927 NE 16th Ter  Cape Coral, FL 33909 </t>
  </si>
  <si>
    <t>Umbel</t>
  </si>
  <si>
    <t xml:space="preserve">2113 NE 15th Ter </t>
  </si>
  <si>
    <t>Luisa &amp; Frederico Rosas</t>
  </si>
  <si>
    <t>Pine Manor Unit 5 Blk 24 Pb 11 Pg 24 Lot 42</t>
  </si>
  <si>
    <t>Elvin Ferreras</t>
  </si>
  <si>
    <t>33903-2805</t>
  </si>
  <si>
    <t>Paul &amp; Lenette Roos</t>
  </si>
  <si>
    <t>Cape Coral Unit 36 Pt 1 Blk 2510 Pb 23 Pg 89 Lots 34 + 35</t>
  </si>
  <si>
    <t>33909-4737</t>
  </si>
  <si>
    <t xml:space="preserve">4 the Kingsway #402 </t>
  </si>
  <si>
    <t xml:space="preserve">718 Johnson St NW  Evansville, MN 56326-8168 </t>
  </si>
  <si>
    <t>33905-5710</t>
  </si>
  <si>
    <t xml:space="preserve">86 W 12th St 1e </t>
  </si>
  <si>
    <t xml:space="preserve">909 NE 13th Ave </t>
  </si>
  <si>
    <t>33317-6807</t>
  </si>
  <si>
    <t>Aquia Harbour</t>
  </si>
  <si>
    <t>L1T 3V5</t>
  </si>
  <si>
    <t xml:space="preserve">35 Lisle St  Braintree, MA 02184-5024 </t>
  </si>
  <si>
    <t>08-44-24-c4-01508.0600</t>
  </si>
  <si>
    <t xml:space="preserve">2246 NE 13th Ln  Cape Coral, FL 33909 </t>
  </si>
  <si>
    <t>Sterling &amp; Ena Shaw</t>
  </si>
  <si>
    <t>Flink</t>
  </si>
  <si>
    <t>Leander</t>
  </si>
  <si>
    <t xml:space="preserve">1902 NE 10th Pl  Cape Coral, FL 33909 </t>
  </si>
  <si>
    <t>Cape Coral Unit 25 Blk 884 Pb 14 Pg 92 Lots 35 + 36</t>
  </si>
  <si>
    <t xml:space="preserve">134 N 44th Rd  Mendota, IL 61342-9503 </t>
  </si>
  <si>
    <t>02152-1513</t>
  </si>
  <si>
    <t>Masen</t>
  </si>
  <si>
    <t xml:space="preserve">6102 Hendley Ct </t>
  </si>
  <si>
    <t xml:space="preserve">3903 NE 10th Ave </t>
  </si>
  <si>
    <t>Carlson Gary A Tr</t>
  </si>
  <si>
    <t>33909-2830</t>
  </si>
  <si>
    <t>Arne &amp; For Jensen</t>
  </si>
  <si>
    <t xml:space="preserve">934 NE 12th St </t>
  </si>
  <si>
    <t xml:space="preserve">10027 Rambelwood Ct  Fort Myers, FL 33905 </t>
  </si>
  <si>
    <t>106th</t>
  </si>
  <si>
    <t xml:space="preserve">5119 Cypress Trail Resort Cir  Fort Myers, FL 33905 </t>
  </si>
  <si>
    <t>Cape Coral Unit 36 Blk 2322 Pb 16 Pg 126 Lots 27 &amp; 28</t>
  </si>
  <si>
    <t>Nara</t>
  </si>
  <si>
    <t>33615-3424</t>
  </si>
  <si>
    <t>17-43-24-c1-05827.0070</t>
  </si>
  <si>
    <t xml:space="preserve">PO Box 34389  Reno, NV 89533-4389 </t>
  </si>
  <si>
    <t xml:space="preserve">2100 NE 2nd Pl </t>
  </si>
  <si>
    <t xml:space="preserve">14231 Callan St  Fort Myers, FL 33905 </t>
  </si>
  <si>
    <t>Stevely</t>
  </si>
  <si>
    <t>05-44-24-c1-03520.0490</t>
  </si>
  <si>
    <t xml:space="preserve">7222 66th St  Glendale, NY 11385-6932 </t>
  </si>
  <si>
    <t xml:space="preserve">1429 Paseo Manzana  San Dimas, CA 91773-3917 </t>
  </si>
  <si>
    <t>Jean &amp; Maryse Soete</t>
  </si>
  <si>
    <t>Shaharazad</t>
  </si>
  <si>
    <t xml:space="preserve">15991 Cemetery Rd  Fort Myers, FL 33905 </t>
  </si>
  <si>
    <t>Brightwaters</t>
  </si>
  <si>
    <t>Trudelle</t>
  </si>
  <si>
    <t>17-43-24-c1-05821.0530</t>
  </si>
  <si>
    <t>Trailridge</t>
  </si>
  <si>
    <t>Barbara Hood</t>
  </si>
  <si>
    <t>11225-5522</t>
  </si>
  <si>
    <t>Cape Coral Unit 33 Blk 2259 Pb 16 Pg 59 Lots 5 + 6</t>
  </si>
  <si>
    <t xml:space="preserve">5254 Cypress Trail Resort Cir </t>
  </si>
  <si>
    <t>Runciman</t>
  </si>
  <si>
    <t xml:space="preserve">2534 NE 20th Pl  Cape Coral, FL 33909 </t>
  </si>
  <si>
    <t>Skyview</t>
  </si>
  <si>
    <t>Dyck</t>
  </si>
  <si>
    <t xml:space="preserve">6209 Yellow Court Dawn </t>
  </si>
  <si>
    <t xml:space="preserve">1419 NE 21st Pl  Cape Coral, FL 33909 </t>
  </si>
  <si>
    <t>Kevin &amp; Cheryl Powell</t>
  </si>
  <si>
    <t>William &amp; Jessica Cesaroni</t>
  </si>
  <si>
    <t>03-44-26-04-00020.0020</t>
  </si>
  <si>
    <t>C421</t>
  </si>
  <si>
    <t>Alan Marcus &amp; Alan For</t>
  </si>
  <si>
    <t xml:space="preserve">4132 NE 19th Pl </t>
  </si>
  <si>
    <t>Howard Doing</t>
  </si>
  <si>
    <t xml:space="preserve">14754 Kennebec St  Southgate, MI 48195-2583 </t>
  </si>
  <si>
    <t xml:space="preserve">5375 Del Monte Ct  Cape Coral, FL 33904 </t>
  </si>
  <si>
    <t>Mount Ephraim</t>
  </si>
  <si>
    <t>Cape Coral Unit 36 Blk 2547 Pb 16 Pg 113 Lots 40 + 41</t>
  </si>
  <si>
    <t xml:space="preserve">440 E 62nd St 11f, New York, NY 10065-8344 </t>
  </si>
  <si>
    <t>Rosa Carrillo</t>
  </si>
  <si>
    <t xml:space="preserve">19 Dyck  Wemmel, BE </t>
  </si>
  <si>
    <t xml:space="preserve">334 Royal Palm Park Rd </t>
  </si>
  <si>
    <t xml:space="preserve">3821 Heyburn St  Fort Myers, FL 33905 </t>
  </si>
  <si>
    <t>Cypress Trail Rv Resort Phase 4-C Block A Lot 145 As Desc In Inst 2019000042424</t>
  </si>
  <si>
    <t>06451-2824</t>
  </si>
  <si>
    <t>Cape Coral Unit 84 Blk 5590 Pb 24 Pg 41 Lots 22 Thru 24</t>
  </si>
  <si>
    <t>Lehigh Acres Unit 6 Blk 28 Pb 26 Pg 8 Lot 11</t>
  </si>
  <si>
    <t>Derrick Watkins</t>
  </si>
  <si>
    <t xml:space="preserve">#8, Cartago, CR </t>
  </si>
  <si>
    <t>Mora</t>
  </si>
  <si>
    <t>33909-3225</t>
  </si>
  <si>
    <t xml:space="preserve">2015 NE 34th Ln </t>
  </si>
  <si>
    <t xml:space="preserve">3912 NE 9th Ave  Cape Coral, FL 33909 </t>
  </si>
  <si>
    <t xml:space="preserve">5270 Cypress Trail Resort Cir </t>
  </si>
  <si>
    <t>Cape Coral Unit 88 Blk 5793 Pb 24 Pg 130 Lots 12 + 13</t>
  </si>
  <si>
    <t xml:space="preserve">55a-65 Calle 137 #205 </t>
  </si>
  <si>
    <t>Valreen</t>
  </si>
  <si>
    <t xml:space="preserve">2216 NE 14th Ave </t>
  </si>
  <si>
    <t>Fortier</t>
  </si>
  <si>
    <t>Zachariah</t>
  </si>
  <si>
    <t>Cypress Trail Rv Resort Phase 2-A As Desc In Inst# 2014000026506 Lot 275</t>
  </si>
  <si>
    <t xml:space="preserve">245 NE 9th Ct  Cape Coral, FL 33909 </t>
  </si>
  <si>
    <t xml:space="preserve">1411 NE 18th Ter </t>
  </si>
  <si>
    <t>Lous Frederic Ducres</t>
  </si>
  <si>
    <t xml:space="preserve">2995 Golden Gate Blvd W  Naples, FL 34120-1737 </t>
  </si>
  <si>
    <t>Silvia Guerra</t>
  </si>
  <si>
    <t>Devin Matagi</t>
  </si>
  <si>
    <t>Cape Coral Unit 88 Blk 5784 Pb 24 Pg 131 Lots 3 + 4</t>
  </si>
  <si>
    <t xml:space="preserve">1966 Windward Way  Vero Beach, FL 32963-3015 </t>
  </si>
  <si>
    <t xml:space="preserve">3801 W Gator Cir  Cape Coral, FL 33909 </t>
  </si>
  <si>
    <t>Kerman</t>
  </si>
  <si>
    <t xml:space="preserve">3753 Kilarney St  Fort Myers, FL 33905 </t>
  </si>
  <si>
    <t xml:space="preserve">4149 NE 21st Pl </t>
  </si>
  <si>
    <t>D105</t>
  </si>
  <si>
    <t>Cape Coral Unit 35 Blk 2397 Pb 16 Pg 107 Lots 1 + 2</t>
  </si>
  <si>
    <t>32-43-24-c2-02236.0090</t>
  </si>
  <si>
    <t>Ivan &amp; Julie Yang</t>
  </si>
  <si>
    <t xml:space="preserve">1441 SE 32nd St </t>
  </si>
  <si>
    <t>Figueroa</t>
  </si>
  <si>
    <t xml:space="preserve">702 SE 2nd Ave #406 </t>
  </si>
  <si>
    <t>Vanthienen</t>
  </si>
  <si>
    <t xml:space="preserve">12203 Bedrock Ln </t>
  </si>
  <si>
    <t xml:space="preserve">7198 Maida Ln </t>
  </si>
  <si>
    <t>Rs-E</t>
  </si>
  <si>
    <t>10035-3886</t>
  </si>
  <si>
    <t>SITUS CITY</t>
  </si>
  <si>
    <t>18-43-24-c4-05579.0330</t>
  </si>
  <si>
    <t>33176-6656</t>
  </si>
  <si>
    <t>33909-7356</t>
  </si>
  <si>
    <t xml:space="preserve">1814 NE 27th Ter </t>
  </si>
  <si>
    <t xml:space="preserve">1030 N Sierra View St  Ridgecrest, CA 93555-3016 </t>
  </si>
  <si>
    <t xml:space="preserve">11 E Shelby St </t>
  </si>
  <si>
    <t>Stevensville</t>
  </si>
  <si>
    <t xml:space="preserve">383 Lanham Trce </t>
  </si>
  <si>
    <t>Febus</t>
  </si>
  <si>
    <t xml:space="preserve">1910 NE 24th Ave  Cape Coral, FL 33909 </t>
  </si>
  <si>
    <t xml:space="preserve">2415 NW 16th street Rd #104, Miami, FL 33125-1292 </t>
  </si>
  <si>
    <t>Ramot</t>
  </si>
  <si>
    <t xml:space="preserve">4340 NE 9th Ct </t>
  </si>
  <si>
    <t xml:space="preserve">1610 Eagle Eye Rd  Gainesville, GA 30504-4168 </t>
  </si>
  <si>
    <t>05-44-24-c2-03521.0230</t>
  </si>
  <si>
    <t>Ilona &amp; Damian Platek</t>
  </si>
  <si>
    <t xml:space="preserve">5504 Cypress Trail Resort Cir  Fort Myers, FL 33905 </t>
  </si>
  <si>
    <t>Cape Coral Unit 84 Blk 5598 Pb 24 Pg 42 Lots 37 Thru 39</t>
  </si>
  <si>
    <t xml:space="preserve">8 Canterbury Ln </t>
  </si>
  <si>
    <t>David &amp; Raeanna Williams</t>
  </si>
  <si>
    <t>10463-4408</t>
  </si>
  <si>
    <t xml:space="preserve">701 Koehler Ave #6 </t>
  </si>
  <si>
    <t>02891-2123</t>
  </si>
  <si>
    <t xml:space="preserve">4603 Red Chestnut Ct </t>
  </si>
  <si>
    <t>Berwyn</t>
  </si>
  <si>
    <t>Oakton</t>
  </si>
  <si>
    <t xml:space="preserve">20712 Lagoona Dr  Cornelius, NC 28031-7114 </t>
  </si>
  <si>
    <t>12-44-23-c4-02372.0310</t>
  </si>
  <si>
    <t>Bridget</t>
  </si>
  <si>
    <t>Rabbi</t>
  </si>
  <si>
    <t>Gaithersburg</t>
  </si>
  <si>
    <t>159th</t>
  </si>
  <si>
    <t xml:space="preserve">1711 NE 27th St  Cape Coral, FL 33909 </t>
  </si>
  <si>
    <t xml:space="preserve">2380 Fence Rd </t>
  </si>
  <si>
    <t xml:space="preserve">1009 Diplomat Pkwy E  Cape Coral, FL 33909 </t>
  </si>
  <si>
    <t xml:space="preserve">4177 Sheraton Dr  Flint, MI 48532-3556 </t>
  </si>
  <si>
    <t>Cypress Trail Rv Resort Ph 3 As Desc In Inst# 2015000085552 Lot 38</t>
  </si>
  <si>
    <t>Gresch</t>
  </si>
  <si>
    <t>Nieto</t>
  </si>
  <si>
    <t>Paul &amp; Helen Cavounis</t>
  </si>
  <si>
    <t xml:space="preserve">1237 SE 40th St  Cape Coral, FL 33904 </t>
  </si>
  <si>
    <t>Dickey</t>
  </si>
  <si>
    <t>20-43-24-c2-05668.0730</t>
  </si>
  <si>
    <t>Cypress Trail Rv Resort Phase 4-C Block B Lot 446 As Desc In Inst 2019000042424</t>
  </si>
  <si>
    <t>Deryl</t>
  </si>
  <si>
    <t>Gary Artiaco</t>
  </si>
  <si>
    <t>Wendy Lee South Trust</t>
  </si>
  <si>
    <t xml:space="preserve">777 N Macquesten Pkwy  Mount Vernon, NY 10552-1625 </t>
  </si>
  <si>
    <t xml:space="preserve">29606 N Tatum Blvd #254, Cave Creek, AZ 85331-2374 </t>
  </si>
  <si>
    <t>For Marguerite Brown Trust</t>
  </si>
  <si>
    <t xml:space="preserve">2146 NE 26th St  Cape Coral, FL 33909 </t>
  </si>
  <si>
    <t xml:space="preserve">2047 NE 18th St </t>
  </si>
  <si>
    <t>Cape Coral Unit 36 Pt 1 Blk 2497 Pb 23 Pg 92 Lots 1 + 2</t>
  </si>
  <si>
    <t>Cape Coral Unit 33 Blk 2234 Pb 16 Pg 54 Lots 16 + 17</t>
  </si>
  <si>
    <t xml:space="preserve">4551 73rd St NE  Wolford, ND 58385-9530 </t>
  </si>
  <si>
    <t xml:space="preserve">5279 Cypress Trail Resort Cir  Fort Myers, FL 33905 </t>
  </si>
  <si>
    <t>34145-4921</t>
  </si>
  <si>
    <t>Christopher &amp; Roseanne Elg</t>
  </si>
  <si>
    <t>33909-4786</t>
  </si>
  <si>
    <t>James R Laura L Chappell Trust</t>
  </si>
  <si>
    <t xml:space="preserve">Jose Ma Vigil #3114 </t>
  </si>
  <si>
    <t xml:space="preserve">39 Lafayette St  San Francisco, CA 94103-2538 </t>
  </si>
  <si>
    <t>Margarita Cattan</t>
  </si>
  <si>
    <t>19362-9003</t>
  </si>
  <si>
    <t>Wood</t>
  </si>
  <si>
    <t>Whitman</t>
  </si>
  <si>
    <t>33909-6133</t>
  </si>
  <si>
    <t>New Richmond</t>
  </si>
  <si>
    <t>Cody</t>
  </si>
  <si>
    <t>Cape Coral Unit 88 Blk 5793 Pb 24 Pg 131 Lots 38 + 39</t>
  </si>
  <si>
    <t xml:space="preserve">12081 W Alameda Pkwy #437, Lakewood, CO 80228-2701 </t>
  </si>
  <si>
    <t>Rene Menard</t>
  </si>
  <si>
    <t>15235-2319</t>
  </si>
  <si>
    <t>Zeller</t>
  </si>
  <si>
    <t>La Sainte Beaume</t>
  </si>
  <si>
    <t># 8</t>
  </si>
  <si>
    <t>Cape Coral Unit 47 Pt 2 Blk 3511 Pb 23 Pg 123 Lots 48 + 49</t>
  </si>
  <si>
    <t>Yadisley</t>
  </si>
  <si>
    <t>33185-5261</t>
  </si>
  <si>
    <t>Ellijay</t>
  </si>
  <si>
    <t>Marlene Gomez</t>
  </si>
  <si>
    <t>33909-8814</t>
  </si>
  <si>
    <t xml:space="preserve">2209 NE 10th Pl </t>
  </si>
  <si>
    <t>Cape Coral Unit 34 Blk 2465 Pb 16 Pg 77 Lots 95 + 96</t>
  </si>
  <si>
    <t xml:space="preserve">10337 Nightwood Dr </t>
  </si>
  <si>
    <t xml:space="preserve">3360 S Ocean Blvd 3gs, Palm Beach, FL 33480-7301 </t>
  </si>
  <si>
    <t>Cape Coral Unit 36 Blk 2351 Pb 16 Pg 130 Lots 18 + 19</t>
  </si>
  <si>
    <t xml:space="preserve">111 Lincoln Pl  Harrisburg, PA 17112-4048 </t>
  </si>
  <si>
    <t>33905-8639</t>
  </si>
  <si>
    <t xml:space="preserve">11761 Holiday Condo Dr </t>
  </si>
  <si>
    <t>Alicita &amp; Tony Atus</t>
  </si>
  <si>
    <t>Padmaja</t>
  </si>
  <si>
    <t>Paredes</t>
  </si>
  <si>
    <t xml:space="preserve">206 W Ferry Rd  Yardley, PA 19067-7438 </t>
  </si>
  <si>
    <t xml:space="preserve">800 Homestead Dr </t>
  </si>
  <si>
    <t>Blanco</t>
  </si>
  <si>
    <t>19-43-24-c1-05569.0130</t>
  </si>
  <si>
    <t>Outrigger</t>
  </si>
  <si>
    <t>Radcliff</t>
  </si>
  <si>
    <t>Ames</t>
  </si>
  <si>
    <t>Subhash</t>
  </si>
  <si>
    <t xml:space="preserve">801 Parkridge Rd </t>
  </si>
  <si>
    <t xml:space="preserve">7179 Game Lord Dr </t>
  </si>
  <si>
    <t>31-43-24-c1-02167.0200</t>
  </si>
  <si>
    <t>Cape Coral Unit 36 Pt 1 Blk 2508 Pb 23 Pg 92 Lots 9 + 10</t>
  </si>
  <si>
    <t>Morris Thomas</t>
  </si>
  <si>
    <t>Yesenia Payano</t>
  </si>
  <si>
    <t>Cape Coral Unit 35 Blk 2385 Pb 16 Pg 111 Lots 42 + 43</t>
  </si>
  <si>
    <t>Francisco Sahagun</t>
  </si>
  <si>
    <t>08691-2512</t>
  </si>
  <si>
    <t>Duffy-Pelletier</t>
  </si>
  <si>
    <t>Pud</t>
  </si>
  <si>
    <t>20-43-24-c1-05644.0270</t>
  </si>
  <si>
    <t xml:space="preserve">5633 Brightwood Dr </t>
  </si>
  <si>
    <t xml:space="preserve">330 NE 29th Ter </t>
  </si>
  <si>
    <t>Divina</t>
  </si>
  <si>
    <t xml:space="preserve">13111 Woodford St </t>
  </si>
  <si>
    <t>11001-3412</t>
  </si>
  <si>
    <t xml:space="preserve">19856 Bristol Rd </t>
  </si>
  <si>
    <t>90740-2923</t>
  </si>
  <si>
    <t xml:space="preserve">Bosque Del Rio  Trujillo Alto, PR 00976 </t>
  </si>
  <si>
    <t>Juan Comesana</t>
  </si>
  <si>
    <t xml:space="preserve">2302 NE 35th St  Cape Coral, FL 33909 </t>
  </si>
  <si>
    <t>Cape Coral Unit 36 Blk 2325 Pb 16 Pg 125 Lots 47 + 48</t>
  </si>
  <si>
    <t>33905-3677</t>
  </si>
  <si>
    <t xml:space="preserve">Km4 Cota Chia Conjunto  Cundinamarca, CO </t>
  </si>
  <si>
    <t xml:space="preserve">1114 SE 29th St  Cape Coral, FL 33904-3919 </t>
  </si>
  <si>
    <t>Devendra</t>
  </si>
  <si>
    <t xml:space="preserve">1118 NE 7th Ave </t>
  </si>
  <si>
    <t>Cape Coral Unit 36 Blk 2331 Pb 16 Pg 130 Lots 29 + 30</t>
  </si>
  <si>
    <t xml:space="preserve">14500 Laguna Dr  Fort Myers, FL 33908 </t>
  </si>
  <si>
    <t>Conway</t>
  </si>
  <si>
    <t>36-43-23-c1-02546.0520</t>
  </si>
  <si>
    <t xml:space="preserve">411 Walnut St #14383 </t>
  </si>
  <si>
    <t xml:space="preserve">6039 Joplin Ave </t>
  </si>
  <si>
    <t>Cape Coral Unit 32 Blk 2149 Pb 16 Pg 11 Lots 52 + 53</t>
  </si>
  <si>
    <t xml:space="preserve">4003 NE 12th Ave </t>
  </si>
  <si>
    <t xml:space="preserve">1209 NE 6th Pl </t>
  </si>
  <si>
    <t>Aronson</t>
  </si>
  <si>
    <t xml:space="preserve">34 NE 8th Ter </t>
  </si>
  <si>
    <t>33909-9209</t>
  </si>
  <si>
    <t>Karen Klein</t>
  </si>
  <si>
    <t>56081-4483</t>
  </si>
  <si>
    <t xml:space="preserve">5735 Burrwood Ct </t>
  </si>
  <si>
    <t>10464-1638</t>
  </si>
  <si>
    <t xml:space="preserve">5501 Cypress Woods Resort Dr  Fort Myers, FL 33905 </t>
  </si>
  <si>
    <t>Lambird</t>
  </si>
  <si>
    <t xml:space="preserve">10421 Nightwood Dr </t>
  </si>
  <si>
    <t>Marta Ramos</t>
  </si>
  <si>
    <t>Lehmann</t>
  </si>
  <si>
    <t>Midland</t>
  </si>
  <si>
    <t>46226-1326</t>
  </si>
  <si>
    <t xml:space="preserve">1916 NE 18th Pl  Cape Coral, FL 33909 </t>
  </si>
  <si>
    <t>33909-7302</t>
  </si>
  <si>
    <t>Cape Coral Unit 31 Blk.2049 Pb 14 Pg 157 Lots 9 + 10</t>
  </si>
  <si>
    <t>18-43-24-c1-05721.0070</t>
  </si>
  <si>
    <t>Nancy Barrows &amp; Stacy For</t>
  </si>
  <si>
    <t>Sunderhaus Paul C Tr</t>
  </si>
  <si>
    <t>Aliquippa</t>
  </si>
  <si>
    <t xml:space="preserve">1818 NE 10th Pl  Cape Coral, FL 33909 </t>
  </si>
  <si>
    <t>36-43-23-c4-02513.0520</t>
  </si>
  <si>
    <t>10920-1769</t>
  </si>
  <si>
    <t>Cape Coral Unit 88 Blk 5793 Pb 24 Pg 130 Lot 3</t>
  </si>
  <si>
    <t xml:space="preserve">3801 Mountain Way Cv  Snellville, GA 30039-8419 </t>
  </si>
  <si>
    <t xml:space="preserve">2721 NE 1st Pl  Cape Coral, FL 33909 </t>
  </si>
  <si>
    <t xml:space="preserve">137 Summit Ridge Dr </t>
  </si>
  <si>
    <t>M9B 4L4</t>
  </si>
  <si>
    <t xml:space="preserve">2904 NE 5th Pl </t>
  </si>
  <si>
    <t>Warrenton</t>
  </si>
  <si>
    <t>Cape Coral Unit 36 Blk 2322 Pb 16 Pg 126 Lots 13 + 14</t>
  </si>
  <si>
    <t>02744-1923</t>
  </si>
  <si>
    <t>33909-4247</t>
  </si>
  <si>
    <t xml:space="preserve">518 NE 5th Pl </t>
  </si>
  <si>
    <t xml:space="preserve">5315 Colony Ct </t>
  </si>
  <si>
    <t xml:space="preserve">14075 Caribbean Blvd </t>
  </si>
  <si>
    <t>Cape Coral Unit 85 Blk 5672 Pb 24 Pg 51 Lots 41 + 42</t>
  </si>
  <si>
    <t xml:space="preserve">10992 Decatur Rd  San Diego, CA 92126-2456 </t>
  </si>
  <si>
    <t>Muncaster</t>
  </si>
  <si>
    <t>33511-2378</t>
  </si>
  <si>
    <t>25-43-23-c3-02311.0170</t>
  </si>
  <si>
    <t>Leendert Hoogstad</t>
  </si>
  <si>
    <t xml:space="preserve">1109 NE 5th Ave  Cape Coral, FL 33909 </t>
  </si>
  <si>
    <t xml:space="preserve">1337 NE 33rd St </t>
  </si>
  <si>
    <t xml:space="preserve">58 Hashomron St </t>
  </si>
  <si>
    <t>Sun</t>
  </si>
  <si>
    <t>Barrios</t>
  </si>
  <si>
    <t>Cape Coral Unit 19 Blk.1162 Pb 13 Pg 122 Lots 20 + 21</t>
  </si>
  <si>
    <t>11-44-25-04-0000b.0140</t>
  </si>
  <si>
    <t xml:space="preserve">2204 NE 13th Ln  Cape Coral, FL 33909 </t>
  </si>
  <si>
    <t>Cape Coral Unit 36 Pt.1 Blk 2486 Pb 23 Pg 88 Lots 1 + 2</t>
  </si>
  <si>
    <t xml:space="preserve">129 Chesapeake St SW  Washington, DC 20032-1322 </t>
  </si>
  <si>
    <t>33903-4707</t>
  </si>
  <si>
    <t>Corrie</t>
  </si>
  <si>
    <t xml:space="preserve">10157 S Springfield Ave </t>
  </si>
  <si>
    <t>Vivian</t>
  </si>
  <si>
    <t>05-44-24-c2-03514.0590</t>
  </si>
  <si>
    <t xml:space="preserve">810 Verulam St  London, ON N6c 5L3 </t>
  </si>
  <si>
    <t>Cypress Woods Rv Resort Ut 1 Pb 65 Pg 85 + 86 Blk A Lot 3</t>
  </si>
  <si>
    <t>19-43-24-c2-05605.0430</t>
  </si>
  <si>
    <t>33909-2051</t>
  </si>
  <si>
    <t xml:space="preserve">10310 91st St  Ozone Park, NY 11417-1302 </t>
  </si>
  <si>
    <t xml:space="preserve">6130 Hendley Ct  Fort Myers, FL 33905 </t>
  </si>
  <si>
    <t xml:space="preserve">71 Main St </t>
  </si>
  <si>
    <t xml:space="preserve">2505 Anthem Village Dr E, Henderson, NV 89052-5529 </t>
  </si>
  <si>
    <t xml:space="preserve">1814 NE 23rd Ter </t>
  </si>
  <si>
    <t>Beachwood</t>
  </si>
  <si>
    <t>33909-4732</t>
  </si>
  <si>
    <t>Cape Coral Unit 36 Pt 1 Blk 2146 Pb 23 Pg 92 Lot 51 + 52</t>
  </si>
  <si>
    <t>Cape Coral Unit 47 Part 2 Blk 2211A Pb 23 Pg 126 Lots 35 + 36</t>
  </si>
  <si>
    <t xml:space="preserve">3204 NE 15th Pl </t>
  </si>
  <si>
    <t>11-44-25-07-00000.1680</t>
  </si>
  <si>
    <t xml:space="preserve">3630 12th Ave NE  Naples, FL 34120-8900 </t>
  </si>
  <si>
    <t>06-44-24-c3-02037.0160</t>
  </si>
  <si>
    <t xml:space="preserve">918 SE 43rd St </t>
  </si>
  <si>
    <t xml:space="preserve">824 NE 7th Pl </t>
  </si>
  <si>
    <t xml:space="preserve">5211 S Aviemore Dr </t>
  </si>
  <si>
    <t xml:space="preserve">5307 Cypress Trail Resort Cir  Fort Myers, FL 33905 </t>
  </si>
  <si>
    <t>33909-1966</t>
  </si>
  <si>
    <t xml:space="preserve">5601 Cypress Woods Resort Dr </t>
  </si>
  <si>
    <t>Cape Coral Unit 34 Blk.2444 Pb 16 Pg 75 Lots 5 + 6</t>
  </si>
  <si>
    <t>Cape Coral Unit 84 Blk 5596 Pb 24 Pg 44 Lots 49 + 50</t>
  </si>
  <si>
    <t xml:space="preserve">Urb Idamaris Gdns  Caguas, PR 00725 </t>
  </si>
  <si>
    <t>Frank Virgallito</t>
  </si>
  <si>
    <t xml:space="preserve">3855 Orloff Ave 3g, Bronx, NY 10463-2612 </t>
  </si>
  <si>
    <t>Jorge &amp; Fermin Solana</t>
  </si>
  <si>
    <t xml:space="preserve">4949 Seville Ct  Cape Coral, FL 33904 </t>
  </si>
  <si>
    <t>33015-7161</t>
  </si>
  <si>
    <t>33909-6471</t>
  </si>
  <si>
    <t xml:space="preserve">9 Prairie Rose Ct  Defiance, MO 63341-1737 </t>
  </si>
  <si>
    <t>25-43-23-c2-02351.0420</t>
  </si>
  <si>
    <t>33909-1677</t>
  </si>
  <si>
    <t>Klosterman</t>
  </si>
  <si>
    <t>Cape Coral Unit 1 Part 2 Blk 22 Pb 11 Pg 31 Lots 29 Thru 31 Incl</t>
  </si>
  <si>
    <t>Schumacher</t>
  </si>
  <si>
    <t xml:space="preserve">4042 NE 10th Ave  Cape Coral, FL 33909 </t>
  </si>
  <si>
    <t>Cape Coral Unit 31 Blk 2059 Pb 14 Pg 159 Lots 27 + 28</t>
  </si>
  <si>
    <t xml:space="preserve">1319 NE 20th Ave </t>
  </si>
  <si>
    <t>Mathew &amp; Aleyamma Varughese</t>
  </si>
  <si>
    <t xml:space="preserve">1070 W Century Dr #101, Louisville, CO 80027-1657 </t>
  </si>
  <si>
    <t>Lacoste</t>
  </si>
  <si>
    <t>89113-3078</t>
  </si>
  <si>
    <t xml:space="preserve">437 Southwick Dr </t>
  </si>
  <si>
    <t xml:space="preserve">1205 NE 7th Ave </t>
  </si>
  <si>
    <t xml:space="preserve">178 Lodi St  Hackensack, NJ 07601-3927 </t>
  </si>
  <si>
    <t>10002-1195</t>
  </si>
  <si>
    <t xml:space="preserve">215 NE 15th St  Cape Coral, FL 33909 </t>
  </si>
  <si>
    <t>24060-4655</t>
  </si>
  <si>
    <t>19-43-24-c4-05559.0360</t>
  </si>
  <si>
    <t xml:space="preserve">Fritz Schroeder Ufer #38, Bonn, DE 53111 </t>
  </si>
  <si>
    <t>12-44-23-c1-02406.0030</t>
  </si>
  <si>
    <t xml:space="preserve">1633 NE 33rd Ter  Cape Coral, FL 33909 </t>
  </si>
  <si>
    <t>33905-3912</t>
  </si>
  <si>
    <t>Knop</t>
  </si>
  <si>
    <t>Lehigh Acres Unit 10 Blk 52 Pb 26 Pg 13 Lot 6</t>
  </si>
  <si>
    <t>Cape Coral Unit 84 Blk 5566 Pb 24 Pg 39 Lots 43 + 44</t>
  </si>
  <si>
    <t>18-43-24-c4-05703.0130</t>
  </si>
  <si>
    <t>19-43-24-c2-05599.0670</t>
  </si>
  <si>
    <t>Zeeland</t>
  </si>
  <si>
    <t xml:space="preserve">12 Hakatif St </t>
  </si>
  <si>
    <t>Apolinar</t>
  </si>
  <si>
    <t xml:space="preserve">989 Monument Rd #1303, Jacksonville, FL 32225-7433 </t>
  </si>
  <si>
    <t xml:space="preserve">10091 Rambelwood Ct  Fort Myers, FL 33905 </t>
  </si>
  <si>
    <t xml:space="preserve">7 Eljema Frst </t>
  </si>
  <si>
    <t>Jodie</t>
  </si>
  <si>
    <t>10598-2402</t>
  </si>
  <si>
    <t>17-43-24-c2-05802.0170</t>
  </si>
  <si>
    <t>Gerard</t>
  </si>
  <si>
    <t>Scarsdale</t>
  </si>
  <si>
    <t>25-43-23-c4-02291.0090</t>
  </si>
  <si>
    <t>Cape Coral Unit 34 Blk.2460 Pb 16 Pg 86 Lots 53 + 54</t>
  </si>
  <si>
    <t xml:space="preserve">1535 Steamboat Ct </t>
  </si>
  <si>
    <t>Vu Pham &amp; Thien Nguyen</t>
  </si>
  <si>
    <t xml:space="preserve">1808 NE 44th St  Cape Coral, FL 33909 </t>
  </si>
  <si>
    <t xml:space="preserve">16800 NW 74th Ave  Hialeah, FL 33015-4117 </t>
  </si>
  <si>
    <t>20-43-24-c2-05667.0440</t>
  </si>
  <si>
    <t>29-43-24-c3-02279.0220</t>
  </si>
  <si>
    <t xml:space="preserve">3709 NE 16th Ave </t>
  </si>
  <si>
    <t>Lehigh Acres Unit 11 Blk 59 Pb 26 Pg 14 Lot 16</t>
  </si>
  <si>
    <t>Royal Palm Beach</t>
  </si>
  <si>
    <t>01-44-23-c1-02438.0050</t>
  </si>
  <si>
    <t>Grayson</t>
  </si>
  <si>
    <t>34-43-24-01-00039.0020</t>
  </si>
  <si>
    <t>11-44-25-06-0000d.0840</t>
  </si>
  <si>
    <t xml:space="preserve">4409 Reaves Rd  Kissimmee, FL 34746-3406 </t>
  </si>
  <si>
    <t xml:space="preserve">147 N 2350 east Rd  Pana, IL 62557-6019 </t>
  </si>
  <si>
    <t xml:space="preserve">465 NE Juanita Pl  Cape Coral, FL 33909 </t>
  </si>
  <si>
    <t>Ronald Hinkle</t>
  </si>
  <si>
    <t xml:space="preserve">134 Lockwood Ave #1 </t>
  </si>
  <si>
    <t>Tolland</t>
  </si>
  <si>
    <t>20-43-24-c4-05633.0450</t>
  </si>
  <si>
    <t xml:space="preserve">1359 15th St W  Hastings, MN 55033-2405 </t>
  </si>
  <si>
    <t>01-44-23-c3-02413.0830</t>
  </si>
  <si>
    <t xml:space="preserve">2200 NE 6th Ave </t>
  </si>
  <si>
    <t>Earlene Davis</t>
  </si>
  <si>
    <t xml:space="preserve">137 Dover St </t>
  </si>
  <si>
    <t>Smith Maria G Tr</t>
  </si>
  <si>
    <t>Buckingham Pk Re Blk B U-5 Blk 29 Pb 27 Pg 193 Lot 12</t>
  </si>
  <si>
    <t>Lees</t>
  </si>
  <si>
    <t>Barbara Gentry &amp; Barbara Smalley</t>
  </si>
  <si>
    <t>Cape Coral Unit 88 Blk 5820 Pb 24 Pg 140 Lot 39</t>
  </si>
  <si>
    <t>Katheria</t>
  </si>
  <si>
    <t xml:space="preserve">1021 Colonial Ct  Greensboro, GA 30642-5465 </t>
  </si>
  <si>
    <t xml:space="preserve">1065 Borghese Ln #2105 </t>
  </si>
  <si>
    <t xml:space="preserve">860 Pine Grove Rd </t>
  </si>
  <si>
    <t xml:space="preserve">4000 River Grove Ln </t>
  </si>
  <si>
    <t xml:space="preserve">8050 Wood Dr </t>
  </si>
  <si>
    <t>Six Mile</t>
  </si>
  <si>
    <t>Cape Coral Unit 36 Pt.1 Blk.2479 Pb 23 Pg 90 Lots 1 + 2</t>
  </si>
  <si>
    <t>Cdd</t>
  </si>
  <si>
    <t>Daoco</t>
  </si>
  <si>
    <t>Cape Coral Unit 33 Blk.2272 Pb 16 Pg 61 Lots 16 + 17</t>
  </si>
  <si>
    <t xml:space="preserve">1130 Durden Pkwy  Cape Coral, FL 33909 </t>
  </si>
  <si>
    <t xml:space="preserve">3762 NE 16th Pl  Cape Coral, FL 33909 </t>
  </si>
  <si>
    <t>33903-7326</t>
  </si>
  <si>
    <t xml:space="preserve">6018 Langdon Ave  Fort Myers, FL 33905 </t>
  </si>
  <si>
    <t>Ryan Gangadeen &amp; Cindy Peack</t>
  </si>
  <si>
    <t>Ardley</t>
  </si>
  <si>
    <t xml:space="preserve">1405 NE 9th Pl </t>
  </si>
  <si>
    <t>48603-1906</t>
  </si>
  <si>
    <t xml:space="preserve">3001 S Ocean Dr  Hallandale Beach, FL 33009 </t>
  </si>
  <si>
    <t>Tall</t>
  </si>
  <si>
    <t xml:space="preserve">1716 Stannard Trl  Raleigh, NC 27612-6386 </t>
  </si>
  <si>
    <t>32714-4218</t>
  </si>
  <si>
    <t xml:space="preserve">121 NE 12th Ter </t>
  </si>
  <si>
    <t>29-43-24-c3-02287.0390</t>
  </si>
  <si>
    <t xml:space="preserve">1908 Dartford Ct </t>
  </si>
  <si>
    <t>Dorman</t>
  </si>
  <si>
    <t>16-44-26-06-00017.0090</t>
  </si>
  <si>
    <t>16-44-26-08-00029.0080</t>
  </si>
  <si>
    <t xml:space="preserve">1131 W Larabee St #111, Port Washington, WI 53074-1726 </t>
  </si>
  <si>
    <t>Saddle</t>
  </si>
  <si>
    <t xml:space="preserve">3928 Piedra Falls Ct  North Las Vegas, NV 89085-4418 </t>
  </si>
  <si>
    <t xml:space="preserve">1714 N 45th Ave </t>
  </si>
  <si>
    <t>Emilia</t>
  </si>
  <si>
    <t>Torgeir</t>
  </si>
  <si>
    <t>Cypress Trail Rv Resort Phase 4-C Block A Lot 134 As Desc In Inst 2019000042424</t>
  </si>
  <si>
    <t xml:space="preserve">4701 Lynton Ct  Indianapolis, IN 46254-2155 </t>
  </si>
  <si>
    <t>Lacroix</t>
  </si>
  <si>
    <t xml:space="preserve">10690 NW 6th St </t>
  </si>
  <si>
    <t>32-43-26-l2-26000.0100</t>
  </si>
  <si>
    <t>Cape Coral Unit 33 Blk 2179 Pb 16 Pg 53 Lots 17 + 18</t>
  </si>
  <si>
    <t>Allister</t>
  </si>
  <si>
    <t>R090</t>
  </si>
  <si>
    <t xml:space="preserve">24991 Hendon St  Laguna Hills, CA 92653-4605 </t>
  </si>
  <si>
    <t>240th</t>
  </si>
  <si>
    <t>Binh Nguyen &amp; Thuhien Vo</t>
  </si>
  <si>
    <t xml:space="preserve">605 Peaceful Dr  Elizabethtown, KY 42701-6465 </t>
  </si>
  <si>
    <t>Veronika</t>
  </si>
  <si>
    <t xml:space="preserve">5743 Burrwood Ct  Fort Myers, FL 33905 </t>
  </si>
  <si>
    <t>Cape Coral Unit 88 Blk 5797 Pb 24 Pg 131 Lots 59 + 60</t>
  </si>
  <si>
    <t xml:space="preserve">Po Box 510374 </t>
  </si>
  <si>
    <t xml:space="preserve">6131 Lyons Rd #100, Coconut Creek, FL 33073-4739 </t>
  </si>
  <si>
    <t>12-44-23-c2-02380.0410</t>
  </si>
  <si>
    <t>Hurley</t>
  </si>
  <si>
    <t xml:space="preserve">12510 NE 1st Ave </t>
  </si>
  <si>
    <t>B018</t>
  </si>
  <si>
    <t xml:space="preserve">3150 Connecticut Ave </t>
  </si>
  <si>
    <t xml:space="preserve">15749 E Linvale Pl </t>
  </si>
  <si>
    <t xml:space="preserve">3740 82nd avenue Cir E #101, Sarasota, FL 34243-6328 </t>
  </si>
  <si>
    <t xml:space="preserve">2522 Briarwood Ave  Augusta, GA 30906-3614 </t>
  </si>
  <si>
    <t xml:space="preserve">181 Munroe Falls Ave  Munroe Falls, OH 44262-1545 </t>
  </si>
  <si>
    <t>Michael &amp; Sandra Quinnan</t>
  </si>
  <si>
    <t xml:space="preserve">1330 NE 33rd Ter </t>
  </si>
  <si>
    <t xml:space="preserve">2601 NE Juanita Pl </t>
  </si>
  <si>
    <t xml:space="preserve">5910 Maplewood Ct  Fort Myers, FL 33905 </t>
  </si>
  <si>
    <t xml:space="preserve">Les Parroucots </t>
  </si>
  <si>
    <t>Bois Saint Charles</t>
  </si>
  <si>
    <t xml:space="preserve">3 Rue Des Gravieres </t>
  </si>
  <si>
    <t>Jorge Gaviria &amp; For Musa</t>
  </si>
  <si>
    <t>08527-3039</t>
  </si>
  <si>
    <t>11-44-25-11-00000.0670</t>
  </si>
  <si>
    <t>Lydia Brent</t>
  </si>
  <si>
    <t>Martha Way</t>
  </si>
  <si>
    <t xml:space="preserve">345 Berenger Walk  Royal Palm Beach, FL 33414-4345 </t>
  </si>
  <si>
    <t>Jeff Jean &amp; Evette Prevot</t>
  </si>
  <si>
    <t xml:space="preserve">259 S 2nd St </t>
  </si>
  <si>
    <t>Robins</t>
  </si>
  <si>
    <t xml:space="preserve">4209 Heritage Dr  Saint Paul, MN 55127-7830 </t>
  </si>
  <si>
    <t>Lynhodge</t>
  </si>
  <si>
    <t>Cypress Woods Rv Resort Un 3 Desc In Pb 72 Pgs 92-95 Blk C Lot 98</t>
  </si>
  <si>
    <t xml:space="preserve">3314 Giles Pl  Bronx, NY 10463-4305 </t>
  </si>
  <si>
    <t>55021-7820</t>
  </si>
  <si>
    <t>Benito</t>
  </si>
  <si>
    <t xml:space="preserve">11 Riverside Dr #11 </t>
  </si>
  <si>
    <t>33909-3362</t>
  </si>
  <si>
    <t>31-44-24-c1-00660.0370</t>
  </si>
  <si>
    <t xml:space="preserve">108 Oakland Ave  New Britain, CT 06053-2337 </t>
  </si>
  <si>
    <t>Caicedo</t>
  </si>
  <si>
    <t xml:space="preserve">4285 13th Ave SW </t>
  </si>
  <si>
    <t xml:space="preserve">43 Shoreline Ct  Estill Springs, TN 37330-3453 </t>
  </si>
  <si>
    <t>33027-1407</t>
  </si>
  <si>
    <t>Dunrobin</t>
  </si>
  <si>
    <t>75094-4018</t>
  </si>
  <si>
    <t xml:space="preserve">2019 NE 34th Ln </t>
  </si>
  <si>
    <t xml:space="preserve">40 Calle 17 </t>
  </si>
  <si>
    <t>Cape Coral Unit 32 Blk 2111 Pb 16 Pg 3 Lots 12 Thru 14 + Vac Row 2010000120569</t>
  </si>
  <si>
    <t>Cape Coral Unit 36 Blk 2520 Pb 16 Pg 116 Lots 36 + 37</t>
  </si>
  <si>
    <t>Talutis</t>
  </si>
  <si>
    <t>Elk River</t>
  </si>
  <si>
    <t>R008</t>
  </si>
  <si>
    <t xml:space="preserve">5213 Ellwood Rd </t>
  </si>
  <si>
    <t xml:space="preserve">2915 NE 5th Pl  Cape Coral, FL 33909 </t>
  </si>
  <si>
    <t xml:space="preserve">2200 NE 6th Pl  Cape Coral, FL 33909 </t>
  </si>
  <si>
    <t xml:space="preserve">18381 Ironstone Way </t>
  </si>
  <si>
    <t>25-43-23-c1-02350.0190</t>
  </si>
  <si>
    <t>Cottage Point Unrec Blk I Db 259/224 Lot 32</t>
  </si>
  <si>
    <t>31-43-24-c1-02173.0030</t>
  </si>
  <si>
    <t>Lorri</t>
  </si>
  <si>
    <t>Seine</t>
  </si>
  <si>
    <t>Cape Coral Unit 32 Blk 2130 Pb 16 Pg 10 Lot 35</t>
  </si>
  <si>
    <t>20-43-24-c1-05598.0130</t>
  </si>
  <si>
    <t>18-43-24-c3-05752.0350</t>
  </si>
  <si>
    <t>23e</t>
  </si>
  <si>
    <t xml:space="preserve">314 Cross St </t>
  </si>
  <si>
    <t xml:space="preserve">1119 Lemon Tree Ln </t>
  </si>
  <si>
    <t xml:space="preserve">6401 Castlewood Cir </t>
  </si>
  <si>
    <t>Mika Flynn</t>
  </si>
  <si>
    <t>David &amp; Dayana Labrador</t>
  </si>
  <si>
    <t xml:space="preserve">621 NE 8th St  Cape Coral, FL 33909 </t>
  </si>
  <si>
    <t xml:space="preserve">1105 NE 6th Ave  Cape Coral, FL 33909 </t>
  </si>
  <si>
    <t xml:space="preserve">Po Box 186 </t>
  </si>
  <si>
    <t>Cape Coral Unit 32 Blk 2144 Pb 16 Pg 5 Lots 19 + 20</t>
  </si>
  <si>
    <t>Webb</t>
  </si>
  <si>
    <t>Damon Campbell</t>
  </si>
  <si>
    <t>Snow Ridge</t>
  </si>
  <si>
    <t>Cape Coral Unit 84 Blk 5592 Pb 24 Pg 44 Lots 9 + 10</t>
  </si>
  <si>
    <t xml:space="preserve">9 Cobblestone Cir  North Andover, MA 01845-4547 </t>
  </si>
  <si>
    <t>Cape Coral Unit 33 Blk 2230 Pb 16 Pg 48 Lots 21 + 22</t>
  </si>
  <si>
    <t xml:space="preserve">2216 NE 9th Pl </t>
  </si>
  <si>
    <t>Robert Barone</t>
  </si>
  <si>
    <t>Highland Mills</t>
  </si>
  <si>
    <t>Conroe</t>
  </si>
  <si>
    <t xml:space="preserve">H Consciencestraat 75 </t>
  </si>
  <si>
    <t xml:space="preserve">5151 White Sky Cir  Fort Myers, FL 33908 </t>
  </si>
  <si>
    <t>18-43-24-c2-05715.0170</t>
  </si>
  <si>
    <t>Florinda Iannace</t>
  </si>
  <si>
    <t xml:space="preserve">1028 Isabella St  Wilmette, IL 60091-3312 </t>
  </si>
  <si>
    <t>21804-9028</t>
  </si>
  <si>
    <t xml:space="preserve">2805 NE 4th Ave  Cape Coral, FL 33909 </t>
  </si>
  <si>
    <t>Ravenel</t>
  </si>
  <si>
    <t xml:space="preserve">4104 NE 21st Pl </t>
  </si>
  <si>
    <t>03-44-26-07-00032.0190</t>
  </si>
  <si>
    <t>Cuff</t>
  </si>
  <si>
    <t xml:space="preserve">6113 Laurelwood Dr </t>
  </si>
  <si>
    <t xml:space="preserve">1324 NE 20th St </t>
  </si>
  <si>
    <t>Shabakka</t>
  </si>
  <si>
    <t xml:space="preserve">6019 Tabor Ave  Fort Myers, FL 33905 </t>
  </si>
  <si>
    <t>33461-6173</t>
  </si>
  <si>
    <t>33905-7700</t>
  </si>
  <si>
    <t>Coelho</t>
  </si>
  <si>
    <t xml:space="preserve">6 Chestnut Dr </t>
  </si>
  <si>
    <t>Kimbinh</t>
  </si>
  <si>
    <t>Windy Oaks</t>
  </si>
  <si>
    <t xml:space="preserve">9560 Gipson Rd  Collinsville, MS 39325-8811 </t>
  </si>
  <si>
    <t>Cape Coral Unit 47 Part 2 Blk 3541 Pb 23 Pg 117 Lots 37 + 38</t>
  </si>
  <si>
    <t>Koutsouras</t>
  </si>
  <si>
    <t>03-44-26-01-00003.0110</t>
  </si>
  <si>
    <t>11-44-25-l1-13000.3420</t>
  </si>
  <si>
    <t>03-44-26-03-00015.0100</t>
  </si>
  <si>
    <t xml:space="preserve">1427 NE 1st Pl </t>
  </si>
  <si>
    <t>Hillburn</t>
  </si>
  <si>
    <t>01830-6785</t>
  </si>
  <si>
    <t>Gamal</t>
  </si>
  <si>
    <t>Arthur Strock &amp; Arthur For</t>
  </si>
  <si>
    <t>Pinckney</t>
  </si>
  <si>
    <t>Cape Coral Unit 85 Blk 5633 Pb 24 Pg 50 Lots 25 + 26</t>
  </si>
  <si>
    <t xml:space="preserve">5 Ajellos Farm Rd  Seymour, CT 06483-2363 </t>
  </si>
  <si>
    <t>34120-6449</t>
  </si>
  <si>
    <t>Hession</t>
  </si>
  <si>
    <t>33909-4820</t>
  </si>
  <si>
    <t>33909-6438</t>
  </si>
  <si>
    <t>Daniel Carl Drenckhahn Trust</t>
  </si>
  <si>
    <t>34105-7263</t>
  </si>
  <si>
    <t xml:space="preserve">11767 S Dixie Hwy #450 </t>
  </si>
  <si>
    <t>Huerbeek</t>
  </si>
  <si>
    <t>Wieske</t>
  </si>
  <si>
    <t xml:space="preserve">Ta Doar #1826, Ramat Gan, IL 52117 </t>
  </si>
  <si>
    <t>Sgonina</t>
  </si>
  <si>
    <t>11203-4801</t>
  </si>
  <si>
    <t>Ola Zeidan</t>
  </si>
  <si>
    <t xml:space="preserve">94 Glover St </t>
  </si>
  <si>
    <t>H084</t>
  </si>
  <si>
    <t>Close</t>
  </si>
  <si>
    <t>Silver Spring</t>
  </si>
  <si>
    <t xml:space="preserve">322 Solitude Way </t>
  </si>
  <si>
    <t>Av Blanche Calvet</t>
  </si>
  <si>
    <t xml:space="preserve">1799 W Hewett Rd  Santa Rosa Beach, FL 32459-3329 </t>
  </si>
  <si>
    <t xml:space="preserve">10067 Rambelwood Ct  Fort Myers, FL 33905 </t>
  </si>
  <si>
    <t xml:space="preserve">4435 SE 20th Pl </t>
  </si>
  <si>
    <t>34473-6817</t>
  </si>
  <si>
    <t xml:space="preserve">2033 NE 5th Pl  Cape Coral, FL 33909 </t>
  </si>
  <si>
    <t xml:space="preserve">Katherine St  Fort Myers, FL 33901 </t>
  </si>
  <si>
    <t xml:space="preserve">1804 NE 18th Pl  Cape Coral, FL 33909 </t>
  </si>
  <si>
    <t>Cape Coral Unit 36 Blk 2351 Pb 16 Pg 130 Lots 16 + 17</t>
  </si>
  <si>
    <t>24-45-23-c1-00150.0290</t>
  </si>
  <si>
    <t>33909-1476</t>
  </si>
  <si>
    <t>17-43-24-c1-05828.0410</t>
  </si>
  <si>
    <t>31-43-24-c3-02123.0430</t>
  </si>
  <si>
    <t>West Hills</t>
  </si>
  <si>
    <t>Neitha</t>
  </si>
  <si>
    <t>Satynand</t>
  </si>
  <si>
    <t>Adrien Akroune &amp; Zima Cheraft</t>
  </si>
  <si>
    <t>George Chacon</t>
  </si>
  <si>
    <t xml:space="preserve">40 De La Rue </t>
  </si>
  <si>
    <t>Lagoona</t>
  </si>
  <si>
    <t>Cape Coral Unit 36 Pt 1 Blk 2146 Pb 23 Pg 94 Lots 39 + 40</t>
  </si>
  <si>
    <t>Cape Coral Unit 88 Blk 5827 Pb 24 Pg 142 Lots 7 + 8</t>
  </si>
  <si>
    <t xml:space="preserve">2318 NE 6th Ave  Cape Coral, FL 33909 </t>
  </si>
  <si>
    <t xml:space="preserve">2764 Fox Woods Ln  Rochester Hills, MI 48307-5912 </t>
  </si>
  <si>
    <t>33909-5504</t>
  </si>
  <si>
    <t>25-43-23-c3-02345.0520</t>
  </si>
  <si>
    <t xml:space="preserve">342 NE 31st Ter  Cape Coral, FL 33909 </t>
  </si>
  <si>
    <t xml:space="preserve">4414 Berrymore Ct </t>
  </si>
  <si>
    <t xml:space="preserve">4033 NE 8th Pl  Cape Coral, FL 33909 </t>
  </si>
  <si>
    <t>11-44-25-l1-13000.0850</t>
  </si>
  <si>
    <t>07843-1620</t>
  </si>
  <si>
    <t xml:space="preserve">1412 E Oceanfront  Newport Beach, CA 92661-1413 </t>
  </si>
  <si>
    <t>Whyte</t>
  </si>
  <si>
    <t>Jorge &amp; Bievenida Perez</t>
  </si>
  <si>
    <t>Wheaton</t>
  </si>
  <si>
    <t>17-43-24-c4-05767.0220</t>
  </si>
  <si>
    <t>J7A 4J1</t>
  </si>
  <si>
    <t xml:space="preserve">1040 Kelly St  Bronx, NY 10459-2851 </t>
  </si>
  <si>
    <t>Johnson</t>
  </si>
  <si>
    <t xml:space="preserve">9122 NW 44th Ct  Sunrise, FL 33351-5301 </t>
  </si>
  <si>
    <t>Marisol &amp; Michael Pena</t>
  </si>
  <si>
    <t>05-44-24-c1-03540.0090</t>
  </si>
  <si>
    <t xml:space="preserve">67 Cypress St </t>
  </si>
  <si>
    <t>Dennis Kong &amp; Sunyung Chung</t>
  </si>
  <si>
    <t>Grund</t>
  </si>
  <si>
    <t>33909-5215</t>
  </si>
  <si>
    <t>70460-8445</t>
  </si>
  <si>
    <t>26330-1367</t>
  </si>
  <si>
    <t>Meta</t>
  </si>
  <si>
    <t xml:space="preserve">3465 SW 3rd Ave </t>
  </si>
  <si>
    <t xml:space="preserve">3024 NE 5th Ave  Cape Coral, FL 33909 </t>
  </si>
  <si>
    <t>Cape Coral Unit 85 Blk 5630 Pb 24 Pg 50 Lots 13 + 14</t>
  </si>
  <si>
    <t xml:space="preserve">817 NE 11th St </t>
  </si>
  <si>
    <t xml:space="preserve">1211 NE 36th Ln  Cape Coral, FL 33909 </t>
  </si>
  <si>
    <t>Miheala</t>
  </si>
  <si>
    <t xml:space="preserve">15681 Cemetery Rd </t>
  </si>
  <si>
    <t>Keeley Walcott</t>
  </si>
  <si>
    <t>Cape Coral Unit 87 Blk 5692 Pb 24 Pg 84 Lots 87 + 88</t>
  </si>
  <si>
    <t>25-43-23-c3-02292.0010</t>
  </si>
  <si>
    <t xml:space="preserve">14 Nabil Khalil St </t>
  </si>
  <si>
    <t xml:space="preserve">3025 NE 5th Ave </t>
  </si>
  <si>
    <t xml:space="preserve">2703 NE 6th Ave  Cape Coral, FL 33909 </t>
  </si>
  <si>
    <t xml:space="preserve">3336 Garden Blvd  Cape Coral, FL 33909 </t>
  </si>
  <si>
    <t>Panjabi Harish P Tr</t>
  </si>
  <si>
    <t xml:space="preserve">2310 NE 7th Ave </t>
  </si>
  <si>
    <t xml:space="preserve">5385 N Nob Hill Rd  Sunrise, FL 33351-4761 </t>
  </si>
  <si>
    <t xml:space="preserve">12 Gannett Rd  Quincy, MA 02169-2605 </t>
  </si>
  <si>
    <t>33905-3133</t>
  </si>
  <si>
    <t>Cape Coral Unit 32 Blk 2108 Pb 16 Pg 2 Lots 3 + 4</t>
  </si>
  <si>
    <t>Nelson</t>
  </si>
  <si>
    <t xml:space="preserve">Robert-Koch-Str 11 B  Illertissen, DE 89257 </t>
  </si>
  <si>
    <t>MAIL STATE</t>
  </si>
  <si>
    <t>Diana &amp; Ronnie Ortiz</t>
  </si>
  <si>
    <t>Van Name</t>
  </si>
  <si>
    <t>Minh Vo &amp; Thanh Do</t>
  </si>
  <si>
    <t xml:space="preserve">1811 NE 26th St  Cape Coral, FL 33909 </t>
  </si>
  <si>
    <t>Cape Coral Unit 88 Blk 5779 Pb 24 Pg 135 Lots 31 + 32</t>
  </si>
  <si>
    <t>Kaitlyn</t>
  </si>
  <si>
    <t xml:space="preserve">6825 SW 64th Ter </t>
  </si>
  <si>
    <t>East Walpole</t>
  </si>
  <si>
    <t xml:space="preserve">526 NE 5th Ct </t>
  </si>
  <si>
    <t xml:space="preserve">Po Box 2526 </t>
  </si>
  <si>
    <t>11-44-25-06-0000d.0350</t>
  </si>
  <si>
    <t xml:space="preserve">1719 NE 10th Ave </t>
  </si>
  <si>
    <t>18-43-24-c1-05696.0310</t>
  </si>
  <si>
    <t>08361-3053</t>
  </si>
  <si>
    <t xml:space="preserve">Parq Del Rio </t>
  </si>
  <si>
    <t>19-45-24-c1-00012.0150</t>
  </si>
  <si>
    <t xml:space="preserve">2127 NE 13th Ave </t>
  </si>
  <si>
    <t xml:space="preserve">339 NE 25th Ter </t>
  </si>
  <si>
    <t>20-43-24-c3-05672.0410</t>
  </si>
  <si>
    <t>33909-2934</t>
  </si>
  <si>
    <t xml:space="preserve">21841 SW 100th Pl  Cutler Bay, FL 33190-1158 </t>
  </si>
  <si>
    <t>22026-3022</t>
  </si>
  <si>
    <t>04-44-25-16-00010.0050</t>
  </si>
  <si>
    <t>Mariana Vargas &amp; Miriam Leon</t>
  </si>
  <si>
    <t>John &amp; Carol Valencia</t>
  </si>
  <si>
    <t xml:space="preserve">3241 SW 104th Ct  Miami, FL 33165-3711 </t>
  </si>
  <si>
    <t xml:space="preserve">921 NE 15th Ter </t>
  </si>
  <si>
    <t>Juliana</t>
  </si>
  <si>
    <t>Cape Coral Unit 87 Blk.5712 Pb 24 Pg 71 Lots 1 + 2</t>
  </si>
  <si>
    <t xml:space="preserve">114 Route De Grenade </t>
  </si>
  <si>
    <t>Gleizes</t>
  </si>
  <si>
    <t xml:space="preserve">3852 Huntley St </t>
  </si>
  <si>
    <t>Sedan</t>
  </si>
  <si>
    <t xml:space="preserve">1113 NE 32nd Ter  Cape Coral, FL 33909 </t>
  </si>
  <si>
    <t>11420-2318</t>
  </si>
  <si>
    <t xml:space="preserve">Po Box 1297 </t>
  </si>
  <si>
    <t xml:space="preserve">6931 Cadet Ave  Fort Myers, FL 33905-7638 </t>
  </si>
  <si>
    <t>Ferdinand</t>
  </si>
  <si>
    <t xml:space="preserve">335 Yampa Way </t>
  </si>
  <si>
    <t>Haddington</t>
  </si>
  <si>
    <t>For Marti Trust</t>
  </si>
  <si>
    <t>Jeffcotts Subd Blk C Pb 1 Pg 40 Lot 6 Or 2105 Pg 1482</t>
  </si>
  <si>
    <t>Arletha</t>
  </si>
  <si>
    <t>Cape Coral Unit 84 Blk 5611 Pb 24 Pg 36 Lots 57 + 58</t>
  </si>
  <si>
    <t>43560-9373</t>
  </si>
  <si>
    <t xml:space="preserve">688 Town Bank Rd A </t>
  </si>
  <si>
    <t>08724-4432</t>
  </si>
  <si>
    <t xml:space="preserve">5230 Cypress Trail Resort Cir  Fort Myers, FL 33905 </t>
  </si>
  <si>
    <t xml:space="preserve">10067 Rambelwood Ct </t>
  </si>
  <si>
    <t xml:space="preserve">1718 Capitol Ave  Cheyenne, WY 82001-4528 </t>
  </si>
  <si>
    <t>Exchange</t>
  </si>
  <si>
    <t xml:space="preserve">5670 Maplewood Ct  Fort Myers, FL 33905 </t>
  </si>
  <si>
    <t>55a-65</t>
  </si>
  <si>
    <t>35126-2038</t>
  </si>
  <si>
    <t xml:space="preserve">2718 Morgan Ave  Bronx, NY 10469-5521 </t>
  </si>
  <si>
    <t>Palmetto Palms Rv Resort Condo Ph 4 Or 1530 Pg 1466 Res Unit 295</t>
  </si>
  <si>
    <t xml:space="preserve">623 NE 5th Ave </t>
  </si>
  <si>
    <t>Cape Coral Unit 34 Blk.2428 Pb 16 Pg 80 Lots 33 + 34</t>
  </si>
  <si>
    <t xml:space="preserve">12300 SW 151st St #186, Miami, FL 33186-6118 </t>
  </si>
  <si>
    <t>Dobbins</t>
  </si>
  <si>
    <t>For Thomas L Jablonski &amp; Linda A Rubenstein Trust</t>
  </si>
  <si>
    <t>08-44-24-c4-01537.0170</t>
  </si>
  <si>
    <t xml:space="preserve">Po Box 220085 </t>
  </si>
  <si>
    <t>17-43-24-c3-05794.0010</t>
  </si>
  <si>
    <t xml:space="preserve">10303 Prairie Iris Dr  Fort Myers, FL 33905 </t>
  </si>
  <si>
    <t xml:space="preserve">1406 NE 19th St </t>
  </si>
  <si>
    <t xml:space="preserve">650 Providence Pike </t>
  </si>
  <si>
    <t xml:space="preserve">6102 Holt Ct </t>
  </si>
  <si>
    <t xml:space="preserve">8201 Bellefonte Ln </t>
  </si>
  <si>
    <t xml:space="preserve">1514 NE 7th Ave  Cape Coral, FL 33909 </t>
  </si>
  <si>
    <t>Bowling Green</t>
  </si>
  <si>
    <t>36-43-23-c2-02525.0070</t>
  </si>
  <si>
    <t>33904-7214</t>
  </si>
  <si>
    <t>16-44-26-07-00022.0060</t>
  </si>
  <si>
    <t xml:space="preserve">Hacienda #231, Old Hickory, TN 37138 </t>
  </si>
  <si>
    <t>03110-4812</t>
  </si>
  <si>
    <t xml:space="preserve">655 W 15th St </t>
  </si>
  <si>
    <t>25-43-23-c4-02355.0480</t>
  </si>
  <si>
    <t>Mesick</t>
  </si>
  <si>
    <t>33012-1631</t>
  </si>
  <si>
    <t>01-44-23-c1-02440.0190</t>
  </si>
  <si>
    <t>J Q J &amp; Norma Mccrindell</t>
  </si>
  <si>
    <t xml:space="preserve">4009 Elmwood Dr  Alexandria, VA 22303-1136 </t>
  </si>
  <si>
    <t>Little Ship</t>
  </si>
  <si>
    <t xml:space="preserve">103 NE 16th Ter </t>
  </si>
  <si>
    <t>Fredderick</t>
  </si>
  <si>
    <t>20120-1527</t>
  </si>
  <si>
    <t xml:space="preserve">3746 NE 16th Ave  Cape Coral, FL 33909 </t>
  </si>
  <si>
    <t>33909-1422</t>
  </si>
  <si>
    <t xml:space="preserve">3208 NE 15th Pl </t>
  </si>
  <si>
    <t>Cape Coral Unit 31 Blk 2069 Pb 14 Pg 160 Lots 46 + 47</t>
  </si>
  <si>
    <t>New Prague</t>
  </si>
  <si>
    <t xml:space="preserve">9791 Cattail Ct </t>
  </si>
  <si>
    <t xml:space="preserve">373 Rose Ave </t>
  </si>
  <si>
    <t xml:space="preserve">11920 NW 38th Pl </t>
  </si>
  <si>
    <t>10461-5428</t>
  </si>
  <si>
    <t>Kevin Schneider</t>
  </si>
  <si>
    <t>Doris &amp; William Montgomery</t>
  </si>
  <si>
    <t xml:space="preserve">15110 Flightline Ct </t>
  </si>
  <si>
    <t>Rock Hill</t>
  </si>
  <si>
    <t>01-44-23-c3-02392.0270</t>
  </si>
  <si>
    <t>11-44-25-05-0000c.1240</t>
  </si>
  <si>
    <t>Donald Hoekstra &amp; Kristin Milligan</t>
  </si>
  <si>
    <t>Luber</t>
  </si>
  <si>
    <t xml:space="preserve">4849 Onyx Ln #102 </t>
  </si>
  <si>
    <t>60074-7628</t>
  </si>
  <si>
    <t>80134-3773</t>
  </si>
  <si>
    <t xml:space="preserve">121 NE 19th Ave  Cape Coral, FL 33909 </t>
  </si>
  <si>
    <t xml:space="preserve">1127 NE 37th Ter  Cape Coral, FL 33909 </t>
  </si>
  <si>
    <t xml:space="preserve">506 NE 25th Ter </t>
  </si>
  <si>
    <t xml:space="preserve">1037 N Gator Cir  Cape Coral, FL 33909 </t>
  </si>
  <si>
    <t xml:space="preserve">201 Cat Tail Bay Dr D, Conway, SC 29527-4397 </t>
  </si>
  <si>
    <t xml:space="preserve">5157 Cypress Trail Resort Cir  Fort Myers, FL 33905 </t>
  </si>
  <si>
    <t xml:space="preserve">3661 Vista Charonoaks </t>
  </si>
  <si>
    <t>Lehigh Acres Unit 10 W 1/2 Blk 47 Pb 26 Pg 12 Lot 6</t>
  </si>
  <si>
    <t xml:space="preserve">94-440 Maikoiko St #100 </t>
  </si>
  <si>
    <t xml:space="preserve">3745 Michigan Ave </t>
  </si>
  <si>
    <t xml:space="preserve">1566 Arcadia Bluff Dr  York, SC 29745-2913 </t>
  </si>
  <si>
    <t xml:space="preserve">806 NE 12th St </t>
  </si>
  <si>
    <t xml:space="preserve">2128 NE Juanita Pl </t>
  </si>
  <si>
    <t xml:space="preserve">34 C 39 #301 </t>
  </si>
  <si>
    <t xml:space="preserve">13418 SW 136th Ter </t>
  </si>
  <si>
    <t>Pace</t>
  </si>
  <si>
    <t xml:space="preserve">2212 NE 2nd Ave </t>
  </si>
  <si>
    <t>06070-1632</t>
  </si>
  <si>
    <t xml:space="preserve">2805 Morgan Trl  Edmond, OK 73012-6660 </t>
  </si>
  <si>
    <t>Cape Coral Unit 34 Blk.2460 Pb 16 Pg 86 Lots 51 + 52</t>
  </si>
  <si>
    <t>20-43-24-c2-05656.0610</t>
  </si>
  <si>
    <t>Mehic</t>
  </si>
  <si>
    <t xml:space="preserve">13 Via Di Santa Cosimato  Rome, IT </t>
  </si>
  <si>
    <t xml:space="preserve">1105 NE 19th St  Cape Coral, FL 33909 </t>
  </si>
  <si>
    <t xml:space="preserve">540 Marshall St  Duluth, MN 55803-1981 </t>
  </si>
  <si>
    <t>Homestead</t>
  </si>
  <si>
    <t>Cape Coral Unit 70 Blk 4668 Pb 22 Pg 72 Lot 27</t>
  </si>
  <si>
    <t>Cape Coral Unit 33 Blk 2275 Pb 16 Pg 60 Lots 20 Thru 22</t>
  </si>
  <si>
    <t>19-43-24-c4-05561.0250</t>
  </si>
  <si>
    <t>32-43-24-c2-02239.0030</t>
  </si>
  <si>
    <t xml:space="preserve">2624 NE 22nd Ave </t>
  </si>
  <si>
    <t xml:space="preserve">132 NE 20th St </t>
  </si>
  <si>
    <t xml:space="preserve">10251 Meadow Beauty Trl </t>
  </si>
  <si>
    <t>Stanfordville</t>
  </si>
  <si>
    <t>Duplantis</t>
  </si>
  <si>
    <t xml:space="preserve">6850 North Dr </t>
  </si>
  <si>
    <t xml:space="preserve">275 Beacon Pointe Dr </t>
  </si>
  <si>
    <t xml:space="preserve">13229 SW 17th Ln #1 </t>
  </si>
  <si>
    <t>David &amp; Carmen Munoz</t>
  </si>
  <si>
    <t>Heinrich</t>
  </si>
  <si>
    <t xml:space="preserve">3849 Insdale St </t>
  </si>
  <si>
    <t xml:space="preserve">1016 Jennings Rd  Van Wert, OH 45891-9789 </t>
  </si>
  <si>
    <t>Truong</t>
  </si>
  <si>
    <t>Cape Coral Unit 33 Blk.2268 Pb 16 Pg 61 Lots 14 + 15</t>
  </si>
  <si>
    <t>Cape Coral Unit 31 Blk 2077 Pb 14 Pg 163 Lots 61 + 62</t>
  </si>
  <si>
    <t xml:space="preserve">1109 NE 32nd Ln </t>
  </si>
  <si>
    <t xml:space="preserve">4602 46th Way  West Palm Beach, FL 33407-6848 </t>
  </si>
  <si>
    <t>Carol Campbell</t>
  </si>
  <si>
    <t>01-44-23-c2-02460.0710</t>
  </si>
  <si>
    <t>Cape Coral Unit 36 Blk 2301 Pb 16 Pg 125 Lots 33 + 34</t>
  </si>
  <si>
    <t>Amany</t>
  </si>
  <si>
    <t>33909-6526</t>
  </si>
  <si>
    <t xml:space="preserve">2708 NE 2nd Pl  Cape Coral, FL 33909 </t>
  </si>
  <si>
    <t>Prevot</t>
  </si>
  <si>
    <t xml:space="preserve">4016 W Gator Cir  Cape Coral, FL 33909 </t>
  </si>
  <si>
    <t>Eddie Lewis</t>
  </si>
  <si>
    <t>Appling</t>
  </si>
  <si>
    <t xml:space="preserve">5301 Cocoa Ct </t>
  </si>
  <si>
    <t>Riolan</t>
  </si>
  <si>
    <t>33331-3301</t>
  </si>
  <si>
    <t>36-44-23-c4-00869.0190</t>
  </si>
  <si>
    <t xml:space="preserve">1020 NE 11th Ave </t>
  </si>
  <si>
    <t>33909-6237</t>
  </si>
  <si>
    <t xml:space="preserve">11590 Wiles Rd  Coral Springs, FL 33076-2121 </t>
  </si>
  <si>
    <t>01-44-23-c1-02461.0570</t>
  </si>
  <si>
    <t xml:space="preserve">129 NE 6th Ave  Cape Coral, FL 33909 </t>
  </si>
  <si>
    <t xml:space="preserve">1846 Lake Shore Dr  Columbus, OH 43204-4962 </t>
  </si>
  <si>
    <t>33909-8918</t>
  </si>
  <si>
    <t>C089</t>
  </si>
  <si>
    <t xml:space="preserve">2667 Westwinde St NW  Grand Rapids, MI 49504-2391 </t>
  </si>
  <si>
    <t xml:space="preserve">234 SE 44th Ter  Cape Coral, FL 33904 </t>
  </si>
  <si>
    <t>33909-4330</t>
  </si>
  <si>
    <t xml:space="preserve">5475 Cypress Trail Resort Cir </t>
  </si>
  <si>
    <t>Joanne &amp; Lester Kornfeld</t>
  </si>
  <si>
    <t>Cape Coral Unit 87 Blk 5705 Pb 24 Pg 73 Lots 3 + 4</t>
  </si>
  <si>
    <t>05-44-24-c4-03538.0010</t>
  </si>
  <si>
    <t>Peter Furleger</t>
  </si>
  <si>
    <t xml:space="preserve">127 NE 25th St  Cape Coral, FL 33909 </t>
  </si>
  <si>
    <t>48065-5125</t>
  </si>
  <si>
    <t>Villa Park</t>
  </si>
  <si>
    <t>Sarnia</t>
  </si>
  <si>
    <t>Yoffe</t>
  </si>
  <si>
    <t>Cape Coral Unit 33 Blk 2179 Pb 16 Pg 53 Lots 15 + 16</t>
  </si>
  <si>
    <t>Cape Coral Unit 33 Blk.2248 Pb 16 Pg 58 Lots 23 + 24</t>
  </si>
  <si>
    <t xml:space="preserve">1425 Everest Pkwy </t>
  </si>
  <si>
    <t>Ringwood</t>
  </si>
  <si>
    <t>33138-3301</t>
  </si>
  <si>
    <t>Cape Coral Unit 34 Blk 2455 Pb 16 Pg 86 Lots 15 + 16</t>
  </si>
  <si>
    <t>25-43-23-c3-02312.0510</t>
  </si>
  <si>
    <t xml:space="preserve">513 SE 27th St </t>
  </si>
  <si>
    <t>Arano</t>
  </si>
  <si>
    <t>33904-9459</t>
  </si>
  <si>
    <t xml:space="preserve">2720 NE 6th Pl  Cape Coral, FL 33909 </t>
  </si>
  <si>
    <t>33023-6909</t>
  </si>
  <si>
    <t xml:space="preserve">Urb Villa Blanca </t>
  </si>
  <si>
    <t>Haggerty</t>
  </si>
  <si>
    <t>24382-1019</t>
  </si>
  <si>
    <t>00650-9724</t>
  </si>
  <si>
    <t xml:space="preserve">2524 NE 5th Pl  Cape Coral, FL 33909 </t>
  </si>
  <si>
    <t>Kristin Fox</t>
  </si>
  <si>
    <t>Cape Coral Unit 85 Blk 5643 Pb 24 Pg 55 Lots 32 + 33</t>
  </si>
  <si>
    <t>America Outdoors Camper Resort 1 Condo Blk B Or 1673 Pg 2487 Unit 81</t>
  </si>
  <si>
    <t xml:space="preserve">6556 Bethesda Rd </t>
  </si>
  <si>
    <t xml:space="preserve">3115 Mckinley Rd </t>
  </si>
  <si>
    <t xml:space="preserve">1675 NW 1st St  Miami, FL 33125-5518 </t>
  </si>
  <si>
    <t>33012-5223</t>
  </si>
  <si>
    <t>Middleburg Heights</t>
  </si>
  <si>
    <t>Rivermont</t>
  </si>
  <si>
    <t>Ovidio Rodriguez</t>
  </si>
  <si>
    <t>Cape Coral Unit 19 Blk 1231 Pb 13 Pg 128 Lots 43 + 44</t>
  </si>
  <si>
    <t xml:space="preserve">15809 140th Ct SE </t>
  </si>
  <si>
    <t>33904-4105</t>
  </si>
  <si>
    <t>25-43-23-c3-02314.0360</t>
  </si>
  <si>
    <t>Antony</t>
  </si>
  <si>
    <t xml:space="preserve">1881 SE Peach Dr </t>
  </si>
  <si>
    <t xml:space="preserve">1933 Wilson Ln #101, Mc Lean, VA 22102-4724 </t>
  </si>
  <si>
    <t>17-43-24-c3-05787.0370</t>
  </si>
  <si>
    <t>29-43-24-c4-02264.0090</t>
  </si>
  <si>
    <t>48348-2182</t>
  </si>
  <si>
    <t>Edward</t>
  </si>
  <si>
    <t>Akhter</t>
  </si>
  <si>
    <t xml:space="preserve">5990 Brightwood Dr  Fort Myers, FL 33905 </t>
  </si>
  <si>
    <t>Cape Coral Unit 35 Blk 2395 Pb 16 Pg 107 Lots 13 + 14</t>
  </si>
  <si>
    <t>Sobotka</t>
  </si>
  <si>
    <t>20-43-24-c1-05647.0210</t>
  </si>
  <si>
    <t>33028-2856</t>
  </si>
  <si>
    <t>Ag-2</t>
  </si>
  <si>
    <t xml:space="preserve">1802 E Euclid Ave </t>
  </si>
  <si>
    <t>For Bauer Family Trust</t>
  </si>
  <si>
    <t>07-46-25-04-000r0.001b</t>
  </si>
  <si>
    <t>33321-1330</t>
  </si>
  <si>
    <t xml:space="preserve">3022 NE 7th Ave </t>
  </si>
  <si>
    <t>Dennehy</t>
  </si>
  <si>
    <t>10128-4917</t>
  </si>
  <si>
    <t xml:space="preserve">6139 Laurelwood Dr  Fort Myers, FL 33905 </t>
  </si>
  <si>
    <t>Earl &amp; For Carpenter</t>
  </si>
  <si>
    <t>Woodcreek</t>
  </si>
  <si>
    <t>Raghubans</t>
  </si>
  <si>
    <t>J0T 1H0</t>
  </si>
  <si>
    <t>32-43-24-c1-02234.0100</t>
  </si>
  <si>
    <t>34116-8209</t>
  </si>
  <si>
    <t>25-43-23-c2-02340.0350</t>
  </si>
  <si>
    <t>Pierpont</t>
  </si>
  <si>
    <t xml:space="preserve">19681 Summerlin Rd #198 </t>
  </si>
  <si>
    <t>Wei Gao</t>
  </si>
  <si>
    <t xml:space="preserve">1086 Sloterweg </t>
  </si>
  <si>
    <t xml:space="preserve">223 W 151t St  Hialeah, FL 33010 </t>
  </si>
  <si>
    <t>10980-2614</t>
  </si>
  <si>
    <t>Cape Coral Unit 36 Blk 2328 Pb 16 Pg 128 Lots 27 + 28</t>
  </si>
  <si>
    <t>R145</t>
  </si>
  <si>
    <t xml:space="preserve">2022 NE 4th Ter </t>
  </si>
  <si>
    <t>Mulberry Grove</t>
  </si>
  <si>
    <t>Gotha</t>
  </si>
  <si>
    <t>Cape Coral Unit 31 Blk 2046 Pb 14 Pg 154 Lots 15 + 16</t>
  </si>
  <si>
    <t>Newbury</t>
  </si>
  <si>
    <t>Cypress Trail Rv Resort Ph 4-B As Desc In Inst# 2017000057565 Lot 343</t>
  </si>
  <si>
    <t xml:space="preserve">Po Box 667 </t>
  </si>
  <si>
    <t>33908-1710</t>
  </si>
  <si>
    <t>Cypress Woods Rv Resort Desc In Inst#2006-358211 Lot 182</t>
  </si>
  <si>
    <t xml:space="preserve">890 Tucker Rd </t>
  </si>
  <si>
    <t>Lido Beach</t>
  </si>
  <si>
    <t>Albert &amp; Mary Ash</t>
  </si>
  <si>
    <t>Grn</t>
  </si>
  <si>
    <t xml:space="preserve">6116 Kramer Ave </t>
  </si>
  <si>
    <t>Mission Bend</t>
  </si>
  <si>
    <t>Kunjan</t>
  </si>
  <si>
    <t xml:space="preserve">1441 Rocky Ln  Saint Paul, MN 55122-3807 </t>
  </si>
  <si>
    <t>33326-1865</t>
  </si>
  <si>
    <t>03-44-26-04-00018.0170</t>
  </si>
  <si>
    <t xml:space="preserve">2019 NE 28th St  Cape Coral, FL 33909 </t>
  </si>
  <si>
    <t>Trce</t>
  </si>
  <si>
    <t>Darryl Smith</t>
  </si>
  <si>
    <t xml:space="preserve">3 Trapper John Rd </t>
  </si>
  <si>
    <t>03-44-26-14-00077.0230</t>
  </si>
  <si>
    <t xml:space="preserve">4629 SE 1st Ave </t>
  </si>
  <si>
    <t>06-44-24-c3-02039.0300</t>
  </si>
  <si>
    <t>Hilbert</t>
  </si>
  <si>
    <t>Aida</t>
  </si>
  <si>
    <t>501a</t>
  </si>
  <si>
    <t>Janett</t>
  </si>
  <si>
    <t>Lehigh Acres Unit 9 Blk 42 Pb 26 Pg 11 Lot 6</t>
  </si>
  <si>
    <t>Jeff Hagens &amp; Estate American</t>
  </si>
  <si>
    <t xml:space="preserve">3474 Pacific Dr #34119 </t>
  </si>
  <si>
    <t>Veronica Levy</t>
  </si>
  <si>
    <t>07060-3345</t>
  </si>
  <si>
    <t>Cape Coral Unit 31 Blk 2065 Pb 14 Pg 161 Lots 29 Thru 31</t>
  </si>
  <si>
    <t>Cape Coral Unit 87 Blk 5707 Pb 24 Pg 72 Lots 36 + 37</t>
  </si>
  <si>
    <t>Bruce Wayne Burke &amp; Susan Burke</t>
  </si>
  <si>
    <t xml:space="preserve">Po Box 1248 </t>
  </si>
  <si>
    <t xml:space="preserve">3821 Kittyhawk Dr </t>
  </si>
  <si>
    <t>33909-6864</t>
  </si>
  <si>
    <t xml:space="preserve">4244 E Gator Cir  Cape Coral, FL 33909 </t>
  </si>
  <si>
    <t>Pearl River</t>
  </si>
  <si>
    <t xml:space="preserve">128 SE 46th St </t>
  </si>
  <si>
    <t>David Letendre</t>
  </si>
  <si>
    <t>Alter &amp; Sima Pinczewski</t>
  </si>
  <si>
    <t>06249-1926</t>
  </si>
  <si>
    <t>03-44-26-03-00013.0490</t>
  </si>
  <si>
    <t>Giorgi</t>
  </si>
  <si>
    <t xml:space="preserve">Submerged  Fort Myers, FL 33905 </t>
  </si>
  <si>
    <t>01-44-23-c2-02432.0440</t>
  </si>
  <si>
    <t xml:space="preserve">1924 NE 5th St  Cape Coral, FL 33909 </t>
  </si>
  <si>
    <t xml:space="preserve">1800 NE 10th Pl  Cape Coral, FL 33909 </t>
  </si>
  <si>
    <t>33909-1510</t>
  </si>
  <si>
    <t>Cape Coral Unit 14 Blk 528 Pb 13 Pg 66 Lots 55 Thru 58</t>
  </si>
  <si>
    <t>20854-1560</t>
  </si>
  <si>
    <t xml:space="preserve">3568 NE 9th Pl </t>
  </si>
  <si>
    <t xml:space="preserve">4785 Tara Ct  West Bloomfield, MI 48323-3646 </t>
  </si>
  <si>
    <t xml:space="preserve">1634 NE 33rd Ter  Cape Coral, FL 33909 </t>
  </si>
  <si>
    <t xml:space="preserve">PO Box 122  Richlands, NC 28574 </t>
  </si>
  <si>
    <t>33903-4354</t>
  </si>
  <si>
    <t>Cape Coral Unit 84 Blk 5567 Pb 24 Pg 40 Lots 6 + 7</t>
  </si>
  <si>
    <t>Spangaro</t>
  </si>
  <si>
    <t xml:space="preserve">9 Lionel Dr  Simsbury, CT 06070-1632 </t>
  </si>
  <si>
    <t>17-43-24-c2-05804.0310</t>
  </si>
  <si>
    <t>Parveen</t>
  </si>
  <si>
    <t>East Haven</t>
  </si>
  <si>
    <t>31-43-24-c1-02148.0440</t>
  </si>
  <si>
    <t>06-44-24-c1-02066.0150</t>
  </si>
  <si>
    <t>48837-9226</t>
  </si>
  <si>
    <t>Marie</t>
  </si>
  <si>
    <t>Lucciana</t>
  </si>
  <si>
    <t xml:space="preserve">328 NE 7th Ter </t>
  </si>
  <si>
    <t>36-43-23-c2-02543.0310</t>
  </si>
  <si>
    <t>Gayle</t>
  </si>
  <si>
    <t xml:space="preserve">1810 SW 5th Ave #208, Miami, FL 33129-1008 </t>
  </si>
  <si>
    <t xml:space="preserve">312 NE 19th Ter  Cape Coral, FL 33909 </t>
  </si>
  <si>
    <t>Cape Coral Unit 36 Blk 2345 Pb 16 Pg 121 Lots 12 + 13</t>
  </si>
  <si>
    <t xml:space="preserve">2889 Wellman Ave  Bronx, NY 10461-5428 </t>
  </si>
  <si>
    <t>Scott &amp; Donnie Oconnell</t>
  </si>
  <si>
    <t>Veneman</t>
  </si>
  <si>
    <t>Ambrose</t>
  </si>
  <si>
    <t xml:space="preserve">24 Skyline Dr  Chalfont, PA 18914-2023 </t>
  </si>
  <si>
    <t xml:space="preserve">2155 NE 20th Ln </t>
  </si>
  <si>
    <t>Woodward William H Tr</t>
  </si>
  <si>
    <t>48114-9248</t>
  </si>
  <si>
    <t xml:space="preserve">29 Blakelock Rd  Manhasset, NY 11030-2812 </t>
  </si>
  <si>
    <t>Cypress Woods Rv Resort Ut 1 Pb 65 Pg 85 + 86 Blk B Lot 24</t>
  </si>
  <si>
    <t xml:space="preserve">25853 Van Leuven St #196, Loma Linda, CA 92354-2559 </t>
  </si>
  <si>
    <t>Kevin &amp; Marilyn Helm</t>
  </si>
  <si>
    <t>Donna Norman &amp; Shirley Holland</t>
  </si>
  <si>
    <t>07950-1257</t>
  </si>
  <si>
    <t>Cave City</t>
  </si>
  <si>
    <t>Kravitz</t>
  </si>
  <si>
    <t>Tide Marsh As Desc In Instrument 2021000273072 Lot 10</t>
  </si>
  <si>
    <t xml:space="preserve">1426 NE 34th St </t>
  </si>
  <si>
    <t xml:space="preserve">1729 NE 7th Ave </t>
  </si>
  <si>
    <t>Lerchenbuckl</t>
  </si>
  <si>
    <t xml:space="preserve">Auf Dem Brink #4, Weyhe, DE 28844 </t>
  </si>
  <si>
    <t xml:space="preserve">4433 Richardson Ave  Bronx, NY 10470-1546 </t>
  </si>
  <si>
    <t xml:space="preserve">4446 New York Ave </t>
  </si>
  <si>
    <t>Robert &amp; Elizabeth Burpee</t>
  </si>
  <si>
    <t>Yasin</t>
  </si>
  <si>
    <t>Alexandra &amp; Vassiliki Smocovitis</t>
  </si>
  <si>
    <t xml:space="preserve">68 Beresford Ct </t>
  </si>
  <si>
    <t>Ft Myers Shores Unit 5 Blk 91 Pb 16 Pg 66 Lot 17</t>
  </si>
  <si>
    <t>Woodgate</t>
  </si>
  <si>
    <t xml:space="preserve">2901 NE 4th Ave </t>
  </si>
  <si>
    <t xml:space="preserve">334 NE 10th Ter </t>
  </si>
  <si>
    <t>Vicente</t>
  </si>
  <si>
    <t xml:space="preserve">9104 Paragon Way  Boynton Beach, FL 33472-5135 </t>
  </si>
  <si>
    <t>33904-4154</t>
  </si>
  <si>
    <t>20-43-24-c4-05637.0440</t>
  </si>
  <si>
    <t>10308-3249</t>
  </si>
  <si>
    <t>Cape Coral Unit 36 Blk 2305 Pb 16 Pg 120 Lots 69 + 70</t>
  </si>
  <si>
    <t>45054-9730</t>
  </si>
  <si>
    <t xml:space="preserve">1304 S Gator Cir </t>
  </si>
  <si>
    <t xml:space="preserve">2137 Greenwood Dr </t>
  </si>
  <si>
    <t>Cape Coral Unit 34 Blk.2464 Pb 16 Pg 84 Lots 1 + 2</t>
  </si>
  <si>
    <t xml:space="preserve">352 NE 26th St  Cape Coral, FL 33909 </t>
  </si>
  <si>
    <t xml:space="preserve">3856 Hollycrest St </t>
  </si>
  <si>
    <t>Broadview Manor Blk E Pb 8 Pg 30 Lot 5 + S 10 Ft Lot 4</t>
  </si>
  <si>
    <t xml:space="preserve">2302 NE 6th Pl </t>
  </si>
  <si>
    <t>36-43-23-c3-02500.0170</t>
  </si>
  <si>
    <t>Ft Myers Beach Kampground S/D Unit 1 Pb 35 Pg 47 Blk T Lot 13</t>
  </si>
  <si>
    <t>Sunny Slope</t>
  </si>
  <si>
    <t>Butler</t>
  </si>
  <si>
    <t>19-43-24-c3-05574.0030</t>
  </si>
  <si>
    <t>Lisa Gauff</t>
  </si>
  <si>
    <t>Spence Plantation</t>
  </si>
  <si>
    <t>Fernando Montoya &amp; Henry Diaz</t>
  </si>
  <si>
    <t>Paul &amp; Joan Soucie</t>
  </si>
  <si>
    <t>Anthony &amp; Vicki Stucchio</t>
  </si>
  <si>
    <t xml:space="preserve">15135 84th St 5g </t>
  </si>
  <si>
    <t>Battle Ground</t>
  </si>
  <si>
    <t xml:space="preserve">99 Packard St  Hudson, MA 01749-1454 </t>
  </si>
  <si>
    <t>Atlantic</t>
  </si>
  <si>
    <t>Larsen-Kovak</t>
  </si>
  <si>
    <t>Clark Allan</t>
  </si>
  <si>
    <t>Brenda Lucore</t>
  </si>
  <si>
    <t>17-43-24-c4-05740.0290</t>
  </si>
  <si>
    <t xml:space="preserve">6059 Lacota Ave </t>
  </si>
  <si>
    <t>Hummel Susan L Tr</t>
  </si>
  <si>
    <t>Infanzon</t>
  </si>
  <si>
    <t xml:space="preserve">2724 NE 6th Ave </t>
  </si>
  <si>
    <t xml:space="preserve">10481 Six Mile Cypress Pkwy </t>
  </si>
  <si>
    <t xml:space="preserve">6620 Terrace Rd </t>
  </si>
  <si>
    <t xml:space="preserve">19241 NW 52nd Ct </t>
  </si>
  <si>
    <t>Cape Coral Unit 84 Blk 5578 Pb24 Pg39 Lots 8 + 9</t>
  </si>
  <si>
    <t>Northtree</t>
  </si>
  <si>
    <t>Glosson</t>
  </si>
  <si>
    <t>03-44-26-03-00015.0090</t>
  </si>
  <si>
    <t>Schweig</t>
  </si>
  <si>
    <t xml:space="preserve">616 Wisteria Ln  Kissimmee, FL 34747-4813 </t>
  </si>
  <si>
    <t xml:space="preserve">2612 NE 21st Pl </t>
  </si>
  <si>
    <t>07013-1134</t>
  </si>
  <si>
    <t>Ft Myers Beach Kampground S/D Unit 1 Pb 35 Pg 47 Blk S Lot 27</t>
  </si>
  <si>
    <t xml:space="preserve">856 NE 7th Pl </t>
  </si>
  <si>
    <t>Carl Scoca</t>
  </si>
  <si>
    <t xml:space="preserve">1024 SW 10th St </t>
  </si>
  <si>
    <t xml:space="preserve">214 Links Pl  Mc Cormick, SC 29835-3325 </t>
  </si>
  <si>
    <t>Digby</t>
  </si>
  <si>
    <t>33904-5901</t>
  </si>
  <si>
    <t xml:space="preserve">4402 NE 22nd Ave </t>
  </si>
  <si>
    <t xml:space="preserve">1117 Echo Pass St </t>
  </si>
  <si>
    <t>03-44-26-12-00063.0150</t>
  </si>
  <si>
    <t>17-43-24-c2-05799.0350</t>
  </si>
  <si>
    <t>34-43-24-01-00024.0010</t>
  </si>
  <si>
    <t xml:space="preserve">2309 NE 35th Ln </t>
  </si>
  <si>
    <t>33909-6810</t>
  </si>
  <si>
    <t xml:space="preserve">PO Box 263  Antwerp, NY 13608 </t>
  </si>
  <si>
    <t xml:space="preserve">350 Longwood Ave #2, Bound Brook, NJ 08805-1608 </t>
  </si>
  <si>
    <t xml:space="preserve">591 NW 45th Ter  Plantation, FL 33317-2102 </t>
  </si>
  <si>
    <t>Akiko &amp; Sean Schertell</t>
  </si>
  <si>
    <t xml:space="preserve">26 Pheasant Crk  Irvine, CA 92618-3978 </t>
  </si>
  <si>
    <t xml:space="preserve">3737 Kenyon St  Fort Myers, FL 33905 </t>
  </si>
  <si>
    <t xml:space="preserve">1281 Lawrence Station Rd #426, Sunnyvale, CA 94089-2259 </t>
  </si>
  <si>
    <t>Erlangen</t>
  </si>
  <si>
    <t xml:space="preserve">5314 Cypress Trail Resort Cir </t>
  </si>
  <si>
    <t xml:space="preserve">23756 S Melissa Dr </t>
  </si>
  <si>
    <t xml:space="preserve">23436 Waskawood Rd </t>
  </si>
  <si>
    <t xml:space="preserve">1420 NE 2nd Pl </t>
  </si>
  <si>
    <t xml:space="preserve">6050 Jadestone Ave  Fort Myers, FL 33905 </t>
  </si>
  <si>
    <t>33909-6521</t>
  </si>
  <si>
    <t xml:space="preserve">1625 Palm Ave #3, Hialeah, FL 33010-3000 </t>
  </si>
  <si>
    <t>Samson Cesar R &amp; Emerita A Tr</t>
  </si>
  <si>
    <t xml:space="preserve">1727 NE 11th St </t>
  </si>
  <si>
    <t xml:space="preserve">1313 Peters Dr </t>
  </si>
  <si>
    <t xml:space="preserve">3408 NE 13th Pl </t>
  </si>
  <si>
    <t xml:space="preserve">10217 Yellowtop Trl  Fort Myers, FL 33905 </t>
  </si>
  <si>
    <t>William Minaya</t>
  </si>
  <si>
    <t>Gann</t>
  </si>
  <si>
    <t>Gorno</t>
  </si>
  <si>
    <t>Crystal Lakes Manufactured Home Comm Condo Or 2784/4003 Lot 286</t>
  </si>
  <si>
    <t xml:space="preserve">3717 NE 16th Pl </t>
  </si>
  <si>
    <t xml:space="preserve">2047 NE 18th St  Cape Coral, FL 33909 </t>
  </si>
  <si>
    <t xml:space="preserve">4603 Red Chestnut Ct  Midlothian, VA 23112-4813 </t>
  </si>
  <si>
    <t xml:space="preserve">19681 Summerlin Rd #406 </t>
  </si>
  <si>
    <t xml:space="preserve">2491 Country View Ln #1321 </t>
  </si>
  <si>
    <t>Ross</t>
  </si>
  <si>
    <t>Sorreno</t>
  </si>
  <si>
    <t>Cape Coral Unit 84 Blk 5550 Pb 24 Pg 39 Lots 25 Thru 27</t>
  </si>
  <si>
    <t>29-43-24-c4-02283.0380</t>
  </si>
  <si>
    <t xml:space="preserve">5029 Pleasant View Dr  Sparks, NV 89434-9501 </t>
  </si>
  <si>
    <t>19144-6109</t>
  </si>
  <si>
    <t xml:space="preserve">4348 NE 9th Ct  Cape Coral, FL 33909 </t>
  </si>
  <si>
    <t>Malek &amp; Randy Malek Family</t>
  </si>
  <si>
    <t>Adam</t>
  </si>
  <si>
    <t xml:space="preserve">6027/6029 Latimer Ave  Fort Myers, FL 33905 </t>
  </si>
  <si>
    <t>32825-7183</t>
  </si>
  <si>
    <t xml:space="preserve">11 Riverside Dr 11ce </t>
  </si>
  <si>
    <t xml:space="preserve">1816 NE 7th Ave </t>
  </si>
  <si>
    <t xml:space="preserve">28 Eastview Ter </t>
  </si>
  <si>
    <t xml:space="preserve">4215 NE 17th Ave </t>
  </si>
  <si>
    <t>Osoyoos</t>
  </si>
  <si>
    <t>Arnaldo Limansky &amp; Roberto Stopello</t>
  </si>
  <si>
    <t>06-44-24-c4-02056.0380</t>
  </si>
  <si>
    <t xml:space="preserve">1708 Andalusia Blvd </t>
  </si>
  <si>
    <t xml:space="preserve">1448 Grant St </t>
  </si>
  <si>
    <t xml:space="preserve">7 Brookletts Ave </t>
  </si>
  <si>
    <t>Northfield</t>
  </si>
  <si>
    <t>Union</t>
  </si>
  <si>
    <t>Abbott Victoria Sue Tr</t>
  </si>
  <si>
    <t xml:space="preserve">6181 Mayfield Rd #104, Cleveland, OH 44124-3222 </t>
  </si>
  <si>
    <t>Seffner</t>
  </si>
  <si>
    <t>Cape Coral Unit 34 Blk 2468 Pb 16 Pg 75 Lots 30 + 31</t>
  </si>
  <si>
    <t>36-45-23-03-0000h.0250</t>
  </si>
  <si>
    <t>Maria Ayala</t>
  </si>
  <si>
    <t>36-43-23-c2-02541.0220</t>
  </si>
  <si>
    <t>Lucio</t>
  </si>
  <si>
    <t xml:space="preserve">5600 Brightwood Dr </t>
  </si>
  <si>
    <t>Cape Coral Unit 85 Blk 5641 Pb 24 Pg 54 Lots 5 + 6</t>
  </si>
  <si>
    <t>06098-1804</t>
  </si>
  <si>
    <t xml:space="preserve">40 De La Rue  La Prairie, QC J5r 0C4 </t>
  </si>
  <si>
    <t xml:space="preserve">1400 NE 44th St </t>
  </si>
  <si>
    <t xml:space="preserve">5544 NW 85th Ave </t>
  </si>
  <si>
    <t>St. Louis</t>
  </si>
  <si>
    <t>Land</t>
  </si>
  <si>
    <t>N6A 3S9</t>
  </si>
  <si>
    <t>Russell &amp; For Peterson</t>
  </si>
  <si>
    <t>Shiraz Hanif</t>
  </si>
  <si>
    <t xml:space="preserve">1685 Ghent Rd </t>
  </si>
  <si>
    <t xml:space="preserve">2 Spencer Path Dr </t>
  </si>
  <si>
    <t>Mowry</t>
  </si>
  <si>
    <t>Alessi</t>
  </si>
  <si>
    <t>19-43-24-c1-05547.0230</t>
  </si>
  <si>
    <t xml:space="preserve">4402 NE 21st Ave  Cape Coral, FL 33909 </t>
  </si>
  <si>
    <t xml:space="preserve">10259 Meadow Beauty Trl </t>
  </si>
  <si>
    <t xml:space="preserve">2017 NE 25th St </t>
  </si>
  <si>
    <t xml:space="preserve">18009 Mescal St  Rowland Heights, CA 91748-4310 </t>
  </si>
  <si>
    <t>Lehigh Acres Unit 1 W Pt Blk 4 Pb 26 Pg 2 Lot 5</t>
  </si>
  <si>
    <t>Clement</t>
  </si>
  <si>
    <t>Blair &amp; Paul Keetch</t>
  </si>
  <si>
    <t xml:space="preserve">2413 Hunters Chase Ct  Jacksonville, AR 72076-3578 </t>
  </si>
  <si>
    <t>33947-1806</t>
  </si>
  <si>
    <t>Jerry &amp; Irene Dykyj</t>
  </si>
  <si>
    <t>29-43-24-c4-02284.0180</t>
  </si>
  <si>
    <t xml:space="preserve">1358 S Irving St  Denver, CO 80219-3972 </t>
  </si>
  <si>
    <t>Skeffrey</t>
  </si>
  <si>
    <t xml:space="preserve">4401 Gulf Shore Blvd N #1407, Naples, FL 34103-3455 </t>
  </si>
  <si>
    <t>Natali Oliveros</t>
  </si>
  <si>
    <t>Cape Coral Unit 88 Blk 5767 Pb 24 Pg 128 Lots 4 + 5</t>
  </si>
  <si>
    <t>Corporal Kennedy</t>
  </si>
  <si>
    <t>J0K 2J0</t>
  </si>
  <si>
    <t>Nils</t>
  </si>
  <si>
    <t>Town 'N' Country</t>
  </si>
  <si>
    <t>36-43-23-c4-02495.0150</t>
  </si>
  <si>
    <t>La Habra Heights</t>
  </si>
  <si>
    <t xml:space="preserve">603 Martin Rd </t>
  </si>
  <si>
    <t xml:space="preserve">4674 Canvas Ct  Sarasota, FL 34240-2513 </t>
  </si>
  <si>
    <t>31-43-24-c1-02147.0150</t>
  </si>
  <si>
    <t>06-46-24-18-00y00.0090</t>
  </si>
  <si>
    <t>Sepulveda</t>
  </si>
  <si>
    <t>08201-2306</t>
  </si>
  <si>
    <t>18-43-24-c3-05586.0070</t>
  </si>
  <si>
    <t xml:space="preserve">817 Washington St </t>
  </si>
  <si>
    <t xml:space="preserve">56 Nathan Cutler Dr  Bedford, NH 03110-4812 </t>
  </si>
  <si>
    <t>19-43-24-c4-05566.0530</t>
  </si>
  <si>
    <t xml:space="preserve">1810 NE 11th Ln  Cape Coral, FL 33909 </t>
  </si>
  <si>
    <t xml:space="preserve">3740 Hyde Park Dr </t>
  </si>
  <si>
    <t xml:space="preserve">5430 Harborage Dr  Fort Myers, FL 33908 </t>
  </si>
  <si>
    <t xml:space="preserve">2745 NE 4th Ave  Cape Coral, FL 33909 </t>
  </si>
  <si>
    <t>Bonilla</t>
  </si>
  <si>
    <t>Romil</t>
  </si>
  <si>
    <t>18-43-24-c4-05710.0300</t>
  </si>
  <si>
    <t>Angel &amp; Emary Iraheta</t>
  </si>
  <si>
    <t>R140</t>
  </si>
  <si>
    <t xml:space="preserve">1176 NE 44th Ln  Cape Coral, FL 33909 </t>
  </si>
  <si>
    <t>34747-4813</t>
  </si>
  <si>
    <t xml:space="preserve">56 Meadowbrook Rd  White Plains, NY 10605-2210 </t>
  </si>
  <si>
    <t>Cape Coral Unit 84 Blk 5569 Pb 24 Pg 46 Lots 39 + 40</t>
  </si>
  <si>
    <t>PO Box 701534</t>
  </si>
  <si>
    <t xml:space="preserve">39 Shaul-Hameleach  Tel Aviv, IL 64928 </t>
  </si>
  <si>
    <t>17-43-24-c1-05818.0140</t>
  </si>
  <si>
    <t>Juan Pichardo</t>
  </si>
  <si>
    <t>10473-1408</t>
  </si>
  <si>
    <t xml:space="preserve">2510 W Cleveland St #1 </t>
  </si>
  <si>
    <t xml:space="preserve">29 Bahnhof St </t>
  </si>
  <si>
    <t xml:space="preserve">126 W 9th Ave </t>
  </si>
  <si>
    <t xml:space="preserve">217 SE 28th Ter </t>
  </si>
  <si>
    <t>Valentine Aalo</t>
  </si>
  <si>
    <t>Rhonda &amp; James Volkernick</t>
  </si>
  <si>
    <t>Mcgrath</t>
  </si>
  <si>
    <t xml:space="preserve">10 Riverside Industrial Est </t>
  </si>
  <si>
    <t xml:space="preserve">6021 Thorpe Ave </t>
  </si>
  <si>
    <t>Walter Mendoza &amp; Jenny Saavedra</t>
  </si>
  <si>
    <t>15642-5700</t>
  </si>
  <si>
    <t>Rob</t>
  </si>
  <si>
    <t>Junction</t>
  </si>
  <si>
    <t xml:space="preserve">323 NE 20th St  Cape Coral, FL 33909 </t>
  </si>
  <si>
    <t>01-44-23-c4-02413.0270</t>
  </si>
  <si>
    <t>Van Buren</t>
  </si>
  <si>
    <t xml:space="preserve">3704 Kittyhawk Dr  Fort Myers, FL 33905 </t>
  </si>
  <si>
    <t xml:space="preserve">30 Hubbard Pl  Wheeling, WV 26003-5523 </t>
  </si>
  <si>
    <t xml:space="preserve">167 Jerry Liefert Dr </t>
  </si>
  <si>
    <t>West Babylon</t>
  </si>
  <si>
    <t>Sefkija</t>
  </si>
  <si>
    <t>Gary Conlon</t>
  </si>
  <si>
    <t xml:space="preserve">6131 Holt Ct </t>
  </si>
  <si>
    <t>33909-1020</t>
  </si>
  <si>
    <t>Jeng</t>
  </si>
  <si>
    <t>Rural</t>
  </si>
  <si>
    <t>Cape Coral Unit 32 Blk 2106 Pb 16 Pg 5 Lot 34 Thru 36</t>
  </si>
  <si>
    <t>Cape Coral Unit 36 Pt 1 Blk 2501 Pb 23 Pg 93 Lots 19 + 20</t>
  </si>
  <si>
    <t>Cape Coral Unit 87 Blk 5687 Pb 24 Pg 83 Lots 29 + 30</t>
  </si>
  <si>
    <t>Eva</t>
  </si>
  <si>
    <t>PO Box 380198</t>
  </si>
  <si>
    <t xml:space="preserve">307 NE 22nd Ter </t>
  </si>
  <si>
    <t xml:space="preserve">4302 Garden Blvd </t>
  </si>
  <si>
    <t>Cypress Trail Rv Resort Ph 4-B As Desc In Inst# 2017000057565 Lot 83</t>
  </si>
  <si>
    <t>Cape Coral Unit 32 Blk 2149 Pb 16 Pg 11 Lots 28 + 29</t>
  </si>
  <si>
    <t>Steven &amp; Carol Mcrae</t>
  </si>
  <si>
    <t>01-44-23-c3-02428.0390</t>
  </si>
  <si>
    <t xml:space="preserve">43 Rue De Montreuil </t>
  </si>
  <si>
    <t>Valleyview</t>
  </si>
  <si>
    <t>Cape Coral Unit 36 Blk 2517 Pb 16 Pg 116 Lots 56 + 57</t>
  </si>
  <si>
    <t xml:space="preserve">1125 SE 38th St </t>
  </si>
  <si>
    <t>12-44-23-c1-02369.0400</t>
  </si>
  <si>
    <t>Cape Coral Unit 46 Blk 3607 Pb 17 Pg 127 Lots 3 + 4</t>
  </si>
  <si>
    <t>Cape Coral Unit 84 Blk 5582 Pb 24 Pg 48 Lot 27</t>
  </si>
  <si>
    <t>Cape Coral Unit 33 Blk.2254 Pb 16 Pg 57 Lots 48 + 49</t>
  </si>
  <si>
    <t>Glen Webber</t>
  </si>
  <si>
    <t xml:space="preserve">9622 Locust Hill Dr  Great Falls, VA 22066-2030 </t>
  </si>
  <si>
    <t>Viceroy</t>
  </si>
  <si>
    <t>36-43-23-c4-02490.0410</t>
  </si>
  <si>
    <t xml:space="preserve">6025 N Cox Ferry Rd </t>
  </si>
  <si>
    <t xml:space="preserve">2204 NE 39th Ter  Cape Coral, FL 33909 </t>
  </si>
  <si>
    <t>For Darrell J &amp; Dina J Abts Trust</t>
  </si>
  <si>
    <t>Kenton</t>
  </si>
  <si>
    <t>Betancourt</t>
  </si>
  <si>
    <t>19-43-24-c1-05575.0010</t>
  </si>
  <si>
    <t>APPRAISED IMPROVEMENT PERCENTAGE</t>
  </si>
  <si>
    <t>Krinitsyn</t>
  </si>
  <si>
    <t xml:space="preserve">19681 Summerlin Rd #202, Fort Myers, FL 33908 </t>
  </si>
  <si>
    <t xml:space="preserve">315 NE 17th Pl </t>
  </si>
  <si>
    <t>South Park Township</t>
  </si>
  <si>
    <t xml:space="preserve">427 NE 23rd St </t>
  </si>
  <si>
    <t xml:space="preserve">24 NE 19th Ct  Cape Coral, FL 33909 </t>
  </si>
  <si>
    <t>Jose Rey</t>
  </si>
  <si>
    <t>Pena Dela</t>
  </si>
  <si>
    <t>Lonnie &amp; Shirley Martin</t>
  </si>
  <si>
    <t>Northshore</t>
  </si>
  <si>
    <t>Cape Coral Unit 35 Blk 2395 Pb 16 Pg 107 Lots 11 + 12</t>
  </si>
  <si>
    <t xml:space="preserve">5511 Olympiad Dr </t>
  </si>
  <si>
    <t xml:space="preserve">3449 NE 9th Pl  Cape Coral, FL 33909 </t>
  </si>
  <si>
    <t>Walter</t>
  </si>
  <si>
    <t xml:space="preserve">6059 Lacota Ave  Fort Myers, FL 33905 </t>
  </si>
  <si>
    <t xml:space="preserve">6011 W 24th Ave  Hialeah, FL 33016-6943 </t>
  </si>
  <si>
    <t xml:space="preserve">2008 NE 1st Ave </t>
  </si>
  <si>
    <t>Cape Coral Unit 17 Blk 1498 Pb 14 Pg 30 Lts 7 + 8 + Vac Or 2165 Pg 3046</t>
  </si>
  <si>
    <t xml:space="preserve">100 NE 23rd Ter </t>
  </si>
  <si>
    <t>60081-9699</t>
  </si>
  <si>
    <t xml:space="preserve">4004 NE 20th Pl </t>
  </si>
  <si>
    <t>Deweykathy</t>
  </si>
  <si>
    <t>11-44-25-l1-1400b.4540</t>
  </si>
  <si>
    <t xml:space="preserve">2210 NE 33rd Ln </t>
  </si>
  <si>
    <t>33905-7657</t>
  </si>
  <si>
    <t xml:space="preserve">43 Douglas Ave  Waterbury, CT 06708-2726 </t>
  </si>
  <si>
    <t>Maria Higuita</t>
  </si>
  <si>
    <t>259th</t>
  </si>
  <si>
    <t xml:space="preserve">6014 Jonathan Ave </t>
  </si>
  <si>
    <t xml:space="preserve">1703 Dunn St  Grapevine, TX 76051-2932 </t>
  </si>
  <si>
    <t>Lorna Abraham &amp; Carol Wilson</t>
  </si>
  <si>
    <t xml:space="preserve">884 Picasso Ave  Deltona, FL 32725-7640 </t>
  </si>
  <si>
    <t>Cjw Family Trust</t>
  </si>
  <si>
    <t xml:space="preserve">1730 NE 1st Pl  Cape Coral, FL 33909 </t>
  </si>
  <si>
    <t>Cape Coral Unit 47 Pt 2 Blk 3531 Pb 23 Pg 121 Lots 5 + 6</t>
  </si>
  <si>
    <t>33903-2845</t>
  </si>
  <si>
    <t xml:space="preserve">1188 Durden Pkwy </t>
  </si>
  <si>
    <t xml:space="preserve">26 Edlie Ave  Norwalk, CT 06855-1214 </t>
  </si>
  <si>
    <t>11738-2286</t>
  </si>
  <si>
    <t>33905-5750</t>
  </si>
  <si>
    <t xml:space="preserve">21 Taunton Ave </t>
  </si>
  <si>
    <t>11694-1705</t>
  </si>
  <si>
    <t>Cudjoe</t>
  </si>
  <si>
    <t xml:space="preserve">Am Wiesenhof #26, Moenchweiler, DE 78087 </t>
  </si>
  <si>
    <t xml:space="preserve">6024 Kentigern Ct S  Dublin, OH 43017-8460 </t>
  </si>
  <si>
    <t>Cape Coral Unit 88 Blk 5812 Pb 24 Pg 138 Lots 5 + 6</t>
  </si>
  <si>
    <t>John &amp; John Hudson</t>
  </si>
  <si>
    <t>Fernando Dalmeida</t>
  </si>
  <si>
    <t>Evelia Xelo</t>
  </si>
  <si>
    <t>11-44-25-04-0000b.0670</t>
  </si>
  <si>
    <t>33909-2870</t>
  </si>
  <si>
    <t xml:space="preserve">4445 Bessie Ave </t>
  </si>
  <si>
    <t>Shortsville</t>
  </si>
  <si>
    <t>16-44-25-03-0000d.0120</t>
  </si>
  <si>
    <t xml:space="preserve">3806 NE 23rd Pl </t>
  </si>
  <si>
    <t>17th</t>
  </si>
  <si>
    <t>11735-5544</t>
  </si>
  <si>
    <t>Bennington</t>
  </si>
  <si>
    <t>25-43-23-c4-02305.0320</t>
  </si>
  <si>
    <t>Jeannette &amp; Ernest Hernandez</t>
  </si>
  <si>
    <t>Nava</t>
  </si>
  <si>
    <t xml:space="preserve">43 Tippecanoe St  Simpsonville, SC 29680-7714 </t>
  </si>
  <si>
    <t>95843-6202</t>
  </si>
  <si>
    <t>Bolan</t>
  </si>
  <si>
    <t>Anguisaca</t>
  </si>
  <si>
    <t>Nathan Hale</t>
  </si>
  <si>
    <t xml:space="preserve">1824 NE 21st Pl  Cape Coral, FL 33909 </t>
  </si>
  <si>
    <t xml:space="preserve">14550 Cemetery Rd </t>
  </si>
  <si>
    <t>Isle Of Pines</t>
  </si>
  <si>
    <t xml:space="preserve">458 NE Juanita Ct  Cape Coral, FL 33909 </t>
  </si>
  <si>
    <t>09-44-24-02-00000.0200</t>
  </si>
  <si>
    <t xml:space="preserve">2415 NE 23rd Pl </t>
  </si>
  <si>
    <t xml:space="preserve">327 Royal Palm Park Rd </t>
  </si>
  <si>
    <t>02152-2526</t>
  </si>
  <si>
    <t xml:space="preserve">30 Ekkehardstrasse </t>
  </si>
  <si>
    <t>17-43-24-c1-05821.0570</t>
  </si>
  <si>
    <t>Cape Coral Unit 85 Blk 5633 Pb 24 Pg 50 Lots 21 + 22</t>
  </si>
  <si>
    <t>Cape Coral Unit 85 Blk 5671 Pb 24 Pg 52 Lot 29</t>
  </si>
  <si>
    <t>Cape Coral Unit 34 Blk.2422 Pb 16 Pg 76 Lots 17 + 18</t>
  </si>
  <si>
    <t xml:space="preserve">2616 NE 22nd Ave  Cape Coral, FL 33909 </t>
  </si>
  <si>
    <t>Rue Des Micocouliers</t>
  </si>
  <si>
    <t>Virginia Cochart &amp; Virginia For</t>
  </si>
  <si>
    <t xml:space="preserve">5089 Manor Ridge Ln  San Diego, CA 92130-2895 </t>
  </si>
  <si>
    <t>08-45-24-c1-00388.049a</t>
  </si>
  <si>
    <t>Cape Coral Unit 12 Blk 598 Pb 13 Pg 53 Lots 51 + 52</t>
  </si>
  <si>
    <t>Whittaker</t>
  </si>
  <si>
    <t>Stubits</t>
  </si>
  <si>
    <t>11229-2001</t>
  </si>
  <si>
    <t>SITUS STREET NAME</t>
  </si>
  <si>
    <t xml:space="preserve">PO Box 158  Wilkinson, WV 25653 </t>
  </si>
  <si>
    <t>Cypress Trail Rv Resort As Desc In Inst# 2013000212499 Lot 362</t>
  </si>
  <si>
    <t>Cape Coral Unit 31 Blk 2042 Pb 14 Pg 158 Lots 44 + 45</t>
  </si>
  <si>
    <t xml:space="preserve">Po Box 19462 </t>
  </si>
  <si>
    <t>Loewenburgstr</t>
  </si>
  <si>
    <t>PO Box 424</t>
  </si>
  <si>
    <t xml:space="preserve">4410 Ohio Ave  Fort Myers, FL 33905 </t>
  </si>
  <si>
    <t>Sayler</t>
  </si>
  <si>
    <t xml:space="preserve">3622 NE 21st Ave </t>
  </si>
  <si>
    <t xml:space="preserve">1110 Weybridge Ln </t>
  </si>
  <si>
    <t>Solemne</t>
  </si>
  <si>
    <t xml:space="preserve">1038 N Gator Cir  Cape Coral, FL 33909 </t>
  </si>
  <si>
    <t xml:space="preserve">641 Mokena Dr  Miami Springs, FL 33166-6125 </t>
  </si>
  <si>
    <t xml:space="preserve">414 Willow Glen Cir  Simi Valley, CA 93065-8227 </t>
  </si>
  <si>
    <t>Manolo</t>
  </si>
  <si>
    <t>33909-3265</t>
  </si>
  <si>
    <t xml:space="preserve">2302 NE 16th Ter  Cape Coral, FL 33909 </t>
  </si>
  <si>
    <t>36-43-23-c4-02492.0010</t>
  </si>
  <si>
    <t>Cape Coral Unit 36 Pt 1 Blk 2479 Pb 23 Pg 93 Lots 33 + 34</t>
  </si>
  <si>
    <t>57105-4903</t>
  </si>
  <si>
    <t xml:space="preserve">917 NE 2nd Pl  Cape Coral, FL 33909 </t>
  </si>
  <si>
    <t>Old Country</t>
  </si>
  <si>
    <t>River View</t>
  </si>
  <si>
    <t>25-43-23-c2-02346.0430</t>
  </si>
  <si>
    <t xml:space="preserve">3914 NE 11th Pl </t>
  </si>
  <si>
    <t xml:space="preserve">5008 Creal Rd  Homer, NY 13077-8341 </t>
  </si>
  <si>
    <t>Gonzalo</t>
  </si>
  <si>
    <t>Cypress Trail Rv Resort Ph 4-B As Desc In Inst# 2017000057565 Lot 109</t>
  </si>
  <si>
    <t>Marlowe</t>
  </si>
  <si>
    <t>Hill City</t>
  </si>
  <si>
    <t>Cape Coral Unit 70 Blk 4683 Pb 22 Pg 74 Lot 11</t>
  </si>
  <si>
    <t xml:space="preserve">3748 Kilarney St  Fort Myers, FL 33905 </t>
  </si>
  <si>
    <t>For James G Long Trust &amp; For Wilda S Long Trust</t>
  </si>
  <si>
    <t>Cape Coral Unit 88 Blk 5803 Pb 24 Pg 138 Lots 29 + 30</t>
  </si>
  <si>
    <t>Ronny</t>
  </si>
  <si>
    <t>Nixon</t>
  </si>
  <si>
    <t xml:space="preserve">892 Hearthside St  South Lyon, MI 48178-1232 </t>
  </si>
  <si>
    <t xml:space="preserve">17775 SE Mill Plain Blvd #106 </t>
  </si>
  <si>
    <t xml:space="preserve">22704 Roderick Dr  Land O Lakes, FL 34639-4097 </t>
  </si>
  <si>
    <t xml:space="preserve">2604 Sears Rd </t>
  </si>
  <si>
    <t>East Troy</t>
  </si>
  <si>
    <t>18-43-24-c2-05724.0190</t>
  </si>
  <si>
    <t xml:space="preserve">107 Diplomat Pkwy E  Cape Coral, FL 33909 </t>
  </si>
  <si>
    <t xml:space="preserve">1472 Meadows Blvd </t>
  </si>
  <si>
    <t xml:space="preserve">1733 NE 36th Ln </t>
  </si>
  <si>
    <t xml:space="preserve">3565 Andalusia Blvd  Cape Coral, FL 33909 </t>
  </si>
  <si>
    <t>Cape Coral Unit 47 Pt 2 Blk 3541 Pb 23 Pg 117 Lots 47 + 48</t>
  </si>
  <si>
    <t>Irrevocable &amp; Raul Luzardo</t>
  </si>
  <si>
    <t xml:space="preserve">5540 Cypress Woods Resort Dr </t>
  </si>
  <si>
    <t>Mireille Estiverne</t>
  </si>
  <si>
    <t>Sergio &amp; Francisca Borges</t>
  </si>
  <si>
    <t xml:space="preserve">9331 Buckingham Rd </t>
  </si>
  <si>
    <t xml:space="preserve">2127 NE 34th Ter </t>
  </si>
  <si>
    <t xml:space="preserve">5200 Marsh Mallow Trl  Fort Myers, FL 33905 </t>
  </si>
  <si>
    <t>Cape Coral Unit 36 Blk 2325 Pb 16 Pg 125 Lots 41 + 42</t>
  </si>
  <si>
    <t>Richard Rochester</t>
  </si>
  <si>
    <t xml:space="preserve">3651 Harold Ave </t>
  </si>
  <si>
    <t>Cape Coral Unit 88 Blk 5798 Pb 24 Pg 131 Lot 2</t>
  </si>
  <si>
    <t xml:space="preserve">1124 NE 19th St </t>
  </si>
  <si>
    <t>07421-5117</t>
  </si>
  <si>
    <t>D J W Properties Llc Vt Tr</t>
  </si>
  <si>
    <t>Michael Byorick</t>
  </si>
  <si>
    <t xml:space="preserve">3925 NE 23rd Pl  Cape Coral, FL 33909 </t>
  </si>
  <si>
    <t>Harvey Oaks As Desc In Instrument 2022000290094 Lot 8</t>
  </si>
  <si>
    <t>33905-7603</t>
  </si>
  <si>
    <t xml:space="preserve">10 Allee Des Foulons  Les Valence, FR </t>
  </si>
  <si>
    <t>Michael Armstrong</t>
  </si>
  <si>
    <t xml:space="preserve">22 New York Ave </t>
  </si>
  <si>
    <t>Rivera-Santana</t>
  </si>
  <si>
    <t xml:space="preserve">3427 E Gator Cir </t>
  </si>
  <si>
    <t xml:space="preserve">302 Grape St  Hammonton, NJ 08037-1471 </t>
  </si>
  <si>
    <t>34-43-24-02-00025.0230</t>
  </si>
  <si>
    <t xml:space="preserve">2905 NE 4th Ave </t>
  </si>
  <si>
    <t xml:space="preserve">1928 NE 19th Ave </t>
  </si>
  <si>
    <t>31-43-24-c2-02139.0400</t>
  </si>
  <si>
    <t>Cape Coral Unit 85 Blk 5633 Pb 24 Pg 51 Lots 47 + 48</t>
  </si>
  <si>
    <t>33909-4723</t>
  </si>
  <si>
    <t xml:space="preserve">3727 Tareco St  Fort Myers, FL 33905 </t>
  </si>
  <si>
    <t xml:space="preserve">5700 Cypress Woods Resort Dr </t>
  </si>
  <si>
    <t>Ndtco &amp; Kenneth Oneil</t>
  </si>
  <si>
    <t xml:space="preserve">7516 Beechtree Dr  Easton, MD 21601-4796 </t>
  </si>
  <si>
    <t xml:space="preserve">1031 NE 33rd Ter  Cape Coral, FL 33909 </t>
  </si>
  <si>
    <t>Manor</t>
  </si>
  <si>
    <t>Faidt-Berisford</t>
  </si>
  <si>
    <t xml:space="preserve">3122 Mahan Dr #801 </t>
  </si>
  <si>
    <t>Marianne Linhart</t>
  </si>
  <si>
    <t xml:space="preserve">242 Palmacea Rd  Fort Myers, FL 33905 </t>
  </si>
  <si>
    <t xml:space="preserve">345 E 39th Pl </t>
  </si>
  <si>
    <t>Greg Mcdonald &amp; June Warriner</t>
  </si>
  <si>
    <t>Daisy</t>
  </si>
  <si>
    <t xml:space="preserve">3411 NE 21st Pl </t>
  </si>
  <si>
    <t xml:space="preserve">20 Dexter Dr </t>
  </si>
  <si>
    <t>36-43-23-c3-02477.0260</t>
  </si>
  <si>
    <t>33909-4434</t>
  </si>
  <si>
    <t xml:space="preserve">6 Thistle Pl  Robbinsville, NJ 08691-2512 </t>
  </si>
  <si>
    <t>Nineveh</t>
  </si>
  <si>
    <t>05-44-24-c1-03529.0020</t>
  </si>
  <si>
    <t>Rose &amp; Fernando Leon</t>
  </si>
  <si>
    <t>17-43-24-c1-05823.0170</t>
  </si>
  <si>
    <t xml:space="preserve">121 5th St </t>
  </si>
  <si>
    <t>33909-1668</t>
  </si>
  <si>
    <t>25-43-23-c4-02299.0310</t>
  </si>
  <si>
    <t>Abraham</t>
  </si>
  <si>
    <t>Lehigh Acres Unit 12 Blk 63 Pb 26 Pg 16 Lot 15</t>
  </si>
  <si>
    <t xml:space="preserve">325 NE 14th St  Cape Coral, FL 33909 </t>
  </si>
  <si>
    <t>Chacon</t>
  </si>
  <si>
    <t>Diana Dziedzic &amp; Dennis Dytko</t>
  </si>
  <si>
    <t xml:space="preserve">110 Breakneck Rd </t>
  </si>
  <si>
    <t xml:space="preserve">3454 NE 11th Pl </t>
  </si>
  <si>
    <t>Banwell</t>
  </si>
  <si>
    <t>19-43-24-c2-05592.0090</t>
  </si>
  <si>
    <t>Lehigh Acres Unit 8 Blk 39 Pb 26 Pg 10 Lot 11</t>
  </si>
  <si>
    <t>19-43-24-c1-05567.0320</t>
  </si>
  <si>
    <t xml:space="preserve">2340 35th St  Astoria, NY 11105-2209 </t>
  </si>
  <si>
    <t xml:space="preserve">2023 Andalusia Blvd </t>
  </si>
  <si>
    <t xml:space="preserve">5195 Cypress Trail Resort Cir  Fort Myers, FL 33905 </t>
  </si>
  <si>
    <t>12845-3403</t>
  </si>
  <si>
    <t>Michael Virzi</t>
  </si>
  <si>
    <t>01-46-23-00-00007.0260</t>
  </si>
  <si>
    <t>32-43-24-c1-02244.0660</t>
  </si>
  <si>
    <t>Jean Apollon</t>
  </si>
  <si>
    <t>Montego</t>
  </si>
  <si>
    <t>33909-8854</t>
  </si>
  <si>
    <t>Dan Patch</t>
  </si>
  <si>
    <t>Big Timber</t>
  </si>
  <si>
    <t>30189-1562</t>
  </si>
  <si>
    <t xml:space="preserve">6 Nate Ln </t>
  </si>
  <si>
    <t>Baiersdorf</t>
  </si>
  <si>
    <t>W C W &amp; Linda Portney</t>
  </si>
  <si>
    <t>33909-5407</t>
  </si>
  <si>
    <t xml:space="preserve">Am Kindergarten #11, Zell D, DE 77736 </t>
  </si>
  <si>
    <t xml:space="preserve">1506 NE 6th Pl </t>
  </si>
  <si>
    <t>Diane Bohorquez &amp; Mary Mesa</t>
  </si>
  <si>
    <t>Rm-8</t>
  </si>
  <si>
    <t>20111-7020</t>
  </si>
  <si>
    <t xml:space="preserve">8911 Collins Ave #1407, Sunny Isles Beach, FL 33160 </t>
  </si>
  <si>
    <t>Sy</t>
  </si>
  <si>
    <t>19-43-24-c1-05569.0170</t>
  </si>
  <si>
    <t>Leydiana</t>
  </si>
  <si>
    <t xml:space="preserve">2001 NE 17th Ter  Cape Coral, FL 33909 </t>
  </si>
  <si>
    <t>Spanish Bay</t>
  </si>
  <si>
    <t xml:space="preserve">2222 Quimby Ave  Bronx, NY 10473-1324 </t>
  </si>
  <si>
    <t>Centennial</t>
  </si>
  <si>
    <t>08-44-24-c4-01505.0500</t>
  </si>
  <si>
    <t>La Crosse</t>
  </si>
  <si>
    <t>33909-3500</t>
  </si>
  <si>
    <t>33909-5118</t>
  </si>
  <si>
    <t>Orlando Diaz &amp; Milene Villa</t>
  </si>
  <si>
    <t>20-43-24-c1-05770.0030</t>
  </si>
  <si>
    <t>Mueller</t>
  </si>
  <si>
    <t xml:space="preserve">2523 SE 19th Ave </t>
  </si>
  <si>
    <t xml:space="preserve">1725 NE 12th St  Cape Coral, FL 33909 </t>
  </si>
  <si>
    <t xml:space="preserve">514 NE 31st Ter </t>
  </si>
  <si>
    <t>Cape Coral Unit 35 Blk 2408 Pb 16 Pg 107 Lots 39 + 40</t>
  </si>
  <si>
    <t xml:space="preserve">3517 W Gator Cir </t>
  </si>
  <si>
    <t xml:space="preserve">34 Blackberry Ln </t>
  </si>
  <si>
    <t>20-43-24-c4-05640.0130</t>
  </si>
  <si>
    <t>Oberle</t>
  </si>
  <si>
    <t xml:space="preserve">3439 NE 17th Ave  Cape Coral, FL 33909 </t>
  </si>
  <si>
    <t>Shelly-Ann Mcclain</t>
  </si>
  <si>
    <t xml:space="preserve">4552 N 800 W </t>
  </si>
  <si>
    <t>Ramgopal</t>
  </si>
  <si>
    <t>14550-9748</t>
  </si>
  <si>
    <t>Cape Coral Unit 88 Blk 5807 Pb 24 Pg 138 Lots 17 + 18</t>
  </si>
  <si>
    <t>Pirraglia</t>
  </si>
  <si>
    <t>75098-4434</t>
  </si>
  <si>
    <t xml:space="preserve">1224 NE 7th Ave </t>
  </si>
  <si>
    <t xml:space="preserve">2020 NE 16th Pl  Cape Coral, FL 33909 </t>
  </si>
  <si>
    <t>Hawk Hollow</t>
  </si>
  <si>
    <t>36-43-23-c1-02546.0560</t>
  </si>
  <si>
    <t>Cape Coral Unit 84 Blk 5559 Pb 24 Pg 33 Lot 1</t>
  </si>
  <si>
    <t>Cape Coral Unit 35 Blk 2370 Pb 16 Pg 104 Lots 52 + 53</t>
  </si>
  <si>
    <t>Tooker</t>
  </si>
  <si>
    <t xml:space="preserve">1013 NE 5th Pl  Cape Coral, FL 33909 </t>
  </si>
  <si>
    <t xml:space="preserve">1702 NE 18th Pl  Cape Coral, FL 33909 </t>
  </si>
  <si>
    <t xml:space="preserve">4105 NE 22nd Ave </t>
  </si>
  <si>
    <t>Bellmore</t>
  </si>
  <si>
    <t>Guadalupe</t>
  </si>
  <si>
    <t>17-43-24-c3-05797.0680</t>
  </si>
  <si>
    <t>Richard &amp; For Pinto</t>
  </si>
  <si>
    <t xml:space="preserve">256 SW Vista Lake Dr </t>
  </si>
  <si>
    <t>Antonietta</t>
  </si>
  <si>
    <t>Wenola</t>
  </si>
  <si>
    <t>Nelda</t>
  </si>
  <si>
    <t>33909-2837</t>
  </si>
  <si>
    <t>33908-8226</t>
  </si>
  <si>
    <t>Renzi</t>
  </si>
  <si>
    <t>L6W 4L4</t>
  </si>
  <si>
    <t xml:space="preserve">2220 NE 19th Pl  Cape Coral, FL 33909 </t>
  </si>
  <si>
    <t>Spring Valley</t>
  </si>
  <si>
    <t>50219-7800</t>
  </si>
  <si>
    <t>17-43-24-c2-05779.0310</t>
  </si>
  <si>
    <t>20-43-24-c3-05669.0510</t>
  </si>
  <si>
    <t xml:space="preserve">3445 Mcdaniel St </t>
  </si>
  <si>
    <t>33909-7342</t>
  </si>
  <si>
    <t xml:space="preserve">211 NE 20th St  Cape Coral, FL 33909 </t>
  </si>
  <si>
    <t>80816-5703</t>
  </si>
  <si>
    <t>Cape Coral Unit 84 Blk 5619 Pb 24 Pg 33 Lots 50 + 51</t>
  </si>
  <si>
    <t xml:space="preserve">3000 Gulf Breeze Pkwy #2, Gulf Breeze, FL 32563-5623 </t>
  </si>
  <si>
    <t>Tommy Berry</t>
  </si>
  <si>
    <t xml:space="preserve">745 South Service Rd  Stoney Creek, ON L8e 5Z2 </t>
  </si>
  <si>
    <t>33322-6588</t>
  </si>
  <si>
    <t>89074-5043</t>
  </si>
  <si>
    <t xml:space="preserve">13691 Gavina Ave #508, Sylmar, CA 91342-2666 </t>
  </si>
  <si>
    <t>Derrick Moonsammy</t>
  </si>
  <si>
    <t xml:space="preserve">8866 W Flagler St #104 </t>
  </si>
  <si>
    <t>44130-7327</t>
  </si>
  <si>
    <t>Wm</t>
  </si>
  <si>
    <t>Av 6</t>
  </si>
  <si>
    <t>33016-4382</t>
  </si>
  <si>
    <t>Sun Meadow</t>
  </si>
  <si>
    <t>Richard Townsend &amp; Richard For</t>
  </si>
  <si>
    <t>E E &amp; Joan Anucik</t>
  </si>
  <si>
    <t>Ralph &amp; Carmine Ciafone</t>
  </si>
  <si>
    <t xml:space="preserve">1701 NE 23rd St  Cape Coral, FL 33909 </t>
  </si>
  <si>
    <t>07660-1735</t>
  </si>
  <si>
    <t>Sledge</t>
  </si>
  <si>
    <t>31-43-24-c4-02104.0370</t>
  </si>
  <si>
    <t>Rose Wine</t>
  </si>
  <si>
    <t>Philippe &amp; Shirley Vercot</t>
  </si>
  <si>
    <t>Helen Kolton &amp; Rene Ruiz</t>
  </si>
  <si>
    <t>Melody Melvin &amp; Twyla Leigh</t>
  </si>
  <si>
    <t>33904-7117</t>
  </si>
  <si>
    <t xml:space="preserve">87 Lofty Ln </t>
  </si>
  <si>
    <t>Sebastien &amp; Justine Hauguel</t>
  </si>
  <si>
    <t>Sabal Palm</t>
  </si>
  <si>
    <t xml:space="preserve">310 NE 29th Ter </t>
  </si>
  <si>
    <t>Marchetti</t>
  </si>
  <si>
    <t>Cape Coral Unit 33 Blk.2272 Pb 16 Pg 61 Lots 10 + 11</t>
  </si>
  <si>
    <t xml:space="preserve">3561 NE 10th Pl  Cape Coral, FL 33909 </t>
  </si>
  <si>
    <t>Dr</t>
  </si>
  <si>
    <t>33332-3347</t>
  </si>
  <si>
    <t>Paducah</t>
  </si>
  <si>
    <t>33193-3482</t>
  </si>
  <si>
    <t>Irvine</t>
  </si>
  <si>
    <t>Cape Coral Unit 36 Blk 2290 Pb 16 Pg 119 Lots 19 + 20</t>
  </si>
  <si>
    <t>Callan</t>
  </si>
  <si>
    <t>Big Canoe</t>
  </si>
  <si>
    <t>Alfredo &amp; Ivan Bernal</t>
  </si>
  <si>
    <t xml:space="preserve">3614 NE 9th Ave  Cape Coral, FL 33909 </t>
  </si>
  <si>
    <t>10605-3225</t>
  </si>
  <si>
    <t xml:space="preserve">2325 NW 95th St </t>
  </si>
  <si>
    <t>33909-4772</t>
  </si>
  <si>
    <t xml:space="preserve">3215 NE 14th Ave  Cape Coral, FL 33909 </t>
  </si>
  <si>
    <t xml:space="preserve">1101 NE 5th Ave  Cape Coral, FL 33909 </t>
  </si>
  <si>
    <t>Mansfield</t>
  </si>
  <si>
    <t xml:space="preserve">5704 Brightwood Dr </t>
  </si>
  <si>
    <t>Greg</t>
  </si>
  <si>
    <t xml:space="preserve">3752 NE 15th Pl </t>
  </si>
  <si>
    <t>Lehigh Acres Unit 4 Blk 16 Pb 26 Pg 6 Lot 13</t>
  </si>
  <si>
    <t>62902-7755</t>
  </si>
  <si>
    <t>Virginia Cardenas &amp; Josefina Moroz</t>
  </si>
  <si>
    <t xml:space="preserve">2702 NE 7th Ave </t>
  </si>
  <si>
    <t>11-44-25-04-0000a.0130</t>
  </si>
  <si>
    <t>33909-8800</t>
  </si>
  <si>
    <t>Palmona Park Unit 1 Blk 21 Pb 7 Pg 54 Lot 20</t>
  </si>
  <si>
    <t xml:space="preserve">588 Flanagan Station Rd </t>
  </si>
  <si>
    <t xml:space="preserve">20 Forest Ridge Ter </t>
  </si>
  <si>
    <t>Brenda Acosta</t>
  </si>
  <si>
    <t xml:space="preserve">2340 35th St </t>
  </si>
  <si>
    <t>32308-2502</t>
  </si>
  <si>
    <t>17519-9337</t>
  </si>
  <si>
    <t>Buckingham Pk Re Blk B U-3 Blk 17 Pb 27 Pg 191 Lot 10</t>
  </si>
  <si>
    <t>K1Y 1W5</t>
  </si>
  <si>
    <t xml:space="preserve">95-245 Wailawa St  Mililani, HI 96789-3202 </t>
  </si>
  <si>
    <t>04063-7323</t>
  </si>
  <si>
    <t>1w</t>
  </si>
  <si>
    <t xml:space="preserve">4548 N Ozznzm Ave  Norridge, IL 60706 </t>
  </si>
  <si>
    <t xml:space="preserve">2301 NE 35th St </t>
  </si>
  <si>
    <t xml:space="preserve">3739 NE 14th Ave  Cape Coral, FL 33909 </t>
  </si>
  <si>
    <t>Jerry &amp; Jean Joiner</t>
  </si>
  <si>
    <t>01-44-23-c1-02462.0420</t>
  </si>
  <si>
    <t xml:space="preserve">1408 San Jose Ave </t>
  </si>
  <si>
    <t xml:space="preserve">1500 NE 34th Ln </t>
  </si>
  <si>
    <t xml:space="preserve">3535 NE 14th Pl  Cape Coral, FL 33909 </t>
  </si>
  <si>
    <t xml:space="preserve">11415 Wildecroft Ter </t>
  </si>
  <si>
    <t xml:space="preserve">5231 Pineland Daisy Trl </t>
  </si>
  <si>
    <t>29-43-24-c3-02277.0410</t>
  </si>
  <si>
    <t>32-43-24-c3-02228.0380</t>
  </si>
  <si>
    <t>17-43-24-c1-05820.0030</t>
  </si>
  <si>
    <t>Cape Coral Unit 34 Blk 2460 Pb 16 Pg 83 Lots 27 + 28</t>
  </si>
  <si>
    <t xml:space="preserve">17767 63rd Rd N </t>
  </si>
  <si>
    <t>Forney</t>
  </si>
  <si>
    <t>Cypress</t>
  </si>
  <si>
    <t>Deeside</t>
  </si>
  <si>
    <t>33909-5456</t>
  </si>
  <si>
    <t>Garmendia</t>
  </si>
  <si>
    <t>Livonia</t>
  </si>
  <si>
    <t>Alloway</t>
  </si>
  <si>
    <t>Timothy D Sanders Living Turst</t>
  </si>
  <si>
    <t xml:space="preserve">727 Alwyne Rd </t>
  </si>
  <si>
    <t xml:space="preserve">411 Walnut St #3776, Green Cove Springs, FL 32043-3443 </t>
  </si>
  <si>
    <t>34638-8090</t>
  </si>
  <si>
    <t xml:space="preserve">13096 Chets Creek Dr N  Jacksonville, FL 32224-7419 </t>
  </si>
  <si>
    <t>Parl In N W 1/4 Sec 27 Twp 43 R 24 As Desc Or 21 Pg 332 Lying East Of Cleveland Ave</t>
  </si>
  <si>
    <t>Ricardo Astengo</t>
  </si>
  <si>
    <t xml:space="preserve">1405 NE 23rd Ter  Cape Coral, FL 33909 </t>
  </si>
  <si>
    <t>19-43-24-c3-05611.0730</t>
  </si>
  <si>
    <t>Cape Coral Unit 36 Blk 2347 Pb 16 Pg 130 Lots 11 + 12</t>
  </si>
  <si>
    <t>01-44-23-c2-02099.0340</t>
  </si>
  <si>
    <t xml:space="preserve">1205 NE 15th Ter  Cape Coral, FL 33909 </t>
  </si>
  <si>
    <t xml:space="preserve">2345 N Euclid Ave  Upland, CA 91784-1306 </t>
  </si>
  <si>
    <t>01-44-23-c1-02438.0090</t>
  </si>
  <si>
    <t>Stephen Robinson &amp; Jannette Mongeon</t>
  </si>
  <si>
    <t xml:space="preserve">1629 NE 33rd Ln </t>
  </si>
  <si>
    <t>11-44-25-06-0000d.0880</t>
  </si>
  <si>
    <t xml:space="preserve">1718 NE 41st St  Cape Coral, FL 33909 </t>
  </si>
  <si>
    <t>06-46-24-15-00000.4120</t>
  </si>
  <si>
    <t>Morse Shores 2Nd Add Blk 1 Pb 10 Pg 84 Lot 23</t>
  </si>
  <si>
    <t xml:space="preserve">560 Robert Ferrie Dr  Kitchener, ON N2p 2T8 </t>
  </si>
  <si>
    <t>51st street</t>
  </si>
  <si>
    <t>33909-6429</t>
  </si>
  <si>
    <t>12-44-23-c4-02370.0010</t>
  </si>
  <si>
    <t>Pleasant Hill</t>
  </si>
  <si>
    <t>Ashraf</t>
  </si>
  <si>
    <t xml:space="preserve">5807 Francis Lewis Blvd  Oakland Gardens, NY 11364-1636 </t>
  </si>
  <si>
    <t>11-44-25-09-00000.1600</t>
  </si>
  <si>
    <t>17-43-24-c3-05795.0590</t>
  </si>
  <si>
    <t>01-44-23-c1-02463.0220</t>
  </si>
  <si>
    <t xml:space="preserve">3718 NE 13th Ave </t>
  </si>
  <si>
    <t>33909-4522</t>
  </si>
  <si>
    <t xml:space="preserve">2020 NE 39th Ter </t>
  </si>
  <si>
    <t>Hampton Beach</t>
  </si>
  <si>
    <t>De Croocq</t>
  </si>
  <si>
    <t>33905-7794</t>
  </si>
  <si>
    <t>33009-6546</t>
  </si>
  <si>
    <t>33905-4347</t>
  </si>
  <si>
    <t>07885-1705</t>
  </si>
  <si>
    <t xml:space="preserve">14215 Franklin Ave 4e, Flushing, NY 11355-2630 </t>
  </si>
  <si>
    <t xml:space="preserve">923 NE 18th St </t>
  </si>
  <si>
    <t>Bd De Charonne</t>
  </si>
  <si>
    <t>Kostantina</t>
  </si>
  <si>
    <t>Cape Coral Unit 32 Blk 2155 Pb 16 Pg 12 Lots 3 + 4</t>
  </si>
  <si>
    <t xml:space="preserve">2700 W 84th St </t>
  </si>
  <si>
    <t>33909-4233</t>
  </si>
  <si>
    <t>Cape Coral Unit 87 Blk 5730 Pb 24 Pg 86 Lot 16</t>
  </si>
  <si>
    <t>33909-1467</t>
  </si>
  <si>
    <t xml:space="preserve">1921 NE 15th Ter </t>
  </si>
  <si>
    <t xml:space="preserve">22 Pelikanhaugen </t>
  </si>
  <si>
    <t>33909-7391</t>
  </si>
  <si>
    <t>Daniels</t>
  </si>
  <si>
    <t xml:space="preserve">301 Durata  San Marcos, TX 78666-4497 </t>
  </si>
  <si>
    <t>43130-1414</t>
  </si>
  <si>
    <t>Cape Coral Unit 88 Blk 5802 Pb 24 Pg 136 Lots 30 Thru 32</t>
  </si>
  <si>
    <t>Cape Coral Unit 36-Pt 1 Blk 2485 Pb 23 Pg 89 Lots 11 + 12</t>
  </si>
  <si>
    <t>Carlos &amp; Sandra Hernandez</t>
  </si>
  <si>
    <t xml:space="preserve">2717 NE 1st Pl  Cape Coral, FL 33909 </t>
  </si>
  <si>
    <t>Bohdan</t>
  </si>
  <si>
    <t xml:space="preserve">13346 Majestic Way </t>
  </si>
  <si>
    <t xml:space="preserve">2619 NE 4th Ave  Cape Coral, FL 33909 </t>
  </si>
  <si>
    <t xml:space="preserve">7274 Heaven Ln </t>
  </si>
  <si>
    <t>14837-9517</t>
  </si>
  <si>
    <t xml:space="preserve">2604 Sears Rd  Stow, OH 44224-4320 </t>
  </si>
  <si>
    <t>Cape Coral Unit 84 Blk.5566 Pb 24 Pg 32 Lots 1 + 2</t>
  </si>
  <si>
    <t xml:space="preserve">1953 Aspen Ln </t>
  </si>
  <si>
    <t>Shaul-Hameleach</t>
  </si>
  <si>
    <t>29-43-24-c4-02285.0520</t>
  </si>
  <si>
    <t xml:space="preserve">1113 NE 36th Ter  Cape Coral, FL 33909 </t>
  </si>
  <si>
    <t>Macgregor &amp; Karen Macgregor Family</t>
  </si>
  <si>
    <t>33909-5206</t>
  </si>
  <si>
    <t>Sandy Springs</t>
  </si>
  <si>
    <t>Seering</t>
  </si>
  <si>
    <t>Cape Coral Unit 21 Blk 618 Pb 13 Pg 155 Lots 19 + 20</t>
  </si>
  <si>
    <t xml:space="preserve">360 W Quail Roost Ct </t>
  </si>
  <si>
    <t xml:space="preserve">1215 NE 20th Pl  Cape Coral, FL 33909 </t>
  </si>
  <si>
    <t>Redmond</t>
  </si>
  <si>
    <t>Cape Coral Unit 34 Blk.2422 Pb 16 Pg 76 Lots 15 + 16</t>
  </si>
  <si>
    <t>Sunny Paradise As Desc In Inst# 2016000229251 Lot 2</t>
  </si>
  <si>
    <t>33185-4334</t>
  </si>
  <si>
    <t>28117-6961</t>
  </si>
  <si>
    <t>Brenna</t>
  </si>
  <si>
    <t>10-44-25-00-00004.0270</t>
  </si>
  <si>
    <t>Yip</t>
  </si>
  <si>
    <t>03-44-26-02-00007.0030</t>
  </si>
  <si>
    <t>Palmetto</t>
  </si>
  <si>
    <t>Jane</t>
  </si>
  <si>
    <t>83401-5913</t>
  </si>
  <si>
    <t xml:space="preserve">210 Gate St </t>
  </si>
  <si>
    <t>Francisco &amp; Rina Rodriguez</t>
  </si>
  <si>
    <t>Cape Coral Unit 33 Blk 2185 Pb 16 Pg 51 Lots 11 + 12</t>
  </si>
  <si>
    <t xml:space="preserve">488 County Road 4387 </t>
  </si>
  <si>
    <t>Cape Coral Unit 34 Blk 2456 Pb 16 Pg 83 Lots 3 + 4</t>
  </si>
  <si>
    <t xml:space="preserve">6015 Higgins Ave  Fort Myers, FL 33905 </t>
  </si>
  <si>
    <t>16-44-26-05-00005.0080</t>
  </si>
  <si>
    <t>Hemnauth &amp; Himwanti Balkissoon</t>
  </si>
  <si>
    <t>Carlton Arms</t>
  </si>
  <si>
    <t>11423-2106</t>
  </si>
  <si>
    <t>36-44-23-c4-00873.0470</t>
  </si>
  <si>
    <t>Cape Coral Unit 87 Blk 5723 Pb 24 Pg 80 Lots 38 + 39</t>
  </si>
  <si>
    <t xml:space="preserve">709 NE 5th Ave </t>
  </si>
  <si>
    <t xml:space="preserve">3589 S Redup Ave  Meridian, ID 83642-7378 </t>
  </si>
  <si>
    <t xml:space="preserve">1911 NE 13th Ave  Cape Coral, FL 33909 </t>
  </si>
  <si>
    <t>05-45-24-c4-00565.0340</t>
  </si>
  <si>
    <t>PO Box 561</t>
  </si>
  <si>
    <t>Brandon Ancier</t>
  </si>
  <si>
    <t>Halina</t>
  </si>
  <si>
    <t>Ari Cohen</t>
  </si>
  <si>
    <t>Cape Coral Ut 32 Blk 2145 Pb 16 Pg 5 Lots 23 + 24</t>
  </si>
  <si>
    <t xml:space="preserve">504 NE 16th Pl </t>
  </si>
  <si>
    <t>Cape Coral Unit 47 Pt 2 Blk 3531 Pb 23 Pg 126 Lots 37 + 38</t>
  </si>
  <si>
    <t xml:space="preserve">7013 W 30th Ln  Hialeah, FL 33018-5280 </t>
  </si>
  <si>
    <t xml:space="preserve">1769 E 14th St  Brooklyn, NY 11229-2001 </t>
  </si>
  <si>
    <t xml:space="preserve">28241 Shore </t>
  </si>
  <si>
    <t>Cape Coral Unit 47 Pt 2 Blk 3519 Pb 23 Pg 125 Lot 30</t>
  </si>
  <si>
    <t>Jason &amp; Nicole Roldan</t>
  </si>
  <si>
    <t>Cape Coral Unit 17 Blk 1535 Pb 14 Pg 35 Lots 9 10 + 11</t>
  </si>
  <si>
    <t xml:space="preserve">5200 Little Ship St </t>
  </si>
  <si>
    <t xml:space="preserve">1716 NE 33rd Ln </t>
  </si>
  <si>
    <t xml:space="preserve">3501 SW 87th Ave  Miami, FL 33165-4305 </t>
  </si>
  <si>
    <t>20-43-24-c3-05674.0540</t>
  </si>
  <si>
    <t xml:space="preserve">5839 Jeanne-Mance Rue  Montreal, QC H2v 4K9 </t>
  </si>
  <si>
    <t>R048</t>
  </si>
  <si>
    <t>Barrera Olimpia Tr</t>
  </si>
  <si>
    <t xml:space="preserve">5726 Pink Panther Dr  Fort Myers, FL 33908 </t>
  </si>
  <si>
    <t>Cape Coral Unit 32 Blk.2121 Pb 16 Pg 7 Lots 25 + 26</t>
  </si>
  <si>
    <t>Ione</t>
  </si>
  <si>
    <t>31-43-24-c3-02116.0350</t>
  </si>
  <si>
    <t>Cape Coral Unit 2 Part 2 Amended Blk 98 Pb 11 Pg 97 Lots 58 + 59</t>
  </si>
  <si>
    <t xml:space="preserve">1505 NE 18th Ave </t>
  </si>
  <si>
    <t xml:space="preserve">17 Shady Ln </t>
  </si>
  <si>
    <t xml:space="preserve">26 Dahlienweg </t>
  </si>
  <si>
    <t xml:space="preserve">10452 SW Katrina Way </t>
  </si>
  <si>
    <t>18-43-24-c3-05752.0390</t>
  </si>
  <si>
    <t>Cape Coral Unit 47 Pt 2 Blk 3541 Pb 23 Pg 117 Lots 45 + 46</t>
  </si>
  <si>
    <t>John &amp; Huldah Ambrose</t>
  </si>
  <si>
    <t>Spencer Path</t>
  </si>
  <si>
    <t>Gatineau</t>
  </si>
  <si>
    <t>60067-5984</t>
  </si>
  <si>
    <t>11766-1726</t>
  </si>
  <si>
    <t xml:space="preserve">13339 Meadowlark Ln  Orlando, FL 32828-8427 </t>
  </si>
  <si>
    <t xml:space="preserve">2104 NE 43rd Ln  Cape Coral, FL 33909 </t>
  </si>
  <si>
    <t>Azie Morton</t>
  </si>
  <si>
    <t>Mcbride</t>
  </si>
  <si>
    <t>Hurricane</t>
  </si>
  <si>
    <t>33132-1414</t>
  </si>
  <si>
    <t>Cypress Trail Rv Resort As Desc In Inst# 2013000212499 Lot 417</t>
  </si>
  <si>
    <t xml:space="preserve">12486 Veterans Memorial Pkwy </t>
  </si>
  <si>
    <t xml:space="preserve">1566 Arcadia Bluff Dr </t>
  </si>
  <si>
    <t>Yubely Rodriguez</t>
  </si>
  <si>
    <t xml:space="preserve">260 Parsons Dr  North Tazewell, VA 24630-8528 </t>
  </si>
  <si>
    <t>08857-3555</t>
  </si>
  <si>
    <t xml:space="preserve">6827 Eagles Landing Ct </t>
  </si>
  <si>
    <t xml:space="preserve">923 NE 33rd Ln  Cape Coral, FL 33909 </t>
  </si>
  <si>
    <t xml:space="preserve">10108 Lindenwood Trl </t>
  </si>
  <si>
    <t>33904-5858</t>
  </si>
  <si>
    <t xml:space="preserve">1107 NE 10th Pl  Cape Coral, FL 33909 </t>
  </si>
  <si>
    <t>Ron &amp; Sandra Depompa</t>
  </si>
  <si>
    <t>Cape Coral Unit 85 Blk 5633 Pb 24 Pg 51 Lots 45 + 46</t>
  </si>
  <si>
    <t>04-44-25-08-00000.029a</t>
  </si>
  <si>
    <t xml:space="preserve">1430 W 42nd Pl B </t>
  </si>
  <si>
    <t>11-44-25-l1-13000.3460</t>
  </si>
  <si>
    <t>Joseph &amp; Mary Cimino</t>
  </si>
  <si>
    <t>Lehigh Acres Unit 13 W 1/2 Blk 75 Pb 26 Pg 18 Lot 6</t>
  </si>
  <si>
    <t>Singerstrasse</t>
  </si>
  <si>
    <t>Datta</t>
  </si>
  <si>
    <t>03-44-26-13-00074.0200</t>
  </si>
  <si>
    <t>33909-6478</t>
  </si>
  <si>
    <t>Budejen</t>
  </si>
  <si>
    <t xml:space="preserve">1226 NE Juanita Pl  Cape Coral, FL 33909 </t>
  </si>
  <si>
    <t>Chad Loweth</t>
  </si>
  <si>
    <t>Cape Coral Unit 33 Blk 2200 Pb 16 Pg 45 Lots 12 + 13</t>
  </si>
  <si>
    <t>Cipriani</t>
  </si>
  <si>
    <t>Cape Coral Unit 87 Blk 5699 Pb 24 Pg 75 Lots 1 + 2</t>
  </si>
  <si>
    <t>Dayana</t>
  </si>
  <si>
    <t xml:space="preserve">220 Old Colony Dr </t>
  </si>
  <si>
    <t>Mohawk</t>
  </si>
  <si>
    <t>33909-4571</t>
  </si>
  <si>
    <t>12-44-23-c1-02371.0050</t>
  </si>
  <si>
    <t xml:space="preserve">12110 Cypress Dr </t>
  </si>
  <si>
    <t xml:space="preserve">136 Beach 117th St </t>
  </si>
  <si>
    <t>33905-8713</t>
  </si>
  <si>
    <t>Buckingham Pk Re Blk B U-3 Blk 15 Pb 27 Pg 191 Lot 2</t>
  </si>
  <si>
    <t>Cape Coral Unit 84 Blk 5611 Pb 24 Pg 36 Lots 51 + 52</t>
  </si>
  <si>
    <t>Cipres</t>
  </si>
  <si>
    <t>Hadera O</t>
  </si>
  <si>
    <t>Cape Coral Unit 85 Blk 5636 Pb 24 Pg 50 Lots 30 + 31</t>
  </si>
  <si>
    <t xml:space="preserve">Avenue Jean Paul Ii Abidjan  Cote Divoire, FR </t>
  </si>
  <si>
    <t>Dampierre En Burly</t>
  </si>
  <si>
    <t xml:space="preserve">8691 Commonwealth Ave  Jacksonville, FL 32220-1263 </t>
  </si>
  <si>
    <t>John Villani</t>
  </si>
  <si>
    <t>John &amp; Joann Mederios</t>
  </si>
  <si>
    <t xml:space="preserve">Po Box 977 </t>
  </si>
  <si>
    <t xml:space="preserve">411 Walnut St  Green Cove Springs, FL 32043-3443 </t>
  </si>
  <si>
    <t>Luz Martinez</t>
  </si>
  <si>
    <t>Cape Coral Unit 34 Blk 2416 Pb 16 Pg 75 Lots 13 + 14</t>
  </si>
  <si>
    <t>Nadege</t>
  </si>
  <si>
    <t xml:space="preserve">1903 NE 20th Ave  Cape Coral, FL 33909 </t>
  </si>
  <si>
    <t xml:space="preserve">14171 Chancellor St </t>
  </si>
  <si>
    <t>Elvia &amp; Dimas Contreras</t>
  </si>
  <si>
    <t>B004</t>
  </si>
  <si>
    <t>60124-4874</t>
  </si>
  <si>
    <t xml:space="preserve">3717 W Gator Cir  Cape Coral, FL 33909 </t>
  </si>
  <si>
    <t>Cape Coral Unit 34 Blk 2427 Pb 16 Pg 76 Lots 11 + 12</t>
  </si>
  <si>
    <t>31-43-24-c2-02181.0180</t>
  </si>
  <si>
    <t xml:space="preserve">615 Summit Rd </t>
  </si>
  <si>
    <t>11-44-25-l1-13000.0890</t>
  </si>
  <si>
    <t>Sunny Isles Beach</t>
  </si>
  <si>
    <t xml:space="preserve">20301 96th Ave S </t>
  </si>
  <si>
    <t xml:space="preserve">921 NE 15th St  Cape Coral, FL 33909 </t>
  </si>
  <si>
    <t>17-43-24-c4-05767.0260</t>
  </si>
  <si>
    <t xml:space="preserve">656 G St NE </t>
  </si>
  <si>
    <t xml:space="preserve">54 Lawrence Ave  Tuckahoe, NY 10707-1736 </t>
  </si>
  <si>
    <t xml:space="preserve">7 Sumac Dr </t>
  </si>
  <si>
    <t>33909-5255</t>
  </si>
  <si>
    <t>Hince Janice B Tr</t>
  </si>
  <si>
    <t xml:space="preserve">10340 Fire Flag Trl  Fort Myers, FL 33905 </t>
  </si>
  <si>
    <t xml:space="preserve">637 E Mowry Ct  Homestead, FL 33030-8207 </t>
  </si>
  <si>
    <t>Cypress Woods Rv Resort Un 3 Desc In Pb 72 Pgs 92-95 Blk C Lot 84</t>
  </si>
  <si>
    <t>Curtis Dietz</t>
  </si>
  <si>
    <t>Edvard Rubin</t>
  </si>
  <si>
    <t xml:space="preserve">850 SW Airoso Blvd  Port Saint Lucie, FL 34983-2011 </t>
  </si>
  <si>
    <t xml:space="preserve">1630 NE 17th Ter </t>
  </si>
  <si>
    <t xml:space="preserve">620 Boston Post Rd </t>
  </si>
  <si>
    <t>Garces</t>
  </si>
  <si>
    <t>Fink</t>
  </si>
  <si>
    <t>Pangburn</t>
  </si>
  <si>
    <t>Ocala</t>
  </si>
  <si>
    <t xml:space="preserve">18 Willowood Ct </t>
  </si>
  <si>
    <t>Odem</t>
  </si>
  <si>
    <t xml:space="preserve">11055 Sunglow Ln  Fort Myers, FL 33908 </t>
  </si>
  <si>
    <t>Palatine</t>
  </si>
  <si>
    <t xml:space="preserve">24301 SW 192nd Ave  Homestead, FL 33031-3460 </t>
  </si>
  <si>
    <t>01-44-23-c3-02411.0530</t>
  </si>
  <si>
    <t>25-43-23-c2-02333.0510</t>
  </si>
  <si>
    <t>Cape Coral Unit 87 Blk 5692 Pb 24 Pg 84 Lots 9 + 10</t>
  </si>
  <si>
    <t>Kathleen Gall</t>
  </si>
  <si>
    <t xml:space="preserve">10201 Butterweed Trl </t>
  </si>
  <si>
    <t xml:space="preserve">3630 NE 9th Ave </t>
  </si>
  <si>
    <t>17-43-24-c3-05793.0250</t>
  </si>
  <si>
    <t>L9H 2X6</t>
  </si>
  <si>
    <t>33909-6228</t>
  </si>
  <si>
    <t>Salvacion Odi</t>
  </si>
  <si>
    <t xml:space="preserve">1010 NE 2nd Pl </t>
  </si>
  <si>
    <t>22a</t>
  </si>
  <si>
    <t>11-44-25-06-0000d.0390</t>
  </si>
  <si>
    <t>Kimon</t>
  </si>
  <si>
    <t>Chapman Raymond E Tr</t>
  </si>
  <si>
    <t>Heine</t>
  </si>
  <si>
    <t xml:space="preserve">26 Edlie Ave </t>
  </si>
  <si>
    <t>Bernadette Epstein</t>
  </si>
  <si>
    <t>Cape Coral Unit 33 Blk.2259 Pb 16 Pg 59 Lots 1 + 2</t>
  </si>
  <si>
    <t>Hebert</t>
  </si>
  <si>
    <t>Cape Coral Unit 36 Blk 2329 Pb 16 Pg 128 Lots 42 Thru 44</t>
  </si>
  <si>
    <t>Bozana &amp; For Taseski</t>
  </si>
  <si>
    <t xml:space="preserve">9153 Glenforest Dr </t>
  </si>
  <si>
    <t>Linda &amp; For Siscoe</t>
  </si>
  <si>
    <t>33903-2100</t>
  </si>
  <si>
    <t xml:space="preserve">14 Epping Ave  Hampton, NH 03842-3036 </t>
  </si>
  <si>
    <t>Edgewater Gardens Unit 2 Pb 10 Pg 56 Lot 81</t>
  </si>
  <si>
    <t>20-43-24-c1-05648.0540</t>
  </si>
  <si>
    <t>Balfrinstrasse</t>
  </si>
  <si>
    <t xml:space="preserve">832 NE 15th Ln  Cape Coral, FL 33909 </t>
  </si>
  <si>
    <t xml:space="preserve">1802 E Euclid Ave  Arlington Heights, IL 60004-5867 </t>
  </si>
  <si>
    <t>14227-3114</t>
  </si>
  <si>
    <t>78255-3419</t>
  </si>
  <si>
    <t>Cypress Trail Rv Resort Phase 4-C Block A Lot 121 As Desc In Inst 2019000042424</t>
  </si>
  <si>
    <t>Provident &amp; Alfred Kwong</t>
  </si>
  <si>
    <t>Lehigh Acres Unit 11 Blk 57 Pb 26 Pg 14 Lot 4</t>
  </si>
  <si>
    <t>Palmetto Palms R V Resort Condo Ph 1 Or 1530 Pg 1466 Res Unit 114</t>
  </si>
  <si>
    <t>45152-9622</t>
  </si>
  <si>
    <t>Hadera</t>
  </si>
  <si>
    <t xml:space="preserve">2602 Stafford Woods Pl </t>
  </si>
  <si>
    <t>34102-7909</t>
  </si>
  <si>
    <t>Via</t>
  </si>
  <si>
    <t>PO Box 817</t>
  </si>
  <si>
    <t>Cape Coral Unit 34 Blk 2451 Pb 16 Pg 85 Lots 13 + 14</t>
  </si>
  <si>
    <t>80120-8123</t>
  </si>
  <si>
    <t xml:space="preserve">1906 Hedgewood Dr </t>
  </si>
  <si>
    <t xml:space="preserve">1708 S Indiana Ave </t>
  </si>
  <si>
    <t>Dept</t>
  </si>
  <si>
    <t xml:space="preserve">13119 N Boulevard </t>
  </si>
  <si>
    <t>31-43-24-c3-02113.0210</t>
  </si>
  <si>
    <t>Kronenberger</t>
  </si>
  <si>
    <t xml:space="preserve">1008 Vitex Dr #42, Plano, TX 75094-4613 </t>
  </si>
  <si>
    <t xml:space="preserve">3013 SE 10th Ave </t>
  </si>
  <si>
    <t xml:space="preserve">13b # 161-70 House  Bogota, CO </t>
  </si>
  <si>
    <t xml:space="preserve">1008 NE 32nd Ln  Cape Coral, FL 33909 </t>
  </si>
  <si>
    <t xml:space="preserve">10 Sequoia Trl </t>
  </si>
  <si>
    <t>Hanover</t>
  </si>
  <si>
    <t xml:space="preserve">208 SE 31st Ter </t>
  </si>
  <si>
    <t xml:space="preserve">9 Rue Leopold Robert </t>
  </si>
  <si>
    <t>06-44-24-c1-02071.0230</t>
  </si>
  <si>
    <t xml:space="preserve">10 Wyndham Rd  Brentwood, NY 11717-2337 </t>
  </si>
  <si>
    <t xml:space="preserve">74 Palm Ln </t>
  </si>
  <si>
    <t xml:space="preserve">318 NE 14th Ter  Cape Coral, FL 33909 </t>
  </si>
  <si>
    <t>Cristobal &amp; Leonardo Tolon</t>
  </si>
  <si>
    <t>White Oak Forest</t>
  </si>
  <si>
    <t xml:space="preserve">268 Village Dr  Canonsburg, PA 15317-2367 </t>
  </si>
  <si>
    <t>33909-1751</t>
  </si>
  <si>
    <t>Calandra</t>
  </si>
  <si>
    <t>Susan Pinkerton</t>
  </si>
  <si>
    <t>Sanctuary</t>
  </si>
  <si>
    <t>Lynton</t>
  </si>
  <si>
    <t>36-43-23-c2-02539.0370</t>
  </si>
  <si>
    <t>Cape Coral Unit 87 Blk 5682 Pb 24 Pg 74 Lot 28 + Por Lot 27</t>
  </si>
  <si>
    <t xml:space="preserve">2015 NE 1st Ave  Cape Coral, FL 33909 </t>
  </si>
  <si>
    <t>33935-9605</t>
  </si>
  <si>
    <t xml:space="preserve">24 Aiden Cir </t>
  </si>
  <si>
    <t xml:space="preserve">421 Sunshine Dr </t>
  </si>
  <si>
    <t>76063-8699</t>
  </si>
  <si>
    <t xml:space="preserve">914 NE 32nd Ln  Cape Coral, FL 33909 </t>
  </si>
  <si>
    <t>Koenigsteiner</t>
  </si>
  <si>
    <t xml:space="preserve">10572 Flatlands 8th St  Brooklyn, NY 11236-4622 </t>
  </si>
  <si>
    <t>Windisch</t>
  </si>
  <si>
    <t>33909-1462</t>
  </si>
  <si>
    <t>18-43-24-c1-05691.0610</t>
  </si>
  <si>
    <t>Gwen Heine</t>
  </si>
  <si>
    <t>A Zimmer</t>
  </si>
  <si>
    <t>33016-7203</t>
  </si>
  <si>
    <t>Challa</t>
  </si>
  <si>
    <t xml:space="preserve">2119 N Farm Road 197  Springfield, MO 65802-9285 </t>
  </si>
  <si>
    <t>Sam Karalis</t>
  </si>
  <si>
    <t xml:space="preserve">3625 Sharpley Ave  Norfolk, VA 23513-3557 </t>
  </si>
  <si>
    <t xml:space="preserve">6148 NW East Deville Cir </t>
  </si>
  <si>
    <t>Dorish</t>
  </si>
  <si>
    <t>11-44-25-06-0000d.0140</t>
  </si>
  <si>
    <t xml:space="preserve">301 NE 9th Ter  Cape Coral, FL 33909 </t>
  </si>
  <si>
    <t>Klass</t>
  </si>
  <si>
    <t>BR</t>
  </si>
  <si>
    <t xml:space="preserve">231 SE 25th Ln  Cape Coral, FL 33904 </t>
  </si>
  <si>
    <t>Lehigh Acres Unit 7 Blk 32 Pb 26 Pg 9 Lot 7</t>
  </si>
  <si>
    <t>46580-2051</t>
  </si>
  <si>
    <t xml:space="preserve">31575 Pinto Dr </t>
  </si>
  <si>
    <t xml:space="preserve">2129 NE 27th St  Cape Coral, FL 33909 </t>
  </si>
  <si>
    <t>24-45-23-c2-00135.0460</t>
  </si>
  <si>
    <t>38549-5421</t>
  </si>
  <si>
    <t xml:space="preserve">6234 45th Ln E </t>
  </si>
  <si>
    <t>Hanna</t>
  </si>
  <si>
    <t>Cape Coral Unit 34 Blk 2460 Pb 16 Pg 83 Lots 25 + 26</t>
  </si>
  <si>
    <t xml:space="preserve">14181 Chetwood St </t>
  </si>
  <si>
    <t>49009-9774</t>
  </si>
  <si>
    <t xml:space="preserve">9 Platanenweg  Pelican, LA 71063 </t>
  </si>
  <si>
    <t>Susana &amp; Elba Peralta</t>
  </si>
  <si>
    <t>Batista Paulina Tr</t>
  </si>
  <si>
    <t>18-43-24-c3-05712.0010</t>
  </si>
  <si>
    <t xml:space="preserve">3215 Pacific Dr #301 </t>
  </si>
  <si>
    <t>Page</t>
  </si>
  <si>
    <t xml:space="preserve">8050 Wood Dr  Grosse Ile, MI 48138-1133 </t>
  </si>
  <si>
    <t>Cypress Woods Rv Resort Un 3 Desc In Pb 72 Pgs 92-95 Blk C Lot 30</t>
  </si>
  <si>
    <t>Richard &amp; For Steiner</t>
  </si>
  <si>
    <t>Bazyhan</t>
  </si>
  <si>
    <t>Huamani</t>
  </si>
  <si>
    <t>Robert &amp; Christine Miller</t>
  </si>
  <si>
    <t xml:space="preserve">1319 N Gator Cir  Cape Coral, FL 33909 </t>
  </si>
  <si>
    <t xml:space="preserve">1231 Highway 102 </t>
  </si>
  <si>
    <t>33319-4644</t>
  </si>
  <si>
    <t xml:space="preserve">694 Kennedy Dr </t>
  </si>
  <si>
    <t>Mobilehaven Estates Unrec. Blk B Lots Pt 4 + All 5</t>
  </si>
  <si>
    <t xml:space="preserve">728 Marie St  Toms River, NJ 08753-4616 </t>
  </si>
  <si>
    <t>Stump</t>
  </si>
  <si>
    <t>Mary K Kaldahl Trust</t>
  </si>
  <si>
    <t>Cape Coral Unit 33 Blk 2286 Pb 16 Pg 57 Lots 19 + 20</t>
  </si>
  <si>
    <t>Hector &amp; Luz Sanchez</t>
  </si>
  <si>
    <t>Keith B Soltese Jr and Kathleen A Soltese Trust</t>
  </si>
  <si>
    <t>31-43-24-c3-02120.0330</t>
  </si>
  <si>
    <t>Edna Barrett &amp; Anthony Denbow</t>
  </si>
  <si>
    <t xml:space="preserve">293 Creekside East Dr </t>
  </si>
  <si>
    <t>91364-5920</t>
  </si>
  <si>
    <t>Cape Coral Unit 36 Pt 1 Blk 2489 Pb 23 Pg 88 Lots 37 + 38</t>
  </si>
  <si>
    <t>52001-8269</t>
  </si>
  <si>
    <t>Najah</t>
  </si>
  <si>
    <t>Bowman</t>
  </si>
  <si>
    <t xml:space="preserve">1329 NE 5th Pl  Cape Coral, FL 33909 </t>
  </si>
  <si>
    <t xml:space="preserve">3400 NE 9th Pl </t>
  </si>
  <si>
    <t>C026</t>
  </si>
  <si>
    <t>Neil &amp; Nelda Leon</t>
  </si>
  <si>
    <t xml:space="preserve">Katherine St </t>
  </si>
  <si>
    <t>Mussner</t>
  </si>
  <si>
    <t>Archana Reddy &amp; Pradeep Kondeti</t>
  </si>
  <si>
    <t>Cape Coral Unit 31 Blk.2065 Pb 14 Pg 161 Lots 1 + 2</t>
  </si>
  <si>
    <t xml:space="preserve">2310 NE 6th Ave </t>
  </si>
  <si>
    <t>William &amp; Bernadette Spencer</t>
  </si>
  <si>
    <t>33702-3040</t>
  </si>
  <si>
    <t>33909-6277</t>
  </si>
  <si>
    <t xml:space="preserve">4137 NE 20th Pl  Cape Coral, FL 33909 </t>
  </si>
  <si>
    <t xml:space="preserve">2100 NE 7th Ave  Cape Coral, FL 33909 </t>
  </si>
  <si>
    <t>Nancy Hendrickson</t>
  </si>
  <si>
    <t>33909-1212</t>
  </si>
  <si>
    <t>East Atlantic Beach</t>
  </si>
  <si>
    <t>01-44-23-c3-02466.0230</t>
  </si>
  <si>
    <t xml:space="preserve">48 Wallasey Ave  Toronto, ON M9m 1E2 </t>
  </si>
  <si>
    <t>33909-8958</t>
  </si>
  <si>
    <t>Cape Coral Unit 25 Blk 908 Pb 14 Pg 96 Lots 43 + 44</t>
  </si>
  <si>
    <t>33166-4437</t>
  </si>
  <si>
    <t>Sheryl</t>
  </si>
  <si>
    <t xml:space="preserve">4294 E Konker Rd  Port Clinton, OH 43452-2940 </t>
  </si>
  <si>
    <t xml:space="preserve">3153 Ariana Dr  Oakton, VA 22124-1850 </t>
  </si>
  <si>
    <t>Gulf Shore</t>
  </si>
  <si>
    <t>33909-4370</t>
  </si>
  <si>
    <t xml:space="preserve">1014 NE 6th Pl </t>
  </si>
  <si>
    <t>19-43-24-c1-05551.0510</t>
  </si>
  <si>
    <t>Carlos &amp; Adilia Marin</t>
  </si>
  <si>
    <t>Jonesboro</t>
  </si>
  <si>
    <t xml:space="preserve">107 Ferry St  Hudson, NH 03051-4100 </t>
  </si>
  <si>
    <t>11-44-25-05-0000c.1030</t>
  </si>
  <si>
    <t xml:space="preserve">2026 NE 9th Ave  Cape Coral, FL 33909 </t>
  </si>
  <si>
    <t>Veronica Indelicato</t>
  </si>
  <si>
    <t xml:space="preserve">2509 95th St  East Elmhurst, NY 11369-1512 </t>
  </si>
  <si>
    <t>John Palacio</t>
  </si>
  <si>
    <t>Vanderveer</t>
  </si>
  <si>
    <t>MAILING COUNTRY</t>
  </si>
  <si>
    <t xml:space="preserve">7404 SW 129th Ct </t>
  </si>
  <si>
    <t>Port Washington</t>
  </si>
  <si>
    <t xml:space="preserve">40 Queen Mary St  Ottawa, ON K1k 1X9 </t>
  </si>
  <si>
    <t>19-43-24-c4-05562.0090</t>
  </si>
  <si>
    <t>11-44-25-06-0000d.1020</t>
  </si>
  <si>
    <t xml:space="preserve">27415 Canyon Reach Dr </t>
  </si>
  <si>
    <t xml:space="preserve">1622 NE 35th Ter  Cape Coral, FL 33909 </t>
  </si>
  <si>
    <t>Cypress Woods Rv Resort Ut 1 Pb 65 Pg 85 + 86 Blk B Lot 15</t>
  </si>
  <si>
    <t>33909-3604</t>
  </si>
  <si>
    <t xml:space="preserve">10316 Fire Flag Trl  Fort Myers, FL 33905 </t>
  </si>
  <si>
    <t xml:space="preserve">4104 NE 9th Pl </t>
  </si>
  <si>
    <t xml:space="preserve">232 Aviation Pkwy </t>
  </si>
  <si>
    <t>25-43-23-c3-02312.0550</t>
  </si>
  <si>
    <t>Glaubert</t>
  </si>
  <si>
    <t xml:space="preserve">123 Aviation Pkwy </t>
  </si>
  <si>
    <t>Van Leuven</t>
  </si>
  <si>
    <t>Micheline &amp; Dominique Orban</t>
  </si>
  <si>
    <t xml:space="preserve">1433 E Paradise Ln Az8502, Phoenix, AZ 85022-3205 </t>
  </si>
  <si>
    <t xml:space="preserve">606 NE 12th St </t>
  </si>
  <si>
    <t xml:space="preserve">475 Whisper Ln  Greenwood, IN 46142-1153 </t>
  </si>
  <si>
    <t>Whitaker</t>
  </si>
  <si>
    <t xml:space="preserve">3407 NE 21st Pl  Cape Coral, FL 33909 </t>
  </si>
  <si>
    <t>33904-9499</t>
  </si>
  <si>
    <t>Edersheim</t>
  </si>
  <si>
    <t xml:space="preserve">1532 NE 36th Ln  Cape Coral, FL 33909 </t>
  </si>
  <si>
    <t xml:space="preserve">1039 NE 40th St  Cape Coral, FL 33909 </t>
  </si>
  <si>
    <t>60712-4717</t>
  </si>
  <si>
    <t>Angell</t>
  </si>
  <si>
    <t>44145-1050</t>
  </si>
  <si>
    <t>Eberline</t>
  </si>
  <si>
    <t>Bengivenga</t>
  </si>
  <si>
    <t>Rolland</t>
  </si>
  <si>
    <t>Jorge Hidalgo &amp; Federico Sosta</t>
  </si>
  <si>
    <t xml:space="preserve">128 Diana Ave </t>
  </si>
  <si>
    <t xml:space="preserve">10824 SE Oak St #332, Portland, OR 97222-6694 </t>
  </si>
  <si>
    <t>Vince</t>
  </si>
  <si>
    <t xml:space="preserve">Karl Marx Damm #89, Bad Saarow, DE 15526 </t>
  </si>
  <si>
    <t xml:space="preserve">1128 NE 33rd Ter </t>
  </si>
  <si>
    <t>05-44-24-c1-03521.0380</t>
  </si>
  <si>
    <t>Alden</t>
  </si>
  <si>
    <t xml:space="preserve">9017 185th St </t>
  </si>
  <si>
    <t>12-45-23-c3-00253.0130</t>
  </si>
  <si>
    <t xml:space="preserve">4003 Whispering Hills Dr  Chester, NY 10918 </t>
  </si>
  <si>
    <t>33904-4145</t>
  </si>
  <si>
    <t xml:space="preserve">55 Rockdale St </t>
  </si>
  <si>
    <t>Moskowitz</t>
  </si>
  <si>
    <t>Greenleaf</t>
  </si>
  <si>
    <t>Harborage Subd Pb 38 Pg 6 Lot 2</t>
  </si>
  <si>
    <t>Cape Coral Unit 87 Blk 5723 Pb 24 Pg 80 Lots 36 + 37</t>
  </si>
  <si>
    <t>01-44-23-c4-02423.0090</t>
  </si>
  <si>
    <t xml:space="preserve">PO Box 10651  Naples, FL 34101 </t>
  </si>
  <si>
    <t xml:space="preserve">346/348 State St  North Fort Myers, FL 33903 </t>
  </si>
  <si>
    <t>Glykonos</t>
  </si>
  <si>
    <t>Partick &amp; Saintiljoan Saintil</t>
  </si>
  <si>
    <t xml:space="preserve">6055 Tabor Ave  Fort Myers, FL 33905 </t>
  </si>
  <si>
    <t>11422-1220</t>
  </si>
  <si>
    <t xml:space="preserve">2032 NE 18th Ter </t>
  </si>
  <si>
    <t xml:space="preserve">543 Stockton St </t>
  </si>
  <si>
    <t xml:space="preserve">4121 NE 22nd Pl  Cape Coral, FL 33909 </t>
  </si>
  <si>
    <t xml:space="preserve">2130 NE 35th Ter  Cape Coral, FL 33909 </t>
  </si>
  <si>
    <t>01-44-23-c2-02456.0030</t>
  </si>
  <si>
    <t>Frank Fraschetti &amp; Alexander Pagley</t>
  </si>
  <si>
    <t>Cape Coral Ut 32 Blk 2145 Pb 16 Pg 5 Lots 21 + 22</t>
  </si>
  <si>
    <t xml:space="preserve">1326 NE 2nd Pl  Cape Coral, FL 33909 </t>
  </si>
  <si>
    <t xml:space="preserve">10317 Prairie Iris Dr </t>
  </si>
  <si>
    <t xml:space="preserve">2706 NE 1st Ave </t>
  </si>
  <si>
    <t>Fanny</t>
  </si>
  <si>
    <t>Cape Coral Unit 88 Blk 5812 Pb 24 Pg 138 Lot 19</t>
  </si>
  <si>
    <t xml:space="preserve">8306 Salford Way  Louisville, KY 40222-5530 </t>
  </si>
  <si>
    <t>29-43-24-c3-02250.0230</t>
  </si>
  <si>
    <t>Cape Coral Unit 36 Pt.1 Blk.2146 Pb 23 Pg 94 Lots 4 + 5</t>
  </si>
  <si>
    <t xml:space="preserve">6150 Humboldt Ave  Fort Myers, FL 33905 </t>
  </si>
  <si>
    <t xml:space="preserve">E Riverside Dr  Fort Myers, FL 33905 </t>
  </si>
  <si>
    <t xml:space="preserve">2004 NE 6th Ave </t>
  </si>
  <si>
    <t>Richards-Eichorn</t>
  </si>
  <si>
    <t>32-43-24-c1-02189.0540</t>
  </si>
  <si>
    <t xml:space="preserve">3733 NE 13th Pl </t>
  </si>
  <si>
    <t>Kori</t>
  </si>
  <si>
    <t>Iona Gardens Blk I Pb 17 Pg 72 Lot 34</t>
  </si>
  <si>
    <t xml:space="preserve">264 Hidden Valley Rd </t>
  </si>
  <si>
    <t xml:space="preserve">103 NE 15th Ter </t>
  </si>
  <si>
    <t xml:space="preserve">1410 NE 1st Pl  Cape Coral, FL 33909 </t>
  </si>
  <si>
    <t>17-43-24-c4-05773.0090</t>
  </si>
  <si>
    <t>Robert &amp; For Wagner</t>
  </si>
  <si>
    <t xml:space="preserve">2033 NE 10th Pl </t>
  </si>
  <si>
    <t xml:space="preserve">5820 Pathwood Ct  Fort Myers, FL 33905 </t>
  </si>
  <si>
    <t>R185</t>
  </si>
  <si>
    <t>11-45-23-c4-01705.0310</t>
  </si>
  <si>
    <t xml:space="preserve">PO Box 302  South Barre, VT 05670 </t>
  </si>
  <si>
    <t>Mayo</t>
  </si>
  <si>
    <t>33909-2773</t>
  </si>
  <si>
    <t xml:space="preserve">27 Singerstrasse </t>
  </si>
  <si>
    <t xml:space="preserve">2118 NE 33rd Ln  Cape Coral, FL 33909 </t>
  </si>
  <si>
    <t>Siarhei</t>
  </si>
  <si>
    <t xml:space="preserve">36 Isle Vista Dr </t>
  </si>
  <si>
    <t>Ft Myers Beach Kampground S/D Unit 1 Pb 35 Pg 47 Blk S Lot 18</t>
  </si>
  <si>
    <t>Wiles</t>
  </si>
  <si>
    <t xml:space="preserve">3847 Rock Hampton Dr  Tarzana, CA 91356-5705 </t>
  </si>
  <si>
    <t>Lofty</t>
  </si>
  <si>
    <t xml:space="preserve">5798 Burrwood Ct </t>
  </si>
  <si>
    <t>Cape Coral Unit 21 Blk 602 Pb 13 Pg 151 Lots 44 + 45</t>
  </si>
  <si>
    <t xml:space="preserve">3917 Singletree Rd </t>
  </si>
  <si>
    <t xml:space="preserve">3622 NE 19th Ave </t>
  </si>
  <si>
    <t xml:space="preserve">285 Washington Rd </t>
  </si>
  <si>
    <t>33155-6601</t>
  </si>
  <si>
    <t>Trzpis</t>
  </si>
  <si>
    <t>11-44-25-09-00000.1590</t>
  </si>
  <si>
    <t>Charles Bailey</t>
  </si>
  <si>
    <t>31-43-24-c1-02164.0090</t>
  </si>
  <si>
    <t>Fairhill</t>
  </si>
  <si>
    <t xml:space="preserve">1145 NE 36th Ln </t>
  </si>
  <si>
    <t xml:space="preserve">40 Lake Dr #1, East Amherst, NY 14051-3008 </t>
  </si>
  <si>
    <t xml:space="preserve">PO Box 567  Abington, PA 19001 </t>
  </si>
  <si>
    <t>Pine Manor Unit 5 Blk 25 Pb 11 Pg 24 Lot 8 + S 25 Ft Lot 7</t>
  </si>
  <si>
    <t xml:space="preserve">3529 NE 21st Ave  Cape Coral, FL 33909 </t>
  </si>
  <si>
    <t>Cape Coral Unit 31 Blk 2076 Pb 14 Pg 164 Lots 38 + 39</t>
  </si>
  <si>
    <t xml:space="preserve">3624 NE 9th Ave  Cape Coral, FL 33909 </t>
  </si>
  <si>
    <t xml:space="preserve">9940 Berkshire Ln </t>
  </si>
  <si>
    <t>Faulkner</t>
  </si>
  <si>
    <t>62234-6848</t>
  </si>
  <si>
    <t xml:space="preserve">900 Vogiantzis Pkwy  Cape Coral, FL 33909 </t>
  </si>
  <si>
    <t>33909-6512</t>
  </si>
  <si>
    <t>Henrico</t>
  </si>
  <si>
    <t>Robert Neustal</t>
  </si>
  <si>
    <t xml:space="preserve">4128 NW 88th Ave #205, Coral Springs, FL 33065-1895 </t>
  </si>
  <si>
    <t xml:space="preserve">18838 County Road 30 </t>
  </si>
  <si>
    <t>48093-7626</t>
  </si>
  <si>
    <t xml:space="preserve">3352 Ardley Rd SW  Atlanta, GA 30311-3006 </t>
  </si>
  <si>
    <t xml:space="preserve">2017 S Ocean Dr 1506w, Hallandale Beach, FL 33009-6654 </t>
  </si>
  <si>
    <t>Cape Coral Unit 85 Blk 5633 Pb 24 Pg 51 Lots 43 + 44</t>
  </si>
  <si>
    <t>Cape Coral Unit 46 Blk 3594 Pb 17 Pg 124 Lots 9 + 10</t>
  </si>
  <si>
    <t>Marco Reyes</t>
  </si>
  <si>
    <t xml:space="preserve">912 Glen Dr NE  New Philadelphia, OH 44663-2781 </t>
  </si>
  <si>
    <t xml:space="preserve">17327 Tampico Ln </t>
  </si>
  <si>
    <t xml:space="preserve">4214 NE 21st Pl </t>
  </si>
  <si>
    <t>01826-4204</t>
  </si>
  <si>
    <t xml:space="preserve">1720 NE 12th Ter  Cape Coral, FL 33909 </t>
  </si>
  <si>
    <t>01-44-23-c1-02450.0300</t>
  </si>
  <si>
    <t>85th</t>
  </si>
  <si>
    <t>Legall-Moore</t>
  </si>
  <si>
    <t>33909-6223</t>
  </si>
  <si>
    <t xml:space="preserve">4239 E Gator Cir  Cape Coral, FL 33909 </t>
  </si>
  <si>
    <t>Castleton</t>
  </si>
  <si>
    <t xml:space="preserve">10932 Wood Run Dr </t>
  </si>
  <si>
    <t>Lehigh Acres Unit 1 Blk 3 Pb 26 Pg 2 Lot 2</t>
  </si>
  <si>
    <t>Medina</t>
  </si>
  <si>
    <t>Cypress Trail Rv Resort As Desc In Inst# 2013000212499 Lot 265</t>
  </si>
  <si>
    <t xml:space="preserve">12636 Baltimore Ct </t>
  </si>
  <si>
    <t>Guang</t>
  </si>
  <si>
    <t xml:space="preserve">612 NW 31st Ave </t>
  </si>
  <si>
    <t>Alvarez</t>
  </si>
  <si>
    <t>William Mcgonagle</t>
  </si>
  <si>
    <t>13066-2516</t>
  </si>
  <si>
    <t xml:space="preserve">2118 NE 5th Ave  Cape Coral, FL 33909 </t>
  </si>
  <si>
    <t xml:space="preserve">6061 Laurelwood Dr  Fort Myers, FL 33905 </t>
  </si>
  <si>
    <t xml:space="preserve">1414 NE 16th Pl </t>
  </si>
  <si>
    <t>For Harry Jr &amp; Cristina L Broomfield Trust</t>
  </si>
  <si>
    <t xml:space="preserve">6017 Joplin Ave </t>
  </si>
  <si>
    <t>33909-1550</t>
  </si>
  <si>
    <t>Gail Lukavic &amp; Joan Bach</t>
  </si>
  <si>
    <t>Somerset A</t>
  </si>
  <si>
    <t xml:space="preserve">2886 Crest Rd </t>
  </si>
  <si>
    <t>Allds</t>
  </si>
  <si>
    <t xml:space="preserve">17800 Summerland Key Ct  Fort Myers, FL 33908 </t>
  </si>
  <si>
    <t>Yiset Espino &amp; Angel Banos</t>
  </si>
  <si>
    <t>For Hosenkamp Family Trust</t>
  </si>
  <si>
    <t xml:space="preserve">96 Holly Tree Dr </t>
  </si>
  <si>
    <t xml:space="preserve">860 E 26th St  Hialeah, FL 33013-3409 </t>
  </si>
  <si>
    <t>South Miami Heights</t>
  </si>
  <si>
    <t xml:space="preserve">1629 NE 33rd Ter  Cape Coral, FL 33909 </t>
  </si>
  <si>
    <t>South Windsor</t>
  </si>
  <si>
    <t xml:space="preserve">2832 Tech Dr  Orlando, FL 32817-2466 </t>
  </si>
  <si>
    <t>Copiague</t>
  </si>
  <si>
    <t>44646-9084</t>
  </si>
  <si>
    <t>33565-6140</t>
  </si>
  <si>
    <t>Judith P Vonderau Trust</t>
  </si>
  <si>
    <t xml:space="preserve">18244 Pioneer Rd  Fort Myers, FL 33908 </t>
  </si>
  <si>
    <t>33909-1261</t>
  </si>
  <si>
    <t>Porter</t>
  </si>
  <si>
    <t>08825-3002</t>
  </si>
  <si>
    <t xml:space="preserve">1914 Durden Pkwy </t>
  </si>
  <si>
    <t>03-44-26-12-00066.0080</t>
  </si>
  <si>
    <t>Cape Coral Unit 47 Pt 2 Blk 3511 Pb 23 Pg 124 Lots 54 + 55</t>
  </si>
  <si>
    <t xml:space="preserve">500 Jacaranda Pkwy E  Cape Coral, FL 33909 </t>
  </si>
  <si>
    <t xml:space="preserve">1257 NE 40th St </t>
  </si>
  <si>
    <t>Deep Creek</t>
  </si>
  <si>
    <t>36-43-23-c3-02478.0110</t>
  </si>
  <si>
    <t>03-44-24-09-00000.0830</t>
  </si>
  <si>
    <t xml:space="preserve">1916 NE 33rd Ter  Cape Coral, FL 33909 </t>
  </si>
  <si>
    <t>36-43-23-c2-02543.0350</t>
  </si>
  <si>
    <t xml:space="preserve">4324 NE 21st Ave  Cape Coral, FL 33909 </t>
  </si>
  <si>
    <t xml:space="preserve">6234 45th Ln E  Bradenton, FL 34203 </t>
  </si>
  <si>
    <t>B19</t>
  </si>
  <si>
    <t xml:space="preserve">6129 Fieldston Rd </t>
  </si>
  <si>
    <t xml:space="preserve">PO Box 118  Glide, OR 97443 </t>
  </si>
  <si>
    <t>22301-1212</t>
  </si>
  <si>
    <t>Palange</t>
  </si>
  <si>
    <t>18-43-24-c2-05730.0310</t>
  </si>
  <si>
    <t>31-44-24-c4-00633.0490</t>
  </si>
  <si>
    <t>North Collins</t>
  </si>
  <si>
    <t xml:space="preserve">3331 SE 19th Ave </t>
  </si>
  <si>
    <t>Lenore Johnson</t>
  </si>
  <si>
    <t>Cape Coral Unit 34 Blk.2421 Pb 16 Pg 79 Lots 3 + 4</t>
  </si>
  <si>
    <t>10304-2812</t>
  </si>
  <si>
    <t xml:space="preserve">12 C 21 </t>
  </si>
  <si>
    <t xml:space="preserve">48 Normandy Dr </t>
  </si>
  <si>
    <t>01-44-23-c1-02451.0100</t>
  </si>
  <si>
    <t xml:space="preserve">2730 Benvenue Ave B, Berkeley, CA 94705-1202 </t>
  </si>
  <si>
    <t>Larium</t>
  </si>
  <si>
    <t>33183-1223</t>
  </si>
  <si>
    <t>18-43-24-c4-05685.0290</t>
  </si>
  <si>
    <t>Eric Devergie</t>
  </si>
  <si>
    <t>Western Reserve</t>
  </si>
  <si>
    <t xml:space="preserve">4 La Mulonniere </t>
  </si>
  <si>
    <t xml:space="preserve">10444 Nightwood Dr </t>
  </si>
  <si>
    <t>Fort Wright</t>
  </si>
  <si>
    <t xml:space="preserve">541 Fairhill Rd </t>
  </si>
  <si>
    <t>Maciej &amp; Agivieszka Zawadzki</t>
  </si>
  <si>
    <t>33909-5392</t>
  </si>
  <si>
    <t>Pavel</t>
  </si>
  <si>
    <t>Ku &amp; Jentung Ku</t>
  </si>
  <si>
    <t xml:space="preserve">4137 NE 21st Pl  Cape Coral, FL 33909 </t>
  </si>
  <si>
    <t>Cape Coral Unit 87 Blk 5726 Pb 24 Pg 85 Lots 32 + 33</t>
  </si>
  <si>
    <t>Decatur</t>
  </si>
  <si>
    <t xml:space="preserve">PO Box 229  Bronx, NY 10469 </t>
  </si>
  <si>
    <t xml:space="preserve">10094 Raven Dr  Millersburg, MI 49759-9797 </t>
  </si>
  <si>
    <t>95076-1076</t>
  </si>
  <si>
    <t>20-43-24-c4-05637.0480</t>
  </si>
  <si>
    <t xml:space="preserve">10337 NW 32nd Ter </t>
  </si>
  <si>
    <t xml:space="preserve">671 Targee St  Staten Island, NY 10304-3319 </t>
  </si>
  <si>
    <t xml:space="preserve">19681 Summerlin Rd #612, Fort Myers, FL 33908 </t>
  </si>
  <si>
    <t>33909-4626</t>
  </si>
  <si>
    <t>17-43-24-c2-05805.0150</t>
  </si>
  <si>
    <t>Bonnie &amp; Richard Etter</t>
  </si>
  <si>
    <t xml:space="preserve">1141 SE 35th St </t>
  </si>
  <si>
    <t xml:space="preserve">525 Diplomat Pkwy E  Cape Coral, FL 33909 </t>
  </si>
  <si>
    <t>Cape Coral Unit 36-Pt 1 Blk 2487 Pb 23 Pg 88 Lots 35 + 36</t>
  </si>
  <si>
    <t xml:space="preserve">6465 College Park Cir #208, Naples, FL 34113-7306 </t>
  </si>
  <si>
    <t>31-43-24-c1-02149.0280</t>
  </si>
  <si>
    <t xml:space="preserve">1909 NE 33rd Ter  Cape Coral, FL 33909 </t>
  </si>
  <si>
    <t xml:space="preserve">305 NE 5th Ter </t>
  </si>
  <si>
    <t>June Welcome &amp; Eddy Siwaeard</t>
  </si>
  <si>
    <t>Robert Keilholtz &amp; Linda Umbel</t>
  </si>
  <si>
    <t xml:space="preserve">1220 SW 65th Ave </t>
  </si>
  <si>
    <t>Scofield</t>
  </si>
  <si>
    <t>71st</t>
  </si>
  <si>
    <t xml:space="preserve">1732 NE 21st St  Cape Coral, FL 33909 </t>
  </si>
  <si>
    <t xml:space="preserve">146 SE 26th St  Cape Coral, FL 33904 </t>
  </si>
  <si>
    <t xml:space="preserve">PO Box 330344  Miami, FL 33233 </t>
  </si>
  <si>
    <t xml:space="preserve">2747 NE 5th Pl  Cape Coral, FL 33909 </t>
  </si>
  <si>
    <t>N0E 1M0</t>
  </si>
  <si>
    <t>Stewart</t>
  </si>
  <si>
    <t xml:space="preserve">14 Old Cut Blvd </t>
  </si>
  <si>
    <t>19-43-24-c3-05574.0070</t>
  </si>
  <si>
    <t xml:space="preserve">658 NE 5th Pl  Cape Coral, FL 33909 </t>
  </si>
  <si>
    <t xml:space="preserve">5261 Cypress Trail Resort Cir  Fort Myers, FL 33905 </t>
  </si>
  <si>
    <t>Gorrell</t>
  </si>
  <si>
    <t xml:space="preserve">3707 Tracy St </t>
  </si>
  <si>
    <t>Steven Mull &amp; Janice Clark</t>
  </si>
  <si>
    <t>Cape Coral Unit 47 Pt 2 Blk 3520 Pb 23 Pg 126 Lots 47 + 48</t>
  </si>
  <si>
    <t xml:space="preserve">129 W 19th St  Bayonne, NJ 07002-1640 </t>
  </si>
  <si>
    <t xml:space="preserve">1421 Kenilworth Ave NE  Washington, DC 20019-2713 </t>
  </si>
  <si>
    <t>Irshaad</t>
  </si>
  <si>
    <t>13-45-23-c3-00134.0410</t>
  </si>
  <si>
    <t>18-43-24-c2-05731.0110</t>
  </si>
  <si>
    <t>Carl Shealy &amp; Cindy Patton</t>
  </si>
  <si>
    <t>Luis &amp; Madeline Gamez</t>
  </si>
  <si>
    <t>PO Box 469</t>
  </si>
  <si>
    <t>Gangani</t>
  </si>
  <si>
    <t>Cape Coral Unit 36 Pt 1 Blk 2476 Pb 23 Pg 89 Lots 27 + 28</t>
  </si>
  <si>
    <t>Silverio &amp; Lucia Conte</t>
  </si>
  <si>
    <t xml:space="preserve">233 NE 15th Pl </t>
  </si>
  <si>
    <t xml:space="preserve">1445 NE 32nd Ln  Cape Coral, FL 33909 </t>
  </si>
  <si>
    <t xml:space="preserve">227 NE 20th Ter </t>
  </si>
  <si>
    <t xml:space="preserve">3 Abingdon Ln </t>
  </si>
  <si>
    <t>Lehigh Acres Unit 8 Blk 38 Pb 26 Pg 10 Lot 5</t>
  </si>
  <si>
    <t xml:space="preserve">50 Bryant Dr  Livingston, NJ 07039-1232 </t>
  </si>
  <si>
    <t>30135-8212</t>
  </si>
  <si>
    <t xml:space="preserve">1047 Janet Ave  Lancaster, PA 17601-5119 </t>
  </si>
  <si>
    <t xml:space="preserve">2621 NE 19th Ave </t>
  </si>
  <si>
    <t>36-44-23-c1-00924.0390</t>
  </si>
  <si>
    <t xml:space="preserve">10140 Shadowood Ct </t>
  </si>
  <si>
    <t>Davison</t>
  </si>
  <si>
    <t>25-43-23-c3-02310.0210</t>
  </si>
  <si>
    <t>33909-6850</t>
  </si>
  <si>
    <t>Cape Coral Unit 32 Blk 2168 Pb 16 Pg 8 Lots 29 + 30</t>
  </si>
  <si>
    <t xml:space="preserve">2217 NE 25th Ter  Cape Coral, FL 33909 </t>
  </si>
  <si>
    <t>Eleanor</t>
  </si>
  <si>
    <t xml:space="preserve">8605 70th St  Princeton, MN 55371-6519 </t>
  </si>
  <si>
    <t xml:space="preserve">5840 Maplewood Ct </t>
  </si>
  <si>
    <t xml:space="preserve">4413/4415 Armeda Ave  Fort Myers, FL 33905 </t>
  </si>
  <si>
    <t xml:space="preserve">606 59th St #1 </t>
  </si>
  <si>
    <t>Yardley</t>
  </si>
  <si>
    <t xml:space="preserve">485 E Alluvial Ave #105 </t>
  </si>
  <si>
    <t xml:space="preserve">101 Woodhaven Ln  Pittsburgh, PA 15237-3712 </t>
  </si>
  <si>
    <t xml:space="preserve">2108 Wenola Ct </t>
  </si>
  <si>
    <t xml:space="preserve">5721 Cypress Woods Resort Dr  Fort Myers, FL 33905 </t>
  </si>
  <si>
    <t>Cape Coral Unit 36 Blk 2291 Pb 16 Pg 120 Lots 5 + 6</t>
  </si>
  <si>
    <t>Duck</t>
  </si>
  <si>
    <t>PO Box 954</t>
  </si>
  <si>
    <t xml:space="preserve">33 Sturgis Rd </t>
  </si>
  <si>
    <t xml:space="preserve">3329 202nd St </t>
  </si>
  <si>
    <t>Cape Coral Unit 85 Blk 5646 Pb 24 Pg 55 Lots 17 + 18</t>
  </si>
  <si>
    <t>Elvin</t>
  </si>
  <si>
    <t>Gabriela Avegliano</t>
  </si>
  <si>
    <t>Raines</t>
  </si>
  <si>
    <t xml:space="preserve">1046 NE 40th Ter  Cape Coral, FL 33909 </t>
  </si>
  <si>
    <t xml:space="preserve">8229 N 7 Rd  Mesick, MI 49668-9392 </t>
  </si>
  <si>
    <t>Opfer</t>
  </si>
  <si>
    <t>Christopher Rudek</t>
  </si>
  <si>
    <t>Celestino &amp; Irma Chaviano</t>
  </si>
  <si>
    <t>34103-3715</t>
  </si>
  <si>
    <t>61342-9503</t>
  </si>
  <si>
    <t xml:space="preserve">Strasse 4 Herzogenauracher </t>
  </si>
  <si>
    <t xml:space="preserve">81 Boulton Dr  Toronto, ON M4v 2V5 </t>
  </si>
  <si>
    <t xml:space="preserve">1105 NE 32nd Ter </t>
  </si>
  <si>
    <t xml:space="preserve">5188 Cypress Trail Resort Cir  Fort Myers, FL 33905 </t>
  </si>
  <si>
    <t>Md Islam &amp; Abul Haque</t>
  </si>
  <si>
    <t>Cochart Virginia R Tr</t>
  </si>
  <si>
    <t>95822-3243</t>
  </si>
  <si>
    <t xml:space="preserve">131 NE 19th Ter </t>
  </si>
  <si>
    <t>Chassell</t>
  </si>
  <si>
    <t>Mogadore</t>
  </si>
  <si>
    <t>Kaison</t>
  </si>
  <si>
    <t>11373-5179</t>
  </si>
  <si>
    <t xml:space="preserve">1702 NE 26th Ter  Cape Coral, FL 33909 </t>
  </si>
  <si>
    <t>07652-4626</t>
  </si>
  <si>
    <t xml:space="preserve">303 SE 29th Ter  Cape Coral, FL 33904 </t>
  </si>
  <si>
    <t xml:space="preserve">2617 NE 20th Pl  Cape Coral, FL 33909 </t>
  </si>
  <si>
    <t>Renate Roth</t>
  </si>
  <si>
    <t>Cape Coral Unit 85 Blk 5665 Pb 24 Pg 57 Lots 5 + 6</t>
  </si>
  <si>
    <t>Walter Winch</t>
  </si>
  <si>
    <t>Palmetto Palms Rv Resort Condo Ph 2 Or 1530 Pg 1466 Res Unit 198</t>
  </si>
  <si>
    <t xml:space="preserve">1811 NE 44th Ter </t>
  </si>
  <si>
    <t xml:space="preserve">6420 Arbor Ave </t>
  </si>
  <si>
    <t xml:space="preserve">6009 Higgins Ave  Fort Myers, FL 33905 </t>
  </si>
  <si>
    <t>Cypress Woods Rv Resort Ut 1 Pb 65 Pg 85 + 86 Blk B Lot 10</t>
  </si>
  <si>
    <t xml:space="preserve">3138 NE 13th Pl  Cape Coral, FL 33909 </t>
  </si>
  <si>
    <t xml:space="preserve">1521 NE 35th St </t>
  </si>
  <si>
    <t xml:space="preserve">363 Watsessing Ave #1 </t>
  </si>
  <si>
    <t>11-44-25-05-0000c.0940</t>
  </si>
  <si>
    <t xml:space="preserve">4136 NE 10th Pl </t>
  </si>
  <si>
    <t>Lucian</t>
  </si>
  <si>
    <t>06-44-24-c2-02089.0360</t>
  </si>
  <si>
    <t>06-46-24-15-00000.2170</t>
  </si>
  <si>
    <t>36-43-23-c2-02541.0260</t>
  </si>
  <si>
    <t>Ron</t>
  </si>
  <si>
    <t xml:space="preserve">5691 Maplewood Ct  Fort Myers, FL 33905 </t>
  </si>
  <si>
    <t>Besher</t>
  </si>
  <si>
    <t>91360-5005</t>
  </si>
  <si>
    <t xml:space="preserve">2527 NE 6th Ave  Cape Coral, FL 33909 </t>
  </si>
  <si>
    <t>Cape Coral Unit 32 Blk 2149 Pb 16 Pg 11 Lots 22 + 23</t>
  </si>
  <si>
    <t>Marcelo</t>
  </si>
  <si>
    <t xml:space="preserve">228 Sunvalley Dr SE  Calgary, AB T2x 2E8 </t>
  </si>
  <si>
    <t>Kim Covertito</t>
  </si>
  <si>
    <t>Miller</t>
  </si>
  <si>
    <t xml:space="preserve">2224 NE 39th Ter </t>
  </si>
  <si>
    <t xml:space="preserve">1041 NE 16th Pl </t>
  </si>
  <si>
    <t xml:space="preserve">5901 Pathwood Ct </t>
  </si>
  <si>
    <t xml:space="preserve">6032 Jonathan Ave  Fort Myers, FL 33905 </t>
  </si>
  <si>
    <t xml:space="preserve">1629 NE 33rd Ter </t>
  </si>
  <si>
    <t xml:space="preserve">1020 NE 11th Ave  Cape Coral, FL 33909 </t>
  </si>
  <si>
    <t>Robert &amp; Wendy South</t>
  </si>
  <si>
    <t xml:space="preserve">1117 NE 10th Pl  Cape Coral, FL 33909 </t>
  </si>
  <si>
    <t>Cape Coral Unit 85 Blk 5668 Pb 24 Pg 53 Lots 73 + 74</t>
  </si>
  <si>
    <t xml:space="preserve">1825 NE 5th Ave  Cape Coral, FL 33909 </t>
  </si>
  <si>
    <t>Leonardo &amp; Barbara Carrillo</t>
  </si>
  <si>
    <t>33909-2572</t>
  </si>
  <si>
    <t xml:space="preserve">2216 NE 22nd Pl  Cape Coral, FL 33909 </t>
  </si>
  <si>
    <t>32244-7075</t>
  </si>
  <si>
    <t xml:space="preserve">2101 NE 34th Ter </t>
  </si>
  <si>
    <t xml:space="preserve">4207 NE 11th Ave </t>
  </si>
  <si>
    <t xml:space="preserve">225 NE 24th Ter  Cape Coral, FL 33909 </t>
  </si>
  <si>
    <t>Cape Coral Unit 47 Pt 2 Blk 3538 Pb 23 Pg 121 Lots 36 + 37</t>
  </si>
  <si>
    <t xml:space="preserve">13154 SW 25th Pl  Davie, FL 33325-5132 </t>
  </si>
  <si>
    <t>Avilleira</t>
  </si>
  <si>
    <t>Kirk Haines</t>
  </si>
  <si>
    <t>11-44-25-07-00000.1520</t>
  </si>
  <si>
    <t>172nd</t>
  </si>
  <si>
    <t>Cypress Woods Rv Resort Ut 1 Pb 65 Pg 85 + 86 Blk A Lot 24</t>
  </si>
  <si>
    <t>Cape Coral Unit 34 Blk 2429 Pb 16 Pg 80 Lots 51 + 52</t>
  </si>
  <si>
    <t>Raul</t>
  </si>
  <si>
    <t>Barnstable</t>
  </si>
  <si>
    <t>43228-9474</t>
  </si>
  <si>
    <t xml:space="preserve">515 NW San Remo Cir  Port Saint Lucie, FL 34986-1720 </t>
  </si>
  <si>
    <t>Van Siclen</t>
  </si>
  <si>
    <t xml:space="preserve">2568 W 65th St </t>
  </si>
  <si>
    <t>R1bw</t>
  </si>
  <si>
    <t>33909-1517</t>
  </si>
  <si>
    <t xml:space="preserve">5485 Saddle Club Dr  Kalamazoo, MI 49009-9774 </t>
  </si>
  <si>
    <t>Albia</t>
  </si>
  <si>
    <t>PO Box 415</t>
  </si>
  <si>
    <t>Paul &amp; For Pormen</t>
  </si>
  <si>
    <t>Kevin</t>
  </si>
  <si>
    <t xml:space="preserve">6312 Seven Corners Ctr #223 </t>
  </si>
  <si>
    <t>31-43-24-c4-02143.0010</t>
  </si>
  <si>
    <t>03-44-26-03-00011.0190</t>
  </si>
  <si>
    <t xml:space="preserve">3825 NE 23rd Pl </t>
  </si>
  <si>
    <t xml:space="preserve">PO Box 653  New Milford, PA 18834 </t>
  </si>
  <si>
    <t>Cypress Woods Rv Resort Unit 4 Pb 79 Pgs 68-71 Blk D Lot 59</t>
  </si>
  <si>
    <t>19-43-24-c4-05559.0200</t>
  </si>
  <si>
    <t>01-44-23-c4-02442.0130</t>
  </si>
  <si>
    <t xml:space="preserve">458 NE Juanita Ct </t>
  </si>
  <si>
    <t>33909-3256</t>
  </si>
  <si>
    <t>L0G 1A0</t>
  </si>
  <si>
    <t xml:space="preserve">3920 SW 67th Ave  Miami, FL 33155-3711 </t>
  </si>
  <si>
    <t xml:space="preserve">1209 Eastridge Dr </t>
  </si>
  <si>
    <t>Areya Popal</t>
  </si>
  <si>
    <t>For Rosalie Metric Trust</t>
  </si>
  <si>
    <t>17-43-24-c1-05818.0180</t>
  </si>
  <si>
    <t>Helikson</t>
  </si>
  <si>
    <t>Yoraine</t>
  </si>
  <si>
    <t xml:space="preserve">932 NE 1st Pl </t>
  </si>
  <si>
    <t>Cypress Trail Rv Resort Phase 4-A As Desc In Inst# 20160000135610 Lot 292</t>
  </si>
  <si>
    <t xml:space="preserve">14675 S 100 W </t>
  </si>
  <si>
    <t xml:space="preserve">1127 NE 10th St  Cape Coral, FL 33909 </t>
  </si>
  <si>
    <t xml:space="preserve">700 NW 4th Ave  Pompano Beach, FL 33060-5510 </t>
  </si>
  <si>
    <t xml:space="preserve">923 NE 17th Ter </t>
  </si>
  <si>
    <t>17-43-24-c2-05802.0010</t>
  </si>
  <si>
    <t>Cape Coral Unit 36 Pt 1 Blk 2496 Pb 23 Pg 92 Lots 17 + 18</t>
  </si>
  <si>
    <t>Cape Coral Unit 34 Blk 2465 Pb 16 Pg 86 Lots 20 + 21</t>
  </si>
  <si>
    <t>Umeh</t>
  </si>
  <si>
    <t>33991-4394</t>
  </si>
  <si>
    <t xml:space="preserve">6613 S Kostner Ave  Chicago, IL 60629-5623 </t>
  </si>
  <si>
    <t>36-43-23-c1-02519.0140</t>
  </si>
  <si>
    <t>12-44-23-c1-02415.0090</t>
  </si>
  <si>
    <t>Jayne &amp; Robert Dietel</t>
  </si>
  <si>
    <t>16-44-26-06-00016.0130</t>
  </si>
  <si>
    <t xml:space="preserve">3646 NE 11th Pl  Cape Coral, FL 33909 </t>
  </si>
  <si>
    <t>Ten Mile Anchorage Replat Blk A Pb 21 Pg 43 Lot 3</t>
  </si>
  <si>
    <t>Newcombe</t>
  </si>
  <si>
    <t xml:space="preserve">3503 NE 14th Pl </t>
  </si>
  <si>
    <t>Green Bank</t>
  </si>
  <si>
    <t>118th</t>
  </si>
  <si>
    <t xml:space="preserve">484 E 44th St </t>
  </si>
  <si>
    <t>06-44-24-c3-02059.0430</t>
  </si>
  <si>
    <t>George &amp; Jill Vanvanstraten</t>
  </si>
  <si>
    <t>33027-6198</t>
  </si>
  <si>
    <t>Yanetsy Arteaga</t>
  </si>
  <si>
    <t xml:space="preserve">1103 Fort Sumter Ct  Virginia Beach, VA 23453-3108 </t>
  </si>
  <si>
    <t>67361-1025</t>
  </si>
  <si>
    <t xml:space="preserve">3230 60th St SW </t>
  </si>
  <si>
    <t>Digna</t>
  </si>
  <si>
    <t xml:space="preserve">2102 NE 1st Pl </t>
  </si>
  <si>
    <t xml:space="preserve">1313 NE 3rd Ter  Cape Coral, FL 33909 </t>
  </si>
  <si>
    <t>Oakwood</t>
  </si>
  <si>
    <t>03-44-26-08-00035.0110</t>
  </si>
  <si>
    <t xml:space="preserve">113 Black Hill Dr </t>
  </si>
  <si>
    <t>07748-3061</t>
  </si>
  <si>
    <t xml:space="preserve">1881 SE Peach Dr  Arcadia, FL 34266-7367 </t>
  </si>
  <si>
    <t xml:space="preserve">1117 NE 36th St </t>
  </si>
  <si>
    <t>Perey</t>
  </si>
  <si>
    <t xml:space="preserve">322 NE 15th Ter </t>
  </si>
  <si>
    <t>Teatree</t>
  </si>
  <si>
    <t>Lehigh Acres Unit 8 Blk 36 Pb 26 Pg 10 Lot 34</t>
  </si>
  <si>
    <t>Dietel</t>
  </si>
  <si>
    <t>97086-4266</t>
  </si>
  <si>
    <t xml:space="preserve">1822 NE 5th Ct </t>
  </si>
  <si>
    <t xml:space="preserve">2031 NE 4th Ave </t>
  </si>
  <si>
    <t>02554-7632</t>
  </si>
  <si>
    <t>Blau</t>
  </si>
  <si>
    <t>Cape Coral Unit 87 Blk 5723 Pb 24 Pg 80 Lots 34 + 35</t>
  </si>
  <si>
    <t>Cape Coral Unit 34 Blk 2462 Pb 16 Pg 81 Lots 23 + 24</t>
  </si>
  <si>
    <t>07109-2208</t>
  </si>
  <si>
    <t xml:space="preserve">2042 NE 25th St  Cape Coral, FL 33909 </t>
  </si>
  <si>
    <t>Espoo</t>
  </si>
  <si>
    <t xml:space="preserve">10081 Stonewood Dr  Fort Myers, FL 33905 </t>
  </si>
  <si>
    <t>06-44-24-c4-02045.0110</t>
  </si>
  <si>
    <t>Venice</t>
  </si>
  <si>
    <t>Cape Coral Unit 87 Blk 5734 Pb 24 Pg 78 Lots 88 + 89</t>
  </si>
  <si>
    <t>32809-4205</t>
  </si>
  <si>
    <t xml:space="preserve">1306 NE 9th Ave  Cape Coral, FL 33909 </t>
  </si>
  <si>
    <t>Kaylor Debra P Tr For Kaylor Living Trust</t>
  </si>
  <si>
    <t>33904-4282</t>
  </si>
  <si>
    <t>52240-8621</t>
  </si>
  <si>
    <t xml:space="preserve">3916 NE 9th Pl </t>
  </si>
  <si>
    <t>Fellsmere</t>
  </si>
  <si>
    <t xml:space="preserve">72 Impasse D Iena  Nimes, FR </t>
  </si>
  <si>
    <t xml:space="preserve">1685 Ghent Rd  Columbia, IL 62236-2730 </t>
  </si>
  <si>
    <t>Cape Coral Unit 5 Blk 117 Pb 11 Pg 83 Lots 27 + 28</t>
  </si>
  <si>
    <t xml:space="preserve">4003 NE 12th Ave  Cape Coral, FL 33909 </t>
  </si>
  <si>
    <t>91301-4092</t>
  </si>
  <si>
    <t>Myduc</t>
  </si>
  <si>
    <t>Ludwig Prandtl</t>
  </si>
  <si>
    <t>Dorian Zalasar</t>
  </si>
  <si>
    <t>29-43-24-c3-02287.0230</t>
  </si>
  <si>
    <t>Gewondjan</t>
  </si>
  <si>
    <t xml:space="preserve">3255 Kira Ct </t>
  </si>
  <si>
    <t>Spartan</t>
  </si>
  <si>
    <t>Ruby Red</t>
  </si>
  <si>
    <t>60010-9330</t>
  </si>
  <si>
    <t>Pleasant Ridge</t>
  </si>
  <si>
    <t>33909-4425</t>
  </si>
  <si>
    <t xml:space="preserve">3783 Kemper St </t>
  </si>
  <si>
    <t>11-44-25-l1-1400b.4580</t>
  </si>
  <si>
    <t>Thomas Witherspoon</t>
  </si>
  <si>
    <t>Cape Coral Unit 85 Blk 5671 Pb 24 Pg 51 Lots 67 Thru 69</t>
  </si>
  <si>
    <t>Lehigh Acres Unit 4 Blk 19 Pb 26 Pg 6 Lot 19</t>
  </si>
  <si>
    <t>33470-3222</t>
  </si>
  <si>
    <t>Shijo</t>
  </si>
  <si>
    <t xml:space="preserve">2450 Barker Ave </t>
  </si>
  <si>
    <t xml:space="preserve">4323 NE 13th Pl  Cape Coral, FL 33909 </t>
  </si>
  <si>
    <t>31-44-24-c3-00614.0550</t>
  </si>
  <si>
    <t>Cagney</t>
  </si>
  <si>
    <t xml:space="preserve">3005 SW 189th Ave  Miramar, FL 33029-5856 </t>
  </si>
  <si>
    <t>Hillsborough Mile</t>
  </si>
  <si>
    <t xml:space="preserve">3201 NE 13th Ave  Cape Coral, FL 33909 </t>
  </si>
  <si>
    <t xml:space="preserve">637 E Mowry Ct </t>
  </si>
  <si>
    <t xml:space="preserve">6933 Gouverneur Ave </t>
  </si>
  <si>
    <t>Churubusco</t>
  </si>
  <si>
    <t>Cartier</t>
  </si>
  <si>
    <t>33908-3113</t>
  </si>
  <si>
    <t>PO Box 1377</t>
  </si>
  <si>
    <t>33904-5908</t>
  </si>
  <si>
    <t>Cape Coral Unit 34 Blk 2417 Pb 16 Pg 78 Lots 37 + 38</t>
  </si>
  <si>
    <t>Cape Coral Unit 47 Pt 2 Blk 3541 Pb 23 Pg 117 Lots 41 + 42</t>
  </si>
  <si>
    <t xml:space="preserve">1310 NE 7th Ave  Cape Coral, FL 33909 </t>
  </si>
  <si>
    <t>Highway 85</t>
  </si>
  <si>
    <t>25-44-24-p4-02106.0020</t>
  </si>
  <si>
    <t xml:space="preserve">2614 NE Juanita Pl  Cape Coral, FL 33909 </t>
  </si>
  <si>
    <t>Charles Pelletier &amp; Erin Duffy-Pelletier</t>
  </si>
  <si>
    <t>93291-8044</t>
  </si>
  <si>
    <t>Hans Duhse</t>
  </si>
  <si>
    <t xml:space="preserve">811 Stanley Ct  Sycamore, IL 60178-1062 </t>
  </si>
  <si>
    <t>John Shtogren &amp; Juliana Cramer</t>
  </si>
  <si>
    <t>Chery</t>
  </si>
  <si>
    <t>11-44-25-l1-13000.3510</t>
  </si>
  <si>
    <t>Pky</t>
  </si>
  <si>
    <t>25-43-23-c4-02305.0360</t>
  </si>
  <si>
    <t xml:space="preserve">1304 NE 13th Ave </t>
  </si>
  <si>
    <t>Patricio</t>
  </si>
  <si>
    <t xml:space="preserve">503 Conestoga Rd  Bailey, CO 80421-2375 </t>
  </si>
  <si>
    <t>Stardust</t>
  </si>
  <si>
    <t>Dangelo</t>
  </si>
  <si>
    <t>32807-6001</t>
  </si>
  <si>
    <t>Augusto Costa</t>
  </si>
  <si>
    <t>Sanita</t>
  </si>
  <si>
    <t xml:space="preserve">1100 NE 34th Ter </t>
  </si>
  <si>
    <t>Tualatin</t>
  </si>
  <si>
    <t>Union City</t>
  </si>
  <si>
    <t xml:space="preserve">1320 Kismet Pkwy E  Cape Coral, FL 33909 </t>
  </si>
  <si>
    <t xml:space="preserve">94 Glover St  Southbridge, MA 01550-2248 </t>
  </si>
  <si>
    <t>17-43-24-c3-05798.0040</t>
  </si>
  <si>
    <t>25-43-23-c2-02319.0490</t>
  </si>
  <si>
    <t>Wellington</t>
  </si>
  <si>
    <t xml:space="preserve">6919 Bitternut Ln </t>
  </si>
  <si>
    <t>Chemin De Martenard</t>
  </si>
  <si>
    <t xml:space="preserve">2517 NE 19th Pl  Cape Coral, FL 33909 </t>
  </si>
  <si>
    <t xml:space="preserve">241 SE 31st St </t>
  </si>
  <si>
    <t xml:space="preserve">429 W Holly Ave  Pitman, NJ 08071-1301 </t>
  </si>
  <si>
    <t>Cape Coral Unit 33 Blk 2256 Pb 16 Pg 57 Lots 5 + 6</t>
  </si>
  <si>
    <t xml:space="preserve">2704 Croquet Cir </t>
  </si>
  <si>
    <t xml:space="preserve">800 SE 4th Ave #151, Hallandale Beach, FL 33009-6493 </t>
  </si>
  <si>
    <t xml:space="preserve">1792 Holly Grove Rd </t>
  </si>
  <si>
    <t xml:space="preserve">19480 San Marco Dr  Fort Myers, FL 33908 </t>
  </si>
  <si>
    <t>32-43-24-c1-02193.0280</t>
  </si>
  <si>
    <t xml:space="preserve">4408 NE 22nd Pl  Cape Coral, FL 33909 </t>
  </si>
  <si>
    <t xml:space="preserve">2139 NE 27th Ter  Cape Coral, FL 33909 </t>
  </si>
  <si>
    <t xml:space="preserve">2617 NE 5th Pl </t>
  </si>
  <si>
    <t>Bruce &amp; Rebecca Grieger</t>
  </si>
  <si>
    <t>11691-4425</t>
  </si>
  <si>
    <t>Cape Coral Unit 88 Blk 5780 Pb 24 Pg 136 Lot 49</t>
  </si>
  <si>
    <t xml:space="preserve">1100 NE 36th Ln </t>
  </si>
  <si>
    <t xml:space="preserve">2138 NE 27th Ter </t>
  </si>
  <si>
    <t>54665-1938</t>
  </si>
  <si>
    <t>Raquel</t>
  </si>
  <si>
    <t xml:space="preserve">2747 NE 6th Ave </t>
  </si>
  <si>
    <t>Paul &amp; Margie Mcclellan</t>
  </si>
  <si>
    <t>Leann</t>
  </si>
  <si>
    <t>33905-5708</t>
  </si>
  <si>
    <t>Greene</t>
  </si>
  <si>
    <t>Gerardo Garcia</t>
  </si>
  <si>
    <t>Niraj</t>
  </si>
  <si>
    <t>Matias</t>
  </si>
  <si>
    <t>Cape Coral Unit 85 Blk 5649 Pb 24 Pg 57 Lots 19 + 20</t>
  </si>
  <si>
    <t>Cypress Woods Rv Resort Unit 4 Pb 79 Pgs 68-71 Blk D Lot 127</t>
  </si>
  <si>
    <t xml:space="preserve">902 NE 15th Ln </t>
  </si>
  <si>
    <t xml:space="preserve">4252 NE 18th Ave </t>
  </si>
  <si>
    <t>33909-2828</t>
  </si>
  <si>
    <t xml:space="preserve">1222 High St </t>
  </si>
  <si>
    <t>Abel</t>
  </si>
  <si>
    <t>George Rogers</t>
  </si>
  <si>
    <t>Providence Point</t>
  </si>
  <si>
    <t xml:space="preserve">339 NE 17th St  Cape Coral, FL 33909 </t>
  </si>
  <si>
    <t xml:space="preserve">460 Palm Is SE </t>
  </si>
  <si>
    <t>Randall</t>
  </si>
  <si>
    <t>Georgius</t>
  </si>
  <si>
    <t>Piercy</t>
  </si>
  <si>
    <t>Cape Coral Unit 31 Blk 2065 Pb 14 Pg 161 Lots 5 + 6</t>
  </si>
  <si>
    <t>Josefa Kulka</t>
  </si>
  <si>
    <t xml:space="preserve">49 Rosebud Ln </t>
  </si>
  <si>
    <t xml:space="preserve">1917 NE 34th Ter  Cape Coral, FL 33909 </t>
  </si>
  <si>
    <t>06-44-24-c4-02099.0010</t>
  </si>
  <si>
    <t>10312-3950</t>
  </si>
  <si>
    <t>Donald &amp; Lori Kleinschmidt</t>
  </si>
  <si>
    <t xml:space="preserve">11511 Bubble Shell Dr  Fort Myers, FL 33908 </t>
  </si>
  <si>
    <t xml:space="preserve">375 Ottumwa Ave </t>
  </si>
  <si>
    <t>Pearl Clarke</t>
  </si>
  <si>
    <t xml:space="preserve">Po Box 72 </t>
  </si>
  <si>
    <t xml:space="preserve">7425 E 300 S </t>
  </si>
  <si>
    <t xml:space="preserve">1631 NE 36th St  Cape Coral, FL 33909 </t>
  </si>
  <si>
    <t xml:space="preserve">927 NE 34th St </t>
  </si>
  <si>
    <t>Mehlgarten</t>
  </si>
  <si>
    <t xml:space="preserve">3243 NE 13th Ave </t>
  </si>
  <si>
    <t>Cape Coral Unit 87 Blk 5711 Pb 24 Pg 71 Lot 26</t>
  </si>
  <si>
    <t xml:space="preserve">1012 NE 36th St  Cape Coral, FL 33909 </t>
  </si>
  <si>
    <t>48166-9333</t>
  </si>
  <si>
    <t>Bayonet Point</t>
  </si>
  <si>
    <t>32-43-24-c2-02188.0670</t>
  </si>
  <si>
    <t>Highway H</t>
  </si>
  <si>
    <t>Winifred</t>
  </si>
  <si>
    <t>60126-3066</t>
  </si>
  <si>
    <t xml:space="preserve">221 Woodbine Ave  Syracuse, NY 13206-3302 </t>
  </si>
  <si>
    <t>91914-2609</t>
  </si>
  <si>
    <t xml:space="preserve">PO Box 126205  Hialeah, FL 33012-1603 </t>
  </si>
  <si>
    <t>Spring Acres</t>
  </si>
  <si>
    <t xml:space="preserve">10240 SW 215th St  Cutler Bay, FL 33189-3038 </t>
  </si>
  <si>
    <t xml:space="preserve">303 N Avenue B </t>
  </si>
  <si>
    <t xml:space="preserve">4521 SW 136th Pl  Miami, FL 33175-3720 </t>
  </si>
  <si>
    <t>Terrance Martin &amp; Rebecca Stokes</t>
  </si>
  <si>
    <t>19-43-24-c3-05623.0150</t>
  </si>
  <si>
    <t>Pablo &amp; Neri Linares</t>
  </si>
  <si>
    <t xml:space="preserve">5225 Brandon Pines Way  Providence Forge, VA 23140-3542 </t>
  </si>
  <si>
    <t xml:space="preserve">4126 SE 3rd Ave  Cape Coral, FL 33904 </t>
  </si>
  <si>
    <t>33184-1617</t>
  </si>
  <si>
    <t>33583-8047</t>
  </si>
  <si>
    <t xml:space="preserve">1507 Oakwood Dr  Albert Lea, MN 56007-1544 </t>
  </si>
  <si>
    <t>46142-8363</t>
  </si>
  <si>
    <t xml:space="preserve">3 Stewart Pl  Spring Valley, NY 10977-2335 </t>
  </si>
  <si>
    <t>33905-7643</t>
  </si>
  <si>
    <t>31-43-24-c2-02125.0180</t>
  </si>
  <si>
    <t>Viola</t>
  </si>
  <si>
    <t>Schertell</t>
  </si>
  <si>
    <t>33909-1605</t>
  </si>
  <si>
    <t>29-43-24-c4-02258.0100</t>
  </si>
  <si>
    <t>11229-3210</t>
  </si>
  <si>
    <t>33903-2831</t>
  </si>
  <si>
    <t xml:space="preserve">918 Kismet Pkwy E </t>
  </si>
  <si>
    <t>Hagenbuch</t>
  </si>
  <si>
    <t>Frederico</t>
  </si>
  <si>
    <t>31-43-24-c2-02139.0440</t>
  </si>
  <si>
    <t>Brownsville</t>
  </si>
  <si>
    <t>Cape Coral Unit 31 Blk 2073 Pb 14 Pg 161 Lots 52 + 53</t>
  </si>
  <si>
    <t>Cape Coral Unit 87 Blk 5753 Pb 24 Pg 69 Lots 54 + 55</t>
  </si>
  <si>
    <t xml:space="preserve">1286 E 53rd St  Brooklyn, NY 11234-2312 </t>
  </si>
  <si>
    <t>James &amp; Mary Carr</t>
  </si>
  <si>
    <t>33909-1316</t>
  </si>
  <si>
    <t xml:space="preserve">2202 NE 24th Ter  Cape Coral, FL 33909 </t>
  </si>
  <si>
    <t xml:space="preserve">916 NE 20th St </t>
  </si>
  <si>
    <t xml:space="preserve">5138 8 Line </t>
  </si>
  <si>
    <t xml:space="preserve">1726 NE 1st Pl  Cape Coral, FL 33909 </t>
  </si>
  <si>
    <t>33909-4474</t>
  </si>
  <si>
    <t xml:space="preserve">6044 Jadestone Ave </t>
  </si>
  <si>
    <t>Holly Tree</t>
  </si>
  <si>
    <t xml:space="preserve">4374 Thielen Ave  Minneapolis, MN 55436-1523 </t>
  </si>
  <si>
    <t xml:space="preserve">1126 NE 12th St  Cape Coral, FL 33909 </t>
  </si>
  <si>
    <t>Keppler &amp; Kingdom Keppler</t>
  </si>
  <si>
    <t xml:space="preserve">721 E 43rd St </t>
  </si>
  <si>
    <t>Whispering Hills</t>
  </si>
  <si>
    <t xml:space="preserve">1313 NE 33rd Ter  Cape Coral, FL 33909 </t>
  </si>
  <si>
    <t>33905-8616</t>
  </si>
  <si>
    <t xml:space="preserve">1204 NE 11th Ter  Cape Coral, FL 33909 </t>
  </si>
  <si>
    <t>Chi Liu &amp; Anita Li</t>
  </si>
  <si>
    <t xml:space="preserve">2217 NE 33rd St  Cape Coral, FL 33909 </t>
  </si>
  <si>
    <t xml:space="preserve">10420 Windy Hill Rd </t>
  </si>
  <si>
    <t xml:space="preserve">5454/5456 Seventh Ave  Fort Myers, FL 33907 </t>
  </si>
  <si>
    <t>Cape Coral Unit 35 Blk 2364 Pb 16 Pg 105 Lots 17 + 18</t>
  </si>
  <si>
    <t xml:space="preserve">33 E Decatur Ave </t>
  </si>
  <si>
    <t>Bonaguaro</t>
  </si>
  <si>
    <t xml:space="preserve">17055 NW 78th Ave </t>
  </si>
  <si>
    <t xml:space="preserve">547 Brookfield Dr  Centreville, MD 21617-2397 </t>
  </si>
  <si>
    <t xml:space="preserve">1480 Washington Rd  Washington, PA 15301-9647 </t>
  </si>
  <si>
    <t>07407-2817</t>
  </si>
  <si>
    <t xml:space="preserve">10441 117th St </t>
  </si>
  <si>
    <t>28092-1750</t>
  </si>
  <si>
    <t>34465-3078</t>
  </si>
  <si>
    <t>Charles Holmes</t>
  </si>
  <si>
    <t>Cape Coral Unit 87 Blk 5712 Pb 24 Pg 76 Lot 39</t>
  </si>
  <si>
    <t xml:space="preserve">3533 NE 18th Ave </t>
  </si>
  <si>
    <t>33172-5720</t>
  </si>
  <si>
    <t xml:space="preserve">21 Christina Ave </t>
  </si>
  <si>
    <t>Oscar &amp; Aide Chanchavac</t>
  </si>
  <si>
    <t>Ronald &amp; Lillian Beauregard</t>
  </si>
  <si>
    <t>Ana Jimenez</t>
  </si>
  <si>
    <t>60076-2307</t>
  </si>
  <si>
    <t xml:space="preserve">8400 N Reynard Rd  Albany, IN 47320-9578 </t>
  </si>
  <si>
    <t xml:space="preserve">5220 Marsh Mallow Trl </t>
  </si>
  <si>
    <t>Palmona Park Unit 1 Blk 19 Pb 7 Pg 54 Lots 3 + 4</t>
  </si>
  <si>
    <t>52nd</t>
  </si>
  <si>
    <t>25-43-23-c2-02348.0070</t>
  </si>
  <si>
    <t>Cape Coral Unit 17 Blk.1481 Pb 14 Pg 29 Lots 36 + 37</t>
  </si>
  <si>
    <t xml:space="preserve">2205 NE 5th St </t>
  </si>
  <si>
    <t>Andre</t>
  </si>
  <si>
    <t xml:space="preserve">1400 NE 15th Ter </t>
  </si>
  <si>
    <t>19-43-24-c4-05565.0030</t>
  </si>
  <si>
    <t xml:space="preserve">1824 NE 13th Pl  Cape Coral, FL 33909 </t>
  </si>
  <si>
    <t xml:space="preserve">3344 Tupelo Ln </t>
  </si>
  <si>
    <t xml:space="preserve">29 Huerbeek </t>
  </si>
  <si>
    <t>98031-2153</t>
  </si>
  <si>
    <t xml:space="preserve">154 Highview Ave </t>
  </si>
  <si>
    <t xml:space="preserve">162 Chateau Thierry Ave  Madison, NJ 07940-1100 </t>
  </si>
  <si>
    <t>Ruth Longo</t>
  </si>
  <si>
    <t>Cape Coral Unit 2 Pt.2 Amd Blk.101 Pb 11 Pg 98 Lots 73 + 74</t>
  </si>
  <si>
    <t>Hovesepian</t>
  </si>
  <si>
    <t>Robert &amp; Anna Trubiano</t>
  </si>
  <si>
    <t>Crandon</t>
  </si>
  <si>
    <t>33909-3251</t>
  </si>
  <si>
    <t>Massillon</t>
  </si>
  <si>
    <t>Speulveda</t>
  </si>
  <si>
    <t>Wayne &amp; Mary Filsinger</t>
  </si>
  <si>
    <t xml:space="preserve">14620 Hawthorne Ave  Flushing, NY 11355-2238 </t>
  </si>
  <si>
    <t xml:space="preserve">12521 Mustang Dr  Poway, CA 92064-6043 </t>
  </si>
  <si>
    <t>Bernadett</t>
  </si>
  <si>
    <t xml:space="preserve">4421 Shawn Dr </t>
  </si>
  <si>
    <t xml:space="preserve">87 Rosebower Ln  Gilbertsville, KY 42044-8636 </t>
  </si>
  <si>
    <t>Mccleary</t>
  </si>
  <si>
    <t xml:space="preserve">6011 Higgins Ave </t>
  </si>
  <si>
    <t>Margaretta</t>
  </si>
  <si>
    <t>Punta Gorda</t>
  </si>
  <si>
    <t>Tropic Isles Sec 4 Unit 1 Pb 11 Pg 67 Lot 20</t>
  </si>
  <si>
    <t>Wertz</t>
  </si>
  <si>
    <t>Osseck</t>
  </si>
  <si>
    <t>Pine Meadow</t>
  </si>
  <si>
    <t>19-43-24-c3-05608.0340</t>
  </si>
  <si>
    <t xml:space="preserve">4226 NE 17th Ave </t>
  </si>
  <si>
    <t>Lucy &amp; For Melendez</t>
  </si>
  <si>
    <t>Fawzia</t>
  </si>
  <si>
    <t>33909-4224</t>
  </si>
  <si>
    <t xml:space="preserve">6201 Coral Lake Dr </t>
  </si>
  <si>
    <t>Cecilia Polanco</t>
  </si>
  <si>
    <t>Rizalina</t>
  </si>
  <si>
    <t xml:space="preserve">5790 Maplewood Ct </t>
  </si>
  <si>
    <t>33909-7382</t>
  </si>
  <si>
    <t>Yield</t>
  </si>
  <si>
    <t xml:space="preserve">47/2 Via Commerciale  Bonita Springs, FL 34134 </t>
  </si>
  <si>
    <t xml:space="preserve">8 Hill St </t>
  </si>
  <si>
    <t xml:space="preserve">62791 County Road 3  Elkhart, IN 46517-8920 </t>
  </si>
  <si>
    <t>33012-6825</t>
  </si>
  <si>
    <t>Denzil</t>
  </si>
  <si>
    <t>Price</t>
  </si>
  <si>
    <t>Ayala</t>
  </si>
  <si>
    <t xml:space="preserve">1114 SE 29th St </t>
  </si>
  <si>
    <t>32-43-24-c2-02231.0180</t>
  </si>
  <si>
    <t>09-44-26-01-00000.009h</t>
  </si>
  <si>
    <t xml:space="preserve">110 Harriett St  Wanaque, NJ 07465-2219 </t>
  </si>
  <si>
    <t>33901-4937</t>
  </si>
  <si>
    <t>11379-1128</t>
  </si>
  <si>
    <t>Takako</t>
  </si>
  <si>
    <t>Half Moon Point</t>
  </si>
  <si>
    <t>Vanlerberg</t>
  </si>
  <si>
    <t>Cape Coral Unit 47 Pt 2 Blk 3538 Pb 23 Pg 121 Lots 34 + 35</t>
  </si>
  <si>
    <t>Cape Coral Unit 87 Blk 5685 Pb 24 Pg 74 Lots 63 + 64</t>
  </si>
  <si>
    <t>Raichel</t>
  </si>
  <si>
    <t>Dayron Fernandez &amp; Kenia Rivera</t>
  </si>
  <si>
    <t>33905-4823</t>
  </si>
  <si>
    <t>33160-3321</t>
  </si>
  <si>
    <t>Dasilva Jose M Tr</t>
  </si>
  <si>
    <t>David Charles Reilly Living Trust</t>
  </si>
  <si>
    <t>Turgeon</t>
  </si>
  <si>
    <t xml:space="preserve">6034 Joplin Ave  Fort Myers, FL 33905 </t>
  </si>
  <si>
    <t>Rory Collins Ira</t>
  </si>
  <si>
    <t>33909-1943</t>
  </si>
  <si>
    <t>Cypress Trail Rv Resort Ph 3 As Desc In Inst# 2015000085552 Lot 64</t>
  </si>
  <si>
    <t>Phan</t>
  </si>
  <si>
    <t>31-43-24-c2-02232.0400</t>
  </si>
  <si>
    <t>PO Box 816-07487</t>
  </si>
  <si>
    <t xml:space="preserve">219 Alta Vista Dr  Candler, NC 28715-8839 </t>
  </si>
  <si>
    <t xml:space="preserve">5122 SW 159th Ct </t>
  </si>
  <si>
    <t>16-44-24-l2-36000.0020</t>
  </si>
  <si>
    <t>Kevin &amp; Kurt Gundersen</t>
  </si>
  <si>
    <t xml:space="preserve">5179 Cypress Trail Resort Cir  Fort Myers, FL 33905 </t>
  </si>
  <si>
    <t>Van Nguyen</t>
  </si>
  <si>
    <t xml:space="preserve">3600 SW 141st Ave  Miramar, FL 33027-3240 </t>
  </si>
  <si>
    <t>33909-1654</t>
  </si>
  <si>
    <t>01-44-23-c2-02436.0470</t>
  </si>
  <si>
    <t>06-44-24-c1-02068.0330</t>
  </si>
  <si>
    <t xml:space="preserve">301 Tropicana Pkwy E </t>
  </si>
  <si>
    <t>Lake George</t>
  </si>
  <si>
    <t xml:space="preserve">501 Avellino Isles Cir #39201 </t>
  </si>
  <si>
    <t>Chang Chun St Yangmingshan</t>
  </si>
  <si>
    <t>Reem</t>
  </si>
  <si>
    <t xml:space="preserve">9 Cobblestone Cir </t>
  </si>
  <si>
    <t>West Lafayette</t>
  </si>
  <si>
    <t xml:space="preserve">2474 E 7th St </t>
  </si>
  <si>
    <t>Pelham</t>
  </si>
  <si>
    <t>Zambrano</t>
  </si>
  <si>
    <t>Roberto Collazo</t>
  </si>
  <si>
    <t>Twin Lakes</t>
  </si>
  <si>
    <t>Dows</t>
  </si>
  <si>
    <t>Dufresne</t>
  </si>
  <si>
    <t xml:space="preserve">17681 NW 88th Ave  Hialeah, FL 33018-6619 </t>
  </si>
  <si>
    <t>Ciliotta</t>
  </si>
  <si>
    <t xml:space="preserve">2120 NE 43rd Ln </t>
  </si>
  <si>
    <t xml:space="preserve">3829 NE 23rd Pl </t>
  </si>
  <si>
    <t xml:space="preserve">27 Franklin Ct #27 </t>
  </si>
  <si>
    <t xml:space="preserve">2009 NE 42nd St </t>
  </si>
  <si>
    <t xml:space="preserve">6129 Chickering Ct </t>
  </si>
  <si>
    <t xml:space="preserve">Toronto Ct </t>
  </si>
  <si>
    <t>PO Box 263</t>
  </si>
  <si>
    <t>33909-8840</t>
  </si>
  <si>
    <t xml:space="preserve">5451 28th Ave SW </t>
  </si>
  <si>
    <t>Cape Coral Unit 36 Blk 2343 Pb 16 Pg 124 Lots 35 + 36</t>
  </si>
  <si>
    <t xml:space="preserve">8905 W Lakeside Dr  Sioux Falls, SD 57107-3024 </t>
  </si>
  <si>
    <t xml:space="preserve">842 Outrigger Cv </t>
  </si>
  <si>
    <t>Codner M D Tr</t>
  </si>
  <si>
    <t xml:space="preserve">911 SE 28th Ter </t>
  </si>
  <si>
    <t>R039</t>
  </si>
  <si>
    <t>Schlierf</t>
  </si>
  <si>
    <t>Dehaven</t>
  </si>
  <si>
    <t xml:space="preserve">333 Stockton St  North Fort Myers, FL 33903 </t>
  </si>
  <si>
    <t xml:space="preserve">2503 Boddington Ln  Naperville, IL 60564-9487 </t>
  </si>
  <si>
    <t>Lehigh Acres Unit 4 Blk 24 Pb 26 Pg 31 Lot 2</t>
  </si>
  <si>
    <t>Coral Waters Unrec. Or 520 Pg 713 Lot 11 Less Or 1762/1030</t>
  </si>
  <si>
    <t>Svetlana Levitina</t>
  </si>
  <si>
    <t xml:space="preserve">13485 87th St </t>
  </si>
  <si>
    <t>13739-1214</t>
  </si>
  <si>
    <t xml:space="preserve">29681 Strawberry Hill Dr </t>
  </si>
  <si>
    <t xml:space="preserve">118 Wilton Ave  Middlesex, NJ 08846-2550 </t>
  </si>
  <si>
    <t>Cape Coral Unit 87 Blk 5738 Pb 24 Pg 78 Lots 37 + 38</t>
  </si>
  <si>
    <t>29-43-24-c3-02277.0450</t>
  </si>
  <si>
    <t>06-46-24-15-00000.2710</t>
  </si>
  <si>
    <t>Harold Pretel</t>
  </si>
  <si>
    <t>Bellecombe</t>
  </si>
  <si>
    <t>Tice Heights Blk D Pb 5 Pg 32 Lot 15</t>
  </si>
  <si>
    <t xml:space="preserve">510 NE 20th Ter  Cape Coral, FL 33909 </t>
  </si>
  <si>
    <t>Jaime &amp; Elenita Malimban</t>
  </si>
  <si>
    <t>33909-5496</t>
  </si>
  <si>
    <t xml:space="preserve">3507 NE 17th Ave </t>
  </si>
  <si>
    <t>Theresa &amp; Eric Smith</t>
  </si>
  <si>
    <t xml:space="preserve">155 Waters Edge  Congers, NY 10920-2617 </t>
  </si>
  <si>
    <t xml:space="preserve">734 Dennis Pl  Linden, NJ 07036-1231 </t>
  </si>
  <si>
    <t>60449-9548</t>
  </si>
  <si>
    <t>33186-6517</t>
  </si>
  <si>
    <t>America Outdoors Camper Resort 1 Condo Blk W Or 1673 Pg 2487 Unit 18A</t>
  </si>
  <si>
    <t>Cape Coral Unit 33 Blk.2267 Pb 16 Pg 61 Lots 45 + 46</t>
  </si>
  <si>
    <t>25-43-23-c2-02312.0410</t>
  </si>
  <si>
    <t>Francis Tran</t>
  </si>
  <si>
    <t xml:space="preserve">4313 Garden Blvd </t>
  </si>
  <si>
    <t>For Carmel L Wood Jr Family Trust</t>
  </si>
  <si>
    <t xml:space="preserve">2030 NE 33rd Ln  Cape Coral, FL 33909 </t>
  </si>
  <si>
    <t xml:space="preserve">327 NE 15th St </t>
  </si>
  <si>
    <t>Cape Coral Unit 47 Pt 2 Blk 3525 Pb 23 Pg 122 Lots 36 + 37</t>
  </si>
  <si>
    <t>33905-7731</t>
  </si>
  <si>
    <t>17-43-24-c3-05786.0410</t>
  </si>
  <si>
    <t xml:space="preserve">10343 Prairie Iris Dr </t>
  </si>
  <si>
    <t>29-43-24-c4-02263.0130</t>
  </si>
  <si>
    <t>Svetlana</t>
  </si>
  <si>
    <t>33909-9235</t>
  </si>
  <si>
    <t xml:space="preserve">6142 Hughes Ave </t>
  </si>
  <si>
    <t xml:space="preserve">152 Ginger Hill Ct </t>
  </si>
  <si>
    <t xml:space="preserve">17007 Puppy Dog Dr </t>
  </si>
  <si>
    <t>For Herbert C Queisser Trust</t>
  </si>
  <si>
    <t>33909-6469</t>
  </si>
  <si>
    <t>32-43-24-c1-02181.0650</t>
  </si>
  <si>
    <t>Yasmin</t>
  </si>
  <si>
    <t>Richard &amp; Mary Dalling</t>
  </si>
  <si>
    <t>Lehigh Acres W 1/2 Ut 13 Blk 76 Pb 26 Pg 18 Lots 5 + 6</t>
  </si>
  <si>
    <t xml:space="preserve">4 Emily Ter </t>
  </si>
  <si>
    <t>01-44-23-c1-02463.0260</t>
  </si>
  <si>
    <t>Soheila Ajabshir</t>
  </si>
  <si>
    <t xml:space="preserve">1053 120th St  Roberts, WI 54023-8425 </t>
  </si>
  <si>
    <t>33909-4562</t>
  </si>
  <si>
    <t>Cline</t>
  </si>
  <si>
    <t>106 6CT</t>
  </si>
  <si>
    <t xml:space="preserve">27d Sur 60 #201, Antioquia Sa, CO </t>
  </si>
  <si>
    <t>14626-3662</t>
  </si>
  <si>
    <t xml:space="preserve">5157 Cypress Trail Resort Cir </t>
  </si>
  <si>
    <t>Cape Coral Unit 60 Blk 4272 Pb 19 Pg 169 Lots 9 Thru 11</t>
  </si>
  <si>
    <t xml:space="preserve">6101 Hendley Ct  Fort Myers, FL 33905 </t>
  </si>
  <si>
    <t>33909-4273</t>
  </si>
  <si>
    <t>Robert Grannis &amp; John Starring</t>
  </si>
  <si>
    <t>Francisco Gomez</t>
  </si>
  <si>
    <t>Timothy &amp; Donna Kline</t>
  </si>
  <si>
    <t>25-43-23-c2-02313.0210</t>
  </si>
  <si>
    <t xml:space="preserve">3116 76th St  East Elmhurst, NY 11370-1823 </t>
  </si>
  <si>
    <t xml:space="preserve">PO Box 802  Burton, OH 44021 </t>
  </si>
  <si>
    <t xml:space="preserve">965 Mirror Lake Ln </t>
  </si>
  <si>
    <t>Tavara</t>
  </si>
  <si>
    <t>33909-8301</t>
  </si>
  <si>
    <t>25-43-23-c3-02352.0240</t>
  </si>
  <si>
    <t xml:space="preserve">1906 1st St NE </t>
  </si>
  <si>
    <t>25-43-23-c3-02314.0200</t>
  </si>
  <si>
    <t>33909-3507</t>
  </si>
  <si>
    <t xml:space="preserve">2131 NE 2nd Pl  Cape Coral, FL 33909 </t>
  </si>
  <si>
    <t xml:space="preserve">707 Cleveland Ave </t>
  </si>
  <si>
    <t xml:space="preserve">38 Howes St  Ajax, ON L1t 3V5 </t>
  </si>
  <si>
    <t xml:space="preserve">16 Deer Ln  Jericho, NY 11753-2609 </t>
  </si>
  <si>
    <t>27604-5802</t>
  </si>
  <si>
    <t>04401-3460</t>
  </si>
  <si>
    <t>Pikeville</t>
  </si>
  <si>
    <t>Buckingham Pk Re Blk B U-3 Blk 13 Pb 27 Pg 190 Lot 12</t>
  </si>
  <si>
    <t>Diana Skeffrey</t>
  </si>
  <si>
    <t>Phyllis Morenberg</t>
  </si>
  <si>
    <t xml:space="preserve">1630 NE 17th Ter  Cape Coral, FL 33909 </t>
  </si>
  <si>
    <t xml:space="preserve">7 Tropicana Pkwy E </t>
  </si>
  <si>
    <t xml:space="preserve">5173 Cypress Trail Resort Cir </t>
  </si>
  <si>
    <t>33190-1158</t>
  </si>
  <si>
    <t xml:space="preserve">524 SE 26th Ter  Cape Coral, FL 33904 </t>
  </si>
  <si>
    <t xml:space="preserve">2222 NE 8th Pl </t>
  </si>
  <si>
    <t xml:space="preserve">6077 Laurelwood Dr  Fort Myers, FL 33905 </t>
  </si>
  <si>
    <t>For Timothy W Paul Trust</t>
  </si>
  <si>
    <t>Margaret Tebo</t>
  </si>
  <si>
    <t xml:space="preserve">110 Lionhead Trai </t>
  </si>
  <si>
    <t xml:space="preserve">3844 Highlight St  Fort Myers, FL 33905 </t>
  </si>
  <si>
    <t>Stephen &amp; Eileen Redmeier</t>
  </si>
  <si>
    <t xml:space="preserve">6502 Suson Oaks Dr  Saint Louis, MO 63128-4517 </t>
  </si>
  <si>
    <t>Bernabe Arriaga</t>
  </si>
  <si>
    <t>Keith &amp; Tammy Ott</t>
  </si>
  <si>
    <t>Cypress Woods Rv Resort Un 3 Desc In Pb 72 Pgs 92-95 Blk C Lot 75</t>
  </si>
  <si>
    <t>03-44-26-02-00007.0070</t>
  </si>
  <si>
    <t>Beg Se Cor Of Ne 1/4 Sec 9 Th W 380 Ft Alg Th 1/4 Sec Li Th N 260.5 Ft To Pob Th</t>
  </si>
  <si>
    <t>33909-1992</t>
  </si>
  <si>
    <t>19-43-24-c3-05607.0050</t>
  </si>
  <si>
    <t>SC</t>
  </si>
  <si>
    <t>Lennox</t>
  </si>
  <si>
    <t>17-43-24-c1-05739.0030</t>
  </si>
  <si>
    <t>Salford</t>
  </si>
  <si>
    <t xml:space="preserve">580 S Clinton St 5b </t>
  </si>
  <si>
    <t xml:space="preserve">2616 Sea Pine Ln </t>
  </si>
  <si>
    <t>Cape Coral Unit 36 Blk 2515 Pb 16 Pg 113 Lots 68 + 69</t>
  </si>
  <si>
    <t>Brian Mangar</t>
  </si>
  <si>
    <t xml:space="preserve">1522 SE 41st Ter </t>
  </si>
  <si>
    <t>William Berl &amp; Rosaline Roman</t>
  </si>
  <si>
    <t>Cape Coral Unit 34 Blk 2450 Pb 16 Pg 84 Lots 23 + 24</t>
  </si>
  <si>
    <t>Julio</t>
  </si>
  <si>
    <t>15563-7889</t>
  </si>
  <si>
    <t>08-44-24-c3-01525.0690</t>
  </si>
  <si>
    <t xml:space="preserve">37922 Marina Rd #73, Ocean View, DE 19970-3382 </t>
  </si>
  <si>
    <t xml:space="preserve">1141 Mcbride St 2b </t>
  </si>
  <si>
    <t>Cypress Woods Rv Resort Un 3 Desc In Pb 72 Pgs 92-95 Blk C Lot 116</t>
  </si>
  <si>
    <t>33909-3050</t>
  </si>
  <si>
    <t xml:space="preserve">4141 NE 16th Ave  Cape Coral, FL 33909 </t>
  </si>
  <si>
    <t xml:space="preserve">15720 SW 53rd Ct  Southwest Ranches, FL 33331-3301 </t>
  </si>
  <si>
    <t xml:space="preserve">2541 NE 19th Pl  Cape Coral, FL 33909 </t>
  </si>
  <si>
    <t>Cape Coral Unit 4 Pt.2 Blk.150 Pb 12 Pg 13 Lots 29 + 30</t>
  </si>
  <si>
    <t xml:space="preserve">26 NE 9th Ave  Cape Coral, FL 33909 </t>
  </si>
  <si>
    <t xml:space="preserve">1129 Pine St </t>
  </si>
  <si>
    <t>Xingcheng Wang</t>
  </si>
  <si>
    <t>William &amp; Flor Warthon</t>
  </si>
  <si>
    <t xml:space="preserve">2108 NE 5th Pl </t>
  </si>
  <si>
    <t>Cape Coral Unit 87 Blk 5747 Pb 24 Pg 70 Lots 37 + 38</t>
  </si>
  <si>
    <t>Jose Machado</t>
  </si>
  <si>
    <t xml:space="preserve">38701 7 mile Rd #195, Livonia, MI 48152-3967 </t>
  </si>
  <si>
    <t>Madalin</t>
  </si>
  <si>
    <t xml:space="preserve">10052 Twin Lakes Dr 37-g </t>
  </si>
  <si>
    <t>Separovich &amp; Leo Keating</t>
  </si>
  <si>
    <t>Ivan &amp; Ivan Carroll</t>
  </si>
  <si>
    <t>Cape Coral Ut 87 Blk 5752 Pb 24 Pg 68 Lots 25 + 26</t>
  </si>
  <si>
    <t>Rosemaria Degroot</t>
  </si>
  <si>
    <t>33125-2018</t>
  </si>
  <si>
    <t xml:space="preserve">1802 NE 34th Ln  Cape Coral, FL 33909 </t>
  </si>
  <si>
    <t xml:space="preserve">131 Daniel Webster Hwy  Nashua, NH 03060-5224 </t>
  </si>
  <si>
    <t>Arnold</t>
  </si>
  <si>
    <t>Manteno</t>
  </si>
  <si>
    <t>Zhenia</t>
  </si>
  <si>
    <t xml:space="preserve">507 NE Juanita Pl </t>
  </si>
  <si>
    <t>80230-6185</t>
  </si>
  <si>
    <t xml:space="preserve">4435 W Torino Ave </t>
  </si>
  <si>
    <t>R088</t>
  </si>
  <si>
    <t>Deryl &amp; Colleen Dykun</t>
  </si>
  <si>
    <t xml:space="preserve">19681 Summerlin Rd #327 </t>
  </si>
  <si>
    <t xml:space="preserve">1413 SE 29th Ter  Cape Coral, FL 33904 </t>
  </si>
  <si>
    <t xml:space="preserve">2922 NE 6th Ave  Cape Coral, FL 33909 </t>
  </si>
  <si>
    <t>Konrad-Adenauer-Str</t>
  </si>
  <si>
    <t xml:space="preserve">15141 Cemetery Rd  Fort Myers, FL 33905 </t>
  </si>
  <si>
    <t>Loxahatchee</t>
  </si>
  <si>
    <t>32-43-24-c4-02196.0230</t>
  </si>
  <si>
    <t>33322-3269</t>
  </si>
  <si>
    <t>45103-8447</t>
  </si>
  <si>
    <t>29-43-24-c3-02249.0180</t>
  </si>
  <si>
    <t>Wykoff</t>
  </si>
  <si>
    <t>24-45-23-c2-00141.0340</t>
  </si>
  <si>
    <t xml:space="preserve">21739 N Park Dr  Cleveland, OH 44126-2327 </t>
  </si>
  <si>
    <t xml:space="preserve">641 Mokena Dr </t>
  </si>
  <si>
    <t xml:space="preserve">3232 NE 13th Pl </t>
  </si>
  <si>
    <t>Marco Perez</t>
  </si>
  <si>
    <t>Michael &amp; For Kremski</t>
  </si>
  <si>
    <t>Kenmar</t>
  </si>
  <si>
    <t xml:space="preserve">2097 Overbrook Dr </t>
  </si>
  <si>
    <t xml:space="preserve">5008 Creal Rd </t>
  </si>
  <si>
    <t>Vivo</t>
  </si>
  <si>
    <t>Steven Pomeroy</t>
  </si>
  <si>
    <t>Solange Joseph</t>
  </si>
  <si>
    <t xml:space="preserve">2808 NE 7th Pl  Cape Coral, FL 33909 </t>
  </si>
  <si>
    <t>Tang Ruixia Tr</t>
  </si>
  <si>
    <t>Suter</t>
  </si>
  <si>
    <t>Cape Coral Unit 36 Blk 2346 Pb 16 Pg 124 Lots 3 &amp; 4</t>
  </si>
  <si>
    <t xml:space="preserve">3 Peace St </t>
  </si>
  <si>
    <t xml:space="preserve">1057 Hillsboro Mile #214 </t>
  </si>
  <si>
    <t>32-43-24-c1-02199.0360</t>
  </si>
  <si>
    <t>Rock Creek</t>
  </si>
  <si>
    <t>Blyth</t>
  </si>
  <si>
    <t>33905-7780</t>
  </si>
  <si>
    <t>Demaria</t>
  </si>
  <si>
    <t>TN</t>
  </si>
  <si>
    <t>Arsenio</t>
  </si>
  <si>
    <t>33905-4333</t>
  </si>
  <si>
    <t>Christopher &amp; Patricia Brewington</t>
  </si>
  <si>
    <t>33904-3310</t>
  </si>
  <si>
    <t xml:space="preserve">2316 Mesa Verde </t>
  </si>
  <si>
    <t xml:space="preserve">4103 Ridgebrook Dr </t>
  </si>
  <si>
    <t>Lomelin</t>
  </si>
  <si>
    <t>4g</t>
  </si>
  <si>
    <t xml:space="preserve">117 Bells Hill Rd  Landisburg, PA 17040-9304 </t>
  </si>
  <si>
    <t xml:space="preserve">259 Mathews Ave NE </t>
  </si>
  <si>
    <t>Sunega</t>
  </si>
  <si>
    <t>Cape Coral Unit 26 Blk 867 Pb 14 Pg 131 Lots 13 + 14</t>
  </si>
  <si>
    <t>De La Chaloupe</t>
  </si>
  <si>
    <t>N3618</t>
  </si>
  <si>
    <t xml:space="preserve">3847 Rock Hampton Dr </t>
  </si>
  <si>
    <t xml:space="preserve">232 Penfield Pl L, Dunellen, NJ 08812-1627 </t>
  </si>
  <si>
    <t>33909-6900</t>
  </si>
  <si>
    <t>Luz</t>
  </si>
  <si>
    <t xml:space="preserve">330 NE 27th Ter </t>
  </si>
  <si>
    <t>Cape Coral Unit 87 Blk 5723 Pb 24 Pg 80 Lots 31 + 32</t>
  </si>
  <si>
    <t>Esteban</t>
  </si>
  <si>
    <t xml:space="preserve">154 Nina Ln  Fruitland, MD 21826-1900 </t>
  </si>
  <si>
    <t>Michael Humphreys</t>
  </si>
  <si>
    <t>06-46-24-03-0000a.0300</t>
  </si>
  <si>
    <t>Cape Coral Unit 31 Blk 2059 Pb 14 Pg 158 Lots 3 + 4</t>
  </si>
  <si>
    <t>Howlett</t>
  </si>
  <si>
    <t>12-44-23-c2-02410.0280</t>
  </si>
  <si>
    <t>Aiko &amp; Directed Miyatake</t>
  </si>
  <si>
    <t>Piney Flats</t>
  </si>
  <si>
    <t xml:space="preserve">10082 Rambelwood Ct  Fort Myers, FL 33905 </t>
  </si>
  <si>
    <t xml:space="preserve">2004 NE 15th Pl  Cape Coral, FL 33909 </t>
  </si>
  <si>
    <t xml:space="preserve">10075 Parkwood Dr </t>
  </si>
  <si>
    <t xml:space="preserve">4008 NE 10th Pl </t>
  </si>
  <si>
    <t xml:space="preserve">313 NE 24th Ter </t>
  </si>
  <si>
    <t>Steve Irrevocable Heritage Trust</t>
  </si>
  <si>
    <t>Cape Coral Unit 31 Blk 2066 Pb 14 Pg 163 Lots 43 + 44</t>
  </si>
  <si>
    <t xml:space="preserve">325 NE 19th Ave  Cape Coral, FL 33909 </t>
  </si>
  <si>
    <t>Escondido</t>
  </si>
  <si>
    <t>PO Box 570854</t>
  </si>
  <si>
    <t xml:space="preserve">20 Ortlieb Ln  Ocean View, NJ 08230-1325 </t>
  </si>
  <si>
    <t>David Carson</t>
  </si>
  <si>
    <t>For Mcmahon Family Trust</t>
  </si>
  <si>
    <t>Oteroalburquerque</t>
  </si>
  <si>
    <t>03-44-26-10-00050.0200</t>
  </si>
  <si>
    <t>34207-2321</t>
  </si>
  <si>
    <t xml:space="preserve">1314 NE 19th Pl  Cape Coral, FL 33909 </t>
  </si>
  <si>
    <t>17-43-24-c2-05812.0320</t>
  </si>
  <si>
    <t>Moravia</t>
  </si>
  <si>
    <t xml:space="preserve">14350 Old Olga Rd </t>
  </si>
  <si>
    <t>Yusleyvi</t>
  </si>
  <si>
    <t>Cape Coral Unit 85 Blk 5650 Pb 24 Pg 57 Lots 75 + 76</t>
  </si>
  <si>
    <t>Maple Lake</t>
  </si>
  <si>
    <t xml:space="preserve">3441 NE 21st Pl  Cape Coral, FL 33909 </t>
  </si>
  <si>
    <t>Lehigh Acres Unit 11 Blk 56 Pb 26 Pg 14 Lot 20</t>
  </si>
  <si>
    <t>34947-1335</t>
  </si>
  <si>
    <t>02061-1529</t>
  </si>
  <si>
    <t xml:space="preserve">133 Calle Andes  San Juan, PR 00926-1410 </t>
  </si>
  <si>
    <t xml:space="preserve">5356 Kings Way </t>
  </si>
  <si>
    <t xml:space="preserve">1317 NE 19th Ct  Cape Coral, FL 33909 </t>
  </si>
  <si>
    <t>33187-1693</t>
  </si>
  <si>
    <t>Nauman</t>
  </si>
  <si>
    <t xml:space="preserve">46 Highview Rd </t>
  </si>
  <si>
    <t xml:space="preserve">2625 NE 5th Pl  Cape Coral, FL 33909 </t>
  </si>
  <si>
    <t xml:space="preserve">437 Santa Cruz St </t>
  </si>
  <si>
    <t>33351-5220</t>
  </si>
  <si>
    <t>Ridley Park</t>
  </si>
  <si>
    <t>Cape Coral Unit 36 Blk 2346 Pb 16 Pg 127 Lots 17 + 18</t>
  </si>
  <si>
    <t>78045-6315</t>
  </si>
  <si>
    <t xml:space="preserve">2070 Camilla Rd #111, Mississauga, ON L5a 2J7 </t>
  </si>
  <si>
    <t>33909-5295</t>
  </si>
  <si>
    <t xml:space="preserve">1713 SE 26th Ter  Cape Coral, FL 33904 </t>
  </si>
  <si>
    <t>Charles Callahan</t>
  </si>
  <si>
    <t>Marcin Cichon &amp; Yoo So</t>
  </si>
  <si>
    <t xml:space="preserve">2131 Kismet Pkwy E </t>
  </si>
  <si>
    <t xml:space="preserve">4525 29th Ave SW  Naples, FL 34116-8209 </t>
  </si>
  <si>
    <t>Hill Crest</t>
  </si>
  <si>
    <t>Im Bindschadler</t>
  </si>
  <si>
    <t xml:space="preserve">1805 NE 27th Ter </t>
  </si>
  <si>
    <t xml:space="preserve">PO Box 176  Wessington Springs, SD 57382 </t>
  </si>
  <si>
    <t>Verissimo</t>
  </si>
  <si>
    <t>Greta</t>
  </si>
  <si>
    <t>Bettina Lachmann</t>
  </si>
  <si>
    <t># 160</t>
  </si>
  <si>
    <t>33909-2911</t>
  </si>
  <si>
    <t xml:space="preserve">525 NE 31st Ter </t>
  </si>
  <si>
    <t xml:space="preserve">1505 NE 36th St  Cape Coral, FL 33909 </t>
  </si>
  <si>
    <t>33909-4529</t>
  </si>
  <si>
    <t>Hess</t>
  </si>
  <si>
    <t>C017</t>
  </si>
  <si>
    <t xml:space="preserve">3425 Catalina Dr </t>
  </si>
  <si>
    <t xml:space="preserve">207 W Clarendon Ave 9e, Phoenix, AZ 85013-3434 </t>
  </si>
  <si>
    <t>Martin &amp; Gwendolyn Schneider</t>
  </si>
  <si>
    <t>Jacob &amp; John Chacko</t>
  </si>
  <si>
    <t xml:space="preserve">3712 Kelsey St </t>
  </si>
  <si>
    <t>R034</t>
  </si>
  <si>
    <t>Dwarf Ginseng</t>
  </si>
  <si>
    <t>99515-3353</t>
  </si>
  <si>
    <t>Cape Coral Unit 33 Blk 2224 Pb 16 Pg 41 Lots 53 + 54</t>
  </si>
  <si>
    <t xml:space="preserve">8611 Buckingham Rd  Fort Myers, FL 33905 </t>
  </si>
  <si>
    <t xml:space="preserve">1300 SW 67th Ave  Miami, FL 33144-5535 </t>
  </si>
  <si>
    <t>33909-6268</t>
  </si>
  <si>
    <t>06-45-24-c3-00536.0250</t>
  </si>
  <si>
    <t>Rajwantie Rajkumar</t>
  </si>
  <si>
    <t xml:space="preserve">1919 NE 27th Ter  Cape Coral, FL 33909 </t>
  </si>
  <si>
    <t xml:space="preserve">650 Providence Pike  North Smithfield, RI 02896-9500 </t>
  </si>
  <si>
    <t>63341-1737</t>
  </si>
  <si>
    <t>Stanislaw &amp; Agnieszka Trzpis</t>
  </si>
  <si>
    <t>Dane Chollette-Wilson</t>
  </si>
  <si>
    <t>33909-8949</t>
  </si>
  <si>
    <t>Crescent</t>
  </si>
  <si>
    <t xml:space="preserve">3726 NE 13th Ave  Cape Coral, FL 33909 </t>
  </si>
  <si>
    <t xml:space="preserve">3020 NE 5th Pl </t>
  </si>
  <si>
    <t xml:space="preserve">130 Williams Ave #1 </t>
  </si>
  <si>
    <t>EG</t>
  </si>
  <si>
    <t>56334-5103</t>
  </si>
  <si>
    <t xml:space="preserve">13096 Chets Creek Dr N </t>
  </si>
  <si>
    <t>25-43-23-c3-02339.0030</t>
  </si>
  <si>
    <t>Salvatore Massa</t>
  </si>
  <si>
    <t>Crestwood</t>
  </si>
  <si>
    <t xml:space="preserve">1454 Natalie Ct </t>
  </si>
  <si>
    <t xml:space="preserve">4116 NE 9th Ave  Cape Coral, FL 33909 </t>
  </si>
  <si>
    <t>Jesus Martinez</t>
  </si>
  <si>
    <t>20-43-24-c1-05648.0580</t>
  </si>
  <si>
    <t>Kira</t>
  </si>
  <si>
    <t>R3</t>
  </si>
  <si>
    <t xml:space="preserve">1116 NE 2nd Pl </t>
  </si>
  <si>
    <t xml:space="preserve">87 Rosebower Ln </t>
  </si>
  <si>
    <t xml:space="preserve">1410 NE 22nd Ave </t>
  </si>
  <si>
    <t xml:space="preserve">6022 Thorpe Ave  Fort Myers, FL 33905 </t>
  </si>
  <si>
    <t>33909-3306</t>
  </si>
  <si>
    <t>Sunnybrook</t>
  </si>
  <si>
    <t xml:space="preserve">315 NE 6th Ter  Cape Coral, FL 33909 </t>
  </si>
  <si>
    <t xml:space="preserve">5847 Brightwood Dr </t>
  </si>
  <si>
    <t xml:space="preserve">81 Eastwick Rd </t>
  </si>
  <si>
    <t xml:space="preserve">5254 Cypress Trail Resort Cir  Fort Myers, FL 33905 </t>
  </si>
  <si>
    <t>Muhammad</t>
  </si>
  <si>
    <t>07042-4540</t>
  </si>
  <si>
    <t>40391-9244</t>
  </si>
  <si>
    <t xml:space="preserve">1928 NE 23rd Pl  Cape Coral, FL 33909 </t>
  </si>
  <si>
    <t xml:space="preserve">2742 NE 1st Pl </t>
  </si>
  <si>
    <t>33901-6132</t>
  </si>
  <si>
    <t xml:space="preserve">1416 Highridge Dr </t>
  </si>
  <si>
    <t>Muskegon</t>
  </si>
  <si>
    <t xml:space="preserve">2622 NE 2nd Pl  Cape Coral, FL 33909 </t>
  </si>
  <si>
    <t xml:space="preserve">Pk 8500 Bp </t>
  </si>
  <si>
    <t>17-43-24-c3-05794.0090</t>
  </si>
  <si>
    <t>Cape Coral Unit 32 Blk 2133 Pb 16 Pg 13 Lots 24 + 25</t>
  </si>
  <si>
    <t xml:space="preserve">334 NE 11th St  Cape Coral, FL 33909 </t>
  </si>
  <si>
    <t xml:space="preserve">15501 Cemetery Rd  Fort Myers, FL 33905 </t>
  </si>
  <si>
    <t>Christopher G Quillen Trust</t>
  </si>
  <si>
    <t>K7G 2P7</t>
  </si>
  <si>
    <t>Palmetto Palms Rv Resort Condo Ph 3 Or 1530 Pg 1466 Res Unit 233</t>
  </si>
  <si>
    <t>Cape Coral Unit 35 Blk 2383 Pb 16 Pg 108 Lots 7 + 8</t>
  </si>
  <si>
    <t xml:space="preserve">2660 S 62nd St  Philadelphia, PA 19142-3030 </t>
  </si>
  <si>
    <t xml:space="preserve">6106 Holt Ct </t>
  </si>
  <si>
    <t xml:space="preserve">526 NE 15th Ter </t>
  </si>
  <si>
    <t>29-43-24-c4-02247.0030</t>
  </si>
  <si>
    <t xml:space="preserve">3212 Edinburgh Dr  Virginia Beach, VA 23452-5804 </t>
  </si>
  <si>
    <t xml:space="preserve">417 Diplomat Pkwy E </t>
  </si>
  <si>
    <t>Cape Coral Unit 34 Blk 2392 Pb 16 Pg 80 Lots 19 + 20</t>
  </si>
  <si>
    <t xml:space="preserve">710 Cedar Forest Cir  Orlando, FL 32828-8268 </t>
  </si>
  <si>
    <t xml:space="preserve">3717 Tareco St </t>
  </si>
  <si>
    <t>Cape Coral Unit 32 Blk 2103 Pb 16 Pg 5 Lots 51 + 52</t>
  </si>
  <si>
    <t xml:space="preserve">9300 W Flagler St #221 </t>
  </si>
  <si>
    <t>John &amp; Diane Bressette</t>
  </si>
  <si>
    <t>25-43-23-c1-02349.0470</t>
  </si>
  <si>
    <t xml:space="preserve">10414 SW 227th Ter </t>
  </si>
  <si>
    <t xml:space="preserve">1037 NE 13th Pl </t>
  </si>
  <si>
    <t xml:space="preserve">2515 SE 20th Ave </t>
  </si>
  <si>
    <t>95667-3475</t>
  </si>
  <si>
    <t>President</t>
  </si>
  <si>
    <t xml:space="preserve">2233 Scofield Carleton Rd  Carleton, MI 48117-9594 </t>
  </si>
  <si>
    <t xml:space="preserve">10381 Nightwood Dr </t>
  </si>
  <si>
    <t xml:space="preserve">1010 NE 7th Pl  Cape Coral, FL 33909 </t>
  </si>
  <si>
    <t>Corugedo</t>
  </si>
  <si>
    <t>Kirchstrasse</t>
  </si>
  <si>
    <t>12-46-23-04-00000.5400</t>
  </si>
  <si>
    <t>Cape Coral Unit 26 Blk 873 Pb 14 Pg 130 Lots 22 + 23</t>
  </si>
  <si>
    <t>N8172</t>
  </si>
  <si>
    <t>Rancho Cucamonga</t>
  </si>
  <si>
    <t xml:space="preserve">5753 Highway 85 N #3191 </t>
  </si>
  <si>
    <t>11-44-25-06-0000d.0180</t>
  </si>
  <si>
    <t>FR</t>
  </si>
  <si>
    <t xml:space="preserve">256 SW Vista Lake Dr  Port Saint Lucie, FL 34953-8233 </t>
  </si>
  <si>
    <t>Gulan-Nelson</t>
  </si>
  <si>
    <t xml:space="preserve">6017 Langdon Ave </t>
  </si>
  <si>
    <t xml:space="preserve">2216 NE 14th Pl  Cape Coral, FL 33909 </t>
  </si>
  <si>
    <t xml:space="preserve">3901 Bagly Forest Dr  Powder Springs, GA 30127-1768 </t>
  </si>
  <si>
    <t xml:space="preserve">2015 Jennifer Pl  Santa Rosa Valley, CA 93012-8206 </t>
  </si>
  <si>
    <t>Winchester</t>
  </si>
  <si>
    <t>Mira Flores Lima</t>
  </si>
  <si>
    <t xml:space="preserve">5726 Burrwood Ct </t>
  </si>
  <si>
    <t>Pondella Circle Pb 12 Pg 98 Lot 20</t>
  </si>
  <si>
    <t xml:space="preserve">148 SE 25th Ter </t>
  </si>
  <si>
    <t xml:space="preserve">2925 NE 4th Pl </t>
  </si>
  <si>
    <t>Bielle-Biarrey</t>
  </si>
  <si>
    <t xml:space="preserve">3138 NE 14th Ave  Cape Coral, FL 33909 </t>
  </si>
  <si>
    <t>L9S 0C7</t>
  </si>
  <si>
    <t>Cypress Woods Rv Resort Un 3 Desc In Pb 72 Pgs 92-95 Blk C Lot 70</t>
  </si>
  <si>
    <t>Rocca &amp; Frances Calandra</t>
  </si>
  <si>
    <t xml:space="preserve">3501 NE 21st Ave  Cape Coral, FL 33909 </t>
  </si>
  <si>
    <t>Gamalier</t>
  </si>
  <si>
    <t>H028</t>
  </si>
  <si>
    <t>Cape Coral Unit 88 Blk 5764 Pb 24 Pg 133 Lots 31 + 32</t>
  </si>
  <si>
    <t xml:space="preserve">244d Country Rd </t>
  </si>
  <si>
    <t>Lehigh Acres Unit 12 Blk 65 Pb 26 Pg 15 Lot 25</t>
  </si>
  <si>
    <t>Paul Timothy W Tr</t>
  </si>
  <si>
    <t>Joseph &amp; Anna Keder</t>
  </si>
  <si>
    <t>Larner</t>
  </si>
  <si>
    <t>Piirak Ene Tr</t>
  </si>
  <si>
    <t>Wissuchek</t>
  </si>
  <si>
    <t>33909-1709</t>
  </si>
  <si>
    <t>33428-5471</t>
  </si>
  <si>
    <t xml:space="preserve">410 NE 31st Ter </t>
  </si>
  <si>
    <t xml:space="preserve">2214 Andalusia Blvd </t>
  </si>
  <si>
    <t>Buckboard</t>
  </si>
  <si>
    <t>Cape Coral Unit 19 Blk 1235 Pb 13 Pg 129 Lots 7 + 8</t>
  </si>
  <si>
    <t xml:space="preserve">3014 NE 1st Ave  Cape Coral, FL 33909 </t>
  </si>
  <si>
    <t>Thomas &amp; Melva Toy</t>
  </si>
  <si>
    <t xml:space="preserve">31 Duck Ln  West Islip, NY 11795-5037 </t>
  </si>
  <si>
    <t>Jason &amp; Nadine Gittinger</t>
  </si>
  <si>
    <t xml:space="preserve">315 S Pawnee St </t>
  </si>
  <si>
    <t xml:space="preserve">16151 Mission Glen Dr  Houston, TX 77083-5381 </t>
  </si>
  <si>
    <t>Jose Jarquin</t>
  </si>
  <si>
    <t xml:space="preserve">2044 NE 18th St </t>
  </si>
  <si>
    <t>33909-6214</t>
  </si>
  <si>
    <t>Danielle</t>
  </si>
  <si>
    <t>Djeghlil</t>
  </si>
  <si>
    <t>Thuong</t>
  </si>
  <si>
    <t xml:space="preserve">6145 Hughes Ave  Fort Myers, FL 33905 </t>
  </si>
  <si>
    <t xml:space="preserve">550 Kings Rd </t>
  </si>
  <si>
    <t xml:space="preserve">321 NE 17th St  Cape Coral, FL 33909 </t>
  </si>
  <si>
    <t xml:space="preserve">1418 NE 21st Ave </t>
  </si>
  <si>
    <t>01-44-23-c4-02413.0110</t>
  </si>
  <si>
    <t xml:space="preserve">15757 228th Ave NW </t>
  </si>
  <si>
    <t>12524-4935</t>
  </si>
  <si>
    <t xml:space="preserve">3259 Arbutus Dr </t>
  </si>
  <si>
    <t>C066</t>
  </si>
  <si>
    <t>Grand Manan</t>
  </si>
  <si>
    <t>Tessier</t>
  </si>
  <si>
    <t xml:space="preserve">4940 E Paradise Dr </t>
  </si>
  <si>
    <t xml:space="preserve">845 NE 6th Pl </t>
  </si>
  <si>
    <t xml:space="preserve">3746 NE 16th Ave </t>
  </si>
  <si>
    <t xml:space="preserve">1407 SE 32nd Ter  Cape Coral, FL 33904 </t>
  </si>
  <si>
    <t>06492-6045</t>
  </si>
  <si>
    <t>Floyd &amp; Marie Miklic</t>
  </si>
  <si>
    <t>Ferndale</t>
  </si>
  <si>
    <t>Cape Coral Unit 31 Blk 2050 Pb 14 Pg 157 Lots 34 35 + 36</t>
  </si>
  <si>
    <t>Linet</t>
  </si>
  <si>
    <t xml:space="preserve">427 NE 23rd St  Cape Coral, FL 33909 </t>
  </si>
  <si>
    <t>Collierville</t>
  </si>
  <si>
    <t>Thoma C Webber Sr Trust</t>
  </si>
  <si>
    <t xml:space="preserve">1616 NE 10th Ln </t>
  </si>
  <si>
    <t>Cape Coral Unit 47Pt 2 Blk 3516 Pb 23 Pg 122 Lots 31 + 32</t>
  </si>
  <si>
    <t>54669-9341</t>
  </si>
  <si>
    <t xml:space="preserve">4 Blackstone Dr  Livingston, NJ 07039-1802 </t>
  </si>
  <si>
    <t xml:space="preserve">5130 Cypress Trail Resort Cir  Fort Myers, FL 33905 </t>
  </si>
  <si>
    <t>Huang</t>
  </si>
  <si>
    <t xml:space="preserve">383 Lanham Trce  Corbin, KY 40701-8907 </t>
  </si>
  <si>
    <t xml:space="preserve">34 Comfort Ct  Staten Island, NY 10312-3950 </t>
  </si>
  <si>
    <t xml:space="preserve">8620 Tropicaire Blvd </t>
  </si>
  <si>
    <t>Cape Coral Unit 84 Blk 5604 Pb 24 Pg 42 Lots 55 + 56</t>
  </si>
  <si>
    <t>33909-1252</t>
  </si>
  <si>
    <t xml:space="preserve">407 NE 25th Ave </t>
  </si>
  <si>
    <t>01-44-23-c3-02466.0270</t>
  </si>
  <si>
    <t xml:space="preserve">1015 NE 10th Pl  Cape Coral, FL 33909 </t>
  </si>
  <si>
    <t>Michael &amp; Pamela Johnson</t>
  </si>
  <si>
    <t xml:space="preserve">17250 Mcgregor Blvd </t>
  </si>
  <si>
    <t>Kevin Mchugh</t>
  </si>
  <si>
    <t>Cape Coral Unit 85 Blk 5645 Pb 24 Pg 56 Lots 19 + 20</t>
  </si>
  <si>
    <t xml:space="preserve">5002 103rd St #2, Corona, NY 11368-3142 </t>
  </si>
  <si>
    <t xml:space="preserve">1257 Highland Ave  Union, NJ 07083-6250 </t>
  </si>
  <si>
    <t>Vincent &amp; Mary Dellolio</t>
  </si>
  <si>
    <t>Sharabi Avinoam &amp; Faye H Tr</t>
  </si>
  <si>
    <t xml:space="preserve">2810 NE 6th Ave  Cape Coral, FL 33909 </t>
  </si>
  <si>
    <t>Cypress Woods Rv Resort Ut 1 Pb 65 Pg 85 + 86 Blk B Lot 55</t>
  </si>
  <si>
    <t>18-43-24-c4-05709.0290</t>
  </si>
  <si>
    <t xml:space="preserve">3438 Countrywood Ln </t>
  </si>
  <si>
    <t xml:space="preserve">5118 Cypress Trail Resort Cir </t>
  </si>
  <si>
    <t xml:space="preserve">350 S Collier Blvd #608, Marco Island, FL 34145-4921 </t>
  </si>
  <si>
    <t xml:space="preserve">2717 NE 1st Pl </t>
  </si>
  <si>
    <t>Fergus</t>
  </si>
  <si>
    <t xml:space="preserve">601 W 168th St #26 </t>
  </si>
  <si>
    <t>Heidi</t>
  </si>
  <si>
    <t xml:space="preserve">323 Pondview Dr  Wilkesboro, NC 28697-8229 </t>
  </si>
  <si>
    <t>89147-6819</t>
  </si>
  <si>
    <t>Duhse</t>
  </si>
  <si>
    <t>American &amp; Matthew Tyson</t>
  </si>
  <si>
    <t>28219-9462</t>
  </si>
  <si>
    <t xml:space="preserve">4520 Sand Pit Rd  Oshkosh, WI 54904-9388 </t>
  </si>
  <si>
    <t>11-44-25-l1-12000.3860</t>
  </si>
  <si>
    <t>Ott</t>
  </si>
  <si>
    <t xml:space="preserve">1233 Alegriano Ave  Coral Gables, FL 33146-1105 </t>
  </si>
  <si>
    <t xml:space="preserve">8220 S Seabrook Ln  Littleton, CO 80120-8123 </t>
  </si>
  <si>
    <t>Cape Coral Unit 33 Blk 2236 Pb 16 Pg 44 Lots 61 + 62</t>
  </si>
  <si>
    <t>Cape Coral Unit 84 Blk 5570 Pb 24 Pg 45 Lots 41 + 42</t>
  </si>
  <si>
    <t>89129-8210</t>
  </si>
  <si>
    <t>H</t>
  </si>
  <si>
    <t>Leblanc</t>
  </si>
  <si>
    <t>Arbor Glen</t>
  </si>
  <si>
    <t>For Ruth Tan Lim Trust</t>
  </si>
  <si>
    <t xml:space="preserve">32 NE 23rd Ter  Cape Coral, FL 33909 </t>
  </si>
  <si>
    <t xml:space="preserve">1009 NE 35th Ln  Cape Coral, FL 33909 </t>
  </si>
  <si>
    <t>33909-4617</t>
  </si>
  <si>
    <t>Bloomingburg</t>
  </si>
  <si>
    <t>Cherie</t>
  </si>
  <si>
    <t>Guerra</t>
  </si>
  <si>
    <t>Hackett</t>
  </si>
  <si>
    <t xml:space="preserve">5134 Cypress Trail Resort Cir </t>
  </si>
  <si>
    <t xml:space="preserve">1302 W Main St  Greenfield, IN 46140-1927 </t>
  </si>
  <si>
    <t xml:space="preserve">1457 Appling Dr  Mount Pleasant, SC 29464-4688 </t>
  </si>
  <si>
    <t>18-43-24-c3-05735.0280</t>
  </si>
  <si>
    <t>Robert Reightneour</t>
  </si>
  <si>
    <t>01-44-23-c1-02438.0670</t>
  </si>
  <si>
    <t>01-44-23-c2-02456.0070</t>
  </si>
  <si>
    <t xml:space="preserve">2125 NE 35th Ter  Cape Coral, FL 33909 </t>
  </si>
  <si>
    <t>Cape Coral Unit 31 Blk 2055 Pb 14 Pg 157 Lots 12 + 13</t>
  </si>
  <si>
    <t xml:space="preserve">3636 Avondale Rd  Beachwood, OH 44122-4502 </t>
  </si>
  <si>
    <t>Guadalupe Blas</t>
  </si>
  <si>
    <t xml:space="preserve">242 Pine Cliff Cir </t>
  </si>
  <si>
    <t>33909-4328</t>
  </si>
  <si>
    <t>Cape Coral Unit 87 Blk 5747 Pb 24 Pg 70 Lots 35 + 36</t>
  </si>
  <si>
    <t>Carol Stream</t>
  </si>
  <si>
    <t>33908-3305</t>
  </si>
  <si>
    <t>20-43-24-c1-05647.0290</t>
  </si>
  <si>
    <t xml:space="preserve">16431 State Road 31  Fort Myers, FL 33905 </t>
  </si>
  <si>
    <t xml:space="preserve">20 W Whitney Ave </t>
  </si>
  <si>
    <t>Kelly-Ferris</t>
  </si>
  <si>
    <t xml:space="preserve">3108 NW 55th St </t>
  </si>
  <si>
    <t xml:space="preserve">1329 NE 9th St </t>
  </si>
  <si>
    <t>Tropic Isles Sec 3 Unit 2 Pb 12 Pg 89 Lot 70</t>
  </si>
  <si>
    <t>Onday</t>
  </si>
  <si>
    <t xml:space="preserve">411 Linden St  Elizabeth, NJ 07201-1012 </t>
  </si>
  <si>
    <t>Sampson</t>
  </si>
  <si>
    <t>Eighth</t>
  </si>
  <si>
    <t>Richard &amp; Sharengaowa Black</t>
  </si>
  <si>
    <t>32-43-24-c1-02189.0580</t>
  </si>
  <si>
    <t>Gale Rowe</t>
  </si>
  <si>
    <t xml:space="preserve">19681 Summerlin Rd #198, Fort Myers, FL 33908 </t>
  </si>
  <si>
    <t xml:space="preserve">819 NE 16th Ter </t>
  </si>
  <si>
    <t>Simsbury</t>
  </si>
  <si>
    <t xml:space="preserve">1216 NE 9th Pl  Cape Coral, FL 33909 </t>
  </si>
  <si>
    <t xml:space="preserve">1544 E 13th St 3a, Brooklyn, NY 11230-7197 </t>
  </si>
  <si>
    <t>36-44-23-c1-00917.0300</t>
  </si>
  <si>
    <t>Richard Fusia &amp; Marian Flanagan</t>
  </si>
  <si>
    <t>For Johnk Family Trust</t>
  </si>
  <si>
    <t>Riverside Industrial</t>
  </si>
  <si>
    <t xml:space="preserve">6044 Joplin Ave  Fort Myers, FL 33905 </t>
  </si>
  <si>
    <t xml:space="preserve">111 Quail Hollow Ct  Naples, FL 34113-7681 </t>
  </si>
  <si>
    <t>17-43-24-c1-05821.0410</t>
  </si>
  <si>
    <t xml:space="preserve">308 Kismet Pkwy E </t>
  </si>
  <si>
    <t>Walcutt</t>
  </si>
  <si>
    <t xml:space="preserve">1716 Stannard Trl </t>
  </si>
  <si>
    <t xml:space="preserve">3741 NE 14th Pl </t>
  </si>
  <si>
    <t xml:space="preserve">3705 Trent St </t>
  </si>
  <si>
    <t xml:space="preserve">16764 Carob Ave  Chino Hills, CA 91709-6522 </t>
  </si>
  <si>
    <t>L0S 1E0</t>
  </si>
  <si>
    <t>11001-1607</t>
  </si>
  <si>
    <t xml:space="preserve">3246 Annandale Rd </t>
  </si>
  <si>
    <t>36-43-23-c4-02488.0350</t>
  </si>
  <si>
    <t xml:space="preserve">5362 Cocoa Ct  Cape Coral, FL 33904 </t>
  </si>
  <si>
    <t xml:space="preserve">1955 Bellingham Ct  Marietta, GA 30062-6443 </t>
  </si>
  <si>
    <t>David Tartaglia</t>
  </si>
  <si>
    <t xml:space="preserve">450 Capitol St </t>
  </si>
  <si>
    <t xml:space="preserve">704 Shandale Dr  Madison, TN 37115-2771 </t>
  </si>
  <si>
    <t>Cypress Trail Rv Resort Phase 2-B As Desc In Inst# 2015000013050 Lot 478</t>
  </si>
  <si>
    <t>06513-2753</t>
  </si>
  <si>
    <t>Oakland</t>
  </si>
  <si>
    <t>Smith Farm</t>
  </si>
  <si>
    <t xml:space="preserve">911 NE 32nd St  Cape Coral, FL 33909 </t>
  </si>
  <si>
    <t>Cape Coral Unit 33 Blk.2180 Pb 16 Pg 49 Lots 68 + 69</t>
  </si>
  <si>
    <t>C012</t>
  </si>
  <si>
    <t>Breitenguessbach</t>
  </si>
  <si>
    <t xml:space="preserve">405 Ogden Ave  Jersey City, NJ 07307-1119 </t>
  </si>
  <si>
    <t xml:space="preserve">5226 Marsh Mallow Trl </t>
  </si>
  <si>
    <t>60561-8428</t>
  </si>
  <si>
    <t>Cape Coral Unit 33 Blk.2231 Pb 16 Pg 54 Lots 46 + 47</t>
  </si>
  <si>
    <t xml:space="preserve">57 Compton Ave </t>
  </si>
  <si>
    <t>36-43-23-c2-02535.0220</t>
  </si>
  <si>
    <t xml:space="preserve">20023 State Highway 91  Creston, NE 68631-3212 </t>
  </si>
  <si>
    <t xml:space="preserve">4507 Cycad Ln  Boynton Beach, FL 33436-7320 </t>
  </si>
  <si>
    <t xml:space="preserve">2204 NE 13th Ln </t>
  </si>
  <si>
    <t>33181-2347</t>
  </si>
  <si>
    <t xml:space="preserve">5260 Cypress Trail Resort Cir </t>
  </si>
  <si>
    <t xml:space="preserve">1029 NE 36th Ter  Cape Coral, FL 33909 </t>
  </si>
  <si>
    <t>Cape Coral Unit 87 Blk 5753 Pb 24 Pg 69 Lots 50 + 51</t>
  </si>
  <si>
    <t>Maximo</t>
  </si>
  <si>
    <t xml:space="preserve">270 Redwood Dr SW  Labelle, FL 33935-9436 </t>
  </si>
  <si>
    <t xml:space="preserve">2109 NE 4th St  Cape Coral, FL 33909 </t>
  </si>
  <si>
    <t xml:space="preserve">6208 Bridgevista Dr  Lithia, FL 33547-4847 </t>
  </si>
  <si>
    <t>33909-6263</t>
  </si>
  <si>
    <t xml:space="preserve">914 NE 36th St  Cape Coral, FL 33909 </t>
  </si>
  <si>
    <t xml:space="preserve">6547 Willow Rd </t>
  </si>
  <si>
    <t xml:space="preserve">13525 Torrey Way </t>
  </si>
  <si>
    <t xml:space="preserve">1902 Durden Pkwy  Cape Coral, FL 33909 </t>
  </si>
  <si>
    <t xml:space="preserve">9 Larium Pl </t>
  </si>
  <si>
    <t>92646-7139</t>
  </si>
  <si>
    <t>Cypress Woods Rv Resort Ut 1 Pb 65 Pg 85 + 86 Blk B Lot 1</t>
  </si>
  <si>
    <t>Rogers</t>
  </si>
  <si>
    <t xml:space="preserve">2121 NE 25th Ter </t>
  </si>
  <si>
    <t xml:space="preserve">3725 Tallman St </t>
  </si>
  <si>
    <t xml:space="preserve">7768 N Roanoke Rd  Huntington, IN 46750-9637 </t>
  </si>
  <si>
    <t xml:space="preserve">7740 4th Ave S #305 </t>
  </si>
  <si>
    <t xml:space="preserve">1709 Jersey St  Orleans, ON K4a 4K9 </t>
  </si>
  <si>
    <t xml:space="preserve">44170 Fair Oaks Dr  Canton, MI 48187-3246 </t>
  </si>
  <si>
    <t>Cape Coral Unit 36 Blk 2521 Pb 16 Pg 113 Lots 1 + 2</t>
  </si>
  <si>
    <t xml:space="preserve">113 Cultural Park Blvd N </t>
  </si>
  <si>
    <t>Lehigh Acres Unit 12 Blk 64 Pb 26 Pg 15 Lot 18</t>
  </si>
  <si>
    <t xml:space="preserve">2035 NE 34th Ln  Cape Coral, FL 33909 </t>
  </si>
  <si>
    <t>Dror &amp; Somi Feiner</t>
  </si>
  <si>
    <t xml:space="preserve">1060 Trowbridge Dr  Alpena, MI 49707-1278 </t>
  </si>
  <si>
    <t>James Pastewka &amp; Mary Kornak</t>
  </si>
  <si>
    <t>33908-2185</t>
  </si>
  <si>
    <t xml:space="preserve">1603 NE 36th Ter  Cape Coral, FL 33909 </t>
  </si>
  <si>
    <t xml:space="preserve">4 Bahnhofstrasse  Bruhl, DE 68782 </t>
  </si>
  <si>
    <t xml:space="preserve">1031 SE 25th Ln  Cape Coral, FL 33904 </t>
  </si>
  <si>
    <t>W J W &amp; Evelyn Thiel</t>
  </si>
  <si>
    <t xml:space="preserve">Po Box 208 </t>
  </si>
  <si>
    <t xml:space="preserve">2801 NE 2nd Ave </t>
  </si>
  <si>
    <t xml:space="preserve">445 SW Heathridge Dr  Lake City, FL 32024 </t>
  </si>
  <si>
    <t>17-43-24-c2-05804.0390</t>
  </si>
  <si>
    <t xml:space="preserve">6853 Lafountaine Dr </t>
  </si>
  <si>
    <t xml:space="preserve">10078 Hc 3 </t>
  </si>
  <si>
    <t>Cape Coral Unit 36 Blk 2294 Pb 16 Pg 120 Lots 45 + 46</t>
  </si>
  <si>
    <t xml:space="preserve">66 Lochinvar Ct  Xenia, OH 45385-9398 </t>
  </si>
  <si>
    <t xml:space="preserve">35 Peachtree Ln  Hicksville, NY 11801-1649 </t>
  </si>
  <si>
    <t>Carie</t>
  </si>
  <si>
    <t>92024-3301</t>
  </si>
  <si>
    <t xml:space="preserve">1422 NE 17th Pl </t>
  </si>
  <si>
    <t xml:space="preserve">247 Fairview Ave  Englewood Cliffs, NJ 07632-2036 </t>
  </si>
  <si>
    <t xml:space="preserve">6301 Evanswood Rd  Troy, MI 48085-1158 </t>
  </si>
  <si>
    <t>36-43-23-c2-02543.0390</t>
  </si>
  <si>
    <t>60053-3231</t>
  </si>
  <si>
    <t>Athol</t>
  </si>
  <si>
    <t xml:space="preserve">6045 Tabor Ave </t>
  </si>
  <si>
    <t>45014-2734</t>
  </si>
  <si>
    <t xml:space="preserve">2317 Altamont Ave  Fort Myers, FL 33901 </t>
  </si>
  <si>
    <t xml:space="preserve">2211 NE 9th Pl </t>
  </si>
  <si>
    <t>Cape Coral Unit 47 Pt 2 Blk 3542 Pb 23 Pg 118 Lots 76 + 77</t>
  </si>
  <si>
    <t xml:space="preserve">1001 NE 32nd Ter  Cape Coral, FL 33909 </t>
  </si>
  <si>
    <t>56447-3119</t>
  </si>
  <si>
    <t>18-43-24-c2-05730.0350</t>
  </si>
  <si>
    <t>Eugene Fornecker</t>
  </si>
  <si>
    <t>Cape Coral Unit 34 Blk 2464 Pb 16 Pg 85 Lots 30 + 31</t>
  </si>
  <si>
    <t xml:space="preserve">625 Marshall Dr </t>
  </si>
  <si>
    <t xml:space="preserve">32 Laroche Ave  Harrington Park, NJ 07640-1904 </t>
  </si>
  <si>
    <t>Rte Des Monts-Delauzux70</t>
  </si>
  <si>
    <t>Cypress Woods Rv Resort Ut 1 Pb 65 Pg 85 + 86 Blk A Lot 15</t>
  </si>
  <si>
    <t xml:space="preserve">7545 Blue Spring Dr </t>
  </si>
  <si>
    <t>96820-1422</t>
  </si>
  <si>
    <t xml:space="preserve">1422 NE 1st Pl </t>
  </si>
  <si>
    <t>Lehigh Acres Unit 14 E Pt Blk 81 Pb 26 Pg 19 Lot 3</t>
  </si>
  <si>
    <t>Hinchey</t>
  </si>
  <si>
    <t xml:space="preserve">4036 NE 8th Pl  Cape Coral, FL 33909 </t>
  </si>
  <si>
    <t>Rushland</t>
  </si>
  <si>
    <t xml:space="preserve">3464 NE 9th Pl </t>
  </si>
  <si>
    <t xml:space="preserve">3711 NE 12th Ave  Cape Coral, FL 33909 </t>
  </si>
  <si>
    <t xml:space="preserve">5 State St #1 </t>
  </si>
  <si>
    <t>Edison Park Blk.32 Pb 7 Pg 28 Lots 7 8</t>
  </si>
  <si>
    <t>Thomas Zuck</t>
  </si>
  <si>
    <t>18-43-24-c4-05706.0150</t>
  </si>
  <si>
    <t>33909-1508</t>
  </si>
  <si>
    <t xml:space="preserve">2698 Fountain View Cir #103 </t>
  </si>
  <si>
    <t>Timothy &amp; Saundra Day</t>
  </si>
  <si>
    <t xml:space="preserve">5256 Cypress Trail Resort Cir </t>
  </si>
  <si>
    <t xml:space="preserve">2308 NE 28th St </t>
  </si>
  <si>
    <t xml:space="preserve">234 SE 44th Ter </t>
  </si>
  <si>
    <t>36-43-23-c1-02531.0340</t>
  </si>
  <si>
    <t xml:space="preserve">8306 Clover Gardens Dr  Houston, TX 77095-1840 </t>
  </si>
  <si>
    <t xml:space="preserve">721 NE 19th Ter </t>
  </si>
  <si>
    <t>Cape Coral Unit 36 Pt 1 Blk 2512 Pb 23 Pg 88 Lots 24 + 25</t>
  </si>
  <si>
    <t>Cape Coral Unit 87 Blk 5725 Pb 24 Pg 79 Lots 25 + 26</t>
  </si>
  <si>
    <t>Callie Goggans</t>
  </si>
  <si>
    <t>De La Cruz</t>
  </si>
  <si>
    <t>Cape Coral Unit 26 Blk 873 Pb 14 Pg 131 Lots 47 + 48</t>
  </si>
  <si>
    <t>Green Acres Blk E Pb 5 Pg 72 Blk D Lots 17 + 18 Less S 20 Ft Per Or 579 Pg 788</t>
  </si>
  <si>
    <t xml:space="preserve">19681 Summerlin Rd #526 </t>
  </si>
  <si>
    <t>Cape Coral Unit 36 Blk 2325 Pb 16 Pg 125 Lots 11 + 12</t>
  </si>
  <si>
    <t>02370-2157</t>
  </si>
  <si>
    <t>Atkinson</t>
  </si>
  <si>
    <t xml:space="preserve">2112 Via Teca </t>
  </si>
  <si>
    <t>33463-6540</t>
  </si>
  <si>
    <t>Stavros &amp; Stella Orfan</t>
  </si>
  <si>
    <t>Oscar &amp; Gale Watson</t>
  </si>
  <si>
    <t>Trumbetto</t>
  </si>
  <si>
    <t>33909-1219</t>
  </si>
  <si>
    <t xml:space="preserve">131 Amble Dr </t>
  </si>
  <si>
    <t>Gilberto Caicedo</t>
  </si>
  <si>
    <t xml:space="preserve">PO Box 185  Dayton, VA 22821 </t>
  </si>
  <si>
    <t>Bohuslavice</t>
  </si>
  <si>
    <t>Dimitre &amp; Venetzia Ognianov</t>
  </si>
  <si>
    <t>R171</t>
  </si>
  <si>
    <t>02360-1017</t>
  </si>
  <si>
    <t>Clotilde</t>
  </si>
  <si>
    <t xml:space="preserve">6103 Hendley Ct </t>
  </si>
  <si>
    <t>Rosa Family 2023 Irrevocable T</t>
  </si>
  <si>
    <t>Lake Orion</t>
  </si>
  <si>
    <t>Trejo-Simon</t>
  </si>
  <si>
    <t>Cape Coral Unit 33 Blk 2287 Pb 16 Pg 58 Lots 47 + 48</t>
  </si>
  <si>
    <t xml:space="preserve">1 Aufeld St  Lincoln, NE 68526 </t>
  </si>
  <si>
    <t>Cape Coral Unit 88 Blk.5814 Pb 24 Pg 139 Lot 16</t>
  </si>
  <si>
    <t>Thackeray</t>
  </si>
  <si>
    <t xml:space="preserve">30638 Ceasar Park Dr </t>
  </si>
  <si>
    <t>L0K 2C0</t>
  </si>
  <si>
    <t>Beecher</t>
  </si>
  <si>
    <t xml:space="preserve">5272 Cypress Trail Resort Cir </t>
  </si>
  <si>
    <t>33909-8405</t>
  </si>
  <si>
    <t>George Washington</t>
  </si>
  <si>
    <t>Cypress Trail Rv Resort Phase 2-B As Desc In Inst# 2015000013050 Lot 424</t>
  </si>
  <si>
    <t xml:space="preserve">1102 NE 12th St </t>
  </si>
  <si>
    <t>Kenneth</t>
  </si>
  <si>
    <t>34473-2075</t>
  </si>
  <si>
    <t xml:space="preserve">48065 Basswood Ct </t>
  </si>
  <si>
    <t xml:space="preserve">2 C Rue Des Boulangers </t>
  </si>
  <si>
    <t>Jan</t>
  </si>
  <si>
    <t>John &amp; Denise Mcdaniel</t>
  </si>
  <si>
    <t xml:space="preserve">2308 Unity Ave </t>
  </si>
  <si>
    <t xml:space="preserve">2104 NE 14th Pl  Cape Coral, FL 33909 </t>
  </si>
  <si>
    <t>36-43-23-c3-02485.0270</t>
  </si>
  <si>
    <t xml:space="preserve">1015 NE 37th Ter  Cape Coral, FL 33909 </t>
  </si>
  <si>
    <t>Maple</t>
  </si>
  <si>
    <t>4th</t>
  </si>
  <si>
    <t>Donald &amp; Julie Gillis</t>
  </si>
  <si>
    <t>07-44-24-c4-03591.0430</t>
  </si>
  <si>
    <t>Cape Coral Unit 10 Blk 238 Pb 13 Pg 31 Lots 3 + 4</t>
  </si>
  <si>
    <t xml:space="preserve">323 NE 7th St </t>
  </si>
  <si>
    <t xml:space="preserve">2313 NE 43rd Ln  Cape Coral, FL 33909 </t>
  </si>
  <si>
    <t>Zane &amp; Jennifer Abner</t>
  </si>
  <si>
    <t>16-44-26-05-00007.0260</t>
  </si>
  <si>
    <t>Cape Coral Unit 84 Blk 5579 Pb 24 Pg 48 Lots 1 + 2</t>
  </si>
  <si>
    <t xml:space="preserve">14 Lindsay Ln  Cranston, RI 02921-3562 </t>
  </si>
  <si>
    <t xml:space="preserve">501 3rd St NE </t>
  </si>
  <si>
    <t xml:space="preserve">310 SE 29th St </t>
  </si>
  <si>
    <t>31-43-24-c3-02140.0460</t>
  </si>
  <si>
    <t>36-43-23-c1-02532.0140</t>
  </si>
  <si>
    <t>Lenore</t>
  </si>
  <si>
    <t>25-43-23-c3-02310.0250</t>
  </si>
  <si>
    <t>Alfonso Squitieri</t>
  </si>
  <si>
    <t>33009-2309</t>
  </si>
  <si>
    <t>33909-6890</t>
  </si>
  <si>
    <t>Fawzia &amp; Farida Mohammed</t>
  </si>
  <si>
    <t xml:space="preserve">21253 Mulholland Dr  Woodland Hills, CA 91364-5920 </t>
  </si>
  <si>
    <t>36-43-23-c1-02546.0400</t>
  </si>
  <si>
    <t>34691-3275</t>
  </si>
  <si>
    <t>Roseboom</t>
  </si>
  <si>
    <t xml:space="preserve">1621 NE 23rd St </t>
  </si>
  <si>
    <t xml:space="preserve">9 Gregory Ln  East Hanover, NJ 07936-1609 </t>
  </si>
  <si>
    <t xml:space="preserve">13750 SW 29th St </t>
  </si>
  <si>
    <t>11704-4540</t>
  </si>
  <si>
    <t xml:space="preserve">406 Old Weston Rd  Buckhannon, WV 26201-8612 </t>
  </si>
  <si>
    <t xml:space="preserve">2112 NE 27th Ter </t>
  </si>
  <si>
    <t>Macrina</t>
  </si>
  <si>
    <t>Hain</t>
  </si>
  <si>
    <t xml:space="preserve">6853 Lafountaine Dr  Plainwell, MI 49080-8229 </t>
  </si>
  <si>
    <t>Meridian Village</t>
  </si>
  <si>
    <t>Francisco</t>
  </si>
  <si>
    <t>Hallandale Beach</t>
  </si>
  <si>
    <t xml:space="preserve">3616 NE 22nd Ave </t>
  </si>
  <si>
    <t xml:space="preserve">10325 Fire Flag Trl </t>
  </si>
  <si>
    <t>Englewood Cliffs</t>
  </si>
  <si>
    <t>Patillas</t>
  </si>
  <si>
    <t xml:space="preserve">5451 28th Ave SW  Naples, FL 34116-7515 </t>
  </si>
  <si>
    <t>Poitras</t>
  </si>
  <si>
    <t>Susan F Cruse Trust</t>
  </si>
  <si>
    <t>Cape Coral Unit 34 Blk 2434 Pb 16 Pg 82 Lots 37 + 38</t>
  </si>
  <si>
    <t xml:space="preserve">4891 SW 36th Ct  Hollywood, FL 33023-6909 </t>
  </si>
  <si>
    <t>Beatrice</t>
  </si>
  <si>
    <t>Cape Coral Unit 85 Blk 5673 Pb 24 Pg 51 Lots 39 + 40</t>
  </si>
  <si>
    <t>Folk</t>
  </si>
  <si>
    <t xml:space="preserve">467 Ensign Rd  Forked River, NJ 08731-4818 </t>
  </si>
  <si>
    <t>Buckingham Pk Re Blk B U-5 Blk 28 Pb 27 Pg 193 Lot 7</t>
  </si>
  <si>
    <t xml:space="preserve">7169 E Hyatt St  San Diego, CA 92111-6129 </t>
  </si>
  <si>
    <t>Waters</t>
  </si>
  <si>
    <t xml:space="preserve">1804 Whitesboro St 1f </t>
  </si>
  <si>
    <t>Lehigh Acres Unit 9 Blk 43 Pb 26 Pg 11 Lot 15</t>
  </si>
  <si>
    <t xml:space="preserve">62791 County Road 3 </t>
  </si>
  <si>
    <t xml:space="preserve">769 N 210 W  Santaquin, UT 84655-8274 </t>
  </si>
  <si>
    <t>Saint Marks</t>
  </si>
  <si>
    <t xml:space="preserve">1329 NE 5th Pl </t>
  </si>
  <si>
    <t>06-44-24-c4-02049.0090</t>
  </si>
  <si>
    <t>16-44-26-05-00008.0060</t>
  </si>
  <si>
    <t>Serafin</t>
  </si>
  <si>
    <t>Parl In Se 1/4 Of Se 1/4 Of Ne 1/4 Desc In Inst 2006-158323</t>
  </si>
  <si>
    <t xml:space="preserve">930 NE 12th St  Cape Coral, FL 33909 </t>
  </si>
  <si>
    <t>Donaghadee</t>
  </si>
  <si>
    <t>Agron</t>
  </si>
  <si>
    <t>Dacosta</t>
  </si>
  <si>
    <t>Max</t>
  </si>
  <si>
    <t>Michael &amp; Annmarie Palumbo</t>
  </si>
  <si>
    <t>William S Venizelos &amp; William Venizelos</t>
  </si>
  <si>
    <t>Bucio</t>
  </si>
  <si>
    <t>11-44-25-05-0000c.0980</t>
  </si>
  <si>
    <t xml:space="preserve">3299 W 96th Pl </t>
  </si>
  <si>
    <t>Harlem Heights Blk C Pb 8 Pg 76 E 15 Ft Of Lot 7 + W 19 Ft Of Lot 8</t>
  </si>
  <si>
    <t>33909-6808</t>
  </si>
  <si>
    <t>Daphne &amp; Byron Nunnally</t>
  </si>
  <si>
    <t>Bhisham</t>
  </si>
  <si>
    <t xml:space="preserve">816 NE 7th Ave </t>
  </si>
  <si>
    <t>Lentine</t>
  </si>
  <si>
    <t>11-44-25-04-0000b.0020</t>
  </si>
  <si>
    <t>36-43-23-c1-02547.0200</t>
  </si>
  <si>
    <t>Ft.Myers Shores Unit 1 Blk.14 Pb 9 Pg 151 Lots 26 + 27</t>
  </si>
  <si>
    <t>Maria &amp; Marisa Buscaglia</t>
  </si>
  <si>
    <t>Jannatul</t>
  </si>
  <si>
    <t xml:space="preserve">315 NE 23rd Ter </t>
  </si>
  <si>
    <t xml:space="preserve">1722 NE 13th Pl  Cape Coral, FL 33909 </t>
  </si>
  <si>
    <t xml:space="preserve">10751 Wellington Ln N  Maple Grove, MN 55369-2629 </t>
  </si>
  <si>
    <t>20-43-24-c4-05633.0580</t>
  </si>
  <si>
    <t>Ridenour</t>
  </si>
  <si>
    <t>Robin Kershaw</t>
  </si>
  <si>
    <t xml:space="preserve">5767 NW 115th Ct #103, Doral, FL 33178-3827 </t>
  </si>
  <si>
    <t>C</t>
  </si>
  <si>
    <t>Marbun</t>
  </si>
  <si>
    <t>36-43-23-c4-02486.0010</t>
  </si>
  <si>
    <t>Nocatee</t>
  </si>
  <si>
    <t>David Newmark</t>
  </si>
  <si>
    <t>33909-4612</t>
  </si>
  <si>
    <t>C100</t>
  </si>
  <si>
    <t xml:space="preserve">1028 NE 34th Ter  Cape Coral, FL 33909 </t>
  </si>
  <si>
    <t xml:space="preserve">5501 Cypress Woods Resort Dr </t>
  </si>
  <si>
    <t>11-44-25-07-00000.1560</t>
  </si>
  <si>
    <t xml:space="preserve">244 Cherry Ln #1 </t>
  </si>
  <si>
    <t>Joe</t>
  </si>
  <si>
    <t>Amadio Maggio</t>
  </si>
  <si>
    <t xml:space="preserve">3053 41st Ter SW #1 </t>
  </si>
  <si>
    <t>Rickford</t>
  </si>
  <si>
    <t>Donates Simonis &amp; Margarita Rimkute</t>
  </si>
  <si>
    <t>Jose &amp; Manuel Hernandez</t>
  </si>
  <si>
    <t>Township Of Washington</t>
  </si>
  <si>
    <t xml:space="preserve">14120 Benedict St  Fort Myers, FL 33905 </t>
  </si>
  <si>
    <t>Shandale</t>
  </si>
  <si>
    <t>Idania Echevarria</t>
  </si>
  <si>
    <t>Alfida Dominguez &amp; Allan Pita</t>
  </si>
  <si>
    <t xml:space="preserve">6150 Benedict Ct  Fort Myers, FL 33905 </t>
  </si>
  <si>
    <t xml:space="preserve">1113 NE 14th Ter  Cape Coral, FL 33909 </t>
  </si>
  <si>
    <t xml:space="preserve">1962 SE Leo Ln  Port Saint Lucie, FL 34983-4534 </t>
  </si>
  <si>
    <t>Andrew Oneill</t>
  </si>
  <si>
    <t xml:space="preserve">2731 SE Shell Pit Rd </t>
  </si>
  <si>
    <t>Norman &amp; Celia Garvelman</t>
  </si>
  <si>
    <t xml:space="preserve">4010 78th Ave N  Pinellas Park, FL 33781-2529 </t>
  </si>
  <si>
    <t xml:space="preserve">6131 Lyons Rd #100 </t>
  </si>
  <si>
    <t>25-43-23-c2-02351.0300</t>
  </si>
  <si>
    <t>33909-1557</t>
  </si>
  <si>
    <t>20-44-26-04-00024.002a</t>
  </si>
  <si>
    <t>Britons</t>
  </si>
  <si>
    <t>Cypress Trail Rv Resort Ph 3 As Desc In Inst# 2015000085552 Lot 215</t>
  </si>
  <si>
    <t>Cape Coral Unit 15 Blk.428 Pb 13 Pg 71 Lots 4 + 5</t>
  </si>
  <si>
    <t xml:space="preserve">8051 Friendship Ln </t>
  </si>
  <si>
    <t>Cape Coral Unit 85 Blk 5672 Pb 24 Pg 52 Lots 21 + 22</t>
  </si>
  <si>
    <t>Jung</t>
  </si>
  <si>
    <t>Metzger &amp; Terry Metzger</t>
  </si>
  <si>
    <t>Murielle</t>
  </si>
  <si>
    <t>Virnija</t>
  </si>
  <si>
    <t>12-44-23-c1-02399.0350</t>
  </si>
  <si>
    <t>Buckhorn Creek</t>
  </si>
  <si>
    <t>35-45-24-03-00011.0000</t>
  </si>
  <si>
    <t>19-43-24-c4-05559.0240</t>
  </si>
  <si>
    <t>Cypress Woods Rv Resort Unit 4 Pb 79 Pgs 68-71 Blk D Lot 118</t>
  </si>
  <si>
    <t>01760-3620</t>
  </si>
  <si>
    <t>Latitia</t>
  </si>
  <si>
    <t>Canterbury</t>
  </si>
  <si>
    <t>11705-1770</t>
  </si>
  <si>
    <t xml:space="preserve">2707 Metedeconk  Freehold, NJ 07728-5910 </t>
  </si>
  <si>
    <t>Eric</t>
  </si>
  <si>
    <t>34116-5900</t>
  </si>
  <si>
    <t>Lester &amp; Shirley King</t>
  </si>
  <si>
    <t xml:space="preserve">2116 NE 10th Pl  Cape Coral, FL 33909 </t>
  </si>
  <si>
    <t>Collins</t>
  </si>
  <si>
    <t>29-43-24-c4-02259.0430</t>
  </si>
  <si>
    <t xml:space="preserve">3849/3851 Hollycrest St </t>
  </si>
  <si>
    <t>Quia Claybourne &amp; Lonnie Ingram</t>
  </si>
  <si>
    <t xml:space="preserve">3 Peace St  Danbury, CT 06810-6419 </t>
  </si>
  <si>
    <t>29682-9772</t>
  </si>
  <si>
    <t>Sempel</t>
  </si>
  <si>
    <t>Argea</t>
  </si>
  <si>
    <t>Cape Coral Unit 36 Blk 2524 Pb 16 Pg 114 Lots 31 + 32</t>
  </si>
  <si>
    <t xml:space="preserve">20 Linden Rd  Albany, NY 12208-1808 </t>
  </si>
  <si>
    <t>29th</t>
  </si>
  <si>
    <t>62557-6019</t>
  </si>
  <si>
    <t>Jeffrey Rodriguez</t>
  </si>
  <si>
    <t>06-44-24-c3-02059.0470</t>
  </si>
  <si>
    <t xml:space="preserve">36011 Grand River Ave #104, Farmington, MI 48335-3028 </t>
  </si>
  <si>
    <t xml:space="preserve">2707 NE Juanita Pl  Cape Coral, FL 33909 </t>
  </si>
  <si>
    <t>Cape Coral Unit 33 Blk 2208 Pb 16 Pg 41 Lots 59 + 60</t>
  </si>
  <si>
    <t>14225-2724</t>
  </si>
  <si>
    <t>92109-3929</t>
  </si>
  <si>
    <t>06-44-24-c1-02078.0150</t>
  </si>
  <si>
    <t>11-44-25-06-0000d.0720</t>
  </si>
  <si>
    <t>07111-1317</t>
  </si>
  <si>
    <t>Kim &amp; Newquiest Nelson</t>
  </si>
  <si>
    <t xml:space="preserve">1801 NE 7th Pl </t>
  </si>
  <si>
    <t xml:space="preserve">200 Green Valley Dr </t>
  </si>
  <si>
    <t>03-44-26-08-00035.0150</t>
  </si>
  <si>
    <t xml:space="preserve">312 Charles Ave </t>
  </si>
  <si>
    <t>Moo</t>
  </si>
  <si>
    <t>Zella</t>
  </si>
  <si>
    <t xml:space="preserve">44 Hampstead Dr </t>
  </si>
  <si>
    <t>For Carter Trust</t>
  </si>
  <si>
    <t>Beilstein</t>
  </si>
  <si>
    <t xml:space="preserve">2129 NE 1st Pl  Cape Coral, FL 33909 </t>
  </si>
  <si>
    <t>20-43-24-c4-05633.0330</t>
  </si>
  <si>
    <t>Kaesermann</t>
  </si>
  <si>
    <t>Rdg</t>
  </si>
  <si>
    <t xml:space="preserve">Col Da Lech #8, Selva Gardens, IT </t>
  </si>
  <si>
    <t xml:space="preserve">1951 Goblet Cove St </t>
  </si>
  <si>
    <t>Cape Coral Unit 36 Blk 2349 Pb 16 Pg 125 Lots 21 + 22</t>
  </si>
  <si>
    <t>25-43-23-c1-02322.0290</t>
  </si>
  <si>
    <t xml:space="preserve">110 N Aberdeen Ave </t>
  </si>
  <si>
    <t>Audley</t>
  </si>
  <si>
    <t>Fogg</t>
  </si>
  <si>
    <t>18-43-24-c1-05698.0530</t>
  </si>
  <si>
    <t>93021-2079</t>
  </si>
  <si>
    <t xml:space="preserve">3808 Kittyhawk Dr </t>
  </si>
  <si>
    <t xml:space="preserve">4530 Eagle Falls Pl </t>
  </si>
  <si>
    <t>Rose Bhoorasingh</t>
  </si>
  <si>
    <t xml:space="preserve">533 Tropicana Pkwy E  Cape Coral, FL 33909 </t>
  </si>
  <si>
    <t xml:space="preserve">59 Richfield Ave </t>
  </si>
  <si>
    <t>03-44-26-12-00060.0090</t>
  </si>
  <si>
    <t xml:space="preserve">6940 Harding St </t>
  </si>
  <si>
    <t>11776-1826</t>
  </si>
  <si>
    <t>Siefert</t>
  </si>
  <si>
    <t>North Wilkesboro</t>
  </si>
  <si>
    <t xml:space="preserve">4859 E Riverside Dr </t>
  </si>
  <si>
    <t>Cape Coral Unit 33 Blk.2254 Pb 16 Pg 57 Lots 16 + 17</t>
  </si>
  <si>
    <t>Cape Coral Unit 33 Blk.2196 Pb 16 Pg 47 Lots 60 + 61</t>
  </si>
  <si>
    <t>Cape Coral Unit 32 Blk 2122 Pb 16 Pg 7 Lots 39 + 40</t>
  </si>
  <si>
    <t>Michell</t>
  </si>
  <si>
    <t xml:space="preserve">427 NE 23rd Ter  Cape Coral, FL 33909 </t>
  </si>
  <si>
    <t>33909-1307</t>
  </si>
  <si>
    <t xml:space="preserve">4309 NE 9th Pl </t>
  </si>
  <si>
    <t xml:space="preserve">1810 NE 5th Ct  Cape Coral, FL 33909 </t>
  </si>
  <si>
    <t>29-43-24-c3-02287.0270</t>
  </si>
  <si>
    <t>Alexander Limia</t>
  </si>
  <si>
    <t xml:space="preserve">2110 NE 6th St  Cape Coral, FL 33909 </t>
  </si>
  <si>
    <t xml:space="preserve">14111 Carlotta St </t>
  </si>
  <si>
    <t>Nodal</t>
  </si>
  <si>
    <t>Kew Gardens</t>
  </si>
  <si>
    <t>Oakmont</t>
  </si>
  <si>
    <t>Coopshaw</t>
  </si>
  <si>
    <t xml:space="preserve">5621 Cypress Woods Resort Dr </t>
  </si>
  <si>
    <t>Lehigh Acres E Pt Init 12 Blk 65 Pb 26 Pg 15 Lot 12</t>
  </si>
  <si>
    <t>33909-1018</t>
  </si>
  <si>
    <t>Christian &amp; Baptiste Grossiord</t>
  </si>
  <si>
    <t xml:space="preserve">2015 NE 20th Ct </t>
  </si>
  <si>
    <t>25-43-23-c4-02303.0550</t>
  </si>
  <si>
    <t xml:space="preserve">916 NE 43rd Ter  Cape Coral, FL 33909 </t>
  </si>
  <si>
    <t xml:space="preserve">514 NE 15th Ter  Cape Coral, FL 33909 </t>
  </si>
  <si>
    <t>James Camp</t>
  </si>
  <si>
    <t xml:space="preserve">3923 SE 4th Ave  Cape Coral, FL 33904 </t>
  </si>
  <si>
    <t xml:space="preserve">200 NE 23rd Ter </t>
  </si>
  <si>
    <t>Cape Coral Unit 36 Pt.1 Blk.2509 Pb 23 Pg 93 Lots 40 + 41</t>
  </si>
  <si>
    <t xml:space="preserve">907 NE 32nd St </t>
  </si>
  <si>
    <t xml:space="preserve">4309 NE 21st Ct </t>
  </si>
  <si>
    <t>Plowden</t>
  </si>
  <si>
    <t>32-43-24-c1-02244.0010</t>
  </si>
  <si>
    <t xml:space="preserve">1402 NE 41st St  Cape Coral, FL 33909 </t>
  </si>
  <si>
    <t xml:space="preserve">1403 NE 19th St </t>
  </si>
  <si>
    <t>Sylvania</t>
  </si>
  <si>
    <t xml:space="preserve">1810 NE 21st Pl </t>
  </si>
  <si>
    <t xml:space="preserve">10208 Yellowtop Trl  Fort Myers, FL 33905 </t>
  </si>
  <si>
    <t>Rudolph Zeithammel &amp; Theresa Zeithanmel</t>
  </si>
  <si>
    <t xml:space="preserve">5241 SW 88th Ter </t>
  </si>
  <si>
    <t>Leudelva</t>
  </si>
  <si>
    <t>07062-2058</t>
  </si>
  <si>
    <t>Kaiser</t>
  </si>
  <si>
    <t>01-44-23-c3-02388.0170</t>
  </si>
  <si>
    <t xml:space="preserve">4715 Middle Pike </t>
  </si>
  <si>
    <t>33152-4468</t>
  </si>
  <si>
    <t>Bolin</t>
  </si>
  <si>
    <t>Ravinder</t>
  </si>
  <si>
    <t>11-44-25-11-00000.0550</t>
  </si>
  <si>
    <t>Cape Coral Unit 36 Blk 2518 Pb 16 Pg 116 Lots 7 + 8</t>
  </si>
  <si>
    <t xml:space="preserve">1675 Appaloosa Way  Oceanside, CA 92057-5606 </t>
  </si>
  <si>
    <t xml:space="preserve">10184 Boca Cir  Naples, FL 34109-7321 </t>
  </si>
  <si>
    <t xml:space="preserve">5760 Brightwood Dr </t>
  </si>
  <si>
    <t>Casey Mccusker</t>
  </si>
  <si>
    <t>Krogulski</t>
  </si>
  <si>
    <t>Cape Coral Unit 33 Blk 2282 Pb 16 Pg 60 Lots 1 Thru 3</t>
  </si>
  <si>
    <t>Cape Coral Unit 87 Blk 5698 Pb 24 Pg 75 Lots 39 + 40</t>
  </si>
  <si>
    <t>Cypress Woods Rv Resort Unit 4 Pb 79 Pgs 68-71 Blk D Lot 45</t>
  </si>
  <si>
    <t>33909-3242</t>
  </si>
  <si>
    <t>Street &amp; Scott Smith</t>
  </si>
  <si>
    <t>Terrones</t>
  </si>
  <si>
    <t>25-43-23-c4-02304.0350</t>
  </si>
  <si>
    <t>Hugh &amp; Cynthia Smith</t>
  </si>
  <si>
    <t xml:space="preserve">1403 NE 18th Ter  Cape Coral, FL 33909 </t>
  </si>
  <si>
    <t xml:space="preserve">17 Broadmeadow Rd  Wallingford, CT 06492-6045 </t>
  </si>
  <si>
    <t>91303-1805</t>
  </si>
  <si>
    <t>Sandra Zaky</t>
  </si>
  <si>
    <t>25-43-23-c1-02350.0070</t>
  </si>
  <si>
    <t xml:space="preserve">4640 NW 43rd Ct  Lauderdale Lakes, FL 33319-4644 </t>
  </si>
  <si>
    <t xml:space="preserve">8783 254th St </t>
  </si>
  <si>
    <t xml:space="preserve">10 Langstrasse  Kroppach, DE 57612 </t>
  </si>
  <si>
    <t>Cape Coral Unit 85 Blk 5654 Pb 24 Pg 57 Lots 22 + 23</t>
  </si>
  <si>
    <t>20-43-24-c1-05598.0010</t>
  </si>
  <si>
    <t>Antioch</t>
  </si>
  <si>
    <t xml:space="preserve">3509 NE 21st Ave </t>
  </si>
  <si>
    <t>03-44-26-09-00042.0210</t>
  </si>
  <si>
    <t>11e</t>
  </si>
  <si>
    <t>Plambeck</t>
  </si>
  <si>
    <t>36-43-23-c4-02492.0090</t>
  </si>
  <si>
    <t>Secasiu</t>
  </si>
  <si>
    <t xml:space="preserve">2612 NE 21st Ct  Cape Coral, FL 33909 </t>
  </si>
  <si>
    <t xml:space="preserve">5 Eastern Dr </t>
  </si>
  <si>
    <t xml:space="preserve">41 Mannheim Cres  Petersburg, ON N0b 2H0 </t>
  </si>
  <si>
    <t>Roger &amp; Sally Mann</t>
  </si>
  <si>
    <t>Michael Kouimelis</t>
  </si>
  <si>
    <t xml:space="preserve">17 Bis Rue St Jean  St Jean Pla De Corps, FR </t>
  </si>
  <si>
    <t>33909-2579</t>
  </si>
  <si>
    <t>Luis &amp; Cecilia Hernandez</t>
  </si>
  <si>
    <t xml:space="preserve">1022 Vogiantzis Pkwy </t>
  </si>
  <si>
    <t>Grand Island</t>
  </si>
  <si>
    <t>Barnett</t>
  </si>
  <si>
    <t>Cape Coral Unit 47 Pt 2 Blk 3542 Pb 23 Pg 118 Lots 74 + 75</t>
  </si>
  <si>
    <t>Mokihana</t>
  </si>
  <si>
    <t>Robert &amp; For Boring</t>
  </si>
  <si>
    <t>01776-1109</t>
  </si>
  <si>
    <t>03-44-26-07-00032.0070</t>
  </si>
  <si>
    <t>Cape Coral Unit 84 Blk 5561 Pb 24 Pg 37 Lots 25 + 26</t>
  </si>
  <si>
    <t xml:space="preserve">PO Box 5779  IL 38523 </t>
  </si>
  <si>
    <t>32-44-24-c3-01168.0740</t>
  </si>
  <si>
    <t xml:space="preserve">1721 NE 15th Pl  Cape Coral, FL 33909 </t>
  </si>
  <si>
    <t xml:space="preserve">5791 Pathwood Ct </t>
  </si>
  <si>
    <t xml:space="preserve">410 Emmett Ave </t>
  </si>
  <si>
    <t>33609-2208</t>
  </si>
  <si>
    <t xml:space="preserve">Po Box 76 </t>
  </si>
  <si>
    <t xml:space="preserve">Po Box 971107 </t>
  </si>
  <si>
    <t xml:space="preserve">3516 NE 19th Pl  Cape Coral, FL 33909 </t>
  </si>
  <si>
    <t>55746-8212</t>
  </si>
  <si>
    <t xml:space="preserve">1006 5th St SE  Barnesville, MN 56514-4002 </t>
  </si>
  <si>
    <t xml:space="preserve">5087 Sorrento Ct  Cape Coral, FL 33904 </t>
  </si>
  <si>
    <t>Sessa</t>
  </si>
  <si>
    <t>Margere Lemon</t>
  </si>
  <si>
    <t xml:space="preserve">6933 Gouverneur Ave  Arverne, NY 11692-1058 </t>
  </si>
  <si>
    <t xml:space="preserve">10337 NW 32nd Ter  Doral, FL 33172-5037 </t>
  </si>
  <si>
    <t xml:space="preserve">13449 Caribbean Blvd </t>
  </si>
  <si>
    <t>Sharkey</t>
  </si>
  <si>
    <t>Fineiss Unrecorded Subd Db 270 Pb 349 Lot 1</t>
  </si>
  <si>
    <t>Springhill</t>
  </si>
  <si>
    <t xml:space="preserve">PO Box 255  Coppell, TX 75019 </t>
  </si>
  <si>
    <t>Gloria &amp; For Martin</t>
  </si>
  <si>
    <t xml:space="preserve">2652 Mallard Dr  Saint Paul, MN 55125-3827 </t>
  </si>
  <si>
    <t>77583-4285</t>
  </si>
  <si>
    <t>33909-4700</t>
  </si>
  <si>
    <t xml:space="preserve">903 NE 1st Ave </t>
  </si>
  <si>
    <t xml:space="preserve">637 SW 5th Ave  Fort Lauderdale, FL 33315-1023 </t>
  </si>
  <si>
    <t>33178-3076</t>
  </si>
  <si>
    <t xml:space="preserve">223 SE 25th Ter  Cape Coral, FL 33904 </t>
  </si>
  <si>
    <t xml:space="preserve">903 NE 18th St  Cape Coral, FL 33909 </t>
  </si>
  <si>
    <t>Center Point</t>
  </si>
  <si>
    <t>Cypress Trail Rv Resort Ph 3 As Desc In Inst# 2015000085552 Lot 55</t>
  </si>
  <si>
    <t>Vesna &amp; Klaus Huegel</t>
  </si>
  <si>
    <t>Cape Coral Unit 34 Blk 2454 Pb 16 Pg 86 Lots 31 + 32</t>
  </si>
  <si>
    <t>33904-3502</t>
  </si>
  <si>
    <t>William &amp; Maureen Kerth</t>
  </si>
  <si>
    <t xml:space="preserve">3618 NE 14th Pl  Cape Coral, FL 33909 </t>
  </si>
  <si>
    <t xml:space="preserve">2365 NE 43rd Ln  Cape Coral, FL 33909 </t>
  </si>
  <si>
    <t>30606-5476</t>
  </si>
  <si>
    <t xml:space="preserve">1625 SE 39th St  Cape Coral, FL 33904 </t>
  </si>
  <si>
    <t xml:space="preserve">3812 Heyburn St  Fort Myers, FL 33905 </t>
  </si>
  <si>
    <t xml:space="preserve">307 Longview Dr  Fayetteville, NC 28311-2733 </t>
  </si>
  <si>
    <t>33909-4411</t>
  </si>
  <si>
    <t>Muhammad Abedin &amp; Jannatul Shohalee</t>
  </si>
  <si>
    <t>Kirsten</t>
  </si>
  <si>
    <t xml:space="preserve">1230 NE 40th Ter </t>
  </si>
  <si>
    <t>Loretta</t>
  </si>
  <si>
    <t>33909-1645</t>
  </si>
  <si>
    <t>Hood</t>
  </si>
  <si>
    <t>Spring Lake</t>
  </si>
  <si>
    <t>PO Box 1363</t>
  </si>
  <si>
    <t>Edgar Delatorre</t>
  </si>
  <si>
    <t>Juarez</t>
  </si>
  <si>
    <t>08-44-24-c4-01535.0450</t>
  </si>
  <si>
    <t>12-44-23-c1-02366.0340</t>
  </si>
  <si>
    <t>Mas</t>
  </si>
  <si>
    <t>Cypress Trail Rv Resort Phase 4-A As Desc In Inst# 20160000135610 Lot 299</t>
  </si>
  <si>
    <t>Kochalski</t>
  </si>
  <si>
    <t>19380-5722</t>
  </si>
  <si>
    <t>Lantern Hill</t>
  </si>
  <si>
    <t>Cape Coral Unit 33 Blk 2242 Pb 16 Pg 55 Lots 59 + 60</t>
  </si>
  <si>
    <t>41222-9037</t>
  </si>
  <si>
    <t>Freebairn</t>
  </si>
  <si>
    <t xml:space="preserve">1907 London Ln </t>
  </si>
  <si>
    <t xml:space="preserve">605 Royal Palm Ave #1313, Clewiston, FL 33440-2916 </t>
  </si>
  <si>
    <t xml:space="preserve">7 Rue Fosse A Boire  Chauvighy, FR </t>
  </si>
  <si>
    <t>Eaton</t>
  </si>
  <si>
    <t>Elbert &amp; Thelma Lindamood</t>
  </si>
  <si>
    <t xml:space="preserve">1513 Andalusia Blvd  Cape Coral, FL 33909 </t>
  </si>
  <si>
    <t>PO Box 254</t>
  </si>
  <si>
    <t>Vega</t>
  </si>
  <si>
    <t xml:space="preserve">5980 Maplewood Ct  Fort Myers, FL 33905 </t>
  </si>
  <si>
    <t xml:space="preserve">3527 E Gator Cir </t>
  </si>
  <si>
    <t xml:space="preserve">5217 Cypress Trail Resort Cir </t>
  </si>
  <si>
    <t>Terrebonne</t>
  </si>
  <si>
    <t xml:space="preserve">93 Monroe Valley Dr  Jonestown, PA 17038-8223 </t>
  </si>
  <si>
    <t xml:space="preserve">1225 NE 13th Pl  Cape Coral, FL 33909 </t>
  </si>
  <si>
    <t xml:space="preserve">516 Crested Hawk Rdg </t>
  </si>
  <si>
    <t>Imogene</t>
  </si>
  <si>
    <t>Pressler</t>
  </si>
  <si>
    <t>Cape Coral Unit 36 Blk 2355 Pb 16 Pg 119 Lots 14 + 15</t>
  </si>
  <si>
    <t xml:space="preserve">817 NE 41st St </t>
  </si>
  <si>
    <t xml:space="preserve">21 Rue Pierre Semard  Maisons Alfort, FR </t>
  </si>
  <si>
    <t xml:space="preserve">3113 Beaver Pond Trl </t>
  </si>
  <si>
    <t xml:space="preserve">241 Amos Ave </t>
  </si>
  <si>
    <t xml:space="preserve">11614 2nd St  Huntley, IL 60142-7114 </t>
  </si>
  <si>
    <t>29910-4204</t>
  </si>
  <si>
    <t xml:space="preserve">8 Hohenstrabe </t>
  </si>
  <si>
    <t>Edward &amp; Stephen Paez</t>
  </si>
  <si>
    <t>Cape Coral Unit 85 Blk 5668 Pb 24 Pg 53 Lots 46 + 47</t>
  </si>
  <si>
    <t>18-43-24-c2-05736.0430</t>
  </si>
  <si>
    <t>Steinkamp</t>
  </si>
  <si>
    <t xml:space="preserve">10058 NW 49th Pl </t>
  </si>
  <si>
    <t>Steiner</t>
  </si>
  <si>
    <t xml:space="preserve">1129 SE 37th St  Cape Coral, FL 33904 </t>
  </si>
  <si>
    <t xml:space="preserve">1704 NE 4th Pl </t>
  </si>
  <si>
    <t xml:space="preserve">318 NE 30th St  Cape Coral, FL 33909 </t>
  </si>
  <si>
    <t>01-44-23-c2-02465.0580</t>
  </si>
  <si>
    <t>Auburn</t>
  </si>
  <si>
    <t>Jose Aleman</t>
  </si>
  <si>
    <t xml:space="preserve">304 Indian Trce #160, Weston, FL 33326-2996 </t>
  </si>
  <si>
    <t>31904-4616</t>
  </si>
  <si>
    <t xml:space="preserve">1415 NE 15th St </t>
  </si>
  <si>
    <t>33905-3013</t>
  </si>
  <si>
    <t>Lanter</t>
  </si>
  <si>
    <t xml:space="preserve">68 Beresford Ct  Buffalo, NY 14221-5955 </t>
  </si>
  <si>
    <t>20-43-24-c1-05649.0430</t>
  </si>
  <si>
    <t xml:space="preserve">1808 2nd Ave E  West Fargo, ND 58078-2351 </t>
  </si>
  <si>
    <t xml:space="preserve">1304 N Gator Cir </t>
  </si>
  <si>
    <t>19-43-24-c4-05565.0070</t>
  </si>
  <si>
    <t>Lehigh Acres Unit 5 Blk 25 Pb 26 Pg 7 Lot 6</t>
  </si>
  <si>
    <t xml:space="preserve">174 Collins Rd </t>
  </si>
  <si>
    <t xml:space="preserve">1815 Monte Vista St </t>
  </si>
  <si>
    <t>Sylvia Betancourt</t>
  </si>
  <si>
    <t>James &amp; Cecilia Greco</t>
  </si>
  <si>
    <t>36-43-23-c2-02524.0150</t>
  </si>
  <si>
    <t>11-44-25-06-0000d.0230</t>
  </si>
  <si>
    <t xml:space="preserve">1336 NE 34th St </t>
  </si>
  <si>
    <t>Mary Lynn Staley Revocable Trust</t>
  </si>
  <si>
    <t>19-45-24-c1-00012.0030</t>
  </si>
  <si>
    <t>Cypress Woods Rv Resort Unit 4 Pb 79 Pgs 68-71 Blk D Lot 113</t>
  </si>
  <si>
    <t>33909-9226</t>
  </si>
  <si>
    <t>03-44-26-10-00049.0150</t>
  </si>
  <si>
    <t>75063-4277</t>
  </si>
  <si>
    <t xml:space="preserve">829 NE 10th St </t>
  </si>
  <si>
    <t>01605-3041</t>
  </si>
  <si>
    <t>08204-4413</t>
  </si>
  <si>
    <t>Mayra Monterroso</t>
  </si>
  <si>
    <t>Carmelita Cristobal</t>
  </si>
  <si>
    <t>Riley</t>
  </si>
  <si>
    <t>Cape Coral Unit 36 Blk 2532 Pb 16 Pg 117 Lots 26 + 27</t>
  </si>
  <si>
    <t>Cape Coral Unit 84 Blk 5576 Pb 24 Pg 45 Lots 61 + 62</t>
  </si>
  <si>
    <t>Cape Coral Unit 36 Blk 2292 Pb 16 Pg 121 Lots 22 + 23</t>
  </si>
  <si>
    <t>33626-3664</t>
  </si>
  <si>
    <t xml:space="preserve">420 NE 18th St  Cape Coral, FL 33909 </t>
  </si>
  <si>
    <t xml:space="preserve">1735 Undercliff Ave  Bronx, NY 10453-6737 </t>
  </si>
  <si>
    <t>Greenbank</t>
  </si>
  <si>
    <t>Keith</t>
  </si>
  <si>
    <t xml:space="preserve">3003 NE 4th Ave </t>
  </si>
  <si>
    <t xml:space="preserve">318 NE 4th St  Cape Coral, FL 33909 </t>
  </si>
  <si>
    <t>Lehigh Acres Unit 3 Blk 13 Pb 26 Pg 5 Lot 30</t>
  </si>
  <si>
    <t>Cape Coral Unit 88 Blk 5821 Pb 24 Pg 140 Lots 41 + 42</t>
  </si>
  <si>
    <t>Bachus</t>
  </si>
  <si>
    <t>Cape Coral Unit 36 Blk 2310 Pb 16 Pg 123 Lots 41 + 42</t>
  </si>
  <si>
    <t>Ruth</t>
  </si>
  <si>
    <t xml:space="preserve">6017 Jadestone Ave  Fort Myers, FL 33905 </t>
  </si>
  <si>
    <t xml:space="preserve">10237 Meadow Beauty Trl  Fort Myers, FL 33905 </t>
  </si>
  <si>
    <t>32-43-24-c1-02190.0180</t>
  </si>
  <si>
    <t>Ricioppo</t>
  </si>
  <si>
    <t xml:space="preserve">1402 NE 6th Pl </t>
  </si>
  <si>
    <t xml:space="preserve">139 Red Hollow Rd </t>
  </si>
  <si>
    <t>07676-4103</t>
  </si>
  <si>
    <t>Summit</t>
  </si>
  <si>
    <t>30-43-26-02-00029.0690</t>
  </si>
  <si>
    <t>30307-2335</t>
  </si>
  <si>
    <t xml:space="preserve">2126 NW 159th Ln  Pembroke Pines, FL 33028-2435 </t>
  </si>
  <si>
    <t>Saco</t>
  </si>
  <si>
    <t>Lehigh Acres Unit 5 Blk 26 Pb 26 Pg 7 Lot 17</t>
  </si>
  <si>
    <t xml:space="preserve">702 Cipres St  Watsonville, CA 95076-1076 </t>
  </si>
  <si>
    <t>C405</t>
  </si>
  <si>
    <t xml:space="preserve">2117 NE 23rd Ter  Cape Coral, FL 33909 </t>
  </si>
  <si>
    <t>Paul Laforgia</t>
  </si>
  <si>
    <t xml:space="preserve">1631 NE 35th St </t>
  </si>
  <si>
    <t>America Outdoors Camper Resort 1 Condo Blk B Or 1673 Pg 2487 Unit 47A</t>
  </si>
  <si>
    <t xml:space="preserve">400 Wilma Ave  Fort Myers, FL 33905 </t>
  </si>
  <si>
    <t>Cape Coral Unit 84 Blk 5606 Pb 24 Pg 35 Lots 36 + 37</t>
  </si>
  <si>
    <t xml:space="preserve">330 Kismet Pkwy E </t>
  </si>
  <si>
    <t>27408-7304</t>
  </si>
  <si>
    <t>Cape Coral Unit 36 Pt 1 Blk 2475 Pb 23 Pg 88 Lots 20 Thru 24</t>
  </si>
  <si>
    <t xml:space="preserve">5551 Luckett Rd C27 </t>
  </si>
  <si>
    <t>04-44-25-03-00011.4270</t>
  </si>
  <si>
    <t xml:space="preserve">120 SE 34th Ln </t>
  </si>
  <si>
    <t>32-43-24-c1-02178.0260</t>
  </si>
  <si>
    <t>Plum Bay</t>
  </si>
  <si>
    <t>Wierda</t>
  </si>
  <si>
    <t>Hilliard Rome</t>
  </si>
  <si>
    <t>Cape Coral Unit 87 Blk 5753 Pb 24 Pg 69 Lots 28 + 29</t>
  </si>
  <si>
    <t xml:space="preserve">4105 NE 21st Pl </t>
  </si>
  <si>
    <t xml:space="preserve">5320 Cypress Trail Resort Cir  Fort Myers, FL 33905 </t>
  </si>
  <si>
    <t xml:space="preserve">1201 N Glenarbor St </t>
  </si>
  <si>
    <t>Kim Kocher &amp; Janet Maier</t>
  </si>
  <si>
    <t xml:space="preserve">4460 Pine Rd </t>
  </si>
  <si>
    <t>Shankaran</t>
  </si>
  <si>
    <t xml:space="preserve">2021 NE 7th Pl </t>
  </si>
  <si>
    <t>11362-2138</t>
  </si>
  <si>
    <t>33909-3209</t>
  </si>
  <si>
    <t>17-43-24-c4-05776.0070</t>
  </si>
  <si>
    <t>Edilia</t>
  </si>
  <si>
    <t>Ben &amp; Jing Wong</t>
  </si>
  <si>
    <t xml:space="preserve">2530 NE 6th Pl  Cape Coral, FL 33909 </t>
  </si>
  <si>
    <t xml:space="preserve">117 Kennedy Blvd  Bellmawr, NJ 08031-1122 </t>
  </si>
  <si>
    <t xml:space="preserve">8523 Saratoga Ln  Eden Prairie, MN 55347-1612 </t>
  </si>
  <si>
    <t xml:space="preserve">3622 NE 19th Ave  Cape Coral, FL 33909 </t>
  </si>
  <si>
    <t>Ann Arnold &amp; Amy Geyer</t>
  </si>
  <si>
    <t>Assonet</t>
  </si>
  <si>
    <t>Cape Coral Unit 47 Pt 2 Blk 3538 Pb 23 Pg 117 Lots 7 + 8</t>
  </si>
  <si>
    <t>Ginna Simonsen</t>
  </si>
  <si>
    <t>19-43-24-c4-05560.0330</t>
  </si>
  <si>
    <t>32-43-24-c2-02238.0110</t>
  </si>
  <si>
    <t>33909-1983</t>
  </si>
  <si>
    <t>Cape Coral Unit 17 Blk.1493 Pb 14 Pg 29 Lots 16 Thru 18</t>
  </si>
  <si>
    <t>33909-1302</t>
  </si>
  <si>
    <t>Ellwood City</t>
  </si>
  <si>
    <t xml:space="preserve">18 Thorndale Ct </t>
  </si>
  <si>
    <t xml:space="preserve">10345 Nightwood Dr </t>
  </si>
  <si>
    <t>Worlington</t>
  </si>
  <si>
    <t xml:space="preserve">274 E 46th St  Hialeah, FL 33013-1836 </t>
  </si>
  <si>
    <t>Scott &amp; Andrea Thoman</t>
  </si>
  <si>
    <t>PO Box 30007</t>
  </si>
  <si>
    <t>111th</t>
  </si>
  <si>
    <t>11-44-25-05-0000c.1120</t>
  </si>
  <si>
    <t>Gulf</t>
  </si>
  <si>
    <t xml:space="preserve">3003 Wolverine Dr  Ann Arbor, MI 48108-2041 </t>
  </si>
  <si>
    <t xml:space="preserve">237 NE 17th Pl  Cape Coral, FL 33909 </t>
  </si>
  <si>
    <t>18-43-24-c1-05727.0030</t>
  </si>
  <si>
    <t>Hampton</t>
  </si>
  <si>
    <t>Gary &amp; Cecelia Swenson</t>
  </si>
  <si>
    <t>Thistle</t>
  </si>
  <si>
    <t>11-44-25-09-00000.2800</t>
  </si>
  <si>
    <t xml:space="preserve">3720 Kittyhawk Dr </t>
  </si>
  <si>
    <t xml:space="preserve">2101 NE 17th St </t>
  </si>
  <si>
    <t>Lourdes</t>
  </si>
  <si>
    <t>25-43-23-c4-02354.0310</t>
  </si>
  <si>
    <t>Arvydas</t>
  </si>
  <si>
    <t xml:space="preserve">2020 NE 40th St  Cape Coral, FL 33909 </t>
  </si>
  <si>
    <t xml:space="preserve">2225 NE 7th Ave  Cape Coral, FL 33909 </t>
  </si>
  <si>
    <t xml:space="preserve">1148 NE 39th St  Cape Coral, FL 33909 </t>
  </si>
  <si>
    <t>Peter Johnson</t>
  </si>
  <si>
    <t xml:space="preserve">14171 Roof St  Fort Myers, FL 33905 </t>
  </si>
  <si>
    <t xml:space="preserve">2120 NE 4th Pl  Cape Coral, FL 33909 </t>
  </si>
  <si>
    <t>Schlenker</t>
  </si>
  <si>
    <t xml:space="preserve">11155 Sunglow Ln </t>
  </si>
  <si>
    <t xml:space="preserve">511 NE 31st Ter  Cape Coral, FL 33909 </t>
  </si>
  <si>
    <t>Kevin &amp; Keith Johnson</t>
  </si>
  <si>
    <t>Kopecky</t>
  </si>
  <si>
    <t>33909-8880</t>
  </si>
  <si>
    <t>Richard &amp; For Huckle</t>
  </si>
  <si>
    <t xml:space="preserve">5087 Sorrento Ct </t>
  </si>
  <si>
    <t>05-44-24-c1-03524.0110</t>
  </si>
  <si>
    <t>33023-2451</t>
  </si>
  <si>
    <t>15-44-24-00-00007.0010</t>
  </si>
  <si>
    <t>11-44-25-l1-12000.3910</t>
  </si>
  <si>
    <t xml:space="preserve">1932 Campus Pl </t>
  </si>
  <si>
    <t>Arlene</t>
  </si>
  <si>
    <t>R079</t>
  </si>
  <si>
    <t>Sandra Matrisciano</t>
  </si>
  <si>
    <t xml:space="preserve">15 Lortzingstr  Beilstein, DE 71717 </t>
  </si>
  <si>
    <t>55436-1703</t>
  </si>
  <si>
    <t xml:space="preserve">1312 NE 17th Ave </t>
  </si>
  <si>
    <t>33024-7502</t>
  </si>
  <si>
    <t>Victoria Abbott &amp; For Long</t>
  </si>
  <si>
    <t>Riad Zarka</t>
  </si>
  <si>
    <t>03-44-26-11-00056.0210</t>
  </si>
  <si>
    <t>Cape Coral Unit 36 Blk 2312 Pb 16 Pg 127 Lots 27 + 28</t>
  </si>
  <si>
    <t>Martin Gloria D Tr</t>
  </si>
  <si>
    <t>23-44-24-p4-00020.0010</t>
  </si>
  <si>
    <t xml:space="preserve">6319 Hatteras Club Dr  Lake Worth, FL 33463-6540 </t>
  </si>
  <si>
    <t>29-43-24-c3-02277.0490</t>
  </si>
  <si>
    <t>17545-8952</t>
  </si>
  <si>
    <t>Cape Coral Unit 33 Blk 2194 Pb 16 Pg 46 Lots 38 + 39</t>
  </si>
  <si>
    <t>Michael Pawlowski &amp; Evgeniya Bektasheva</t>
  </si>
  <si>
    <t>Amelia</t>
  </si>
  <si>
    <t>Seville</t>
  </si>
  <si>
    <t xml:space="preserve">1340 NE Van Loon Ter  Cape Coral, FL 33909 </t>
  </si>
  <si>
    <t>33909-6406</t>
  </si>
  <si>
    <t>36-43-23-c1-02521.0070</t>
  </si>
  <si>
    <t>North Brunswick</t>
  </si>
  <si>
    <t>06484-4263</t>
  </si>
  <si>
    <t>Hillside</t>
  </si>
  <si>
    <t>03-44-26-11-00058.0060</t>
  </si>
  <si>
    <t xml:space="preserve">109 N Defiance St  Stryker, OH 43557-7715 </t>
  </si>
  <si>
    <t>Bertha</t>
  </si>
  <si>
    <t xml:space="preserve">51 John St </t>
  </si>
  <si>
    <t>Summerlin</t>
  </si>
  <si>
    <t>Cape Coral Unit 33 Blk.2254 Pb 16 Pg 57 Lots 14 + 15</t>
  </si>
  <si>
    <t>33125-4233</t>
  </si>
  <si>
    <t xml:space="preserve">10793 Lincoln St </t>
  </si>
  <si>
    <t>Treisberger Weg</t>
  </si>
  <si>
    <t xml:space="preserve">9590 De Venise Rue </t>
  </si>
  <si>
    <t>15010-5726</t>
  </si>
  <si>
    <t>Jorge Ojeda</t>
  </si>
  <si>
    <t xml:space="preserve">11835 Matagorda Ln </t>
  </si>
  <si>
    <t>06-44-24-c2-02081.0030</t>
  </si>
  <si>
    <t>Buchanan</t>
  </si>
  <si>
    <t xml:space="preserve">615 Route De Genissieux </t>
  </si>
  <si>
    <t xml:space="preserve">33 Oberdorfstrasse </t>
  </si>
  <si>
    <t>Michael &amp; Tara Barbera</t>
  </si>
  <si>
    <t xml:space="preserve">1316 NE 21st Ave  Cape Coral, FL 33909 </t>
  </si>
  <si>
    <t>Ch Du Roucas Blanc</t>
  </si>
  <si>
    <t>23228-3018</t>
  </si>
  <si>
    <t>33909-4210</t>
  </si>
  <si>
    <t>Wiese</t>
  </si>
  <si>
    <t>Alfaro</t>
  </si>
  <si>
    <t>Cape Coral Unit 88 Blk 5804 Pb 24 Pg 138 Lots 19 + 20</t>
  </si>
  <si>
    <t>Cypress Trail Rv Resort Phase 4-A As Desc In Inst# 20160000135610 Lot 387</t>
  </si>
  <si>
    <t>Gross</t>
  </si>
  <si>
    <t xml:space="preserve">1240 W 5th Ln </t>
  </si>
  <si>
    <t>11-44-25-09-00000.1680</t>
  </si>
  <si>
    <t xml:space="preserve">70 Shipway Ave #312 </t>
  </si>
  <si>
    <t>S A &amp; Lenora Jaeger</t>
  </si>
  <si>
    <t xml:space="preserve">1 Lerchenbuckl  Zeitlarn Laub, DE 93197 </t>
  </si>
  <si>
    <t>Warrington</t>
  </si>
  <si>
    <t xml:space="preserve">4220 NE 20th Pl </t>
  </si>
  <si>
    <t xml:space="preserve">504 El Dorado Pkwy E  Cape Coral, FL 33904 </t>
  </si>
  <si>
    <t xml:space="preserve">2306 NE 35th Ln </t>
  </si>
  <si>
    <t xml:space="preserve">5 Fox Crest Ct  Morris Plains, NJ 07950-1257 </t>
  </si>
  <si>
    <t xml:space="preserve">117 Caravan Cir </t>
  </si>
  <si>
    <t xml:space="preserve">109 Claire Dr </t>
  </si>
  <si>
    <t>Ilio</t>
  </si>
  <si>
    <t>Dyson</t>
  </si>
  <si>
    <t xml:space="preserve">10003 Parkwood Dr </t>
  </si>
  <si>
    <t>33909-6602</t>
  </si>
  <si>
    <t xml:space="preserve">5480 Cypress Trail Resort Cir  Fort Myers, FL 33905 </t>
  </si>
  <si>
    <t xml:space="preserve">1421 SW 107th Ave #189, Miami, FL 33174-2526 </t>
  </si>
  <si>
    <t>17-43-24-c2-05808.0130</t>
  </si>
  <si>
    <t>Cape Coral Unit 31 Blk 2046 Pb 14 Pg 154 Lots 5 + 6</t>
  </si>
  <si>
    <t>For William F Fine Trust</t>
  </si>
  <si>
    <t xml:space="preserve">5481 Cypress Trail Resort Cir </t>
  </si>
  <si>
    <t>33908-2813</t>
  </si>
  <si>
    <t xml:space="preserve">3021 NE Juanita Pl </t>
  </si>
  <si>
    <t xml:space="preserve">70 Saint John Rd </t>
  </si>
  <si>
    <t xml:space="preserve">1621 NE 33rd Ln  Cape Coral, FL 33909 </t>
  </si>
  <si>
    <t>Ramona Carrasco</t>
  </si>
  <si>
    <t>164th</t>
  </si>
  <si>
    <t xml:space="preserve">1 Greene St M8 </t>
  </si>
  <si>
    <t>34116-7405</t>
  </si>
  <si>
    <t>Radtke</t>
  </si>
  <si>
    <t>19533-8804</t>
  </si>
  <si>
    <t>Cape Coral Unit 33 Blk 2286 Pb 16 Pg 60 Lots 13 + 14</t>
  </si>
  <si>
    <t>Cypress Trail Rv Resort Phase 2-A As Desc In Inst# 2014000026506 Lot 205</t>
  </si>
  <si>
    <t>25-43-23-c3-02352.0280</t>
  </si>
  <si>
    <t>Cypress Trail Rv Resort Ph 3 As Desc In Inst# 2015000085552 Lot 50</t>
  </si>
  <si>
    <t>25-43-23-c3-02314.0240</t>
  </si>
  <si>
    <t xml:space="preserve">206 15th Ave #4, Belmar, NJ 07719-2522 </t>
  </si>
  <si>
    <t>B035</t>
  </si>
  <si>
    <t xml:space="preserve">12609 Davis Blvd </t>
  </si>
  <si>
    <t>Jutta</t>
  </si>
  <si>
    <t xml:space="preserve">1617 NE 7th Ave  Cape Coral, FL 33909 </t>
  </si>
  <si>
    <t>Lehigh Acres Unit 11 Blk 56 Pb 26 Pg 14 Lot 11</t>
  </si>
  <si>
    <t>94547-3690</t>
  </si>
  <si>
    <t>Cape Coral Unit 33 Blk.2231 Pb 16 Pg 54 Lots 42 + 43</t>
  </si>
  <si>
    <t>Cape Coral Unit 36 Blk 2303 Pb 16 Pg 119 Lots 9 + 10</t>
  </si>
  <si>
    <t>17-43-24-c3-05787.0250</t>
  </si>
  <si>
    <t xml:space="preserve">605 SW 47th Ter  Cape Coral, FL 33904 </t>
  </si>
  <si>
    <t>01-44-23-c4-02444.0560</t>
  </si>
  <si>
    <t>Ginna</t>
  </si>
  <si>
    <t>Philip Sciolino</t>
  </si>
  <si>
    <t xml:space="preserve">1625 NE 17th Ter  Cape Coral, FL 33909 </t>
  </si>
  <si>
    <t xml:space="preserve">4214 NE 23rd Pl </t>
  </si>
  <si>
    <t xml:space="preserve">905 NE 5th Pl  Cape Coral, FL 33909 </t>
  </si>
  <si>
    <t>11-44-25-10-00000.3720</t>
  </si>
  <si>
    <t>33909-1640</t>
  </si>
  <si>
    <t xml:space="preserve">1510 NE 34th St </t>
  </si>
  <si>
    <t>Lehigh Acres Unit 7 Blk 33 Pb 26 Pg 9 Lot 28</t>
  </si>
  <si>
    <t>19-43-24-c3-05619.0500</t>
  </si>
  <si>
    <t>Joanne</t>
  </si>
  <si>
    <t xml:space="preserve">3703 SE 11th Ave </t>
  </si>
  <si>
    <t>27-43-24-02-00009.0170</t>
  </si>
  <si>
    <t>Spring Mill</t>
  </si>
  <si>
    <t xml:space="preserve">1615 NE 35th St  Cape Coral, FL 33909 </t>
  </si>
  <si>
    <t>Beauvais</t>
  </si>
  <si>
    <t>32-43-24-c3-02187.0110</t>
  </si>
  <si>
    <t xml:space="preserve">5123 Cypress Trail Resort Cir  Fort Myers, FL 33905 </t>
  </si>
  <si>
    <t xml:space="preserve">9415 Marino Cir #107, Naples, FL 34114-4508 </t>
  </si>
  <si>
    <t>Eagle</t>
  </si>
  <si>
    <t>33161-5014</t>
  </si>
  <si>
    <t xml:space="preserve">2406 E 8th St  Davis, CA 95618-2556 </t>
  </si>
  <si>
    <t>Philippe Teissier</t>
  </si>
  <si>
    <t xml:space="preserve">254 SW Petunia Pl  Lake City, FL 32025-3144 </t>
  </si>
  <si>
    <t>Oakcroft</t>
  </si>
  <si>
    <t>Milene</t>
  </si>
  <si>
    <t>33903-5746</t>
  </si>
  <si>
    <t xml:space="preserve">2043 NE 25th Ter </t>
  </si>
  <si>
    <t>18-43-24-c3-05741.0400</t>
  </si>
  <si>
    <t>Jakob</t>
  </si>
  <si>
    <t xml:space="preserve">390 NE Town Ter </t>
  </si>
  <si>
    <t xml:space="preserve">3536 NE 13th Ave </t>
  </si>
  <si>
    <t>State</t>
  </si>
  <si>
    <t>Falls Church</t>
  </si>
  <si>
    <t>R025</t>
  </si>
  <si>
    <t>33144-2838</t>
  </si>
  <si>
    <t>Cape Coral Unit 35 Blk 2414 Pb 16 Pg 104 Lots 24 + 25</t>
  </si>
  <si>
    <t xml:space="preserve">Po Box 770598 </t>
  </si>
  <si>
    <t xml:space="preserve">10215 Yellowtop Trl </t>
  </si>
  <si>
    <t xml:space="preserve">22 President St  Oakdale, NY 11769-1543 </t>
  </si>
  <si>
    <t xml:space="preserve">1901 SE 36th Ter  Cape Coral, FL 33904 </t>
  </si>
  <si>
    <t xml:space="preserve">37 NE 27th Ter </t>
  </si>
  <si>
    <t xml:space="preserve">3449 Andalusia Blvd </t>
  </si>
  <si>
    <t xml:space="preserve">613 Diplomat Pkwy E </t>
  </si>
  <si>
    <t xml:space="preserve">2105 NE 10th Ave  Cape Coral, FL 33909 </t>
  </si>
  <si>
    <t>06483-2616</t>
  </si>
  <si>
    <t>Egelene</t>
  </si>
  <si>
    <t>08722-2625</t>
  </si>
  <si>
    <t>Cape Coral Unit 32 Blk 2143 Pb 16 Pg 6 Lots 23 + 24</t>
  </si>
  <si>
    <t xml:space="preserve">2303 NE 21st Pl </t>
  </si>
  <si>
    <t>Middle</t>
  </si>
  <si>
    <t xml:space="preserve">6410 Arbor Ave  Fort Myers, FL 33905 </t>
  </si>
  <si>
    <t xml:space="preserve">6137 Higgins Ave </t>
  </si>
  <si>
    <t>18-43-24-c3-05743.0250</t>
  </si>
  <si>
    <t>03-44-26-12-00065.0120</t>
  </si>
  <si>
    <t>03-44-26-14-00077.0110</t>
  </si>
  <si>
    <t>Maffei</t>
  </si>
  <si>
    <t>PO Box 680654</t>
  </si>
  <si>
    <t>Robert Beatty &amp; Lynn Welton-Beatty</t>
  </si>
  <si>
    <t>River Hill</t>
  </si>
  <si>
    <t>33143-6031</t>
  </si>
  <si>
    <t>Property &amp; Dung Cao</t>
  </si>
  <si>
    <t xml:space="preserve">2003 NE 20th Ct  Cape Coral, FL 33909 </t>
  </si>
  <si>
    <t xml:space="preserve">5824 N Campbell Ave #2, Chicago, IL 60659-5011 </t>
  </si>
  <si>
    <t xml:space="preserve">5477 Cypress Trail Resort Cir </t>
  </si>
  <si>
    <t>Legion</t>
  </si>
  <si>
    <t>R510</t>
  </si>
  <si>
    <t xml:space="preserve">2112 NE 27th Ter  Cape Coral, FL 33909 </t>
  </si>
  <si>
    <t>Maria Lourenco</t>
  </si>
  <si>
    <t>01760-3239</t>
  </si>
  <si>
    <t>Loewenburg</t>
  </si>
  <si>
    <t>Durden</t>
  </si>
  <si>
    <t xml:space="preserve">1468 New Bedford Sharon Rd </t>
  </si>
  <si>
    <t>Wellesley Hills</t>
  </si>
  <si>
    <t xml:space="preserve">12233 Berlin Rd  South Rockwood, MI 48179-9748 </t>
  </si>
  <si>
    <t>Daniel &amp; Amie Stienstraw</t>
  </si>
  <si>
    <t>For Niklaus Alnes Trust</t>
  </si>
  <si>
    <t xml:space="preserve">10307 Prairie Iris Dr </t>
  </si>
  <si>
    <t>Comer</t>
  </si>
  <si>
    <t xml:space="preserve">14150 Chancellor St </t>
  </si>
  <si>
    <t xml:space="preserve">25853 Van Leuven St #196 </t>
  </si>
  <si>
    <t xml:space="preserve">1303 Kea St  Oceanside, CA 92054-5730 </t>
  </si>
  <si>
    <t xml:space="preserve">8 County Route 14 </t>
  </si>
  <si>
    <t>Rider Severich</t>
  </si>
  <si>
    <t>05-44-24-c4-03541.0320</t>
  </si>
  <si>
    <t xml:space="preserve">933 SE 25th Ln  Cape Coral, FL 33904 </t>
  </si>
  <si>
    <t>33-44-24-c1-01219.0670</t>
  </si>
  <si>
    <t>31-43-24-c2-02133.0200</t>
  </si>
  <si>
    <t>Balin</t>
  </si>
  <si>
    <t>Plymouth</t>
  </si>
  <si>
    <t>Kastner Family Living Trust</t>
  </si>
  <si>
    <t xml:space="preserve">59 Camden Rd </t>
  </si>
  <si>
    <t>33909-6455</t>
  </si>
  <si>
    <t xml:space="preserve">106 NE 20th Ct </t>
  </si>
  <si>
    <t>Windtree</t>
  </si>
  <si>
    <t>Rodriquez</t>
  </si>
  <si>
    <t>Michael Yaworsky</t>
  </si>
  <si>
    <t>PO Box 559</t>
  </si>
  <si>
    <t>Palmers</t>
  </si>
  <si>
    <t xml:space="preserve">221 NE 13th Pl  Cape Coral, FL 33909 </t>
  </si>
  <si>
    <t>Bella</t>
  </si>
  <si>
    <t>R R &amp; Dorothy Stefany</t>
  </si>
  <si>
    <t xml:space="preserve">1024 Dolphin Dr  Cape Coral, FL 33904 </t>
  </si>
  <si>
    <t>Vassiliadis</t>
  </si>
  <si>
    <t>Dawn Hatcher &amp; Jeffrey Wilkinson</t>
  </si>
  <si>
    <t>Juleys Pardo</t>
  </si>
  <si>
    <t>Pierce Arrow</t>
  </si>
  <si>
    <t>Carlo Amorelli</t>
  </si>
  <si>
    <t>Klaus Doerrstein &amp; Manapouri For</t>
  </si>
  <si>
    <t>33909-1101</t>
  </si>
  <si>
    <t xml:space="preserve">PO Box 2  Conover, NC 28613 </t>
  </si>
  <si>
    <t>18-43-24-c3-05744.0050</t>
  </si>
  <si>
    <t>31-43-24-c1-02148.0320</t>
  </si>
  <si>
    <t xml:space="preserve">14090 Campus St  Fort Myers, FL 33905 </t>
  </si>
  <si>
    <t xml:space="preserve">2726 Manteno Ct  Henderson, NV 89052-3865 </t>
  </si>
  <si>
    <t>Winnipeg</t>
  </si>
  <si>
    <t xml:space="preserve">14051 Carlos St </t>
  </si>
  <si>
    <t xml:space="preserve">9028 SW 112th Pl  Miami, FL 33176-1162 </t>
  </si>
  <si>
    <t>Southwick</t>
  </si>
  <si>
    <t>Lothar Glage</t>
  </si>
  <si>
    <t>Edward &amp; Doreen Flaherty</t>
  </si>
  <si>
    <t xml:space="preserve">Po Box 14529 </t>
  </si>
  <si>
    <t>Goodnight</t>
  </si>
  <si>
    <t xml:space="preserve">6341 Channing Ave  Fort Myers, FL 33905 </t>
  </si>
  <si>
    <t xml:space="preserve">1900 NE 7th Ave </t>
  </si>
  <si>
    <t>F 1</t>
  </si>
  <si>
    <t>Kretkowski</t>
  </si>
  <si>
    <t>30005-7277</t>
  </si>
  <si>
    <t>Cape Coral Unit 36 Blk 2294 Pb 16 Pg 20 Lots 24 + 25</t>
  </si>
  <si>
    <t>Williams Field</t>
  </si>
  <si>
    <t>19063-5015</t>
  </si>
  <si>
    <t xml:space="preserve">4111 NE 16th Ave </t>
  </si>
  <si>
    <t>Naylen Leon &amp; Alexis Castellon</t>
  </si>
  <si>
    <t>Fountain View Rv Resort Or 1627 Pg 0179 Lot 41</t>
  </si>
  <si>
    <t xml:space="preserve">1411 14th St  Orion, IL 61273-9798 </t>
  </si>
  <si>
    <t xml:space="preserve">585 Woodcrest Ct </t>
  </si>
  <si>
    <t>34-43-24-l3-00049.0010</t>
  </si>
  <si>
    <t>Auchter</t>
  </si>
  <si>
    <t>Reale</t>
  </si>
  <si>
    <t xml:space="preserve">121 NE 20th Pl </t>
  </si>
  <si>
    <t>Phillip Nguyen</t>
  </si>
  <si>
    <t>07418-1029</t>
  </si>
  <si>
    <t>Royal Crest</t>
  </si>
  <si>
    <t>Frank &amp; Sheila Palange</t>
  </si>
  <si>
    <t>Soniya Suri Ira 3602061</t>
  </si>
  <si>
    <t>Bog Hollow</t>
  </si>
  <si>
    <t>Bettie Goss</t>
  </si>
  <si>
    <t>Eric &amp; Diana Millan</t>
  </si>
  <si>
    <t xml:space="preserve">5025 Thistle Ln </t>
  </si>
  <si>
    <t>Sptmrt Properties Trust</t>
  </si>
  <si>
    <t xml:space="preserve">145 Elmira Loop 4e, Brooklyn, NY 11239-2007 </t>
  </si>
  <si>
    <t xml:space="preserve">1825 NE 41st St  Cape Coral, FL 33909 </t>
  </si>
  <si>
    <t>P J P &amp; Jacquelyn Kelly</t>
  </si>
  <si>
    <t xml:space="preserve">7222 66th St </t>
  </si>
  <si>
    <t>Francisco &amp; Maria Avello</t>
  </si>
  <si>
    <t xml:space="preserve">1049 NE 42nd Ave </t>
  </si>
  <si>
    <t>Gatehouse</t>
  </si>
  <si>
    <t>Cape Coral Land Trust</t>
  </si>
  <si>
    <t>20-43-24-c4-05637.0320</t>
  </si>
  <si>
    <t>17-43-24-c2-05812.0360</t>
  </si>
  <si>
    <t xml:space="preserve">1106 NE 39th St  Cape Coral, FL 33909 </t>
  </si>
  <si>
    <t xml:space="preserve">1317 NE 22nd Ave </t>
  </si>
  <si>
    <t>Bikini</t>
  </si>
  <si>
    <t>Gately</t>
  </si>
  <si>
    <t xml:space="preserve">1827 NE 22nd St  Cape Coral, FL 33909 </t>
  </si>
  <si>
    <t xml:space="preserve">1813 NE 1st Ave </t>
  </si>
  <si>
    <t>Mario Sepulveda</t>
  </si>
  <si>
    <t xml:space="preserve">14209 Rippling Brook Dr  Silver Spring, MD 20906-2307 </t>
  </si>
  <si>
    <t>Simeon</t>
  </si>
  <si>
    <t xml:space="preserve">24830 Willowbrook </t>
  </si>
  <si>
    <t>Fabiola</t>
  </si>
  <si>
    <t>33905-7738</t>
  </si>
  <si>
    <t>33065-1410</t>
  </si>
  <si>
    <t xml:space="preserve">4133 E Gator Cir  Cape Coral, FL 33909 </t>
  </si>
  <si>
    <t>78666-4497</t>
  </si>
  <si>
    <t>01-44-23-c4-02416.0290</t>
  </si>
  <si>
    <t xml:space="preserve">5311 Mikado Ct  Cape Coral, FL 33904 </t>
  </si>
  <si>
    <t>31-43-24-c1-02149.0120</t>
  </si>
  <si>
    <t xml:space="preserve">716 Tower Dr  Cape Coral, FL 33904 </t>
  </si>
  <si>
    <t xml:space="preserve">6448 N Oak Park Ave 2n, Chicago, IL 60631-2018 </t>
  </si>
  <si>
    <t>John Kokoris</t>
  </si>
  <si>
    <t>03-44-26-13-00075.0080</t>
  </si>
  <si>
    <t>Palmetto Palms Rv Resort Condo Ph 5 Or 1530 Pg 1466 Res Unit 612</t>
  </si>
  <si>
    <t>Middlesex</t>
  </si>
  <si>
    <t>Jones Matthew L Tr Tr</t>
  </si>
  <si>
    <t>West Bay Shore</t>
  </si>
  <si>
    <t>PO Box 64</t>
  </si>
  <si>
    <t xml:space="preserve">3 Kilmer Ave  Dix Hills, NY 11746-8201 </t>
  </si>
  <si>
    <t>Susana Pinero</t>
  </si>
  <si>
    <t>28906-2040</t>
  </si>
  <si>
    <t xml:space="preserve">26 NE 12th Ln  Cape Coral, FL 33909 </t>
  </si>
  <si>
    <t xml:space="preserve">25 Citation Cir  Wheaton, IL 60189-3118 </t>
  </si>
  <si>
    <t xml:space="preserve">2710 Central Ave  Fort Myers, FL 33901 </t>
  </si>
  <si>
    <t xml:space="preserve">1313 Field Ave  Plainfield, NJ 07060-2822 </t>
  </si>
  <si>
    <t>Dayami</t>
  </si>
  <si>
    <t xml:space="preserve">10317 Prairie Iris Dr  Fort Myers, FL 33905 </t>
  </si>
  <si>
    <t xml:space="preserve">10207 SW 77th Ct </t>
  </si>
  <si>
    <t>Mountain Way</t>
  </si>
  <si>
    <t xml:space="preserve">5733 Luther Miles Rd  Marion Station, MD 21838-2763 </t>
  </si>
  <si>
    <t xml:space="preserve">10130 Sunnywood Ct  Fort Myers, FL 33905 </t>
  </si>
  <si>
    <t>Cape Coral Unit 87 Blk 5714 Pb 24 Pg 76 Lots 3 + 4</t>
  </si>
  <si>
    <t xml:space="preserve">3538 NE 22nd Ave </t>
  </si>
  <si>
    <t>33909-4569</t>
  </si>
  <si>
    <t>C057</t>
  </si>
  <si>
    <t xml:space="preserve">6012 Laurelwood Dr  Fort Myers, FL 33905 </t>
  </si>
  <si>
    <t xml:space="preserve">4004 NE 23rd Ave </t>
  </si>
  <si>
    <t>12-44-23-c2-02397.0190</t>
  </si>
  <si>
    <t>Northdale</t>
  </si>
  <si>
    <t>Patricia Ann Ronay Trust</t>
  </si>
  <si>
    <t xml:space="preserve">26 N Main St #6 </t>
  </si>
  <si>
    <t>Cape Coral Unit 36 Blk 2313 Pb 16 Pg 123 Lots 29 + 30</t>
  </si>
  <si>
    <t>R074</t>
  </si>
  <si>
    <t>Griggs</t>
  </si>
  <si>
    <t>19-43-24-c2-05589.0030</t>
  </si>
  <si>
    <t xml:space="preserve">3012 NE 2nd Pl </t>
  </si>
  <si>
    <t xml:space="preserve">1131 W Larabee St #111 </t>
  </si>
  <si>
    <t>Mulligan</t>
  </si>
  <si>
    <t>Carol Volstorf</t>
  </si>
  <si>
    <t xml:space="preserve">39 Barwick St  Floral Park, NY 11001-1607 </t>
  </si>
  <si>
    <t>33446-5614</t>
  </si>
  <si>
    <t xml:space="preserve">1300 NE 23rd Ter  Cape Coral, FL 33909 </t>
  </si>
  <si>
    <t>33169-5238</t>
  </si>
  <si>
    <t>Julieta Vaz</t>
  </si>
  <si>
    <t>Cape Coral Unit 85 Blk 5665 Pb 24 Pg 53 Lots 32 + 33</t>
  </si>
  <si>
    <t>34677-2435</t>
  </si>
  <si>
    <t>33909-8308</t>
  </si>
  <si>
    <t>New Buffalo</t>
  </si>
  <si>
    <t>33498-6391</t>
  </si>
  <si>
    <t>Glaubert Regalado &amp; Gelka Acuna</t>
  </si>
  <si>
    <t>Parichat Tran</t>
  </si>
  <si>
    <t>Falcon</t>
  </si>
  <si>
    <t xml:space="preserve">5304 Cypress Trail Resort Cir </t>
  </si>
  <si>
    <t xml:space="preserve">2104 NE 16th Pl </t>
  </si>
  <si>
    <t xml:space="preserve">2725 NE 2nd Pl </t>
  </si>
  <si>
    <t>25-43-23-c3-02339.0070</t>
  </si>
  <si>
    <t>Damon</t>
  </si>
  <si>
    <t>Cape Coral Unit 87 Blk 5753 Pb 24 Pg 69 Lots 26 + 27</t>
  </si>
  <si>
    <t>Statham</t>
  </si>
  <si>
    <t xml:space="preserve">4440 Ohio Ave </t>
  </si>
  <si>
    <t xml:space="preserve">8 Clyde Ct </t>
  </si>
  <si>
    <t>33909-6401</t>
  </si>
  <si>
    <t xml:space="preserve">333 E Chestnut St </t>
  </si>
  <si>
    <t>Cape Coral Units 85 Blk 5658 Pb 24 Pg 57 Lots 17 + 18</t>
  </si>
  <si>
    <t>33904-2726</t>
  </si>
  <si>
    <t>Katie</t>
  </si>
  <si>
    <t>36-45-23-24-00000.0160</t>
  </si>
  <si>
    <t>Dutton</t>
  </si>
  <si>
    <t xml:space="preserve">1824 NE 23rd Ter  Cape Coral, FL 33909 </t>
  </si>
  <si>
    <t>Juan San &amp; Rizalina Rillera</t>
  </si>
  <si>
    <t>Viera</t>
  </si>
  <si>
    <t>Raymond &amp; Micheline Emond</t>
  </si>
  <si>
    <t xml:space="preserve">2006 NE 17th Pl </t>
  </si>
  <si>
    <t>Page Park Blk P Pb 8 Pg 92 Lot 4</t>
  </si>
  <si>
    <t xml:space="preserve">507 NE 15th St  Cape Coral, FL 33909 </t>
  </si>
  <si>
    <t>Llauger</t>
  </si>
  <si>
    <t xml:space="preserve">11200 NW 59th Ct  Hialeah, FL 33012-6508 </t>
  </si>
  <si>
    <t>Cape Coral Unit 88 Blk 5812 Pb 24 Pg 139 Lot 36</t>
  </si>
  <si>
    <t>33909-3346</t>
  </si>
  <si>
    <t xml:space="preserve">2 Robert-Koch-Str </t>
  </si>
  <si>
    <t>33908-2323</t>
  </si>
  <si>
    <t>29-43-24-c4-02283.0260</t>
  </si>
  <si>
    <t>PO Box 897</t>
  </si>
  <si>
    <t xml:space="preserve">10218 Meadow Beauty Trl  Fort Myers, FL 33905 </t>
  </si>
  <si>
    <t xml:space="preserve">5320 Cypress Trail Resort Cir </t>
  </si>
  <si>
    <t xml:space="preserve">1803 NE 33rd Ter  Cape Coral, FL 33909 </t>
  </si>
  <si>
    <t xml:space="preserve">130 Merkel Dr  Bloomfield, NJ 07003-3139 </t>
  </si>
  <si>
    <t>Joseph Cupelli</t>
  </si>
  <si>
    <t>Bravo</t>
  </si>
  <si>
    <t>06-44-24-c4-02056.0260</t>
  </si>
  <si>
    <t>02747-3531</t>
  </si>
  <si>
    <t xml:space="preserve">336 Mulberry Grove Rd  Royal Palm Beach, FL 33411-4531 </t>
  </si>
  <si>
    <t>Gretna</t>
  </si>
  <si>
    <t xml:space="preserve">299 Riviera Vista Blvd </t>
  </si>
  <si>
    <t xml:space="preserve">4137 NE 20th Pl </t>
  </si>
  <si>
    <t>L6H 6V2</t>
  </si>
  <si>
    <t>Alex &amp; Karla Lavin</t>
  </si>
  <si>
    <t>Clintondale</t>
  </si>
  <si>
    <t>Joshua Holt &amp; Nick Westbrook</t>
  </si>
  <si>
    <t>Cape Coral Unit 33 Blk.2235 Pb 16 Pg 55 Lots 18 + 19</t>
  </si>
  <si>
    <t>91301-3509</t>
  </si>
  <si>
    <t>Lehigh Acres Unit 8 Blk 37 Pb 26 Pg 10 Lot 5</t>
  </si>
  <si>
    <t>Edmondson</t>
  </si>
  <si>
    <t>06-44-24-c2-02089.0200</t>
  </si>
  <si>
    <t>Cape Coral Unit 31 Blk 2097 Pb 14 Pg 163 Lots 78 Thru 80</t>
  </si>
  <si>
    <t>Qin</t>
  </si>
  <si>
    <t xml:space="preserve">2323 NE 19th St  Cape Coral, FL 33909 </t>
  </si>
  <si>
    <t>43235-2106</t>
  </si>
  <si>
    <t>Dennis &amp; Zenora Codrington</t>
  </si>
  <si>
    <t xml:space="preserve">15 Liberty Ave </t>
  </si>
  <si>
    <t>Rajko &amp; Amira Mitrovic</t>
  </si>
  <si>
    <t xml:space="preserve">5 Bergst  Bedford, WY 83112 </t>
  </si>
  <si>
    <t>19-43-24-c3-05619.0010</t>
  </si>
  <si>
    <t>286th</t>
  </si>
  <si>
    <t xml:space="preserve">14444 Woodlawn Dr </t>
  </si>
  <si>
    <t>Buehler</t>
  </si>
  <si>
    <t xml:space="preserve">7712 Alyssum Dr  Louisville, KY 40258-2204 </t>
  </si>
  <si>
    <t>Cape Coral Unit 84 Blk 5551 Pb 24 Pg 38 Lots 25 + 26</t>
  </si>
  <si>
    <t>Cartas</t>
  </si>
  <si>
    <t>33905-2526</t>
  </si>
  <si>
    <t xml:space="preserve">7225 Maida Ln </t>
  </si>
  <si>
    <t xml:space="preserve">14233 SE Marci Way  Clackamas, OR 97015-8475 </t>
  </si>
  <si>
    <t xml:space="preserve">220 N Meridian St #1607 </t>
  </si>
  <si>
    <t>Joel</t>
  </si>
  <si>
    <t>33013-3355</t>
  </si>
  <si>
    <t>07647-2720</t>
  </si>
  <si>
    <t xml:space="preserve">3721 W Gator Cir </t>
  </si>
  <si>
    <t>B030</t>
  </si>
  <si>
    <t>Luis &amp; Luz Torres</t>
  </si>
  <si>
    <t>Hehl</t>
  </si>
  <si>
    <t>46723-9236</t>
  </si>
  <si>
    <t>Cape Coral Unit 26 Blk 925 Pb 14 Pg 136 Lots 5 + 6</t>
  </si>
  <si>
    <t xml:space="preserve">2020 NE 39th Ter  Cape Coral, FL 33909 </t>
  </si>
  <si>
    <t xml:space="preserve">2488 E Glenhaven Dr  Phoenix, AZ 85048-8204 </t>
  </si>
  <si>
    <t xml:space="preserve">20 Chicory Ln  East Amherst, NY 14051-1764 </t>
  </si>
  <si>
    <t>44th</t>
  </si>
  <si>
    <t>Cape Coral Unit 87 Blk 5742 Pb 24 Pg 69 Lots 63 + 64</t>
  </si>
  <si>
    <t xml:space="preserve">1924 W Gardenia Dr </t>
  </si>
  <si>
    <t xml:space="preserve">1426 NE 2nd Ter  Cape Coral, FL 33909 </t>
  </si>
  <si>
    <t>Brian</t>
  </si>
  <si>
    <t xml:space="preserve">1903 NE 2nd Ter </t>
  </si>
  <si>
    <t>16159-4730</t>
  </si>
  <si>
    <t>Cape Coral Unit 17 Blk.1537 Pb 14 Pg 35 Lots 19 Thru 21</t>
  </si>
  <si>
    <t>17-43-24-c2-05796.0340</t>
  </si>
  <si>
    <t>Shockness</t>
  </si>
  <si>
    <t>33909-4804</t>
  </si>
  <si>
    <t>09-44-25-19-0000b.0010</t>
  </si>
  <si>
    <t>07205-1856</t>
  </si>
  <si>
    <t>19-43-24-c4-05552.0150</t>
  </si>
  <si>
    <t xml:space="preserve">153 SE 27th St  Cape Coral, FL 33904 </t>
  </si>
  <si>
    <t>60026-1503</t>
  </si>
  <si>
    <t xml:space="preserve">5163 Atlanta Ave </t>
  </si>
  <si>
    <t>Komal</t>
  </si>
  <si>
    <t>Elaine Lemmo</t>
  </si>
  <si>
    <t>H068</t>
  </si>
  <si>
    <t xml:space="preserve">31 NE 12th Ct </t>
  </si>
  <si>
    <t xml:space="preserve">2614 NE Juanita Pl </t>
  </si>
  <si>
    <t>Peter &amp; Marva Douma</t>
  </si>
  <si>
    <t>Tenorio</t>
  </si>
  <si>
    <t>08-44-24-c1-01531.0010</t>
  </si>
  <si>
    <t>Oscar &amp; Maria Bonnet</t>
  </si>
  <si>
    <t>C003</t>
  </si>
  <si>
    <t>Viborg</t>
  </si>
  <si>
    <t xml:space="preserve">1814 NE 41st St </t>
  </si>
  <si>
    <t xml:space="preserve">10264 Meadow Beauty Trl  Fort Myers, FL 33905 </t>
  </si>
  <si>
    <t xml:space="preserve">24 Yeomalt Ave </t>
  </si>
  <si>
    <t xml:space="preserve">3500 Plantation Pl  Beavercreek, OH 45434-7333 </t>
  </si>
  <si>
    <t>Naglee</t>
  </si>
  <si>
    <t>George &amp; Rosemary Walcutt</t>
  </si>
  <si>
    <t>Mcdonald</t>
  </si>
  <si>
    <t>R020</t>
  </si>
  <si>
    <t>55008-7648</t>
  </si>
  <si>
    <t>Badal</t>
  </si>
  <si>
    <t>John &amp; Louise Cook</t>
  </si>
  <si>
    <t xml:space="preserve">Po Box 670877 </t>
  </si>
  <si>
    <t xml:space="preserve">2109 Johnson Rd  Louisville, KY 40245-4436 </t>
  </si>
  <si>
    <t xml:space="preserve">5316 Cypress Trail Resort Cir </t>
  </si>
  <si>
    <t>Sauveur</t>
  </si>
  <si>
    <t>T</t>
  </si>
  <si>
    <t xml:space="preserve">3857 Highlight St  Fort Myers, FL 33905 </t>
  </si>
  <si>
    <t>Cape Coral Unit 34 Blk 2463 Pb 16 Pg 84 Lots 40 + 41</t>
  </si>
  <si>
    <t xml:space="preserve">5610 Mulligan Way </t>
  </si>
  <si>
    <t xml:space="preserve">1311 NE 23rd St  Cape Coral, FL 33909 </t>
  </si>
  <si>
    <t xml:space="preserve">5412 Shelby 333 </t>
  </si>
  <si>
    <t>22-43-24-01-00001.6010</t>
  </si>
  <si>
    <t xml:space="preserve">6358 Hitchin Post Way </t>
  </si>
  <si>
    <t>32224-7419</t>
  </si>
  <si>
    <t>PO Box 358</t>
  </si>
  <si>
    <t>33909-8935</t>
  </si>
  <si>
    <t xml:space="preserve">5918 Brightwood Dr </t>
  </si>
  <si>
    <t>DC</t>
  </si>
  <si>
    <t xml:space="preserve">5809 Brightwood Dr </t>
  </si>
  <si>
    <t>Toussaint</t>
  </si>
  <si>
    <t>Quinn &amp; Susan Stumpf</t>
  </si>
  <si>
    <t>Francisco Erize &amp; Elena Barybkina</t>
  </si>
  <si>
    <t>Stovall</t>
  </si>
  <si>
    <t>Saratoga</t>
  </si>
  <si>
    <t>Adolewski</t>
  </si>
  <si>
    <t xml:space="preserve">2832 Raymond Ave  Franksville, WI 53126-9641 </t>
  </si>
  <si>
    <t xml:space="preserve">2212 NE 17th St  Cape Coral, FL 33909 </t>
  </si>
  <si>
    <t>Cape Coral Unit 84 Blk 5613 Pb 24 Pg 35 Lots 45 + 46</t>
  </si>
  <si>
    <t>Beth &amp; Michael Mora</t>
  </si>
  <si>
    <t xml:space="preserve">8710 Ortiz Cir </t>
  </si>
  <si>
    <t xml:space="preserve">16627 Mcgregor Blvd  Fort Myers, FL 33908 </t>
  </si>
  <si>
    <t xml:space="preserve">2715 Iowa Dr #307, Fort Collins, CO 80525-4951 </t>
  </si>
  <si>
    <t xml:space="preserve">1326 Butter Rd W </t>
  </si>
  <si>
    <t>Tropical Palm</t>
  </si>
  <si>
    <t xml:space="preserve">4198 Bluff Harbor Way  Wellington, FL 33449-8319 </t>
  </si>
  <si>
    <t>30009-2457</t>
  </si>
  <si>
    <t>Leo</t>
  </si>
  <si>
    <t>33904-5830</t>
  </si>
  <si>
    <t xml:space="preserve">3130 NE 15th Ave </t>
  </si>
  <si>
    <t xml:space="preserve">3507 NE 12th Pl </t>
  </si>
  <si>
    <t>33905-8200</t>
  </si>
  <si>
    <t xml:space="preserve">102 Diplomat Pkwy E  Cape Coral, FL 33909 </t>
  </si>
  <si>
    <t xml:space="preserve">12020 SW 4th Ter </t>
  </si>
  <si>
    <t>Tran</t>
  </si>
  <si>
    <t>01-44-23-c3-02428.0270</t>
  </si>
  <si>
    <t xml:space="preserve">710 Cedar Forest Cir </t>
  </si>
  <si>
    <t>Lehigh Acres Unit 3 Blk 11 Pb 26 Pg 5 Lot 13</t>
  </si>
  <si>
    <t xml:space="preserve">1545 NW Market St </t>
  </si>
  <si>
    <t>Gregory L Haley Trust</t>
  </si>
  <si>
    <t xml:space="preserve">29 Diane Dr </t>
  </si>
  <si>
    <t>Jess &amp; Susan Mcminn</t>
  </si>
  <si>
    <t xml:space="preserve">3614 Cauwels Rd </t>
  </si>
  <si>
    <t xml:space="preserve">350 NE 25th Ter </t>
  </si>
  <si>
    <t>Buckingham Pk Re Blk B U-3 Blk 13 Pb 27 Pg 190 Lot 9</t>
  </si>
  <si>
    <t>18707-1530</t>
  </si>
  <si>
    <t>Robert &amp; Paulette Peters</t>
  </si>
  <si>
    <t xml:space="preserve">512 Jacaranda Pkwy E  Cape Coral, FL 33909 </t>
  </si>
  <si>
    <t xml:space="preserve">3854 Hoffman St  Fort Myers, FL 33905 </t>
  </si>
  <si>
    <t xml:space="preserve">10217 Butterweed Trl </t>
  </si>
  <si>
    <t>47025-8589</t>
  </si>
  <si>
    <t xml:space="preserve">5691 Maplewood Ct </t>
  </si>
  <si>
    <t>Cape Coral Unit 36 Blk 2341 Pb 16 Pg 121 Lots 47 + 48</t>
  </si>
  <si>
    <t xml:space="preserve">10331 Fire Flag Trl  Fort Myers, FL 33905 </t>
  </si>
  <si>
    <t>32225-1573</t>
  </si>
  <si>
    <t>Cape Coral Unit 36 Blk 2299 Pb 16 Pg 122 Lots 33 + 34</t>
  </si>
  <si>
    <t xml:space="preserve">6741 Seminole Ave  Fort Myers, FL 33905 </t>
  </si>
  <si>
    <t>33904-4122</t>
  </si>
  <si>
    <t xml:space="preserve">2211 NE 35th St </t>
  </si>
  <si>
    <t>10469-5723</t>
  </si>
  <si>
    <t>10303-1820</t>
  </si>
  <si>
    <t xml:space="preserve">18 Hunterdon Ave  Monroe Township, NJ 08831-8511 </t>
  </si>
  <si>
    <t>25-43-23-c2-02318.0530</t>
  </si>
  <si>
    <t>Beg 20 Ft E Of Nw Cor Sw 1/4 E 445.5 Ft S 650 Ft W 445.5 Ft N To Pob.</t>
  </si>
  <si>
    <t xml:space="preserve">7101 SW 74th St  Miami, FL 33143-4320 </t>
  </si>
  <si>
    <t>Eugenio Ponce</t>
  </si>
  <si>
    <t>Colleen &amp; Xavier Watson</t>
  </si>
  <si>
    <t xml:space="preserve">33 E Decatur Ave  Pleasantville, NJ 08232-3008 </t>
  </si>
  <si>
    <t>33908-8307</t>
  </si>
  <si>
    <t xml:space="preserve">52 Walpole Valley Rd </t>
  </si>
  <si>
    <t>Birdsong</t>
  </si>
  <si>
    <t>Ravinder &amp; Ashu Arora</t>
  </si>
  <si>
    <t xml:space="preserve">191 Willoughby St 9m, Brooklyn, NY 11201-5440 </t>
  </si>
  <si>
    <t xml:space="preserve">10809 NW 7th St #21 </t>
  </si>
  <si>
    <t>11-44-25-l1-1400b.4420</t>
  </si>
  <si>
    <t xml:space="preserve">3322 NE 8th Pl </t>
  </si>
  <si>
    <t xml:space="preserve">28 Le Vanto  Irvine, CA 92606-8806 </t>
  </si>
  <si>
    <t>07-44-26-03-00004.0050</t>
  </si>
  <si>
    <t>Johannisstrasse</t>
  </si>
  <si>
    <t>Cape Coral Unit 17 Blk.1527 Pb 14 Pg 36 Lots 1 Thru 3</t>
  </si>
  <si>
    <t>Thayer</t>
  </si>
  <si>
    <t xml:space="preserve">3095 County Road 7160  West Plains, MO 65775-6517 </t>
  </si>
  <si>
    <t>Brighton</t>
  </si>
  <si>
    <t xml:space="preserve">2027 NE 15th Ln </t>
  </si>
  <si>
    <t>08831-8511</t>
  </si>
  <si>
    <t>19-43-24-c1-05581.0210</t>
  </si>
  <si>
    <t>97th</t>
  </si>
  <si>
    <t xml:space="preserve">48 Gartenstrasse </t>
  </si>
  <si>
    <t>33157-4885</t>
  </si>
  <si>
    <t>Port Clinton</t>
  </si>
  <si>
    <t>Lehigh Acres Unit 1 W Pt Blk 4 Pb 26 Pg 2 Lot 11</t>
  </si>
  <si>
    <t>65616-7415</t>
  </si>
  <si>
    <t>Cape Coral Unit 36 Blk 2531 Pb 16 Pg 117 Lots 7 8 + 9</t>
  </si>
  <si>
    <t xml:space="preserve">4142 NE 20th Ct </t>
  </si>
  <si>
    <t xml:space="preserve">2802 SE 8th Ave </t>
  </si>
  <si>
    <t xml:space="preserve">2014 NE 10th Pl  Cape Coral, FL 33909 </t>
  </si>
  <si>
    <t>Figurniak</t>
  </si>
  <si>
    <t xml:space="preserve">4350 Shutt Rd </t>
  </si>
  <si>
    <t>25-43-23-c1-02300.a730</t>
  </si>
  <si>
    <t xml:space="preserve">810 NE 32nd Ter </t>
  </si>
  <si>
    <t>Cape Coral Unit 33 Blk 2250 Pb 16 Pg 58 Lots 5 + 6</t>
  </si>
  <si>
    <t>11-44-25-04-0000b.0550</t>
  </si>
  <si>
    <t>Guang Li &amp; Aihua Chen</t>
  </si>
  <si>
    <t xml:space="preserve">106 NE 11th St  Cape Coral, FL 33909 </t>
  </si>
  <si>
    <t xml:space="preserve">2907 Stone School Rd  Ann Arbor, MI 48104-7433 </t>
  </si>
  <si>
    <t>33909-2750</t>
  </si>
  <si>
    <t>33909-4368</t>
  </si>
  <si>
    <t>John &amp; Arlene Martin</t>
  </si>
  <si>
    <t>Douglas &amp; Linda Baelz</t>
  </si>
  <si>
    <t xml:space="preserve">Lutzelmath Weg #2, Luzern, CH 00000 </t>
  </si>
  <si>
    <t>25-43-23-c4-02305.0200</t>
  </si>
  <si>
    <t>For Allen Family Trust</t>
  </si>
  <si>
    <t>Arelis</t>
  </si>
  <si>
    <t>Broadview</t>
  </si>
  <si>
    <t>03-44-26-14-00080.0050</t>
  </si>
  <si>
    <t>Keely</t>
  </si>
  <si>
    <t xml:space="preserve">1819 Whitesville Rd </t>
  </si>
  <si>
    <t>Highway 318</t>
  </si>
  <si>
    <t xml:space="preserve">30 Clairiere De La Mardelle </t>
  </si>
  <si>
    <t>Joana &amp; Arnaldo Mayrink</t>
  </si>
  <si>
    <t>85286-4472</t>
  </si>
  <si>
    <t>Rodine</t>
  </si>
  <si>
    <t>Amherst</t>
  </si>
  <si>
    <t>Windmill</t>
  </si>
  <si>
    <t>36-43-23-c3-02509.0270</t>
  </si>
  <si>
    <t>John &amp; Jacqeline Alfords</t>
  </si>
  <si>
    <t xml:space="preserve">1818 NE 22nd Ave </t>
  </si>
  <si>
    <t>Cape Coral Unit 36 Blk 2526 Pb 16 Pg 114 Lots 63 + 64</t>
  </si>
  <si>
    <t xml:space="preserve">1603 NE 36th Ter </t>
  </si>
  <si>
    <t>Paul Veil &amp; For Veile</t>
  </si>
  <si>
    <t xml:space="preserve">29681 Strawberry Hill Dr  Agoura Hills, CA 91301-4092 </t>
  </si>
  <si>
    <t xml:space="preserve">2201 NE 23rd Ter </t>
  </si>
  <si>
    <t>Zheng</t>
  </si>
  <si>
    <t>Karen Marsano &amp; Rene Fernandez</t>
  </si>
  <si>
    <t>Rita Weissenburger</t>
  </si>
  <si>
    <t>New Palestine</t>
  </si>
  <si>
    <t>46561-3501</t>
  </si>
  <si>
    <t xml:space="preserve">521 Meadowood Dr  Burlington, NC 27215-4679 </t>
  </si>
  <si>
    <t xml:space="preserve">801 SE 32nd Ter </t>
  </si>
  <si>
    <t>Cape Coral Unit 26 Blk.839 Pb 14 Pg 120 Lots 61 Thru 63</t>
  </si>
  <si>
    <t>Wilms</t>
  </si>
  <si>
    <t>Nathaniel</t>
  </si>
  <si>
    <t>Cape Coral Unit 36 Blk 2517 Pb 16 Pg 116 Lots 23 Thru 25</t>
  </si>
  <si>
    <t>Greaves</t>
  </si>
  <si>
    <t>55104-2443</t>
  </si>
  <si>
    <t xml:space="preserve">1713 NE 41st St  Cape Coral, FL 33909 </t>
  </si>
  <si>
    <t>Anthony &amp; Jennifer Krogulski</t>
  </si>
  <si>
    <t xml:space="preserve">209 Eddie Lewis Dr </t>
  </si>
  <si>
    <t>36-43-23-c1-02522.0410</t>
  </si>
  <si>
    <t>55810-9718</t>
  </si>
  <si>
    <t>Cape Coral Unit 36 Blk 2313 Pb 16 Pg 126 Lots 21 + 22</t>
  </si>
  <si>
    <t>Rheutee Ramsawak</t>
  </si>
  <si>
    <t>Lehigh Acres Unit 4 Blk 18 Pb 26 Pg 6 Lot 19</t>
  </si>
  <si>
    <t xml:space="preserve">425 Diplomat Pkwy E </t>
  </si>
  <si>
    <t>06-45-24-c4-00541.0260</t>
  </si>
  <si>
    <t xml:space="preserve">2114 Barbados Ave  Fort Myers, FL 33905 </t>
  </si>
  <si>
    <t>38125-2343</t>
  </si>
  <si>
    <t>PO Box 304</t>
  </si>
  <si>
    <t>Cape Coral Unit 33 Blk 2232 Pb 16 Pg 53 Lots 40 + 41</t>
  </si>
  <si>
    <t>C052</t>
  </si>
  <si>
    <t>Cape Coral Unit 33 Blk.2254 Pb 16 Pg 57 Lots 4 + 5</t>
  </si>
  <si>
    <t>Diane</t>
  </si>
  <si>
    <t xml:space="preserve">8 County Route 14  Fulton, NY 13069-4362 </t>
  </si>
  <si>
    <t>Andrew &amp; Mary Laperle</t>
  </si>
  <si>
    <t>Alberto Gleyden</t>
  </si>
  <si>
    <t>Cape Coral Unit 84 Blk 5588 Pb 24 Pg 45 Lot 2</t>
  </si>
  <si>
    <t>Degroot</t>
  </si>
  <si>
    <t xml:space="preserve">1615 NE 36th St </t>
  </si>
  <si>
    <t>25-43-23-c2-02332.0050</t>
  </si>
  <si>
    <t>Edith Umeh</t>
  </si>
  <si>
    <t>17-43-24-c1-05820.0400</t>
  </si>
  <si>
    <t xml:space="preserve">4024 NE 9th Ave  Cape Coral, FL 33909 </t>
  </si>
  <si>
    <t xml:space="preserve">6501 Cedarwood Ave  Fort Myers, FL 33905 </t>
  </si>
  <si>
    <t xml:space="preserve">10701 Orange River Blvd  Fort Myers, FL 33905 </t>
  </si>
  <si>
    <t>Leicester</t>
  </si>
  <si>
    <t>Holdings Id &amp; For Land</t>
  </si>
  <si>
    <t xml:space="preserve">1715 NE 34th St  Cape Coral, FL 33909 </t>
  </si>
  <si>
    <t xml:space="preserve">1018 Hancock St </t>
  </si>
  <si>
    <t>Cape Coral Unit 33 Blk 2287 Pb 16 Pg 58 Lots 41 + 42</t>
  </si>
  <si>
    <t>25-43-23-c2-02346.0310</t>
  </si>
  <si>
    <t xml:space="preserve">214 Slade St </t>
  </si>
  <si>
    <t xml:space="preserve">31 Pittaway Ave </t>
  </si>
  <si>
    <t>15001-2637</t>
  </si>
  <si>
    <t xml:space="preserve">1102 NE 5th Pl </t>
  </si>
  <si>
    <t>Cape Coral Unit 36 Blk 2347 Pb 16 Pg 130 Lots 13 Thru 15</t>
  </si>
  <si>
    <t>Henniker</t>
  </si>
  <si>
    <t>32025-3144</t>
  </si>
  <si>
    <t>Cape Coral Unit 32 Blk.2170 Pb 16 Pg 8 Lots 37 + 38</t>
  </si>
  <si>
    <t>Cape Coral Unit 33 Blk 2202 Pb 16 Pg 45 Lots 1 + 2</t>
  </si>
  <si>
    <t xml:space="preserve">614 SE 27th Ter </t>
  </si>
  <si>
    <t xml:space="preserve">1111 NE 17th Pl  Cape Coral, FL 33909 </t>
  </si>
  <si>
    <t>Wilton Manors</t>
  </si>
  <si>
    <t>Vinceuza</t>
  </si>
  <si>
    <t>13027-1533</t>
  </si>
  <si>
    <t xml:space="preserve">1161 W 53rd Ter </t>
  </si>
  <si>
    <t xml:space="preserve">6742 SW 13th St  Miami, FL 33144-5521 </t>
  </si>
  <si>
    <t xml:space="preserve">11671 Dwarf Ginseng Dr  Fort Myers, FL 33908 </t>
  </si>
  <si>
    <t>13108-9747</t>
  </si>
  <si>
    <t>32707-4051</t>
  </si>
  <si>
    <t>River Forest Unit 6 Unrec Or 869 Pg 615 Lot 160</t>
  </si>
  <si>
    <t xml:space="preserve">1317 NE 19th Ct </t>
  </si>
  <si>
    <t xml:space="preserve">3836 Hyde Park Dr </t>
  </si>
  <si>
    <t>2016 manapouri trust</t>
  </si>
  <si>
    <t>Benvenue</t>
  </si>
  <si>
    <t xml:space="preserve">2536 NE 20th Ave  Cape Coral, FL 33909 </t>
  </si>
  <si>
    <t>Darrell</t>
  </si>
  <si>
    <t>Cypress Woods Rv Resort Ut 1 Pb 65 Pg 85 + 86 Blk B Lot 41</t>
  </si>
  <si>
    <t xml:space="preserve">3820 NE 9th Pl </t>
  </si>
  <si>
    <t xml:space="preserve">10140 Shadowood Ct  Fort Myers, FL 33905 </t>
  </si>
  <si>
    <t xml:space="preserve">63 Soper Ave </t>
  </si>
  <si>
    <t xml:space="preserve">2026 NE 10th Ave  Cape Coral, FL 33909 </t>
  </si>
  <si>
    <t>Pittman</t>
  </si>
  <si>
    <t>Tian Chen</t>
  </si>
  <si>
    <t>36-43-23-c4-02489.0190</t>
  </si>
  <si>
    <t>Zamora</t>
  </si>
  <si>
    <t xml:space="preserve">2925 Lincoln Dr #403, Saint Paul, MN 55113-1348 </t>
  </si>
  <si>
    <t>33027-3703</t>
  </si>
  <si>
    <t xml:space="preserve">1461 County Road 515  Brownfield, TX 79316-7608 </t>
  </si>
  <si>
    <t>02169-2605</t>
  </si>
  <si>
    <t xml:space="preserve">97 Godwin Ave </t>
  </si>
  <si>
    <t>Peter &amp; For Grimm</t>
  </si>
  <si>
    <t xml:space="preserve">10086 Parkwood Dr </t>
  </si>
  <si>
    <t xml:space="preserve">3905 NE 8th Pl </t>
  </si>
  <si>
    <t>Triple Lakes</t>
  </si>
  <si>
    <t xml:space="preserve">5816 Joanne Ct  Traverse City, MI 49685-8650 </t>
  </si>
  <si>
    <t>Richard &amp; Lucia Hood</t>
  </si>
  <si>
    <t>Florian Juana Josefa Tr For Florian Trust</t>
  </si>
  <si>
    <t>31-43-24-c4-02106.0340</t>
  </si>
  <si>
    <t>33905-2036</t>
  </si>
  <si>
    <t>David &amp; Kathleen Eckman</t>
  </si>
  <si>
    <t xml:space="preserve">2035 NE 34th Ln </t>
  </si>
  <si>
    <t xml:space="preserve">2605 Trillium Rdg #1311, the Villages, FL 32163 </t>
  </si>
  <si>
    <t>12603-6037</t>
  </si>
  <si>
    <t>Star Shell</t>
  </si>
  <si>
    <t xml:space="preserve">3205 Hering Ave </t>
  </si>
  <si>
    <t xml:space="preserve">333 N University Dr #416 </t>
  </si>
  <si>
    <t>Keilholtz</t>
  </si>
  <si>
    <t>Vienna</t>
  </si>
  <si>
    <t>Destefano</t>
  </si>
  <si>
    <t>Snoddy</t>
  </si>
  <si>
    <t xml:space="preserve">5600 Cypress Woods Resort Dr </t>
  </si>
  <si>
    <t>Cape Coral Unit 33 Blk 2184 Pb 16 Pg 50 Lots 5 + 6</t>
  </si>
  <si>
    <t>Buckingham Pk Re Blk B U-4 Blk 22 Pb 27 Pg 192 Lot 9</t>
  </si>
  <si>
    <t xml:space="preserve">912 Brisley Cir  Hampton, GA 30228-5945 </t>
  </si>
  <si>
    <t>Alfonso Navarro</t>
  </si>
  <si>
    <t>Cape Coral Unit 85 Blk 5646 Pb 24 Pg 56 Lots 21 + 22</t>
  </si>
  <si>
    <t xml:space="preserve">6031 Telegraph Rd </t>
  </si>
  <si>
    <t>33909-4603</t>
  </si>
  <si>
    <t>25-43-23-c2-02347.0110</t>
  </si>
  <si>
    <t>Chevallier</t>
  </si>
  <si>
    <t xml:space="preserve">25 Teaneck Dr </t>
  </si>
  <si>
    <t>Hui Lu</t>
  </si>
  <si>
    <t>Pennroyal</t>
  </si>
  <si>
    <t xml:space="preserve">1502 NE 37th St  Cape Coral, FL 33909 </t>
  </si>
  <si>
    <t>Mount Clemens</t>
  </si>
  <si>
    <t>Joyce Brown</t>
  </si>
  <si>
    <t>89002-8236</t>
  </si>
  <si>
    <t>77493-3332</t>
  </si>
  <si>
    <t>72712-8044</t>
  </si>
  <si>
    <t xml:space="preserve">3710 Tracy St </t>
  </si>
  <si>
    <t>18612-9106</t>
  </si>
  <si>
    <t>33909-4314</t>
  </si>
  <si>
    <t xml:space="preserve">302 Grayling Dr  Oakville, ON L6l 6X4 </t>
  </si>
  <si>
    <t>Vivar</t>
  </si>
  <si>
    <t xml:space="preserve">1130 NE 39th St  Cape Coral, FL 33909 </t>
  </si>
  <si>
    <t>Laperle</t>
  </si>
  <si>
    <t>23-44-24-p2-0160d.0040</t>
  </si>
  <si>
    <t>18-43-24-c4-05706.0190</t>
  </si>
  <si>
    <t xml:space="preserve">920 NE 18th St </t>
  </si>
  <si>
    <t>03842-3036</t>
  </si>
  <si>
    <t>Botzer</t>
  </si>
  <si>
    <t xml:space="preserve">29 NW 107th St  Miami Shores, FL 33168-4306 </t>
  </si>
  <si>
    <t>Voto</t>
  </si>
  <si>
    <t xml:space="preserve">521 N Riverside Dr #609, Pompano Beach, FL 33062-4725 </t>
  </si>
  <si>
    <t>Alvero Sanchez &amp; Lina Martinez</t>
  </si>
  <si>
    <t>Colette</t>
  </si>
  <si>
    <t>Sayed El</t>
  </si>
  <si>
    <t>Munoz &amp; Victoria Pareja</t>
  </si>
  <si>
    <t>Crespo</t>
  </si>
  <si>
    <t>Beverley</t>
  </si>
  <si>
    <t>Bristol</t>
  </si>
  <si>
    <t>Lehigh Acres Unit 14 W Pt Blk 78 Pb 26 Pg 20 Lot 8</t>
  </si>
  <si>
    <t>19-43-24-c1-05567.0200</t>
  </si>
  <si>
    <t>Cape Coral Unit 32 Blk 2114 Pb 16 Pg 6 Lots 63 + 64</t>
  </si>
  <si>
    <t>Andrew Conti</t>
  </si>
  <si>
    <t>Leslie</t>
  </si>
  <si>
    <t>33909-1259</t>
  </si>
  <si>
    <t>Cape Coral Unit 88 Blk 5783 Pb 24 Pg 132 Lots 48 + 49</t>
  </si>
  <si>
    <t>Hans-Albert Siefert</t>
  </si>
  <si>
    <t xml:space="preserve">PO Box 990865  Naples, FL 34116-6046 </t>
  </si>
  <si>
    <t>Cape Coral Unit 84 Blk 5618 Pb 24 Pg 34 Lot 24</t>
  </si>
  <si>
    <t xml:space="preserve">356 Greenlawn Dr  Amherst, OH 44001-1022 </t>
  </si>
  <si>
    <t xml:space="preserve">822 NE 19th St </t>
  </si>
  <si>
    <t xml:space="preserve">1900 Arkell Rd  Walnut Creek, CA 94598-1243 </t>
  </si>
  <si>
    <t xml:space="preserve">2101 NE 25th Ter </t>
  </si>
  <si>
    <t>PO Box 157</t>
  </si>
  <si>
    <t xml:space="preserve">40 Melbourne Rd </t>
  </si>
  <si>
    <t xml:space="preserve">318 NE 10th St  Cape Coral, FL 33909 </t>
  </si>
  <si>
    <t>93962-7237</t>
  </si>
  <si>
    <t>Geovreisset</t>
  </si>
  <si>
    <t xml:space="preserve">3 Trapper John Rd  Scarborough, ME 04074-8447 </t>
  </si>
  <si>
    <t>Aranda</t>
  </si>
  <si>
    <t>Royal Palm Park Pb 4 Pg 70 Lot 35</t>
  </si>
  <si>
    <t>Miyahira</t>
  </si>
  <si>
    <t xml:space="preserve">12380 Sunnydale Dr  Wellington, FL 33414-7092 </t>
  </si>
  <si>
    <t>Cape Coral Unit 47 Pt 2 Blk 3530 Pb 23 Pg 126 Lot 59</t>
  </si>
  <si>
    <t xml:space="preserve">128 NE 20th St </t>
  </si>
  <si>
    <t>Erlenbach</t>
  </si>
  <si>
    <t>06-46-24-15-00000.3370</t>
  </si>
  <si>
    <t xml:space="preserve">121 NE 8th Ter  Cape Coral, FL 33909 </t>
  </si>
  <si>
    <t>Katiuska</t>
  </si>
  <si>
    <t>06-44-24-c4-02039.0110</t>
  </si>
  <si>
    <t xml:space="preserve">1308 NE 21st Pl  Cape Coral, FL 33909 </t>
  </si>
  <si>
    <t>Mottl</t>
  </si>
  <si>
    <t xml:space="preserve">905 NE 23rd Ter </t>
  </si>
  <si>
    <t>Girard</t>
  </si>
  <si>
    <t xml:space="preserve">1409 NE 13th Ter  Cape Coral, FL 33909 </t>
  </si>
  <si>
    <t>Jen</t>
  </si>
  <si>
    <t xml:space="preserve">6289 Carpenter Rd  Ypsilanti, MI 48197-8843 </t>
  </si>
  <si>
    <t>Cape Coral Unit 88 Blk 5761 Pb 24 Pg 133 Lots 8 + 9</t>
  </si>
  <si>
    <t>Morse Shores Sub 2Nd Add Blk 1 Pb 10 Pg 84 Lot 42</t>
  </si>
  <si>
    <t>05-44-24-c1-03537.0070</t>
  </si>
  <si>
    <t>20-43-24-c1-05644.0190</t>
  </si>
  <si>
    <t>03-44-26-12-00068.0310</t>
  </si>
  <si>
    <t xml:space="preserve">2528 NE Juanita Pl  Cape Coral, FL 33909 </t>
  </si>
  <si>
    <t xml:space="preserve">3180 Crater Dr  Lake Havasu City, AZ 86404-1450 </t>
  </si>
  <si>
    <t>34983-2582</t>
  </si>
  <si>
    <t xml:space="preserve">1913 NE 17th Ter  Cape Coral, FL 33909 </t>
  </si>
  <si>
    <t>Maurice</t>
  </si>
  <si>
    <t>Salt Lake City</t>
  </si>
  <si>
    <t>O</t>
  </si>
  <si>
    <t>39567-5975</t>
  </si>
  <si>
    <t xml:space="preserve">3841 Hillandale St  Fort Myers, FL 33905 </t>
  </si>
  <si>
    <t>25-43-23-c3-02310.0290</t>
  </si>
  <si>
    <t>Luz Gomez</t>
  </si>
  <si>
    <t xml:space="preserve">4 Old Mill Rd  Sewell, NJ 08080-1718 </t>
  </si>
  <si>
    <t xml:space="preserve">11011 Hill Crest Ln  Marengo, IL 60152-8256 </t>
  </si>
  <si>
    <t xml:space="preserve">PO Box 681744  Miami, FL 33168-1744 </t>
  </si>
  <si>
    <t xml:space="preserve">5560 Cypress Woods Resort Dr </t>
  </si>
  <si>
    <t>Costa &amp; Jr Albert Costa Family</t>
  </si>
  <si>
    <t xml:space="preserve">N8172 Carver School Rd  East Troy, WI 53120-2535 </t>
  </si>
  <si>
    <t>Ft Myers Shores Unit 5 Blk 89 Pb 16 Pg 69 Lot 4</t>
  </si>
  <si>
    <t>Cape Coral Unit 87 Blk 5703 Pb 24 Pg 72 Lots 27 + 28</t>
  </si>
  <si>
    <t>90274-8087</t>
  </si>
  <si>
    <t xml:space="preserve">10150 Shadowood Ct </t>
  </si>
  <si>
    <t>Andrew Jackson</t>
  </si>
  <si>
    <t>32043-3438</t>
  </si>
  <si>
    <t>Odi</t>
  </si>
  <si>
    <t xml:space="preserve">277 Central Ave </t>
  </si>
  <si>
    <t>That Part Of Ne 1/4 Lying Sely Of Buckingham Rd and Nely Of Drainage Canal</t>
  </si>
  <si>
    <t xml:space="preserve">1040 Enola Rd  Grand Island, NY 14072-2842 </t>
  </si>
  <si>
    <t>Cypress Woods Rv Resort Desc In Inst#2006-358211 Lot 166</t>
  </si>
  <si>
    <t xml:space="preserve">2122 NE 34th Ln </t>
  </si>
  <si>
    <t xml:space="preserve">10460 SW 56th St  Cooper City, FL 33328-5615 </t>
  </si>
  <si>
    <t xml:space="preserve">4915 W 155th Ter  Overland Park, KS 66224-3977 </t>
  </si>
  <si>
    <t xml:space="preserve">1524 S Gator Cir  Cape Coral, FL 33909 </t>
  </si>
  <si>
    <t>Othneil Uter</t>
  </si>
  <si>
    <t>Cape Coral Unit 87 Blk 5753 Pb 24 Pg 68 Lots 10 &amp; 11</t>
  </si>
  <si>
    <t xml:space="preserve">2040 NE 18th Ter  Cape Coral, FL 33909 </t>
  </si>
  <si>
    <t>For Joyce M &amp; Morris Gural Trust</t>
  </si>
  <si>
    <t xml:space="preserve">155 Gardenia St </t>
  </si>
  <si>
    <t xml:space="preserve">701 NE 19th Ter </t>
  </si>
  <si>
    <t xml:space="preserve">4627 Tennessee Way </t>
  </si>
  <si>
    <t xml:space="preserve">41 Rockledge Dr </t>
  </si>
  <si>
    <t>R903</t>
  </si>
  <si>
    <t>Costa &amp; Costa Da</t>
  </si>
  <si>
    <t>19-43-24-c1-05550.0050</t>
  </si>
  <si>
    <t>Pembroke</t>
  </si>
  <si>
    <t xml:space="preserve">273 Devoe St #3, Brooklyn, NY 11211-3070 </t>
  </si>
  <si>
    <t>33076-2797</t>
  </si>
  <si>
    <t>Cape Coral Unit 36 Blk 2341 Pb 16 Pg 121 Lots 7 + 8</t>
  </si>
  <si>
    <t xml:space="preserve">3347 NE 23rd Pl </t>
  </si>
  <si>
    <t xml:space="preserve">709 W Oak St  Gillespie, IL 62033-1241 </t>
  </si>
  <si>
    <t>Jameyfield Dennis A Tr</t>
  </si>
  <si>
    <t>San Diego</t>
  </si>
  <si>
    <t xml:space="preserve">1221 NE Juanita Pl </t>
  </si>
  <si>
    <t xml:space="preserve">923 NE 23rd Ter  Cape Coral, FL 33909 </t>
  </si>
  <si>
    <t>33433-7394</t>
  </si>
  <si>
    <t xml:space="preserve">8756 S 83rd Ave </t>
  </si>
  <si>
    <t>Charles &amp; Sheryl Fiorella</t>
  </si>
  <si>
    <t>Herod</t>
  </si>
  <si>
    <t xml:space="preserve">8383 Washington Blvd </t>
  </si>
  <si>
    <t>Gravenhurst</t>
  </si>
  <si>
    <t>Elie Levy Trust</t>
  </si>
  <si>
    <t>Lynda Copper</t>
  </si>
  <si>
    <t>33016-6943</t>
  </si>
  <si>
    <t>Cape Coral Unit 47 Pt 2 Blk 3521 Pb 23 Pg 126 Lots 38 + 39</t>
  </si>
  <si>
    <t>Cape Coral Unit 36 Blk 2292 Pb 16 Pg 117 Lots 28 + 29</t>
  </si>
  <si>
    <t xml:space="preserve">32418 Elbow Shores Dr  Dent, MN 56528-9004 </t>
  </si>
  <si>
    <t xml:space="preserve">2212 NE 5th Pl  Cape Coral, FL 33909 </t>
  </si>
  <si>
    <t>Cape Coral Unit 36 Blk 2543 Pb 16 Pg 118 Lots 35 + 36</t>
  </si>
  <si>
    <t>33909-6848</t>
  </si>
  <si>
    <t>Howard &amp; Linda Hoffenkamp</t>
  </si>
  <si>
    <t xml:space="preserve">3205 Hering Ave  Bronx, NY 10469-5003 </t>
  </si>
  <si>
    <t>Egon Beermann &amp; For Beerman</t>
  </si>
  <si>
    <t xml:space="preserve">10309 Nightwood Dr </t>
  </si>
  <si>
    <t>Jonesborough</t>
  </si>
  <si>
    <t>36-43-23-c1-02547.0240</t>
  </si>
  <si>
    <t xml:space="preserve">11024 Greenaire Dr  Tampa, FL 33624-4881 </t>
  </si>
  <si>
    <t>Situ</t>
  </si>
  <si>
    <t xml:space="preserve">1409 NE 6th Pl </t>
  </si>
  <si>
    <t>Loss</t>
  </si>
  <si>
    <t>01-44-23-c2-02460.0090</t>
  </si>
  <si>
    <t xml:space="preserve">225 S Westmonte Dr #2040, Altamonte Springs, FL 32714-4218 </t>
  </si>
  <si>
    <t>Pullicin</t>
  </si>
  <si>
    <t xml:space="preserve">750 126th Ave </t>
  </si>
  <si>
    <t>Orange Harbor Co-Op As Desc In Inst# 2012000226486 Lot 287</t>
  </si>
  <si>
    <t xml:space="preserve">4442 NE Connection Ave </t>
  </si>
  <si>
    <t xml:space="preserve">2950 4th St S </t>
  </si>
  <si>
    <t xml:space="preserve">528 Canal Way  Oldsmar, FL 34677-2435 </t>
  </si>
  <si>
    <t xml:space="preserve">208 NE 31st Ter </t>
  </si>
  <si>
    <t xml:space="preserve">1119 NE 37th Ter </t>
  </si>
  <si>
    <t>33909-4652</t>
  </si>
  <si>
    <t>Eleanor Palmer</t>
  </si>
  <si>
    <t>Spring Harbor</t>
  </si>
  <si>
    <t>83rd</t>
  </si>
  <si>
    <t xml:space="preserve">5161 Cypress Trail Resort Cir  Fort Myers, FL 33905 </t>
  </si>
  <si>
    <t>Glenarbor</t>
  </si>
  <si>
    <t>Pasquale</t>
  </si>
  <si>
    <t>Cypress Woods Rv Resort Unit 4 Pb 79 Pgs 68-71 Blk D Lot 36</t>
  </si>
  <si>
    <t xml:space="preserve">1126 S Elizabeth Scales Mound Rd </t>
  </si>
  <si>
    <t>Hunters Vista</t>
  </si>
  <si>
    <t xml:space="preserve">1904 NE 6th Ave  Cape Coral, FL 33909 </t>
  </si>
  <si>
    <t>Pine Manor Unit 3 Blk.14 Pb 10 Pg 93 Lot 9</t>
  </si>
  <si>
    <t xml:space="preserve">1325 NE 18th Ter  Cape Coral, FL 33909 </t>
  </si>
  <si>
    <t>11-44-25-04-0000a.0010</t>
  </si>
  <si>
    <t xml:space="preserve">4651 Goebel Rd  Fort Myers, FL 33905 </t>
  </si>
  <si>
    <t xml:space="preserve">3412 NE 21st Pl </t>
  </si>
  <si>
    <t xml:space="preserve">219 SE 27th Ter  Cape Coral, FL 33904 </t>
  </si>
  <si>
    <t>Richard &amp; Bernadett Lauricella</t>
  </si>
  <si>
    <t>25-43-23-c2-02351.0340</t>
  </si>
  <si>
    <t xml:space="preserve">1 Benjamin Griggs Dr </t>
  </si>
  <si>
    <t>Louisiana</t>
  </si>
  <si>
    <t xml:space="preserve">305 Bamboo Ln  Largo, FL 33770-4083 </t>
  </si>
  <si>
    <t xml:space="preserve">3811 2nd Ave SE  Naples, FL 34117-3754 </t>
  </si>
  <si>
    <t>Hany</t>
  </si>
  <si>
    <t>Sang Duong &amp; Tuong-Linh Nguyen</t>
  </si>
  <si>
    <t>Counselor</t>
  </si>
  <si>
    <t>Parl In Sec 4 T44 R24 Desc Or 1421 Pg 1481</t>
  </si>
  <si>
    <t xml:space="preserve">14637 SW 159th Ct </t>
  </si>
  <si>
    <t>33905-5739</t>
  </si>
  <si>
    <t>Steve &amp; Valerie Crowder</t>
  </si>
  <si>
    <t>Cypress Trail Rv Resort Phase 2-B As Desc In Inst# 2015000013050 Lot 410</t>
  </si>
  <si>
    <t xml:space="preserve">5817 Upland Ter NE  Tacoma, WA 98422-1129 </t>
  </si>
  <si>
    <t>Heathcliff</t>
  </si>
  <si>
    <t xml:space="preserve">11560 Blue Warbler Dr  Fort Myers, FL 33908 </t>
  </si>
  <si>
    <t>32-43-24-c3-02228.0260</t>
  </si>
  <si>
    <t>11-44-25-l1-1400a.1310</t>
  </si>
  <si>
    <t>Rameschandra &amp; E Patel</t>
  </si>
  <si>
    <t>Russell &amp; Eldonna Ford</t>
  </si>
  <si>
    <t>Cape Coral Unit 88 Blk 5797 Pb 24 Pg 131 Lots 68 + 69</t>
  </si>
  <si>
    <t>Marktschellenberg</t>
  </si>
  <si>
    <t>33909-5336</t>
  </si>
  <si>
    <t>Cape Coral Unit 31 Blk.2049 Pb 14 Pg 157 Lots 55 + 56</t>
  </si>
  <si>
    <t>Javier &amp; Eva Guardado</t>
  </si>
  <si>
    <t>19-43-24-c2-05753.0500</t>
  </si>
  <si>
    <t>Three Islands</t>
  </si>
  <si>
    <t>Ross Morphew &amp; Beth Grote-Morphew</t>
  </si>
  <si>
    <t xml:space="preserve">1385 Wood Ave </t>
  </si>
  <si>
    <t xml:space="preserve">110 Palmer Dr  Branson, MO 65616-7415 </t>
  </si>
  <si>
    <t>33905-3543</t>
  </si>
  <si>
    <t>Lehigh Acres Unit 8 Blk 36 Pb 26 Pg 10 Lot 11</t>
  </si>
  <si>
    <t>Carmen Martinez &amp; Pasquale Rayano</t>
  </si>
  <si>
    <t xml:space="preserve">3224 NE 15th Pl </t>
  </si>
  <si>
    <t xml:space="preserve">59 Federal St </t>
  </si>
  <si>
    <t>Cape Coral Unit 34 Blk 2462 Pb 16 Pg 81 Lot 42 + Blk 2463 Lot 1</t>
  </si>
  <si>
    <t>Anastacio</t>
  </si>
  <si>
    <t xml:space="preserve">1510 NE 6th Pl  Cape Coral, FL 33909 </t>
  </si>
  <si>
    <t>29-43-24-c3-02279.0140</t>
  </si>
  <si>
    <t>Cape Coral Unit 36 Blk 2299 Pb 16 Pg 122 Lots 31 + 32</t>
  </si>
  <si>
    <t xml:space="preserve">120 NE 16th Ter </t>
  </si>
  <si>
    <t xml:space="preserve">2616 NE 7th Ave </t>
  </si>
  <si>
    <t>Saint Augustine</t>
  </si>
  <si>
    <t>Hazard</t>
  </si>
  <si>
    <t>Cape Coral Unit 85 Blk 5632 Pb 24 Pg 50 Lots 25 + 26</t>
  </si>
  <si>
    <t xml:space="preserve">1314 NE 5th Pl  Cape Coral, FL 33909 </t>
  </si>
  <si>
    <t xml:space="preserve">14685 Ali Ave </t>
  </si>
  <si>
    <t xml:space="preserve">11631 Bubble Shell Dr  Fort Myers, FL 33908 </t>
  </si>
  <si>
    <t xml:space="preserve">1303 SE 26th St </t>
  </si>
  <si>
    <t xml:space="preserve">800 Homestead Dr  Glenarm, IL 62536-6636 </t>
  </si>
  <si>
    <t>11-44-25-06-0000d.0760</t>
  </si>
  <si>
    <t>Fortier Family Revocable Trust</t>
  </si>
  <si>
    <t>Diogo</t>
  </si>
  <si>
    <t xml:space="preserve">552 Windsor Dr </t>
  </si>
  <si>
    <t>Balneario Camboriu</t>
  </si>
  <si>
    <t>Lehigh Acres W 1/2 Unit 10 Blk 48 Pb 26 Pg 12 Lot 12</t>
  </si>
  <si>
    <t xml:space="preserve">6011 Tabor Ave  Fort Myers, FL 33905 </t>
  </si>
  <si>
    <t>92166-8324</t>
  </si>
  <si>
    <t>04-44-25-01-0000b.0260</t>
  </si>
  <si>
    <t>Manuel Romero</t>
  </si>
  <si>
    <t>33909-6309</t>
  </si>
  <si>
    <t>85022-3205</t>
  </si>
  <si>
    <t>03-44-26-01-00005.0120</t>
  </si>
  <si>
    <t>Kamal</t>
  </si>
  <si>
    <t xml:space="preserve">2828 NE 6th Pl </t>
  </si>
  <si>
    <t>Cape Coral Unit 33 Blk 2280 Pb 16 Pg 61 Lots 12 + 13</t>
  </si>
  <si>
    <t>Roland Hertert &amp; Brigitte Abramovici-Hertert</t>
  </si>
  <si>
    <t xml:space="preserve">7161 Maida Ln  Fort Myers, FL 33908 </t>
  </si>
  <si>
    <t>Myrleine Sainsurin</t>
  </si>
  <si>
    <t xml:space="preserve">1821 NE 36th Ln </t>
  </si>
  <si>
    <t>PO Box 29022</t>
  </si>
  <si>
    <t xml:space="preserve">1903 NE 10th Ave </t>
  </si>
  <si>
    <t xml:space="preserve">2760 Jackstown Rd  Carlisle, KY 40311-9644 </t>
  </si>
  <si>
    <t>Cypress Trail Rv Resort Phase 2-A As Desc In Inst# 2014000026506 Lot 190</t>
  </si>
  <si>
    <t xml:space="preserve">1070 W Century Dr #101 </t>
  </si>
  <si>
    <t xml:space="preserve">2200 NE 44th St </t>
  </si>
  <si>
    <t>Stroud</t>
  </si>
  <si>
    <t xml:space="preserve">5002 103rd St #2 </t>
  </si>
  <si>
    <t xml:space="preserve">3722 Tracy St  Fort Myers, FL 33905 </t>
  </si>
  <si>
    <t>01-44-23-c1-02463.0100</t>
  </si>
  <si>
    <t>Cacciola</t>
  </si>
  <si>
    <t>17-43-24-c1-05776.0110</t>
  </si>
  <si>
    <t>33909-4402</t>
  </si>
  <si>
    <t>16-44-26-08-00027.0150</t>
  </si>
  <si>
    <t>33905-7674</t>
  </si>
  <si>
    <t>18-43-24-c1-05698.0570</t>
  </si>
  <si>
    <t>PO Box 873992</t>
  </si>
  <si>
    <t>Michael &amp; Cynthia Schiffer</t>
  </si>
  <si>
    <t xml:space="preserve">10269 Meadow Beauty Trl </t>
  </si>
  <si>
    <t>OWNER 1 FIRST NAME</t>
  </si>
  <si>
    <t>36-43-23-c3-02510.0360</t>
  </si>
  <si>
    <t>Evangelisto</t>
  </si>
  <si>
    <t>Tulpen</t>
  </si>
  <si>
    <t>Misleidy</t>
  </si>
  <si>
    <t>George &amp; Sadie Camiel</t>
  </si>
  <si>
    <t>25-43-23-c3-02293.0220</t>
  </si>
  <si>
    <t>Lillian &amp; For Wojcechowskyj</t>
  </si>
  <si>
    <t>70364-3112</t>
  </si>
  <si>
    <t xml:space="preserve">15631 Cemetery Rd </t>
  </si>
  <si>
    <t>Aquia</t>
  </si>
  <si>
    <t xml:space="preserve">489 Main St  Shrewsbury, MA 01545-2250 </t>
  </si>
  <si>
    <t>Mesahchai</t>
  </si>
  <si>
    <t xml:space="preserve">291 Horizon Dr </t>
  </si>
  <si>
    <t xml:space="preserve">2502 NE 23rd Ave  Cape Coral, FL 33909 </t>
  </si>
  <si>
    <t>Wheatsheaf</t>
  </si>
  <si>
    <t>Jose &amp; Ana Moran</t>
  </si>
  <si>
    <t xml:space="preserve">519 NE 5th Ave  Cape Coral, FL 33909 </t>
  </si>
  <si>
    <t>Gerardmer</t>
  </si>
  <si>
    <t>Pickerington</t>
  </si>
  <si>
    <t>North Port</t>
  </si>
  <si>
    <t>Cape Coral Unit 87 Blk.5695 Pb 24 Pg 81 Lots 27 + 28</t>
  </si>
  <si>
    <t xml:space="preserve">1225 NE 19th Ave </t>
  </si>
  <si>
    <t>Mountlake Terrace</t>
  </si>
  <si>
    <t xml:space="preserve">2 Schlehenweg  Brandis Saxony, DE 04827 </t>
  </si>
  <si>
    <t xml:space="preserve">6059 Higgins Ave </t>
  </si>
  <si>
    <t xml:space="preserve">1818 NE 10th Pl </t>
  </si>
  <si>
    <t>Lucelia Rivera</t>
  </si>
  <si>
    <t>25-43-23-c2-02322.0270</t>
  </si>
  <si>
    <t>2nd</t>
  </si>
  <si>
    <t xml:space="preserve">1102 NE 14th Ave </t>
  </si>
  <si>
    <t>Elfriede</t>
  </si>
  <si>
    <t xml:space="preserve">707 Cleveland Ave  Stafford, KS 67578-1622 </t>
  </si>
  <si>
    <t>Johann Krug</t>
  </si>
  <si>
    <t>Yarrow</t>
  </si>
  <si>
    <t>33614-6757</t>
  </si>
  <si>
    <t>Elba Cliffgard &amp; Ana Roman</t>
  </si>
  <si>
    <t>Auf Jagert</t>
  </si>
  <si>
    <t>12-44-23-c2-02380.0330</t>
  </si>
  <si>
    <t xml:space="preserve">400 Wilma Ave </t>
  </si>
  <si>
    <t xml:space="preserve">10572 Flatlands 8th St </t>
  </si>
  <si>
    <t>32-43-24-c1-02244.0050</t>
  </si>
  <si>
    <t xml:space="preserve">7538 Abbington Dr  Oxon Hill, MD 20745-1509 </t>
  </si>
  <si>
    <t>John &amp; Filomena Kalata</t>
  </si>
  <si>
    <t>Cape Coral Unit 34 Blk 2053 Pb 16 Pg 80 Lots 44 + 45</t>
  </si>
  <si>
    <t xml:space="preserve">1804 NE 33rd Ter  Cape Coral, FL 33909 </t>
  </si>
  <si>
    <t>Hollis</t>
  </si>
  <si>
    <t xml:space="preserve">769 N 210 W </t>
  </si>
  <si>
    <t xml:space="preserve">4125 NE 8th Pl </t>
  </si>
  <si>
    <t>Torrey Pines Parcel 127 South As Desc In Inst# 2015000174442 Lot 16</t>
  </si>
  <si>
    <t>M2R 2X9</t>
  </si>
  <si>
    <t>Cape Coral Unit 87 Blk 5747 Pb 24 Pg 70 Lot 22</t>
  </si>
  <si>
    <t>Saw Mill</t>
  </si>
  <si>
    <t xml:space="preserve">9101/9103 Buckingham Rd </t>
  </si>
  <si>
    <t>Cape Coral Unit 84 Blk 5570 Pg 24 Pg 45 Lots 39 + 40</t>
  </si>
  <si>
    <t>Cape Coral Unit 33 Blk 2231 Pb 16 Pg 51 Lots 18 + 19</t>
  </si>
  <si>
    <t>Dayman</t>
  </si>
  <si>
    <t xml:space="preserve">74 Regatta Cres  North York, ON M2r 2X9 </t>
  </si>
  <si>
    <t xml:space="preserve">205 SE 28th Ter  Cape Coral, FL 33904 </t>
  </si>
  <si>
    <t>20-43-24-c2-05667.0110</t>
  </si>
  <si>
    <t xml:space="preserve">46 Kalina Dr  Rhinebeck, NY 12572-1010 </t>
  </si>
  <si>
    <t>Marc</t>
  </si>
  <si>
    <t xml:space="preserve">119 Aviation Pkwy </t>
  </si>
  <si>
    <t>34761-5034</t>
  </si>
  <si>
    <t xml:space="preserve">8 NE 13th Ave </t>
  </si>
  <si>
    <t>11-44-25-11-00000.0590</t>
  </si>
  <si>
    <t xml:space="preserve">1104 NE 40th St  Cape Coral, FL 33909 </t>
  </si>
  <si>
    <t>PO Box 770598</t>
  </si>
  <si>
    <t>Mooring</t>
  </si>
  <si>
    <t>Viacha</t>
  </si>
  <si>
    <t>Paul Scheele &amp; For Schelle</t>
  </si>
  <si>
    <t>Charles Town</t>
  </si>
  <si>
    <t xml:space="preserve">10203 Meadow Beauty Trl  Fort Myers, FL 33905 </t>
  </si>
  <si>
    <t>Wild Basin</t>
  </si>
  <si>
    <t>Cape Coral Unit 36 Blk 2174 Pb 16 Pg 121 Lots 29 + 30</t>
  </si>
  <si>
    <t xml:space="preserve">229 NE 14th Ter </t>
  </si>
  <si>
    <t xml:space="preserve">6201 Coral Lake Dr  Miami, FL 33155-5938 </t>
  </si>
  <si>
    <t>Nave Gur &amp; Shmuel Yoffe</t>
  </si>
  <si>
    <t>Lehigh Acres Unit 5 Blk 25 Pb 26 Pg 7 Lot 26</t>
  </si>
  <si>
    <t>34746-2997</t>
  </si>
  <si>
    <t>Sauk</t>
  </si>
  <si>
    <t xml:space="preserve">5473 Cypress Trail Resort Cir  Fort Myers, FL 33905 </t>
  </si>
  <si>
    <t>05-44-24-c2-03511.0370</t>
  </si>
  <si>
    <t>PO Box 152</t>
  </si>
  <si>
    <t xml:space="preserve">15019 SW 90th Ter </t>
  </si>
  <si>
    <t xml:space="preserve">621 NE 2nd Pl </t>
  </si>
  <si>
    <t xml:space="preserve">5608 Ridgewood Ave  Anniston, AL 36206-1671 </t>
  </si>
  <si>
    <t>25-43-23-c4-02304.0390</t>
  </si>
  <si>
    <t>Maple Shade</t>
  </si>
  <si>
    <t>Cape Coral Unit 32 Blk.2170 Pb 16 Pg 8 Lots 35 + 36</t>
  </si>
  <si>
    <t xml:space="preserve">30252 Pacific Island Dr #195, Laguna Niguel, CA 92677-6315 </t>
  </si>
  <si>
    <t>Tewksbury</t>
  </si>
  <si>
    <t>John &amp; Diana Fitzpatrick</t>
  </si>
  <si>
    <t>Lilin</t>
  </si>
  <si>
    <t>16-44-26-08-00024.0260</t>
  </si>
  <si>
    <t xml:space="preserve">5551 Luckett Rd C27, Fort Myers, FL 33905-5509 </t>
  </si>
  <si>
    <t xml:space="preserve">923 NE 1st Ave  Cape Coral, FL 33909 </t>
  </si>
  <si>
    <t xml:space="preserve">3817 NE 23rd Ave </t>
  </si>
  <si>
    <t xml:space="preserve">6 Tropicana Pkwy E </t>
  </si>
  <si>
    <t>Oskar Firnkes</t>
  </si>
  <si>
    <t>18-43-24-c3-05752.0270</t>
  </si>
  <si>
    <t>33-44-24-c1-01243.0250</t>
  </si>
  <si>
    <t xml:space="preserve">261 Powell Ave SW </t>
  </si>
  <si>
    <t>Anita</t>
  </si>
  <si>
    <t>33908-4651</t>
  </si>
  <si>
    <t xml:space="preserve">52 Cherry St #3, Jersey City, NJ 07305-4818 </t>
  </si>
  <si>
    <t>Richard &amp; Shirley Shradeja</t>
  </si>
  <si>
    <t xml:space="preserve">1939 SE 37th Ter </t>
  </si>
  <si>
    <t xml:space="preserve">121 NE 17th Ter  Cape Coral, FL 33909 </t>
  </si>
  <si>
    <t>Marett</t>
  </si>
  <si>
    <t>Cape Coral Unit 85 Blk 5668 Pb 24 Pg 53 Lots 40 + 41</t>
  </si>
  <si>
    <t xml:space="preserve">25502 Saddle Rock Pl  Laguna Hills, CA 92653-6335 </t>
  </si>
  <si>
    <t xml:space="preserve">37 Buergerschaft </t>
  </si>
  <si>
    <t>Leith</t>
  </si>
  <si>
    <t xml:space="preserve">1223 NE 14th Pl </t>
  </si>
  <si>
    <t xml:space="preserve">113 NE 7th Pl  Cape Coral, FL 33909 </t>
  </si>
  <si>
    <t>38019-5828</t>
  </si>
  <si>
    <t>Wessington Springs</t>
  </si>
  <si>
    <t xml:space="preserve">2044 Bahama Ave  Fort Myers, FL 33905 </t>
  </si>
  <si>
    <t>S &amp; Margaret Chiorino</t>
  </si>
  <si>
    <t>44484-4658</t>
  </si>
  <si>
    <t>Cape Coral Unit 34 Blk 2418 Pb 16 Pg 78 Lots 3 + 4</t>
  </si>
  <si>
    <t xml:space="preserve">52964 Harmony Dr  Macomb, MI 48042-3714 </t>
  </si>
  <si>
    <t xml:space="preserve">1213 SE 46th St </t>
  </si>
  <si>
    <t xml:space="preserve">5116 Cypress Trail Resort Cir  Fort Myers, FL 33905 </t>
  </si>
  <si>
    <t xml:space="preserve">1206 NE 20th Ave </t>
  </si>
  <si>
    <t xml:space="preserve">900 Hamilton Dr </t>
  </si>
  <si>
    <t>Brandenburg</t>
  </si>
  <si>
    <t>Lehigh Acres W Pt Ut 12 Blk 63 Pb 26 Pg 16 Lot 10</t>
  </si>
  <si>
    <t>Willman Willard &amp; Alice Tr</t>
  </si>
  <si>
    <t>Vista Charonoaks</t>
  </si>
  <si>
    <t>Dayanes</t>
  </si>
  <si>
    <t>C107</t>
  </si>
  <si>
    <t>Eva Thomas &amp; Rodriguez Mora</t>
  </si>
  <si>
    <t>33331-3711</t>
  </si>
  <si>
    <t>Cape Coral Unit 36 Blk 2331 Pb 16 Pg 130 Lots 36 + 37</t>
  </si>
  <si>
    <t xml:space="preserve">6022 Jonathan Ave </t>
  </si>
  <si>
    <t>Cape Coral Unit 87 Blk 5701 Pb 24 Pg 82 Lots 49 + 50</t>
  </si>
  <si>
    <t>Karen &amp; For Brown</t>
  </si>
  <si>
    <t>32738-6250</t>
  </si>
  <si>
    <t xml:space="preserve">4006 NE 9th Pl  Cape Coral, FL 33909 </t>
  </si>
  <si>
    <t>Olive</t>
  </si>
  <si>
    <t xml:space="preserve">1513 NE 13th Ave  Cape Coral, FL 33909 </t>
  </si>
  <si>
    <t xml:space="preserve">1493 Loretta Dr  Pittsburgh, PA 15235-2319 </t>
  </si>
  <si>
    <t>60010-5339</t>
  </si>
  <si>
    <t xml:space="preserve">15 Lortzingstr </t>
  </si>
  <si>
    <t xml:space="preserve">1401 SE 29th Ter </t>
  </si>
  <si>
    <t xml:space="preserve">2305 NE 33rd Ter  Cape Coral, FL 33909 </t>
  </si>
  <si>
    <t>Fela</t>
  </si>
  <si>
    <t xml:space="preserve">2703 NE 5th Pl  Cape Coral, FL 33909 </t>
  </si>
  <si>
    <t xml:space="preserve">2105 NE 25th Ter  Cape Coral, FL 33909 </t>
  </si>
  <si>
    <t xml:space="preserve">1900 NE 7th Ave  Cape Coral, FL 33909 </t>
  </si>
  <si>
    <t xml:space="preserve">12601 River Rd  Fort Myers, FL 33905 </t>
  </si>
  <si>
    <t>PO Box 1300</t>
  </si>
  <si>
    <t>Bertha Harris</t>
  </si>
  <si>
    <t>10552-1625</t>
  </si>
  <si>
    <t>Scott &amp; Julie Zeller</t>
  </si>
  <si>
    <t>33905-4565</t>
  </si>
  <si>
    <t>Donnelly</t>
  </si>
  <si>
    <t>Cape Coral Unit 17 Blk.1522 Pb 14 Pg 36 Lots 21 + 22</t>
  </si>
  <si>
    <t xml:space="preserve">109 NE 25th St </t>
  </si>
  <si>
    <t>18-43-24-c3-05715.0030</t>
  </si>
  <si>
    <t>33909-4451</t>
  </si>
  <si>
    <t xml:space="preserve">3413 Andalusia Blvd </t>
  </si>
  <si>
    <t xml:space="preserve">6515 Delilah Rd #2065, Egg Harbor Township, NJ 08234-5157 </t>
  </si>
  <si>
    <t xml:space="preserve">1902 NE 34th St </t>
  </si>
  <si>
    <t xml:space="preserve">7825 Plantation Blvd </t>
  </si>
  <si>
    <t>Burning Tree</t>
  </si>
  <si>
    <t>11-44-25-09-00000.0110</t>
  </si>
  <si>
    <t xml:space="preserve">16669 SW 55th Ter  Miami, FL 33185-5261 </t>
  </si>
  <si>
    <t xml:space="preserve">2422 NW 40th Cir </t>
  </si>
  <si>
    <t>North Chili</t>
  </si>
  <si>
    <t xml:space="preserve">3203 SE 1st Ave  Cape Coral, FL 33904 </t>
  </si>
  <si>
    <t>48094-1523</t>
  </si>
  <si>
    <t>Philippe &amp; Laetitia Schoonaert</t>
  </si>
  <si>
    <t xml:space="preserve">1518 NE 8th Pl  Cape Coral, FL 33909 </t>
  </si>
  <si>
    <t>05-44-24-c2-03528.0280</t>
  </si>
  <si>
    <t>32-43-24-c2-02234.0700</t>
  </si>
  <si>
    <t>Hon Lam</t>
  </si>
  <si>
    <t xml:space="preserve">328 Royal Palm Park Rd </t>
  </si>
  <si>
    <t xml:space="preserve">1825 NE 21st St  Cape Coral, FL 33909 </t>
  </si>
  <si>
    <t>the Kingsway</t>
  </si>
  <si>
    <t>31-43-24-c4-02110.0080</t>
  </si>
  <si>
    <t>John &amp; Jacklyn Davis</t>
  </si>
  <si>
    <t>17-43-24-c1-05828.0330</t>
  </si>
  <si>
    <t>33909-1396</t>
  </si>
  <si>
    <t xml:space="preserve">65 Sandy Beach Rd  Ellington, CT 06029-3111 </t>
  </si>
  <si>
    <t>Banzon</t>
  </si>
  <si>
    <t>18-43-24-c1-05695.0430</t>
  </si>
  <si>
    <t>37207-3020</t>
  </si>
  <si>
    <t xml:space="preserve">14999 SW 56th Ter  Miami, FL 33193-2419 </t>
  </si>
  <si>
    <t>Sanford</t>
  </si>
  <si>
    <t>Mary Flores</t>
  </si>
  <si>
    <t>Greifswalder</t>
  </si>
  <si>
    <t>11-44-25-l1-13000.0770</t>
  </si>
  <si>
    <t xml:space="preserve">901 NE 5th Pl </t>
  </si>
  <si>
    <t>Carrington</t>
  </si>
  <si>
    <t xml:space="preserve">2043 NE 17th Ter </t>
  </si>
  <si>
    <t>Okala</t>
  </si>
  <si>
    <t>Jason &amp; Kristine Amy</t>
  </si>
  <si>
    <t>76309-1505</t>
  </si>
  <si>
    <t>Mattie Hendrix</t>
  </si>
  <si>
    <t>Cape Coral Unit 36 Blk 2543 Pb 16 Pg 115 Lots 24 Thru 26</t>
  </si>
  <si>
    <t>Cape Coral Unit 87 Blk 5704 Pb 24 Pg 72 Lots 3 + 4</t>
  </si>
  <si>
    <t>Priest</t>
  </si>
  <si>
    <t>Marlene Robinson</t>
  </si>
  <si>
    <t>Tiefosse</t>
  </si>
  <si>
    <t>Cape Coral Unit 85 Blk 5671 Pb 24 Pg 52 Lots 55 + 56</t>
  </si>
  <si>
    <t xml:space="preserve">46 NE 173rd St  North Miami Beach, FL 33162-1733 </t>
  </si>
  <si>
    <t>28904-5540</t>
  </si>
  <si>
    <t xml:space="preserve">1472 161st St </t>
  </si>
  <si>
    <t>Lehigh Acres Unit 4 Blk 20 Pb 26 Pg 6 Lot 2</t>
  </si>
  <si>
    <t>Cr 33</t>
  </si>
  <si>
    <t xml:space="preserve">2605 NE 2nd Ave </t>
  </si>
  <si>
    <t xml:space="preserve">1212 NE 12th St </t>
  </si>
  <si>
    <t>33185-4263</t>
  </si>
  <si>
    <t xml:space="preserve">565 Clothier Springs Rd  Malvern, PA 19355-8613 </t>
  </si>
  <si>
    <t>Slayton</t>
  </si>
  <si>
    <t>Ladiwala</t>
  </si>
  <si>
    <t>20720-4656</t>
  </si>
  <si>
    <t>Cypress Trail Rv Resort Phase 2-A As Desc In Inst# 2014000026506 Lot 1</t>
  </si>
  <si>
    <t xml:space="preserve">10221 Nightwood Dr </t>
  </si>
  <si>
    <t>PO Box 2087</t>
  </si>
  <si>
    <t>Lake Wales</t>
  </si>
  <si>
    <t xml:space="preserve">102 Littleleaf Ct  Dothan, AL 36301-5899 </t>
  </si>
  <si>
    <t xml:space="preserve">2171 Jeffcott St </t>
  </si>
  <si>
    <t xml:space="preserve">39 NE 31st Ter </t>
  </si>
  <si>
    <t>Wagner Robert L Tr</t>
  </si>
  <si>
    <t>45503-4116</t>
  </si>
  <si>
    <t>33903-2829</t>
  </si>
  <si>
    <t>Webster Groves</t>
  </si>
  <si>
    <t>95624-4644</t>
  </si>
  <si>
    <t>Rue St Fargeau</t>
  </si>
  <si>
    <t>Nagy</t>
  </si>
  <si>
    <t>Gilmore</t>
  </si>
  <si>
    <t>20-43-24-c1-05649.0470</t>
  </si>
  <si>
    <t xml:space="preserve">1036 NE 19th St  Cape Coral, FL 33909 </t>
  </si>
  <si>
    <t>33909-6108</t>
  </si>
  <si>
    <t xml:space="preserve">5745 Riverside Dr  Cape Coral, FL 33904 </t>
  </si>
  <si>
    <t>Barkhaus &amp; Gary Barkhaus Family</t>
  </si>
  <si>
    <t xml:space="preserve">3491 Brantley Oaks Dr </t>
  </si>
  <si>
    <t>Furci</t>
  </si>
  <si>
    <t>Cape Coral Unit 47 Pt 2 Blk 3542 Pb 23 Pg 118 Lots 48 + 49</t>
  </si>
  <si>
    <t>30504-4168</t>
  </si>
  <si>
    <t>11-44-25-06-0000d.0270</t>
  </si>
  <si>
    <t>R266</t>
  </si>
  <si>
    <t>Wichert</t>
  </si>
  <si>
    <t>Blaine</t>
  </si>
  <si>
    <t xml:space="preserve">1223 Shelby Pkwy  Cape Coral, FL 33904 </t>
  </si>
  <si>
    <t>03-44-26-10-00049.0190</t>
  </si>
  <si>
    <t>33908-8243</t>
  </si>
  <si>
    <t xml:space="preserve">2051 NE 20th Ter  Cape Coral, FL 33909 </t>
  </si>
  <si>
    <t>Old Bergen</t>
  </si>
  <si>
    <t xml:space="preserve">2126 NE 34th Ln </t>
  </si>
  <si>
    <t>Nate</t>
  </si>
  <si>
    <t>64050-1350</t>
  </si>
  <si>
    <t xml:space="preserve">11610 3rd Ave N  Minneapolis, MN 55441-5919 </t>
  </si>
  <si>
    <t>For Betty L Harter Trust</t>
  </si>
  <si>
    <t xml:space="preserve">4411 Diamond Cir N </t>
  </si>
  <si>
    <t xml:space="preserve">904 Ponce De Leon Dr </t>
  </si>
  <si>
    <t xml:space="preserve">19730 NE 12th Ct  Miami, FL 33179-3529 </t>
  </si>
  <si>
    <t xml:space="preserve">515 NE 6th Ave  Cape Coral, FL 33909 </t>
  </si>
  <si>
    <t xml:space="preserve">225 Burns Rd </t>
  </si>
  <si>
    <t>33-44-24-c1-01241.0160</t>
  </si>
  <si>
    <t>87124-3009</t>
  </si>
  <si>
    <t>36-43-23-c4-02476.0270</t>
  </si>
  <si>
    <t>Mertz</t>
  </si>
  <si>
    <t>33155-3916</t>
  </si>
  <si>
    <t>Freund</t>
  </si>
  <si>
    <t>Cape Coral Unit 84 Blk 5599 Pb 24 Pg 43 Lots 41 + 42</t>
  </si>
  <si>
    <t>20-43-24-c1-05648.0420</t>
  </si>
  <si>
    <t>Souvatdy</t>
  </si>
  <si>
    <t>Kaptanoglu</t>
  </si>
  <si>
    <t>Cape Coral Unit 32 Blk 2161 Pb 16 Pg 11 Lots 13 Thru 15</t>
  </si>
  <si>
    <t xml:space="preserve">707 Little Hampton Ln  Gotha, FL 34734-4713 </t>
  </si>
  <si>
    <t>33040-5702</t>
  </si>
  <si>
    <t>Cape Coral Unit 87 Blk 5752 Pb 24 Pg 68 Lots 37 + 38</t>
  </si>
  <si>
    <t>James &amp; Zulmira Leal</t>
  </si>
  <si>
    <t xml:space="preserve">10268 Meadow Beauty Trl  Fort Myers, FL 33905 </t>
  </si>
  <si>
    <t>Cape Coral Unit 36 Blk 2543 Pb 16 Pg 118 Lots 33 + 34</t>
  </si>
  <si>
    <t>18-43-24-c1-05726.0270</t>
  </si>
  <si>
    <t>Springmount</t>
  </si>
  <si>
    <t xml:space="preserve">138 Archer Ave </t>
  </si>
  <si>
    <t>33909-6304</t>
  </si>
  <si>
    <t xml:space="preserve">95-202 Halepule Pl  Mililani, HI 96789-6579 </t>
  </si>
  <si>
    <t xml:space="preserve">450 Capitol St  North Fort Myers, FL 33903 </t>
  </si>
  <si>
    <t>32-43-24-c3-02223.0030</t>
  </si>
  <si>
    <t>Catherine Block</t>
  </si>
  <si>
    <t xml:space="preserve">407 NE Juanita Pl  Cape Coral, FL 33909 </t>
  </si>
  <si>
    <t xml:space="preserve">2936 Azure Bay Ct </t>
  </si>
  <si>
    <t>H3W 2G6</t>
  </si>
  <si>
    <t>Cape Coral Unit 32 Blk 2140 Pb 16 Pg 7 Lots 46 + 47</t>
  </si>
  <si>
    <t xml:space="preserve">1403 Waring Ave </t>
  </si>
  <si>
    <t>Cypress Trail Rv Resort Ph 3 As Desc In Inst# 2015000085552 Lot 41</t>
  </si>
  <si>
    <t>Flora</t>
  </si>
  <si>
    <t xml:space="preserve">121 Meadow Run Ln  Mooresville, NC 28117-6961 </t>
  </si>
  <si>
    <t>Haydee &amp; Rady Martinez</t>
  </si>
  <si>
    <t xml:space="preserve">525 Leeward Ave  Beachwood, NJ 08722-2625 </t>
  </si>
  <si>
    <t>07065-5637</t>
  </si>
  <si>
    <t>01960-3202</t>
  </si>
  <si>
    <t>Cape Coral Unit 33 Blk 2279 Pb 16 Pg 61 Lots 22 + 23</t>
  </si>
  <si>
    <t xml:space="preserve">2309 NE 22nd Pl  Cape Coral, FL 33909 </t>
  </si>
  <si>
    <t>29-43-24-c3-02267.0510</t>
  </si>
  <si>
    <t>33909-1631</t>
  </si>
  <si>
    <t>27520-5942</t>
  </si>
  <si>
    <t xml:space="preserve">19-75 Casa 165 </t>
  </si>
  <si>
    <t>36-44-23-c4-00871.0010</t>
  </si>
  <si>
    <t xml:space="preserve">346 Van Name Ave </t>
  </si>
  <si>
    <t>Mirasua Family Revocable Trust</t>
  </si>
  <si>
    <t xml:space="preserve">5407 China Berry Rd  Austin, TX 78744-4030 </t>
  </si>
  <si>
    <t>11735-4305</t>
  </si>
  <si>
    <t>Cape Coral Unit 36 Blk 2323 Pb 16 Pg 123 Lots 71 &amp; 72</t>
  </si>
  <si>
    <t>19-43-24-c4-05560.0370</t>
  </si>
  <si>
    <t>Maximo Guerra</t>
  </si>
  <si>
    <t xml:space="preserve">261 Linden Ave </t>
  </si>
  <si>
    <t>Nizard</t>
  </si>
  <si>
    <t xml:space="preserve">13027 230th St  Laurelton, NY 11413-1829 </t>
  </si>
  <si>
    <t xml:space="preserve">1034 Hemlock Cir </t>
  </si>
  <si>
    <t xml:space="preserve">2022 NE 15th Ln  Cape Coral, FL 33909 </t>
  </si>
  <si>
    <t xml:space="preserve">1936 Burchstone Dr  Orlando, FL 32806-3362 </t>
  </si>
  <si>
    <t xml:space="preserve">30 Mcallister Rd  North York, ON M3h 2N2 </t>
  </si>
  <si>
    <t>21157-7001</t>
  </si>
  <si>
    <t>James &amp; Trina Spangler</t>
  </si>
  <si>
    <t xml:space="preserve">7775 Chestnut Hill Rd </t>
  </si>
  <si>
    <t>60091-3312</t>
  </si>
  <si>
    <t>Daniel Fernandez</t>
  </si>
  <si>
    <t xml:space="preserve">12020 Palm Dr </t>
  </si>
  <si>
    <t>01-44-23-c3-02392.0190</t>
  </si>
  <si>
    <t xml:space="preserve">1055 Fayette St </t>
  </si>
  <si>
    <t xml:space="preserve">320 Victoria St W #706, Dundalk, ON N0c 1B0 </t>
  </si>
  <si>
    <t>11-44-25-05-0000c.1160</t>
  </si>
  <si>
    <t xml:space="preserve">1 NE 19th Ter  Cape Coral, FL 33909 </t>
  </si>
  <si>
    <t>11-44-25-06-0000d.0020</t>
  </si>
  <si>
    <t>Duncan</t>
  </si>
  <si>
    <t xml:space="preserve">1254 NE 40th St </t>
  </si>
  <si>
    <t>18-43-24-c1-05727.0070</t>
  </si>
  <si>
    <t>Jetton</t>
  </si>
  <si>
    <t xml:space="preserve">1810 SW Sth Ave  Miami, FL 33129 </t>
  </si>
  <si>
    <t>Daniel &amp; Cyndy Sawyer</t>
  </si>
  <si>
    <t>Wojan</t>
  </si>
  <si>
    <t>Cape Coral Unit 34 Blk 2432 Pb 16 Pg 85 Lots 44 + 45</t>
  </si>
  <si>
    <t xml:space="preserve">202 NE 20th St  Cape Coral, FL 33909 </t>
  </si>
  <si>
    <t xml:space="preserve">1006 NE 1st Ave </t>
  </si>
  <si>
    <t xml:space="preserve">86-55 Boulevard 2 Apt #28 </t>
  </si>
  <si>
    <t xml:space="preserve">1410 Diplomat Pkwy E </t>
  </si>
  <si>
    <t xml:space="preserve">6156 Humboldt Ave  Fort Myers, FL 33905 </t>
  </si>
  <si>
    <t>05-44-24-c1-03524.0150</t>
  </si>
  <si>
    <t>Denise Hineline</t>
  </si>
  <si>
    <t>Bethel</t>
  </si>
  <si>
    <t>Manon Tremblay &amp; Leo-Paul Bergeron</t>
  </si>
  <si>
    <t xml:space="preserve">1001 NE 34th Ter  Cape Coral, FL 33909 </t>
  </si>
  <si>
    <t xml:space="preserve">Po Box 1377 </t>
  </si>
  <si>
    <t xml:space="preserve">7507 NW 168th St </t>
  </si>
  <si>
    <t xml:space="preserve">4840 N Nottingham Ave </t>
  </si>
  <si>
    <t>Wisconsin Dells</t>
  </si>
  <si>
    <t>Eileen &amp; Kingdom Clouse</t>
  </si>
  <si>
    <t xml:space="preserve">4508 County Road V  Franksville, WI 53126-9582 </t>
  </si>
  <si>
    <t>Cypress Trail Rv Resort Phase 2-A As Desc In Inst# 2014000026506 Lot 72</t>
  </si>
  <si>
    <t>Ann Lee</t>
  </si>
  <si>
    <t xml:space="preserve">1100 NE 36th Ln  Cape Coral, FL 33909 </t>
  </si>
  <si>
    <t>Cape Coral Unit 33 Blk 2244 Pb 16 Pg 54 Lots 5 + 6</t>
  </si>
  <si>
    <t xml:space="preserve">5718 NE 3rd Pl #2, Renton, WA 98059-4888 </t>
  </si>
  <si>
    <t xml:space="preserve">2852 Saint Dizier Dr </t>
  </si>
  <si>
    <t>33909-2026</t>
  </si>
  <si>
    <t>10462-3409</t>
  </si>
  <si>
    <t xml:space="preserve">5260 Lils Ln  Fort Myers, FL 33905 </t>
  </si>
  <si>
    <t>Stroudsburg</t>
  </si>
  <si>
    <t>Conley</t>
  </si>
  <si>
    <t>R501</t>
  </si>
  <si>
    <t>10579-3109</t>
  </si>
  <si>
    <t xml:space="preserve">3810 W Gator Cir </t>
  </si>
  <si>
    <t xml:space="preserve">#8 </t>
  </si>
  <si>
    <t>33909-4707</t>
  </si>
  <si>
    <t xml:space="preserve">10264 Grayfox Dr </t>
  </si>
  <si>
    <t>Madan &amp; Nila Parsotan</t>
  </si>
  <si>
    <t xml:space="preserve">6044 Langdon Ave  Fort Myers, FL 33905 </t>
  </si>
  <si>
    <t xml:space="preserve">2800 NE Pine Island Rd  North Fort Myers, FL 33903 </t>
  </si>
  <si>
    <t xml:space="preserve">10122 Nedra Dr </t>
  </si>
  <si>
    <t xml:space="preserve">323 Grant Ave  Mount Ephraim, NJ 08059-1607 </t>
  </si>
  <si>
    <t xml:space="preserve">3238 NE 9th Ave </t>
  </si>
  <si>
    <t>19-43-24-c1-05576.0710</t>
  </si>
  <si>
    <t>Kingsbury</t>
  </si>
  <si>
    <t>19-43-24-c2-05594.0110</t>
  </si>
  <si>
    <t>R212</t>
  </si>
  <si>
    <t xml:space="preserve">Po Box 129 </t>
  </si>
  <si>
    <t>Cape Coral Unit 32 Blk.2161 Pb 16 Pg 11 Lots 16 + 17</t>
  </si>
  <si>
    <t>60532-2464</t>
  </si>
  <si>
    <t>33909-9212</t>
  </si>
  <si>
    <t xml:space="preserve">4302 Garden Blvd  Cape Coral, FL 33909 </t>
  </si>
  <si>
    <t>Yank</t>
  </si>
  <si>
    <t>32712-5844</t>
  </si>
  <si>
    <t>Mark &amp; Olga Johnson</t>
  </si>
  <si>
    <t xml:space="preserve">Avenue 9 54b-14, Norte De Santander, CO </t>
  </si>
  <si>
    <t>33909-6446</t>
  </si>
  <si>
    <t>Qutley Park</t>
  </si>
  <si>
    <t>Phuc Doan</t>
  </si>
  <si>
    <t xml:space="preserve">7242 Yuma Ln N  Maple Grove, MN 55311-1836 </t>
  </si>
  <si>
    <t xml:space="preserve">197 Woodland Park Cir </t>
  </si>
  <si>
    <t xml:space="preserve">6132 Hutton Ct </t>
  </si>
  <si>
    <t xml:space="preserve">312 NE 31st Ter </t>
  </si>
  <si>
    <t>33901-7244</t>
  </si>
  <si>
    <t xml:space="preserve">4 A  Hasselroth, DE 63594 </t>
  </si>
  <si>
    <t xml:space="preserve">9060 NW 8th St #406, Miami, FL 33172-3304 </t>
  </si>
  <si>
    <t xml:space="preserve">10075 Parkwood Dr  Fort Myers, FL 33905 </t>
  </si>
  <si>
    <t xml:space="preserve">229 Miramar Rd </t>
  </si>
  <si>
    <t>33904-7929</t>
  </si>
  <si>
    <t xml:space="preserve">2120 Jefferson Ave #2, Escondido, CA 92027-2218 </t>
  </si>
  <si>
    <t>01-44-23-c3-02466.0110</t>
  </si>
  <si>
    <t xml:space="preserve">227 Cator Ave  Jersey City, NJ 07305-2738 </t>
  </si>
  <si>
    <t>33909-8838</t>
  </si>
  <si>
    <t>Mescal</t>
  </si>
  <si>
    <t>Village</t>
  </si>
  <si>
    <t>20-43-24-c2-05657.0330</t>
  </si>
  <si>
    <t>Cape Coral Unit 88 Blk 5819 Pb 24 Pg 140 Lots 71 + 72</t>
  </si>
  <si>
    <t xml:space="preserve">5304 Cypress Trail Resort Cir  Fort Myers, FL 33905 </t>
  </si>
  <si>
    <t xml:space="preserve">8935 NW 148th St  Miami Lakes, FL 33018-7317 </t>
  </si>
  <si>
    <t>33909-4250</t>
  </si>
  <si>
    <t xml:space="preserve">23 Rock Valley Rd  Holyoke, MA 01040-9668 </t>
  </si>
  <si>
    <t xml:space="preserve">11890 SW 8th St #503, Miami, FL 33184-1701 </t>
  </si>
  <si>
    <t>33323-2220</t>
  </si>
  <si>
    <t>Timber Ridge</t>
  </si>
  <si>
    <t xml:space="preserve">3825 N 49th Dr  Kansas City, KS 66104-1207 </t>
  </si>
  <si>
    <t>Laforgia</t>
  </si>
  <si>
    <t>Allan Robbins</t>
  </si>
  <si>
    <t xml:space="preserve">475 E 55th St </t>
  </si>
  <si>
    <t xml:space="preserve">8332 E Pearson  Shelby Township, MI 48316-5114 </t>
  </si>
  <si>
    <t>32-43-24-c3-02186.0350</t>
  </si>
  <si>
    <t xml:space="preserve">3917 NE 16th Ave  Cape Coral, FL 33909 </t>
  </si>
  <si>
    <t>Lehigh Acres Unit 9 Blk 45 Pb 26 Pg 11 Lot 11</t>
  </si>
  <si>
    <t xml:space="preserve">2124 NE 20th Ter  Cape Coral, FL 33909 </t>
  </si>
  <si>
    <t>11040-4107</t>
  </si>
  <si>
    <t xml:space="preserve">1210 NE 18th Pl  Cape Coral, FL 33909 </t>
  </si>
  <si>
    <t>03-44-26-11-00057.0050</t>
  </si>
  <si>
    <t>18-43-24-c4-05709.0130</t>
  </si>
  <si>
    <t>Shirley Chambers</t>
  </si>
  <si>
    <t>Geon</t>
  </si>
  <si>
    <t>Clive</t>
  </si>
  <si>
    <t xml:space="preserve">6621 Astoria Ave </t>
  </si>
  <si>
    <t>Barkwood</t>
  </si>
  <si>
    <t>19-43-24-c1-05577.0510</t>
  </si>
  <si>
    <t>Kirschner</t>
  </si>
  <si>
    <t xml:space="preserve">815 Birdsong Ct </t>
  </si>
  <si>
    <t>Prusz</t>
  </si>
  <si>
    <t xml:space="preserve">9339 Teresa Trl  Sylvania, OH 43560-9373 </t>
  </si>
  <si>
    <t xml:space="preserve">229 Capitol St  North Fort Myers, FL 33903 </t>
  </si>
  <si>
    <t xml:space="preserve">1364 Sunwood Dr </t>
  </si>
  <si>
    <t>Jason Mcmillen</t>
  </si>
  <si>
    <t xml:space="preserve">3828 SE 15th Pl </t>
  </si>
  <si>
    <t xml:space="preserve">7625 S Cook Way  Centennial, CO 80122-3510 </t>
  </si>
  <si>
    <t>16-43-24-01-00000.0410</t>
  </si>
  <si>
    <t>Newmarket</t>
  </si>
  <si>
    <t xml:space="preserve">817 NE 9th Ter  Cape Coral, FL 33909 </t>
  </si>
  <si>
    <t>25-43-23-c2-02313.0290</t>
  </si>
  <si>
    <t xml:space="preserve">2224 NE 6th Ave </t>
  </si>
  <si>
    <t>Hunt</t>
  </si>
  <si>
    <t xml:space="preserve">1715 NE 34th Ln </t>
  </si>
  <si>
    <t xml:space="preserve">4772 SW 143rd Ave </t>
  </si>
  <si>
    <t>13-45-23-c4-00148.0430</t>
  </si>
  <si>
    <t>Cape Coral Unit 47 Pt 2 Blk 3518 Pb 23 Pg 122 Lots 39 + 40</t>
  </si>
  <si>
    <t>Cypress Trail Rv Resort Phase 2-A As Desc In Inst# 2014000026506 Lot 245</t>
  </si>
  <si>
    <t>33327-1732</t>
  </si>
  <si>
    <t>Cape Coral Unit 36 Blk 2350 Pb 16 Pg 128 Lots 21 + 22</t>
  </si>
  <si>
    <t xml:space="preserve">132 Jacaranda Pkwy E  Cape Coral, FL 33909 </t>
  </si>
  <si>
    <t>25-43-23-c1-02302.0290</t>
  </si>
  <si>
    <t xml:space="preserve">4104 SE 12th Pl </t>
  </si>
  <si>
    <t>19-43-24-c1-05579.0360</t>
  </si>
  <si>
    <t>Cape Coral Unit 88 Blk 5768 Pb 24 Pg 128 Lots 7 + 8</t>
  </si>
  <si>
    <t>33905-7729</t>
  </si>
  <si>
    <t xml:space="preserve">2922 Pulaski Hwy  Columbia, TN 38401-5756 </t>
  </si>
  <si>
    <t>19-45-24-l3-46000.0020</t>
  </si>
  <si>
    <t>Hung Lem &amp; Caroline Tran</t>
  </si>
  <si>
    <t xml:space="preserve">4691 Kingston Rd #49 </t>
  </si>
  <si>
    <t>44035-1512</t>
  </si>
  <si>
    <t xml:space="preserve">4320 NE 23rd Pl </t>
  </si>
  <si>
    <t>Jensen Arne J Tr</t>
  </si>
  <si>
    <t>33905-3141</t>
  </si>
  <si>
    <t xml:space="preserve">428 Windsor Dr  Harleysville, PA 19438-2368 </t>
  </si>
  <si>
    <t>33909-1680</t>
  </si>
  <si>
    <t>01-44-23-c1-02438.0510</t>
  </si>
  <si>
    <t>44260-9783</t>
  </si>
  <si>
    <t>John Borden</t>
  </si>
  <si>
    <t>Cape Coral Unit 88 Blk 5819 Pb 24 Pg 140 Ltos 69 + 70</t>
  </si>
  <si>
    <t>34609-2766</t>
  </si>
  <si>
    <t>Virginia &amp; Kingdom Oxendine</t>
  </si>
  <si>
    <t xml:space="preserve">5232 Pineland Daisy Trl </t>
  </si>
  <si>
    <t>Carmen Matteo</t>
  </si>
  <si>
    <t>Adrianna</t>
  </si>
  <si>
    <t>Jost</t>
  </si>
  <si>
    <t>33909-7326</t>
  </si>
  <si>
    <t xml:space="preserve">55 Blue Jay Dr  Hyannis, MA 02601-3505 </t>
  </si>
  <si>
    <t>Mcdonnell Edward P Tr</t>
  </si>
  <si>
    <t>Cape Coral Unit 32 Blk 2138 Pb 16 Pg 12 Lots 41 + 42</t>
  </si>
  <si>
    <t>46140-9272</t>
  </si>
  <si>
    <t>Ramon Bonalde</t>
  </si>
  <si>
    <t xml:space="preserve">2 Gaedechensweg  Hamburg, DE 20249 </t>
  </si>
  <si>
    <t>Bellm</t>
  </si>
  <si>
    <t>Thomas &amp; Deborah Mccann</t>
  </si>
  <si>
    <t xml:space="preserve">2022 NE 14th Pl </t>
  </si>
  <si>
    <t>Sol De La Molina Lima</t>
  </si>
  <si>
    <t>Peter Snow</t>
  </si>
  <si>
    <t xml:space="preserve">1010 Pennsylvania Ave  Island Park, NY 11558-1913 </t>
  </si>
  <si>
    <t>Brands</t>
  </si>
  <si>
    <t xml:space="preserve">11835 Matagorda Ln  Sugar Land, TX 77498-4640 </t>
  </si>
  <si>
    <t>R065</t>
  </si>
  <si>
    <t>33909-2653</t>
  </si>
  <si>
    <t>32-43-24-c2-02235.0010</t>
  </si>
  <si>
    <t xml:space="preserve">5590 W 8th Ave  Hialeah, FL 33012-2407 </t>
  </si>
  <si>
    <t>Susan &amp; Daniel Chan</t>
  </si>
  <si>
    <t xml:space="preserve">1033 NE 19th Ter </t>
  </si>
  <si>
    <t>33134-1738</t>
  </si>
  <si>
    <t xml:space="preserve">12380 Sunnydale Dr </t>
  </si>
  <si>
    <t>Cape Coral Unit 34 Blk 2438 Pb 16 Pg 84 Lots 40 + 41</t>
  </si>
  <si>
    <t xml:space="preserve">17891 Altamirano Ln </t>
  </si>
  <si>
    <t xml:space="preserve">2423 NE 23rd Ave  Cape Coral, FL 33909 </t>
  </si>
  <si>
    <t>Cape Coral Unit 33 Blk.2234 Pb 16 Pg 54 Lots 28 + 29</t>
  </si>
  <si>
    <t>Palm Aire</t>
  </si>
  <si>
    <t xml:space="preserve">10 Rehgebirgsstrasse </t>
  </si>
  <si>
    <t>Ft Myers Shores Unit 2 Blk 29 Pb 10 Pg 7 Lot 38</t>
  </si>
  <si>
    <t>Heslop</t>
  </si>
  <si>
    <t>Dane</t>
  </si>
  <si>
    <t xml:space="preserve">2441 Gorno St </t>
  </si>
  <si>
    <t xml:space="preserve">300 SW 23rd Ave  Miami, FL 33135-3136 </t>
  </si>
  <si>
    <t>12566-7031</t>
  </si>
  <si>
    <t>03-44-26-12-00065.0160</t>
  </si>
  <si>
    <t>Cristeta Sallutal</t>
  </si>
  <si>
    <t>Zenobia</t>
  </si>
  <si>
    <t>38583-3319</t>
  </si>
  <si>
    <t>Satellite Beach</t>
  </si>
  <si>
    <t>Mcfall</t>
  </si>
  <si>
    <t xml:space="preserve">23057 Benet Ln </t>
  </si>
  <si>
    <t xml:space="preserve">341 Red Rock Ln </t>
  </si>
  <si>
    <t xml:space="preserve">638 Laurel Dr </t>
  </si>
  <si>
    <t>Matthew &amp; Joanna Koutsouras</t>
  </si>
  <si>
    <t xml:space="preserve">406 Jacaranda Pkwy E </t>
  </si>
  <si>
    <t>Patricia Hooper</t>
  </si>
  <si>
    <t>Roberto</t>
  </si>
  <si>
    <t>Rowley</t>
  </si>
  <si>
    <t>Ronald Allen &amp; Bonnie Cosby</t>
  </si>
  <si>
    <t>36-44-23-c4-00865.0170</t>
  </si>
  <si>
    <t xml:space="preserve">31101 Diane Ct </t>
  </si>
  <si>
    <t xml:space="preserve">2117 SE 36th Ter  Cape Coral, FL 33904 </t>
  </si>
  <si>
    <t xml:space="preserve">2107 NE 27th Ter  Cape Coral, FL 33909 </t>
  </si>
  <si>
    <t>31-44-24-c1-00821.0330</t>
  </si>
  <si>
    <t xml:space="preserve">1105 NE 36th St  Cape Coral, FL 33909 </t>
  </si>
  <si>
    <t>33952-5608</t>
  </si>
  <si>
    <t>33909-6103</t>
  </si>
  <si>
    <t xml:space="preserve">10351 Prairie Iris Dr  Fort Myers, FL 33905 </t>
  </si>
  <si>
    <t xml:space="preserve">3804 NE 23rd Pl  Cape Coral, FL 33909 </t>
  </si>
  <si>
    <t>33909-3337</t>
  </si>
  <si>
    <t>Steven Vassilakos</t>
  </si>
  <si>
    <t>31-43-24-c2-02133.0240</t>
  </si>
  <si>
    <t>25-43-23-c1-02323.0670</t>
  </si>
  <si>
    <t>31-43-24-c4-02145.0230</t>
  </si>
  <si>
    <t xml:space="preserve">117 Birchwood Dr </t>
  </si>
  <si>
    <t>11214-6340</t>
  </si>
  <si>
    <t>32819-4742</t>
  </si>
  <si>
    <t xml:space="preserve">2042 NE 4th Ter </t>
  </si>
  <si>
    <t xml:space="preserve">3738 Levy Ln  Huntingdon Valley, PA 19006-3108 </t>
  </si>
  <si>
    <t>Avis</t>
  </si>
  <si>
    <t>33909-6495</t>
  </si>
  <si>
    <t xml:space="preserve">2319 NE 35th Ln  Cape Coral, FL 33909 </t>
  </si>
  <si>
    <t xml:space="preserve">3903 NE 17th Ave  Cape Coral, FL 33909 </t>
  </si>
  <si>
    <t>06-44-24-c4-02046.0530</t>
  </si>
  <si>
    <t>03-44-26-11-00053.0110</t>
  </si>
  <si>
    <t>33909-1430</t>
  </si>
  <si>
    <t>33909-3048</t>
  </si>
  <si>
    <t>Lehigh Acres Unit 12 Blk 65 Pb 26 Pg 15 Lot 5</t>
  </si>
  <si>
    <t xml:space="preserve">88 Highway 87 </t>
  </si>
  <si>
    <t xml:space="preserve">2592 SE 15th Ct  Homestead, FL 33035-2294 </t>
  </si>
  <si>
    <t>Agnieszka</t>
  </si>
  <si>
    <t>33919-1804</t>
  </si>
  <si>
    <t xml:space="preserve">2311 NE 6th Ave </t>
  </si>
  <si>
    <t>Jos &amp; Salamia Lasano</t>
  </si>
  <si>
    <t>Ft Myers Beach Kampground S/D Unit 1 Pb 35 Pg 47 Blk V Lot 5</t>
  </si>
  <si>
    <t>Spadaro</t>
  </si>
  <si>
    <t>Wailawa</t>
  </si>
  <si>
    <t xml:space="preserve">1802 NE 34th Ln </t>
  </si>
  <si>
    <t xml:space="preserve">68 Bogart Ave </t>
  </si>
  <si>
    <t xml:space="preserve">2110 Kismet Pkwy E </t>
  </si>
  <si>
    <t xml:space="preserve">11641 Valleyview Dr </t>
  </si>
  <si>
    <t xml:space="preserve">4455 Tiffany Ave NE </t>
  </si>
  <si>
    <t xml:space="preserve">10353 Nightwood Dr  Fort Myers, FL 33905 </t>
  </si>
  <si>
    <t>Quail Roost</t>
  </si>
  <si>
    <t>Bridgeport</t>
  </si>
  <si>
    <t xml:space="preserve">2112 NE 13th Pl  Cape Coral, FL 33909 </t>
  </si>
  <si>
    <t xml:space="preserve">21200 NE 12th Ct </t>
  </si>
  <si>
    <t xml:space="preserve">123 Brenna Ln </t>
  </si>
  <si>
    <t>80134-3781</t>
  </si>
  <si>
    <t>Galano</t>
  </si>
  <si>
    <t>Steiger</t>
  </si>
  <si>
    <t xml:space="preserve">6151 Herrick Ave </t>
  </si>
  <si>
    <t xml:space="preserve">2023 NE 25th Ter </t>
  </si>
  <si>
    <t xml:space="preserve">309 E Webster Ave </t>
  </si>
  <si>
    <t>Aqui Esta</t>
  </si>
  <si>
    <t>D'angora</t>
  </si>
  <si>
    <t xml:space="preserve">5212 Saranac St  Montreal, QC H3w 2G6 </t>
  </si>
  <si>
    <t>Backer</t>
  </si>
  <si>
    <t>21921-6118</t>
  </si>
  <si>
    <t>Cape Coral Unit 85 Blk 5631 Pb 24 Pg 51 Lots 29 + 30</t>
  </si>
  <si>
    <t>Heltzels</t>
  </si>
  <si>
    <t>55051-6256</t>
  </si>
  <si>
    <t>Darin Beamish</t>
  </si>
  <si>
    <t xml:space="preserve">5225 Marsh Mallow Trl </t>
  </si>
  <si>
    <t>David Rose</t>
  </si>
  <si>
    <t xml:space="preserve">10230 Meadow Beauty Trl  Fort Myers, FL 33905 </t>
  </si>
  <si>
    <t>Michael &amp; Helen Wood</t>
  </si>
  <si>
    <t xml:space="preserve">181 Homer Ave </t>
  </si>
  <si>
    <t>Portico</t>
  </si>
  <si>
    <t>Cape Coral Unit 84 Blk 5559 Pb 24 Pg 31 Lots 58 + 59</t>
  </si>
  <si>
    <t xml:space="preserve">924 Durden Pkwy  Cape Coral, FL 33909 </t>
  </si>
  <si>
    <t xml:space="preserve">1422 NE 17th Pl  Cape Coral, FL 33909 </t>
  </si>
  <si>
    <t xml:space="preserve">350 Ogden Ave </t>
  </si>
  <si>
    <t>B021</t>
  </si>
  <si>
    <t>Tilkens Carol A Tr</t>
  </si>
  <si>
    <t xml:space="preserve">5463 Snell Ct SE </t>
  </si>
  <si>
    <t xml:space="preserve">694 Kennedy Dr  Township Of Washington, NJ 07676-4103 </t>
  </si>
  <si>
    <t>Honolulu</t>
  </si>
  <si>
    <t>Cape Coral Unit 85 Blk 5671 Pb 24 Pg 52 Lots 53 + 54</t>
  </si>
  <si>
    <t xml:space="preserve">5005 Denton Dr  Dallas, TX 75235-8344 </t>
  </si>
  <si>
    <t>Burrwood</t>
  </si>
  <si>
    <t xml:space="preserve">1200 NE 19th Ter </t>
  </si>
  <si>
    <t>17-43-24-c3-05797.0610</t>
  </si>
  <si>
    <t>Counce</t>
  </si>
  <si>
    <t>Cape Coral Unit 33 Blk 2202 Pb 16 Pg 45 Lots 27 + 28</t>
  </si>
  <si>
    <t xml:space="preserve">3412 NE 9th Ave </t>
  </si>
  <si>
    <t xml:space="preserve">1726 NE 1st Pl </t>
  </si>
  <si>
    <t>07203-1708</t>
  </si>
  <si>
    <t>Apo</t>
  </si>
  <si>
    <t>Lehigh Acres Unit 7 Blk 33 Pb 26 Pg 9 Lot 14</t>
  </si>
  <si>
    <t xml:space="preserve">2645 W Marion Ave #213 </t>
  </si>
  <si>
    <t xml:space="preserve">124 W 48th St  Minneapolis, MN 55419-5533 </t>
  </si>
  <si>
    <t xml:space="preserve">747 Indian Hollow Rd </t>
  </si>
  <si>
    <t>Bay Park</t>
  </si>
  <si>
    <t>33909-5272</t>
  </si>
  <si>
    <t xml:space="preserve">13610 Shoveler Dr  Fort Myers, FL 33908 </t>
  </si>
  <si>
    <t>Cape Coral Unit 88 Blk 5778 Pb 24 Pg 135 Lots 39 + 40</t>
  </si>
  <si>
    <t>Wingedfoot</t>
  </si>
  <si>
    <t>05-44-24-c2-03518.0250</t>
  </si>
  <si>
    <t xml:space="preserve">341 NE 30th Ter  Cape Coral, FL 33909 </t>
  </si>
  <si>
    <t>Cape Coral Unit 85 Blk 5658 Pb 24 Pg 57 Lot 2</t>
  </si>
  <si>
    <t>Russell Laporte</t>
  </si>
  <si>
    <t>33909-4506</t>
  </si>
  <si>
    <t xml:space="preserve">3040 Mount Vernon Church Rd  Raleigh, NC 27613-7406 </t>
  </si>
  <si>
    <t>33905-7778</t>
  </si>
  <si>
    <t>Perkal</t>
  </si>
  <si>
    <t xml:space="preserve">2804 NE 4th Pl </t>
  </si>
  <si>
    <t xml:space="preserve">4601 Terry Town Dr  Kissimmee, FL 34746-2013 </t>
  </si>
  <si>
    <t>31-43-24-c1-02149.0160</t>
  </si>
  <si>
    <t>36-43-23-c3-02500.0090</t>
  </si>
  <si>
    <t>Jose Cordoves &amp; Reina Lopez</t>
  </si>
  <si>
    <t xml:space="preserve">39 Evita Crt  Thornhill, ON L4j 8K6 </t>
  </si>
  <si>
    <t xml:space="preserve">2131 NE 35th St  Cape Coral, FL 33909 </t>
  </si>
  <si>
    <t>R011</t>
  </si>
  <si>
    <t>Randolf</t>
  </si>
  <si>
    <t>3o</t>
  </si>
  <si>
    <t>32-43-24-c4-02224.0250</t>
  </si>
  <si>
    <t xml:space="preserve">1308 NE 21st Pl </t>
  </si>
  <si>
    <t>Craftsman</t>
  </si>
  <si>
    <t>Juan Mijes</t>
  </si>
  <si>
    <t>For Karen Sue Lawson Trust</t>
  </si>
  <si>
    <t>Iowa Colony</t>
  </si>
  <si>
    <t>31-43-24-c3-02141.0350</t>
  </si>
  <si>
    <t xml:space="preserve">197 Providence Pike  North Smithfield, RI 02896-8013 </t>
  </si>
  <si>
    <t>University Park</t>
  </si>
  <si>
    <t>Alexander Mueller</t>
  </si>
  <si>
    <t>Zukiewicz</t>
  </si>
  <si>
    <t>Jeremy &amp; Margaret Hess</t>
  </si>
  <si>
    <t xml:space="preserve">545 Pierce St #2301 </t>
  </si>
  <si>
    <t>Paradise Valley</t>
  </si>
  <si>
    <t>11762-1803</t>
  </si>
  <si>
    <t xml:space="preserve">4305 NE 9th Ct  Cape Coral, FL 33909 </t>
  </si>
  <si>
    <t>Zenobia Stasolla</t>
  </si>
  <si>
    <t>Gettys</t>
  </si>
  <si>
    <t>C097</t>
  </si>
  <si>
    <t xml:space="preserve">4950 Lindell Blvd 4e, Saint Louis, MO 63108-1545 </t>
  </si>
  <si>
    <t xml:space="preserve">2238 Randolph Dr </t>
  </si>
  <si>
    <t xml:space="preserve">623 NE 19th Ter </t>
  </si>
  <si>
    <t>Jacobs</t>
  </si>
  <si>
    <t>Roland Caasi</t>
  </si>
  <si>
    <t xml:space="preserve">1874 Hart St 2l, Ridgewood, NY 11385-1112 </t>
  </si>
  <si>
    <t xml:space="preserve">1192 Christina St N  Sarnia, ON N7v 3C4 </t>
  </si>
  <si>
    <t>Robles</t>
  </si>
  <si>
    <t>01844-6563</t>
  </si>
  <si>
    <t xml:space="preserve">1336 NE 20th Pl </t>
  </si>
  <si>
    <t>Thomas &amp; Ruth Murray</t>
  </si>
  <si>
    <t>19-43-24-c2-05589.0070</t>
  </si>
  <si>
    <t xml:space="preserve">3700 NE 16th Ave </t>
  </si>
  <si>
    <t>Sherman</t>
  </si>
  <si>
    <t>Cape Coral Unit 34 Blk 2452 Pb 16 Pg 85 Lots 3 + 4</t>
  </si>
  <si>
    <t>Cape Coral Unit 36 Pt 1 Blk 2508 Pb 23 Pg 92 Lots 7 + 8</t>
  </si>
  <si>
    <t>Cape Coral Unit 12 Blk.576 Pb 13 Pg 54 Lots 23 + 24</t>
  </si>
  <si>
    <t>Bridget Soundararajan &amp; For Soundararjan</t>
  </si>
  <si>
    <t>Morgan</t>
  </si>
  <si>
    <t>06238-2302</t>
  </si>
  <si>
    <t>Cape Coral Unit 87 Blk 5752 Pb 24 Pg 68 Lots 35 + 36</t>
  </si>
  <si>
    <t xml:space="preserve">18 Haigh Ave  Salem, NH 03079-4231 </t>
  </si>
  <si>
    <t xml:space="preserve">4840 N Nottingham Ave  Chicago, IL 60656-3825 </t>
  </si>
  <si>
    <t xml:space="preserve">836/838 NE 15th Ln </t>
  </si>
  <si>
    <t>Azaria</t>
  </si>
  <si>
    <t>Cape Coral Unit 36 Blk 2519 Pb 16 Pg 113 Lots 3 + 4</t>
  </si>
  <si>
    <t>Billy Jacoby &amp; Jonra Carter</t>
  </si>
  <si>
    <t>Chaudry &amp; Zahida Jamil</t>
  </si>
  <si>
    <t>Cape Coral Unit 32 Blk 2148 Pb 16 Pg 9 Lots 17 + 18</t>
  </si>
  <si>
    <t>Savage</t>
  </si>
  <si>
    <t>Cypress Trail Rv Resort Phase 2-B As Desc In Inst# 2015000013050 Lot 367</t>
  </si>
  <si>
    <t>145th</t>
  </si>
  <si>
    <t xml:space="preserve">826 NE 20th St </t>
  </si>
  <si>
    <t>Weinberger Barbara Tr</t>
  </si>
  <si>
    <t>63385-7136</t>
  </si>
  <si>
    <t>33909-6441</t>
  </si>
  <si>
    <t>Palmer</t>
  </si>
  <si>
    <t>Cape Coral Unit 36 Pt 1 Blk 2146 Pb 23 Pg 94 Lots 45 + 46</t>
  </si>
  <si>
    <t>11-44-25-09-00000.2100</t>
  </si>
  <si>
    <t>Cape Coral Unit 36 Blk 2305 Pb 16 Pg 119 Lots 20 + 21</t>
  </si>
  <si>
    <t xml:space="preserve">1033 N Gator Cir </t>
  </si>
  <si>
    <t>07305-1005</t>
  </si>
  <si>
    <t>Mcallister</t>
  </si>
  <si>
    <t>33144-5247</t>
  </si>
  <si>
    <t>Solomon-Lodge</t>
  </si>
  <si>
    <t xml:space="preserve">2787 Williamsburg Cir </t>
  </si>
  <si>
    <t xml:space="preserve">1317 NE 35th St  Cape Coral, FL 33909 </t>
  </si>
  <si>
    <t xml:space="preserve">19681 Summerlin Rd #695 </t>
  </si>
  <si>
    <t xml:space="preserve">2108 NE 5th Pl  Cape Coral, FL 33909 </t>
  </si>
  <si>
    <t>92126-2456</t>
  </si>
  <si>
    <t>Byron Center</t>
  </si>
  <si>
    <t>Rasse</t>
  </si>
  <si>
    <t xml:space="preserve">226 NE 31st St  Cape Coral, FL 33909 </t>
  </si>
  <si>
    <t>Cape Coral Unit 26 Blk 923 Pb 14 Pg 135 Lots 17 + 18</t>
  </si>
  <si>
    <t>Cape Coral Unit 85 Blk 5645 Pb 24 Pg 56 Lots 9 + 10</t>
  </si>
  <si>
    <t>Cypress Trail Rv Resort As Desc In Inst# 2013000212499 Lot 194</t>
  </si>
  <si>
    <t>33909-3386</t>
  </si>
  <si>
    <t>the 5th</t>
  </si>
  <si>
    <t xml:space="preserve">4418 New York Ave </t>
  </si>
  <si>
    <t>19-43-24-c3-05617.0200</t>
  </si>
  <si>
    <t xml:space="preserve">2031 NE 9th Ave  Cape Coral, FL 33909 </t>
  </si>
  <si>
    <t>Garnet</t>
  </si>
  <si>
    <t>Kentigern</t>
  </si>
  <si>
    <t xml:space="preserve">621 Diplomat Pkwy E </t>
  </si>
  <si>
    <t>Mcgann</t>
  </si>
  <si>
    <t>Ruben Smith</t>
  </si>
  <si>
    <t>G26</t>
  </si>
  <si>
    <t xml:space="preserve">2519 Sea Oats Cir N #3 </t>
  </si>
  <si>
    <t xml:space="preserve">14170 Chancellor St  Fort Myers, FL 33905 </t>
  </si>
  <si>
    <t>Raccuia</t>
  </si>
  <si>
    <t>36-43-23-c4-02494.0270</t>
  </si>
  <si>
    <t>Charles Nutt &amp; Harriett Hays</t>
  </si>
  <si>
    <t>Grace Hamilton</t>
  </si>
  <si>
    <t xml:space="preserve">20 S Main St #510 </t>
  </si>
  <si>
    <t>PO Box 10651</t>
  </si>
  <si>
    <t xml:space="preserve">3213 SE 1st Ct  Cape Coral, FL 33904 </t>
  </si>
  <si>
    <t xml:space="preserve">2805 NE 4th Pl  Cape Coral, FL 33909 </t>
  </si>
  <si>
    <t>Cape Coral Unit 84 Blk 5551 Pb 24 Pg 39 Lots 45 + 46</t>
  </si>
  <si>
    <t>11-44-25-05-0000c.0820</t>
  </si>
  <si>
    <t>Marengo</t>
  </si>
  <si>
    <t>Montes</t>
  </si>
  <si>
    <t>James &amp; Lori Robinson</t>
  </si>
  <si>
    <t>N6C 5L3</t>
  </si>
  <si>
    <t>Ft.Myers Shores Unit 5 Blk.86 Pb 16 Pg 66 Lots 24 + 25</t>
  </si>
  <si>
    <t xml:space="preserve">1940 NE 15th St  Cape Coral, FL 33909 </t>
  </si>
  <si>
    <t>33909-4359</t>
  </si>
  <si>
    <t xml:space="preserve">5326 Berkshire Valley Rd  Oak Ridge, NJ 07438-9739 </t>
  </si>
  <si>
    <t>Patrick &amp; For Magee</t>
  </si>
  <si>
    <t xml:space="preserve">1902 NE 24th Ave </t>
  </si>
  <si>
    <t>Thomas &amp; Lynn Decristofaro</t>
  </si>
  <si>
    <t>Elenita</t>
  </si>
  <si>
    <t>37115-2771</t>
  </si>
  <si>
    <t xml:space="preserve">2019 NE 33rd Ter  Cape Coral, FL 33909 </t>
  </si>
  <si>
    <t xml:space="preserve">10315 Prairie Iris Dr </t>
  </si>
  <si>
    <t xml:space="preserve">101 NE 27th Ter  Cape Coral, FL 33909 </t>
  </si>
  <si>
    <t xml:space="preserve">419 Bonvue Ter  Laguna Beach, CA 92651-1508 </t>
  </si>
  <si>
    <t>Kristie &amp; Jakob Shelly</t>
  </si>
  <si>
    <t xml:space="preserve">6150 Benedict Ct </t>
  </si>
  <si>
    <t>Raudel</t>
  </si>
  <si>
    <t>25-43-23-c4-02307.0330</t>
  </si>
  <si>
    <t>Freelandville</t>
  </si>
  <si>
    <t>Davidson</t>
  </si>
  <si>
    <t xml:space="preserve">122 Grandview Ave  White Plains, NY 10605-3225 </t>
  </si>
  <si>
    <t>H005</t>
  </si>
  <si>
    <t>Guion</t>
  </si>
  <si>
    <t>49249-9571</t>
  </si>
  <si>
    <t>La Salle</t>
  </si>
  <si>
    <t xml:space="preserve">3453 NE 8th Pl </t>
  </si>
  <si>
    <t xml:space="preserve">4428 NE 10th Ct </t>
  </si>
  <si>
    <t>Conestoga</t>
  </si>
  <si>
    <t>Robert &amp; Maxine Alexander</t>
  </si>
  <si>
    <t>Alexiadis</t>
  </si>
  <si>
    <t>11-44-25-07-00000.1400</t>
  </si>
  <si>
    <t>Fi&amp;E Investment Trust Llc</t>
  </si>
  <si>
    <t>Craig &amp; Carol Lannoye</t>
  </si>
  <si>
    <t xml:space="preserve">2106 NE 20th Ln  Cape Coral, FL 33909 </t>
  </si>
  <si>
    <t>Teresita &amp; Horizon Monasterio</t>
  </si>
  <si>
    <t xml:space="preserve">1808/1810 NE 8th Pl </t>
  </si>
  <si>
    <t xml:space="preserve">1108 NE 12th Ter  Cape Coral, FL 33909 </t>
  </si>
  <si>
    <t xml:space="preserve">3115 Francis Ave </t>
  </si>
  <si>
    <t>131st</t>
  </si>
  <si>
    <t xml:space="preserve">6581 Cedarwood Ave  Fort Myers, FL 33905 </t>
  </si>
  <si>
    <t>David &amp; Nancy Drees</t>
  </si>
  <si>
    <t>25-43-23-c4-02309.0180</t>
  </si>
  <si>
    <t>Choi</t>
  </si>
  <si>
    <t>Richard Brandt</t>
  </si>
  <si>
    <t xml:space="preserve"># 7  Bazel, BE </t>
  </si>
  <si>
    <t>44401-9782</t>
  </si>
  <si>
    <t>33196-6716</t>
  </si>
  <si>
    <t>18-43-24-c4-05682.0030</t>
  </si>
  <si>
    <t>Martine</t>
  </si>
  <si>
    <t xml:space="preserve">1406 NE 6th Pl  Cape Coral, FL 33909 </t>
  </si>
  <si>
    <t>C043</t>
  </si>
  <si>
    <t>19-43-24-c4-05566.0450</t>
  </si>
  <si>
    <t xml:space="preserve">1021 NE 13th Pl  Cape Coral, FL 33909 </t>
  </si>
  <si>
    <t>34289-1408</t>
  </si>
  <si>
    <t>Ivonne</t>
  </si>
  <si>
    <t>52203-8026</t>
  </si>
  <si>
    <t xml:space="preserve">2105 NE 2nd Pl  Cape Coral, FL 33909 </t>
  </si>
  <si>
    <t>01-44-23-c4-02442.0010</t>
  </si>
  <si>
    <t>Cape Coral Unit 87 Blk 5727 Pb 24 Pg 85 Lots 29 + 30</t>
  </si>
  <si>
    <t xml:space="preserve">1000 SW 184th Ter </t>
  </si>
  <si>
    <t>198th</t>
  </si>
  <si>
    <t>South Salem</t>
  </si>
  <si>
    <t xml:space="preserve">22755 Center Ridge Rd  Rocky River, OH 44116-3076 </t>
  </si>
  <si>
    <t xml:space="preserve">370 Hancock St </t>
  </si>
  <si>
    <t>El-Sorady</t>
  </si>
  <si>
    <t>Nashroll</t>
  </si>
  <si>
    <t xml:space="preserve">6047 Jonathan Ave </t>
  </si>
  <si>
    <t>Maria Anzbach</t>
  </si>
  <si>
    <t>Hatcher</t>
  </si>
  <si>
    <t>Education</t>
  </si>
  <si>
    <t>Reichardt Erik</t>
  </si>
  <si>
    <t xml:space="preserve">2267 Trawood Dr A2, El Paso, TX 79935-3027 </t>
  </si>
  <si>
    <t>Cape Coral Unit 17 Blk.1481 Pb 14 Pg 24 Lots 16 + 17</t>
  </si>
  <si>
    <t>33014-2718</t>
  </si>
  <si>
    <t>53186-1811</t>
  </si>
  <si>
    <t xml:space="preserve">3742 Old Pali Rd A, Honolulu, HI 96817-1079 </t>
  </si>
  <si>
    <t>01-44-23-c4-02413.0190</t>
  </si>
  <si>
    <t>Juneberry</t>
  </si>
  <si>
    <t>Ngan Vo</t>
  </si>
  <si>
    <t xml:space="preserve">2912 S Anderson Ln  Gilbert, AZ 85295-7243 </t>
  </si>
  <si>
    <t>Watercress</t>
  </si>
  <si>
    <t>Cape Coral Unit 88 Blk 5767 Pb 24 Pg 128 Lot 1</t>
  </si>
  <si>
    <t xml:space="preserve">1531 River Rd  Lunenburg, VT 05906-9611 </t>
  </si>
  <si>
    <t>Kotkowski</t>
  </si>
  <si>
    <t>Marque</t>
  </si>
  <si>
    <t>Lehigh Acres Unit 3 Blk 14 Pb 26 Pg 5 Lot 14</t>
  </si>
  <si>
    <t>06-44-24-c3-02059.0310</t>
  </si>
  <si>
    <t>33908-1739</t>
  </si>
  <si>
    <t>33904-2712</t>
  </si>
  <si>
    <t>Reisterstown</t>
  </si>
  <si>
    <t>Cape Coral Unit 34 Blk.2458 Pb 16 Pg 83 Lots 40 41 + 42</t>
  </si>
  <si>
    <t>36-43-23-c2-02172.0330</t>
  </si>
  <si>
    <t>Robert &amp; Shirley Carr</t>
  </si>
  <si>
    <t xml:space="preserve">3737 NE 15th Pl  Cape Coral, FL 33909 </t>
  </si>
  <si>
    <t>33904-5870</t>
  </si>
  <si>
    <t>Wasp</t>
  </si>
  <si>
    <t>Santa Rosa Valley</t>
  </si>
  <si>
    <t>09-44-25-p3-00500.0320</t>
  </si>
  <si>
    <t>Florida</t>
  </si>
  <si>
    <t>10553-1529</t>
  </si>
  <si>
    <t>Iplan</t>
  </si>
  <si>
    <t xml:space="preserve">U I Lutniowa 44 </t>
  </si>
  <si>
    <t xml:space="preserve">2213 NE 4th Pl </t>
  </si>
  <si>
    <t>12-44-23-c1-02369.0320</t>
  </si>
  <si>
    <t xml:space="preserve">429 Eldridge Ave W </t>
  </si>
  <si>
    <t xml:space="preserve">5154 Cypress Trail Resort Cir  Fort Myers, FL 33905 </t>
  </si>
  <si>
    <t xml:space="preserve">2523 SE 19th Ave  Cape Coral, FL 33904 </t>
  </si>
  <si>
    <t xml:space="preserve">505 Kismet Pkwy E </t>
  </si>
  <si>
    <t>25-43-23-c1-02322.0130</t>
  </si>
  <si>
    <t xml:space="preserve">908 NE 19th St </t>
  </si>
  <si>
    <t>Carl Cerruti</t>
  </si>
  <si>
    <t>Szeman Elke</t>
  </si>
  <si>
    <t xml:space="preserve">64-20 Calle 98 </t>
  </si>
  <si>
    <t>Thomas</t>
  </si>
  <si>
    <t xml:space="preserve">Obere Rodstr #11, Nevada, TX 75173 </t>
  </si>
  <si>
    <t>Sloterweg</t>
  </si>
  <si>
    <t>33330-5700</t>
  </si>
  <si>
    <t xml:space="preserve">1528 Brickell Ave #210 </t>
  </si>
  <si>
    <t>33904-4162</t>
  </si>
  <si>
    <t>Micah</t>
  </si>
  <si>
    <t>Sophia</t>
  </si>
  <si>
    <t xml:space="preserve">401 NE 24th Ter  Cape Coral, FL 33909 </t>
  </si>
  <si>
    <t>Raymond Delemo</t>
  </si>
  <si>
    <t>Yackley</t>
  </si>
  <si>
    <t>Nicola Dillon &amp; Joseph Homy</t>
  </si>
  <si>
    <t>Managad</t>
  </si>
  <si>
    <t xml:space="preserve">4116 NE 15th Ave  Cape Coral, FL 33909 </t>
  </si>
  <si>
    <t>Escano Felicidad Tr</t>
  </si>
  <si>
    <t>Calvert</t>
  </si>
  <si>
    <t xml:space="preserve">2265 E Sahuaro Dr </t>
  </si>
  <si>
    <t>Elkorm</t>
  </si>
  <si>
    <t>Cedar Grove</t>
  </si>
  <si>
    <t>11-44-25-l1-1400b.4460</t>
  </si>
  <si>
    <t xml:space="preserve">49 Middlebury Rd  Orchard Park, NY 14127-3963 </t>
  </si>
  <si>
    <t xml:space="preserve">790 Montgomery Hwy #102 </t>
  </si>
  <si>
    <t>Cape Coral Unit 32 Blk.2170 Pb 16 Pg 8 Lots 31 + 32</t>
  </si>
  <si>
    <t xml:space="preserve">312 NE 31st St </t>
  </si>
  <si>
    <t>Bisham</t>
  </si>
  <si>
    <t xml:space="preserve">7 Rue Fosse A Boire </t>
  </si>
  <si>
    <t xml:space="preserve">3915 NE 12th Ave  Cape Coral, FL 33909 </t>
  </si>
  <si>
    <t>Ft Myers Beach Kampground S/D Unit 1 Pb 35 Pg 47 Blk V Lot 14</t>
  </si>
  <si>
    <t xml:space="preserve">33 Shores Ave </t>
  </si>
  <si>
    <t>34109-6838</t>
  </si>
  <si>
    <t>Cape Coral Unit 32 Blk 2133 Pb 16 Pg 13 Lots 9 Thru 11</t>
  </si>
  <si>
    <t xml:space="preserve">25 Walmsley Rd </t>
  </si>
  <si>
    <t>Jamestown</t>
  </si>
  <si>
    <t xml:space="preserve">29553 Polk Ave  Warsaw, MO 65355-4133 </t>
  </si>
  <si>
    <t xml:space="preserve">3239 NE 8th Pl  Cape Coral, FL 33909 </t>
  </si>
  <si>
    <t xml:space="preserve">4000 Alton Rd #505, Miami Beach, FL 33140-3854 </t>
  </si>
  <si>
    <t>Richard &amp; Robert Darrah</t>
  </si>
  <si>
    <t>33909-4697</t>
  </si>
  <si>
    <t xml:space="preserve">512 Shunpike Rd </t>
  </si>
  <si>
    <t xml:space="preserve">1415 23rd Ave </t>
  </si>
  <si>
    <t>04-44-25-03-00006.2080</t>
  </si>
  <si>
    <t>Cape Coral Unit 34 Blk 2464 Pb 16 Pg 34 Lots 14 + 15</t>
  </si>
  <si>
    <t>Viviano</t>
  </si>
  <si>
    <t xml:space="preserve">6024 Kentigern Ct S </t>
  </si>
  <si>
    <t>Cape Coral Unit 47 Pt 2 Blk 3526 Pb 23 Pg 122 Lots 15 + 16</t>
  </si>
  <si>
    <t>Cape Coral Unit 87 Blk 5691 Pb 24 Pg 85 Lots 29 + 30</t>
  </si>
  <si>
    <t>55043-8708</t>
  </si>
  <si>
    <t>Ida</t>
  </si>
  <si>
    <t xml:space="preserve">4602 Cr 673 #5477 </t>
  </si>
  <si>
    <t>11-44-25-04-0000b.0590</t>
  </si>
  <si>
    <t>Chingville</t>
  </si>
  <si>
    <t>36-43-23-c4-02491.0130</t>
  </si>
  <si>
    <t>25-43-23-c2-02331.0290</t>
  </si>
  <si>
    <t>25-43-23-c4-02305.0240</t>
  </si>
  <si>
    <t>19-43-24-c1-05545.0060</t>
  </si>
  <si>
    <t>32833-3976</t>
  </si>
  <si>
    <t>Caguas</t>
  </si>
  <si>
    <t>Tierra</t>
  </si>
  <si>
    <t>Tina Matthews</t>
  </si>
  <si>
    <t xml:space="preserve">68 Towers St </t>
  </si>
  <si>
    <t xml:space="preserve">10253 Meadow Beauty Trl  Fort Myers, FL 33905 </t>
  </si>
  <si>
    <t>Cape Coral Unit 87 Blk 5701 Pb 24 Pg 74 Lots 11 + 12</t>
  </si>
  <si>
    <t>Oscar &amp; Karla Cervantes</t>
  </si>
  <si>
    <t>34787-9820</t>
  </si>
  <si>
    <t>Ripley</t>
  </si>
  <si>
    <t xml:space="preserve">10 Fichtestr  Buckhead, GA 30625 </t>
  </si>
  <si>
    <t>Luis Pena &amp; Luz Jimenez</t>
  </si>
  <si>
    <t xml:space="preserve">632 Randall Way  Matawan, NJ 07747-1963 </t>
  </si>
  <si>
    <t>32162-4383</t>
  </si>
  <si>
    <t>Pana</t>
  </si>
  <si>
    <t xml:space="preserve">1407 NE 17th St </t>
  </si>
  <si>
    <t>Rhude</t>
  </si>
  <si>
    <t>H054</t>
  </si>
  <si>
    <t>Fabrice Guillaume</t>
  </si>
  <si>
    <t>Vizcaino &amp; Amparo Maria</t>
  </si>
  <si>
    <t xml:space="preserve">5520 Cypress Woods Resort Dr  Fort Myers, FL 33905 </t>
  </si>
  <si>
    <t>Pine Stake</t>
  </si>
  <si>
    <t>PO Box 680150</t>
  </si>
  <si>
    <t xml:space="preserve">1523 NE 36th Ln  Cape Coral, FL 33909 </t>
  </si>
  <si>
    <t>62234-6865</t>
  </si>
  <si>
    <t>17-43-24-c1-05821.0490</t>
  </si>
  <si>
    <t>33909-1735</t>
  </si>
  <si>
    <t>Andrea &amp; Diego Rosas</t>
  </si>
  <si>
    <t xml:space="preserve">4801 Avenue N  Brooklyn, NY 11234-3711 </t>
  </si>
  <si>
    <t>Louanne</t>
  </si>
  <si>
    <t>Newburyport</t>
  </si>
  <si>
    <t xml:space="preserve">340 Compass Pt </t>
  </si>
  <si>
    <t xml:space="preserve">4530 SE 6th Ct  Cape Coral, FL 33904 </t>
  </si>
  <si>
    <t>15642-2026</t>
  </si>
  <si>
    <t>01-44-23-c4-02467.0090</t>
  </si>
  <si>
    <t>33905-6354</t>
  </si>
  <si>
    <t>89052-5529</t>
  </si>
  <si>
    <t>Zenora</t>
  </si>
  <si>
    <t>Wendy</t>
  </si>
  <si>
    <t>Ledgewood</t>
  </si>
  <si>
    <t xml:space="preserve">1039 NE 40th St </t>
  </si>
  <si>
    <t>33909-6240</t>
  </si>
  <si>
    <t xml:space="preserve">7696 NW 21st Ct #42 </t>
  </si>
  <si>
    <t xml:space="preserve">2508 Andrew Jackson Way NE </t>
  </si>
  <si>
    <t xml:space="preserve">1814 NE 27th Ter  Cape Coral, FL 33909 </t>
  </si>
  <si>
    <t>07646-1219</t>
  </si>
  <si>
    <t xml:space="preserve">3 Rue Du Pre Jay  Middle Grove, NY 12850 </t>
  </si>
  <si>
    <t xml:space="preserve">2704 NE 22nd Pl  Cape Coral, FL 33909 </t>
  </si>
  <si>
    <t xml:space="preserve">3700 NE 12th Pl </t>
  </si>
  <si>
    <t xml:space="preserve">3535 NE 19th Ave </t>
  </si>
  <si>
    <t>Yana &amp; Andrey Rishkovoy</t>
  </si>
  <si>
    <t>33909-8921</t>
  </si>
  <si>
    <t>19-43-24-c3-05622.0230</t>
  </si>
  <si>
    <t>C092</t>
  </si>
  <si>
    <t>Leonor</t>
  </si>
  <si>
    <t xml:space="preserve">4711 Tice St </t>
  </si>
  <si>
    <t>Lynn Welton-Beatty &amp; Robert Beatty</t>
  </si>
  <si>
    <t xml:space="preserve">3826 NE 23rd Pl </t>
  </si>
  <si>
    <t>For Gordon &amp; Renee Pumphrey Trust</t>
  </si>
  <si>
    <t>33909-2708</t>
  </si>
  <si>
    <t>Cypress Trail Rv Resort Ph 4-B As Desc In Inst# 2017000057565 Lot 318</t>
  </si>
  <si>
    <t>60126-4943</t>
  </si>
  <si>
    <t xml:space="preserve">52755 Garfield Rd </t>
  </si>
  <si>
    <t xml:space="preserve">12 Kosmoski Ter </t>
  </si>
  <si>
    <t xml:space="preserve">318 NE 14th Ter </t>
  </si>
  <si>
    <t xml:space="preserve">225 Sterling Rd  Lancaster, MA 01523-2903 </t>
  </si>
  <si>
    <t xml:space="preserve">1617 NE 7th Ave </t>
  </si>
  <si>
    <t>Patton</t>
  </si>
  <si>
    <t>55033-2028</t>
  </si>
  <si>
    <t>Lorente &amp; Carlos Franey</t>
  </si>
  <si>
    <t xml:space="preserve">171 Bear Creek Rd  Sarver, PA 16055-9227 </t>
  </si>
  <si>
    <t>Ana Diaz &amp; Diana Menedez</t>
  </si>
  <si>
    <t>33909-0801</t>
  </si>
  <si>
    <t>36-43-23-c1-02521.0400</t>
  </si>
  <si>
    <t>Cape Coral Unit 36 Blk 2348 Pb 16 Pg 129 Lots 9 + 10</t>
  </si>
  <si>
    <t xml:space="preserve">5211 NW 106th Dr </t>
  </si>
  <si>
    <t>Hurst</t>
  </si>
  <si>
    <t>M1B 4Y2</t>
  </si>
  <si>
    <t xml:space="preserve">321 NE 27th St </t>
  </si>
  <si>
    <t xml:space="preserve">2129 NE 4th Pl </t>
  </si>
  <si>
    <t>Cape Coral Unit 84 Blk 5559 Pb 24 Pg 31 Lots 56 + 57</t>
  </si>
  <si>
    <t xml:space="preserve">2001 NE 14th Ave  Cape Coral, FL 33909 </t>
  </si>
  <si>
    <t xml:space="preserve">10115 Walker Springs Cv  Lakeland, TN 38002-7545 </t>
  </si>
  <si>
    <t>65775-6517</t>
  </si>
  <si>
    <t>04222-5208</t>
  </si>
  <si>
    <t>Almont</t>
  </si>
  <si>
    <t>42nd</t>
  </si>
  <si>
    <t xml:space="preserve">203 Hillcrest Dr  Durango, CO 81301-6516 </t>
  </si>
  <si>
    <t>Brigitte</t>
  </si>
  <si>
    <t>48164-9466</t>
  </si>
  <si>
    <t>Odilia Pereda</t>
  </si>
  <si>
    <t>Cape Coral Unit 85 Blk 5671 Pb 24 Pg 52 Lots 51 + 52</t>
  </si>
  <si>
    <t>For James A Thomas Revocable Trust</t>
  </si>
  <si>
    <t>Mandy &amp; Kingdom Barr</t>
  </si>
  <si>
    <t>Isabel Gonzalez</t>
  </si>
  <si>
    <t xml:space="preserve">818 NE 39th St </t>
  </si>
  <si>
    <t>Lehigh Acres Unit 1 Blk 5 Pb 26 Pg 2 Lot 8</t>
  </si>
  <si>
    <t>Elizabeth Ellis St Amand Trust</t>
  </si>
  <si>
    <t xml:space="preserve">842 Outrigger Cv  Painesville, OH 44077-4687 </t>
  </si>
  <si>
    <t>Dariusz</t>
  </si>
  <si>
    <t>33909-6839</t>
  </si>
  <si>
    <t>Beacon</t>
  </si>
  <si>
    <t>Roger Mousel &amp; Ettore Anulli</t>
  </si>
  <si>
    <t>27513-4845</t>
  </si>
  <si>
    <t xml:space="preserve">4917 N Drake Ave </t>
  </si>
  <si>
    <t xml:space="preserve">585 Woodcrest Ct  Carol Stream, IL 60188-1688 </t>
  </si>
  <si>
    <t xml:space="preserve">522 NE 5th Ct  Cape Coral, FL 33909 </t>
  </si>
  <si>
    <t xml:space="preserve">3130 NE 14th Ave </t>
  </si>
  <si>
    <t>Hartlage</t>
  </si>
  <si>
    <t xml:space="preserve">5633 Crowndale Dr  Plano, TX 75093-8502 </t>
  </si>
  <si>
    <t xml:space="preserve">21 2nd St </t>
  </si>
  <si>
    <t xml:space="preserve">960 Fern Trl </t>
  </si>
  <si>
    <t>Mark &amp; Maria Radtke</t>
  </si>
  <si>
    <t>Cape Coral Unit 36 Blk 2294 Pb 16 Pg 120 Lots 13 + 14</t>
  </si>
  <si>
    <t xml:space="preserve">5234 Pineland Daisy Trl  Fort Myers, FL 33905 </t>
  </si>
  <si>
    <t xml:space="preserve">4648 SE 1st Pl  Cape Coral, FL 33904 </t>
  </si>
  <si>
    <t xml:space="preserve">3005 SW 189th Ave </t>
  </si>
  <si>
    <t xml:space="preserve">2193 River Rd </t>
  </si>
  <si>
    <t>William &amp; Doris Jackson</t>
  </si>
  <si>
    <t xml:space="preserve">35517 Skyview Dr  Winona, MN 55987-5735 </t>
  </si>
  <si>
    <t xml:space="preserve">359 Neptune Ave A </t>
  </si>
  <si>
    <t>33909-4643</t>
  </si>
  <si>
    <t>Del Monte</t>
  </si>
  <si>
    <t xml:space="preserve">339 Martling Ave </t>
  </si>
  <si>
    <t>Marchese</t>
  </si>
  <si>
    <t xml:space="preserve">1203 NE 2nd Ave  Cape Coral, FL 33909 </t>
  </si>
  <si>
    <t xml:space="preserve">226 Maple Pl </t>
  </si>
  <si>
    <t xml:space="preserve">2559 Carla Dr </t>
  </si>
  <si>
    <t>Allison</t>
  </si>
  <si>
    <t xml:space="preserve">10211 Meadow Beauty Trl  Fort Myers, FL 33905 </t>
  </si>
  <si>
    <t xml:space="preserve">2040 N Humboldt Blvd </t>
  </si>
  <si>
    <t>Daniela Celeska &amp; Michael Spoor</t>
  </si>
  <si>
    <t>Cape Coral Unit 84 Blk 5619 Pb 24 Pg 33 Lot 31</t>
  </si>
  <si>
    <t>33904-3445</t>
  </si>
  <si>
    <t>Parkhurst</t>
  </si>
  <si>
    <t xml:space="preserve">2074 Clover Ct </t>
  </si>
  <si>
    <t xml:space="preserve">2824 NE 6th Pl  Cape Coral, FL 33909 </t>
  </si>
  <si>
    <t xml:space="preserve">1940 Kismet Pkwy E  Cape Coral, FL 33909 </t>
  </si>
  <si>
    <t>33909-4354</t>
  </si>
  <si>
    <t xml:space="preserve">2219 Church Rd </t>
  </si>
  <si>
    <t>49316-9568</t>
  </si>
  <si>
    <t xml:space="preserve">4392 W 117th Way #1 </t>
  </si>
  <si>
    <t>Buckingham Pk Re Blk B U-1 Blk 3 Pb 27 Pg 188 Lot 29</t>
  </si>
  <si>
    <t xml:space="preserve">23-25 Riegelgasse  Beverly, NJ 08010 </t>
  </si>
  <si>
    <t>43930-7934</t>
  </si>
  <si>
    <t>Cape Coral Unit 85 Blk 5642 Pb 24 Pg 54 Lots 37 Thru 39</t>
  </si>
  <si>
    <t xml:space="preserve">13996 Antonia Ford Ct </t>
  </si>
  <si>
    <t>John Giles</t>
  </si>
  <si>
    <t xml:space="preserve">6289 Carpenter Rd </t>
  </si>
  <si>
    <t>29-43-24-c3-02253.0300</t>
  </si>
  <si>
    <t>Delavan</t>
  </si>
  <si>
    <t xml:space="preserve">2829 NE 2nd Ave  Cape Coral, FL 33909 </t>
  </si>
  <si>
    <t xml:space="preserve">940 Briarmore Dr  Indian Trail, NC 28079-5107 </t>
  </si>
  <si>
    <t xml:space="preserve">105 Sophia Dr </t>
  </si>
  <si>
    <t xml:space="preserve">PO Box 102  Bronx, NY 10469 </t>
  </si>
  <si>
    <t xml:space="preserve">3010 Marcos Dr R505, Aventura, FL 33160-2552 </t>
  </si>
  <si>
    <t>33909-1299</t>
  </si>
  <si>
    <t>32-43-24-c1-02244.0580</t>
  </si>
  <si>
    <t>Steven Miller</t>
  </si>
  <si>
    <t>Harold &amp; Rebecca Plyler</t>
  </si>
  <si>
    <t>Judy Couvillon &amp; Beverly Ohara</t>
  </si>
  <si>
    <t>N0E 1Y0</t>
  </si>
  <si>
    <t xml:space="preserve">263 Calle Monte Ebano  Santiago De Surio Lima, PE </t>
  </si>
  <si>
    <t>Riverside</t>
  </si>
  <si>
    <t>Godwin</t>
  </si>
  <si>
    <t>Ahadi</t>
  </si>
  <si>
    <t>Springfield</t>
  </si>
  <si>
    <t>33143-4529</t>
  </si>
  <si>
    <t>33909-5327</t>
  </si>
  <si>
    <t>Donnie &amp; Ruth Thornton</t>
  </si>
  <si>
    <t xml:space="preserve">2131 Kismet Pkwy E  Cape Coral, FL 33909 </t>
  </si>
  <si>
    <t xml:space="preserve">2304 NE 26th St  Cape Coral, FL 33909 </t>
  </si>
  <si>
    <t xml:space="preserve">114 Blanco Dr  Deland, FL 32724-1210 </t>
  </si>
  <si>
    <t xml:space="preserve">2 Rue De Pancraee </t>
  </si>
  <si>
    <t>08723-7510</t>
  </si>
  <si>
    <t xml:space="preserve">10449 Nightwood Dr  Fort Myers, FL 33905 </t>
  </si>
  <si>
    <t xml:space="preserve">4423 SE 20th Pl  Cape Coral, FL 33904 </t>
  </si>
  <si>
    <t xml:space="preserve">301 Main St  Saugus, MA 01906-3237 </t>
  </si>
  <si>
    <t>Daisy Magsipoc</t>
  </si>
  <si>
    <t>06-44-23-c2-04272.0010</t>
  </si>
  <si>
    <t>Vale</t>
  </si>
  <si>
    <t xml:space="preserve">1704 NE 7th Ave </t>
  </si>
  <si>
    <t>18-46-25-17-0000b.0090</t>
  </si>
  <si>
    <t>Bruce Slater</t>
  </si>
  <si>
    <t>Beaver Run</t>
  </si>
  <si>
    <t>36-44-23-c4-00866.0510</t>
  </si>
  <si>
    <t>Ling</t>
  </si>
  <si>
    <t>19j</t>
  </si>
  <si>
    <t xml:space="preserve">800 NE 43rd Ln </t>
  </si>
  <si>
    <t>Jin</t>
  </si>
  <si>
    <t>Maria Smith &amp; For Guidi</t>
  </si>
  <si>
    <t>20-43-24-c1-05753.0540</t>
  </si>
  <si>
    <t xml:space="preserve">1710 NE 37th St </t>
  </si>
  <si>
    <t>Hubert</t>
  </si>
  <si>
    <t>St. Francis</t>
  </si>
  <si>
    <t xml:space="preserve">750 126th Ave  Treasure Island, FL 33706-1036 </t>
  </si>
  <si>
    <t>Luisa Rodriquez &amp; Kathy Rodriguez</t>
  </si>
  <si>
    <t xml:space="preserve">1603 NE 35th Ter </t>
  </si>
  <si>
    <t xml:space="preserve">931 NE 23rd Ter </t>
  </si>
  <si>
    <t xml:space="preserve">198 E Rue Doderot </t>
  </si>
  <si>
    <t xml:space="preserve">257 S Cypress Rd #420 </t>
  </si>
  <si>
    <t xml:space="preserve">60 Halstead Dr  Markham, ON L3r 7Z1 </t>
  </si>
  <si>
    <t>Cape Coral Unit 36 Blk 2348 Pb 16 Pg 128 Lots 55 + 56</t>
  </si>
  <si>
    <t>06-44-24-c1-02099.0130</t>
  </si>
  <si>
    <t>Krol</t>
  </si>
  <si>
    <t>Rowlett</t>
  </si>
  <si>
    <t xml:space="preserve">1607 Olmsted Dr  Asheville, NC 28803-1937 </t>
  </si>
  <si>
    <t>N2M 2Z9</t>
  </si>
  <si>
    <t xml:space="preserve">6 Saw Mill Dr </t>
  </si>
  <si>
    <t>Praveen Rao</t>
  </si>
  <si>
    <t>Herman Alter</t>
  </si>
  <si>
    <t xml:space="preserve">1229 NE 7th Pl  Cape Coral, FL 33909 </t>
  </si>
  <si>
    <t xml:space="preserve">3319 NE 20th Ave  Cape Coral, FL 33909 </t>
  </si>
  <si>
    <t>Canseco</t>
  </si>
  <si>
    <t>Cesar &amp; Ana Santacruz</t>
  </si>
  <si>
    <t xml:space="preserve">1 Burlingham Ct  Stony Point, NY 10980-2643 </t>
  </si>
  <si>
    <t>33010-2827</t>
  </si>
  <si>
    <t xml:space="preserve">1 B  Spragueville, IA 52074 </t>
  </si>
  <si>
    <t xml:space="preserve">71 Maverick Trl  Bozeman, MT 59718-7968 </t>
  </si>
  <si>
    <t>32-43-24-c1-02179.0150</t>
  </si>
  <si>
    <t>Cypress Trail Rv Resort Phase 2-A As Desc In Inst# 2014000026506 Lot 181</t>
  </si>
  <si>
    <t>Muniz Family Revocable Living Trust</t>
  </si>
  <si>
    <t>Schneeweis</t>
  </si>
  <si>
    <t xml:space="preserve">2748 NE 6th Ave </t>
  </si>
  <si>
    <t>29-43-24-c3-02254.0100</t>
  </si>
  <si>
    <t xml:space="preserve">2 Kidd St  Lake Worth, FL 33463-3416 </t>
  </si>
  <si>
    <t>Laura</t>
  </si>
  <si>
    <t>Clare &amp; Lourlyn Lassalle</t>
  </si>
  <si>
    <t>Tomasz Bigos</t>
  </si>
  <si>
    <t>Matthew Jones &amp; For Land</t>
  </si>
  <si>
    <t>33935-4965</t>
  </si>
  <si>
    <t>Graeser</t>
  </si>
  <si>
    <t xml:space="preserve">170 Parkview Ln  Powder Springs, GA 30127-8614 </t>
  </si>
  <si>
    <t>Zeligman</t>
  </si>
  <si>
    <t>Theodor &amp; Alina Nuica</t>
  </si>
  <si>
    <t>53715-3600</t>
  </si>
  <si>
    <t xml:space="preserve">20 Loewenburgstrasse </t>
  </si>
  <si>
    <t xml:space="preserve">424 NE 9th St </t>
  </si>
  <si>
    <t>Gordon Long</t>
  </si>
  <si>
    <t xml:space="preserve">270 Benedict Rd </t>
  </si>
  <si>
    <t>Holiday Condo</t>
  </si>
  <si>
    <t xml:space="preserve">1923 NE 33rd St </t>
  </si>
  <si>
    <t xml:space="preserve">2045 SE 27th Ter  Cape Coral, FL 33904 </t>
  </si>
  <si>
    <t>Lehigh Acres Unit 4 Blk 17 Pb 26 Pg 6 Lot 6</t>
  </si>
  <si>
    <t xml:space="preserve">2801 NE 2nd Ave  Cape Coral, FL 33909 </t>
  </si>
  <si>
    <t xml:space="preserve">250 Pleasant View Dr </t>
  </si>
  <si>
    <t>Carla</t>
  </si>
  <si>
    <t xml:space="preserve">10452 Nightwood Dr </t>
  </si>
  <si>
    <t xml:space="preserve">34624 Whittaker St  Clinton Township, MI 48035-3383 </t>
  </si>
  <si>
    <t>Bad Salzungen</t>
  </si>
  <si>
    <t>Lorente</t>
  </si>
  <si>
    <t>19-43-24-c1-05550.0090</t>
  </si>
  <si>
    <t>Ariel &amp; Elaine Martinez</t>
  </si>
  <si>
    <t xml:space="preserve">851 Miramar Ct </t>
  </si>
  <si>
    <t>36-43-23-c4-02506.0110</t>
  </si>
  <si>
    <t>11-44-25-08-00000.2700</t>
  </si>
  <si>
    <t>07095-3214</t>
  </si>
  <si>
    <t>Thoman</t>
  </si>
  <si>
    <t xml:space="preserve">1808 2nd Ave E </t>
  </si>
  <si>
    <t xml:space="preserve">14030 Sanford Ave 4c, Flushing, NY 11355-2563 </t>
  </si>
  <si>
    <t xml:space="preserve">10326 Fire Flag Trl </t>
  </si>
  <si>
    <t>34-43-24-02-00021.0210</t>
  </si>
  <si>
    <t>Juan Rojas</t>
  </si>
  <si>
    <t xml:space="preserve">114 SW 61st Ave  Miami, FL 33144-3223 </t>
  </si>
  <si>
    <t xml:space="preserve">411 Linden St  West Hempstead, NY 11552-2514 </t>
  </si>
  <si>
    <t>Zoe</t>
  </si>
  <si>
    <t>Lehigh Acres Ut 11 Blk 55 Pb 26 Pg 14 Lot 6</t>
  </si>
  <si>
    <t xml:space="preserve">3814 NE 23rd Pl  Cape Coral, FL 33909 </t>
  </si>
  <si>
    <t>Ladhwa</t>
  </si>
  <si>
    <t>Yeshayahu Hanavi</t>
  </si>
  <si>
    <t xml:space="preserve">2 Shalimar Ct  Albany, NY 12211-1159 </t>
  </si>
  <si>
    <t xml:space="preserve">2619 NE 4th Ave </t>
  </si>
  <si>
    <t>Supraja Somasundaram &amp; Pumesh Konathala</t>
  </si>
  <si>
    <t>31-43-26-12-0000b.0530</t>
  </si>
  <si>
    <t>33909-6888</t>
  </si>
  <si>
    <t>05-44-24-c1-03532.0370</t>
  </si>
  <si>
    <t xml:space="preserve">11928 Pericles Dr </t>
  </si>
  <si>
    <t>35216-1873</t>
  </si>
  <si>
    <t xml:space="preserve">Po Box 576 </t>
  </si>
  <si>
    <t xml:space="preserve">4308 Connection Ave  Cape Coral, FL 33909 </t>
  </si>
  <si>
    <t>08550-5126</t>
  </si>
  <si>
    <t xml:space="preserve">440 Seventh Ave  Pelham, NY 10803-1316 </t>
  </si>
  <si>
    <t xml:space="preserve">229 NE 31st St </t>
  </si>
  <si>
    <t>Cape Coral Unit 15 Blk 424 Pb 13 Pg 71 Lots 45 Thru 47</t>
  </si>
  <si>
    <t xml:space="preserve">1828 NE 20th Ter </t>
  </si>
  <si>
    <t>03-44-26-02-00009.0040</t>
  </si>
  <si>
    <t xml:space="preserve">3131 NE 14th Pl </t>
  </si>
  <si>
    <t>11-44-25-08-00000.4150</t>
  </si>
  <si>
    <t xml:space="preserve">1404 NE 37th St </t>
  </si>
  <si>
    <t xml:space="preserve">7662 Thistle Ridge Rd  Roscoe, IL 61073-8429 </t>
  </si>
  <si>
    <t>Butrico</t>
  </si>
  <si>
    <t>Racquet Club</t>
  </si>
  <si>
    <t>06-44-24-c1-02068.0210</t>
  </si>
  <si>
    <t>29445-3553</t>
  </si>
  <si>
    <t xml:space="preserve">181 Cotter Ave  Staten Island, NY 10306-6141 </t>
  </si>
  <si>
    <t>Arana Rosa Maria Tr</t>
  </si>
  <si>
    <t xml:space="preserve">3802 Golden Shores Dr </t>
  </si>
  <si>
    <t>36-43-23-c4-02486.0090</t>
  </si>
  <si>
    <t>Cape Coral Unit 36 Blk 2321 Pb 16 Pg 126 Lots 29 &amp; 30</t>
  </si>
  <si>
    <t>16-44-26-07-00019.0080</t>
  </si>
  <si>
    <t xml:space="preserve">2218 NE 13th Ave </t>
  </si>
  <si>
    <t>33909-4692</t>
  </si>
  <si>
    <t xml:space="preserve">3440 NE 17th Pl </t>
  </si>
  <si>
    <t>06-44-24-c3-02060.0400</t>
  </si>
  <si>
    <t xml:space="preserve">4128 NE 10th Ave  Cape Coral, FL 33909 </t>
  </si>
  <si>
    <t xml:space="preserve">3107 NE 1st Ave  Cape Coral, FL 33909 </t>
  </si>
  <si>
    <t>Convenience Center</t>
  </si>
  <si>
    <t>Cypress Woods Rv Resort Unit 4 Pb 79 Pgs 68-71 Blk D Lot 76</t>
  </si>
  <si>
    <t xml:space="preserve">5109 White Sky Cir  Fort Myers, FL 33908 </t>
  </si>
  <si>
    <t>Cape Coral Unit 31 Blk 2067 Pb 14 Pg 164 Lots 48 + 49</t>
  </si>
  <si>
    <t>Maniel</t>
  </si>
  <si>
    <t xml:space="preserve">4548 Providence Rd  Jamesville, NY 13078-6504 </t>
  </si>
  <si>
    <t xml:space="preserve">101 E Franklin St </t>
  </si>
  <si>
    <t xml:space="preserve">5269 Cypress Trail Resort Cir  Fort Myers, FL 33905 </t>
  </si>
  <si>
    <t>11-44-25-04-0000a.0050</t>
  </si>
  <si>
    <t xml:space="preserve">2nd No, CN </t>
  </si>
  <si>
    <t xml:space="preserve">128 NE 20th St  Cape Coral, FL 33909 </t>
  </si>
  <si>
    <t xml:space="preserve">40 Murielle Dr  South Windsor, CT 06074-4123 </t>
  </si>
  <si>
    <t xml:space="preserve">1519 NE 19th Ter </t>
  </si>
  <si>
    <t xml:space="preserve">2023 NE 9th Pl </t>
  </si>
  <si>
    <t xml:space="preserve">3813 NE 10th Pl </t>
  </si>
  <si>
    <t>25-43-23-c2-02351.0380</t>
  </si>
  <si>
    <t xml:space="preserve">2515 NE 20th Ave </t>
  </si>
  <si>
    <t>20012-1026</t>
  </si>
  <si>
    <t xml:space="preserve">4005 NE 10th Pl </t>
  </si>
  <si>
    <t>10704-2707</t>
  </si>
  <si>
    <t>Joao &amp; Clarinda Anastacio</t>
  </si>
  <si>
    <t>Bernard &amp; Eva Beckmann</t>
  </si>
  <si>
    <t>06-45-24-c1-00504.0050</t>
  </si>
  <si>
    <t>33909-8431</t>
  </si>
  <si>
    <t xml:space="preserve">9700 W M 21 </t>
  </si>
  <si>
    <t>58078-4324</t>
  </si>
  <si>
    <t>Ft Myers Shores Unit 6 Blk 91B Pb 17 Pg 75 Lots 21 Thru 23 + Pt Lot</t>
  </si>
  <si>
    <t>Win Haven</t>
  </si>
  <si>
    <t xml:space="preserve">2321 NE 25th Ter  Cape Coral, FL 33909 </t>
  </si>
  <si>
    <t xml:space="preserve">2610 NE 19th Pl </t>
  </si>
  <si>
    <t xml:space="preserve">2230 NE 39th Ter  Cape Coral, FL 33909 </t>
  </si>
  <si>
    <t>Trabal</t>
  </si>
  <si>
    <t>Broken Arrow</t>
  </si>
  <si>
    <t>31-43-24-c4-02105.0090</t>
  </si>
  <si>
    <t xml:space="preserve">2518 NE 6th Ave  Cape Coral, FL 33909 </t>
  </si>
  <si>
    <t>Calle 161 A</t>
  </si>
  <si>
    <t>Kendy</t>
  </si>
  <si>
    <t>16-44-25-p1-0090d.0170</t>
  </si>
  <si>
    <t>11-44-25-l1-1400a.1350</t>
  </si>
  <si>
    <t>33351-5301</t>
  </si>
  <si>
    <t>18-43-24-c4-05703.0090</t>
  </si>
  <si>
    <t>New London</t>
  </si>
  <si>
    <t>Jesse Tremain</t>
  </si>
  <si>
    <t>32-43-24-c1-02182.0580</t>
  </si>
  <si>
    <t>33909-5376</t>
  </si>
  <si>
    <t>18-43-24-c3-05747.0030</t>
  </si>
  <si>
    <t>Beth A Henschen Revocable Trus</t>
  </si>
  <si>
    <t xml:space="preserve">130 Angell Rd  Cumberland, RI 02864-5015 </t>
  </si>
  <si>
    <t>Haydee</t>
  </si>
  <si>
    <t>Juan &amp; Arelis Cepeda</t>
  </si>
  <si>
    <t>08873-5913</t>
  </si>
  <si>
    <t>90th</t>
  </si>
  <si>
    <t xml:space="preserve">2920 NE 4th Pl </t>
  </si>
  <si>
    <t>Wendt</t>
  </si>
  <si>
    <t>F Block</t>
  </si>
  <si>
    <t>11768-1736</t>
  </si>
  <si>
    <t>Bourgon</t>
  </si>
  <si>
    <t xml:space="preserve">4129 E Gator Cir  Cape Coral, FL 33909 </t>
  </si>
  <si>
    <t>Clarksville</t>
  </si>
  <si>
    <t>Sandra Miranda &amp; Scott Gillis</t>
  </si>
  <si>
    <t xml:space="preserve">3 Kilmer Ave </t>
  </si>
  <si>
    <t>Ann-Marie</t>
  </si>
  <si>
    <t xml:space="preserve">211 NE 19th Ter </t>
  </si>
  <si>
    <t>22046-1828</t>
  </si>
  <si>
    <t>Cape Coral Unit 31 Blk 2064 Pb 14 Pg 165 Lots 14 + 15</t>
  </si>
  <si>
    <t>Cape Coral Unit 15 Blk.427 Pb 13 Pg 71 Lots 5 + 6</t>
  </si>
  <si>
    <t>33547-4086</t>
  </si>
  <si>
    <t>William &amp; Penelope Keadey</t>
  </si>
  <si>
    <t>29-43-24-c3-02279.0180</t>
  </si>
  <si>
    <t>Mount Healthy</t>
  </si>
  <si>
    <t xml:space="preserve">2027 NE 25th Ter  Cape Coral, FL 33909 </t>
  </si>
  <si>
    <t>Carlos &amp; Ana Carolini</t>
  </si>
  <si>
    <t>Hader</t>
  </si>
  <si>
    <t xml:space="preserve">3621 Sutton Dr </t>
  </si>
  <si>
    <t>R115</t>
  </si>
  <si>
    <t xml:space="preserve">336 NE 26th St </t>
  </si>
  <si>
    <t>Cypress Trail Rv Resort Ph 4-B As Desc In Inst# 2017000057565 Lot 313</t>
  </si>
  <si>
    <t>Pella</t>
  </si>
  <si>
    <t>84655-8274</t>
  </si>
  <si>
    <t xml:space="preserve">6028 Mornay Dr </t>
  </si>
  <si>
    <t xml:space="preserve">1140 Page St </t>
  </si>
  <si>
    <t xml:space="preserve">2321 NE 35th St </t>
  </si>
  <si>
    <t>Cape Coral Unit 6 Part 2 Blk 42 Pb 11 Pg 60 Lots 26 + 27</t>
  </si>
  <si>
    <t>36-44-23-c1-00912.0150</t>
  </si>
  <si>
    <t xml:space="preserve">567 Burning Fork Rd </t>
  </si>
  <si>
    <t>Cape Coral Unit 84 Blk 5599 Pb 24 Pg 43 Lots 17 + 18</t>
  </si>
  <si>
    <t>08-44-24-c4-01540.0320</t>
  </si>
  <si>
    <t xml:space="preserve">1257 Highland Ave </t>
  </si>
  <si>
    <t>32-43-24-c4-02228.0240</t>
  </si>
  <si>
    <t xml:space="preserve">4950 Lindell Blvd 4e </t>
  </si>
  <si>
    <t>Fountain View Rv Resort Or 1627 Pg 0179 Lot 8</t>
  </si>
  <si>
    <t>08873-7363</t>
  </si>
  <si>
    <t xml:space="preserve">6139 Holt Ct </t>
  </si>
  <si>
    <t xml:space="preserve">3708 Tracy St </t>
  </si>
  <si>
    <t>Barrie</t>
  </si>
  <si>
    <t xml:space="preserve">6113 Higgins Ave  Fort Myers, FL 33905 </t>
  </si>
  <si>
    <t>Cape Coral Unit 36 Blk 2317 Pb 16 Pg 126 Lots 29 &amp; 30</t>
  </si>
  <si>
    <t>Swawola</t>
  </si>
  <si>
    <t xml:space="preserve">1520 NE 34th Ln </t>
  </si>
  <si>
    <t>Wang</t>
  </si>
  <si>
    <t>19-43-24-c3-05606.0130</t>
  </si>
  <si>
    <t>33909-4442</t>
  </si>
  <si>
    <t>03-44-26-12-00065.0210</t>
  </si>
  <si>
    <t xml:space="preserve">1800 S Ocean Dr #2305, Hallandale Beach, FL 33009-7726 </t>
  </si>
  <si>
    <t>Edward &amp; Enry Monroy</t>
  </si>
  <si>
    <t>Nathan &amp; Susan Schenker</t>
  </si>
  <si>
    <t xml:space="preserve">1933 Wilson Ln #101 </t>
  </si>
  <si>
    <t>Jose &amp; Juana Florian</t>
  </si>
  <si>
    <t>19-43-24-c1-05572.0270</t>
  </si>
  <si>
    <t>Canoga Park</t>
  </si>
  <si>
    <t>Cape Coral Unit 36 Blk 2290 Pb 16 Pg 119 Lots 27 + 28</t>
  </si>
  <si>
    <t>02896-9500</t>
  </si>
  <si>
    <t xml:space="preserve">7717 Lasata Ln  Harrison, TN 37341-9611 </t>
  </si>
  <si>
    <t xml:space="preserve">1133 NE 32nd Ter  Cape Coral, FL 33909 </t>
  </si>
  <si>
    <t>Lehigh Acres Unit 1 Blk 5 Pb 26 Pg 2 Lot 3</t>
  </si>
  <si>
    <t>Teressa</t>
  </si>
  <si>
    <t xml:space="preserve">245 Alcovy St  Monroe, GA 30655-2160 </t>
  </si>
  <si>
    <t>33909-6834</t>
  </si>
  <si>
    <t xml:space="preserve">8 Opal Dr </t>
  </si>
  <si>
    <t>Tropic Shores Estates Pb 25 Pg 79 Lot 11 Less W 10 Ft + Or 2078/0150</t>
  </si>
  <si>
    <t>33971-5207</t>
  </si>
  <si>
    <t>For John &amp; Susan Hudson Trust</t>
  </si>
  <si>
    <t>33513-8358</t>
  </si>
  <si>
    <t>Petroff</t>
  </si>
  <si>
    <t>Lehigh Acres Unit 10 W 1/2 Blk 48 Pb 26 Pg 12 Lot 7</t>
  </si>
  <si>
    <t>Ekaterina</t>
  </si>
  <si>
    <t>97220-5174</t>
  </si>
  <si>
    <t xml:space="preserve">3 Kunibertusplatz  Erftstadt, DE 50374 </t>
  </si>
  <si>
    <t>91765-3778</t>
  </si>
  <si>
    <t>Annie</t>
  </si>
  <si>
    <t>33609-4174</t>
  </si>
  <si>
    <t>30655-2160</t>
  </si>
  <si>
    <t>Cordinel</t>
  </si>
  <si>
    <t xml:space="preserve">2116 NE 10th Pl </t>
  </si>
  <si>
    <t>29-43-24-c4-02285.0440</t>
  </si>
  <si>
    <t>Mary Deprey &amp; Donald For</t>
  </si>
  <si>
    <t>Viado</t>
  </si>
  <si>
    <t xml:space="preserve">8536 W Lyndale St </t>
  </si>
  <si>
    <t xml:space="preserve">520 Shorthorn Way  Rockville, MD 20850-4500 </t>
  </si>
  <si>
    <t>31-43-24-c1-02172.0190</t>
  </si>
  <si>
    <t>Giliotti</t>
  </si>
  <si>
    <t xml:space="preserve">3450 NE 10th Pl  Cape Coral, FL 33909 </t>
  </si>
  <si>
    <t xml:space="preserve">314 NE 18th Ave </t>
  </si>
  <si>
    <t>Guillermo &amp; Raquel Avila</t>
  </si>
  <si>
    <t>33010-3000</t>
  </si>
  <si>
    <t xml:space="preserve">1820 Hibiscus Dr </t>
  </si>
  <si>
    <t xml:space="preserve">10307 S Aspen Dr </t>
  </si>
  <si>
    <t>Cypress Woods Rv Resort Unit 4 Pb 79 Pgs 68-71 Blk D Lot 22</t>
  </si>
  <si>
    <t>Tampa</t>
  </si>
  <si>
    <t xml:space="preserve">1910 NE 12th Ln  Cape Coral, FL 33909 </t>
  </si>
  <si>
    <t xml:space="preserve">2922 NE 6th Ave </t>
  </si>
  <si>
    <t xml:space="preserve">W71n360 Foxpointe Ave </t>
  </si>
  <si>
    <t>L5N 3G2</t>
  </si>
  <si>
    <t>Yaklin Family Trust</t>
  </si>
  <si>
    <t xml:space="preserve">6610 Grand Ave 4c, Maspeth, NY 11378-2502 </t>
  </si>
  <si>
    <t>20-43-24-c2-05667.0150</t>
  </si>
  <si>
    <t xml:space="preserve">520 Shorthorn Way </t>
  </si>
  <si>
    <t>Cape Coral Unit 36 Blk 2537 Pb 16 Pg 118 Lots 25 Thru 27</t>
  </si>
  <si>
    <t xml:space="preserve">6140 Hughes Ave  Fort Myers, FL 33905 </t>
  </si>
  <si>
    <t>Cape Coral Unit 19 Blk 1163 Pb 13 Pg 122 Lots 33 + 34</t>
  </si>
  <si>
    <t xml:space="preserve">11407 Andy Dr  Riverview, FL 33569-5557 </t>
  </si>
  <si>
    <t xml:space="preserve">14 Berrymans Ln  Reisterstown, MD 21136-1926 </t>
  </si>
  <si>
    <t>36-43-23-c3-02497.0270</t>
  </si>
  <si>
    <t xml:space="preserve">922 S 25 W  Winamac, IN 46996-8339 </t>
  </si>
  <si>
    <t>Kerr</t>
  </si>
  <si>
    <t xml:space="preserve">26 Kerkstraat </t>
  </si>
  <si>
    <t>Cape Coral Unit 26 Blk.912 Pb 14 Pg 133 Lots 61 + 62</t>
  </si>
  <si>
    <t xml:space="preserve">518 Kates Way  Smyrna, DE 19977-1600 </t>
  </si>
  <si>
    <t xml:space="preserve">3422 NE 21st Pl  Cape Coral, FL 33909 </t>
  </si>
  <si>
    <t xml:space="preserve">561 State St </t>
  </si>
  <si>
    <t xml:space="preserve">1109 River Hill Dr </t>
  </si>
  <si>
    <t>33905-5725</t>
  </si>
  <si>
    <t>Russell Park Blk 6 Pb 6/12 Land N Adj River + Lots 208 + Port Lot 209 Less S75ft</t>
  </si>
  <si>
    <t>Butterweed</t>
  </si>
  <si>
    <t xml:space="preserve">7609 34th Ave #123, Jackson Heights, NY 11372-2227 </t>
  </si>
  <si>
    <t>Nhat Nguyen &amp; Thuong Lam</t>
  </si>
  <si>
    <t>Cheng</t>
  </si>
  <si>
    <t>Virgilio</t>
  </si>
  <si>
    <t xml:space="preserve">15914 Berlin Station Rd  Berlin Center, OH 44401-9711 </t>
  </si>
  <si>
    <t xml:space="preserve">1119 NE 36th Ter </t>
  </si>
  <si>
    <t>Buckingham Park Ne Sec Blk 22 Pb 9 Pg 59 Lots 10 + 11</t>
  </si>
  <si>
    <t>Hamburg</t>
  </si>
  <si>
    <t>Waltman</t>
  </si>
  <si>
    <t xml:space="preserve">25885 Trabuco Rd #182 </t>
  </si>
  <si>
    <t xml:space="preserve">1427 NE 20th Ave  Cape Coral, FL 33909 </t>
  </si>
  <si>
    <t>33907-2417</t>
  </si>
  <si>
    <t>77037-2444</t>
  </si>
  <si>
    <t>Karalis</t>
  </si>
  <si>
    <t xml:space="preserve">9428 S 41st St </t>
  </si>
  <si>
    <t>American &amp; Kevin Thomas</t>
  </si>
  <si>
    <t xml:space="preserve">5761 Brightwood Dr </t>
  </si>
  <si>
    <t>Cape Coral Unit 31 Blk 2067 Pb 14 Pg 164 Lots 33 Thru 35</t>
  </si>
  <si>
    <t xml:space="preserve">12345 W Alameda Pkwy #212 </t>
  </si>
  <si>
    <t xml:space="preserve">1129 Jacaranda Pkwy E  Cape Coral, FL 33909 </t>
  </si>
  <si>
    <t>Angelito</t>
  </si>
  <si>
    <t>33844-9568</t>
  </si>
  <si>
    <t xml:space="preserve">2321 NE 16th Ter  Cape Coral, FL 33909 </t>
  </si>
  <si>
    <t>Dale Mabry</t>
  </si>
  <si>
    <t>Nikia Campbell &amp; William Harris</t>
  </si>
  <si>
    <t>Weiler</t>
  </si>
  <si>
    <t xml:space="preserve">3624 NE 17th Pl  Cape Coral, FL 33909 </t>
  </si>
  <si>
    <t>Phillip</t>
  </si>
  <si>
    <t xml:space="preserve">2567 Shiloh Park  Westlake, OH 44145-4831 </t>
  </si>
  <si>
    <t>Lehigh Acres Unit 7 Blk 34 Pb 26 Pg 9 Lot 3</t>
  </si>
  <si>
    <t>Patrick Ng &amp; Lai Fay</t>
  </si>
  <si>
    <t xml:space="preserve">16100 Tierra Plz </t>
  </si>
  <si>
    <t>Nelly</t>
  </si>
  <si>
    <t xml:space="preserve">1705 NE 41st St </t>
  </si>
  <si>
    <t xml:space="preserve">31 Nairn Ave </t>
  </si>
  <si>
    <t xml:space="preserve">562 Treasure Lk </t>
  </si>
  <si>
    <t xml:space="preserve">5159 Cypress Trail Resort Cir </t>
  </si>
  <si>
    <t xml:space="preserve">4801 Bartletts Vision Dr  Bowie, MD 20720-4675 </t>
  </si>
  <si>
    <t>44889-8937</t>
  </si>
  <si>
    <t>Pumpkin Hill</t>
  </si>
  <si>
    <t xml:space="preserve">1225 NE 41st Ter </t>
  </si>
  <si>
    <t>Paul Yiu</t>
  </si>
  <si>
    <t>Cape Coral Unit 34 Blk 2446 Pb 16 Pg 78 Lots 39 + 40</t>
  </si>
  <si>
    <t>Welch</t>
  </si>
  <si>
    <t>33909-3529</t>
  </si>
  <si>
    <t xml:space="preserve">4234 NE 23rd Ave </t>
  </si>
  <si>
    <t xml:space="preserve">1408 NE 33rd St  Cape Coral, FL 33909 </t>
  </si>
  <si>
    <t>Brookings</t>
  </si>
  <si>
    <t>17-43-24-c3-05784.0200</t>
  </si>
  <si>
    <t xml:space="preserve">2133 NE 33rd Ln  Cape Coral, FL 33909 </t>
  </si>
  <si>
    <t>Archana Reddy</t>
  </si>
  <si>
    <t xml:space="preserve">16197 SW 16th St </t>
  </si>
  <si>
    <t>54155-9069</t>
  </si>
  <si>
    <t>C147</t>
  </si>
  <si>
    <t xml:space="preserve">202 Opal Ave  Westminster, MD 21157-6634 </t>
  </si>
  <si>
    <t>Jamil</t>
  </si>
  <si>
    <t>Lehigh Acres E 1/2 Ut 10 Blk 51 Pb 26 Pg 13 Lot 12</t>
  </si>
  <si>
    <t>Olimpia &amp; For Barrera</t>
  </si>
  <si>
    <t>Mike</t>
  </si>
  <si>
    <t>Edwin Ruiz</t>
  </si>
  <si>
    <t>19-43-24-c2-05596.0490</t>
  </si>
  <si>
    <t>33909-4780</t>
  </si>
  <si>
    <t>Baton Rouge</t>
  </si>
  <si>
    <t>Cypress Trail Rv Resort Phase 4-C Block B Lot 447 As Desc In Inst 2019000042424</t>
  </si>
  <si>
    <t xml:space="preserve">4214 La Costa Cv  Bradenton, FL 34210-1429 </t>
  </si>
  <si>
    <t xml:space="preserve">5175 Cypress Trail Resort Cir </t>
  </si>
  <si>
    <t>33909-1333</t>
  </si>
  <si>
    <t xml:space="preserve">1651 Allen Burgess Rd </t>
  </si>
  <si>
    <t>05-44-24-c2-03519.0100</t>
  </si>
  <si>
    <t>Lehigh Acres Unit 4 Blk 17 Pb 26 Pg 6 Lot 1</t>
  </si>
  <si>
    <t>Centereach</t>
  </si>
  <si>
    <t>Cape Coral Unit 87 Blk 5748 Pb 24 Pg 69 Lots 6 + 7</t>
  </si>
  <si>
    <t xml:space="preserve">918 NE 36th Ln  Cape Coral, FL 33909 </t>
  </si>
  <si>
    <t>Pascoe</t>
  </si>
  <si>
    <t xml:space="preserve">170 Manton Ave  Providence, RI 02909-3308 </t>
  </si>
  <si>
    <t>Cape Coral Unit 17 Blk.1531 Pb 14 Pg 35 Lots 1 + 2</t>
  </si>
  <si>
    <t>43140-8747</t>
  </si>
  <si>
    <t>Cape Coral Unit 33 Blk 2284 Pb 16 Pg 59 Lots 28 + 29</t>
  </si>
  <si>
    <t>44420-3315</t>
  </si>
  <si>
    <t>Sazgitter</t>
  </si>
  <si>
    <t>OWNER STATUS</t>
  </si>
  <si>
    <t>45385-9398</t>
  </si>
  <si>
    <t xml:space="preserve">726 SW 7th Ct </t>
  </si>
  <si>
    <t>19-43-24-c2-05595.0440</t>
  </si>
  <si>
    <t>Cape Coral Unit 87 Blk 5752 Pb 24 Pg 68 Lots 31 + 32</t>
  </si>
  <si>
    <t xml:space="preserve">10161 Shadowood Ct  Fort Myers, FL 33905 </t>
  </si>
  <si>
    <t>32-43-24-c4-02225.0100</t>
  </si>
  <si>
    <t>03-44-26-01-00002.0020</t>
  </si>
  <si>
    <t>03-44-26-03-00014.0010</t>
  </si>
  <si>
    <t>Simonet</t>
  </si>
  <si>
    <t>Shehata</t>
  </si>
  <si>
    <t>Scott &amp; Heather Jovanelli</t>
  </si>
  <si>
    <t xml:space="preserve">85 Union Ave  Maplewood, NJ 07040-1417 </t>
  </si>
  <si>
    <t xml:space="preserve">801 Parkridge Rd  Ocean City, NJ 08226-3626 </t>
  </si>
  <si>
    <t>Jozef &amp; Anilyn Barlok</t>
  </si>
  <si>
    <t xml:space="preserve">44 W Hartsdale Ave  Hartsdale, NY 10530-2312 </t>
  </si>
  <si>
    <t>94539-8028</t>
  </si>
  <si>
    <t>Lost Pine</t>
  </si>
  <si>
    <t>Fortner</t>
  </si>
  <si>
    <t>Meadowood</t>
  </si>
  <si>
    <t xml:space="preserve">633 N 10th St  Allentown, PA 18102-2209 </t>
  </si>
  <si>
    <t xml:space="preserve">79 Dublin Rd </t>
  </si>
  <si>
    <t>Reuter</t>
  </si>
  <si>
    <t xml:space="preserve">215 Miller St </t>
  </si>
  <si>
    <t>Moscoso</t>
  </si>
  <si>
    <t>Karima</t>
  </si>
  <si>
    <t>84116-3467</t>
  </si>
  <si>
    <t>Cape Coral Unit 88 Blk 5796 Pb 24 Pg 131 Lots 18 + 19</t>
  </si>
  <si>
    <t>James &amp; Susan Kuenner</t>
  </si>
  <si>
    <t>44124-3222</t>
  </si>
  <si>
    <t xml:space="preserve">1301 NE 34th Ln </t>
  </si>
  <si>
    <t>David &amp; Suzanne Mcgregor</t>
  </si>
  <si>
    <t>01-44-23-c4-02416.0130</t>
  </si>
  <si>
    <t>33909-2017</t>
  </si>
  <si>
    <t xml:space="preserve">4717 Roadrunner Rd </t>
  </si>
  <si>
    <t>SITUS ZIP+4</t>
  </si>
  <si>
    <t xml:space="preserve">16789 Peterson Ridge Rd </t>
  </si>
  <si>
    <t xml:space="preserve">10932 Wood Run Dr  Zeeland, MI 49464-8742 </t>
  </si>
  <si>
    <t>David &amp; Beverly Berry</t>
  </si>
  <si>
    <t>Seagull</t>
  </si>
  <si>
    <t>Dalila</t>
  </si>
  <si>
    <t xml:space="preserve">18500 County Rd 46 </t>
  </si>
  <si>
    <t>Pinto</t>
  </si>
  <si>
    <t>Preciosa Lavarro &amp; Cris Castrence</t>
  </si>
  <si>
    <t xml:space="preserve">3633 Lufberry Ave  Wantagh, NY 11793-3030 </t>
  </si>
  <si>
    <t>Pinegarden</t>
  </si>
  <si>
    <t>53149-8768</t>
  </si>
  <si>
    <t>17-43-24-c1-05827.0320</t>
  </si>
  <si>
    <t>Beg 50 Ft S + 25 Ft E Of Nw Cor Nw 1/4 Of Sw 1/4 Of Nw 1/4 Th E 195 Ft S 82 Ft Aka Lts 1 + 2 Golden Lake Subd Unrec</t>
  </si>
  <si>
    <t xml:space="preserve">2313 NE 39th St </t>
  </si>
  <si>
    <t>Solon Phillips</t>
  </si>
  <si>
    <t>07-44-24-c3-01482.0250</t>
  </si>
  <si>
    <t>33909-9203</t>
  </si>
  <si>
    <t xml:space="preserve">2400 Anton Dr  Forney, TX 75126-2449 </t>
  </si>
  <si>
    <t>12-44-23-c2-02397.0030</t>
  </si>
  <si>
    <t>Carolyn</t>
  </si>
  <si>
    <t>33173-2939</t>
  </si>
  <si>
    <t>Frances</t>
  </si>
  <si>
    <t>Reimers</t>
  </si>
  <si>
    <t>Tfc-2</t>
  </si>
  <si>
    <t>Rajah</t>
  </si>
  <si>
    <t>33905-2616</t>
  </si>
  <si>
    <t xml:space="preserve">1621 Edith Esplanade  Cape Coral, FL 33904 </t>
  </si>
  <si>
    <t>Birch Bark</t>
  </si>
  <si>
    <t xml:space="preserve">1421 River Edge Dr </t>
  </si>
  <si>
    <t xml:space="preserve">17229 Baraga Plains Rd  Baraga, MI 49908-9157 </t>
  </si>
  <si>
    <t>Emary</t>
  </si>
  <si>
    <t>Duron</t>
  </si>
  <si>
    <t>25-43-23-c2-02333.0430</t>
  </si>
  <si>
    <t xml:space="preserve">311 Lincoln St  Carlstadt, NJ 07072-1122 </t>
  </si>
  <si>
    <t xml:space="preserve">616 Yorkshire Dr  Edgewood, MD 21040-2220 </t>
  </si>
  <si>
    <t xml:space="preserve">6931 E Presidio Rd  Scottsdale, AZ 85254-4027 </t>
  </si>
  <si>
    <t>53147-3667</t>
  </si>
  <si>
    <t>19-43-24-c3-05611.0160</t>
  </si>
  <si>
    <t>13-45-23-c1-00098.0580</t>
  </si>
  <si>
    <t xml:space="preserve">3703 SE 11th Ave  Cape Coral, FL 33904 </t>
  </si>
  <si>
    <t>Cape Coral Unit 26 Blk 914 Pb 14 Pg 134 Lots 46 + 47</t>
  </si>
  <si>
    <t>33909-6148</t>
  </si>
  <si>
    <t xml:space="preserve">4319 Gypsy Ct  Alexandria, VA 22310-1450 </t>
  </si>
  <si>
    <t>34101-9768</t>
  </si>
  <si>
    <t>14a</t>
  </si>
  <si>
    <t xml:space="preserve">Po Box 502 </t>
  </si>
  <si>
    <t>Wexford</t>
  </si>
  <si>
    <t xml:space="preserve">150 Wellington Rd  Mineola, NY 11501-2331 </t>
  </si>
  <si>
    <t>33909-8829</t>
  </si>
  <si>
    <t>11783-1002</t>
  </si>
  <si>
    <t>20-43-24-c3-05672.0370</t>
  </si>
  <si>
    <t>For Ruby A Stewart Trust</t>
  </si>
  <si>
    <t>13-45-23-c4-00125.0490</t>
  </si>
  <si>
    <t>33909-2894</t>
  </si>
  <si>
    <t>33908-8283</t>
  </si>
  <si>
    <t xml:space="preserve">1030 NE 33rd Ter </t>
  </si>
  <si>
    <t>Cape Coral Unit 36 Blk 2307 Pb 16 Pg 123 Lots 33 + 34</t>
  </si>
  <si>
    <t xml:space="preserve">2516 Aviation Pkwy  Cape Coral, FL 33904 </t>
  </si>
  <si>
    <t>Hibbert-Masters</t>
  </si>
  <si>
    <t>Lehigh Acres E 1/2 Unit 13 Blk 70 Pb 26 Pg 17 Lot 19</t>
  </si>
  <si>
    <t xml:space="preserve">2703 NE 6th Ave </t>
  </si>
  <si>
    <t xml:space="preserve">3408 NE 21st Pl  Cape Coral, FL 33909 </t>
  </si>
  <si>
    <t xml:space="preserve">3836 Huntley St  Fort Myers, FL 33905 </t>
  </si>
  <si>
    <t>Remy</t>
  </si>
  <si>
    <t>25-43-23-c1-02348.0550</t>
  </si>
  <si>
    <t xml:space="preserve">488 County Road 4387  Decatur, TX 76234-7773 </t>
  </si>
  <si>
    <t>01520-1730</t>
  </si>
  <si>
    <t>Pickford</t>
  </si>
  <si>
    <t xml:space="preserve">16 Skyline Dr #804 </t>
  </si>
  <si>
    <t xml:space="preserve">Strassbuck 85134 Stammham Ge #2, Stammham, DE 85134 </t>
  </si>
  <si>
    <t xml:space="preserve">261 E Kingsbridge Rd N53 </t>
  </si>
  <si>
    <t xml:space="preserve">1632 NE 17th Ter </t>
  </si>
  <si>
    <t xml:space="preserve">2784 Digby Rd SE  Palm Bay, FL 32909-7632 </t>
  </si>
  <si>
    <t xml:space="preserve">2108 NE 14th Pl </t>
  </si>
  <si>
    <t xml:space="preserve">700 Hollywood Pl  West Palm Beach, FL 33405-1810 </t>
  </si>
  <si>
    <t xml:space="preserve">302 NE 25th St </t>
  </si>
  <si>
    <t xml:space="preserve">17322 Whetmore Ln  Huntington Beach, CA 92647-5600 </t>
  </si>
  <si>
    <t>Ridgebrook</t>
  </si>
  <si>
    <t xml:space="preserve">10070 Stonewood Dr  Fort Myers, FL 33905 </t>
  </si>
  <si>
    <t xml:space="preserve">5192 Cypress Trail Resort Cir  Fort Myers, FL 33905 </t>
  </si>
  <si>
    <t xml:space="preserve">36 Longview Rd </t>
  </si>
  <si>
    <t>Martin &amp; Daniel Burjan</t>
  </si>
  <si>
    <t>06-45-24-c1-00428.0040</t>
  </si>
  <si>
    <t xml:space="preserve">61 Driftwood Dr </t>
  </si>
  <si>
    <t xml:space="preserve">2219 NE 17th Ave  Cape Coral, FL 33909 </t>
  </si>
  <si>
    <t>Steven &amp; Denise Depper</t>
  </si>
  <si>
    <t>36-43-23-c2-02537.0440</t>
  </si>
  <si>
    <t>Hale</t>
  </si>
  <si>
    <t xml:space="preserve">19308 NE 9th Pl  Miami, FL 33179-1376 </t>
  </si>
  <si>
    <t>11414-3705</t>
  </si>
  <si>
    <t xml:space="preserve">1906 NE 5th Ct </t>
  </si>
  <si>
    <t>Cape Coral Unit 31 Blk 2068 Pb 14 Pg 163 Lots 43 + 44</t>
  </si>
  <si>
    <t>Hodge Alveno</t>
  </si>
  <si>
    <t>Cape Coral Unit 87 Blk.5707 Pb 24 Pg 71 Lots 20 + 21</t>
  </si>
  <si>
    <t xml:space="preserve">10014 Rambelwood Ct </t>
  </si>
  <si>
    <t xml:space="preserve">3114 SE 19th Ave </t>
  </si>
  <si>
    <t xml:space="preserve">2797 Halifax Ct </t>
  </si>
  <si>
    <t>03-44-26-14-00083.0030</t>
  </si>
  <si>
    <t xml:space="preserve">462 Mahogany Rd  Flora, IL 62839-3801 </t>
  </si>
  <si>
    <t>Jo</t>
  </si>
  <si>
    <t xml:space="preserve">8855 SW 1st Pl  Coral Springs, FL 33071-7525 </t>
  </si>
  <si>
    <t>Cape Coral Unit 33 Blk.2263 Pb 16 Pg 59 Lots 7 + 8</t>
  </si>
  <si>
    <t>Palmona Park Unit 1 Blk 39 Pb 7 Pg 54 Lots 18 Thru 20 Incl</t>
  </si>
  <si>
    <t>48304-2802</t>
  </si>
  <si>
    <t>Cape Coral Unit 36 Blk 2540 Pb 16 Pg 115 Lots 24 + 25</t>
  </si>
  <si>
    <t xml:space="preserve">1408 NE 37th St </t>
  </si>
  <si>
    <t xml:space="preserve">2126 Andalusia Blvd  Cape Coral, FL 33909 </t>
  </si>
  <si>
    <t xml:space="preserve">PO Box 270903  Fort Collins, CO 80527 </t>
  </si>
  <si>
    <t xml:space="preserve">12328 Medford Rd  Philadelphia, PA 19154-1925 </t>
  </si>
  <si>
    <t>33909-7317</t>
  </si>
  <si>
    <t xml:space="preserve">1128 Laurel Dr </t>
  </si>
  <si>
    <t>Husein</t>
  </si>
  <si>
    <t>Long Ridge</t>
  </si>
  <si>
    <t xml:space="preserve">13881 45th Ln NE  Saint Michael, MN 55376-3501 </t>
  </si>
  <si>
    <t>David Baughan</t>
  </si>
  <si>
    <t xml:space="preserve">3445 Mcdaniel St  Dupont, WA 98327-7759 </t>
  </si>
  <si>
    <t>07640-1904</t>
  </si>
  <si>
    <t>19-43-24-c2-05593.0350</t>
  </si>
  <si>
    <t>22310-1450</t>
  </si>
  <si>
    <t>Cape Coral Unit 33 Blk 2197 Pb 16 Pg 46 Lots 18 + 19</t>
  </si>
  <si>
    <t>Cape Coral Unit 31 Blk 2076 Pb 14 Pg 161 Lots 73 + 74</t>
  </si>
  <si>
    <t>33909-5410</t>
  </si>
  <si>
    <t xml:space="preserve">12045 Island Lake Dr  Park Rapids, MN 56470-4641 </t>
  </si>
  <si>
    <t xml:space="preserve">1400 SW 82nd Ave #42 </t>
  </si>
  <si>
    <t xml:space="preserve">332 NE 19th Ter  Cape Coral, FL 33909 </t>
  </si>
  <si>
    <t xml:space="preserve">6018 Juliet Ave </t>
  </si>
  <si>
    <t>34105-5087</t>
  </si>
  <si>
    <t>29-43-24-c3-02280.0270</t>
  </si>
  <si>
    <t>Cape Coral Unit 32 Blk 2119 Pb 16 Pg 4 Lots 27 Thru 29</t>
  </si>
  <si>
    <t>Gaedechensweg</t>
  </si>
  <si>
    <t xml:space="preserve">315 NE 23rd Ter  Cape Coral, FL 33909 </t>
  </si>
  <si>
    <t>25-43-23-c4-02354.0390</t>
  </si>
  <si>
    <t xml:space="preserve">1799 W Hewett Rd </t>
  </si>
  <si>
    <t xml:space="preserve">3524 SE 10th Pl </t>
  </si>
  <si>
    <t>Sebastion</t>
  </si>
  <si>
    <t>77064-5185</t>
  </si>
  <si>
    <t xml:space="preserve">1201 Rush St  South Plainfield, NJ 07080-2014 </t>
  </si>
  <si>
    <t xml:space="preserve">2209 NE 10th Pl  Cape Coral, FL 33909 </t>
  </si>
  <si>
    <t>Revocable &amp; Alfred Caldarone</t>
  </si>
  <si>
    <t>66102-1926</t>
  </si>
  <si>
    <t>176th</t>
  </si>
  <si>
    <t>Caldwell</t>
  </si>
  <si>
    <t>07644-3240</t>
  </si>
  <si>
    <t xml:space="preserve">504 NE 16th Pl  Cape Coral, FL 33909 </t>
  </si>
  <si>
    <t>Ducktan</t>
  </si>
  <si>
    <t>Terry Acker</t>
  </si>
  <si>
    <t xml:space="preserve">1223 NE 19th Pl </t>
  </si>
  <si>
    <t xml:space="preserve">3434 NE 9th Pl </t>
  </si>
  <si>
    <t>31-43-24-c3-02120.0250</t>
  </si>
  <si>
    <t>Jaquelin</t>
  </si>
  <si>
    <t>Walter &amp; Elfriede Poechmann</t>
  </si>
  <si>
    <t>For Rudolph &amp; Denise Myrie Trust</t>
  </si>
  <si>
    <t>33031-1058</t>
  </si>
  <si>
    <t xml:space="preserve">2924 NE 6th Pl  Cape Coral, FL 33909 </t>
  </si>
  <si>
    <t>Tp Pine Island Park As Desc In Instrument 2022000165330 Row</t>
  </si>
  <si>
    <t>Malcolm</t>
  </si>
  <si>
    <t xml:space="preserve">2218 NE 20th Ave </t>
  </si>
  <si>
    <t>Crownsville</t>
  </si>
  <si>
    <t xml:space="preserve">6882 Ashburn Rd </t>
  </si>
  <si>
    <t>Cape Coral Ut 84 Blk 5595 Pb 24 Pg 44 Lots 38 + 39</t>
  </si>
  <si>
    <t>Cape Coral Unit 33 Blk 2232 Pb 16 Pg 53 Lots 11 + 12</t>
  </si>
  <si>
    <t xml:space="preserve">5536 Bong Dr </t>
  </si>
  <si>
    <t>Cape Coral Unit 36 Pt 1 Blk 2504 Pb 23 Pg 93 Lots 35 + 36</t>
  </si>
  <si>
    <t xml:space="preserve">3020 SE 8th Pl </t>
  </si>
  <si>
    <t>19-43-24-c2-05594.0150</t>
  </si>
  <si>
    <t xml:space="preserve">1311 Diplomat Pkwy E </t>
  </si>
  <si>
    <t>07011-4211</t>
  </si>
  <si>
    <t>32-43-24-c1-02284.0760</t>
  </si>
  <si>
    <t>Mangar</t>
  </si>
  <si>
    <t>Janet Gorris &amp; Susan Acs</t>
  </si>
  <si>
    <t>33909-3039</t>
  </si>
  <si>
    <t>Lavendelweg</t>
  </si>
  <si>
    <t xml:space="preserve">16151 Mission Glen Dr </t>
  </si>
  <si>
    <t xml:space="preserve">303 Long St </t>
  </si>
  <si>
    <t>Solitude</t>
  </si>
  <si>
    <t xml:space="preserve">2109 Johnson Rd </t>
  </si>
  <si>
    <t xml:space="preserve">1610 NE 3rd Ave  Cape Coral, FL 33909 </t>
  </si>
  <si>
    <t>Yimnel &amp; Belia Rodriguez</t>
  </si>
  <si>
    <t xml:space="preserve">14090 Cherrydale St </t>
  </si>
  <si>
    <t xml:space="preserve">6885 Cadet Ave </t>
  </si>
  <si>
    <t>Cape Coral Unit 47 Pt 2 Blk 3526 Pb 23 Pg 122 Lots 11 + 12</t>
  </si>
  <si>
    <t>Vidalia</t>
  </si>
  <si>
    <t>Cape Coral Unit 88 Blk 5770 Pb 24 Pg 128 Lots 15 + 16</t>
  </si>
  <si>
    <t>Christopher Daivs</t>
  </si>
  <si>
    <t>33909-8878</t>
  </si>
  <si>
    <t xml:space="preserve">333 Pearl St 18h, New York, NY 10038-1654 </t>
  </si>
  <si>
    <t>Harmony Lake</t>
  </si>
  <si>
    <t>03-44-26-l4-00048.0220</t>
  </si>
  <si>
    <t>Morata</t>
  </si>
  <si>
    <t xml:space="preserve">2289 Maple Grove Rd  Bowmanville, ON L1c 6N1 </t>
  </si>
  <si>
    <t>20-43-24-c1-05646.0370</t>
  </si>
  <si>
    <t xml:space="preserve">10 Sandhage Dr  Pearl River, NY 10965-1628 </t>
  </si>
  <si>
    <t>Cypress Trail Rv Resort Phase 4-C Block A Lot 135 As Desc In Inst 2019000042424</t>
  </si>
  <si>
    <t>Scott &amp; Ashley Kowalski</t>
  </si>
  <si>
    <t xml:space="preserve">18 Ruhee Gdns </t>
  </si>
  <si>
    <t>Cape Coral Unit 31 Blk 2064 Pb 14 Pg 161 Lots 62 + 63</t>
  </si>
  <si>
    <t>Cape Coral Unit 36 Blk 2343 Pb 16 Pg 121 Lots 73 + 74</t>
  </si>
  <si>
    <t>32-43-24-c3-02186.0390</t>
  </si>
  <si>
    <t xml:space="preserve">5220 Cypress Trail Resort Cir  Fort Myers, FL 33905 </t>
  </si>
  <si>
    <t>32256-4530</t>
  </si>
  <si>
    <t>Tekla Kristbergs</t>
  </si>
  <si>
    <t>Huelck</t>
  </si>
  <si>
    <t>Rhone</t>
  </si>
  <si>
    <t>93140-4038</t>
  </si>
  <si>
    <t xml:space="preserve">8332 E Pearson </t>
  </si>
  <si>
    <t>Cape Coral Unit 85 Blk 5668 Pb 24 Pg 53 Lots 13 + 14</t>
  </si>
  <si>
    <t xml:space="preserve">15512 Aldama Cir </t>
  </si>
  <si>
    <t>Cape Coral Unit 26 Blk 922 Pb 14 Pg 136 Lots 15 + 16</t>
  </si>
  <si>
    <t xml:space="preserve">4265 Clayton Rd #322, Concord, CA 94521-2760 </t>
  </si>
  <si>
    <t xml:space="preserve">4024 NE 17th Ave </t>
  </si>
  <si>
    <t xml:space="preserve">196 Cedar St 2c, Cliffside Park, NJ 07010-1279 </t>
  </si>
  <si>
    <t xml:space="preserve">219 Sheridan Ave  Mount Vernon, NY 10552-1406 </t>
  </si>
  <si>
    <t>Rambelwood</t>
  </si>
  <si>
    <t xml:space="preserve">8748 W State Road 81 </t>
  </si>
  <si>
    <t>St. Petersburg</t>
  </si>
  <si>
    <t xml:space="preserve">708 Wesley Rd </t>
  </si>
  <si>
    <t xml:space="preserve">2308 NE 19th Pl </t>
  </si>
  <si>
    <t>29-43-24-c4-02281.0010</t>
  </si>
  <si>
    <t xml:space="preserve">2770 Inlet Cove Ln W  Naples, FL 34120-7543 </t>
  </si>
  <si>
    <t>Fresno</t>
  </si>
  <si>
    <t>Cape Coral Unit 32 Blk 2103 Pb 16 Pg 2 Lots 3 + 4</t>
  </si>
  <si>
    <t xml:space="preserve">150 Sunrise Ave </t>
  </si>
  <si>
    <t>Residence Le Pavillon</t>
  </si>
  <si>
    <t>08-44-23-c2-04003.0410</t>
  </si>
  <si>
    <t>Marvin &amp; Wanda Franklin</t>
  </si>
  <si>
    <t xml:space="preserve">125 Middleton Rd </t>
  </si>
  <si>
    <t>11-44-25-l1-12000.3740</t>
  </si>
  <si>
    <t xml:space="preserve">8731/8733 Buckingham Rd </t>
  </si>
  <si>
    <t>Cape Coral Unit 36 Pt 1 Blk 2501 Pb 23 Pg 93 Lots 23 + 24</t>
  </si>
  <si>
    <t xml:space="preserve">3904 NE 10th Pl </t>
  </si>
  <si>
    <t>Shepherd</t>
  </si>
  <si>
    <t xml:space="preserve">12721 Orange River Blvd </t>
  </si>
  <si>
    <t>For Mary Jane Padalino Trust</t>
  </si>
  <si>
    <t xml:space="preserve">400 NW 127th Ave  Plantation, FL 33325-2338 </t>
  </si>
  <si>
    <t>Hurt</t>
  </si>
  <si>
    <t>Glenda Beardsley</t>
  </si>
  <si>
    <t xml:space="preserve">5225 Pineland Daisy Trl </t>
  </si>
  <si>
    <t xml:space="preserve">6946 Carrington Cir E </t>
  </si>
  <si>
    <t xml:space="preserve">1573 NE 131st Rd  North Miami, FL 33161-4429 </t>
  </si>
  <si>
    <t>Richard &amp; Arlene Torres</t>
  </si>
  <si>
    <t xml:space="preserve">10 Fichtestrasse </t>
  </si>
  <si>
    <t>Lumpkin</t>
  </si>
  <si>
    <t xml:space="preserve">1015 NE 37th Ter </t>
  </si>
  <si>
    <t>98404-1209</t>
  </si>
  <si>
    <t>Cape Coral Unit 47 Part 2 Blk 3519 Pb 23 Pg 125 Lots 16 + 17</t>
  </si>
  <si>
    <t>Yoon</t>
  </si>
  <si>
    <t xml:space="preserve">1814 NE 4th Pl  Cape Coral, FL 33909 </t>
  </si>
  <si>
    <t>Bruce &amp; Carolyn Graham</t>
  </si>
  <si>
    <t>Clairiere De La Mardelle</t>
  </si>
  <si>
    <t xml:space="preserve">1214 NE 6th Pl </t>
  </si>
  <si>
    <t>31-43-24-c3-02203.0390</t>
  </si>
  <si>
    <t>11228-2313</t>
  </si>
  <si>
    <t xml:space="preserve">2815 SE 15th Pl  Cape Coral, FL 33904 </t>
  </si>
  <si>
    <t xml:space="preserve">2318 Lazy River Ln  Fort Myers, FL 33905 </t>
  </si>
  <si>
    <t>33909-4208</t>
  </si>
  <si>
    <t>20-43-24-c1-05647.0170</t>
  </si>
  <si>
    <t xml:space="preserve">26 Ash St </t>
  </si>
  <si>
    <t xml:space="preserve">7611 23e Av  Montreal, QC H2a 2G1 </t>
  </si>
  <si>
    <t xml:space="preserve">1414 NE 1st Pl  Cape Coral, FL 33909 </t>
  </si>
  <si>
    <t>Moura</t>
  </si>
  <si>
    <t xml:space="preserve">200 N 67th Ave </t>
  </si>
  <si>
    <t>Cape Coral Unit 32 Blk 2114 Pb 16 Pg 6 Lots 34 + 35</t>
  </si>
  <si>
    <t>33909-2301</t>
  </si>
  <si>
    <t>Gustav Zimmermann</t>
  </si>
  <si>
    <t xml:space="preserve">332 Jacaranda Pkwy E </t>
  </si>
  <si>
    <t>Walent</t>
  </si>
  <si>
    <t xml:space="preserve">5140 Cypress Trail Resort Cir </t>
  </si>
  <si>
    <t xml:space="preserve">1916 NE 1st Pl </t>
  </si>
  <si>
    <t>19403-1739</t>
  </si>
  <si>
    <t>R0L 0X0</t>
  </si>
  <si>
    <t>Stout</t>
  </si>
  <si>
    <t>Brittany</t>
  </si>
  <si>
    <t xml:space="preserve">14070 Carlos St  Fort Myers, FL 33905 </t>
  </si>
  <si>
    <t>Waldemar</t>
  </si>
  <si>
    <t xml:space="preserve">1217 NE 23rd Ter  Cape Coral, FL 33909 </t>
  </si>
  <si>
    <t>12-44-23-c2-02384.0600</t>
  </si>
  <si>
    <t xml:space="preserve">3524 NE 18th Ave  Cape Coral, FL 33909 </t>
  </si>
  <si>
    <t xml:space="preserve">4320 NE 9th Ct </t>
  </si>
  <si>
    <t>Trujillo</t>
  </si>
  <si>
    <t>Cape Coral Unit 32 Blk.2137 Pb 16 Pg 13 Lots 15 + 16</t>
  </si>
  <si>
    <t>Cypress Trail Rv Resort Phase 4-C Block B Lot 436 As Desc In Inst 2019000042424</t>
  </si>
  <si>
    <t>33243-2565</t>
  </si>
  <si>
    <t xml:space="preserve">4 Rice St  Plainview, NY 11803-5108 </t>
  </si>
  <si>
    <t xml:space="preserve">2173 NW 141st Ave </t>
  </si>
  <si>
    <t>11369-1512</t>
  </si>
  <si>
    <t>33909-1927</t>
  </si>
  <si>
    <t xml:space="preserve">29226 Avenida Avila </t>
  </si>
  <si>
    <t>Cypress Trail Rv Resort Phase 2-B As Desc In Inst# 2015000013050 Lot 358</t>
  </si>
  <si>
    <t>Walraf</t>
  </si>
  <si>
    <t>Ridgepark</t>
  </si>
  <si>
    <t xml:space="preserve">1000 5th Ave </t>
  </si>
  <si>
    <t>County Road 800</t>
  </si>
  <si>
    <t>44132-2136</t>
  </si>
  <si>
    <t>31-43-24-c4-02143.0420</t>
  </si>
  <si>
    <t>Ruby Hill</t>
  </si>
  <si>
    <t>29577-5309</t>
  </si>
  <si>
    <t>1405 ne 16th place cape coral land trust</t>
  </si>
  <si>
    <t>36-43-23-c2-02535.0100</t>
  </si>
  <si>
    <t>Daniel &amp; Andrew Coletti</t>
  </si>
  <si>
    <t>Groll</t>
  </si>
  <si>
    <t>Clarke</t>
  </si>
  <si>
    <t>68034-5018</t>
  </si>
  <si>
    <t>94596-7331</t>
  </si>
  <si>
    <t>Cape Coral Unit 35 Blk 2411 Pb 16 Pg 110 Lots 69 + 70</t>
  </si>
  <si>
    <t>Lorik</t>
  </si>
  <si>
    <t xml:space="preserve">2024 NE 6th Ave </t>
  </si>
  <si>
    <t>William &amp; Beverly Driscoll</t>
  </si>
  <si>
    <t>33909-6143</t>
  </si>
  <si>
    <t xml:space="preserve">2459 Augusta Way  Kissimmee, FL 34746-3577 </t>
  </si>
  <si>
    <t>Pradeep</t>
  </si>
  <si>
    <t>Verissimo &amp; Anabela Lucas</t>
  </si>
  <si>
    <t>Viola Gritzman &amp; Michael Bachta</t>
  </si>
  <si>
    <t>33904-7915</t>
  </si>
  <si>
    <t xml:space="preserve">1227 NE 19th Ter  Cape Coral, FL 33909 </t>
  </si>
  <si>
    <t>Johanne</t>
  </si>
  <si>
    <t>Schulaks</t>
  </si>
  <si>
    <t xml:space="preserve">3909 E Gator Cir  Cape Coral, FL 33909 </t>
  </si>
  <si>
    <t>18-45-24-c4-00011.0480</t>
  </si>
  <si>
    <t xml:space="preserve">21380 SW 240th St  Homestead, FL 33031-1058 </t>
  </si>
  <si>
    <t>James Rolle</t>
  </si>
  <si>
    <t>6d</t>
  </si>
  <si>
    <t xml:space="preserve">1432 NE 33rd St  Cape Coral, FL 33909 </t>
  </si>
  <si>
    <t>46923-8865</t>
  </si>
  <si>
    <t xml:space="preserve">1385 Hyde Park Dr </t>
  </si>
  <si>
    <t>06-44-24-c4-02046.0570</t>
  </si>
  <si>
    <t>33909-1470</t>
  </si>
  <si>
    <t xml:space="preserve">920 NE 11th Ave </t>
  </si>
  <si>
    <t>Surfwood</t>
  </si>
  <si>
    <t xml:space="preserve">940 E Kingsbury St  Springfield, MO 65807-2031 </t>
  </si>
  <si>
    <t xml:space="preserve">3711 Kelsey St  Fort Myers, FL 33905 </t>
  </si>
  <si>
    <t>Melanie Wuennerlein &amp; Stephan Ullmann</t>
  </si>
  <si>
    <t>52073-9492</t>
  </si>
  <si>
    <t>Cape Coral Unit 84 Blk 5624 Pb 24 Pg 33 Lots 19 + 20</t>
  </si>
  <si>
    <t xml:space="preserve">2726 NE 3rd Ave </t>
  </si>
  <si>
    <t xml:space="preserve">5222 Marsh Mallow Trl  Fort Myers, FL 33905 </t>
  </si>
  <si>
    <t>19-43-24-c2-05591.0010</t>
  </si>
  <si>
    <t>Cape Coral Unit 19 Blk.1224 Pb 13 Pg 128 Lot 12 + 13</t>
  </si>
  <si>
    <t xml:space="preserve">Po Box 9596 </t>
  </si>
  <si>
    <t>Knut</t>
  </si>
  <si>
    <t>Michael &amp; For Jablonski</t>
  </si>
  <si>
    <t xml:space="preserve">268 Glen Eagle Cir </t>
  </si>
  <si>
    <t xml:space="preserve">2301 NE 35th Ter  Cape Coral, FL 33909 </t>
  </si>
  <si>
    <t xml:space="preserve">3208 Ashley St  Kingsport, TN 37664-3403 </t>
  </si>
  <si>
    <t xml:space="preserve">5136 Cypress Trail Resort Cir </t>
  </si>
  <si>
    <t xml:space="preserve">6011 Thrush Ave  Fort Myers, FL 33905 </t>
  </si>
  <si>
    <t>Westover</t>
  </si>
  <si>
    <t>08-44-24-c1-01532.0380</t>
  </si>
  <si>
    <t xml:space="preserve">4015 NE 19th Ave </t>
  </si>
  <si>
    <t>27937-9591</t>
  </si>
  <si>
    <t>George Cortes</t>
  </si>
  <si>
    <t>36-43-23-c2-02543.0270</t>
  </si>
  <si>
    <t xml:space="preserve">101 S Franklin Ave </t>
  </si>
  <si>
    <t>65203-6053</t>
  </si>
  <si>
    <t>Cape Coral Unit 87 Blk.5683 Pb 24 Pg 74 Lots 1 + 2</t>
  </si>
  <si>
    <t>Severna Park</t>
  </si>
  <si>
    <t>Cape Coral Unit 88 Blk 5796 Pb 24 Pg 131 Lots 16 + 17</t>
  </si>
  <si>
    <t xml:space="preserve">1712 NE 7th Pl </t>
  </si>
  <si>
    <t>Du Domaine-De-L'escapade</t>
  </si>
  <si>
    <t>22192-4502</t>
  </si>
  <si>
    <t xml:space="preserve">915 NE 23rd St  Cape Coral, FL 33909 </t>
  </si>
  <si>
    <t>Dishowitz</t>
  </si>
  <si>
    <t>Capr Coral Unit 84 Blk 5556 Pb 24 Pg 31 Lots 27 + 28</t>
  </si>
  <si>
    <t>Candelario</t>
  </si>
  <si>
    <t>Rue Du Docteur</t>
  </si>
  <si>
    <t>60639-1609</t>
  </si>
  <si>
    <t>33904-4011</t>
  </si>
  <si>
    <t xml:space="preserve">1002 Plaza Pl </t>
  </si>
  <si>
    <t xml:space="preserve">216 Hallingstuene  Gorham, NH 03581 </t>
  </si>
  <si>
    <t>B061</t>
  </si>
  <si>
    <t>Hasan</t>
  </si>
  <si>
    <t>Maria Quintero</t>
  </si>
  <si>
    <t>For Bellatrix Trust</t>
  </si>
  <si>
    <t>Paez</t>
  </si>
  <si>
    <t>Pompton Lakes</t>
  </si>
  <si>
    <t xml:space="preserve">351 NE 25th St  Cape Coral, FL 33909 </t>
  </si>
  <si>
    <t>Knowles</t>
  </si>
  <si>
    <t>33905-7715</t>
  </si>
  <si>
    <t>Hawthorne</t>
  </si>
  <si>
    <t>62536-6636</t>
  </si>
  <si>
    <t>MS</t>
  </si>
  <si>
    <t>17-43-24-c3-05797.0650</t>
  </si>
  <si>
    <t>Lehigh Acres Unit 13 E 1/2 Blk 71 Pb 26 Pg 17 Lot 16</t>
  </si>
  <si>
    <t xml:space="preserve">1143 NE 2nd Pl  Cape Coral, FL 33909 </t>
  </si>
  <si>
    <t>29-43-24-c3-02287.0640</t>
  </si>
  <si>
    <t xml:space="preserve">2224 NE 39th Ter  Cape Coral, FL 33909 </t>
  </si>
  <si>
    <t>31-43-24-c1-02147.0350</t>
  </si>
  <si>
    <t>31-43-24-c4-02108.0030</t>
  </si>
  <si>
    <t>Thomas Fahy</t>
  </si>
  <si>
    <t xml:space="preserve">6037 Joplin Ave </t>
  </si>
  <si>
    <t xml:space="preserve">1840 Woodward Ave </t>
  </si>
  <si>
    <t>Yaron</t>
  </si>
  <si>
    <t>Edsel</t>
  </si>
  <si>
    <t>Ricardo Gil</t>
  </si>
  <si>
    <t>Fig</t>
  </si>
  <si>
    <t>18-43-24-c4-05706.0030</t>
  </si>
  <si>
    <t>33594-3021</t>
  </si>
  <si>
    <t>Cape Coral Unit 34 Blk 2465 Pb 16 Pg 85 Lots 5 Thru 7</t>
  </si>
  <si>
    <t xml:space="preserve">4010 NE 22nd Pl  Cape Coral, FL 33909 </t>
  </si>
  <si>
    <t>07047-3820</t>
  </si>
  <si>
    <t xml:space="preserve">13414 230th St  Laurelton, NY 11413-2526 </t>
  </si>
  <si>
    <t xml:space="preserve">1701 Tennessee Ave </t>
  </si>
  <si>
    <t>Cary Love Ira</t>
  </si>
  <si>
    <t>Moseley</t>
  </si>
  <si>
    <t>Sergio Zeligman</t>
  </si>
  <si>
    <t xml:space="preserve">19681 Summerlin Rd #514 </t>
  </si>
  <si>
    <t>Nr 1</t>
  </si>
  <si>
    <t>33909-4546</t>
  </si>
  <si>
    <t xml:space="preserve">3825 Highlight St  Fort Myers, FL 33905 </t>
  </si>
  <si>
    <t>33129-1008</t>
  </si>
  <si>
    <t>33908-3523</t>
  </si>
  <si>
    <t>Carmela</t>
  </si>
  <si>
    <t>WV</t>
  </si>
  <si>
    <t>32948-6833</t>
  </si>
  <si>
    <t>Perkasie</t>
  </si>
  <si>
    <t>Rm-16</t>
  </si>
  <si>
    <t xml:space="preserve">275 Ocean Ave #11 </t>
  </si>
  <si>
    <t>R051</t>
  </si>
  <si>
    <t>Weeping Willow</t>
  </si>
  <si>
    <t>Nga</t>
  </si>
  <si>
    <t>01844-3734</t>
  </si>
  <si>
    <t xml:space="preserve">1143 NE 2nd Pl </t>
  </si>
  <si>
    <t xml:space="preserve">2413 Hunters Chase Ct </t>
  </si>
  <si>
    <t>Elsayed</t>
  </si>
  <si>
    <t xml:space="preserve">560 Montego Dr  Elk Grove Village, IL 60007-3469 </t>
  </si>
  <si>
    <t>23518-2025</t>
  </si>
  <si>
    <t xml:space="preserve">5262 Cypress Trail Resort Cir </t>
  </si>
  <si>
    <t xml:space="preserve">13046 SW 150th Ter </t>
  </si>
  <si>
    <t>02-44-24-04-00004.0000</t>
  </si>
  <si>
    <t>Alias</t>
  </si>
  <si>
    <t>Graves</t>
  </si>
  <si>
    <t xml:space="preserve">2111 NE 6th Ave </t>
  </si>
  <si>
    <t xml:space="preserve">856 NE 7th Pl  Cape Coral, FL 33909 </t>
  </si>
  <si>
    <t>Menlo Park</t>
  </si>
  <si>
    <t xml:space="preserve">232 Tropicana Pkwy E </t>
  </si>
  <si>
    <t>Jose &amp; Magaly Asencio</t>
  </si>
  <si>
    <t xml:space="preserve">1412 Powell Ave </t>
  </si>
  <si>
    <t xml:space="preserve">39332 Wilford St  Fremont, CA 94538-1253 </t>
  </si>
  <si>
    <t>Jewel</t>
  </si>
  <si>
    <t>Hunns Lake</t>
  </si>
  <si>
    <t>18-43-24-c1-05687.0290</t>
  </si>
  <si>
    <t>Andover</t>
  </si>
  <si>
    <t>P3A 3T1</t>
  </si>
  <si>
    <t xml:space="preserve">1366 Montrose Tpke  Owego, NY 13827-6126 </t>
  </si>
  <si>
    <t>Cherry Hill</t>
  </si>
  <si>
    <t xml:space="preserve">460 Abound Cres  Peterborough, ON K9j 8S3 </t>
  </si>
  <si>
    <t xml:space="preserve">1116 NE 15th Ln  Cape Coral, FL 33909 </t>
  </si>
  <si>
    <t>30004-4345</t>
  </si>
  <si>
    <t>20-44-26-05-00025.0100</t>
  </si>
  <si>
    <t xml:space="preserve">1300 N 70th Ter </t>
  </si>
  <si>
    <t>36-44-23-c4-00861.0270</t>
  </si>
  <si>
    <t>Berkley</t>
  </si>
  <si>
    <t>Dror</t>
  </si>
  <si>
    <t xml:space="preserve">6111 Holt Ct </t>
  </si>
  <si>
    <t xml:space="preserve">2218 NE 34th Ter </t>
  </si>
  <si>
    <t>Morgen</t>
  </si>
  <si>
    <t xml:space="preserve">22 Manning Rd  Lynn, MA 01902-1030 </t>
  </si>
  <si>
    <t>06905-3107</t>
  </si>
  <si>
    <t xml:space="preserve">5 Golini Dr </t>
  </si>
  <si>
    <t>32940-8604</t>
  </si>
  <si>
    <t>31-43-24-c3-02140.0340</t>
  </si>
  <si>
    <t xml:space="preserve">329 NE 30th Ter  Cape Coral, FL 33909 </t>
  </si>
  <si>
    <t>Cape Coral Unit 32 Blk 2148 Pb 16 Pg 12 Lots 38 + 39</t>
  </si>
  <si>
    <t>33436-7320</t>
  </si>
  <si>
    <t xml:space="preserve">162 Pilgrim Dr  Sewickley, PA 15143-8709 </t>
  </si>
  <si>
    <t>Palm River-Clair Mel</t>
  </si>
  <si>
    <t>32686-2670</t>
  </si>
  <si>
    <t>Cape Coral Unit 19 Blk.1228 Pb 13 Pg 127 Lots 5 + 6</t>
  </si>
  <si>
    <t>Crescent Nickolloff</t>
  </si>
  <si>
    <t xml:space="preserve">46 Hashahaf St  Hadera O, IL 38523 </t>
  </si>
  <si>
    <t>03-44-26-08-00037.0120</t>
  </si>
  <si>
    <t xml:space="preserve">2783 Eagle Lake Dr  Clermont, FL 34711-6263 </t>
  </si>
  <si>
    <t>Joshua</t>
  </si>
  <si>
    <t>Cape Coral Unit 31 Blk 2057 Pb 14 Pg 158 Lots 38 + 39</t>
  </si>
  <si>
    <t>56th</t>
  </si>
  <si>
    <t>33909-3323</t>
  </si>
  <si>
    <t xml:space="preserve">1722 NE 35th St  Cape Coral, FL 33909 </t>
  </si>
  <si>
    <t>Gale Cedres</t>
  </si>
  <si>
    <t>Cape Coral Unit 31 Blk 2068 Pb 14 Pg 163 Lots 41 + 42</t>
  </si>
  <si>
    <t xml:space="preserve">2731 NE 6th Pl  Cape Coral, FL 33909 </t>
  </si>
  <si>
    <t xml:space="preserve">9 Av Blanche Calvet  Castorland, NY 13620 </t>
  </si>
  <si>
    <t>Carolina</t>
  </si>
  <si>
    <t>Lake City</t>
  </si>
  <si>
    <t>Gustave</t>
  </si>
  <si>
    <t>33909-6481</t>
  </si>
  <si>
    <t xml:space="preserve">6138 Hughes Ave </t>
  </si>
  <si>
    <t>Omdat</t>
  </si>
  <si>
    <t>Falcongate</t>
  </si>
  <si>
    <t>Martin Jutras</t>
  </si>
  <si>
    <t xml:space="preserve">1926 NE 17th Ave  Cape Coral, FL 33909 </t>
  </si>
  <si>
    <t>Cape Coral Unit 85 Blk 5633 Pb 24 Pg 50 Lots 7 + 8</t>
  </si>
  <si>
    <t xml:space="preserve">1125 Webster Ln </t>
  </si>
  <si>
    <t>Robert &amp; Barbara Humphrey</t>
  </si>
  <si>
    <t>Chou</t>
  </si>
  <si>
    <t>Lyndhurst</t>
  </si>
  <si>
    <t>Lombardi</t>
  </si>
  <si>
    <t>Cape Coral Unit 36 Blk 2540 Pb 16 Pg 115 Lots 22 + 23</t>
  </si>
  <si>
    <t>Neri</t>
  </si>
  <si>
    <t>Paitan</t>
  </si>
  <si>
    <t xml:space="preserve">1608 NE 5th Pl  Cape Coral, FL 33909 </t>
  </si>
  <si>
    <t>Gladis</t>
  </si>
  <si>
    <t>Mabry &amp; Joan Whitney</t>
  </si>
  <si>
    <t>03-44-26-12-00062.0060</t>
  </si>
  <si>
    <t>Cape Coral Unit 88 Blk 5827 Pb 24 Pg 142 Lots 24 + 25</t>
  </si>
  <si>
    <t>40440-9400</t>
  </si>
  <si>
    <t xml:space="preserve">2608 NE 6th Pl </t>
  </si>
  <si>
    <t xml:space="preserve">2316 NE 33rd Ln </t>
  </si>
  <si>
    <t>Cape Coral Unit 33 Blk 2190 Pb 16 Pg 50 Lots 24 + 25</t>
  </si>
  <si>
    <t xml:space="preserve">3804 NE 9th Pl  Cape Coral, FL 33909 </t>
  </si>
  <si>
    <t>Cape Coral Unit 85 Blk 5671 Pb 24 Pg 52 Lots 27 + 28</t>
  </si>
  <si>
    <t xml:space="preserve">13431 Mini Way  Fort Myers, FL 33905 </t>
  </si>
  <si>
    <t>33184-2401</t>
  </si>
  <si>
    <t xml:space="preserve">4122 E Gator Cir </t>
  </si>
  <si>
    <t xml:space="preserve">23756 S Melissa Dr  Detroit Lakes, MN 56501-7268 </t>
  </si>
  <si>
    <t xml:space="preserve">2801 SE 18th Ct </t>
  </si>
  <si>
    <t>54601-5088</t>
  </si>
  <si>
    <t>Brandes</t>
  </si>
  <si>
    <t>Dominador</t>
  </si>
  <si>
    <t>Elizabeth &amp; Rudolph Kennedy</t>
  </si>
  <si>
    <t xml:space="preserve">322 E 40th St </t>
  </si>
  <si>
    <t>Compagna</t>
  </si>
  <si>
    <t>Yee</t>
  </si>
  <si>
    <t>Granada Mist</t>
  </si>
  <si>
    <t>PO Box 1248</t>
  </si>
  <si>
    <t xml:space="preserve">133 Anonas Ext  Springfield, MA 01101 </t>
  </si>
  <si>
    <t xml:space="preserve">5258 Cypress Trail Resort Cir </t>
  </si>
  <si>
    <t>11-44-25-05-0000c.0860</t>
  </si>
  <si>
    <t>Bryan</t>
  </si>
  <si>
    <t>84081-1938</t>
  </si>
  <si>
    <t xml:space="preserve">1520 NE 17th Ter  Cape Coral, FL 33909 </t>
  </si>
  <si>
    <t xml:space="preserve">2208 Isle Of Pines Ave  Fort Myers, FL 33905 </t>
  </si>
  <si>
    <t xml:space="preserve">10905 Old Bridgeport Ln </t>
  </si>
  <si>
    <t>Potolicchio</t>
  </si>
  <si>
    <t xml:space="preserve">160 Bell St  Belleville, NJ 07109-2824 </t>
  </si>
  <si>
    <t xml:space="preserve">13515 Scenic Glade Dr </t>
  </si>
  <si>
    <t>Quest Trust Company</t>
  </si>
  <si>
    <t>Nelson &amp; Kingdom Dupra</t>
  </si>
  <si>
    <t>Cape Coral Unit 33 Blk 2181 Pb 16 Pg 53 Lots 38 + 39</t>
  </si>
  <si>
    <t xml:space="preserve">6055 Tabor Ave </t>
  </si>
  <si>
    <t>Old Cutler</t>
  </si>
  <si>
    <t xml:space="preserve">1905 NE 1st Pl  Cape Coral, FL 33909 </t>
  </si>
  <si>
    <t xml:space="preserve">4524 Country Club Blvd </t>
  </si>
  <si>
    <t>Ketsia Cadillon</t>
  </si>
  <si>
    <t xml:space="preserve">4085 Lake Bosse View Dr  Orlando, FL 32810-1904 </t>
  </si>
  <si>
    <t>Cape Coral Unit 17 Blk 1535 Pb 14 Pg 31 Lots 69 + 70</t>
  </si>
  <si>
    <t xml:space="preserve">16197 SW 16th St  Pembroke Pines, FL 33027-5132 </t>
  </si>
  <si>
    <t>Rebekah Richards &amp; Estate American</t>
  </si>
  <si>
    <t>19-43-24-c1-05547.0190</t>
  </si>
  <si>
    <t>Cape Coral Unit 31 Blk 2064 Pb 14 Pg 165 Lots 10 + 11</t>
  </si>
  <si>
    <t>Cape Coral Unit 85 Blk 5650 Pb 24 Pg 57 Lots 17 + 18</t>
  </si>
  <si>
    <t>Barnthouse</t>
  </si>
  <si>
    <t xml:space="preserve">10244 Meadow Beauty Trl </t>
  </si>
  <si>
    <t xml:space="preserve">359 Neptune Ave B, Encinitas, CA 92024-2522 </t>
  </si>
  <si>
    <t>36-43-23-c1-02518.0260</t>
  </si>
  <si>
    <t>10-46-24-l4-16000.0100</t>
  </si>
  <si>
    <t>Camisa</t>
  </si>
  <si>
    <t>Christopher Rodriguez</t>
  </si>
  <si>
    <t>11-44-25-07-00000.1440</t>
  </si>
  <si>
    <t xml:space="preserve">6013 Thorpe Ave  Fort Myers, FL 33905 </t>
  </si>
  <si>
    <t xml:space="preserve">326 Kismet Pkwy E </t>
  </si>
  <si>
    <t>33909-1726</t>
  </si>
  <si>
    <t xml:space="preserve">3024 NE 6th Ave  Cape Coral, FL 33909 </t>
  </si>
  <si>
    <t>03-44-26-07-00033.0240</t>
  </si>
  <si>
    <t xml:space="preserve">217 Kismet Pkwy E </t>
  </si>
  <si>
    <t>11706-7635</t>
  </si>
  <si>
    <t>Cape Coral Unit 84 Blk 5605 Pb 24 Pg 42 Lots 5 + 6</t>
  </si>
  <si>
    <t>Cape Coral Unit 84 Blk 5599 Pb 24 Pg 43 Lots 13 + 14</t>
  </si>
  <si>
    <t>Huntsburg</t>
  </si>
  <si>
    <t xml:space="preserve">W2056 Church Dr </t>
  </si>
  <si>
    <t>Gary A Holstein Trust</t>
  </si>
  <si>
    <t>33909-6231</t>
  </si>
  <si>
    <t>Quincey</t>
  </si>
  <si>
    <t xml:space="preserve">401 1st Ave 2a </t>
  </si>
  <si>
    <t>Howell</t>
  </si>
  <si>
    <t>33904-8480</t>
  </si>
  <si>
    <t>20-43-24-c4-05632.0410</t>
  </si>
  <si>
    <t xml:space="preserve">50 Narragansett Ave </t>
  </si>
  <si>
    <t xml:space="preserve">PO Box 114  North River, NY 12856 </t>
  </si>
  <si>
    <t>33909-8912</t>
  </si>
  <si>
    <t>33904-5033</t>
  </si>
  <si>
    <t xml:space="preserve">7402 21st Ave </t>
  </si>
  <si>
    <t>C083</t>
  </si>
  <si>
    <t xml:space="preserve">320 Victoria St W #706 </t>
  </si>
  <si>
    <t>Cape Coral Unit 36 Blk 2302 Pb 16 Pg 122 Lots 53 + 54</t>
  </si>
  <si>
    <t>Cape Coral Unit 26 Blk.879 Pb 14 Pg 132 Lots 78 + 79</t>
  </si>
  <si>
    <t>19-43-24-c4-05559.0120</t>
  </si>
  <si>
    <t>Hc 3</t>
  </si>
  <si>
    <t xml:space="preserve">1915 NE 20th Ct  Cape Coral, FL 33909 </t>
  </si>
  <si>
    <t>03-44-26-13-00070.0170</t>
  </si>
  <si>
    <t>33018-7317</t>
  </si>
  <si>
    <t>33904-4948</t>
  </si>
  <si>
    <t>12-44-23-c2-02414.0150</t>
  </si>
  <si>
    <t xml:space="preserve">3 Zapfendorf </t>
  </si>
  <si>
    <t>Cape Coral Unit 36 Blk 2290 Pb 16 Pg 119 Lots 23 + 24</t>
  </si>
  <si>
    <t>Charlotte Rolle</t>
  </si>
  <si>
    <t>Henrietta Gladiator</t>
  </si>
  <si>
    <t>Muhamed Kudic &amp; Amela Mehic</t>
  </si>
  <si>
    <t>05-44-24-c2-03515.0150</t>
  </si>
  <si>
    <t xml:space="preserve">264 Hidden Valley Rd  Paintsville, KY 41240-8908 </t>
  </si>
  <si>
    <t xml:space="preserve">28241 Shore  Mission Viejo, CA 92692-4044 </t>
  </si>
  <si>
    <t xml:space="preserve">1431 SE 32nd Ter  Cape Coral, FL 33904 </t>
  </si>
  <si>
    <t>01906-4413</t>
  </si>
  <si>
    <t>Charles Lyons</t>
  </si>
  <si>
    <t xml:space="preserve">4413 NE 14th Pl  Cape Coral, FL 33909 </t>
  </si>
  <si>
    <t>T L T &amp; Beverly Jarema</t>
  </si>
  <si>
    <t xml:space="preserve">18500 County Rd 46  Comber, ON N0p 1J0 </t>
  </si>
  <si>
    <t xml:space="preserve">1709 NE 34th Ln  Cape Coral, FL 33909 </t>
  </si>
  <si>
    <t>Plac</t>
  </si>
  <si>
    <t>Paul A Roos Trust</t>
  </si>
  <si>
    <t>Amir Noniani</t>
  </si>
  <si>
    <t xml:space="preserve">6136 Wayne Ave #2, Philadelphia, PA 19144-6109 </t>
  </si>
  <si>
    <t xml:space="preserve">3719 Tareco St </t>
  </si>
  <si>
    <t>33908-4545</t>
  </si>
  <si>
    <t>Nikola</t>
  </si>
  <si>
    <t xml:space="preserve">411 Congress St W  Maple Lake, MN 55358-3511 </t>
  </si>
  <si>
    <t xml:space="preserve">22 E Rue Du Docteur </t>
  </si>
  <si>
    <t>06-44-24-c3-02059.0350</t>
  </si>
  <si>
    <t xml:space="preserve">34 Porter St </t>
  </si>
  <si>
    <t xml:space="preserve">3536 NE 13th Ave  Cape Coral, FL 33909 </t>
  </si>
  <si>
    <t>Colleen Hurt</t>
  </si>
  <si>
    <t>Robert Olson</t>
  </si>
  <si>
    <t>Maria Malano</t>
  </si>
  <si>
    <t xml:space="preserve">3228 NE 13th Pl </t>
  </si>
  <si>
    <t>Rajesh Patel</t>
  </si>
  <si>
    <t>03-44-26-08-00035.0030</t>
  </si>
  <si>
    <t>J J &amp; Donna Partenope</t>
  </si>
  <si>
    <t xml:space="preserve">723 Interlochen Ct </t>
  </si>
  <si>
    <t>07650-2353</t>
  </si>
  <si>
    <t>Margarida</t>
  </si>
  <si>
    <t>Samyukta Ladhwa &amp; Chintan Sheth</t>
  </si>
  <si>
    <t>17-43-24-c1-05817.0050</t>
  </si>
  <si>
    <t>Vancouver</t>
  </si>
  <si>
    <t xml:space="preserve">1116 7th Way </t>
  </si>
  <si>
    <t xml:space="preserve">5729 Brightwood Dr  Fort Myers, FL 33905 </t>
  </si>
  <si>
    <t>Karanvir</t>
  </si>
  <si>
    <t>20-43-24-c4-05633.0210</t>
  </si>
  <si>
    <t xml:space="preserve">17775 SE Mill Plain Blvd #106, Vancouver, WA 98683-7557 </t>
  </si>
  <si>
    <t>Lehigh Acres Unit 6 Blk 29 Pb 26 Pg 8 Lot 1</t>
  </si>
  <si>
    <t>Sherrill Point</t>
  </si>
  <si>
    <t>Staley Farms</t>
  </si>
  <si>
    <t>32-44-24-c2-01204.0310</t>
  </si>
  <si>
    <t xml:space="preserve">11400 Longwater Chase Ct </t>
  </si>
  <si>
    <t xml:space="preserve">45 Christopher Dr #307 </t>
  </si>
  <si>
    <t>Cape Coral Unit 85 Blk 5674 Pb 24 Pg 52 Lots 38 + 39</t>
  </si>
  <si>
    <t>Hendrickson</t>
  </si>
  <si>
    <t xml:space="preserve">2222 Quimby Ave </t>
  </si>
  <si>
    <t xml:space="preserve">2025 NE 13th Ave </t>
  </si>
  <si>
    <t>Halstenbeck</t>
  </si>
  <si>
    <t xml:space="preserve">121 NE 55th St #7 </t>
  </si>
  <si>
    <t>Boehe</t>
  </si>
  <si>
    <t xml:space="preserve">10011 Royal Colony Dr  Waxhaw, NC 28173-6811 </t>
  </si>
  <si>
    <t xml:space="preserve">17201 Jackson Trl  Lakeville, MN 55044-4503 </t>
  </si>
  <si>
    <t>Six Mile Cypress</t>
  </si>
  <si>
    <t>Nuriddin</t>
  </si>
  <si>
    <t xml:space="preserve">541 Clark St  North Fort Myers, FL 33903 </t>
  </si>
  <si>
    <t>Lehigh Acres Unit 4 Blk 21 Pb 26 Pg 6 Lot 5</t>
  </si>
  <si>
    <t>Cape Coral Unit 87 Blk 5743 Pb 24 Pg 70 Lots 27 + 28</t>
  </si>
  <si>
    <t>Cape Coral Unit 36 Pt.1 Blk.2476 Pb 23 Pg 88 Lots 1 + 2</t>
  </si>
  <si>
    <t>Cape Coral Unit 34 Blk 2421 Pb 16 Pg 79 Lots 11 + 12</t>
  </si>
  <si>
    <t>Hakatif</t>
  </si>
  <si>
    <t>Cape Coral Unit 84 Blk 5550 Pb 24 Pg 46 Lots 5 + 6</t>
  </si>
  <si>
    <t>Mongeon</t>
  </si>
  <si>
    <t xml:space="preserve">6010 Langdon Ave  Fort Myers, FL 33905 </t>
  </si>
  <si>
    <t>Marek</t>
  </si>
  <si>
    <t>13035-1053</t>
  </si>
  <si>
    <t xml:space="preserve">9054 Kendale Ct  Lake Worth, FL 33467-7033 </t>
  </si>
  <si>
    <t xml:space="preserve">2848 Brookfield Dr  Yorktown Heights, NY 10598-2402 </t>
  </si>
  <si>
    <t xml:space="preserve">4218 Garden Blvd  Cape Coral, FL 33909 </t>
  </si>
  <si>
    <t xml:space="preserve">5521 Cypress Woods Resort Dr </t>
  </si>
  <si>
    <t>Allie</t>
  </si>
  <si>
    <t xml:space="preserve">3250 60th St SW </t>
  </si>
  <si>
    <t>Cape Coral Unit 33 Blk.2184 Pb 16 Pg 50 Lots 38 + 39</t>
  </si>
  <si>
    <t xml:space="preserve">228 SE 25th Ter </t>
  </si>
  <si>
    <t>Cape Coral Unit 33 Blk 2208 Pb 16 Pg 42 Lots 39 + 40</t>
  </si>
  <si>
    <t>20121-3566</t>
  </si>
  <si>
    <t>Moultrie</t>
  </si>
  <si>
    <t>PO Box 1297</t>
  </si>
  <si>
    <t xml:space="preserve">6045 Jonathan Ave </t>
  </si>
  <si>
    <t>Thelma</t>
  </si>
  <si>
    <t>36-43-23-c2-02344.0240</t>
  </si>
  <si>
    <t>Cape Coral Unit 47 Pt 2 Blk 3511 Pg 23 Pg 123 Lots 44 + 45</t>
  </si>
  <si>
    <t>Dabreo</t>
  </si>
  <si>
    <t>Cape Coral Unit 32 Blk.2137 Pb 16 Pg 13 Lots 13 + 14</t>
  </si>
  <si>
    <t xml:space="preserve">Po Box 89 </t>
  </si>
  <si>
    <t xml:space="preserve">3045 Port Royal Dr  Orlando, FL 32827-5259 </t>
  </si>
  <si>
    <t xml:space="preserve">PO Box 817 Rd, Hill City, SD 57745 </t>
  </si>
  <si>
    <t xml:space="preserve">3401 NE 12th Ave </t>
  </si>
  <si>
    <t xml:space="preserve">N Den Tannen 24 A, Erie, IL 61250 </t>
  </si>
  <si>
    <t>Cape Coral Unit 84 Blk 5622 Pb 24 Pg 33 Lots 25 + 26</t>
  </si>
  <si>
    <t xml:space="preserve">6416 Heritage Hl </t>
  </si>
  <si>
    <t>11-44-25-l1-13000.3430</t>
  </si>
  <si>
    <t>Lehigh Acres Unit 10 Blk 47 Pb 26 Pg 12 Lots 1 + 2</t>
  </si>
  <si>
    <t xml:space="preserve">19681 Summerlin Rd #233, Fort Myers, FL 33908 </t>
  </si>
  <si>
    <t>20784-3345</t>
  </si>
  <si>
    <t xml:space="preserve">5 Olive Dr #3, Hialeah, FL 33010-5200 </t>
  </si>
  <si>
    <t>11729-2511</t>
  </si>
  <si>
    <t>Tfc2</t>
  </si>
  <si>
    <t>80122-3510</t>
  </si>
  <si>
    <t xml:space="preserve">461 SW 135th Ter  Davie, FL 33325-3189 </t>
  </si>
  <si>
    <t>Cape Coral Unit 36 Blk 2335 Pb 16 Pg 130 Lots 29 + 30</t>
  </si>
  <si>
    <t xml:space="preserve">12724 Maryvale Ct  Ellicott City, MD 21042-1268 </t>
  </si>
  <si>
    <t xml:space="preserve">43 Vinton Rd  Rochester, NY 14622-2413 </t>
  </si>
  <si>
    <t>32-43-24-c1-02191.0350</t>
  </si>
  <si>
    <t>Erickson Dorothy M Tr For Erickson Revocable Trust</t>
  </si>
  <si>
    <t xml:space="preserve">2801 NE 6th Ave  Cape Coral, FL 33909 </t>
  </si>
  <si>
    <t xml:space="preserve">1014 Wall Rd H-8 </t>
  </si>
  <si>
    <t>Zeberlein</t>
  </si>
  <si>
    <t xml:space="preserve">8052 Rochester Rd  Gasport, NY 14067-9210 </t>
  </si>
  <si>
    <t>Fi &amp; E Investment</t>
  </si>
  <si>
    <t xml:space="preserve">14171 Chetwood St  Fort Myers, FL 33905 </t>
  </si>
  <si>
    <t>Vernida</t>
  </si>
  <si>
    <t xml:space="preserve">2308 NE 33rd Ln  Cape Coral, FL 33909 </t>
  </si>
  <si>
    <t xml:space="preserve">3449 NE 9th Pl </t>
  </si>
  <si>
    <t xml:space="preserve">642 Britons Ct </t>
  </si>
  <si>
    <t>Northport</t>
  </si>
  <si>
    <t xml:space="preserve">14550 English Rd </t>
  </si>
  <si>
    <t xml:space="preserve">8148 168th Pl 1w, Tinley Park, IL 60477-2035 </t>
  </si>
  <si>
    <t xml:space="preserve">114 Adelaide St  Belleville, NJ 07109-2208 </t>
  </si>
  <si>
    <t>03-44-26-09-00043.0140</t>
  </si>
  <si>
    <t>07045-7033</t>
  </si>
  <si>
    <t>Laurence</t>
  </si>
  <si>
    <t>33129-1684</t>
  </si>
  <si>
    <t>Odise</t>
  </si>
  <si>
    <t>11-44-25-09-00000.0200</t>
  </si>
  <si>
    <t>Tatar</t>
  </si>
  <si>
    <t>33909-1775</t>
  </si>
  <si>
    <t>19145-3823</t>
  </si>
  <si>
    <t xml:space="preserve">2540 SE 21st Ave  Cape Coral, FL 33904 </t>
  </si>
  <si>
    <t>10306-4327</t>
  </si>
  <si>
    <t xml:space="preserve">3 Zapfendorf  Zapfendorf, DE 96199 </t>
  </si>
  <si>
    <t>Barotz</t>
  </si>
  <si>
    <t>08755-5139</t>
  </si>
  <si>
    <t xml:space="preserve">5513 W Rowel Rd  Phoenix, AZ 85083-1214 </t>
  </si>
  <si>
    <t xml:space="preserve">13614 NW 10th St </t>
  </si>
  <si>
    <t>23453-3108</t>
  </si>
  <si>
    <t>N8445</t>
  </si>
  <si>
    <t>Christophe &amp; Corinne Durand</t>
  </si>
  <si>
    <t>Damian Jesus</t>
  </si>
  <si>
    <t xml:space="preserve">2365 Wahoo Dr  Morris, IL 60450-9427 </t>
  </si>
  <si>
    <t>46311-2372</t>
  </si>
  <si>
    <t>Locke</t>
  </si>
  <si>
    <t xml:space="preserve">2945 S Fm 116 </t>
  </si>
  <si>
    <t>Cape Coral Unit 33 Blk 2284 Pb 16 Pg 59 Lots 24 + 25</t>
  </si>
  <si>
    <t>Flavian</t>
  </si>
  <si>
    <t>Gillette</t>
  </si>
  <si>
    <t>Halifax</t>
  </si>
  <si>
    <t xml:space="preserve">6038 Island Harbor Rd </t>
  </si>
  <si>
    <t>Cotuit</t>
  </si>
  <si>
    <t xml:space="preserve">6279 Bellerive Ave </t>
  </si>
  <si>
    <t>Boynton Beach</t>
  </si>
  <si>
    <t>Fine William F Tr</t>
  </si>
  <si>
    <t xml:space="preserve">PO Box 29022  Honolulu, HI 96820-1422 </t>
  </si>
  <si>
    <t>Valdosta</t>
  </si>
  <si>
    <t>18-43-24-c3-05752.0110</t>
  </si>
  <si>
    <t>Cape Coral Ut 87 Blk 5750 Pb 24 Pg 71 Lots 31 + 32</t>
  </si>
  <si>
    <t xml:space="preserve">10323 Prairie Iris Dr </t>
  </si>
  <si>
    <t>Valentine</t>
  </si>
  <si>
    <t>25-43-23-c4-02300.b200</t>
  </si>
  <si>
    <t>11725-1402</t>
  </si>
  <si>
    <t xml:space="preserve">116 NE 15th Ter  Cape Coral, FL 33909 </t>
  </si>
  <si>
    <t>Brentwood Blk 3 Pb 5 Pg 78 Lots 5 + 6</t>
  </si>
  <si>
    <t>11710-4418</t>
  </si>
  <si>
    <t xml:space="preserve">311 10th St NE </t>
  </si>
  <si>
    <t xml:space="preserve">1009 76th St  North Bergen, NJ 07047-4913 </t>
  </si>
  <si>
    <t>Stonecutter</t>
  </si>
  <si>
    <t>For Elaine R Cardin Trust</t>
  </si>
  <si>
    <t xml:space="preserve">4124 NE 23rd Pl </t>
  </si>
  <si>
    <t>Cape Coral Unit 61 Blk.4304 Pb 21 Pg 11 Lots 1 + 2</t>
  </si>
  <si>
    <t xml:space="preserve">5138 Cypress Trail Resort Cir  Fort Myers, FL 33905 </t>
  </si>
  <si>
    <t>06-44-24-c1-02095.0720</t>
  </si>
  <si>
    <t>Cape Coral Unit 33 Blk.2244 Pb 16 Pg 54 Lots 1 + 2</t>
  </si>
  <si>
    <t>31-43-24-c3-02094.0200</t>
  </si>
  <si>
    <t>D F D &amp; Brunhilde Weger</t>
  </si>
  <si>
    <t>South Beloit</t>
  </si>
  <si>
    <t xml:space="preserve">10343 Fire Flag Trl </t>
  </si>
  <si>
    <t>Anucik</t>
  </si>
  <si>
    <t>Scott Thoman &amp; Andrea Donkel-Thoman</t>
  </si>
  <si>
    <t xml:space="preserve">4428 NE 10th Ct  Cape Coral, FL 33909 </t>
  </si>
  <si>
    <t>Yacerin</t>
  </si>
  <si>
    <t>Neha</t>
  </si>
  <si>
    <t xml:space="preserve">228 Hillside Ave  Mount Vernon, NY 10553-1808 </t>
  </si>
  <si>
    <t xml:space="preserve">2118 NE 26th St  Cape Coral, FL 33909 </t>
  </si>
  <si>
    <t>Pennsylvania</t>
  </si>
  <si>
    <t xml:space="preserve">13714 NW 15th St S1 </t>
  </si>
  <si>
    <t>Arash</t>
  </si>
  <si>
    <t xml:space="preserve">308 NE 7th St </t>
  </si>
  <si>
    <t xml:space="preserve">339 Martling Ave  Tarrytown, NY 10591-4711 </t>
  </si>
  <si>
    <t xml:space="preserve">2120 NE 33rd Ter </t>
  </si>
  <si>
    <t>Carberry</t>
  </si>
  <si>
    <t>Cape Coral Unit 35 Blk 2415 Pb 16 Pg 104 Lots 13 + 14</t>
  </si>
  <si>
    <t>Lehigh Acres Unit 2 Blk 7 Pb 26 Pg 4 Lot 3</t>
  </si>
  <si>
    <t>33903-5032</t>
  </si>
  <si>
    <t xml:space="preserve">Po Box 64 </t>
  </si>
  <si>
    <t>05-44-24-c1-03528.0180</t>
  </si>
  <si>
    <t xml:space="preserve">5504 Black Pug Dr </t>
  </si>
  <si>
    <t>25-43-23-c1-02300.a560</t>
  </si>
  <si>
    <t xml:space="preserve">9180 Gallena St </t>
  </si>
  <si>
    <t xml:space="preserve">46 Fox Blvd  Massapequa, NY 11758-7249 </t>
  </si>
  <si>
    <t>Trice</t>
  </si>
  <si>
    <t xml:space="preserve">5597 W Indian Camp Rd  Prescott, AZ 86305-4802 </t>
  </si>
  <si>
    <t xml:space="preserve">1120 NE 36th Ln </t>
  </si>
  <si>
    <t>Jeff Garcia</t>
  </si>
  <si>
    <t xml:space="preserve">3490 Thrive Dr #245 </t>
  </si>
  <si>
    <t>Cape Coral Unit 36 Blk 2355 Pb 16 Pg 120 Lots 48 &amp; 49</t>
  </si>
  <si>
    <t>33304-2619</t>
  </si>
  <si>
    <t>06-44-24-c2-02081.0400</t>
  </si>
  <si>
    <t xml:space="preserve">3900 SW 147th Ave </t>
  </si>
  <si>
    <t>Darla</t>
  </si>
  <si>
    <t xml:space="preserve">5641 Cypress Woods Resort Dr </t>
  </si>
  <si>
    <t xml:space="preserve">13437 Marquette Blvd  Fort Myers, FL 33905 </t>
  </si>
  <si>
    <t xml:space="preserve">1912 NE 21st Pl  Cape Coral, FL 33909 </t>
  </si>
  <si>
    <t>Leopoldo</t>
  </si>
  <si>
    <t>11758-7249</t>
  </si>
  <si>
    <t xml:space="preserve">1935 NE 33rd Ter  Cape Coral, FL 33909 </t>
  </si>
  <si>
    <t>11-44-25-05-0000c.0370</t>
  </si>
  <si>
    <t>33909-6879</t>
  </si>
  <si>
    <t>Maria Walker</t>
  </si>
  <si>
    <t>Robert Boisacy</t>
  </si>
  <si>
    <t xml:space="preserve">2209 NE 5th Pl </t>
  </si>
  <si>
    <t xml:space="preserve">2325 NW 95th St  Miami, FL 33147-2415 </t>
  </si>
  <si>
    <t xml:space="preserve">14171 Carberry St </t>
  </si>
  <si>
    <t xml:space="preserve">1725 NE 10th Ln  Cape Coral, FL 33909 </t>
  </si>
  <si>
    <t>Cape Coral Unit 36 Pt 1 Blk 2146 Pb 23 Pg 94 Lots 18 + 19</t>
  </si>
  <si>
    <t xml:space="preserve">750 NE 7th Ave </t>
  </si>
  <si>
    <t xml:space="preserve">5362 White Sky Cir </t>
  </si>
  <si>
    <t>Espina</t>
  </si>
  <si>
    <t>Day</t>
  </si>
  <si>
    <t>30030-1019</t>
  </si>
  <si>
    <t>Divittorio</t>
  </si>
  <si>
    <t>Thachenko</t>
  </si>
  <si>
    <t>Cape Coral Unit 84 Blk 5566 Pb 24 Pg 38 Lots 19 + 20</t>
  </si>
  <si>
    <t xml:space="preserve">4148 NE 14th Pl </t>
  </si>
  <si>
    <t>Leticia Dona</t>
  </si>
  <si>
    <t>33909-1525</t>
  </si>
  <si>
    <t xml:space="preserve">588 Tennent Rd </t>
  </si>
  <si>
    <t>MARKET LAND VALUE</t>
  </si>
  <si>
    <t>Marsha &amp; For Silagy</t>
  </si>
  <si>
    <t>36-43-23-c4-02476.0360</t>
  </si>
  <si>
    <t>Cape Coral Unit 85 Blk 5638 Pb 24 Pg 51 Lots 53 + 54</t>
  </si>
  <si>
    <t xml:space="preserve">13410 N 74th St </t>
  </si>
  <si>
    <t>31-43-24-c2-02139.0360</t>
  </si>
  <si>
    <t xml:space="preserve">2012 NE Juanita Pl  Cape Coral, FL 33909 </t>
  </si>
  <si>
    <t>Cape Coral Unit 1 Part 2 Blk.22 Pb 11 Pg 31 Lots 42 + 43</t>
  </si>
  <si>
    <t xml:space="preserve">Po Box 1298 </t>
  </si>
  <si>
    <t>25-43-23-c2-02347.0190</t>
  </si>
  <si>
    <t>Herndon</t>
  </si>
  <si>
    <t>German &amp; Norma Vega</t>
  </si>
  <si>
    <t>Koichiro Takahashi</t>
  </si>
  <si>
    <t xml:space="preserve">219 SE 27th Ter </t>
  </si>
  <si>
    <t xml:space="preserve">709 SE 43rd St  Cape Coral, FL 33904 </t>
  </si>
  <si>
    <t>Cape Coral Unit 34 Blk 2465 Pb 16 Pg 83 Lots 34 + 35</t>
  </si>
  <si>
    <t>33909-1236</t>
  </si>
  <si>
    <t>SITUS STREET ADDRESS</t>
  </si>
  <si>
    <t>03-44-26-11-00059.0230</t>
  </si>
  <si>
    <t xml:space="preserve">2002 NE 23rd Pl  Cape Coral, FL 33909 </t>
  </si>
  <si>
    <t>47356-9722</t>
  </si>
  <si>
    <t>02459-2208</t>
  </si>
  <si>
    <t xml:space="preserve">Psc 819 Box 1893R </t>
  </si>
  <si>
    <t>Schlaepfer</t>
  </si>
  <si>
    <t xml:space="preserve">2515 NE 7th Pl </t>
  </si>
  <si>
    <t xml:space="preserve">3073 Alta Ave </t>
  </si>
  <si>
    <t>Lakecrest</t>
  </si>
  <si>
    <t>Alveno</t>
  </si>
  <si>
    <t>Stjean</t>
  </si>
  <si>
    <t xml:space="preserve">187 Denver Rd  Paramus, NJ 07652-3205 </t>
  </si>
  <si>
    <t>Bill</t>
  </si>
  <si>
    <t>17-43-24-c4-05774.0350</t>
  </si>
  <si>
    <t>Bachelor View</t>
  </si>
  <si>
    <t xml:space="preserve">126 Mill River Rd  South Salem, NY 10590-2024 </t>
  </si>
  <si>
    <t>25-43-23-c4-02299.0270</t>
  </si>
  <si>
    <t xml:space="preserve">241 Beacom Blvd </t>
  </si>
  <si>
    <t>18964-1345</t>
  </si>
  <si>
    <t xml:space="preserve">3729 N Odell Ave </t>
  </si>
  <si>
    <t xml:space="preserve">4240 NE 18th Ave  Cape Coral, FL 33909 </t>
  </si>
  <si>
    <t>Ft.Myers Shores Unit 3 Blk.36 Pb 10 Pg 26 Lots 29 + 30</t>
  </si>
  <si>
    <t>18458-3445</t>
  </si>
  <si>
    <t>Chia</t>
  </si>
  <si>
    <t>Cypress Woods Rv Resort Ut 1 Pb 65 Pg 85 + 86 Blk B Lot 39</t>
  </si>
  <si>
    <t>77084-4935</t>
  </si>
  <si>
    <t>Mccaig</t>
  </si>
  <si>
    <t xml:space="preserve">33 Roberta Dr </t>
  </si>
  <si>
    <t>Joiner</t>
  </si>
  <si>
    <t xml:space="preserve">17835 77th Ln N </t>
  </si>
  <si>
    <t>05-44-24-c1-03523.0440</t>
  </si>
  <si>
    <t xml:space="preserve">13098 Westheimer Rd #1451 </t>
  </si>
  <si>
    <t>Cape Coral Unit 87 Blk 5750 Pb 24 Pg 68 Lots 49 + 50</t>
  </si>
  <si>
    <t>Trophy</t>
  </si>
  <si>
    <t>07039-1901</t>
  </si>
  <si>
    <t>Lisa Mcgann</t>
  </si>
  <si>
    <t>Franklin Hill</t>
  </si>
  <si>
    <t>01-44-23-c3-02390.0430</t>
  </si>
  <si>
    <t xml:space="preserve">2121 NE 27th St </t>
  </si>
  <si>
    <t>Anderson Family Trust</t>
  </si>
  <si>
    <t>33909-5367</t>
  </si>
  <si>
    <t xml:space="preserve">1102 6th St  De Witt, IA 52742-1506 </t>
  </si>
  <si>
    <t xml:space="preserve">12602 SW 9th Ter </t>
  </si>
  <si>
    <t>34106-2150</t>
  </si>
  <si>
    <t xml:space="preserve">5758 Burrwood Ct  Fort Myers, FL 33905 </t>
  </si>
  <si>
    <t>33778-3830</t>
  </si>
  <si>
    <t xml:space="preserve">1928 NE 19th Ave  Cape Coral, FL 33909 </t>
  </si>
  <si>
    <t>Cape Coral Unit 36 Blk 2297A Pb 16 Pg 119 Lots 27 + 28</t>
  </si>
  <si>
    <t>American &amp; Beverly Romaine</t>
  </si>
  <si>
    <t>Camelot</t>
  </si>
  <si>
    <t>Lehigh Acres Unit 4 Blk 18 Pb 26 Pg 6 Lot 45</t>
  </si>
  <si>
    <t xml:space="preserve">2201 NE 25th Ter </t>
  </si>
  <si>
    <t>08-44-24-c4-01536.0130</t>
  </si>
  <si>
    <t>Huntington Station</t>
  </si>
  <si>
    <t>South Orange</t>
  </si>
  <si>
    <t>Kokoszka</t>
  </si>
  <si>
    <t>Cape Coral Unit 33 Blk 2242 Pb 16 Pg 55 Lots 5 + 6</t>
  </si>
  <si>
    <t>Cape Coral Unit 85 Blk 5664 Pb 24 Pg 58 Lots 25 + 26</t>
  </si>
  <si>
    <t xml:space="preserve">150 Wellington Rd </t>
  </si>
  <si>
    <t xml:space="preserve">2213 NE 9th Pl </t>
  </si>
  <si>
    <t>11417-1302</t>
  </si>
  <si>
    <t>Cape Coral Unit 84 Blk 5562 Pb 24 Pg 37 Lots 9 + 10</t>
  </si>
  <si>
    <t>11-44-25-06-0000d.0110</t>
  </si>
  <si>
    <t>Novia</t>
  </si>
  <si>
    <t>R106</t>
  </si>
  <si>
    <t>Cypress Trail Rv Resort Ph 4-B As Desc In Inst# 2017000057565 Lot 304</t>
  </si>
  <si>
    <t>Cypress Woods Rv Resort Desc In Inst#2006-358211 Lot 143</t>
  </si>
  <si>
    <t>Cape Coral Unit 84 Blk 5597 Pb 24 Pg 43 Lot 35</t>
  </si>
  <si>
    <t xml:space="preserve">1032 NE 43rd Ter </t>
  </si>
  <si>
    <t xml:space="preserve">384 County Road 308  Florence, AL 35634-6132 </t>
  </si>
  <si>
    <t xml:space="preserve">1110 NE 39th Ter </t>
  </si>
  <si>
    <t xml:space="preserve">6425 SW 130th Pl #704 </t>
  </si>
  <si>
    <t>Fredenburg</t>
  </si>
  <si>
    <t>Waterway Estates Unit 2 Blk 4 Pb 12 Pg 64 Lot 15</t>
  </si>
  <si>
    <t xml:space="preserve">8925 182nd Pl </t>
  </si>
  <si>
    <t xml:space="preserve">20301 96th Ave S  Kent, WA 98031-1491 </t>
  </si>
  <si>
    <t>29-43-26-05-00086.0240</t>
  </si>
  <si>
    <t xml:space="preserve">3515 NE 18th Pl </t>
  </si>
  <si>
    <t xml:space="preserve">99 Olivewood Dr  Markham, ON L3s 3E1 </t>
  </si>
  <si>
    <t xml:space="preserve">2309 NE 34th Ter  Cape Coral, FL 33909 </t>
  </si>
  <si>
    <t xml:space="preserve">2 Schlehleweg  Brandis, DE 04821 </t>
  </si>
  <si>
    <t>Cape Coral Unit 85 Blk 5671 Pb 24 Pg 52 Lots 25 + 26</t>
  </si>
  <si>
    <t>32-43-24-c1-02179.0190</t>
  </si>
  <si>
    <t>Jane Gonzales</t>
  </si>
  <si>
    <t xml:space="preserve">411 Emerald Ln  Saint Paul, MN 55115-1486 </t>
  </si>
  <si>
    <t xml:space="preserve">2222 NE 17th Pl </t>
  </si>
  <si>
    <t>29-43-24-c3-02254.0140</t>
  </si>
  <si>
    <t>Avis Jarrett-Miller</t>
  </si>
  <si>
    <t>West Chester</t>
  </si>
  <si>
    <t xml:space="preserve">2380 47th Ave NE  Naples, FL 34120-6449 </t>
  </si>
  <si>
    <t xml:space="preserve">6102 Hendley Ct  Fort Myers, FL 33905 </t>
  </si>
  <si>
    <t xml:space="preserve">1308 NE 22nd Ave </t>
  </si>
  <si>
    <t>Sptmrt Properties</t>
  </si>
  <si>
    <t>Cape Coral Unit 31 Blk 2089 Pb 14 Pg 162 Lots 36 Thru 38</t>
  </si>
  <si>
    <t>Palmetto Bay</t>
  </si>
  <si>
    <t xml:space="preserve">404 Cotoneaster Ct </t>
  </si>
  <si>
    <t>30236-4234</t>
  </si>
  <si>
    <t xml:space="preserve">290 Detroit Ave  Fort Myers, FL 33905 </t>
  </si>
  <si>
    <t>Comfort</t>
  </si>
  <si>
    <t xml:space="preserve">335 NE 16th Ter </t>
  </si>
  <si>
    <t xml:space="preserve">461 Sacramento St  North Fort Myers, FL 33903 </t>
  </si>
  <si>
    <t>Dana Mcdonald</t>
  </si>
  <si>
    <t>46240-2255</t>
  </si>
  <si>
    <t>94510-3826</t>
  </si>
  <si>
    <t>11414-1505</t>
  </si>
  <si>
    <t>Cypress Woods Rv Resort Un 3 Desc In Pb 72 Pgs 92-95 Blk C Lot 5</t>
  </si>
  <si>
    <t>Monmouth</t>
  </si>
  <si>
    <t>08071-1301</t>
  </si>
  <si>
    <t xml:space="preserve">4839 E Riverside Dr </t>
  </si>
  <si>
    <t xml:space="preserve">1820 NE 14th St </t>
  </si>
  <si>
    <t>15-44-26-03-00000.0110</t>
  </si>
  <si>
    <t xml:space="preserve">12110 Arborwood Way </t>
  </si>
  <si>
    <t xml:space="preserve">3518 NE 15th Ave </t>
  </si>
  <si>
    <t xml:space="preserve">3855 Orloff Ave 3g </t>
  </si>
  <si>
    <t xml:space="preserve">2221 NE 33rd St </t>
  </si>
  <si>
    <t xml:space="preserve">1437 NE 34th St  Cape Coral, FL 33909 </t>
  </si>
  <si>
    <t xml:space="preserve">3706 Trent St </t>
  </si>
  <si>
    <t>American &amp; Dave Espey</t>
  </si>
  <si>
    <t>Ayrshire</t>
  </si>
  <si>
    <t>Ernst Rickermann</t>
  </si>
  <si>
    <t>Antonio</t>
  </si>
  <si>
    <t xml:space="preserve">2207 NE 43rd Ln </t>
  </si>
  <si>
    <t>Leesburg</t>
  </si>
  <si>
    <t>34110-1379</t>
  </si>
  <si>
    <t>Fryzel</t>
  </si>
  <si>
    <t xml:space="preserve">23 Deerfield Dr  Harrison City, PA 15636-1317 </t>
  </si>
  <si>
    <t>33905-2062</t>
  </si>
  <si>
    <t xml:space="preserve">31332 Avenue J  Big Pine Key, FL 33043-4657 </t>
  </si>
  <si>
    <t xml:space="preserve">693 N 275 E  Columbus, IN 47203-9392 </t>
  </si>
  <si>
    <t>07206-2312</t>
  </si>
  <si>
    <t xml:space="preserve">4147 NE 9th Ave </t>
  </si>
  <si>
    <t xml:space="preserve">3837 Knowlton St  Fort Myers, FL 33905 </t>
  </si>
  <si>
    <t xml:space="preserve">321 NE 17th St </t>
  </si>
  <si>
    <t xml:space="preserve">1911 NE 20th Ct </t>
  </si>
  <si>
    <t xml:space="preserve">6013 Higgins Ave </t>
  </si>
  <si>
    <t>33701-1128</t>
  </si>
  <si>
    <t>Cape Coral Unit 84 Blk 5545 Pb 24 Pg 46 Lots 6 Thru 8</t>
  </si>
  <si>
    <t>25-43-23-c4-02355.0240</t>
  </si>
  <si>
    <t>Cape Coral Unit 47 Part 2 Blk 3540 Pb 23 Pg 119 Lots 9 + 10</t>
  </si>
  <si>
    <t xml:space="preserve">214 Delray Ave </t>
  </si>
  <si>
    <t>Alfredo &amp; Maria Castellanos</t>
  </si>
  <si>
    <t xml:space="preserve">3980 N Boston Rd  Eden, NY 14057-9681 </t>
  </si>
  <si>
    <t>43302-9604</t>
  </si>
  <si>
    <t xml:space="preserve">4729 Crestview Ave </t>
  </si>
  <si>
    <t xml:space="preserve">1405 NE 18th Pl  Cape Coral, FL 33909 </t>
  </si>
  <si>
    <t xml:space="preserve">262 Linden St </t>
  </si>
  <si>
    <t>Kingman</t>
  </si>
  <si>
    <t>Bouley John R Jr &amp; Cindy L Tr</t>
  </si>
  <si>
    <t>Camelia Perez</t>
  </si>
  <si>
    <t>10-44-24-06-00000.0040</t>
  </si>
  <si>
    <t xml:space="preserve">404 Cotoneaster Ct  Oswego, IL 60543-2900 </t>
  </si>
  <si>
    <t xml:space="preserve">213 Avacado Ct  Fort Myers, FL 33905 </t>
  </si>
  <si>
    <t>33196-6501</t>
  </si>
  <si>
    <t xml:space="preserve">2 Iroquois Way </t>
  </si>
  <si>
    <t xml:space="preserve">8455 NW 165th St  Miami Lakes, FL 33016-6136 </t>
  </si>
  <si>
    <t>36-44-23-c3-00824.0630</t>
  </si>
  <si>
    <t xml:space="preserve">335 NE 31st St </t>
  </si>
  <si>
    <t xml:space="preserve">6811 Barrett St </t>
  </si>
  <si>
    <t xml:space="preserve">1728 NW 111th St </t>
  </si>
  <si>
    <t>Cape Coral Unit 32 Blk 2168 Pb 16 Pg 8 Lots 35 + 36</t>
  </si>
  <si>
    <t>Cape Coral Unit 84 Blk 5605 Pb 24 Pg 42 Lots 49 + 50</t>
  </si>
  <si>
    <t>Mostafa Oummade</t>
  </si>
  <si>
    <t>18-43-24-c3-05708.0230</t>
  </si>
  <si>
    <t>33909-1574</t>
  </si>
  <si>
    <t>06-44-24-c1-02068.0250</t>
  </si>
  <si>
    <t>Autumn Moon</t>
  </si>
  <si>
    <t>01950-2005</t>
  </si>
  <si>
    <t>33905-5716</t>
  </si>
  <si>
    <t>Cypress Trail Rv Resort Ph 3 As Desc In Inst# 2015000085552 Lot 232</t>
  </si>
  <si>
    <t xml:space="preserve">1724 Andalusia Blvd </t>
  </si>
  <si>
    <t>Aaron</t>
  </si>
  <si>
    <t xml:space="preserve">3521 NE 12th Ave  Cape Coral, FL 33909 </t>
  </si>
  <si>
    <t xml:space="preserve">22 Clifton Country Rd #18 </t>
  </si>
  <si>
    <t xml:space="preserve">212 NE 8th Pl  Cape Coral, FL 33909 </t>
  </si>
  <si>
    <t xml:space="preserve">2200 NE 6th Pl </t>
  </si>
  <si>
    <t xml:space="preserve">6021 Thrush Ave  Fort Myers, FL 33905 </t>
  </si>
  <si>
    <t xml:space="preserve">1524 Groom Ave </t>
  </si>
  <si>
    <t>33909-5602</t>
  </si>
  <si>
    <t xml:space="preserve">1869 Highway 145  Carnesville, GA 30521-4418 </t>
  </si>
  <si>
    <t>33618-1031</t>
  </si>
  <si>
    <t>Marovich</t>
  </si>
  <si>
    <t xml:space="preserve">7851 Dan Patch Ct  Savage, MN 55378-4448 </t>
  </si>
  <si>
    <t xml:space="preserve">70 Leo Ln  Deer Park, NY 11729-2315 </t>
  </si>
  <si>
    <t xml:space="preserve">3849 Hillandale St </t>
  </si>
  <si>
    <t>Stephan &amp; Moeller Schaefer</t>
  </si>
  <si>
    <t>Rahn</t>
  </si>
  <si>
    <t>11-44-25-04-0000a.0090</t>
  </si>
  <si>
    <t>Shoal Creek</t>
  </si>
  <si>
    <t>Jena</t>
  </si>
  <si>
    <t>Tan &amp; Helen Nguyen</t>
  </si>
  <si>
    <t xml:space="preserve">1005 NE 36th St </t>
  </si>
  <si>
    <t xml:space="preserve">6150 Humboldt Ave </t>
  </si>
  <si>
    <t>45247-3575</t>
  </si>
  <si>
    <t>55369-2629</t>
  </si>
  <si>
    <t>Cape Coral Unit 87 Blk 5679 Pb 24 Pg 73 Lots 3 + 4</t>
  </si>
  <si>
    <t>Buonocore</t>
  </si>
  <si>
    <t>Lehigh Acres Unit 9 Blk 40 Pb 26 Pg 11 Lot 10</t>
  </si>
  <si>
    <t xml:space="preserve">12926 2nd St  Fort Myers, FL 33905 </t>
  </si>
  <si>
    <t xml:space="preserve">6255 Joaquin Murieta Ave D </t>
  </si>
  <si>
    <t>Carlos Hernandez</t>
  </si>
  <si>
    <t xml:space="preserve">904 Lexington Way </t>
  </si>
  <si>
    <t>Financial &amp; Mark Boyhan</t>
  </si>
  <si>
    <t xml:space="preserve">4005 NE 10th Ave  Portland, OR 97212-1224 </t>
  </si>
  <si>
    <t>01-44-23-c1-02462.0380</t>
  </si>
  <si>
    <t xml:space="preserve">1514 NE 14th St </t>
  </si>
  <si>
    <t>Twistback</t>
  </si>
  <si>
    <t xml:space="preserve">410 S Reseda </t>
  </si>
  <si>
    <t xml:space="preserve">3845 Heyburn St  Fort Myers, FL 33905 </t>
  </si>
  <si>
    <t xml:space="preserve">128 Waters Edge Dr </t>
  </si>
  <si>
    <t>Hatfield</t>
  </si>
  <si>
    <t xml:space="preserve">3760 W Bent Tree Dr  Baraboo, WI 53713 </t>
  </si>
  <si>
    <t>Rosenberg</t>
  </si>
  <si>
    <t>Hillsborough</t>
  </si>
  <si>
    <t xml:space="preserve">1052 NE 17th Ave </t>
  </si>
  <si>
    <t>11-44-25-l1-1400a.1390</t>
  </si>
  <si>
    <t xml:space="preserve">303 NE 6th Ter </t>
  </si>
  <si>
    <t>James Nagy &amp; Alexis Mazzamuto</t>
  </si>
  <si>
    <t>Kevin Beeching &amp; Alison Komarowski</t>
  </si>
  <si>
    <t>Andrea Pedraza</t>
  </si>
  <si>
    <t>Isabelle</t>
  </si>
  <si>
    <t>Parsells</t>
  </si>
  <si>
    <t>Anna Patruno</t>
  </si>
  <si>
    <t xml:space="preserve">103 Rock Spring Rd #2 </t>
  </si>
  <si>
    <t xml:space="preserve">8385 N Fox Hollow Rd  Bloomington, IN 47408-9303 </t>
  </si>
  <si>
    <t xml:space="preserve">2802 SE 6th Ave </t>
  </si>
  <si>
    <t>Rembarz</t>
  </si>
  <si>
    <t xml:space="preserve">3723 NE 12th Pl </t>
  </si>
  <si>
    <t xml:space="preserve">3770 Kemper St  Fort Myers, FL 33905 </t>
  </si>
  <si>
    <t xml:space="preserve">328 E Mulberry St  Lancaster, OH 43130-3165 </t>
  </si>
  <si>
    <t>Cape Coral Unit 33 Blk 2224 Pb 16 Pg 42 Lots 7 + 8</t>
  </si>
  <si>
    <t>PO Box 6685</t>
  </si>
  <si>
    <t>25-43-23-c1-02301.0330</t>
  </si>
  <si>
    <t xml:space="preserve">1209 NE 6th Pl  Cape Coral, FL 33909 </t>
  </si>
  <si>
    <t>33330-4337</t>
  </si>
  <si>
    <t xml:space="preserve">1704 NE 6th Ave </t>
  </si>
  <si>
    <t>85029-4230</t>
  </si>
  <si>
    <t xml:space="preserve">12505 111th Ave  South Ozone Park, NY 11420-1509 </t>
  </si>
  <si>
    <t>17-43-24-c2-05809.0060</t>
  </si>
  <si>
    <t>17-43-24-c3-05786.0330</t>
  </si>
  <si>
    <t xml:space="preserve">3206 N Blue Heron Walk </t>
  </si>
  <si>
    <t xml:space="preserve">1169 NE 44th Ln </t>
  </si>
  <si>
    <t xml:space="preserve">1 Sharen Dr </t>
  </si>
  <si>
    <t>Tiffany Holmes</t>
  </si>
  <si>
    <t xml:space="preserve">3850 E Double J Acres Rd </t>
  </si>
  <si>
    <t>Dupraz</t>
  </si>
  <si>
    <t>18-43-24-c1-05689.0430</t>
  </si>
  <si>
    <t xml:space="preserve">1710 NE 27th St </t>
  </si>
  <si>
    <t>33029-3040</t>
  </si>
  <si>
    <t xml:space="preserve">715 S Garden Ave </t>
  </si>
  <si>
    <t xml:space="preserve">914 SE 25th Ln  Cape Coral, FL 33904 </t>
  </si>
  <si>
    <t xml:space="preserve">370 Muskegon Ave </t>
  </si>
  <si>
    <t>08-44-24-c4-01540.0360</t>
  </si>
  <si>
    <t xml:space="preserve">3800 NE 23rd Pl </t>
  </si>
  <si>
    <t>North Royalton</t>
  </si>
  <si>
    <t>11-44-25-09-00000.1560</t>
  </si>
  <si>
    <t>Cape Coral Unit 34 Blk 2460 Pb 16 Pg 86 Lots 47 + 48</t>
  </si>
  <si>
    <t>Richard Wissuchek</t>
  </si>
  <si>
    <t xml:space="preserve">358 Southern Branch Dr  Myrtle Beach, SC 29588-9673 </t>
  </si>
  <si>
    <t>18-43-24-c2-05735.0020</t>
  </si>
  <si>
    <t>Dryden</t>
  </si>
  <si>
    <t>19-43-24-c3-05606.0170</t>
  </si>
  <si>
    <t xml:space="preserve">6114 Kramer Ave </t>
  </si>
  <si>
    <t xml:space="preserve">1666 Shelbourne St  Teaneck, NJ 07666-3726 </t>
  </si>
  <si>
    <t>37924-3004</t>
  </si>
  <si>
    <t>03-44-26-12-00065.0250</t>
  </si>
  <si>
    <t>Cape Coral Unit 19 Blk 1207 Pb 13 Pg 132 Lots 14 + 15</t>
  </si>
  <si>
    <t>44720-8182</t>
  </si>
  <si>
    <t xml:space="preserve">155 Tabor St  Brentwood, NY 11717-7911 </t>
  </si>
  <si>
    <t xml:space="preserve">2326 S Congress Ave 1a, West Palm Beach, FL 33406-7652 </t>
  </si>
  <si>
    <t xml:space="preserve">1724 NE 41st St </t>
  </si>
  <si>
    <t>33909-1035</t>
  </si>
  <si>
    <t>Cape Coral Unit 33 Blk 2219 Pb 16 Pg 43 Lots 5 + 6</t>
  </si>
  <si>
    <t xml:space="preserve">713 Lynkaylee Dr  Waterloo, IA 50701-4847 </t>
  </si>
  <si>
    <t xml:space="preserve">9241 Buckingham Rd </t>
  </si>
  <si>
    <t>Victor &amp; Nelda Derosa</t>
  </si>
  <si>
    <t>33904-2807</t>
  </si>
  <si>
    <t xml:space="preserve">1415 NE 21st Pl  Cape Coral, FL 33909 </t>
  </si>
  <si>
    <t xml:space="preserve">309 NE 15th Ter </t>
  </si>
  <si>
    <t>Cape Coral Unit 33 Blk.2183 Pb 16 Pg 53 Lots 10 + 11</t>
  </si>
  <si>
    <t xml:space="preserve">1320 NE 34th Ln  Cape Coral, FL 33909 </t>
  </si>
  <si>
    <t xml:space="preserve">440 N Limestone St </t>
  </si>
  <si>
    <t>36-43-23-c3-02503.0070</t>
  </si>
  <si>
    <t>Lori Seger</t>
  </si>
  <si>
    <t>29-43-24-c4-02283.0630</t>
  </si>
  <si>
    <t>Rambharose</t>
  </si>
  <si>
    <t>Igor Drapkin</t>
  </si>
  <si>
    <t>33025-7285</t>
  </si>
  <si>
    <t>Whitesville</t>
  </si>
  <si>
    <t>Cypress Trail Rv Resort Ph 4-B As Desc In Inst# 2017000057565 Lot 98</t>
  </si>
  <si>
    <t>Smithtown</t>
  </si>
  <si>
    <t>William H Stinson Living Trust</t>
  </si>
  <si>
    <t xml:space="preserve">500 NE 20th Ter </t>
  </si>
  <si>
    <t>Veracruz</t>
  </si>
  <si>
    <t xml:space="preserve">216 Stephens Ave  Bronx, NY 10473-2424 </t>
  </si>
  <si>
    <t>Buckingham Pk Re Blk B U-1 Blk 3 Pb 27 Pg 188 Lot 6</t>
  </si>
  <si>
    <t xml:space="preserve">1525 NE 13th Ave </t>
  </si>
  <si>
    <t>Wall Township</t>
  </si>
  <si>
    <t>17-43-24-c3-05787.0130</t>
  </si>
  <si>
    <t>Seventh</t>
  </si>
  <si>
    <t>01-44-23-c4-02444.0440</t>
  </si>
  <si>
    <t>George &amp; Judith Sakellis</t>
  </si>
  <si>
    <t>Ceasar Park</t>
  </si>
  <si>
    <t>Dougles Parenteau</t>
  </si>
  <si>
    <t>Cape Coral Unit 88 Blk 5808 Pb 24 Pg 138 Lot 13</t>
  </si>
  <si>
    <t>33909-1520</t>
  </si>
  <si>
    <t xml:space="preserve">15280 Codie St </t>
  </si>
  <si>
    <t xml:space="preserve">3723 Kessler St  Fort Myers, FL 33905 </t>
  </si>
  <si>
    <t xml:space="preserve">1006 NE 15th Ln </t>
  </si>
  <si>
    <t>25-43-23-c1-02328.0250</t>
  </si>
  <si>
    <t>Ed Jacobs</t>
  </si>
  <si>
    <t xml:space="preserve">114 Walnut St #14019, Green Cove Springs, FL 32043-3438 </t>
  </si>
  <si>
    <t xml:space="preserve">11101 Sunburst Ln </t>
  </si>
  <si>
    <t>Pearline</t>
  </si>
  <si>
    <t>Cape Coral Unit 87 Blk 5686 Pb 24 Pg 82 Lot 2</t>
  </si>
  <si>
    <t>Cape Coral Unit 34 Blk 2438 Pb 16 Pg 84 Lots 48 Thru 50</t>
  </si>
  <si>
    <t>34609-2606</t>
  </si>
  <si>
    <t>08731-4818</t>
  </si>
  <si>
    <t>Mayard</t>
  </si>
  <si>
    <t xml:space="preserve">1401 NE 39th St </t>
  </si>
  <si>
    <t xml:space="preserve">8911 Mistletoe Dr </t>
  </si>
  <si>
    <t>Guarnuere Family Trust</t>
  </si>
  <si>
    <t>Harmann</t>
  </si>
  <si>
    <t>19-43-24-c4-05553.0570</t>
  </si>
  <si>
    <t>Cypress Woods Rv Resort Unit 4 Pb 79 Pgs 68-71 Blk D Lot 62</t>
  </si>
  <si>
    <t>Soheila</t>
  </si>
  <si>
    <t>Gortons A Subd Blk 2 Pb 5 Pg 20 Lots 12 + 13</t>
  </si>
  <si>
    <t xml:space="preserve">1230 NE 13th Pl  Cape Coral, FL 33909 </t>
  </si>
  <si>
    <t xml:space="preserve">5276 SW 152nd Ave </t>
  </si>
  <si>
    <t xml:space="preserve">413 NE 23rd Ave  Cape Coral, FL 33909 </t>
  </si>
  <si>
    <t xml:space="preserve">2173 NW 141st Ave  Pembroke Pines, FL 33028-2856 </t>
  </si>
  <si>
    <t xml:space="preserve">1419 NE 18th St </t>
  </si>
  <si>
    <t xml:space="preserve">Po Box 220479 </t>
  </si>
  <si>
    <t>Costa Da</t>
  </si>
  <si>
    <t xml:space="preserve">102 Birch Ln  Valley Stream, NY 11581-2633 </t>
  </si>
  <si>
    <t>Cypress Trail Rv Resort Ph 4-B As Desc In Inst# 2017000057565 Lot 103</t>
  </si>
  <si>
    <t xml:space="preserve">2021 NE 1st Pl  Cape Coral, FL 33909 </t>
  </si>
  <si>
    <t>31-43-24-c4-02101.0190</t>
  </si>
  <si>
    <t xml:space="preserve">2102 NE 17th St </t>
  </si>
  <si>
    <t xml:space="preserve">3003 Odom Ave </t>
  </si>
  <si>
    <t>Oscar &amp; Lina Gonzalez</t>
  </si>
  <si>
    <t xml:space="preserve">4501 SW 94th Ave </t>
  </si>
  <si>
    <t>Cape Coral Unit 17 Blk 1525 Pb 14 Pg 32 Lots 69 + 70</t>
  </si>
  <si>
    <t>Kosarik</t>
  </si>
  <si>
    <t>Cook Family Revocable Trust</t>
  </si>
  <si>
    <t xml:space="preserve">19826 Bristol Rd  Fort Myers, FL 33908 </t>
  </si>
  <si>
    <t>Riad</t>
  </si>
  <si>
    <t xml:space="preserve">2218 NE 13th Ave  Cape Coral, FL 33909 </t>
  </si>
  <si>
    <t>America Outdoors Camper Resort 1 Condo Blk R Or 1673 Pg 2487 Unit 18</t>
  </si>
  <si>
    <t>13b</t>
  </si>
  <si>
    <t>Kabir Valencia</t>
  </si>
  <si>
    <t xml:space="preserve">14050 Carlotta St  Fort Myers, FL 33905 </t>
  </si>
  <si>
    <t xml:space="preserve">912 NE 14th Ter  Cape Coral, FL 33909 </t>
  </si>
  <si>
    <t>Village Green</t>
  </si>
  <si>
    <t xml:space="preserve">5209 Lake Edge Dr  Holly Springs, NC 27540-9182 </t>
  </si>
  <si>
    <t xml:space="preserve">1320 NE 34th Ln </t>
  </si>
  <si>
    <t xml:space="preserve">3612 E 6th Ave  Hialeah, FL 33013-3024 </t>
  </si>
  <si>
    <t>33909-2885</t>
  </si>
  <si>
    <t>33909-2204</t>
  </si>
  <si>
    <t>Orlando &amp; Paula Pena</t>
  </si>
  <si>
    <t>S 1/2 Of Nw 1/4 Of Sw 1/4 Of Nw 1/4 Of Nw 1/4 Less Road</t>
  </si>
  <si>
    <t>33064-6359</t>
  </si>
  <si>
    <t xml:space="preserve">2326 NE 35th St  Cape Coral, FL 33909 </t>
  </si>
  <si>
    <t>Cape Coral Unit 88 Blk.5786 Pb 24 Pg 131 Lots 1+ 2</t>
  </si>
  <si>
    <t xml:space="preserve">4321 NE 9th Ave </t>
  </si>
  <si>
    <t>08050-1804</t>
  </si>
  <si>
    <t>Delgaldo</t>
  </si>
  <si>
    <t xml:space="preserve">1902 NE 33rd Ter </t>
  </si>
  <si>
    <t>18-43-24-c4-05684.0210</t>
  </si>
  <si>
    <t xml:space="preserve">2699 Ocean Ave  Seaford, NY 11783-3420 </t>
  </si>
  <si>
    <t xml:space="preserve">1022 NE 6th Pl  Cape Coral, FL 33909 </t>
  </si>
  <si>
    <t xml:space="preserve">278 Caswell Ave </t>
  </si>
  <si>
    <t>Abul</t>
  </si>
  <si>
    <t xml:space="preserve">2142 NE 26th St  Cape Coral, FL 33909 </t>
  </si>
  <si>
    <t>Cape Coral Unit 36 Pt 1 Blk 2146 Pb 23 Pg 94 Lots 16 + 17</t>
  </si>
  <si>
    <t>19-43-24-c2-05587.0310</t>
  </si>
  <si>
    <t>M3H 2N2</t>
  </si>
  <si>
    <t xml:space="preserve">5483 Cypress Trail Resort Cir </t>
  </si>
  <si>
    <t>Calle 17</t>
  </si>
  <si>
    <t>Johnny &amp; Juanita Slone</t>
  </si>
  <si>
    <t>17-43-24-c3-05784.0240</t>
  </si>
  <si>
    <t xml:space="preserve">8655 the 5th Grn </t>
  </si>
  <si>
    <t xml:space="preserve">130 Kismet Pkwy E </t>
  </si>
  <si>
    <t>20-43-24-c2-05662.0450</t>
  </si>
  <si>
    <t>Bis Rue Du Faubourg</t>
  </si>
  <si>
    <t>02302-3232</t>
  </si>
  <si>
    <t>48006-3206</t>
  </si>
  <si>
    <t>Romero</t>
  </si>
  <si>
    <t>20-43-24-c4-05636.0400</t>
  </si>
  <si>
    <t>Cape Coral Unit 36 Blk2328 Pb 16 Pg 128 Lots 7 + 8</t>
  </si>
  <si>
    <t>Brentwood</t>
  </si>
  <si>
    <t>Manuel Rodrigues</t>
  </si>
  <si>
    <t>Cape Coral Unit 33 Blk 2189 Pb 16 Pg 50 Lots 32 + 33</t>
  </si>
  <si>
    <t>Lehigh Acres Unit 4 Blk 19 Pb 26 Pg 6 Lot 22</t>
  </si>
  <si>
    <t xml:space="preserve">511 Ohio Pl </t>
  </si>
  <si>
    <t xml:space="preserve">1024 Webster Ave </t>
  </si>
  <si>
    <t>Cape Coral Unit 87 Blk 5707 Pb 24 Pg 72 Lots 4 + 5</t>
  </si>
  <si>
    <t>Ute</t>
  </si>
  <si>
    <t xml:space="preserve">2034 NE 33rd Ln </t>
  </si>
  <si>
    <t>Halsey</t>
  </si>
  <si>
    <t>Vernon Hills</t>
  </si>
  <si>
    <t>62260-3236</t>
  </si>
  <si>
    <t xml:space="preserve">5113 Elpine Way  Palm Beach Gardens, FL 33418-7850 </t>
  </si>
  <si>
    <t xml:space="preserve">31 Nussdorf  Nussdorf, AT 09990 </t>
  </si>
  <si>
    <t xml:space="preserve">211 Sunset Dr  Kill Devil Hills, NC 27948-8661 </t>
  </si>
  <si>
    <t>Division</t>
  </si>
  <si>
    <t xml:space="preserve">310 NE 25th Ter  Cape Coral, FL 33909 </t>
  </si>
  <si>
    <t>Antoni</t>
  </si>
  <si>
    <t>Cortes</t>
  </si>
  <si>
    <t>Evans James Hmstd Blk 15 Pb 1 Pg 23 Desc Or 1104/ 2030 + Or 2162/605</t>
  </si>
  <si>
    <t>13-45-23-c4-00101.0250</t>
  </si>
  <si>
    <t>11-44-25-11-00000.2420</t>
  </si>
  <si>
    <t xml:space="preserve">245 Kingsley Chase </t>
  </si>
  <si>
    <t>Wilder</t>
  </si>
  <si>
    <t xml:space="preserve">304 NE 9th St  Cape Coral, FL 33909 </t>
  </si>
  <si>
    <t>11-44-25-09-00000.0190</t>
  </si>
  <si>
    <t>Rm-2</t>
  </si>
  <si>
    <t>Plano</t>
  </si>
  <si>
    <t>Beeching</t>
  </si>
  <si>
    <t xml:space="preserve">6825 Susan Ln </t>
  </si>
  <si>
    <t xml:space="preserve">1014 NE 34th Ln </t>
  </si>
  <si>
    <t xml:space="preserve">3635 NE 10th Pl  Cape Coral, FL 33909 </t>
  </si>
  <si>
    <t xml:space="preserve">2811 S Meridian Rd </t>
  </si>
  <si>
    <t>03-44-26-01-00002.0060</t>
  </si>
  <si>
    <t xml:space="preserve">2731 SE 8th Ave  Cape Coral, FL 33904 </t>
  </si>
  <si>
    <t>Cape Coral Unit 87 Blk 5735 Pb 24 Pg 76 Lot 2</t>
  </si>
  <si>
    <t>Cape Coral Unit 84 Blk 5546 Pb 24 Pg 46 Lots 21 Thru 23</t>
  </si>
  <si>
    <t>05658-8109</t>
  </si>
  <si>
    <t xml:space="preserve">2201 NE Juanita Pl </t>
  </si>
  <si>
    <t>31-43-24-c2-02155.0510</t>
  </si>
  <si>
    <t>Jaramillo</t>
  </si>
  <si>
    <t>03-44-26-12-00062.0110</t>
  </si>
  <si>
    <t xml:space="preserve">523 Elton St </t>
  </si>
  <si>
    <t>Cape Coral Unit 36 Blk 2297A Pb 16 Pg 119 Lots 25 + 26</t>
  </si>
  <si>
    <t xml:space="preserve">3831 Williamson Rd  Fort Myers, FL 33905 </t>
  </si>
  <si>
    <t>Nelson Carralero</t>
  </si>
  <si>
    <t>Malcolm Sprinkle</t>
  </si>
  <si>
    <t xml:space="preserve">12125 Old Hickory Blvd </t>
  </si>
  <si>
    <t>33905-7618</t>
  </si>
  <si>
    <t>Glenview</t>
  </si>
  <si>
    <t xml:space="preserve">84/5 Bld De La Meuse </t>
  </si>
  <si>
    <t>Cape Coral Unit 36 Pt 1 Blk 2502 Pb 23 Pg 93 Lots 7 + 8</t>
  </si>
  <si>
    <t>Philippe Bielle-Biarrey</t>
  </si>
  <si>
    <t>Edward &amp; Ellen Longenecker</t>
  </si>
  <si>
    <t xml:space="preserve">1024 NE 23rd Ter </t>
  </si>
  <si>
    <t>Edgardo &amp; Angelica Roberto</t>
  </si>
  <si>
    <t>Hugh Evans</t>
  </si>
  <si>
    <t xml:space="preserve">6011 Langdon Ave  Fort Myers, FL 33905 </t>
  </si>
  <si>
    <t>33142-7711</t>
  </si>
  <si>
    <t>Woodbine</t>
  </si>
  <si>
    <t xml:space="preserve">1005 NE 44th St </t>
  </si>
  <si>
    <t>33905-5711</t>
  </si>
  <si>
    <t xml:space="preserve">725 Wakefield St </t>
  </si>
  <si>
    <t>For Tliog Land Trust</t>
  </si>
  <si>
    <t xml:space="preserve">15121 Cemetery Rd </t>
  </si>
  <si>
    <t>Barnsley</t>
  </si>
  <si>
    <t>Qinglin</t>
  </si>
  <si>
    <t xml:space="preserve">3122 Mahan Dr #801, Tallahassee, FL 32308-2502 </t>
  </si>
  <si>
    <t>Nyes</t>
  </si>
  <si>
    <t xml:space="preserve">6901 Patsy Dr </t>
  </si>
  <si>
    <t xml:space="preserve">365 W Jamestown Ave  Tiffin, OH 44883-3465 </t>
  </si>
  <si>
    <t>Cape Coral Unit 33 Blk 2190 Pb 16 Pg 50 Lots 20 + 21</t>
  </si>
  <si>
    <t>33909-9243</t>
  </si>
  <si>
    <t>33909-4449</t>
  </si>
  <si>
    <t>Cape Coral Unit 36 Blk 2313 Pb 16 Pg 123 Lots 63 + 64</t>
  </si>
  <si>
    <t>Gauldry Avenue Cardonald</t>
  </si>
  <si>
    <t xml:space="preserve">5224 Marsh Mallow Trl </t>
  </si>
  <si>
    <t>19-43-26-04-0000b.0200</t>
  </si>
  <si>
    <t>Francis</t>
  </si>
  <si>
    <t>13-45-23-c2-00104.0320</t>
  </si>
  <si>
    <t xml:space="preserve">4316 NE 23rd Pl  Cape Coral, FL 33909 </t>
  </si>
  <si>
    <t>Perminus Karari &amp; Lucy Kimani</t>
  </si>
  <si>
    <t>James &amp; James Mcghee</t>
  </si>
  <si>
    <t xml:space="preserve">67 Viktoriastrasse </t>
  </si>
  <si>
    <t xml:space="preserve">78 Highland Ave </t>
  </si>
  <si>
    <t>Saint John</t>
  </si>
  <si>
    <t xml:space="preserve">15280 Codie St  Fort Myers, FL 33908 </t>
  </si>
  <si>
    <t xml:space="preserve">661 Nursery Rd  Pamplin, VA 23958-3153 </t>
  </si>
  <si>
    <t xml:space="preserve">6040 Laurelwood Dr </t>
  </si>
  <si>
    <t>Cape Coral Unit 85 Blk 5633 Pb24 Pg50 Lots 27 + 28</t>
  </si>
  <si>
    <t>Matthew Schlottmann</t>
  </si>
  <si>
    <t>Deborah &amp; Muriel Collison</t>
  </si>
  <si>
    <t>Siva</t>
  </si>
  <si>
    <t>Russell Park Blk 6 Pb 6 Pg 12 Lot 239</t>
  </si>
  <si>
    <t>17-43-24-c2-05799.0110</t>
  </si>
  <si>
    <t xml:space="preserve">1727 NE 1st Ave </t>
  </si>
  <si>
    <t>Lehigh Acres Unit 14 Blk 78 Pb 26 Pg 20 Lot 2</t>
  </si>
  <si>
    <t xml:space="preserve">2004 Exmoor Ct  Naperville, IL 60565-2615 </t>
  </si>
  <si>
    <t xml:space="preserve">4312 NE 20th Ct  Cape Coral, FL 33909 </t>
  </si>
  <si>
    <t>Javanshir</t>
  </si>
  <si>
    <t>25-43-23-c3-02308.0280</t>
  </si>
  <si>
    <t xml:space="preserve">Avenue 9 54b-14 </t>
  </si>
  <si>
    <t>20110-6012</t>
  </si>
  <si>
    <t>Cape Coral Unit 87 Blk 5723 Pb 24 Pg 85 Lots 5 + 6</t>
  </si>
  <si>
    <t>33065-7813</t>
  </si>
  <si>
    <t xml:space="preserve">3115 Francis Ave  Naples, FL 34112-3831 </t>
  </si>
  <si>
    <t>Chatsworth</t>
  </si>
  <si>
    <t>25-43-23-c1-02348.0590</t>
  </si>
  <si>
    <t>01-44-23-c2-02457.0280</t>
  </si>
  <si>
    <t>Saddle Rock</t>
  </si>
  <si>
    <t>33904-5764</t>
  </si>
  <si>
    <t xml:space="preserve">132 Hobart St  Ridgefield Park, NJ 07660-1735 </t>
  </si>
  <si>
    <t>33905-1722</t>
  </si>
  <si>
    <t xml:space="preserve">580 E Lake Shore Dr </t>
  </si>
  <si>
    <t>Spyreas</t>
  </si>
  <si>
    <t>19-43-24-c3-05624.0410</t>
  </si>
  <si>
    <t>Cape Coral Unit 36 Blk 2338 Pb 16 Pg 127 Lots 37 + 38</t>
  </si>
  <si>
    <t>Cape Coral Unit 36 Blk 2300A Pb 16 Pg 122 Lots 26 + 27</t>
  </si>
  <si>
    <t xml:space="preserve">PO Box 282  Kenova, WV 25530 </t>
  </si>
  <si>
    <t>33909-3226</t>
  </si>
  <si>
    <t>Schmid J &amp; Marlis Tr</t>
  </si>
  <si>
    <t xml:space="preserve">309 NE 30th St  Cape Coral, FL 33909 </t>
  </si>
  <si>
    <t>Cape Coral Unit 47 Part 2 Blk 3542 Pb 23 Pg 119 Lots 28 + 29</t>
  </si>
  <si>
    <t xml:space="preserve">10380 S State Rd </t>
  </si>
  <si>
    <t>Haung</t>
  </si>
  <si>
    <t>21617-2397</t>
  </si>
  <si>
    <t>Fox Hollow</t>
  </si>
  <si>
    <t>Mildred</t>
  </si>
  <si>
    <t>Plunkett</t>
  </si>
  <si>
    <t>Cypress Trail Rv Resort Phase 2-A As Desc In Inst# 2014000026506 Lot 276</t>
  </si>
  <si>
    <t xml:space="preserve">3900 NE 15th Pl </t>
  </si>
  <si>
    <t>Cape Coral Unit 32 Blk 2113 Pb 16 Pg 6 Lots 69 + 70</t>
  </si>
  <si>
    <t>Calle 66</t>
  </si>
  <si>
    <t xml:space="preserve">2005 Kismet Pkwy E  Cape Coral, FL 33909 </t>
  </si>
  <si>
    <t>Presiga</t>
  </si>
  <si>
    <t>06-44-24-c1-02071.0190</t>
  </si>
  <si>
    <t xml:space="preserve">1326 Butter Rd W  Ancaster, ON L9g 3L1 </t>
  </si>
  <si>
    <t xml:space="preserve">1801 NE 16th Pl  Cape Coral, FL 33909 </t>
  </si>
  <si>
    <t>00771-1593</t>
  </si>
  <si>
    <t xml:space="preserve">1013 NE 5th Pl </t>
  </si>
  <si>
    <t xml:space="preserve">456 Boettger Pl </t>
  </si>
  <si>
    <t xml:space="preserve">4248 NE 17th Ave  Cape Coral, FL 33909 </t>
  </si>
  <si>
    <t>Cape Coral Unit 36 Pt 1 Blk 2513 Pb 23 Pg 88 Lots 8 + 9</t>
  </si>
  <si>
    <t xml:space="preserve">6520 Chabot Ave </t>
  </si>
  <si>
    <t>State Road 31</t>
  </si>
  <si>
    <t>19-44-26-01-00002.0030</t>
  </si>
  <si>
    <t xml:space="preserve">7355 SW 37th St  Miami, FL 33155-6601 </t>
  </si>
  <si>
    <t xml:space="preserve">1012 NE 32nd St </t>
  </si>
  <si>
    <t xml:space="preserve">5231 Pineland Daisy Trl  Fort Myers, FL 33905 </t>
  </si>
  <si>
    <t xml:space="preserve">1105 NE 15th Ter </t>
  </si>
  <si>
    <t>No</t>
  </si>
  <si>
    <t>57454-5823</t>
  </si>
  <si>
    <t>03-44-26-05-00022.0100</t>
  </si>
  <si>
    <t>Nestor</t>
  </si>
  <si>
    <t xml:space="preserve">6115 Hershey Ave </t>
  </si>
  <si>
    <t xml:space="preserve">3845 Hopevale St </t>
  </si>
  <si>
    <t>Grote</t>
  </si>
  <si>
    <t xml:space="preserve">1407 Benson St  Innisfil, ON L9s 0C7 </t>
  </si>
  <si>
    <t>Cypress Trail Rv Resort Phase 4-C Block A Lot 133 As Desc In Inst 2019000042424</t>
  </si>
  <si>
    <t xml:space="preserve">27907 Eastonwood Ct </t>
  </si>
  <si>
    <t>John &amp; Dawn Hayden</t>
  </si>
  <si>
    <t xml:space="preserve">2122 Delaware Ave </t>
  </si>
  <si>
    <t>Castano</t>
  </si>
  <si>
    <t xml:space="preserve">1910 NE 13th Pl </t>
  </si>
  <si>
    <t xml:space="preserve">2148 NE 39th Ter </t>
  </si>
  <si>
    <t xml:space="preserve">5774 Burrwood Ct </t>
  </si>
  <si>
    <t>04-44-25-07-0000e.0050</t>
  </si>
  <si>
    <t xml:space="preserve">1729 NE 6th Pl  Cape Coral, FL 33909 </t>
  </si>
  <si>
    <t xml:space="preserve">9 Chapel St </t>
  </si>
  <si>
    <t>Mukhtar &amp; Ayesha Ahmed</t>
  </si>
  <si>
    <t xml:space="preserve">2616 NE 5th Ave </t>
  </si>
  <si>
    <t>02421-5704</t>
  </si>
  <si>
    <t>33909-7357</t>
  </si>
  <si>
    <t xml:space="preserve">1014 NE 15th Ln  Cape Coral, FL 33909 </t>
  </si>
  <si>
    <t>Cape Coral Unit 34 Blk 2428 Pb 16 Pg 80 Lots 27 + 28</t>
  </si>
  <si>
    <t xml:space="preserve">1505 SE 32nd Ter  Cape Coral, FL 33904 </t>
  </si>
  <si>
    <t xml:space="preserve">14789 Martin Dr </t>
  </si>
  <si>
    <t xml:space="preserve">3412 NE 20th Ave </t>
  </si>
  <si>
    <t xml:space="preserve">2731 SE Shell Pit Rd  Arcadia, FL 34266-8079 </t>
  </si>
  <si>
    <t>Steven Tye</t>
  </si>
  <si>
    <t>Ann &amp; For Miller</t>
  </si>
  <si>
    <t>Cape Coral Unit 36 Blk 2351 Pb 16 Pg 129 Lots 3 + 4</t>
  </si>
  <si>
    <t>Moroz</t>
  </si>
  <si>
    <t>Kamara</t>
  </si>
  <si>
    <t xml:space="preserve">327 NE 19th Ter  Cape Coral, FL 33909 </t>
  </si>
  <si>
    <t xml:space="preserve">110 Gardiner Rd  Quincy, MA 02169-1106 </t>
  </si>
  <si>
    <t xml:space="preserve">11620 Ficus St  Palm Beach Gardens, FL 33410-2618 </t>
  </si>
  <si>
    <t xml:space="preserve">100 Pumpkin Hill Rd #25 </t>
  </si>
  <si>
    <t>Bohemia</t>
  </si>
  <si>
    <t>25-43-23-c2-02335.0070</t>
  </si>
  <si>
    <t xml:space="preserve">1993 Burlington Dr </t>
  </si>
  <si>
    <t>Seitz</t>
  </si>
  <si>
    <t>Lehigh Acres Unit 8 Blk 39 Pb 26 Pg 10 Lot 6</t>
  </si>
  <si>
    <t>Ft Myers Shores Unit 2 Blk 29 Pb 10 Pg 7 Lot 69</t>
  </si>
  <si>
    <t>33909-1918</t>
  </si>
  <si>
    <t xml:space="preserve">3429 Andalusia Blvd </t>
  </si>
  <si>
    <t>Diane M Stieler Revocable Living Trust</t>
  </si>
  <si>
    <t>For Barbara J Hilliard Trust</t>
  </si>
  <si>
    <t>For Delbert Ray Hooper Trust</t>
  </si>
  <si>
    <t xml:space="preserve">1713 NE 23rd Ter  Cape Coral, FL 33909 </t>
  </si>
  <si>
    <t xml:space="preserve">1513 NE 15th Ter  Cape Coral, FL 33909 </t>
  </si>
  <si>
    <t xml:space="preserve">5004 Delaware Avenue Pass #1 </t>
  </si>
  <si>
    <t>Tito</t>
  </si>
  <si>
    <t>Paniagua</t>
  </si>
  <si>
    <t>99687-3992</t>
  </si>
  <si>
    <t xml:space="preserve">514 Americas Way </t>
  </si>
  <si>
    <t xml:space="preserve">2111 NE 17th Ave </t>
  </si>
  <si>
    <t xml:space="preserve">122 NE 9th St </t>
  </si>
  <si>
    <t>33909-1629</t>
  </si>
  <si>
    <t>05-44-24-c1-03538.0490</t>
  </si>
  <si>
    <t>Chacko</t>
  </si>
  <si>
    <t>07-44-24-c4-03592.0890</t>
  </si>
  <si>
    <t xml:space="preserve">5306 Cypress Trail Resort Cir </t>
  </si>
  <si>
    <t xml:space="preserve">911 SE 28th Ter  Cape Coral, FL 33904 </t>
  </si>
  <si>
    <t>33905-6248</t>
  </si>
  <si>
    <t xml:space="preserve">3904 NE 15th Pl  Cape Coral, FL 33909 </t>
  </si>
  <si>
    <t>33909-4787</t>
  </si>
  <si>
    <t>Jorge Guerrero &amp; Nelly Garzon</t>
  </si>
  <si>
    <t>Bellefonte</t>
  </si>
  <si>
    <t>55372-4112</t>
  </si>
  <si>
    <t>Verde Santa Fe</t>
  </si>
  <si>
    <t>Wiersum</t>
  </si>
  <si>
    <t>Cape Coral Unit 33 Blk 2286 Pb 16 Pg 57 Lots 21 + 22</t>
  </si>
  <si>
    <t>Judith Mcomber &amp; Dennis For</t>
  </si>
  <si>
    <t>18-43-24-c1-05692.0370</t>
  </si>
  <si>
    <t>11554-2605</t>
  </si>
  <si>
    <t>Downers Grove</t>
  </si>
  <si>
    <t>Maryellen</t>
  </si>
  <si>
    <t xml:space="preserve">252 Oxford Rd  Mansfield, OH 44904-1037 </t>
  </si>
  <si>
    <t>33904-8383</t>
  </si>
  <si>
    <t>Cape Coral Unit 85 Blk 5640 Pb 24 Pg 54 Lot 22</t>
  </si>
  <si>
    <t>33909-8815</t>
  </si>
  <si>
    <t xml:space="preserve">1102 NE 9th Ter  Cape Coral, FL 33909 </t>
  </si>
  <si>
    <t>Lopez-Martinez</t>
  </si>
  <si>
    <t>Vanderweele</t>
  </si>
  <si>
    <t>71654-2103</t>
  </si>
  <si>
    <t>Cape Coral Unit 85 Blk 5634 Pb 24 Pg 50 Lot 16</t>
  </si>
  <si>
    <t>William &amp; Ellen Boyea</t>
  </si>
  <si>
    <t>06-44-24-c4-02053.0250</t>
  </si>
  <si>
    <t xml:space="preserve">14200 Roof St  Fort Myers, FL 33905 </t>
  </si>
  <si>
    <t>Muhs</t>
  </si>
  <si>
    <t>Leonard &amp; Frances Olsen</t>
  </si>
  <si>
    <t>52749-9304</t>
  </si>
  <si>
    <t>For John &amp; Rose Gala Trust</t>
  </si>
  <si>
    <t xml:space="preserve">3683 Pebble Bch </t>
  </si>
  <si>
    <t xml:space="preserve">3804 NE 23rd Pl </t>
  </si>
  <si>
    <t xml:space="preserve">3771 La Rue St  Fort Myers, FL 33905 </t>
  </si>
  <si>
    <t xml:space="preserve">1139 NE 39th St  Cape Coral, FL 33909 </t>
  </si>
  <si>
    <t>18-43-24-c4-05707.0360</t>
  </si>
  <si>
    <t xml:space="preserve">468 County Road 4387 </t>
  </si>
  <si>
    <t xml:space="preserve">29226 Avenida Avila  Valencia, CA 91354-1582 </t>
  </si>
  <si>
    <t>Russo &amp; Thomas Russo</t>
  </si>
  <si>
    <t>01-44-23-c3-02428.0150</t>
  </si>
  <si>
    <t xml:space="preserve">5759 Burrwood Ct  Fort Myers, FL 33905 </t>
  </si>
  <si>
    <t>Cox</t>
  </si>
  <si>
    <t>34-43-24-01-00017.0130</t>
  </si>
  <si>
    <t>L4M 6X3</t>
  </si>
  <si>
    <t>01-44-23-c1-02437.0790</t>
  </si>
  <si>
    <t xml:space="preserve">151 Topeg Dr </t>
  </si>
  <si>
    <t>Cairo</t>
  </si>
  <si>
    <t>Burpee</t>
  </si>
  <si>
    <t>11590-6348</t>
  </si>
  <si>
    <t xml:space="preserve">2105 NE 16th Pl </t>
  </si>
  <si>
    <t xml:space="preserve">12603 Mezzadro Ave </t>
  </si>
  <si>
    <t xml:space="preserve">2212 NE 2nd Ave  Cape Coral, FL 33909 </t>
  </si>
  <si>
    <t>Oscar &amp; Diego Ruiz</t>
  </si>
  <si>
    <t>33351-5788</t>
  </si>
  <si>
    <t>45044-9475</t>
  </si>
  <si>
    <t>29-43-24-c3-02280.0060</t>
  </si>
  <si>
    <t xml:space="preserve">10353 Nightwood Dr </t>
  </si>
  <si>
    <t xml:space="preserve">3849 Insdale St  Fort Myers, FL 33905 </t>
  </si>
  <si>
    <t>Cape Coral Unit 36 Pt.1 Blk.2477 Pb 23 Pg 89 Lots 35 Thru 40</t>
  </si>
  <si>
    <t xml:space="preserve">3110 NE 6th Pl </t>
  </si>
  <si>
    <t>Jackstown</t>
  </si>
  <si>
    <t xml:space="preserve">3408 NE 13th Pl  Cape Coral, FL 33909 </t>
  </si>
  <si>
    <t>33905-7706</t>
  </si>
  <si>
    <t xml:space="preserve">1221 Richfield Ct  Woodridge, IL 60517-7709 </t>
  </si>
  <si>
    <t>11230-1711</t>
  </si>
  <si>
    <t>R1b</t>
  </si>
  <si>
    <t>George &amp; Carla Watkins</t>
  </si>
  <si>
    <t xml:space="preserve">719 E 80th St </t>
  </si>
  <si>
    <t>49267-8732</t>
  </si>
  <si>
    <t xml:space="preserve">3212 93rd Dr NE </t>
  </si>
  <si>
    <t xml:space="preserve">5322 Shoal Creek Rd </t>
  </si>
  <si>
    <t>34983-6402</t>
  </si>
  <si>
    <t xml:space="preserve">5035 N Kolmar Ave  Chicago, IL 60630-1716 </t>
  </si>
  <si>
    <t xml:space="preserve">1030 N Sierra View St </t>
  </si>
  <si>
    <t xml:space="preserve">36 Villa Este </t>
  </si>
  <si>
    <t xml:space="preserve">61775 Glenwood Trl  Washington, MI 48094-1523 </t>
  </si>
  <si>
    <t>11-44-25-l1-12000.3780</t>
  </si>
  <si>
    <t xml:space="preserve">1813 NE 12th Pl  Cape Coral, FL 33909 </t>
  </si>
  <si>
    <t>Adonai Guzman &amp; Maria Osorio</t>
  </si>
  <si>
    <t xml:space="preserve">22 New York Ave  Port Jefferson Station, NY 11776-1826 </t>
  </si>
  <si>
    <t>Cape Coral Unit 84 Blk 5585 Pb 24 Pg 48 Lots 4 + 5</t>
  </si>
  <si>
    <t xml:space="preserve">26 Main St #6 </t>
  </si>
  <si>
    <t>Diana Guerrero &amp; Orlan Pantano</t>
  </si>
  <si>
    <t xml:space="preserve">5232 Versailles Ct  Cape Coral, FL 33904 </t>
  </si>
  <si>
    <t>33909-7303</t>
  </si>
  <si>
    <t>Elsa &amp; For Medina</t>
  </si>
  <si>
    <t>01970-5341</t>
  </si>
  <si>
    <t>Kenneth &amp; Angela Parsons</t>
  </si>
  <si>
    <t>Defense</t>
  </si>
  <si>
    <t>Fattier</t>
  </si>
  <si>
    <t>33909-4537</t>
  </si>
  <si>
    <t xml:space="preserve">2346 NE 19th Pl  Cape Coral, FL 33909 </t>
  </si>
  <si>
    <t xml:space="preserve">1438 NE 33rd Ter </t>
  </si>
  <si>
    <t xml:space="preserve">1704 Sierra Hills Way </t>
  </si>
  <si>
    <t xml:space="preserve">1814 NE 33rd St </t>
  </si>
  <si>
    <t>14626-3637</t>
  </si>
  <si>
    <t xml:space="preserve">3727 Michigan Ave </t>
  </si>
  <si>
    <t>Lafayette</t>
  </si>
  <si>
    <t>R042</t>
  </si>
  <si>
    <t>23140-4427</t>
  </si>
  <si>
    <t xml:space="preserve">1911 NE 13th Ave </t>
  </si>
  <si>
    <t>Neely</t>
  </si>
  <si>
    <t>33909-2630</t>
  </si>
  <si>
    <t>33909-4248</t>
  </si>
  <si>
    <t>Frm Se Cor E 3/4 Of S 1/2 Of Sw 1/4 Of Nw 1/4 Run S Alg S Li Sec 635.85 Ft To</t>
  </si>
  <si>
    <t>Frk</t>
  </si>
  <si>
    <t xml:space="preserve">1934 NE 15th Ter </t>
  </si>
  <si>
    <t>104th</t>
  </si>
  <si>
    <t xml:space="preserve">Po Box 312 </t>
  </si>
  <si>
    <t>Winding River</t>
  </si>
  <si>
    <t xml:space="preserve">1024 NE 34th Ter </t>
  </si>
  <si>
    <t xml:space="preserve">4413 NE 14th Pl </t>
  </si>
  <si>
    <t>Hashahaf</t>
  </si>
  <si>
    <t>Cape Coral Unit 88 Blk 5796 Pb 24 Pg 131 Lots 10 + 11</t>
  </si>
  <si>
    <t>Cape Coral Unit 35 Blk.2413 Pb 16 Pg 109 Lots 35 + 36</t>
  </si>
  <si>
    <t xml:space="preserve">1832 NE 22nd St  Cape Coral, FL 33909 </t>
  </si>
  <si>
    <t>60948-9669</t>
  </si>
  <si>
    <t>Brower</t>
  </si>
  <si>
    <t>Cape Coral Unit 26 Blk 924 Pb 14 Pg 136 Lots 45 + 46</t>
  </si>
  <si>
    <t xml:space="preserve">109 Claire Dr  Lakewood, NJ 08701-5555 </t>
  </si>
  <si>
    <t xml:space="preserve">8095 Laketown Pkwy </t>
  </si>
  <si>
    <t xml:space="preserve">1104 NE 40th St </t>
  </si>
  <si>
    <t>Millstream</t>
  </si>
  <si>
    <t>Nicola &amp; Freda Grillo</t>
  </si>
  <si>
    <t xml:space="preserve">6410 Castlewood Cir </t>
  </si>
  <si>
    <t xml:space="preserve">2039 Waltman St  Fort Myers, FL 33901 </t>
  </si>
  <si>
    <t>Cypress Woods Rv Resort Ut 1 Pb 65 Pg 85 + 86 Blk A Lot 4</t>
  </si>
  <si>
    <t>17-43-24-c1-05821.0330</t>
  </si>
  <si>
    <t xml:space="preserve">3852 Ivy Ct  Fort Myers, FL 33905 </t>
  </si>
  <si>
    <t xml:space="preserve">304 Indian Trce #160 </t>
  </si>
  <si>
    <t xml:space="preserve">14161 Cherrydale St </t>
  </si>
  <si>
    <t xml:space="preserve">6034 Jonathan Ave  Fort Myers, FL 33905 </t>
  </si>
  <si>
    <t xml:space="preserve">301 NE 30th Ter  Cape Coral, FL 33909 </t>
  </si>
  <si>
    <t xml:space="preserve">82 Beachdale Dr </t>
  </si>
  <si>
    <t>Sleepy Wood</t>
  </si>
  <si>
    <t xml:space="preserve">1801 NE 27th St </t>
  </si>
  <si>
    <t xml:space="preserve">287 Rockhill Ct </t>
  </si>
  <si>
    <t xml:space="preserve">7485 NW 177th Ter </t>
  </si>
  <si>
    <t>Towlston</t>
  </si>
  <si>
    <t xml:space="preserve">4417 NE 21st Ave  Cape Coral, FL 33909 </t>
  </si>
  <si>
    <t xml:space="preserve">A50 Calle Sabatini  San Juan, PR 00926-2103 </t>
  </si>
  <si>
    <t>Cape Coral Unit 36 Pt 1 Blk 2146 Pb 23 Pg 94 Lots 14 + 15</t>
  </si>
  <si>
    <t>West Islip</t>
  </si>
  <si>
    <t>33909-1967</t>
  </si>
  <si>
    <t>Dave</t>
  </si>
  <si>
    <t xml:space="preserve">4 Lee Ct  Great Neck, NY 11024-1427 </t>
  </si>
  <si>
    <t xml:space="preserve">140 Dawn Dr  Centereach, NY 11720-2242 </t>
  </si>
  <si>
    <t>For Walter M Schelle Trust</t>
  </si>
  <si>
    <t>PH</t>
  </si>
  <si>
    <t>33167-3916</t>
  </si>
  <si>
    <t>Yolanda</t>
  </si>
  <si>
    <t>Morning Glory</t>
  </si>
  <si>
    <t xml:space="preserve">4210 NE 23rd Ave  Cape Coral, FL 33909 </t>
  </si>
  <si>
    <t>Dat Nguyen &amp; Phung Ly</t>
  </si>
  <si>
    <t xml:space="preserve">212 Henley Rd </t>
  </si>
  <si>
    <t xml:space="preserve">2904 NE 5th Pl  Cape Coral, FL 33909 </t>
  </si>
  <si>
    <t xml:space="preserve">995 April Ln </t>
  </si>
  <si>
    <t>33909-6472</t>
  </si>
  <si>
    <t>07-44-24-c3-01495.0010</t>
  </si>
  <si>
    <t xml:space="preserve">2708 NE 4th Pl  Cape Coral, FL 33909 </t>
  </si>
  <si>
    <t xml:space="preserve">437 Ferris Rd  Seaford, NY 11783-1002 </t>
  </si>
  <si>
    <t>Lyndel &amp; Dawn Allen</t>
  </si>
  <si>
    <t>PO Box 576</t>
  </si>
  <si>
    <t>Circle</t>
  </si>
  <si>
    <t xml:space="preserve">1727 Pettit Ave  Merrick, NY 11566-2607 </t>
  </si>
  <si>
    <t>Palms the Blk D Pb 8 Pg 55 Lot 6</t>
  </si>
  <si>
    <t>11-44-25-08-00000.1910</t>
  </si>
  <si>
    <t xml:space="preserve">4618 SE 20th Pl  Cape Coral, FL 33904 </t>
  </si>
  <si>
    <t xml:space="preserve">1840 Aqui Esta Dr #2323 </t>
  </si>
  <si>
    <t>11763-1634</t>
  </si>
  <si>
    <t>Palacios</t>
  </si>
  <si>
    <t>05-44-24-c1-03521.0090</t>
  </si>
  <si>
    <t>32-43-26-16-0000a.0100</t>
  </si>
  <si>
    <t xml:space="preserve">5204 Cypress Trail Resort Cir  Fort Myers, FL 33905 </t>
  </si>
  <si>
    <t>Carrying Place</t>
  </si>
  <si>
    <t>Cape Coral Unit 87 Blk 5739 Pb 24 Pg 77 Lots 3 + 4</t>
  </si>
  <si>
    <t>Cape Coral Unit 17 Blk.1509 Pb 14 Pg 27 Lots 100 + 101</t>
  </si>
  <si>
    <t xml:space="preserve">2501 NE 19th Pl </t>
  </si>
  <si>
    <t xml:space="preserve">1330 NE 12th Pl  Cape Coral, FL 33909 </t>
  </si>
  <si>
    <t>33909-8864</t>
  </si>
  <si>
    <t>Irene</t>
  </si>
  <si>
    <t xml:space="preserve">414 NE 7th St  Cape Coral, FL 33909 </t>
  </si>
  <si>
    <t xml:space="preserve">10338 Fire Flag Trl  Fort Myers, FL 33905 </t>
  </si>
  <si>
    <t xml:space="preserve">324 NE 26th St  Cape Coral, FL 33909 </t>
  </si>
  <si>
    <t>Buckingham Pk Re Blk B U-5 Blk 27 Pb 27 Pg 193 Lot 14</t>
  </si>
  <si>
    <t>C David C &amp; Kay Kaley</t>
  </si>
  <si>
    <t>Greenhalgh</t>
  </si>
  <si>
    <t xml:space="preserve">1605 NE 33rd Ter </t>
  </si>
  <si>
    <t>Park City</t>
  </si>
  <si>
    <t xml:space="preserve">1946 South Dr </t>
  </si>
  <si>
    <t xml:space="preserve">2105 NE 4th St </t>
  </si>
  <si>
    <t>Kevin Ruane</t>
  </si>
  <si>
    <t>33905-3624</t>
  </si>
  <si>
    <t xml:space="preserve">PO Box 502  Dixfield, ME 04224 </t>
  </si>
  <si>
    <t>Cove</t>
  </si>
  <si>
    <t>Karl &amp; Erika Domke</t>
  </si>
  <si>
    <t>PO Box 25364</t>
  </si>
  <si>
    <t>Ungerer</t>
  </si>
  <si>
    <t xml:space="preserve">1804 NE 18th Pl </t>
  </si>
  <si>
    <t xml:space="preserve">3020 NE 5th Ave  Cape Coral, FL 33909 </t>
  </si>
  <si>
    <t>33909-3510</t>
  </si>
  <si>
    <t xml:space="preserve">7112 Kennedy Rd  Munith, MI 49259-9504 </t>
  </si>
  <si>
    <t>Oxnard</t>
  </si>
  <si>
    <t xml:space="preserve">1248 N Gator Cir </t>
  </si>
  <si>
    <t xml:space="preserve">13027 230th St </t>
  </si>
  <si>
    <t xml:space="preserve">205 Park Shore Dr E </t>
  </si>
  <si>
    <t xml:space="preserve">3740 Kilarney St  Fort Myers, FL 33905 </t>
  </si>
  <si>
    <t>15090-1545</t>
  </si>
  <si>
    <t>06810-6305</t>
  </si>
  <si>
    <t>22664-1718</t>
  </si>
  <si>
    <t>Lehigh Acres Unit 11 Blk 59 Pb 26 Pg 14 Lot 17</t>
  </si>
  <si>
    <t>Rose Haven</t>
  </si>
  <si>
    <t xml:space="preserve">6320 Arbor Ave  Fort Myers, FL 33905 </t>
  </si>
  <si>
    <t>Bryn Mawr-Skyway</t>
  </si>
  <si>
    <t>Garden City</t>
  </si>
  <si>
    <t xml:space="preserve">2613 NE 7th Ave </t>
  </si>
  <si>
    <t xml:space="preserve">1018 NE 34th Ln </t>
  </si>
  <si>
    <t>Cape Coral Unit 31 Blk 2057 Pb 14 Pg 158 Lots 32 + 33</t>
  </si>
  <si>
    <t xml:space="preserve">10080 Stonewood Dr </t>
  </si>
  <si>
    <t>Eisen</t>
  </si>
  <si>
    <t xml:space="preserve">825 Morrison Ave 18b, Bronx, NY 10473-4440 </t>
  </si>
  <si>
    <t xml:space="preserve">1529 NE 36th St </t>
  </si>
  <si>
    <t>Palmetto Palms Rv Resort Condo Ph 2 Or 1530 Pg 1466 Res Unit 202</t>
  </si>
  <si>
    <t xml:space="preserve">6851 Cadet Ave  Fort Myers, FL 33905 </t>
  </si>
  <si>
    <t>Whitestone</t>
  </si>
  <si>
    <t xml:space="preserve">1936 Burchstone Dr </t>
  </si>
  <si>
    <t>Buckingham Pk Re Blk B U-4 Blk 18 Pb 27 Pg 192 Lot 16</t>
  </si>
  <si>
    <t xml:space="preserve">1934 NE 15th Ln  Cape Coral, FL 33909 </t>
  </si>
  <si>
    <t>Masen Khattat</t>
  </si>
  <si>
    <t>G2B 0B9</t>
  </si>
  <si>
    <t>B B &amp; Stella Scharfstein</t>
  </si>
  <si>
    <t xml:space="preserve">2212 NE 35th St </t>
  </si>
  <si>
    <t>Cape Coral Unit 85 Blk 5664 Pb 24 Pg 58 Lots 21 + 22</t>
  </si>
  <si>
    <t xml:space="preserve">6330 Techster Blvd  Fort Myers, FL 33966-4725 </t>
  </si>
  <si>
    <t>157th</t>
  </si>
  <si>
    <t>Cape Coral Unit 26 Blk.871 Pb 14 Pg 130 Lots 1 + 2</t>
  </si>
  <si>
    <t xml:space="preserve">4019 NE 9th Ave </t>
  </si>
  <si>
    <t>Broadview Manor Blk D Pb 8 Pg 30 Lot 5 + E 1/2 Of Lot 6</t>
  </si>
  <si>
    <t>Holiday Travel Park Rv Condo Ph 1 Or 1557 Pg 1583 Unit 271</t>
  </si>
  <si>
    <t>33905-7755</t>
  </si>
  <si>
    <t>River Grove</t>
  </si>
  <si>
    <t xml:space="preserve">1008 NE Juanita Pl  Cape Coral, FL 33909 </t>
  </si>
  <si>
    <t>Schmelzer</t>
  </si>
  <si>
    <t xml:space="preserve">1046 NE 2nd Ter  Cape Coral, FL 33909 </t>
  </si>
  <si>
    <t xml:space="preserve">533 NW 130th Ave  Pembroke Pines, FL 33028-3123 </t>
  </si>
  <si>
    <t xml:space="preserve">27 S Bedford St </t>
  </si>
  <si>
    <t xml:space="preserve">5370 Del Monte Ct </t>
  </si>
  <si>
    <t xml:space="preserve">7924 S Center Hwy </t>
  </si>
  <si>
    <t>Amitava</t>
  </si>
  <si>
    <t xml:space="preserve">6045 Lacota Ave  Fort Myers, FL 33905 </t>
  </si>
  <si>
    <t xml:space="preserve">114 NE 31st Ter  Cape Coral, FL 33909 </t>
  </si>
  <si>
    <t>28079-5107</t>
  </si>
  <si>
    <t>Amela</t>
  </si>
  <si>
    <t>09-44-25-06-0000c.0290</t>
  </si>
  <si>
    <t>Sheffer</t>
  </si>
  <si>
    <t>Robert Eames</t>
  </si>
  <si>
    <t>Cape Coral Unit 85 Blk 5671 Pb 24 Pg 52 Lots 21 + 22</t>
  </si>
  <si>
    <t xml:space="preserve">1009 NE 44th St </t>
  </si>
  <si>
    <t>33909-1428</t>
  </si>
  <si>
    <t>Parl In Nw 1/4 Of Sw 1/4 Of Nw 1/4 Desc In Or 1652 Pg 3822</t>
  </si>
  <si>
    <t xml:space="preserve">2116 NE 22nd Ave </t>
  </si>
  <si>
    <t xml:space="preserve">1256 Lock 7 Rd  Schenectady, NY 12309-1302 </t>
  </si>
  <si>
    <t xml:space="preserve">3433 NE 11th Pl  Cape Coral, FL 33909 </t>
  </si>
  <si>
    <t xml:space="preserve">3418 Elk Dr  Zeeland, MI 49464-6831 </t>
  </si>
  <si>
    <t>Roldan</t>
  </si>
  <si>
    <t xml:space="preserve">1925 NE 17th Ter </t>
  </si>
  <si>
    <t>Hossebian</t>
  </si>
  <si>
    <t xml:space="preserve">1006 Kismet Pkwy E  Cape Coral, FL 33909 </t>
  </si>
  <si>
    <t>08-45-24-c4-00368.0430</t>
  </si>
  <si>
    <t xml:space="preserve">3590 Trinity Pl  Lithonia, GA 30038-4315 </t>
  </si>
  <si>
    <t xml:space="preserve">1161 W 53rd Ter  Hialeah, FL 33012-2428 </t>
  </si>
  <si>
    <t xml:space="preserve">6 Schuyler Pl  Bayonne, NJ 07002-1224 </t>
  </si>
  <si>
    <t>R091</t>
  </si>
  <si>
    <t>Stella</t>
  </si>
  <si>
    <t>Ixonia</t>
  </si>
  <si>
    <t>Bartlett</t>
  </si>
  <si>
    <t>Cape Coral Unit 34 Blk 2466 Pb 16 Pg 76 Lots 75 + 76</t>
  </si>
  <si>
    <t>00623-4357</t>
  </si>
  <si>
    <t xml:space="preserve">80 Ripley St  Newton Center, MA 02459-2208 </t>
  </si>
  <si>
    <t xml:space="preserve">3111 NE 1st Ave </t>
  </si>
  <si>
    <t>Pack</t>
  </si>
  <si>
    <t>B019</t>
  </si>
  <si>
    <t>Cape Coral Unit 88 Blk 5785 Pb 24 Pg 131 Lots 22 + 23</t>
  </si>
  <si>
    <t xml:space="preserve">1810 NE 21st Pl  Cape Coral, FL 33909 </t>
  </si>
  <si>
    <t xml:space="preserve">3165 Auburn Folsom Rd </t>
  </si>
  <si>
    <t>Shahan</t>
  </si>
  <si>
    <t>Mary &amp; For Brandenburg</t>
  </si>
  <si>
    <t>Nikica</t>
  </si>
  <si>
    <t xml:space="preserve">4036 NE 8th Pl </t>
  </si>
  <si>
    <t>Berens</t>
  </si>
  <si>
    <t>Romie Beaubrun &amp; Romy Voltaire</t>
  </si>
  <si>
    <t>Grantsville</t>
  </si>
  <si>
    <t xml:space="preserve">1616 S Betty Ln </t>
  </si>
  <si>
    <t>36-43-23-c2-02531.0200</t>
  </si>
  <si>
    <t xml:space="preserve">2612 NE 17th Ave </t>
  </si>
  <si>
    <t>Cape Coral Unit 36 Blk 2342 Pb 16 Pg 121 Lots 23 + 24</t>
  </si>
  <si>
    <t xml:space="preserve">5609 Brightwood Dr </t>
  </si>
  <si>
    <t>Larson</t>
  </si>
  <si>
    <t>PROPERTY TAX</t>
  </si>
  <si>
    <t>11-44-25-09-00000.0730</t>
  </si>
  <si>
    <t>20-43-24-c1-05644.0070</t>
  </si>
  <si>
    <t>Nuni</t>
  </si>
  <si>
    <t>Cape Coral Unit 34 Blk 2446 Pb 16 Pg 81 Lots 35 + 36</t>
  </si>
  <si>
    <t>Cypress Trail Rv Resort Phase 4-C Block A Lot 122 As Desc In Inst 2019000042424</t>
  </si>
  <si>
    <t>33903-3338</t>
  </si>
  <si>
    <t>Paradise</t>
  </si>
  <si>
    <t>11520-5414</t>
  </si>
  <si>
    <t>Cape Coral Unit 33 Blk.2277 Pb 16 Pg 58 Lots 1 + 2</t>
  </si>
  <si>
    <t>Cape Coral Unit 47 Pt 2 Blk 3541 Pb 23 Pg 119 Lots 17 + 18</t>
  </si>
  <si>
    <t>Kathy</t>
  </si>
  <si>
    <t>Cape Coral Unit 36 Blk 2300A Pb 16 Pg 122 Lots 24 + 25</t>
  </si>
  <si>
    <t>Kokomo</t>
  </si>
  <si>
    <t>Telly &amp; Christina Rentzelos</t>
  </si>
  <si>
    <t xml:space="preserve">209 N Cathy Ln </t>
  </si>
  <si>
    <t>John &amp; Linda Talutis</t>
  </si>
  <si>
    <t>Garcia</t>
  </si>
  <si>
    <t xml:space="preserve">11031 SW 25th St #1207, Miramar, FL 33025-7679 </t>
  </si>
  <si>
    <t xml:space="preserve">1002 Vogiantzis Pkwy </t>
  </si>
  <si>
    <t>Cypress Woods Rv Resort Un 3 Desc In Pb 72 Pgs 92-95 Blk C Lot 99</t>
  </si>
  <si>
    <t xml:space="preserve">34 C 39 #301, La Castellana Antioquia, CO </t>
  </si>
  <si>
    <t>34243-6328</t>
  </si>
  <si>
    <t>23140-3542</t>
  </si>
  <si>
    <t>Lehigh Acres Unit 12 Blk 62 Pb 26 Pg 15 Lot 11</t>
  </si>
  <si>
    <t xml:space="preserve">33289 Qutley Park Dr  Solon, OH 44139 </t>
  </si>
  <si>
    <t xml:space="preserve">29 Mudersbach  Mission, SD 57555 </t>
  </si>
  <si>
    <t>Cape Coral Unit 34 Blk.2453 Pb 16 Pg 86 Lots 39 + 40</t>
  </si>
  <si>
    <t xml:space="preserve">412 NE 25th St </t>
  </si>
  <si>
    <t xml:space="preserve">10171 Shadowood Ct </t>
  </si>
  <si>
    <t>Antonio &amp; Annunciata Alessi</t>
  </si>
  <si>
    <t xml:space="preserve">Po Box 1166 </t>
  </si>
  <si>
    <t>Yisbet</t>
  </si>
  <si>
    <t>Lehigh Acres Unit 13 Blk 74 Pb 26 Pg 18 Lot 10</t>
  </si>
  <si>
    <t>Rudolf &amp; Yvonne Bossert</t>
  </si>
  <si>
    <t>20-43-24-c1-05598.0420</t>
  </si>
  <si>
    <t xml:space="preserve">N3618 State Road 15 </t>
  </si>
  <si>
    <t>94598-1243</t>
  </si>
  <si>
    <t xml:space="preserve">6144 Laurelwood Dr </t>
  </si>
  <si>
    <t xml:space="preserve">1928 NE 15th Pl </t>
  </si>
  <si>
    <t>R009</t>
  </si>
  <si>
    <t xml:space="preserve">5416 Springlake Way </t>
  </si>
  <si>
    <t>River By Pb 11 Pg 16 Lt 28 Less Swly 12.6Ft Lot 28 + Or 1886 Pg 1544 + Addl Port Along Nw Waters Edge As Per Fl Statues 253.12</t>
  </si>
  <si>
    <t>For Joyce M &amp; Ralph L Craig Trust</t>
  </si>
  <si>
    <t>60459-3201</t>
  </si>
  <si>
    <t xml:space="preserve">3904 NE 15th Pl </t>
  </si>
  <si>
    <t>Cape Coral Unit 85 Blk 5633 Pb 24 Pg 50 Lots 9 + 10</t>
  </si>
  <si>
    <t>17-43-24-c2-05800.0370</t>
  </si>
  <si>
    <t xml:space="preserve">824 Vogiantzis Pkwy  Cape Coral, FL 33909 </t>
  </si>
  <si>
    <t>Cypress Trail Rv Resort Phase 4-C Block B Lot 461 As Desc In Inst 2019000042424</t>
  </si>
  <si>
    <t xml:space="preserve">825 NE 44th Ln </t>
  </si>
  <si>
    <t xml:space="preserve">107 Summit Dr  Huntington, WV 25705-3715 </t>
  </si>
  <si>
    <t xml:space="preserve">5620 Cypress Woods Resort Dr </t>
  </si>
  <si>
    <t xml:space="preserve">315 Alpine Cir  River Vale, NJ 07675-6164 </t>
  </si>
  <si>
    <t>Cape Coral Unit 32 Blk 2109 Pb 16 Pg 2 Lots 1 + 2</t>
  </si>
  <si>
    <t>Rossett</t>
  </si>
  <si>
    <t>Lawrenceburg</t>
  </si>
  <si>
    <t>92651-1508</t>
  </si>
  <si>
    <t>Stordy</t>
  </si>
  <si>
    <t>Knol Andrew W Tr</t>
  </si>
  <si>
    <t>19-43-24-c4-05556.0510</t>
  </si>
  <si>
    <t>Macon-Bibb County</t>
  </si>
  <si>
    <t>Cape Coral Unit 35 Blk 2369 Pb 16 Pg 104 Lots 40 + 41</t>
  </si>
  <si>
    <t>Page Park Pb 8 Pg 92 Blk O Pt Lot 7 As Desc In Or 3903 Pg 2387</t>
  </si>
  <si>
    <t>N9E 1C7</t>
  </si>
  <si>
    <t>For Lutz Family Trust</t>
  </si>
  <si>
    <t>06-44-24-c1-02069.0100</t>
  </si>
  <si>
    <t>Brandis</t>
  </si>
  <si>
    <t xml:space="preserve">7850 Half Moon Point Dr  Las Vegas, NV 89113-3078 </t>
  </si>
  <si>
    <t>Hull</t>
  </si>
  <si>
    <t>Cunard</t>
  </si>
  <si>
    <t>13502-3720</t>
  </si>
  <si>
    <t>96789-3202</t>
  </si>
  <si>
    <t>33412-2913</t>
  </si>
  <si>
    <t>33904-5819</t>
  </si>
  <si>
    <t xml:space="preserve">1148 NE 44th Ln  Cape Coral, FL 33909 </t>
  </si>
  <si>
    <t xml:space="preserve">4210 Ramsey Blvd  Cape Coral, FL 33909 </t>
  </si>
  <si>
    <t xml:space="preserve">2990 Snow Dr </t>
  </si>
  <si>
    <t>Didonato</t>
  </si>
  <si>
    <t>Rockland</t>
  </si>
  <si>
    <t>Browne</t>
  </si>
  <si>
    <t xml:space="preserve">5371 Colony Ct  Cape Coral, FL 33904 </t>
  </si>
  <si>
    <t>Steiner Richard Sr Tr</t>
  </si>
  <si>
    <t>Russell Maria J Tr</t>
  </si>
  <si>
    <t>16-44-26-06-00013.0440</t>
  </si>
  <si>
    <t>27545-8874</t>
  </si>
  <si>
    <t xml:space="preserve">1810 NE 23rd Ave  Cape Coral, FL 33909 </t>
  </si>
  <si>
    <t>36-43-23-c1-02547.0120</t>
  </si>
  <si>
    <t>Xue Zheng</t>
  </si>
  <si>
    <t>33904-3912</t>
  </si>
  <si>
    <t>Brick</t>
  </si>
  <si>
    <t xml:space="preserve">5901 Orange Ln  Oak Forest, IL 60452-2027 </t>
  </si>
  <si>
    <t>06-44-24-c4-02043.0470</t>
  </si>
  <si>
    <t xml:space="preserve">1528 NE 33rd Ln  Cape Coral, FL 33909 </t>
  </si>
  <si>
    <t xml:space="preserve">2114 Barbados Ave </t>
  </si>
  <si>
    <t>Passaic</t>
  </si>
  <si>
    <t>Cape Coral Unit 88 Blk 5786 Pb 24 Pg 131 Lots 3 + 4</t>
  </si>
  <si>
    <t xml:space="preserve">2036 NE 34th Ln </t>
  </si>
  <si>
    <t xml:space="preserve">17 Silver Spring Rd </t>
  </si>
  <si>
    <t>01-44-23-c4-02417.0510</t>
  </si>
  <si>
    <t xml:space="preserve">322 NE 30th St </t>
  </si>
  <si>
    <t xml:space="preserve">2507 NE 6th Ave </t>
  </si>
  <si>
    <t>Great Kills</t>
  </si>
  <si>
    <t xml:space="preserve">1032 NE 43rd Ter  Cape Coral, FL 33909 </t>
  </si>
  <si>
    <t xml:space="preserve">1327 NE 11th Ter </t>
  </si>
  <si>
    <t>H085</t>
  </si>
  <si>
    <t xml:space="preserve">361 Shawomet Ave </t>
  </si>
  <si>
    <t>33018-8020</t>
  </si>
  <si>
    <t>SITUS FULL ADDRESS</t>
  </si>
  <si>
    <t>Cranmer</t>
  </si>
  <si>
    <t>Severn</t>
  </si>
  <si>
    <t>C020</t>
  </si>
  <si>
    <t xml:space="preserve">5241 NW 174th Dr </t>
  </si>
  <si>
    <t>18-43-24-c4-05680.0260</t>
  </si>
  <si>
    <t>11-44-25-07-00000.1480</t>
  </si>
  <si>
    <t>Batel</t>
  </si>
  <si>
    <t xml:space="preserve">1133 NE 32nd Ter </t>
  </si>
  <si>
    <t xml:space="preserve">132 Deborah Dr  Reading, PA 19610-3104 </t>
  </si>
  <si>
    <t>12-44-23-c2-02384.0150</t>
  </si>
  <si>
    <t xml:space="preserve">355-32 Sp 901 #48 </t>
  </si>
  <si>
    <t>Antonio &amp; Luzviminda Pungot</t>
  </si>
  <si>
    <t>03-44-26-07-00033.0280</t>
  </si>
  <si>
    <t xml:space="preserve">123 NE 25th St  Cape Coral, FL 33909 </t>
  </si>
  <si>
    <t>05-45-24-c2-01168.0330</t>
  </si>
  <si>
    <t>For Magruder Exempt Bypass Trust</t>
  </si>
  <si>
    <t xml:space="preserve">125 E San Marino Dr </t>
  </si>
  <si>
    <t>33909-6271</t>
  </si>
  <si>
    <t xml:space="preserve">621 NW 33rd Ave  Lauderhill, FL 33311-7614 </t>
  </si>
  <si>
    <t>25-43-23-c2-02351.0220</t>
  </si>
  <si>
    <t>Castelli</t>
  </si>
  <si>
    <t xml:space="preserve">2911 NE Cherry Rd </t>
  </si>
  <si>
    <t xml:space="preserve">12702 SW 45th Dr  Miramar, FL 33027-6046 </t>
  </si>
  <si>
    <t>Cape Coral Unit 36 Blk 2299 Pb 16 Pg 119 Lots 41 + 42</t>
  </si>
  <si>
    <t xml:space="preserve">3418 Elk Dr </t>
  </si>
  <si>
    <t>33909-8952</t>
  </si>
  <si>
    <t xml:space="preserve">2530 2nd St </t>
  </si>
  <si>
    <t>12-44-23-c1-02399.0270</t>
  </si>
  <si>
    <t xml:space="preserve">4141 Andalusia Blvd  Cape Coral, FL 33909 </t>
  </si>
  <si>
    <t>33909-5505</t>
  </si>
  <si>
    <t xml:space="preserve">2222 NE 24th Ter  Cape Coral, FL 33909 </t>
  </si>
  <si>
    <t xml:space="preserve">3608 NE 9th Ave </t>
  </si>
  <si>
    <t>19-43-24-c4-05559.0160</t>
  </si>
  <si>
    <t>21838-2226</t>
  </si>
  <si>
    <t>William &amp; Nancy Ridenour</t>
  </si>
  <si>
    <t>16-44-25-p1-0090d.0010</t>
  </si>
  <si>
    <t xml:space="preserve">1333 NE 33rd Ter  Cape Coral, FL 33909 </t>
  </si>
  <si>
    <t>Mcmechen</t>
  </si>
  <si>
    <t>Mountain View</t>
  </si>
  <si>
    <t>Cape Coral Unit 84 Blk 5600 Pb 24 Pg 43 Lots 57 + 58</t>
  </si>
  <si>
    <t>11365-2149</t>
  </si>
  <si>
    <t>32-43-24-c1-02182.0420</t>
  </si>
  <si>
    <t>Cape Coral Unit 34 Blk 2448 Pb 16 Pg 81 Lots 9 + 10</t>
  </si>
  <si>
    <t>33909-5216</t>
  </si>
  <si>
    <t>08-44-24-c4-01541.0210</t>
  </si>
  <si>
    <t xml:space="preserve">514 NE Juanita Ct </t>
  </si>
  <si>
    <t xml:space="preserve">10121 SW 40th Ter </t>
  </si>
  <si>
    <t>Gary Lynn</t>
  </si>
  <si>
    <t>Clearview</t>
  </si>
  <si>
    <t xml:space="preserve">2288 Goldenrod Trl </t>
  </si>
  <si>
    <t xml:space="preserve">2 White St  Brentwood, NY 11717-1416 </t>
  </si>
  <si>
    <t>19-43-24-c2-05572.0300</t>
  </si>
  <si>
    <t>Eugene &amp; For Schaefer</t>
  </si>
  <si>
    <t>20-43-24-c2-05667.0240</t>
  </si>
  <si>
    <t xml:space="preserve">41008 Pacer Ln </t>
  </si>
  <si>
    <t xml:space="preserve">3821 Kittyhawk Dr  Fort Myers, FL 33905 </t>
  </si>
  <si>
    <t>Joerg</t>
  </si>
  <si>
    <t xml:space="preserve">1340 NE 33rd St  Cape Coral, FL 33909 </t>
  </si>
  <si>
    <t xml:space="preserve">Gandersheimer Weg #20 </t>
  </si>
  <si>
    <t>19-43-24-c4-05558.0110</t>
  </si>
  <si>
    <t>Miranda</t>
  </si>
  <si>
    <t>01-44-23-c3-02385.0440</t>
  </si>
  <si>
    <t>Ferrara</t>
  </si>
  <si>
    <t xml:space="preserve">5621 Cypress Woods Resort Dr  Fort Myers, FL 33905 </t>
  </si>
  <si>
    <t>Molly &amp; For Oconnor</t>
  </si>
  <si>
    <t xml:space="preserve">524 Kemp Rd  Pottstown, PA 19465-7649 </t>
  </si>
  <si>
    <t xml:space="preserve">1304 Funston St </t>
  </si>
  <si>
    <t>Edinboro</t>
  </si>
  <si>
    <t xml:space="preserve">2012 NE 7th Pl  Cape Coral, FL 33909 </t>
  </si>
  <si>
    <t>20-43-24-c4-05633.0250</t>
  </si>
  <si>
    <t>Tyson</t>
  </si>
  <si>
    <t>53403-9770</t>
  </si>
  <si>
    <t>36-43-23-c3-02482.0050</t>
  </si>
  <si>
    <t>36-43-23-c1-02518.0050</t>
  </si>
  <si>
    <t>01-44-23-c3-02465.0930</t>
  </si>
  <si>
    <t>Canutillo</t>
  </si>
  <si>
    <t>Cape Coral Unit 33 Blk 2285 Pb 16 Pg 56 Lots 34 + 35</t>
  </si>
  <si>
    <t xml:space="preserve">2806 Spring Oaks Dr  Lewisville, TX 75077-3209 </t>
  </si>
  <si>
    <t>Bavarian</t>
  </si>
  <si>
    <t xml:space="preserve">3636 Avondale Rd </t>
  </si>
  <si>
    <t>13-45-23-c3-00119.0310</t>
  </si>
  <si>
    <t>Kyle</t>
  </si>
  <si>
    <t>Gerald &amp; Wilma Calland</t>
  </si>
  <si>
    <t>Guaglione</t>
  </si>
  <si>
    <t>Elipidio Camaraza &amp; Lourdes Alfaro</t>
  </si>
  <si>
    <t>36-44-23-c2-00908.0430</t>
  </si>
  <si>
    <t>Hugh</t>
  </si>
  <si>
    <t>01-44-23-c4-02419.0110</t>
  </si>
  <si>
    <t xml:space="preserve">2123 NE 34th Ln </t>
  </si>
  <si>
    <t>For 2353 Lodovick Avenue Trust</t>
  </si>
  <si>
    <t>Randy Vanrheem &amp; Tamara Richards</t>
  </si>
  <si>
    <t xml:space="preserve">3801 W Gator Cir </t>
  </si>
  <si>
    <t xml:space="preserve">506 Kismet Pkwy E </t>
  </si>
  <si>
    <t xml:space="preserve">1113 NE 15th St  Cape Coral, FL 33909 </t>
  </si>
  <si>
    <t>Evangelia Papadakis</t>
  </si>
  <si>
    <t xml:space="preserve">753 Totowa Rd  Totowa, NJ 07512-1504 </t>
  </si>
  <si>
    <t>33909-1227</t>
  </si>
  <si>
    <t>Catherine Allen-Voll</t>
  </si>
  <si>
    <t>For Gustafson Family Trust</t>
  </si>
  <si>
    <t>Dundalk</t>
  </si>
  <si>
    <t>Theresa A Aschenbrener Trust</t>
  </si>
  <si>
    <t xml:space="preserve">121 Meadow Run Ln </t>
  </si>
  <si>
    <t>29-43-24-c3-02287.0190</t>
  </si>
  <si>
    <t>L1B 0V7</t>
  </si>
  <si>
    <t>Cape Coral Unit 33 Blk 2263 Pb 16 Pg 59 Lots 13 + 14</t>
  </si>
  <si>
    <t xml:space="preserve">6160 Arbor Ave </t>
  </si>
  <si>
    <t>33909-4385</t>
  </si>
  <si>
    <t>Lindell</t>
  </si>
  <si>
    <t>Falmouth</t>
  </si>
  <si>
    <t xml:space="preserve">1203 SE 37th Ter  Cape Coral, FL 33904 </t>
  </si>
  <si>
    <t xml:space="preserve">5523 Harrison St  Hollywood, FL 33021-6408 </t>
  </si>
  <si>
    <t>36526-4266</t>
  </si>
  <si>
    <t>Palmetto Palms Rv Resort Condo Ph 4 Or 1530 Pg 1466 Res Unit 296</t>
  </si>
  <si>
    <t xml:space="preserve">4711 Branchville Rd </t>
  </si>
  <si>
    <t>Lehigh Acres Unit 9 Blk 45 Pb 26 Pg 11 Lot 1</t>
  </si>
  <si>
    <t>62471-1432</t>
  </si>
  <si>
    <t xml:space="preserve">6181 Mayfield Rd #104 </t>
  </si>
  <si>
    <t>H031</t>
  </si>
  <si>
    <t xml:space="preserve">10417 Nightwood Dr  Fort Myers, FL 33905 </t>
  </si>
  <si>
    <t>Stanley</t>
  </si>
  <si>
    <t>33905-1826</t>
  </si>
  <si>
    <t xml:space="preserve">3215 Pacific Dr #301, Naples, FL 34119-8666 </t>
  </si>
  <si>
    <t>12-44-23-c2-02380.0210</t>
  </si>
  <si>
    <t>Ocoee</t>
  </si>
  <si>
    <t>33572-3514</t>
  </si>
  <si>
    <t>33-43-24-01-00000.1510</t>
  </si>
  <si>
    <t>Josef-Fischhaber-Str</t>
  </si>
  <si>
    <t>97702-3526</t>
  </si>
  <si>
    <t xml:space="preserve">917 NE 11th Ter </t>
  </si>
  <si>
    <t>Venkata</t>
  </si>
  <si>
    <t xml:space="preserve">68 Chemin Hauts De Grisy </t>
  </si>
  <si>
    <t>33909-1712</t>
  </si>
  <si>
    <t>Alpay &amp; Fuesun Uguz</t>
  </si>
  <si>
    <t>Salvador Casanave &amp; Rodrigo Rabanal</t>
  </si>
  <si>
    <t>33908-2988</t>
  </si>
  <si>
    <t>Mcarthy</t>
  </si>
  <si>
    <t>33324-7117</t>
  </si>
  <si>
    <t>143rd</t>
  </si>
  <si>
    <t>Gardiner</t>
  </si>
  <si>
    <t>Faustin Firmiez &amp; For Faustin</t>
  </si>
  <si>
    <t xml:space="preserve">24268 Lilys Nest Ln </t>
  </si>
  <si>
    <t>01-44-23-c3-02388.0090</t>
  </si>
  <si>
    <t xml:space="preserve">2121 NE 33rd Ter  Cape Coral, FL 33909 </t>
  </si>
  <si>
    <t xml:space="preserve">3565 Andalusia Blvd </t>
  </si>
  <si>
    <t xml:space="preserve">1401 NE 3rd Ter  Cape Coral, FL 33909 </t>
  </si>
  <si>
    <t>Julia Urbino &amp; For Unknown</t>
  </si>
  <si>
    <t>33328-7003</t>
  </si>
  <si>
    <t xml:space="preserve">1259 Sanders Rd  Graceville, FL 32440-4029 </t>
  </si>
  <si>
    <t>Cape Coral Unit 84 Blk 5598 Pb 24 Pg 43 Lots 1 + 2</t>
  </si>
  <si>
    <t>Robert &amp; Patricia Stumpf</t>
  </si>
  <si>
    <t xml:space="preserve">230 Cherokee St </t>
  </si>
  <si>
    <t xml:space="preserve">9341 Buckingham Rd  Fort Myers, FL 33905 </t>
  </si>
  <si>
    <t>Luc</t>
  </si>
  <si>
    <t>11-44-25-11-00000.0470</t>
  </si>
  <si>
    <t>E 533 Ft S Of Crk Of Nw 1/4 Of Se 1/4 Less Por Desc In Instr #2005-142765</t>
  </si>
  <si>
    <t>Cape Coral Unit 85 Blk 5645 Pb 24 Pg 56 Lots 25 + 26</t>
  </si>
  <si>
    <t>Lynne</t>
  </si>
  <si>
    <t xml:space="preserve">3825 W Broad Ave </t>
  </si>
  <si>
    <t xml:space="preserve">14180 Cedardale St </t>
  </si>
  <si>
    <t xml:space="preserve">3018 NE 6th Pl </t>
  </si>
  <si>
    <t xml:space="preserve">1051 Grove Trail Pass  Douglasville, GA 30134-8009 </t>
  </si>
  <si>
    <t>Buckingham Pk Re Blk B U-2 Blk 7 Pb 27 Pg 189 Lot 33</t>
  </si>
  <si>
    <t>36-43-23-c4-02512.0030</t>
  </si>
  <si>
    <t>Quinnan</t>
  </si>
  <si>
    <t>Lemmo</t>
  </si>
  <si>
    <t>Cape Coral Unit 36 Blk 2520 Pb 16 Pg 113 Lots 5 + 6</t>
  </si>
  <si>
    <t>37027-1513</t>
  </si>
  <si>
    <t>33023-4768</t>
  </si>
  <si>
    <t xml:space="preserve">18 Overlook Cir </t>
  </si>
  <si>
    <t xml:space="preserve">1039 Ringo Ln  Immokalee, FL 34142-2631 </t>
  </si>
  <si>
    <t xml:space="preserve">1516 NE 36th Ter </t>
  </si>
  <si>
    <t xml:space="preserve">5760 Cypress Woods Resort Dr  Fort Myers, FL 33905 </t>
  </si>
  <si>
    <t>65101-3971</t>
  </si>
  <si>
    <t xml:space="preserve">2515 SE 20th Ave  Cape Coral, FL 33904 </t>
  </si>
  <si>
    <t xml:space="preserve">Po Box 4129 </t>
  </si>
  <si>
    <t>Ramkay</t>
  </si>
  <si>
    <t>Jaime</t>
  </si>
  <si>
    <t xml:space="preserve">4011 NE 20th Ct </t>
  </si>
  <si>
    <t>Maplewood</t>
  </si>
  <si>
    <t>Ancaster</t>
  </si>
  <si>
    <t>Donald &amp; Ruth Elgersma</t>
  </si>
  <si>
    <t>60050-4322</t>
  </si>
  <si>
    <t xml:space="preserve">116 NE 15th Ter </t>
  </si>
  <si>
    <t xml:space="preserve">26032 Wexford Dr </t>
  </si>
  <si>
    <t xml:space="preserve">26 Iris St </t>
  </si>
  <si>
    <t xml:space="preserve">6139 Stratton Rd </t>
  </si>
  <si>
    <t>Madjhar</t>
  </si>
  <si>
    <t>34120-5565</t>
  </si>
  <si>
    <t>Cespedes</t>
  </si>
  <si>
    <t>Cape Coral Unit 33 Blk 2181 Pb 16 Pg 49 Lots 50 + 51</t>
  </si>
  <si>
    <t xml:space="preserve">30 Walnut St </t>
  </si>
  <si>
    <t xml:space="preserve">536 Tropicana Pkwy E  Cape Coral, FL 33909 </t>
  </si>
  <si>
    <t>Sascha</t>
  </si>
  <si>
    <t xml:space="preserve">10445 Nightwood Dr  Fort Myers, FL 33905 </t>
  </si>
  <si>
    <t xml:space="preserve">1615 NE 5th Pl  Cape Coral, FL 33909 </t>
  </si>
  <si>
    <t xml:space="preserve">3818 NE 10th Ave </t>
  </si>
  <si>
    <t>11-44-24-00-00016.0000</t>
  </si>
  <si>
    <t xml:space="preserve">2852 Star Coral Dr </t>
  </si>
  <si>
    <t>Brand</t>
  </si>
  <si>
    <t xml:space="preserve">411 Center Rd </t>
  </si>
  <si>
    <t xml:space="preserve">4237 Del Mar Village Dr SW </t>
  </si>
  <si>
    <t>Milian</t>
  </si>
  <si>
    <t>Marianne Hirsch &amp; Marianne Hirsch</t>
  </si>
  <si>
    <t>19a-59</t>
  </si>
  <si>
    <t xml:space="preserve">5100 Fable St  Capitol Heights, MD 20743-4021 </t>
  </si>
  <si>
    <t xml:space="preserve">2205 NE 13th Pl  Cape Coral, FL 33909 </t>
  </si>
  <si>
    <t xml:space="preserve">4112 SW 137th Ave  Davie, FL 33330-5700 </t>
  </si>
  <si>
    <t xml:space="preserve">2042 NE 28th St </t>
  </si>
  <si>
    <t xml:space="preserve">3230 S Ocean Blvd #211, Palm Beach, FL 33480-5683 </t>
  </si>
  <si>
    <t>Nancy H Somers &amp; Alexander Somers</t>
  </si>
  <si>
    <t>Cape Coral Unit 87 Blk 5692 Pb 24 Pg 84 Lots 79 Thru 80</t>
  </si>
  <si>
    <t xml:space="preserve">2225 NE 34th Ln  Cape Coral, FL 33909 </t>
  </si>
  <si>
    <t>Carob</t>
  </si>
  <si>
    <t xml:space="preserve">A50 Calle Sabatini </t>
  </si>
  <si>
    <t>Las Vegas</t>
  </si>
  <si>
    <t>Cape Coral Unit 33 Blk 2287 Pb 16 Pg 57 Lots 5 + 6</t>
  </si>
  <si>
    <t>12-44-23-c1-02410.0060</t>
  </si>
  <si>
    <t>33904-5618</t>
  </si>
  <si>
    <t>Sea Oats</t>
  </si>
  <si>
    <t xml:space="preserve">1842 N Carriage Ln </t>
  </si>
  <si>
    <t>33909-6527</t>
  </si>
  <si>
    <t>Monroeville</t>
  </si>
  <si>
    <t>19-43-24-c2-05596.0330</t>
  </si>
  <si>
    <t>Countryview</t>
  </si>
  <si>
    <t xml:space="preserve">1200 NE 19th Ter  Cape Coral, FL 33909 </t>
  </si>
  <si>
    <t xml:space="preserve">315 Yarmouth St </t>
  </si>
  <si>
    <t>Michael Hooper</t>
  </si>
  <si>
    <t>44240-2387</t>
  </si>
  <si>
    <t>Lionhead</t>
  </si>
  <si>
    <t xml:space="preserve">10271 Meadow Beauty Trl </t>
  </si>
  <si>
    <t xml:space="preserve">1415 23rd Ave  San Francisco, CA 94122-3305 </t>
  </si>
  <si>
    <t xml:space="preserve">8321 Buckingham Rd  Fort Myers, FL 33905 </t>
  </si>
  <si>
    <t>Cc Ut 19 Blk 1175 Pb13/124 Lot 1 + Blk 1176 Pb13/124 Lot 55</t>
  </si>
  <si>
    <t xml:space="preserve">1912 NE 1st Pl  Cape Coral, FL 33909 </t>
  </si>
  <si>
    <t>32-43-24-c2-02247.0490</t>
  </si>
  <si>
    <t xml:space="preserve">Po Box 511 </t>
  </si>
  <si>
    <t>Lavado-Paredes</t>
  </si>
  <si>
    <t>33909-8919</t>
  </si>
  <si>
    <t xml:space="preserve">60 Lynn Dr </t>
  </si>
  <si>
    <t xml:space="preserve">1621 E Daylesford Ct  Eagle, ID 83616-3963 </t>
  </si>
  <si>
    <t>Linda Loma Unit B Pb 25 Pg 78 Lot 101</t>
  </si>
  <si>
    <t>12-46-23-03-00000.1980</t>
  </si>
  <si>
    <t>33909-4331</t>
  </si>
  <si>
    <t>44280-9360</t>
  </si>
  <si>
    <t>Cape Coral Unit 17 Blk.1485 Pb 14 Pg 24 Lots 5 + 6</t>
  </si>
  <si>
    <t>Angran</t>
  </si>
  <si>
    <t xml:space="preserve">202 E Stuart Ave  Lake Wales, FL 33853-3713 </t>
  </si>
  <si>
    <t>Cape Coral Unit 87 Blk 5696 Pb 24 Pg 81 Lots 17 + 18</t>
  </si>
  <si>
    <t>33909-1565</t>
  </si>
  <si>
    <t>Carol B Taute &amp; Richard Taute Family</t>
  </si>
  <si>
    <t xml:space="preserve">145 Ocean Ave #404, Palm Beach Shores, FL 33404-5898 </t>
  </si>
  <si>
    <t>Melson</t>
  </si>
  <si>
    <t>Barr</t>
  </si>
  <si>
    <t xml:space="preserve">5158 S Marquette Ct  New Berlin, WI 53151-8150 </t>
  </si>
  <si>
    <t>Danny &amp; Vera Graham</t>
  </si>
  <si>
    <t>Louise Ferguson</t>
  </si>
  <si>
    <t>80003-4242</t>
  </si>
  <si>
    <t>Cape Coral Unit 34 Blk 2463 Pb 16 Pg 81 Lots 6 + 7</t>
  </si>
  <si>
    <t>19-43-24-c3-05610.0200</t>
  </si>
  <si>
    <t xml:space="preserve">4020 Brixham Ct  Baldwinsville, NY 13027-1533 </t>
  </si>
  <si>
    <t>Cape Coral Unit 34 Blk 2466 Pb 16 Pg 76 Lots 73 + 74</t>
  </si>
  <si>
    <t>Rochefort Samson</t>
  </si>
  <si>
    <t>33323-2693</t>
  </si>
  <si>
    <t>Karpinski</t>
  </si>
  <si>
    <t xml:space="preserve">10420 Gladiolus Dr  Fort Myers, FL 33908 </t>
  </si>
  <si>
    <t xml:space="preserve">2917 SE 10th Pl </t>
  </si>
  <si>
    <t xml:space="preserve">2786 Esker Ct  Sparks, NV 89436-4121 </t>
  </si>
  <si>
    <t xml:space="preserve">2003 NE 15th Ln  Cape Coral, FL 33909 </t>
  </si>
  <si>
    <t xml:space="preserve">7730 SW 89th Ct </t>
  </si>
  <si>
    <t>Alvero</t>
  </si>
  <si>
    <t>33909-5304</t>
  </si>
  <si>
    <t>Cape Coral Unit 88 Blk 5785 Pb 24 Pg 131 Lots 20 + 21</t>
  </si>
  <si>
    <t>11710-4208</t>
  </si>
  <si>
    <t xml:space="preserve">601 S Washington St #516 </t>
  </si>
  <si>
    <t>18847-2652</t>
  </si>
  <si>
    <t>Sherberg &amp; Troy Adams</t>
  </si>
  <si>
    <t>33196-5829</t>
  </si>
  <si>
    <t>Isla Seymour N41-225 Y</t>
  </si>
  <si>
    <t>Tam</t>
  </si>
  <si>
    <t xml:space="preserve">923 NE 1st Ave </t>
  </si>
  <si>
    <t>Belle Vue Park Blk.G Pb 5 Pg 50 Lot 16</t>
  </si>
  <si>
    <t>Cypress Woods Rv Resort Ut 1 Pb 65 Pg 85 + 86 Blk B Lot 79</t>
  </si>
  <si>
    <t xml:space="preserve">112 Lakeview Cove  Chestermere, AB T1x 1E8 </t>
  </si>
  <si>
    <t>Larry Failor</t>
  </si>
  <si>
    <t>Scott Erbland</t>
  </si>
  <si>
    <t>Cape Coral Unit 33 Blk.2229 Pb 16 Pg 47 Lots 1 + 2</t>
  </si>
  <si>
    <t>Mirage Villas</t>
  </si>
  <si>
    <t>05-44-24-c2-03527.0110</t>
  </si>
  <si>
    <t>Cristopher</t>
  </si>
  <si>
    <t>Cypress Trail Rv Resort Phase 4-C Block B Lot 450 As Desc In Inst 2019000042424</t>
  </si>
  <si>
    <t>Sperduto</t>
  </si>
  <si>
    <t xml:space="preserve">4416 NE 21st Ct </t>
  </si>
  <si>
    <t xml:space="preserve">2313 Radius Way </t>
  </si>
  <si>
    <t>11566-4112</t>
  </si>
  <si>
    <t xml:space="preserve">4308 NE 9th Ct  Cape Coral, FL 33909 </t>
  </si>
  <si>
    <t xml:space="preserve">1026 Vogiantzis Pkwy  Cape Coral, FL 33909 </t>
  </si>
  <si>
    <t>31-43-24-c1-02165.0390</t>
  </si>
  <si>
    <t xml:space="preserve">223 W 151t St </t>
  </si>
  <si>
    <t xml:space="preserve">16805 144th Dr </t>
  </si>
  <si>
    <t>Cape Coral Unit 36 Blk 2338 Pb 16 Pg 127 Lots 33 + 34</t>
  </si>
  <si>
    <t>Whistler</t>
  </si>
  <si>
    <t xml:space="preserve">2217 NE 35th Ter  Cape Coral, FL 33909 </t>
  </si>
  <si>
    <t xml:space="preserve">339 Joys Ln </t>
  </si>
  <si>
    <t>Cape Coral Unit 34 Blk.2460 Pb 16 Pg 83 Lots 9 + 10</t>
  </si>
  <si>
    <t xml:space="preserve">7730 NW 50th St #507, Lauderhill, FL 33351-5755 </t>
  </si>
  <si>
    <t>Faraon</t>
  </si>
  <si>
    <t xml:space="preserve">8889 Raven Rock Ct  Boynton Beach, FL 33473-4831 </t>
  </si>
  <si>
    <t>Salada</t>
  </si>
  <si>
    <t>Jorge Alvarez</t>
  </si>
  <si>
    <t xml:space="preserve">34765 Gladstone Pl B, Fremont, CA 94555-2422 </t>
  </si>
  <si>
    <t>Rehagen</t>
  </si>
  <si>
    <t xml:space="preserve">3846 Highlight St  Fort Myers, FL 33905 </t>
  </si>
  <si>
    <t>33991-3387</t>
  </si>
  <si>
    <t>Eliezer Garcia &amp; Pena Bezares</t>
  </si>
  <si>
    <t>John Spencer</t>
  </si>
  <si>
    <t xml:space="preserve">2147 W Tobago Cir  Fort Myers, FL 33905 </t>
  </si>
  <si>
    <t>06-44-23-c2-04272.0090</t>
  </si>
  <si>
    <t xml:space="preserve">1708 May Way Dr  Powhatan, VA 23139-7419 </t>
  </si>
  <si>
    <t>20-43-24-c1-05649.0350</t>
  </si>
  <si>
    <t>Joselito</t>
  </si>
  <si>
    <t xml:space="preserve">3711 River Point Dr  Fort Myers, FL 33905 </t>
  </si>
  <si>
    <t>04072-1663</t>
  </si>
  <si>
    <t>Sweetgum</t>
  </si>
  <si>
    <t>Shahid Pervez &amp; Raheela Shahid</t>
  </si>
  <si>
    <t>17-43-24-c3-05793.0010</t>
  </si>
  <si>
    <t>Laurette</t>
  </si>
  <si>
    <t>Cape Coral Unit 84 Blk 5555 Pb 24 Pg 32 Lots 19 + 20</t>
  </si>
  <si>
    <t>Larissa</t>
  </si>
  <si>
    <t>Carlene Leggett</t>
  </si>
  <si>
    <t xml:space="preserve">2019 NE 17th Ter </t>
  </si>
  <si>
    <t>77083-7402</t>
  </si>
  <si>
    <t>16-44-26-07-00021.0060</t>
  </si>
  <si>
    <t>11-44-25-06-0000d.0150</t>
  </si>
  <si>
    <t xml:space="preserve">2559 Carla Dr  Placerville, CA 95667-3475 </t>
  </si>
  <si>
    <t xml:space="preserve">112 Gerber Dairy Rd  Eagle Lake, FL 33839-5612 </t>
  </si>
  <si>
    <t xml:space="preserve">6024 Stratton Rd </t>
  </si>
  <si>
    <t>R146</t>
  </si>
  <si>
    <t xml:space="preserve">1420 NE 12th Pl </t>
  </si>
  <si>
    <t>Burjan</t>
  </si>
  <si>
    <t>20-43-24-c3-05672.0210</t>
  </si>
  <si>
    <t xml:space="preserve">6132 Ferrier Ct  Gainesville, VA 20155-6679 </t>
  </si>
  <si>
    <t>Cape Coral Unit 84 Blk 5594 Pb 24 Pg 41 Lots 24 + 25</t>
  </si>
  <si>
    <t>Cypress Trail Rv Resort Ph 4-B As Desc In Inst# 2017000057565 Lot 344</t>
  </si>
  <si>
    <t xml:space="preserve">3322 NE 9th Ave </t>
  </si>
  <si>
    <t xml:space="preserve">3844 Hyde Park Dr </t>
  </si>
  <si>
    <t xml:space="preserve">1603 W Harmony Lake Cir </t>
  </si>
  <si>
    <t xml:space="preserve">711 NE Juanita Ct  Cape Coral, FL 33909 </t>
  </si>
  <si>
    <t xml:space="preserve">319 NE 31st St  Cape Coral, FL 33909 </t>
  </si>
  <si>
    <t xml:space="preserve">2503 NE 7th Pl  Cape Coral, FL 33909 </t>
  </si>
  <si>
    <t>Pbg &amp; Pamela Gilbody</t>
  </si>
  <si>
    <t>33455-5514</t>
  </si>
  <si>
    <t>Deer Creek North Shore</t>
  </si>
  <si>
    <t>Susan F Cruse &amp; Susan Cruse</t>
  </si>
  <si>
    <t xml:space="preserve">2307 NE 6th Pl  Cape Coral, FL 33909 </t>
  </si>
  <si>
    <t xml:space="preserve">2124 NE 9th Ave  Cape Coral, FL 33909 </t>
  </si>
  <si>
    <t>Abbotts</t>
  </si>
  <si>
    <t>10924-1200</t>
  </si>
  <si>
    <t>Crichlow</t>
  </si>
  <si>
    <t>Convoy</t>
  </si>
  <si>
    <t>05-44-24-c1-03524.0280</t>
  </si>
  <si>
    <t xml:space="preserve">1042 Jardin Dr  Naples, FL 34104-6613 </t>
  </si>
  <si>
    <t xml:space="preserve">229 NE 10th Pl  Cape Coral, FL 33909 </t>
  </si>
  <si>
    <t>Angela</t>
  </si>
  <si>
    <t xml:space="preserve">910 NE 12th St </t>
  </si>
  <si>
    <t xml:space="preserve">1003 NE 33rd Ln  Cape Coral, FL 33909 </t>
  </si>
  <si>
    <t xml:space="preserve">7525 150th St NW </t>
  </si>
  <si>
    <t>Thorndale</t>
  </si>
  <si>
    <t xml:space="preserve">3523 NE 19th Pl </t>
  </si>
  <si>
    <t xml:space="preserve">2119 NE 17th St  Cape Coral, FL 33909 </t>
  </si>
  <si>
    <t>Chemin De La Seyne</t>
  </si>
  <si>
    <t xml:space="preserve">309 NE 10th St  Cape Coral, FL 33909 </t>
  </si>
  <si>
    <t xml:space="preserve">4133 E Gator Cir </t>
  </si>
  <si>
    <t>Jennifer Heipp &amp; Ezekiel Hall</t>
  </si>
  <si>
    <t>Franks</t>
  </si>
  <si>
    <t>Michael &amp; Elena Welsch</t>
  </si>
  <si>
    <t>Branavan Varathan &amp; Sibi Selvarajah</t>
  </si>
  <si>
    <t xml:space="preserve">3360 S Ocean Blvd 3gs </t>
  </si>
  <si>
    <t xml:space="preserve">3020 NE 5th Pl  Cape Coral, FL 33909 </t>
  </si>
  <si>
    <t xml:space="preserve">232 Old Bergen Rd  Jersey City, NJ 07305-2619 </t>
  </si>
  <si>
    <t>Town Farm</t>
  </si>
  <si>
    <t>Voge</t>
  </si>
  <si>
    <t xml:space="preserve">21 Calle Alameda C, Guaynabo, PR 00969-3516 </t>
  </si>
  <si>
    <t>Mirand</t>
  </si>
  <si>
    <t>34112-6902</t>
  </si>
  <si>
    <t>32-43-24-c3-02230.0280</t>
  </si>
  <si>
    <t xml:space="preserve">2864 N Nansemond Dr  Suffolk, VA 23435-1532 </t>
  </si>
  <si>
    <t>08859-3111</t>
  </si>
  <si>
    <t>20-43-24-c2-05641.0350</t>
  </si>
  <si>
    <t>33909-3418</t>
  </si>
  <si>
    <t>Cape Coral Unit 33 Blk 2179 Pb 16 Pg 53 Lots 3 + 4</t>
  </si>
  <si>
    <t xml:space="preserve">2741 NE 4th Ave  Cape Coral, FL 33909 </t>
  </si>
  <si>
    <t xml:space="preserve">1188 NE 44th Ln </t>
  </si>
  <si>
    <t xml:space="preserve">10121 Shadowood Ct  Fort Myers, FL 33905 </t>
  </si>
  <si>
    <t>David &amp; For Gruber</t>
  </si>
  <si>
    <t>27539-6217</t>
  </si>
  <si>
    <t>Neil &amp; Theresa Osborn</t>
  </si>
  <si>
    <t>Shay Spitz</t>
  </si>
  <si>
    <t>20-43-24-c3-05673.0010</t>
  </si>
  <si>
    <t xml:space="preserve">2523 NE 5th Pl </t>
  </si>
  <si>
    <t xml:space="preserve">11 Australian Dr  Yarmouth Port, MA 02675-2108 </t>
  </si>
  <si>
    <t>33909-1511</t>
  </si>
  <si>
    <t xml:space="preserve">326 NE 23rd St  Cape Coral, FL 33909 </t>
  </si>
  <si>
    <t>Ricky &amp; Jo Kosarik</t>
  </si>
  <si>
    <t xml:space="preserve">1110 SE 36th Ter </t>
  </si>
  <si>
    <t>Cape Coral Unit 32 Blk 2110 Pb 16 Pg 2 Lots 8 + 9</t>
  </si>
  <si>
    <t>State Highway 91</t>
  </si>
  <si>
    <t>44133-6190</t>
  </si>
  <si>
    <t>37215-6146</t>
  </si>
  <si>
    <t xml:space="preserve">4214 NE 23rd Pl  Cape Coral, FL 33909 </t>
  </si>
  <si>
    <t xml:space="preserve">122 NE 24th Ter </t>
  </si>
  <si>
    <t>Cypress Trail Rv Resort Phase 2-A As Desc In Inst# 2014000026506 Lot 179</t>
  </si>
  <si>
    <t>Sperling</t>
  </si>
  <si>
    <t>33909-1222</t>
  </si>
  <si>
    <t xml:space="preserve">790 E Woodland Ave  Addison, IL 60101-3072 </t>
  </si>
  <si>
    <t>33193-3090</t>
  </si>
  <si>
    <t>Laurence &amp; Roger Smith</t>
  </si>
  <si>
    <t>11-44-25-04-0000b.1050</t>
  </si>
  <si>
    <t>Costales</t>
  </si>
  <si>
    <t>Miguel Ortiz &amp; Eva Maldonado</t>
  </si>
  <si>
    <t>32-43-24-c1-02231.0500</t>
  </si>
  <si>
    <t>11366-1859</t>
  </si>
  <si>
    <t xml:space="preserve">5385 N Nob Hill Rd </t>
  </si>
  <si>
    <t>11-44-25-05-0000c.1040</t>
  </si>
  <si>
    <t xml:space="preserve">320 NE 9th St </t>
  </si>
  <si>
    <t>Serge</t>
  </si>
  <si>
    <t>Cape Coral Unit 32 Blk.2141 Pb 16 Pg 7 Lots 5 + 6</t>
  </si>
  <si>
    <t xml:space="preserve">500 Jacaranda Pkwy E </t>
  </si>
  <si>
    <t>12-44-23-c1-02364.0170</t>
  </si>
  <si>
    <t xml:space="preserve">3733 NE 16th Ave  Cape Coral, FL 33909 </t>
  </si>
  <si>
    <t>22932-2847</t>
  </si>
  <si>
    <t>Hutchinson River</t>
  </si>
  <si>
    <t xml:space="preserve">1528 Brickell Ave #210, Miami, FL 33129-1684 </t>
  </si>
  <si>
    <t>25-43-23-c4-02354.0230</t>
  </si>
  <si>
    <t>18-43-24-c1-05693.0220</t>
  </si>
  <si>
    <t xml:space="preserve">14851 Jonathan Harbour Dr  Fort Myers, FL 33908 </t>
  </si>
  <si>
    <t>Bauer Keith A Tr</t>
  </si>
  <si>
    <t>31-43-24-c1-02161.0450</t>
  </si>
  <si>
    <t xml:space="preserve">4125 NE 21st Pl </t>
  </si>
  <si>
    <t xml:space="preserve">1115 Jacaranda Pkwy E </t>
  </si>
  <si>
    <t xml:space="preserve">4666 Hilland Rd </t>
  </si>
  <si>
    <t>For Lucy Melendez Trust</t>
  </si>
  <si>
    <t xml:space="preserve">737 S Easy St  Sebastian, FL 32958-5022 </t>
  </si>
  <si>
    <t>16-44-24-04-00000.1720</t>
  </si>
  <si>
    <t xml:space="preserve">6811 Tech Ct  Fort Myers, FL 33905 </t>
  </si>
  <si>
    <t>52601-3314</t>
  </si>
  <si>
    <t xml:space="preserve">1819 NE 13th Ter </t>
  </si>
  <si>
    <t xml:space="preserve">5852 S Channel </t>
  </si>
  <si>
    <t>11-44-25-l1-12000.3830</t>
  </si>
  <si>
    <t>Donald Novac</t>
  </si>
  <si>
    <t xml:space="preserve">1025 NE 15th Ln </t>
  </si>
  <si>
    <t>Phyllis Dreiman</t>
  </si>
  <si>
    <t xml:space="preserve">1603 NE 36th Ln </t>
  </si>
  <si>
    <t>Leeann</t>
  </si>
  <si>
    <t>Schuyler</t>
  </si>
  <si>
    <t>Sunglow</t>
  </si>
  <si>
    <t>25-43-23-c1-02326.0690</t>
  </si>
  <si>
    <t>Tf-1</t>
  </si>
  <si>
    <t>Ft Myers Shores Unit 5 Blk 91 Pb 16 Pg 66 Lot 18</t>
  </si>
  <si>
    <t>33909-2587</t>
  </si>
  <si>
    <t>33322-2300</t>
  </si>
  <si>
    <t xml:space="preserve">1022 NE 1st Ave  Cape Coral, FL 33909 </t>
  </si>
  <si>
    <t>06-44-24-c4-02049.0550</t>
  </si>
  <si>
    <t xml:space="preserve">6055 Lacota Ave  Fort Myers, FL 33905 </t>
  </si>
  <si>
    <t xml:space="preserve">1029 NE 1st Pl </t>
  </si>
  <si>
    <t>10306-1204</t>
  </si>
  <si>
    <t xml:space="preserve">1514 NE 19th Pl  Cape Coral, FL 33909 </t>
  </si>
  <si>
    <t xml:space="preserve">430 S Livingston Ave </t>
  </si>
  <si>
    <t>23rd</t>
  </si>
  <si>
    <t>Cape Coral Unit 85 Blk 5650 Pb 24 Pg 54 Lots 55 Thru 57</t>
  </si>
  <si>
    <t xml:space="preserve">1408 NE 10th Ave  Cape Coral, FL 33909 </t>
  </si>
  <si>
    <t>38549-2900</t>
  </si>
  <si>
    <t>11235-4120</t>
  </si>
  <si>
    <t xml:space="preserve">3734 Kilarney St  Fort Myers, FL 33905 </t>
  </si>
  <si>
    <t>Indian Island</t>
  </si>
  <si>
    <t xml:space="preserve">3803 Margay Ct </t>
  </si>
  <si>
    <t xml:space="preserve">2488 E Glenhaven Dr </t>
  </si>
  <si>
    <t xml:space="preserve">3338 NE 13th Pl </t>
  </si>
  <si>
    <t xml:space="preserve">548 Henry St #2 </t>
  </si>
  <si>
    <t>01-44-23-c2-02460.0510</t>
  </si>
  <si>
    <t xml:space="preserve">3711 Tracy St </t>
  </si>
  <si>
    <t>33331-5008</t>
  </si>
  <si>
    <t>33909-6326</t>
  </si>
  <si>
    <t xml:space="preserve">2309 NE 26th St </t>
  </si>
  <si>
    <t xml:space="preserve">1700 S Prospect Ave  Park Ridge, IL 60068-5353 </t>
  </si>
  <si>
    <t>Bluegrass</t>
  </si>
  <si>
    <t>Cape Coral Unit 33 Blk 2285 Pb 16 Pg 56 Lots 32 + 33</t>
  </si>
  <si>
    <t>33027-3230</t>
  </si>
  <si>
    <t>Mandler</t>
  </si>
  <si>
    <t>Carmelo &amp; Diamelis Mena</t>
  </si>
  <si>
    <t>Cedeno</t>
  </si>
  <si>
    <t>12-45-23-c3-00290.0130</t>
  </si>
  <si>
    <t xml:space="preserve">1702 NE 44th St  Cape Coral, FL 33909 </t>
  </si>
  <si>
    <t xml:space="preserve">179 Johnson Ave #1, Newark, NJ 07108-2708 </t>
  </si>
  <si>
    <t xml:space="preserve">7218 Hc 2 </t>
  </si>
  <si>
    <t xml:space="preserve">5242 Cypress Trail Resort Cir  Fort Myers, FL 33905 </t>
  </si>
  <si>
    <t>John &amp; Cynthia Delay</t>
  </si>
  <si>
    <t>29-43-24-c4-02263.0090</t>
  </si>
  <si>
    <t xml:space="preserve">1049 Ridgeview Dr </t>
  </si>
  <si>
    <t xml:space="preserve">45a Des Merisiers Ave  Notre-Dame-Des-Prairies, QC J6e 9G5 </t>
  </si>
  <si>
    <t>David Beladev</t>
  </si>
  <si>
    <t>20-43-24-c4-05638.0530</t>
  </si>
  <si>
    <t xml:space="preserve">2023 NE 18th St </t>
  </si>
  <si>
    <t>Maciej</t>
  </si>
  <si>
    <t xml:space="preserve">3853 Ivy Ct </t>
  </si>
  <si>
    <t xml:space="preserve">10200 Yellowtop Trl </t>
  </si>
  <si>
    <t xml:space="preserve">931 Dolphin Dr  Cape Coral, FL 33904 </t>
  </si>
  <si>
    <t xml:space="preserve">PO Box 730852  Elmhurst, NY 11373 </t>
  </si>
  <si>
    <t>Lehigh Acres Unit 14 Blk 82 Pb 26 Pg 20 Lot 16</t>
  </si>
  <si>
    <t>Enriquez</t>
  </si>
  <si>
    <t>33905-6925</t>
  </si>
  <si>
    <t>Stackpole</t>
  </si>
  <si>
    <t xml:space="preserve">1101 Diplomat Pkwy E  Cape Coral, FL 33909 </t>
  </si>
  <si>
    <t>20-43-24-c1-05646.0210</t>
  </si>
  <si>
    <t>33015-2054</t>
  </si>
  <si>
    <t>18301-8759</t>
  </si>
  <si>
    <t>Trout Haven</t>
  </si>
  <si>
    <t xml:space="preserve">10317 Nightwood Dr </t>
  </si>
  <si>
    <t>33909-6811</t>
  </si>
  <si>
    <t xml:space="preserve">19 Royal Crest Rd </t>
  </si>
  <si>
    <t>Cape Coral Unit 26 Blk 924 Pb 14 Pg 136 Lots 41 + 42</t>
  </si>
  <si>
    <t>Reuven &amp; Zila Presser</t>
  </si>
  <si>
    <t xml:space="preserve">9 Jaegerstr </t>
  </si>
  <si>
    <t>James &amp; Janet Kelly</t>
  </si>
  <si>
    <t xml:space="preserve">3746 NE 13th Ave  Cape Coral, FL 33909 </t>
  </si>
  <si>
    <t xml:space="preserve">4 Durham St </t>
  </si>
  <si>
    <t xml:space="preserve">508 S Dilger Ave  Waukegan, IL 60085-6002 </t>
  </si>
  <si>
    <t>Flanders</t>
  </si>
  <si>
    <t>Tamar</t>
  </si>
  <si>
    <t>Peterson David Phillip Tr</t>
  </si>
  <si>
    <t>Sholom Labkowski</t>
  </si>
  <si>
    <t>Moreland</t>
  </si>
  <si>
    <t>Cape Coral Unit 31 Blk.2056 Pb 14 Pg 158 Lots 1 2 + 3</t>
  </si>
  <si>
    <t>Plourde</t>
  </si>
  <si>
    <t>Cape Coral Unit 36 Blk 2312 Pb 16 Pg 124 Lots 9 + 10</t>
  </si>
  <si>
    <t xml:space="preserve">9872 Cattail Ct  Fort Myers, FL 33905 </t>
  </si>
  <si>
    <t>Jagtar Khinda</t>
  </si>
  <si>
    <t>Delores</t>
  </si>
  <si>
    <t xml:space="preserve">1005 NE 11th St </t>
  </si>
  <si>
    <t>Crystal Lakes Manufactured Home Comm Condo Or 2784/4003 Lot 287</t>
  </si>
  <si>
    <t xml:space="preserve">13121 Cromie Dr  Warren, MI 48088-3137 </t>
  </si>
  <si>
    <t>Victoria Falls</t>
  </si>
  <si>
    <t>Torres Orozco</t>
  </si>
  <si>
    <t xml:space="preserve">10070 Rambelwood Ct </t>
  </si>
  <si>
    <t>Alban</t>
  </si>
  <si>
    <t>Dayanes Martinez</t>
  </si>
  <si>
    <t xml:space="preserve">1809 NE 33rd Ter </t>
  </si>
  <si>
    <t>60641-1823</t>
  </si>
  <si>
    <t>Collison</t>
  </si>
  <si>
    <t xml:space="preserve">5029 Pleasant View Dr </t>
  </si>
  <si>
    <t xml:space="preserve">3412 NE 12th Ave </t>
  </si>
  <si>
    <t>Agnes Kuchera</t>
  </si>
  <si>
    <t>03-44-26-06-00029.0160</t>
  </si>
  <si>
    <t>Adan</t>
  </si>
  <si>
    <t>Graham Parham</t>
  </si>
  <si>
    <t xml:space="preserve">406 Old Weston Rd </t>
  </si>
  <si>
    <t xml:space="preserve">1617 NE 5th Ave </t>
  </si>
  <si>
    <t>Voyages</t>
  </si>
  <si>
    <t>18-43-24-c1-05723.0010</t>
  </si>
  <si>
    <t xml:space="preserve">2419 NE 20th Ave  Cape Coral, FL 33909 </t>
  </si>
  <si>
    <t>Waterleaf</t>
  </si>
  <si>
    <t>33909-1560</t>
  </si>
  <si>
    <t>Chung</t>
  </si>
  <si>
    <t xml:space="preserve">10910 N San Marino Dr </t>
  </si>
  <si>
    <t xml:space="preserve">5231 Stratford Ct </t>
  </si>
  <si>
    <t xml:space="preserve">1126 S Elizabeth Scales Mound Rd  Elizabeth, IL 61028-8051 </t>
  </si>
  <si>
    <t xml:space="preserve">22561 County Road 39  La Salle, CO 80645-8728 </t>
  </si>
  <si>
    <t>Elfi Vonlooz &amp; Kurt Gairing</t>
  </si>
  <si>
    <t>Joerg Roehler</t>
  </si>
  <si>
    <t xml:space="preserve">3904 NE 10th Pl  Cape Coral, FL 33909 </t>
  </si>
  <si>
    <t xml:space="preserve">2745 NE 7th Pl </t>
  </si>
  <si>
    <t>Cypress Woods Rv Resort Unit 4 Pb 79 Pgs 68-71 Blk D Lot 121</t>
  </si>
  <si>
    <t>03-44-26-14-00078.0080</t>
  </si>
  <si>
    <t xml:space="preserve">2804 NE 7th Pl </t>
  </si>
  <si>
    <t xml:space="preserve">3919 NE 16th Pl  Cape Coral, FL 33909 </t>
  </si>
  <si>
    <t xml:space="preserve">4145 Andalusia Blvd  Cape Coral, FL 33909 </t>
  </si>
  <si>
    <t>33028-2367</t>
  </si>
  <si>
    <t xml:space="preserve">4332 Connection Ave </t>
  </si>
  <si>
    <t>Sunridge</t>
  </si>
  <si>
    <t>31-43-24-c4-02144.0310</t>
  </si>
  <si>
    <t xml:space="preserve">4007 NE 19th Ave  Cape Coral, FL 33909 </t>
  </si>
  <si>
    <t>25-43-23-c2-02340.0150</t>
  </si>
  <si>
    <t>10459-2851</t>
  </si>
  <si>
    <t xml:space="preserve">24152 State Highway 96  New Canton, IL 62356-3219 </t>
  </si>
  <si>
    <t xml:space="preserve">446 Township Road 1275  Polk, OH 44866-9747 </t>
  </si>
  <si>
    <t>01-44-23-c4-02443.0430</t>
  </si>
  <si>
    <t>Pedro Tolentino &amp; Maria Sepulveda</t>
  </si>
  <si>
    <t>33165-7501</t>
  </si>
  <si>
    <t xml:space="preserve">3616 Henry Hudson Pkwy 5ds, Bronx, NY 10463-1585 </t>
  </si>
  <si>
    <t>R3T 5M1</t>
  </si>
  <si>
    <t>Caffrey</t>
  </si>
  <si>
    <t xml:space="preserve">1526 38th St </t>
  </si>
  <si>
    <t>Rome</t>
  </si>
  <si>
    <t>Garey &amp; Pamela Nelson</t>
  </si>
  <si>
    <t>Justin Beatty</t>
  </si>
  <si>
    <t>18-43-24-c3-05743.0170</t>
  </si>
  <si>
    <t>Cape Coral Unit 32 Blk 2122 Pb 16 Pg 7 Lots 45 + 46</t>
  </si>
  <si>
    <t>03-44-26-14-00077.0030</t>
  </si>
  <si>
    <t>Trumic</t>
  </si>
  <si>
    <t xml:space="preserve">14376 Cemetery Rd </t>
  </si>
  <si>
    <t xml:space="preserve">19 Liberty Ct  Parsippany, NJ 07054-2629 </t>
  </si>
  <si>
    <t>Bennie Wiggins &amp; Bennie For</t>
  </si>
  <si>
    <t xml:space="preserve">2320 NE 21st Ter  Cape Coral, FL 33909 </t>
  </si>
  <si>
    <t>Du Croi</t>
  </si>
  <si>
    <t>David &amp; Sara Tice</t>
  </si>
  <si>
    <t>04-44-25-21-0000a.0090</t>
  </si>
  <si>
    <t xml:space="preserve">340 Tuscany Way #305, Melbourne, FL 32940-8184 </t>
  </si>
  <si>
    <t>97385-9592</t>
  </si>
  <si>
    <t>Ivis</t>
  </si>
  <si>
    <t>34104-8373</t>
  </si>
  <si>
    <t xml:space="preserve">4085 Lake Bosse View Dr </t>
  </si>
  <si>
    <t>Lanyon</t>
  </si>
  <si>
    <t>Saint Michael</t>
  </si>
  <si>
    <t>Jeremy Amaral</t>
  </si>
  <si>
    <t>West Laurel</t>
  </si>
  <si>
    <t xml:space="preserve">11511 Padina Dr </t>
  </si>
  <si>
    <t>Madhavi Josyabhatla</t>
  </si>
  <si>
    <t>Robert Garcia</t>
  </si>
  <si>
    <t>Robert Vito</t>
  </si>
  <si>
    <t xml:space="preserve">3343 SE 17th Pl </t>
  </si>
  <si>
    <t>12095-4749</t>
  </si>
  <si>
    <t xml:space="preserve">502 NE 15th Ter </t>
  </si>
  <si>
    <t xml:space="preserve">3720 NE 14th Pl </t>
  </si>
  <si>
    <t>18-43-24-c4-05684.0250</t>
  </si>
  <si>
    <t xml:space="preserve">3239 NE 9th Ave </t>
  </si>
  <si>
    <t>Otero</t>
  </si>
  <si>
    <t>Conchita Dosono</t>
  </si>
  <si>
    <t>31-43-24-c2-02133.0120</t>
  </si>
  <si>
    <t>31-43-24-c4-02145.0110</t>
  </si>
  <si>
    <t>03-44-26-03-00013.0290</t>
  </si>
  <si>
    <t>Deconinck</t>
  </si>
  <si>
    <t xml:space="preserve">920 N Lakeside Dr 2c, Vernon Hills, IL 60061-2668 </t>
  </si>
  <si>
    <t>Neptune</t>
  </si>
  <si>
    <t>Guardela Gonzalez &amp; Mauricio Villalba</t>
  </si>
  <si>
    <t>Martha Hogan &amp; Margaret Skillman</t>
  </si>
  <si>
    <t xml:space="preserve">11513 Apple Tree Cir  Bradenton, FL 34211 </t>
  </si>
  <si>
    <t xml:space="preserve">30 Mcallister Rd </t>
  </si>
  <si>
    <t>Cape Coral Unit 32 Blk 2123 Pb 16 Pg 7 Lots 29 + 30</t>
  </si>
  <si>
    <t>Cape Coral Unit 33 Blk 2260 Pb 16 Pg 59 Lots 5 Thru 7</t>
  </si>
  <si>
    <t>Cape Coral Unit 87 Blk 5696 Pb 24 Pg 81 Lots 15 + 16</t>
  </si>
  <si>
    <t>Pedro Milla &amp; Rene Hervias</t>
  </si>
  <si>
    <t xml:space="preserve">6142 Hutton Ct </t>
  </si>
  <si>
    <t xml:space="preserve">216 Doolie Rd </t>
  </si>
  <si>
    <t>33016-5704</t>
  </si>
  <si>
    <t>Bingham</t>
  </si>
  <si>
    <t>20-43-24-c4-05636.0440</t>
  </si>
  <si>
    <t>Field</t>
  </si>
  <si>
    <t>Gray</t>
  </si>
  <si>
    <t>Massella</t>
  </si>
  <si>
    <t xml:space="preserve">3732 NE 14th Ave  Cape Coral, FL 33909 </t>
  </si>
  <si>
    <t xml:space="preserve">16007 86th St  Howard Beach, NY 11414-3031 </t>
  </si>
  <si>
    <t>28311-1614</t>
  </si>
  <si>
    <t xml:space="preserve">6139 Higgins Ave </t>
  </si>
  <si>
    <t>Fayrene</t>
  </si>
  <si>
    <t xml:space="preserve">10420 Gladiolus Dr </t>
  </si>
  <si>
    <t xml:space="preserve">5980 Maplewood Ct </t>
  </si>
  <si>
    <t>PO Box 310239</t>
  </si>
  <si>
    <t>33909-1021</t>
  </si>
  <si>
    <t>Rue Leopold Robert</t>
  </si>
  <si>
    <t xml:space="preserve">1401 NE 14th St </t>
  </si>
  <si>
    <t xml:space="preserve">1427 SE 32nd Ter  Cape Coral, FL 33904 </t>
  </si>
  <si>
    <t>Cape Coral Unit 34 Blk 2466 Pb 16 Pg 76 Lots 71 + 72</t>
  </si>
  <si>
    <t>33031-3460</t>
  </si>
  <si>
    <t xml:space="preserve">1730 NE 22nd St  Cape Coral, FL 33909 </t>
  </si>
  <si>
    <t>34771-8044</t>
  </si>
  <si>
    <t xml:space="preserve">4126 NE 20th Ct  Cape Coral, FL 33909 </t>
  </si>
  <si>
    <t>Pacella Park</t>
  </si>
  <si>
    <t>Ft Myers Shores Unit 5 Blk 89 Pb 16 Pg 67 Lot 21</t>
  </si>
  <si>
    <t>33904-5951</t>
  </si>
  <si>
    <t>Drew &amp; Terra Cook</t>
  </si>
  <si>
    <t xml:space="preserve">PO Box 736  Waianae, HI 96792 </t>
  </si>
  <si>
    <t>Cypress Trail Rv Resort Ph 4-B As Desc In Inst# 2017000057565 Lot 84</t>
  </si>
  <si>
    <t xml:space="preserve">47 Newell Rd  Newbury, NH 03255-5206 </t>
  </si>
  <si>
    <t xml:space="preserve">11061 63rd Rd </t>
  </si>
  <si>
    <t>85083-1214</t>
  </si>
  <si>
    <t>Minerva</t>
  </si>
  <si>
    <t>03-44-26-08-00037.0210</t>
  </si>
  <si>
    <t>James &amp; Carol Lippert</t>
  </si>
  <si>
    <t>Jacqueline</t>
  </si>
  <si>
    <t>11429-1404</t>
  </si>
  <si>
    <t>Cape Coral Unit 36 Blk 2326 Pb 16 Pg 128 Lots 47 + 48</t>
  </si>
  <si>
    <t>Phyllis Alexandroff</t>
  </si>
  <si>
    <t xml:space="preserve">3805 Kemper St </t>
  </si>
  <si>
    <t>Xiomara</t>
  </si>
  <si>
    <t xml:space="preserve">1105 State Route 121 N B </t>
  </si>
  <si>
    <t>19-43-24-c2-05588.0150</t>
  </si>
  <si>
    <t>28027-4800</t>
  </si>
  <si>
    <t xml:space="preserve">914 NE 32nd Ln </t>
  </si>
  <si>
    <t>Cape Coral Unit 36 Blk 2338 Pb 16 Pg 127 Lots 31 + 32</t>
  </si>
  <si>
    <t xml:space="preserve">N5194 State Road 78  Portage, WI 53901-9639 </t>
  </si>
  <si>
    <t xml:space="preserve">927 NE 1st Ave </t>
  </si>
  <si>
    <t>31-43-24-c2-02155.0550</t>
  </si>
  <si>
    <t>Moore</t>
  </si>
  <si>
    <t>Lehigh Acres Unit 9 Blk 42 Pb 26 Pg 11 Lot 11</t>
  </si>
  <si>
    <t xml:space="preserve">1415 NE 13th Pl  Cape Coral, FL 33909 </t>
  </si>
  <si>
    <t>22207-3207</t>
  </si>
  <si>
    <t xml:space="preserve">8472 S Newcombe Way </t>
  </si>
  <si>
    <t>Iselin</t>
  </si>
  <si>
    <t>Buckingham Pk Re Blk B U-3 Blk 15 Pb 27 Pg 191 Lot 17</t>
  </si>
  <si>
    <t xml:space="preserve">823 NE 19th Ter  Cape Coral, FL 33909 </t>
  </si>
  <si>
    <t>Holiday Travel Park Rv Condo Ph 1 Or 1557 Pg 1583 Unit 174</t>
  </si>
  <si>
    <t xml:space="preserve">3722 NE 16th Ave </t>
  </si>
  <si>
    <t>Cecilia Salazar &amp; Celso Asparrin</t>
  </si>
  <si>
    <t xml:space="preserve">1229 NE 4th Pl </t>
  </si>
  <si>
    <t>33496-2041</t>
  </si>
  <si>
    <t>Rock Island</t>
  </si>
  <si>
    <t>33043-4657</t>
  </si>
  <si>
    <t>33903-2846</t>
  </si>
  <si>
    <t>01826-2759</t>
  </si>
  <si>
    <t xml:space="preserve">14191 Roof St </t>
  </si>
  <si>
    <t>Cavalry</t>
  </si>
  <si>
    <t>Icarus</t>
  </si>
  <si>
    <t># 161-70 House</t>
  </si>
  <si>
    <t>Claudia Tobon &amp; Shane Williamson</t>
  </si>
  <si>
    <t xml:space="preserve">14620 Hawthorne Ave </t>
  </si>
  <si>
    <t>Hirakis</t>
  </si>
  <si>
    <t>Wells</t>
  </si>
  <si>
    <t xml:space="preserve">4113 NE 16th Ave </t>
  </si>
  <si>
    <t>17-43-24-c4-05740.0090</t>
  </si>
  <si>
    <t xml:space="preserve">11801 NW 27th St  Plantation, FL 33323-1761 </t>
  </si>
  <si>
    <t>17-43-24-c3-05784.0030</t>
  </si>
  <si>
    <t>PO Box 229</t>
  </si>
  <si>
    <t xml:space="preserve">6400 Arbor Ave </t>
  </si>
  <si>
    <t>Roy E Neufeldt &amp; Roy Neufeldt</t>
  </si>
  <si>
    <t>Beltran</t>
  </si>
  <si>
    <t>Phyllis &amp; Shane Mowat</t>
  </si>
  <si>
    <t>Nagamani</t>
  </si>
  <si>
    <t>Vernita Hall</t>
  </si>
  <si>
    <t xml:space="preserve">3326 NE 9th Ave </t>
  </si>
  <si>
    <t>44065-9573</t>
  </si>
  <si>
    <t>Albert &amp; Erica Ferrara</t>
  </si>
  <si>
    <t>33020-1607</t>
  </si>
  <si>
    <t>25-43-23-c3-02337.0140</t>
  </si>
  <si>
    <t>Pauline</t>
  </si>
  <si>
    <t>Cape Coral Unit 35 Blk 2412 Pb 16 Pg 109 Lots 75 + 76</t>
  </si>
  <si>
    <t xml:space="preserve">3305 Welwyn Muse </t>
  </si>
  <si>
    <t>Leawood</t>
  </si>
  <si>
    <t>33909-2582</t>
  </si>
  <si>
    <t>Cape Coral Unit 84 Blk 5612 Pb 24 Pg 35 Lots 35 + 36</t>
  </si>
  <si>
    <t xml:space="preserve">1022 NE 34th Ln  Cape Coral, FL 33909 </t>
  </si>
  <si>
    <t>Cape Coral Unit 34 Blk 2418 Pb 16 Pg 81 Lots 24 + 25</t>
  </si>
  <si>
    <t xml:space="preserve">2606 NE 1st Ave  Cape Coral, FL 33909 </t>
  </si>
  <si>
    <t xml:space="preserve">2656 E Appaloosa St </t>
  </si>
  <si>
    <t>Pretel</t>
  </si>
  <si>
    <t xml:space="preserve">239 E 88th St #8 </t>
  </si>
  <si>
    <t>33905-6724</t>
  </si>
  <si>
    <t>Iraheta</t>
  </si>
  <si>
    <t>Roslindale</t>
  </si>
  <si>
    <t xml:space="preserve">2524 NE 1st Pl </t>
  </si>
  <si>
    <t xml:space="preserve">3380 NW 7th St </t>
  </si>
  <si>
    <t>Cristita Baltazar</t>
  </si>
  <si>
    <t>11-44-25-07-00000.1530</t>
  </si>
  <si>
    <t xml:space="preserve">343 NE 31st St  Cape Coral, FL 33909 </t>
  </si>
  <si>
    <t>Yailin</t>
  </si>
  <si>
    <t>34120-1827</t>
  </si>
  <si>
    <t>For 417 Diplomat Pkwy East Trust</t>
  </si>
  <si>
    <t>19-43-24-c4-05564.0730</t>
  </si>
  <si>
    <t>36-43-23-c2-02540.0220</t>
  </si>
  <si>
    <t xml:space="preserve">7135 Falls Rd E  Boynton Beach, FL 33437-6321 </t>
  </si>
  <si>
    <t>Hudsonville</t>
  </si>
  <si>
    <t>Woodside</t>
  </si>
  <si>
    <t xml:space="preserve">Po Box 710 </t>
  </si>
  <si>
    <t>Cape Coral Unit 47 Part 2 Blk 3511 Pb 23 Pg 122 Lots 3 + 4</t>
  </si>
  <si>
    <t>37074-5028</t>
  </si>
  <si>
    <t>Heredia</t>
  </si>
  <si>
    <t>Bluebird</t>
  </si>
  <si>
    <t>61065-7829</t>
  </si>
  <si>
    <t>63069-2612</t>
  </si>
  <si>
    <t xml:space="preserve">9 Crone Ln  Middletown, MD 21769-7889 </t>
  </si>
  <si>
    <t>33909-6321</t>
  </si>
  <si>
    <t xml:space="preserve">10214 Yellowtop Trl  Fort Myers, FL 33905 </t>
  </si>
  <si>
    <t>Alabama Grove Terrace Blk 3 Pb 6 Pg 77 Lot 10 + Pt 11 Ely 10 Ft</t>
  </si>
  <si>
    <t xml:space="preserve">392 132 Rte </t>
  </si>
  <si>
    <t xml:space="preserve">125 Middleton Rd  Hackney London, GB 00000 </t>
  </si>
  <si>
    <t xml:space="preserve">15481 Road 5 SE </t>
  </si>
  <si>
    <t xml:space="preserve">6027/6029 Latimer Ave </t>
  </si>
  <si>
    <t xml:space="preserve">8361 Buckingham Rd  Fort Myers, FL 33905 </t>
  </si>
  <si>
    <t>Bergeron</t>
  </si>
  <si>
    <t>Clinton</t>
  </si>
  <si>
    <t xml:space="preserve">15 Alley 2 Ln  Taipei, CN 00106 </t>
  </si>
  <si>
    <t>Lake Meadow</t>
  </si>
  <si>
    <t xml:space="preserve">4828 W Belle Plaine Ave B, Chicago, IL 60641-1823 </t>
  </si>
  <si>
    <t>19-43-24-c3-05624.0450</t>
  </si>
  <si>
    <t>Shore</t>
  </si>
  <si>
    <t xml:space="preserve">15 Tupelo Ct </t>
  </si>
  <si>
    <t>33909-3266</t>
  </si>
  <si>
    <t>Hl</t>
  </si>
  <si>
    <t>34142-2631</t>
  </si>
  <si>
    <t>34104-9003</t>
  </si>
  <si>
    <t>77494-5988</t>
  </si>
  <si>
    <t>Dominic Oriani</t>
  </si>
  <si>
    <t>Kueper</t>
  </si>
  <si>
    <t>Mireille Roux</t>
  </si>
  <si>
    <t>02860-2298</t>
  </si>
  <si>
    <t>Lascells Owen</t>
  </si>
  <si>
    <t>Kostner</t>
  </si>
  <si>
    <t xml:space="preserve">5704 Brightwood Dr  Fort Myers, FL 33905 </t>
  </si>
  <si>
    <t xml:space="preserve">4017 E Gator Cir  Cape Coral, FL 33909 </t>
  </si>
  <si>
    <t>Jose Salazar</t>
  </si>
  <si>
    <t>33908-4924</t>
  </si>
  <si>
    <t>10543-1863</t>
  </si>
  <si>
    <t>33411-1308</t>
  </si>
  <si>
    <t>33156-3733</t>
  </si>
  <si>
    <t xml:space="preserve">2707 NE 4th Pl </t>
  </si>
  <si>
    <t xml:space="preserve">2335 Everest Pkwy  Cape Coral, FL 33904 </t>
  </si>
  <si>
    <t xml:space="preserve">15101 Cemetery Rd </t>
  </si>
  <si>
    <t xml:space="preserve">912 NE 1st Pl </t>
  </si>
  <si>
    <t>Yannibert</t>
  </si>
  <si>
    <t>Cape Coral Unit 34 Blk.2433 Pb 16 Pg 82 Lots 29 + 30</t>
  </si>
  <si>
    <t>Cape Coral Unit 33 Blk 2256 Pb 16 Pg 57 Lots 54 Thru 56</t>
  </si>
  <si>
    <t>11-44-25-05-0000c.0700</t>
  </si>
  <si>
    <t>Pham Tuyet-Hanh Tr For Feng-Pham Family Trust</t>
  </si>
  <si>
    <t>Bruno &amp; Theresa Schlaepfer</t>
  </si>
  <si>
    <t>Wendell</t>
  </si>
  <si>
    <t>25-43-23-c1-02320.0410</t>
  </si>
  <si>
    <t xml:space="preserve">4144 NE 22nd Ave </t>
  </si>
  <si>
    <t>Cape Coral Unit 36 Blk 2319 Pb 16 Pg 129 Lots 13 + 14</t>
  </si>
  <si>
    <t>Cape Coral Unit 33 Blk 2287 Pb 16 Pg 57 Lots 9 + 10</t>
  </si>
  <si>
    <t>03-44-26-09-00046.0120</t>
  </si>
  <si>
    <t xml:space="preserve">5504 Cypress Trail Resort Cir </t>
  </si>
  <si>
    <t>Cape Coral Unit 84 Blk 5600 Pb 24 Pg 43 Lots 53 + 54</t>
  </si>
  <si>
    <t>Araujo</t>
  </si>
  <si>
    <t xml:space="preserve">211 NE 17th Ter </t>
  </si>
  <si>
    <t xml:space="preserve">10015 Rambelwood Ct </t>
  </si>
  <si>
    <t xml:space="preserve">231 Lake Dora Dr  West Palm Beach, FL 33411-2305 </t>
  </si>
  <si>
    <t>Karanvir Johal &amp; Anita Malhi</t>
  </si>
  <si>
    <t xml:space="preserve">4891 SW 36th Ct </t>
  </si>
  <si>
    <t>Cape Coral Unit 85 Blk 5633 Pb 24 Pg 50 Lots 19 + 20</t>
  </si>
  <si>
    <t xml:space="preserve">10347 Prairie Iris Dr  Fort Myers, FL 33905 </t>
  </si>
  <si>
    <t>Cape Coral Unit 88 Blk 5796 Pb 24 Pg 131 Lots 8 + 9</t>
  </si>
  <si>
    <t>33909-7397</t>
  </si>
  <si>
    <t>Cape Coral Unit 35 Blk 2397 Pb 16 Pg 106 Lots 19 + 20</t>
  </si>
  <si>
    <t>Hiatt</t>
  </si>
  <si>
    <t>Esson</t>
  </si>
  <si>
    <t>Merlino</t>
  </si>
  <si>
    <t xml:space="preserve">10809 NW 7th St #21, Miami, FL 33172-3794 </t>
  </si>
  <si>
    <t>Boone</t>
  </si>
  <si>
    <t>Richard &amp; Kathleen Turgeon</t>
  </si>
  <si>
    <t>Dorothy Laverdiere &amp; For Laveridere</t>
  </si>
  <si>
    <t>19-43-24-c3-05559.0020</t>
  </si>
  <si>
    <t xml:space="preserve">65 Cotter St  West Islip, NY 11795-1046 </t>
  </si>
  <si>
    <t>Luigi</t>
  </si>
  <si>
    <t>05-44-24-c1-03541.0230</t>
  </si>
  <si>
    <t>Boim Family Wealth Trust</t>
  </si>
  <si>
    <t xml:space="preserve">5851 Pathwood Ct </t>
  </si>
  <si>
    <t>33905-2157</t>
  </si>
  <si>
    <t>33909-5490</t>
  </si>
  <si>
    <t xml:space="preserve">7149 Bog Hollow Rd  Sylvania, OH 43560-3802 </t>
  </si>
  <si>
    <t xml:space="preserve">128 SE 46th St  Cape Coral, FL 33904 </t>
  </si>
  <si>
    <t>Cape Coral Unit 36 Blk 2332 Pb 16 Pg 130 Lots 10 + 11</t>
  </si>
  <si>
    <t>01581-3203</t>
  </si>
  <si>
    <t>02804-2509</t>
  </si>
  <si>
    <t>Vestavia</t>
  </si>
  <si>
    <t xml:space="preserve">6111 Laurelwood Dr </t>
  </si>
  <si>
    <t>07047-6093</t>
  </si>
  <si>
    <t>32-44-24-c1-01205.0260</t>
  </si>
  <si>
    <t>Arano Fernandez &amp; Llauger Garces</t>
  </si>
  <si>
    <t>Firenze</t>
  </si>
  <si>
    <t>Dewey</t>
  </si>
  <si>
    <t>33909-4724</t>
  </si>
  <si>
    <t>05-44-24-c1-03529.0310</t>
  </si>
  <si>
    <t xml:space="preserve">197 Woodland Park Cir  Gilberts, IL 60136-4014 </t>
  </si>
  <si>
    <t>Kayla Montgomery &amp; For Anderson</t>
  </si>
  <si>
    <t>33909-1958</t>
  </si>
  <si>
    <t>Karthikeyan</t>
  </si>
  <si>
    <t xml:space="preserve">37 Buergerschaft  St Vith Schoenberg, BE </t>
  </si>
  <si>
    <t>Ribstein</t>
  </si>
  <si>
    <t>Kalluri</t>
  </si>
  <si>
    <t>Lehigh Acres Unit 2 Blk 8 Pb 26 Pg 4 Lot 6</t>
  </si>
  <si>
    <t xml:space="preserve">1853 NE 22nd Ter  Cape Coral, FL 33909 </t>
  </si>
  <si>
    <t>25-43-23-c3-02340.0570</t>
  </si>
  <si>
    <t xml:space="preserve">3321 Carlton Arms Dr 7a, Tampa, FL 33614-4123 </t>
  </si>
  <si>
    <t xml:space="preserve">3749 NE 15th Pl </t>
  </si>
  <si>
    <t>19-43-24-c4-05566.0330</t>
  </si>
  <si>
    <t xml:space="preserve">2022 NE 9th Ave </t>
  </si>
  <si>
    <t>Cape Coral Unit 21 Blk.823 Pb 13 Pg 156 Lots 15 Thru 17</t>
  </si>
  <si>
    <t xml:space="preserve">5509 Cypress Trail Resort Cir  Fort Myers, FL 33905 </t>
  </si>
  <si>
    <t>Burning Fork</t>
  </si>
  <si>
    <t>Groom</t>
  </si>
  <si>
    <t>Garst</t>
  </si>
  <si>
    <t xml:space="preserve">1504 NE 36th Ln  Cape Coral, FL 33909 </t>
  </si>
  <si>
    <t>PO Box 567</t>
  </si>
  <si>
    <t xml:space="preserve">2220 Watermark Pl </t>
  </si>
  <si>
    <t>33901-7261</t>
  </si>
  <si>
    <t>Yadira</t>
  </si>
  <si>
    <t xml:space="preserve">3932 E Maple St </t>
  </si>
  <si>
    <t xml:space="preserve">4125 NE 14th Pl  Cape Coral, FL 33909 </t>
  </si>
  <si>
    <t xml:space="preserve">2013 NE 15th Ln  Cape Coral, FL 33909 </t>
  </si>
  <si>
    <t xml:space="preserve">3832 E 200 N </t>
  </si>
  <si>
    <t>47523-9397</t>
  </si>
  <si>
    <t>20-43-24-c4-05634.0100</t>
  </si>
  <si>
    <t>Barrato</t>
  </si>
  <si>
    <t xml:space="preserve">2110 NE 26th St </t>
  </si>
  <si>
    <t xml:space="preserve">2621 NE 7th Ave  Cape Coral, FL 33909 </t>
  </si>
  <si>
    <t>33909-8855</t>
  </si>
  <si>
    <t xml:space="preserve">1927 55th St SW </t>
  </si>
  <si>
    <t xml:space="preserve">3725 Pointe Cir  Fairburn, GA 30213-6000 </t>
  </si>
  <si>
    <t>Shipway</t>
  </si>
  <si>
    <t>01-44-23-c4-02413.0070</t>
  </si>
  <si>
    <t>33173-1257</t>
  </si>
  <si>
    <t xml:space="preserve">512 Diplomat Pkwy E </t>
  </si>
  <si>
    <t>Wildey</t>
  </si>
  <si>
    <t>Contos</t>
  </si>
  <si>
    <t>Palmona Park Unit 1 Blk 39 Pb 7 Pg 54 Lots 23 + 24</t>
  </si>
  <si>
    <t>Cape Coral Unit 35 Blk.2394 Pb 16 Pg 108 Lots 13 + 14</t>
  </si>
  <si>
    <t xml:space="preserve">PO Box 1261  Warsaw, MO 65355-1261 </t>
  </si>
  <si>
    <t xml:space="preserve">2128 NE 43rd Ln  Cape Coral, FL 33909 </t>
  </si>
  <si>
    <t xml:space="preserve">2101 16th Ct W </t>
  </si>
  <si>
    <t xml:space="preserve">3770 River Point Dr </t>
  </si>
  <si>
    <t>Buckingham Pk Re Blk B U-4 Blk 20 Pb 27 Pg 192 Lot 12</t>
  </si>
  <si>
    <t>33139-1103</t>
  </si>
  <si>
    <t>44012-1609</t>
  </si>
  <si>
    <t xml:space="preserve">4 Dogwood Ln  Old Saybrook, CT 06475-2011 </t>
  </si>
  <si>
    <t xml:space="preserve">269 Clifton Ave </t>
  </si>
  <si>
    <t>Cape Coral Unit 85 Blk 5656 Pb 24 Pg 57 Lots 1 + 2</t>
  </si>
  <si>
    <t>Ermalyn</t>
  </si>
  <si>
    <t>Robert Allensworth</t>
  </si>
  <si>
    <t xml:space="preserve">3851 Heyburn St </t>
  </si>
  <si>
    <t xml:space="preserve">76 Caravel Dr </t>
  </si>
  <si>
    <t>32-43-24-c2-02230.0630</t>
  </si>
  <si>
    <t>33909-3501</t>
  </si>
  <si>
    <t xml:space="preserve">2103 NE 8th Pl </t>
  </si>
  <si>
    <t>48315-1059</t>
  </si>
  <si>
    <t xml:space="preserve">12470 SW 6th St #1403, Miami, FL 33184-1408 </t>
  </si>
  <si>
    <t>Truitt</t>
  </si>
  <si>
    <t>Bridgett Vanderhoff</t>
  </si>
  <si>
    <t>William Reale &amp; Estate American</t>
  </si>
  <si>
    <t>Curti Family Living Trust</t>
  </si>
  <si>
    <t xml:space="preserve">2005 NE 34th Ter </t>
  </si>
  <si>
    <t xml:space="preserve">5513 W Rowel Rd </t>
  </si>
  <si>
    <t xml:space="preserve">PO Box 690746  Orlando, FL 32869 </t>
  </si>
  <si>
    <t xml:space="preserve">9511 Poplar Creek Pl </t>
  </si>
  <si>
    <t xml:space="preserve">420 NE 18th St </t>
  </si>
  <si>
    <t xml:space="preserve">3180 Crater Dr </t>
  </si>
  <si>
    <t>Mount Vernon</t>
  </si>
  <si>
    <t>Ch</t>
  </si>
  <si>
    <t>Joseph &amp; Grettel Quijano</t>
  </si>
  <si>
    <t xml:space="preserve">3504 NE 17th Pl </t>
  </si>
  <si>
    <t xml:space="preserve">1511 16th Ave SW </t>
  </si>
  <si>
    <t>05-44-24-c2-03511.0300</t>
  </si>
  <si>
    <t>Asperwood</t>
  </si>
  <si>
    <t>Verandah Unit Twelve Desc In Inst#2005-156524 Blk C Lot 21</t>
  </si>
  <si>
    <t>36-43-23-c2-02526.0210</t>
  </si>
  <si>
    <t>31-43-24-c2-02153.0210</t>
  </si>
  <si>
    <t xml:space="preserve">13205 Coronado Dr </t>
  </si>
  <si>
    <t>34683-2332</t>
  </si>
  <si>
    <t xml:space="preserve">822 NE 17th Ter  Cape Coral, FL 33909 </t>
  </si>
  <si>
    <t>Cape Coral Unit 26 Blk 879 Pb 14 Pg 131 Lots 39 + 40</t>
  </si>
  <si>
    <t xml:space="preserve">2330 NW 139th Ave </t>
  </si>
  <si>
    <t>06483-3215</t>
  </si>
  <si>
    <t>07032-2447</t>
  </si>
  <si>
    <t>60175-5465</t>
  </si>
  <si>
    <t xml:space="preserve">8 Clyde Ct  Durham, NC 27712-1857 </t>
  </si>
  <si>
    <t>Cape Coral Unit 36 Pt 1 Blk 2480 Pb 23 Pg 93 Lots 19 + 20</t>
  </si>
  <si>
    <t>Ralph &amp; Adele Anthony</t>
  </si>
  <si>
    <t>Radulovich</t>
  </si>
  <si>
    <t xml:space="preserve">1331 SW 104th Psge #204, Miami, FL 33174-3828 </t>
  </si>
  <si>
    <t>PT</t>
  </si>
  <si>
    <t>33903-7318</t>
  </si>
  <si>
    <t>33018-6326</t>
  </si>
  <si>
    <t>Ellicott City</t>
  </si>
  <si>
    <t xml:space="preserve">3405 SE 15th Ave </t>
  </si>
  <si>
    <t>Bloomfield</t>
  </si>
  <si>
    <t>33908-8227</t>
  </si>
  <si>
    <t>Sugar Grove</t>
  </si>
  <si>
    <t xml:space="preserve">610 Palio Ct </t>
  </si>
  <si>
    <t xml:space="preserve">1116 NE 15th Ln </t>
  </si>
  <si>
    <t>12-45-23-c4-00226.0090</t>
  </si>
  <si>
    <t xml:space="preserve">3730 Teakwood St </t>
  </si>
  <si>
    <t>257th</t>
  </si>
  <si>
    <t xml:space="preserve">2009 NE 15th Ter  Cape Coral, FL 33909 </t>
  </si>
  <si>
    <t>03-44-26-06-00031.0050</t>
  </si>
  <si>
    <t>Sol</t>
  </si>
  <si>
    <t xml:space="preserve">1224 NE 12th St  Cape Coral, FL 33909 </t>
  </si>
  <si>
    <t>33909-7343</t>
  </si>
  <si>
    <t xml:space="preserve">6125 Holt Ct  Fort Myers, FL 33905 </t>
  </si>
  <si>
    <t>Hussey</t>
  </si>
  <si>
    <t>Sarah Lambird &amp; Ezio Grossi</t>
  </si>
  <si>
    <t>33909-4577</t>
  </si>
  <si>
    <t>Ralf Neumann</t>
  </si>
  <si>
    <t>10940-6018</t>
  </si>
  <si>
    <t>Werner Masser</t>
  </si>
  <si>
    <t>East</t>
  </si>
  <si>
    <t>Jay Smith</t>
  </si>
  <si>
    <t>Reynaldo</t>
  </si>
  <si>
    <t>Dai Jeng &amp; Wu Miji</t>
  </si>
  <si>
    <t xml:space="preserve">23-25 Riegelgasse </t>
  </si>
  <si>
    <t xml:space="preserve">6670 NW 114th Ave #607, Doral, FL 33178-4598 </t>
  </si>
  <si>
    <t>25-43-23-c1-02300.a650</t>
  </si>
  <si>
    <t xml:space="preserve">3259 Arbutus Dr  Saginaw, MI 48603-1906 </t>
  </si>
  <si>
    <t>80224-2038</t>
  </si>
  <si>
    <t>R082</t>
  </si>
  <si>
    <t>Cape Coral Unit 85 Blk 5663 Pb 24 Pg 58 Lots 57 + 58</t>
  </si>
  <si>
    <t xml:space="preserve">5536 Bong Dr  Fort Worth, TX 76112-7604 </t>
  </si>
  <si>
    <t xml:space="preserve">29 Conifer Dr  Northford, CT 06472-1620 </t>
  </si>
  <si>
    <t xml:space="preserve">5105 Grand Loop #308 </t>
  </si>
  <si>
    <t xml:space="preserve">2600 Wildwood Ln  Fort Myers, FL 33905 </t>
  </si>
  <si>
    <t>Merlin &amp; Jackie Osbahr</t>
  </si>
  <si>
    <t>Cape Coral Unit 85 Blk 5666 Pb 24 Pg 53 Lots 56 Thru 58</t>
  </si>
  <si>
    <t xml:space="preserve">5 Spoke Dr  Woodbridge, CT 06525-1132 </t>
  </si>
  <si>
    <t>15th</t>
  </si>
  <si>
    <t xml:space="preserve">90 Vantis Dr #6016, Aliso Viejo, CA 92656-2546 </t>
  </si>
  <si>
    <t xml:space="preserve">19 B  Koeln, DE 51147 </t>
  </si>
  <si>
    <t xml:space="preserve">1027 Arbor Dr  Moline, IL 61265-6977 </t>
  </si>
  <si>
    <t xml:space="preserve">317 NE 20th Ter  Cape Coral, FL 33909 </t>
  </si>
  <si>
    <t>33909-1904</t>
  </si>
  <si>
    <t>Domingo Palacios</t>
  </si>
  <si>
    <t xml:space="preserve">24880 SW 119th Ave </t>
  </si>
  <si>
    <t>Heitz</t>
  </si>
  <si>
    <t>Banks</t>
  </si>
  <si>
    <t>M E M &amp; Lorraine Gibson</t>
  </si>
  <si>
    <t>George Leonard &amp; George For</t>
  </si>
  <si>
    <t>Nathalie</t>
  </si>
  <si>
    <t xml:space="preserve">923 NE 10th Ln </t>
  </si>
  <si>
    <t xml:space="preserve">1512 Everest Pkwy  Cape Coral, FL 33904 </t>
  </si>
  <si>
    <t xml:space="preserve">2570 N Portage Rd  Jackson, MI 49201-9628 </t>
  </si>
  <si>
    <t>Stagg</t>
  </si>
  <si>
    <t>Weddington</t>
  </si>
  <si>
    <t>33903-3329</t>
  </si>
  <si>
    <t>Narragansett Pier</t>
  </si>
  <si>
    <t xml:space="preserve">226 NE 31st St </t>
  </si>
  <si>
    <t>Mihaela</t>
  </si>
  <si>
    <t xml:space="preserve">14621 Lakecrest Dr  Addison, TX 75001-3128 </t>
  </si>
  <si>
    <t xml:space="preserve">5325 Hidwell Pl </t>
  </si>
  <si>
    <t>33909-6120</t>
  </si>
  <si>
    <t xml:space="preserve">3738 Kemper St </t>
  </si>
  <si>
    <t xml:space="preserve">1913 NE 33rd Ter </t>
  </si>
  <si>
    <t>33909-3354</t>
  </si>
  <si>
    <t xml:space="preserve">143 Franklin St  Elizabethport, NJ 07206-1622 </t>
  </si>
  <si>
    <t>13-45-23-c1-00228.0300</t>
  </si>
  <si>
    <t>33909-8801</t>
  </si>
  <si>
    <t xml:space="preserve">9865 Vine St  Thornton, CO 80229-2489 </t>
  </si>
  <si>
    <t>Sunvalley</t>
  </si>
  <si>
    <t>Wheeler</t>
  </si>
  <si>
    <t>Jacqueline Frazer</t>
  </si>
  <si>
    <t xml:space="preserve">102 NE 23rd St  Cape Coral, FL 33909 </t>
  </si>
  <si>
    <t>4a</t>
  </si>
  <si>
    <t xml:space="preserve">4763 Bluefeather Lane </t>
  </si>
  <si>
    <t>07-44-24-c3-01495.0050</t>
  </si>
  <si>
    <t>PO Box 3072</t>
  </si>
  <si>
    <t>Cypress Trail Rv Resort Phase 4-A As Desc In Inst# 20160000135610 Lot 390</t>
  </si>
  <si>
    <t>29-43-24-c4-02264.0430</t>
  </si>
  <si>
    <t>Jericho</t>
  </si>
  <si>
    <t xml:space="preserve">2109 NE 1st Ave  Cape Coral, FL 33909 </t>
  </si>
  <si>
    <t>Bachiller</t>
  </si>
  <si>
    <t>36-43-23-c2-02292.0340</t>
  </si>
  <si>
    <t>Christopher A and Barbara M Wenzlick Revocable Living Trust</t>
  </si>
  <si>
    <t xml:space="preserve">4112 Garden Blvd  Cape Coral, FL 33909 </t>
  </si>
  <si>
    <t>33480-5683</t>
  </si>
  <si>
    <t xml:space="preserve">203 Woodlake Dr  Jupiter, FL 33458-7619 </t>
  </si>
  <si>
    <t>33904-4837</t>
  </si>
  <si>
    <t xml:space="preserve">488 Grenier Dr </t>
  </si>
  <si>
    <t>11-44-25-08-00000.1950</t>
  </si>
  <si>
    <t>Giovanna</t>
  </si>
  <si>
    <t xml:space="preserve">2171 Jeffcott St  Fort Myers, FL 33901 </t>
  </si>
  <si>
    <t xml:space="preserve">8425 SW 45th St  Miami, FL 33155-4132 </t>
  </si>
  <si>
    <t xml:space="preserve">2101 NE 17th St  Cape Coral, FL 33909 </t>
  </si>
  <si>
    <t>Charles</t>
  </si>
  <si>
    <t>06-45-24-c2-00602.0310</t>
  </si>
  <si>
    <t>Fischer</t>
  </si>
  <si>
    <t xml:space="preserve">1025 N Gator Cir  Cape Coral, FL 33909 </t>
  </si>
  <si>
    <t xml:space="preserve">1712 Kismet Pkwy E  Cape Coral, FL 33909 </t>
  </si>
  <si>
    <t xml:space="preserve">4501 Gibson Cir </t>
  </si>
  <si>
    <t>28-43-26-06-00071.0080</t>
  </si>
  <si>
    <t>92624-1715</t>
  </si>
  <si>
    <t>12-44-23-c1-02400.0820</t>
  </si>
  <si>
    <t>Cape Coral Unit 47 Part 2 Blk 3536 Pb 23 Pg 120 Lots 31 + 32</t>
  </si>
  <si>
    <t xml:space="preserve">5120 Cypress Trail Resort Cir  Fort Myers, FL 33905 </t>
  </si>
  <si>
    <t xml:space="preserve">12410 W Galena Rd  Lena, IL 61048-9143 </t>
  </si>
  <si>
    <t>48187-1118</t>
  </si>
  <si>
    <t xml:space="preserve">242 Eastwood Dr  Jefferson City, MO 65101-3971 </t>
  </si>
  <si>
    <t xml:space="preserve">5354 SW 134th Ave </t>
  </si>
  <si>
    <t xml:space="preserve">2621 Winding Creek Dr  Midlothian, TX 76065-7511 </t>
  </si>
  <si>
    <t xml:space="preserve">3024 NE 6th Ave </t>
  </si>
  <si>
    <t xml:space="preserve">989 Monument Rd #1303 </t>
  </si>
  <si>
    <t xml:space="preserve">10 Millway  New Fairfield, CT 06812-5030 </t>
  </si>
  <si>
    <t>34741-1022</t>
  </si>
  <si>
    <t xml:space="preserve">1102 NE 11th Ave </t>
  </si>
  <si>
    <t>33141-4641</t>
  </si>
  <si>
    <t xml:space="preserve">5115 Catoctin Dr </t>
  </si>
  <si>
    <t xml:space="preserve">1704 NE 21st St  Cape Coral, FL 33909 </t>
  </si>
  <si>
    <t>Cape Coral Unit 47 Pt 2 Blk 3529 Pb 23 Pg 126 Lots 8 + 9</t>
  </si>
  <si>
    <t>Reyes</t>
  </si>
  <si>
    <t>Cape Coral Unit 84 Blk 5587 Pb 24 Pg 45 Lots 33 Thru 35</t>
  </si>
  <si>
    <t>18-43-24-c4-05579.0170</t>
  </si>
  <si>
    <t xml:space="preserve">1622 Edith Esplanade </t>
  </si>
  <si>
    <t xml:space="preserve">7062 155th Pl NE </t>
  </si>
  <si>
    <t xml:space="preserve">3614 NE 12th Pl </t>
  </si>
  <si>
    <t>Sylvia Christensen &amp; Milagros Febus</t>
  </si>
  <si>
    <t>Fichter</t>
  </si>
  <si>
    <t>04-44-25-03-00009.349a</t>
  </si>
  <si>
    <t>Monninger</t>
  </si>
  <si>
    <t>32763-6359</t>
  </si>
  <si>
    <t>Bernard &amp; Mary Barasch</t>
  </si>
  <si>
    <t xml:space="preserve">202 Parkview Dr  Bluffton, OH 45817-1088 </t>
  </si>
  <si>
    <t xml:space="preserve">520 Brickell Key Dr A904, Miami, FL 33131-2416 </t>
  </si>
  <si>
    <t xml:space="preserve">5753 Highway 85 N </t>
  </si>
  <si>
    <t xml:space="preserve">55a-65 Calle 137 #205, Bogato, CO </t>
  </si>
  <si>
    <t>19-43-24-c3-05613.0870</t>
  </si>
  <si>
    <t>Tita Managad</t>
  </si>
  <si>
    <t>Tighe</t>
  </si>
  <si>
    <t>10801-6819</t>
  </si>
  <si>
    <t>Bay Path</t>
  </si>
  <si>
    <t xml:space="preserve">608 NE 24th Ter </t>
  </si>
  <si>
    <t xml:space="preserve">1507 NE 13th Ter  Cape Coral, FL 33909 </t>
  </si>
  <si>
    <t>Waldwick</t>
  </si>
  <si>
    <t>American &amp; Tammie Reed</t>
  </si>
  <si>
    <t>Mai Tran</t>
  </si>
  <si>
    <t>33909-4523</t>
  </si>
  <si>
    <t>Lehigh Acres Unit 9 Blk 44 Pb 26 Pg 11 Lot 21</t>
  </si>
  <si>
    <t xml:space="preserve">Copper Beaches  Chellaston Darby, GB 00000 </t>
  </si>
  <si>
    <t>Cape Coral Unit 34 Blk.2424 Pb 16 Pg 75 Lots 1 + 2</t>
  </si>
  <si>
    <t>Verandah Unit One Desc In Pb 74 Pg 31 Tract Lk-6</t>
  </si>
  <si>
    <t>Cape Coral Unit 85 Blk 5634 Pb 24 Pg 50 Lots 27 + 28</t>
  </si>
  <si>
    <t>Anzelc</t>
  </si>
  <si>
    <t xml:space="preserve">9115 SW 28th St </t>
  </si>
  <si>
    <t>Minasalli</t>
  </si>
  <si>
    <t>L4J 8K6</t>
  </si>
  <si>
    <t xml:space="preserve">34 Wilenstrasse </t>
  </si>
  <si>
    <t>5l</t>
  </si>
  <si>
    <t>33909-4234</t>
  </si>
  <si>
    <t>Boldrey</t>
  </si>
  <si>
    <t xml:space="preserve">2220 NE 36th St </t>
  </si>
  <si>
    <t>33909-1468</t>
  </si>
  <si>
    <t>Cape Coral Unit 87 Blk 5682 Pb 24 Pg 73 Lots 5 + 6</t>
  </si>
  <si>
    <t>Timpanaro</t>
  </si>
  <si>
    <t>18441-7702</t>
  </si>
  <si>
    <t xml:space="preserve">Isla Seymour N41-225 Y </t>
  </si>
  <si>
    <t>Olga</t>
  </si>
  <si>
    <t>Gallegos</t>
  </si>
  <si>
    <t xml:space="preserve">506 Jacaranda Pkwy E </t>
  </si>
  <si>
    <t>Orly</t>
  </si>
  <si>
    <t>Dominador &amp; Milagros Roque</t>
  </si>
  <si>
    <t xml:space="preserve">552 Windsor Dr  Palisades Park, NJ 07650-2353 </t>
  </si>
  <si>
    <t xml:space="preserve">130 Angell Rd </t>
  </si>
  <si>
    <t>Trillium</t>
  </si>
  <si>
    <t xml:space="preserve">3936 E Glen Abbey Dr </t>
  </si>
  <si>
    <t xml:space="preserve">2123 NE 34th Ln  Cape Coral, FL 33909 </t>
  </si>
  <si>
    <t xml:space="preserve">2118 NE 19th Pl  Cape Coral, FL 33909 </t>
  </si>
  <si>
    <t xml:space="preserve">112 Lakeview Cove </t>
  </si>
  <si>
    <t xml:space="preserve">6152 Hepner Ave </t>
  </si>
  <si>
    <t xml:space="preserve">2526 NE 6th Ave </t>
  </si>
  <si>
    <t>34983-4698</t>
  </si>
  <si>
    <t>Arlette Hossebian &amp; Eileen Dergarabetian</t>
  </si>
  <si>
    <t xml:space="preserve">3438 NE 8th Pl </t>
  </si>
  <si>
    <t xml:space="preserve">4009 NE 22nd Pl  Cape Coral, FL 33909 </t>
  </si>
  <si>
    <t xml:space="preserve">1004 NE 32nd Ln  Cape Coral, FL 33909 </t>
  </si>
  <si>
    <t xml:space="preserve">3212 93rd Dr NE  Minneapolis, MN 55449-6861 </t>
  </si>
  <si>
    <t>34769-7123</t>
  </si>
  <si>
    <t>Roderic</t>
  </si>
  <si>
    <t xml:space="preserve">2963 Keel Boat Loop  Iowa City, IA 52240-8621 </t>
  </si>
  <si>
    <t xml:space="preserve">1418 NE Juanita Pl  Cape Coral, FL 33909 </t>
  </si>
  <si>
    <t>Newquiest Family Trust</t>
  </si>
  <si>
    <t>Lehigh Acres E Pt Unit 12 Blk 65 Pb 26 Pg 15 Lot 16</t>
  </si>
  <si>
    <t>Silver Lake</t>
  </si>
  <si>
    <t>33909-1953</t>
  </si>
  <si>
    <t xml:space="preserve">4575 Lake Shore Rd  Hamburg, NY 14075-3105 </t>
  </si>
  <si>
    <t>B059</t>
  </si>
  <si>
    <t>James Paryse</t>
  </si>
  <si>
    <t>John Murphy</t>
  </si>
  <si>
    <t>33909-3300</t>
  </si>
  <si>
    <t xml:space="preserve">1927 55th St SW  Naples, FL 34116-5500 </t>
  </si>
  <si>
    <t xml:space="preserve">1049 Essex Dr </t>
  </si>
  <si>
    <t xml:space="preserve">230-7050 Po Box 230-7050 </t>
  </si>
  <si>
    <t xml:space="preserve">6152 Hepner Ave  Fort Myers, FL 33905 </t>
  </si>
  <si>
    <t>Alfredo Suarez</t>
  </si>
  <si>
    <t>Uv Group Llc Tr</t>
  </si>
  <si>
    <t>19-43-24-c3-05609.0150</t>
  </si>
  <si>
    <t xml:space="preserve">2011 NE 1st Ave  Cape Coral, FL 33909 </t>
  </si>
  <si>
    <t>Joseph &amp; Lydia Caputo</t>
  </si>
  <si>
    <t>58078-2351</t>
  </si>
  <si>
    <t xml:space="preserve">7009 Saint Annes Ave  Lanham, MD 20706-3487 </t>
  </si>
  <si>
    <t>05-45-24-c3-00566.0490</t>
  </si>
  <si>
    <t xml:space="preserve">310 Georgia Ave  Fort Myers, FL 33905 </t>
  </si>
  <si>
    <t xml:space="preserve">1818 NE 27th Ter </t>
  </si>
  <si>
    <t xml:space="preserve"># 29  Malente, DE 23714 </t>
  </si>
  <si>
    <t xml:space="preserve">2106 NE 24th Ave  Cape Coral, FL 33909 </t>
  </si>
  <si>
    <t>33904-8429</t>
  </si>
  <si>
    <t>Arthur &amp; Mary Raro</t>
  </si>
  <si>
    <t>Elizabeth Scales Mound</t>
  </si>
  <si>
    <t xml:space="preserve">1801 NE 17th St </t>
  </si>
  <si>
    <t>32-43-24-c1-02179.0030</t>
  </si>
  <si>
    <t xml:space="preserve">3775 La Rue St </t>
  </si>
  <si>
    <t>36-43-23-c2-02533.0090</t>
  </si>
  <si>
    <t>Hentron</t>
  </si>
  <si>
    <t xml:space="preserve">10031 Stonewood Dr </t>
  </si>
  <si>
    <t>Cape Coral Unit 32 Blk 2139 Pb 16 Pg 10 Lots 44 + 45</t>
  </si>
  <si>
    <t>Chowansky</t>
  </si>
  <si>
    <t>19-43-24-c3-05615.0470</t>
  </si>
  <si>
    <t>32-43-24-c3-02219.0210</t>
  </si>
  <si>
    <t xml:space="preserve">5280 Cypress Trail Resort Cir  Fort Myers, FL 33905 </t>
  </si>
  <si>
    <t>33467-6985</t>
  </si>
  <si>
    <t>R049</t>
  </si>
  <si>
    <t xml:space="preserve">Maple Ave  Fort Myers, FL 33901 </t>
  </si>
  <si>
    <t>Jean Lafemina</t>
  </si>
  <si>
    <t>12-44-23-c1-02370.0540</t>
  </si>
  <si>
    <t xml:space="preserve">4198 Bluff Harbor Way </t>
  </si>
  <si>
    <t xml:space="preserve">9622 Locust Hill Dr </t>
  </si>
  <si>
    <t>Larry &amp; Ilene Walters</t>
  </si>
  <si>
    <t>William Dorish</t>
  </si>
  <si>
    <t xml:space="preserve">4 Emily Ter  Warren, NJ 07059-3003 </t>
  </si>
  <si>
    <t>Vytautas</t>
  </si>
  <si>
    <t>16-44-26-07-00018.0160</t>
  </si>
  <si>
    <t xml:space="preserve">3713 NE 17th Ave  Cape Coral, FL 33909 </t>
  </si>
  <si>
    <t>Cape Coral Unit 88 Blk 5793 Pb 24 Pg 130 Lots 22 Thru 24</t>
  </si>
  <si>
    <t>Saintilus</t>
  </si>
  <si>
    <t>33332-2463</t>
  </si>
  <si>
    <t>FL</t>
  </si>
  <si>
    <t>Leeds</t>
  </si>
  <si>
    <t>Tours</t>
  </si>
  <si>
    <t>Avinoam &amp; Faye Sharabi</t>
  </si>
  <si>
    <t>Hitching Post</t>
  </si>
  <si>
    <t>94022-2656</t>
  </si>
  <si>
    <t>14221-4003</t>
  </si>
  <si>
    <t>Avenue Amans Rodat</t>
  </si>
  <si>
    <t>Cypress Trail Rv Resort As Desc In Inst# 2013000212499 Lot 418</t>
  </si>
  <si>
    <t>Ambrosio Navas</t>
  </si>
  <si>
    <t>Cape Coral Unit 9 Blk.290 Pb 13 Pg 12 Lots 15 and 16</t>
  </si>
  <si>
    <t>Butternut</t>
  </si>
  <si>
    <t>Dayna J Quillen Trust</t>
  </si>
  <si>
    <t xml:space="preserve">170 Park Row 16c, New York, NY 10038-1155 </t>
  </si>
  <si>
    <t>Cape Coral Unit 85 Blk 5668 Pb 24 Pg 53 Lots 3 + 4</t>
  </si>
  <si>
    <t>33904-5859</t>
  </si>
  <si>
    <t>Buckingham Park Ne Sec Blk 30 Pb 9 Pg 59 Lot 9</t>
  </si>
  <si>
    <t>Palmona Park Unit 1 Blk.17 Pb 7 Pg 4 Lots 13 + 14</t>
  </si>
  <si>
    <t>01-44-23-c1-02461.0420</t>
  </si>
  <si>
    <t>36-43-23-c1-02516.0490</t>
  </si>
  <si>
    <t>Joseph &amp; Kathleen Bouch</t>
  </si>
  <si>
    <t xml:space="preserve">1916 NE 21st Pl </t>
  </si>
  <si>
    <t>Fernando Lara</t>
  </si>
  <si>
    <t xml:space="preserve">105 SE 41st Ter  Cape Coral, FL 33904 </t>
  </si>
  <si>
    <t>Cape Coral Unit 36 Pt 1 Blk 2479 Pb 23 Pg 93 Lots 29 + 30</t>
  </si>
  <si>
    <t>10550-6401</t>
  </si>
  <si>
    <t>19-43-24-c3-05616.0270</t>
  </si>
  <si>
    <t xml:space="preserve">93 Monroe Valley Dr </t>
  </si>
  <si>
    <t>Victor &amp; Maria Navarro</t>
  </si>
  <si>
    <t xml:space="preserve">607 SW 96th Ct </t>
  </si>
  <si>
    <t>Dora Demartinelli</t>
  </si>
  <si>
    <t>60707-1323</t>
  </si>
  <si>
    <t>Ter</t>
  </si>
  <si>
    <t>25-43-23-c3-02339.0530</t>
  </si>
  <si>
    <t>Cypress Trail Rv Resort Phase 4-A As Desc In Inst# 20160000135610 Lot 357</t>
  </si>
  <si>
    <t xml:space="preserve">16901 SE 19th St  Vancouver, WA 98683-3441 </t>
  </si>
  <si>
    <t>33909-1414</t>
  </si>
  <si>
    <t>Hackney London</t>
  </si>
  <si>
    <t xml:space="preserve">6140 Hughes Ave </t>
  </si>
  <si>
    <t xml:space="preserve">2128 NE 28th St </t>
  </si>
  <si>
    <t>Courtice</t>
  </si>
  <si>
    <t>13th st pembrooke</t>
  </si>
  <si>
    <t>C060</t>
  </si>
  <si>
    <t xml:space="preserve">2203 NE 34th Ter  Cape Coral, FL 33909 </t>
  </si>
  <si>
    <t xml:space="preserve">11235 Linaro Rd  Rancho Cucamonga, CA 91730-7439 </t>
  </si>
  <si>
    <t>Bay Shore</t>
  </si>
  <si>
    <t>33905-8714</t>
  </si>
  <si>
    <t>Guilliermina</t>
  </si>
  <si>
    <t xml:space="preserve">1318 NE 3rd Ave  Cape Coral, FL 33909 </t>
  </si>
  <si>
    <t xml:space="preserve">2016 NE 6th Ave  Cape Coral, FL 33909 </t>
  </si>
  <si>
    <t>Chris Kapassakis</t>
  </si>
  <si>
    <t>Ute Buress</t>
  </si>
  <si>
    <t>01-44-23-c1-02437.0090</t>
  </si>
  <si>
    <t>31-43-24-c4-02103.0120</t>
  </si>
  <si>
    <t xml:space="preserve">430 Windsor St #1 </t>
  </si>
  <si>
    <t>Paul &amp; Theresa Hores</t>
  </si>
  <si>
    <t xml:space="preserve">2022 NE 9th Ave  Cape Coral, FL 33909 </t>
  </si>
  <si>
    <t xml:space="preserve">9497 Worswick Ct  Wellington, FL 33414-6423 </t>
  </si>
  <si>
    <t xml:space="preserve">PO Box 371  Palos Heights, IL 60463 </t>
  </si>
  <si>
    <t>Gary &amp; Geraldine Walkowski</t>
  </si>
  <si>
    <t>Pittsfield</t>
  </si>
  <si>
    <t>33909-8600</t>
  </si>
  <si>
    <t xml:space="preserve">11338 Notchcliff Rd  Glen Arm, MD 21057-9444 </t>
  </si>
  <si>
    <t>Juliann</t>
  </si>
  <si>
    <t>Oxendine</t>
  </si>
  <si>
    <t xml:space="preserve">316 NE 19th Ave </t>
  </si>
  <si>
    <t>Cape Coral Unit 31 Blk 2043 Pb 14 Pg 155 Lots 35 + 36</t>
  </si>
  <si>
    <t>Lorna Kimball &amp; For Realty</t>
  </si>
  <si>
    <t xml:space="preserve">2911 NE 5th Pl  Cape Coral, FL 33909 </t>
  </si>
  <si>
    <t>Cape Coral Unit 36 Part 1 Blk 2475 Pb 23 Pg 88 Lots 29 + 30</t>
  </si>
  <si>
    <t>Fred Macciocchi</t>
  </si>
  <si>
    <t>30087-6537</t>
  </si>
  <si>
    <t>Bustos</t>
  </si>
  <si>
    <t>60647-3805</t>
  </si>
  <si>
    <t>B005</t>
  </si>
  <si>
    <t>17-43-24-c3-05794.0590</t>
  </si>
  <si>
    <t xml:space="preserve">304 Heatherbrook Dr </t>
  </si>
  <si>
    <t>Kailua</t>
  </si>
  <si>
    <t xml:space="preserve">10215 Butterweed Trl </t>
  </si>
  <si>
    <t>River By</t>
  </si>
  <si>
    <t xml:space="preserve">3411 SE 15th Pl </t>
  </si>
  <si>
    <t xml:space="preserve">1913 NE 44th Ter </t>
  </si>
  <si>
    <t>Stuhr</t>
  </si>
  <si>
    <t xml:space="preserve">279 Edinboro Rd </t>
  </si>
  <si>
    <t>33013-1423</t>
  </si>
  <si>
    <t>Tomer</t>
  </si>
  <si>
    <t>11-44-25-l1-1400a.1230</t>
  </si>
  <si>
    <t xml:space="preserve">1104 Garfield St  Mcmechen, WV 26040-1306 </t>
  </si>
  <si>
    <t>Cape Coral Unit 84 Blk 5610 Pb 24 Pg 36 Lot 20</t>
  </si>
  <si>
    <t xml:space="preserve">1318 NE 37th St </t>
  </si>
  <si>
    <t xml:space="preserve">Clemensstrasse 19 A  Muenchen, DE 80803 </t>
  </si>
  <si>
    <t xml:space="preserve">1925 NE 14th St </t>
  </si>
  <si>
    <t xml:space="preserve">1726 NE 8th Pl  Cape Coral, FL 33909 </t>
  </si>
  <si>
    <t>Yasmin &amp; Daniel Ramirez</t>
  </si>
  <si>
    <t>Cypress Woods Rv Resort Un 3 Desc In Pb 72 Pgs 92-95 Blk C Lot 85</t>
  </si>
  <si>
    <t xml:space="preserve">14851 Jonathan Harbour Dr </t>
  </si>
  <si>
    <t xml:space="preserve">638 Geneva Ave </t>
  </si>
  <si>
    <t>Woodcrest</t>
  </si>
  <si>
    <t xml:space="preserve">7411 Belden St  Philadelphia, PA 19111-3813 </t>
  </si>
  <si>
    <t>Kafe</t>
  </si>
  <si>
    <t>Jesusa</t>
  </si>
  <si>
    <t>For Albert W Carlson Trust</t>
  </si>
  <si>
    <t>17-43-24-c2-05816.0270</t>
  </si>
  <si>
    <t>12553-8013</t>
  </si>
  <si>
    <t>Cape Coral Unit 33 Blk 2230 Pb 16 Pg 52 Lots 53 + 54</t>
  </si>
  <si>
    <t xml:space="preserve">423 NE 31st Ter </t>
  </si>
  <si>
    <t>Oden</t>
  </si>
  <si>
    <t xml:space="preserve">4112 NE 23rd Pl  Cape Coral, FL 33909 </t>
  </si>
  <si>
    <t xml:space="preserve">2215 NE 16th Pl </t>
  </si>
  <si>
    <t xml:space="preserve">422 NE 5th Ave  Cape Coral, FL 33909 </t>
  </si>
  <si>
    <t>Lehigh Acres Unit 12 E Pt Blk 65 Pb 26 Pg 15 Lot 15</t>
  </si>
  <si>
    <t>Cape Coral Unit 31 Blk 2065 Pb 14 Pg 161 Lots 9 + 10</t>
  </si>
  <si>
    <t xml:space="preserve">1902 NE 33rd Ter  Cape Coral, FL 33909 </t>
  </si>
  <si>
    <t xml:space="preserve">616 Wisteria Ln </t>
  </si>
  <si>
    <t>44202-5104</t>
  </si>
  <si>
    <t xml:space="preserve">12345 W Alameda Pkwy #212, Lakewood, CO 80228-2842 </t>
  </si>
  <si>
    <t>Cypress Woods Rv Resort Un 3 Desc In Pb 72 Pgs 92-95 Blk C Lot 126</t>
  </si>
  <si>
    <t>For Olson Trust</t>
  </si>
  <si>
    <t xml:space="preserve">1009 NE 44th St  Cape Coral, FL 33909 </t>
  </si>
  <si>
    <t>Volstorf</t>
  </si>
  <si>
    <t>Cape Coral Land 2022 Ix</t>
  </si>
  <si>
    <t>33909-6229</t>
  </si>
  <si>
    <t>85383-2494</t>
  </si>
  <si>
    <t>Arnaldo &amp; Mariluz Gonzalez</t>
  </si>
  <si>
    <t>Keerbergen</t>
  </si>
  <si>
    <t>20-43-24-c4-05633.0290</t>
  </si>
  <si>
    <t xml:space="preserve">10 Hewlett Rd </t>
  </si>
  <si>
    <t xml:space="preserve">2307 NE 6th Ave </t>
  </si>
  <si>
    <t xml:space="preserve">14 Park St </t>
  </si>
  <si>
    <t xml:space="preserve">5211 NW 106th Dr  Coral Springs, FL 33076-2797 </t>
  </si>
  <si>
    <t xml:space="preserve">1600 Wolford Rd </t>
  </si>
  <si>
    <t>Cape Coral Unit 1 Part 2 Blk 26 Pb 11/31 Por Lots 27-29 + S/W Ext As Desc In Inst #201000237013 As Tract B</t>
  </si>
  <si>
    <t xml:space="preserve">3215 NE 13th Ct </t>
  </si>
  <si>
    <t xml:space="preserve">4111 Avenue S </t>
  </si>
  <si>
    <t>01-44-23-c1-02463.0020</t>
  </si>
  <si>
    <t>Sumner</t>
  </si>
  <si>
    <t>33576-4663</t>
  </si>
  <si>
    <t>Andrea Fugon &amp; Yoel Carreno</t>
  </si>
  <si>
    <t>33196-2166</t>
  </si>
  <si>
    <t>01-44-23-c3-02465.0970</t>
  </si>
  <si>
    <t>36-43-23-c1-02518.0090</t>
  </si>
  <si>
    <t>Huang Lin</t>
  </si>
  <si>
    <t xml:space="preserve">8 Rose Haven Ln </t>
  </si>
  <si>
    <t>18-43-24-c1-05698.0490</t>
  </si>
  <si>
    <t xml:space="preserve">5501 Bayview Dr  Fort Lauderdale, FL 33308-3441 </t>
  </si>
  <si>
    <t xml:space="preserve">1618 NE 1st Ave </t>
  </si>
  <si>
    <t xml:space="preserve">6901 Clark Rd  Erie, PA 16510-5944 </t>
  </si>
  <si>
    <t xml:space="preserve">2010 Durden Pkwy </t>
  </si>
  <si>
    <t>Robinson Creek</t>
  </si>
  <si>
    <t xml:space="preserve">11500 Arbor Lakes Pkwy N #3141, Maple Grove, MN 55369-2283 </t>
  </si>
  <si>
    <t xml:space="preserve">4351 Royal Palm Ave  Miami Beach, FL 33140-3018 </t>
  </si>
  <si>
    <t>Hieble</t>
  </si>
  <si>
    <t xml:space="preserve">5223 Pineland Daisy Trl  Fort Myers, FL 33905 </t>
  </si>
  <si>
    <t xml:space="preserve">2744 NE 4th Pl  Cape Coral, FL 33909 </t>
  </si>
  <si>
    <t xml:space="preserve">1621 E Daylesford Ct </t>
  </si>
  <si>
    <t>33415-7315</t>
  </si>
  <si>
    <t>33905-6828</t>
  </si>
  <si>
    <t>For Carle Realty Trust</t>
  </si>
  <si>
    <t xml:space="preserve">1310 NE 22nd Pl </t>
  </si>
  <si>
    <t>Potts</t>
  </si>
  <si>
    <t xml:space="preserve">3432 NE 15th Ave  Cape Coral, FL 33909 </t>
  </si>
  <si>
    <t>33909-1267</t>
  </si>
  <si>
    <t xml:space="preserve">2904 NE 2nd Ave  Cape Coral, FL 33909 </t>
  </si>
  <si>
    <t xml:space="preserve">2215 NE 28th St </t>
  </si>
  <si>
    <t>H K H &amp; Anna Weber</t>
  </si>
  <si>
    <t>Piccerill</t>
  </si>
  <si>
    <t>32-43-24-c3-02223.0440</t>
  </si>
  <si>
    <t>Joseph &amp; Martine Correani</t>
  </si>
  <si>
    <t>Cape Coral Unit 32 Blk 2122 Pb 16 Pg 7 Lots 41 + 42</t>
  </si>
  <si>
    <t>Upper Tantallon</t>
  </si>
  <si>
    <t xml:space="preserve">1102 NE 5th Pl  Cape Coral, FL 33909 </t>
  </si>
  <si>
    <t xml:space="preserve">5107 Calusa Ct  Cape Coral, FL 33904 </t>
  </si>
  <si>
    <t xml:space="preserve">Po Box 282 </t>
  </si>
  <si>
    <t xml:space="preserve">1412 NE 19th Pl  Cape Coral, FL 33909 </t>
  </si>
  <si>
    <t>Bourelly</t>
  </si>
  <si>
    <t>Phung</t>
  </si>
  <si>
    <t>Highridge</t>
  </si>
  <si>
    <t>Shimon</t>
  </si>
  <si>
    <t>15143-8709</t>
  </si>
  <si>
    <t>ALTERNATE MAILING CITY</t>
  </si>
  <si>
    <t>Miriam Miesch &amp; William Quintana</t>
  </si>
  <si>
    <t>Cape Coral Unit 33 Blk.2242 Pb 16 Pg 55 Lots 69 + 70</t>
  </si>
  <si>
    <t>For Evelyn I Bull Trust</t>
  </si>
  <si>
    <t xml:space="preserve">PO Box 287  Arcadia, MI 49613 </t>
  </si>
  <si>
    <t>29-43-24-c4-02285.0320</t>
  </si>
  <si>
    <t xml:space="preserve">4127 Kennedy Rd </t>
  </si>
  <si>
    <t>Juan Espinel &amp; Saeid Rahmani</t>
  </si>
  <si>
    <t xml:space="preserve">3995 SW 4th St  Coral Gables, FL 33134-1738 </t>
  </si>
  <si>
    <t>Deanna</t>
  </si>
  <si>
    <t>Cape Coral Unit 87 Blk 5680 Pb 24 Pg 73 Lots 8 + 9</t>
  </si>
  <si>
    <t xml:space="preserve">105 Sophia Dr  Rehoboth, MA 02769-2425 </t>
  </si>
  <si>
    <t>36-44-23-c2-00907.0420</t>
  </si>
  <si>
    <t xml:space="preserve">14411 Vernida Ave </t>
  </si>
  <si>
    <t>Harbison</t>
  </si>
  <si>
    <t>Caron</t>
  </si>
  <si>
    <t>02-44-25-04-00043.0000</t>
  </si>
  <si>
    <t xml:space="preserve">4217 Garden Blvd </t>
  </si>
  <si>
    <t>Runnemede</t>
  </si>
  <si>
    <t>Cape Coral Unit 85 Blk 5663 Pb 24 Pb 58 Lots 44 + 45</t>
  </si>
  <si>
    <t xml:space="preserve">5620 Commons Ln </t>
  </si>
  <si>
    <t>Marcus Baumann</t>
  </si>
  <si>
    <t>Clifton Country</t>
  </si>
  <si>
    <t>Caroline M Stegmann Trust</t>
  </si>
  <si>
    <t>20-43-24-c2-05667.0030</t>
  </si>
  <si>
    <t>Cape Coral Unit 36 Pt 1 Blk 2481 Pb 23 Pg 93 Lots 26 + 27</t>
  </si>
  <si>
    <t>Dan &amp; Alice Collier</t>
  </si>
  <si>
    <t>James Brown</t>
  </si>
  <si>
    <t>Bokon</t>
  </si>
  <si>
    <t>Guyer</t>
  </si>
  <si>
    <t>91702-1298</t>
  </si>
  <si>
    <t>11411-1308</t>
  </si>
  <si>
    <t>Cape Coral Unit 4 Part 2 Blk.150 Pb 12 Pg 18 Lots 55 and 56</t>
  </si>
  <si>
    <t xml:space="preserve">Po Box 10984 </t>
  </si>
  <si>
    <t>Frank Luciani</t>
  </si>
  <si>
    <t xml:space="preserve">217 NE 23rd Pl </t>
  </si>
  <si>
    <t>R-3</t>
  </si>
  <si>
    <t>24171-4797</t>
  </si>
  <si>
    <t>Oneonta</t>
  </si>
  <si>
    <t xml:space="preserve">1308 Andalusia Blvd  Cape Coral, FL 33909 </t>
  </si>
  <si>
    <t>36-43-23-c4-02512.0070</t>
  </si>
  <si>
    <t>Riva Ridge</t>
  </si>
  <si>
    <t xml:space="preserve">1112 SE 37th St </t>
  </si>
  <si>
    <t>Roylance</t>
  </si>
  <si>
    <t xml:space="preserve">322 NE 20th St </t>
  </si>
  <si>
    <t xml:space="preserve">4774 SW 72nd Ave </t>
  </si>
  <si>
    <t>Tidewater Island Blk C Pb 49 Pg 76 Lot 44</t>
  </si>
  <si>
    <t xml:space="preserve">3341 SE 10th Pl  Cape Coral, FL 33904 </t>
  </si>
  <si>
    <t xml:space="preserve">2551 Dryden Cir </t>
  </si>
  <si>
    <t>Cape Coral Unit 34 Blk 2429 Pb 16 Pg 83 Lots 45 + 46</t>
  </si>
  <si>
    <t>Rosemary Sullivan</t>
  </si>
  <si>
    <t xml:space="preserve">603 Argyle Pl </t>
  </si>
  <si>
    <t>11-44-25-09-00000.0280</t>
  </si>
  <si>
    <t xml:space="preserve">6130 Springer Way </t>
  </si>
  <si>
    <t>Mcburney Ridge</t>
  </si>
  <si>
    <t xml:space="preserve">907 Secretariat Dr </t>
  </si>
  <si>
    <t>Lawrence Township</t>
  </si>
  <si>
    <t xml:space="preserve">2163 Willard St </t>
  </si>
  <si>
    <t>Gamal Abuhadba &amp; Melissa Hu</t>
  </si>
  <si>
    <t>Cypress Woods Rv Resort Desc In Inst#2006-358211 Lot 174</t>
  </si>
  <si>
    <t xml:space="preserve">2416 Mount Home Church Rd  Morganton, NC 28655-6405 </t>
  </si>
  <si>
    <t xml:space="preserve">4801 Avenue N </t>
  </si>
  <si>
    <t>Cape Coral Unit 88 Blk 5819 Pb 24 Pg 140 Lots 11 + 12</t>
  </si>
  <si>
    <t>Panama</t>
  </si>
  <si>
    <t>19-43-24-c2-05602.0130</t>
  </si>
  <si>
    <t>Elizabeth Brandt</t>
  </si>
  <si>
    <t xml:space="preserve">4449 Bessie Ave  Fort Myers, FL 33905 </t>
  </si>
  <si>
    <t>Mount Sinai</t>
  </si>
  <si>
    <t>01-44-23-c3-02387.0080</t>
  </si>
  <si>
    <t xml:space="preserve">9049 Beard Rd  Kenockee, MI 48006-3206 </t>
  </si>
  <si>
    <t xml:space="preserve">334 Royal Palm Park Rd  Fort Myers, FL 33905 </t>
  </si>
  <si>
    <t>80516-8938</t>
  </si>
  <si>
    <t xml:space="preserve">1231 W 12400 S </t>
  </si>
  <si>
    <t>150th</t>
  </si>
  <si>
    <t xml:space="preserve">19681 Summerlin Rd #114, Fort Myers, FL 33908 </t>
  </si>
  <si>
    <t xml:space="preserve">40 Forsgate Ct  Township Of Washington, NJ 07676-3837 </t>
  </si>
  <si>
    <t>Segre</t>
  </si>
  <si>
    <t>Visalia</t>
  </si>
  <si>
    <t>25-43-23-c4-02300.b280</t>
  </si>
  <si>
    <t xml:space="preserve">2445 Bluffs Cir </t>
  </si>
  <si>
    <t xml:space="preserve">4315 NE 13th Pl </t>
  </si>
  <si>
    <t>Petit</t>
  </si>
  <si>
    <t>19-44-26-01-00005.0010</t>
  </si>
  <si>
    <t xml:space="preserve">8289 Mississippi Blvd NW  Minneapolis, MN 55433-5937 </t>
  </si>
  <si>
    <t>06905-2705</t>
  </si>
  <si>
    <t>60124-5505</t>
  </si>
  <si>
    <t>Salahuddin Salahuddin</t>
  </si>
  <si>
    <t xml:space="preserve">2163 NE 20th Ln  Cape Coral, FL 33909 </t>
  </si>
  <si>
    <t>Hohenstrabe</t>
  </si>
  <si>
    <t>Jose Lallave &amp; Delian Miro</t>
  </si>
  <si>
    <t xml:space="preserve">201 Maltby Rd W  Guelph, ON N1l 1G3 </t>
  </si>
  <si>
    <t>10954-4529</t>
  </si>
  <si>
    <t>Luikart Mark &amp; Brenda Tr</t>
  </si>
  <si>
    <t>50111-1025</t>
  </si>
  <si>
    <t xml:space="preserve">448 Lafayette St #2, Salem, MA 01970-5341 </t>
  </si>
  <si>
    <t xml:space="preserve">905 Price Rd  Sugar Grove, IL 60554-5453 </t>
  </si>
  <si>
    <t>33178-5614</t>
  </si>
  <si>
    <t>18-43-24-c1-05694.0550</t>
  </si>
  <si>
    <t>C027</t>
  </si>
  <si>
    <t xml:space="preserve">1500 Pine St #15 </t>
  </si>
  <si>
    <t>Balaoing Gil Tr</t>
  </si>
  <si>
    <t>Delrosario</t>
  </si>
  <si>
    <t xml:space="preserve">1316 NE 21st Ave </t>
  </si>
  <si>
    <t>33905-7540</t>
  </si>
  <si>
    <t>33137-4804</t>
  </si>
  <si>
    <t xml:space="preserve">15 Marie-Curie-Str  Asheville, NC 28816 </t>
  </si>
  <si>
    <t>Dean</t>
  </si>
  <si>
    <t>Cape Coral Unit 85 Blk 5634 Pb 24 Pg 50 Lots 25 + 26</t>
  </si>
  <si>
    <t>33305-1423</t>
  </si>
  <si>
    <t>Vincent Primavera</t>
  </si>
  <si>
    <t xml:space="preserve">3490 Thrive Dr #245, Naples, FL 34105-5087 </t>
  </si>
  <si>
    <t>11-44-25-l1-13000.3260</t>
  </si>
  <si>
    <t>Bromfield</t>
  </si>
  <si>
    <t xml:space="preserve">1318 Slayton Ave  Grand Haven, MI 49417-2035 </t>
  </si>
  <si>
    <t>33903-4346</t>
  </si>
  <si>
    <t>Stratton</t>
  </si>
  <si>
    <t>33909-4660</t>
  </si>
  <si>
    <t xml:space="preserve">3211 W Bryn Mawr Ave 2a </t>
  </si>
  <si>
    <t>33909-6278</t>
  </si>
  <si>
    <t>10705-2436</t>
  </si>
  <si>
    <t>Gloria Soto &amp; Rogelio Prado</t>
  </si>
  <si>
    <t>33909-1213</t>
  </si>
  <si>
    <t>Jose Salazar &amp; Patricia Gallardo</t>
  </si>
  <si>
    <t>H L H &amp; Judith Robb</t>
  </si>
  <si>
    <t>23435-1532</t>
  </si>
  <si>
    <t>33909-8959</t>
  </si>
  <si>
    <t>Cape Coral Unit 84 Blk 5581 Pb 24 Pg 48 Lots 21 + 22</t>
  </si>
  <si>
    <t>33904-3462</t>
  </si>
  <si>
    <t>11-44-25-06-0000d.1310</t>
  </si>
  <si>
    <t>23072-1126</t>
  </si>
  <si>
    <t>Goldstock</t>
  </si>
  <si>
    <t>Anthony Diaz</t>
  </si>
  <si>
    <t>33909-4371</t>
  </si>
  <si>
    <t>Horst</t>
  </si>
  <si>
    <t xml:space="preserve">1120 NE 36th St  Cape Coral, FL 33909 </t>
  </si>
  <si>
    <t>11-44-25-09-00000.0030</t>
  </si>
  <si>
    <t xml:space="preserve"># 40 </t>
  </si>
  <si>
    <t>Blackstone</t>
  </si>
  <si>
    <t>Anla</t>
  </si>
  <si>
    <t xml:space="preserve">129 NE 12th Ct  Cape Coral, FL 33909 </t>
  </si>
  <si>
    <t xml:space="preserve">3742 Old Pali Rd A </t>
  </si>
  <si>
    <t>38326-3166</t>
  </si>
  <si>
    <t>Cape Coral Unit 88 Blk 5762 Pb 24 Pg 133 Lots 9 + 10</t>
  </si>
  <si>
    <t xml:space="preserve">2127 NE 22nd Ave </t>
  </si>
  <si>
    <t>Cypress Trail Rv Resort As Desc In Inst# 2013000212499 Lot 413</t>
  </si>
  <si>
    <t xml:space="preserve">221 Turnberry Ct N  Lake Worth, FL 33462-1028 </t>
  </si>
  <si>
    <t>Cypress Woods Rv Resort Ut 1 Pb 65 Pg 85 + 86 Blk B Lot 16</t>
  </si>
  <si>
    <t xml:space="preserve">2125 NE 36th Ter  Cape Coral, FL 33909 </t>
  </si>
  <si>
    <t>Loureiro</t>
  </si>
  <si>
    <t>Ana Gaviria</t>
  </si>
  <si>
    <t xml:space="preserve">3204 NE 13th Pl  Cape Coral, FL 33909 </t>
  </si>
  <si>
    <t>Groseth</t>
  </si>
  <si>
    <t xml:space="preserve">1911 NE 10th Ave  Cape Coral, FL 33909 </t>
  </si>
  <si>
    <t>31-43-24-c3-02123.0270</t>
  </si>
  <si>
    <t>Cape Coral Unit 36 Blk 2174 Pb 16 Pg 121 Lots 37 + 38</t>
  </si>
  <si>
    <t>33905-1812</t>
  </si>
  <si>
    <t>Osly Roque &amp; Yadisley Defranco</t>
  </si>
  <si>
    <t xml:space="preserve">372 Floyd Dr </t>
  </si>
  <si>
    <t>Vincent &amp; Pamela Cuviello</t>
  </si>
  <si>
    <t xml:space="preserve">2886 Crest Rd  Cincinnati, OH 45251-4600 </t>
  </si>
  <si>
    <t>Brieanne Nikrandt &amp; David Silock</t>
  </si>
  <si>
    <t>31-44-24-c4-00616.0090</t>
  </si>
  <si>
    <t>Cape Coral Unit 88 Blk 5786 Pb 24 Pg 131 Lots 18 + 19</t>
  </si>
  <si>
    <t>Cape Coral Unit 33 Blk 2242 Pb 16 Pg 55 Lots 61 + 62</t>
  </si>
  <si>
    <t>Cape Coral Unit 31 Blk.2042 Pb 14 Pg 158 Lots 40 + 41</t>
  </si>
  <si>
    <t xml:space="preserve">2305 NE 19th Pl </t>
  </si>
  <si>
    <t>21037-2678</t>
  </si>
  <si>
    <t>Gale</t>
  </si>
  <si>
    <t xml:space="preserve">12407 Darby Chase Dr  Charlotte, NC 28277-3201 </t>
  </si>
  <si>
    <t>33029-3817</t>
  </si>
  <si>
    <t>Moonshine Creek</t>
  </si>
  <si>
    <t xml:space="preserve">7850 W 155th Ter </t>
  </si>
  <si>
    <t>Anderson Barbara A Tr</t>
  </si>
  <si>
    <t>17-43-24-c4-05767.0060</t>
  </si>
  <si>
    <t xml:space="preserve">5203 Leith Pl  Little Neck, NY 11362-1817 </t>
  </si>
  <si>
    <t xml:space="preserve">3743 Kelsey St  Fort Myers, FL 33905 </t>
  </si>
  <si>
    <t xml:space="preserve">2117 NE 10th Pl </t>
  </si>
  <si>
    <t>James Dimarzio</t>
  </si>
  <si>
    <t>Arakelyan</t>
  </si>
  <si>
    <t xml:space="preserve">1309 NE 9th Ave </t>
  </si>
  <si>
    <t xml:space="preserve">26 Iris St  Zoran, IL 42823 </t>
  </si>
  <si>
    <t>Bennetti</t>
  </si>
  <si>
    <t xml:space="preserve">3615 NE 19th Ave </t>
  </si>
  <si>
    <t xml:space="preserve">1101 SE 38th St </t>
  </si>
  <si>
    <t xml:space="preserve">6101 Pelican Bay Blvd #704, Naples, FL 34108-7110 </t>
  </si>
  <si>
    <t>31-43-24-c2-02138.0390</t>
  </si>
  <si>
    <t>11801-1836</t>
  </si>
  <si>
    <t>Leslye</t>
  </si>
  <si>
    <t>Edina</t>
  </si>
  <si>
    <t xml:space="preserve">103 Beecher Rd </t>
  </si>
  <si>
    <t xml:space="preserve">276 Harbor Ln </t>
  </si>
  <si>
    <t xml:space="preserve">6069 Laurelwood Dr </t>
  </si>
  <si>
    <t>10040-2108</t>
  </si>
  <si>
    <t>48346-1999</t>
  </si>
  <si>
    <t xml:space="preserve">5711 Maplewood Ct  Fort Myers, FL 33905 </t>
  </si>
  <si>
    <t xml:space="preserve">1110 SE 36th Ter  Cape Coral, FL 33904 </t>
  </si>
  <si>
    <t>Ivone</t>
  </si>
  <si>
    <t>Alberta</t>
  </si>
  <si>
    <t>Fernandez</t>
  </si>
  <si>
    <t xml:space="preserve">301 Carlisle Ave </t>
  </si>
  <si>
    <t>Carmine</t>
  </si>
  <si>
    <t>33904-4920</t>
  </si>
  <si>
    <t xml:space="preserve">13525 Maryearl Ct  Poway, CA 92064-2930 </t>
  </si>
  <si>
    <t xml:space="preserve">94 Skyline Dr  North Fort Myers, FL 33903 </t>
  </si>
  <si>
    <t xml:space="preserve">2704 NE 2nd Pl  Cape Coral, FL 33909 </t>
  </si>
  <si>
    <t>Ferreras</t>
  </si>
  <si>
    <t>Cape Coral Unit 32 Blk 2139 Pb 16 Pg 10 Lots 42 + 43</t>
  </si>
  <si>
    <t>Lehigh Acres Unit 6 Blk 31 Pb 26 Pg 8 Lot 15</t>
  </si>
  <si>
    <t xml:space="preserve">4144 NE 21st Pl </t>
  </si>
  <si>
    <t>20-43-24-c1-05649.0390</t>
  </si>
  <si>
    <t>Domenico &amp; Teresa Maiolo</t>
  </si>
  <si>
    <t>32-43-24-c2-02235.0420</t>
  </si>
  <si>
    <t>33162-1133</t>
  </si>
  <si>
    <t xml:space="preserve">2523 NE 6th Ave  Cape Coral, FL 33909 </t>
  </si>
  <si>
    <t>Homer</t>
  </si>
  <si>
    <t>Maiquel Garcia</t>
  </si>
  <si>
    <t>Golf Course</t>
  </si>
  <si>
    <t>Joseph Aronica</t>
  </si>
  <si>
    <t xml:space="preserve">3635 Highway 182 </t>
  </si>
  <si>
    <t>Aleccy &amp; Nancy Rodriguez</t>
  </si>
  <si>
    <t>Cape Coral Unit 85 Blk 5644 Pb 24 Pg 55 Lots 33 + 34</t>
  </si>
  <si>
    <t>Phyllis Mckeone</t>
  </si>
  <si>
    <t>18-43-24-c1-05696.0150</t>
  </si>
  <si>
    <t>Woodgrove Harbor</t>
  </si>
  <si>
    <t>33908-1751</t>
  </si>
  <si>
    <t xml:space="preserve">8300 Arlington Blvd B2, Fairfax, VA 22031-5217 </t>
  </si>
  <si>
    <t>Tanager</t>
  </si>
  <si>
    <t>Beg On S Line Pondella Rd 1306.8 Ft E Of W Line Of Sec 5 Th S 424 Ft To Pob</t>
  </si>
  <si>
    <t>29-43-26-03-00036.0290</t>
  </si>
  <si>
    <t>25-43-23-c1-02348.0430</t>
  </si>
  <si>
    <t xml:space="preserve">4250 Pine Rd </t>
  </si>
  <si>
    <t>03-44-26-09-00040.0080</t>
  </si>
  <si>
    <t>Doris Ventura</t>
  </si>
  <si>
    <t xml:space="preserve">222 Spencer Lndg W  La Porte, TX 77571-9140 </t>
  </si>
  <si>
    <t>Veronica Papavero &amp; Adrian Tiefierro</t>
  </si>
  <si>
    <t>Cape Coral Unit 32 Blk 2155 Pb 16 Pg 13 Lots 51 + 52</t>
  </si>
  <si>
    <t>Distillerty Wharf</t>
  </si>
  <si>
    <t>33331-3195</t>
  </si>
  <si>
    <t>Benedict Vergara</t>
  </si>
  <si>
    <t>Landers</t>
  </si>
  <si>
    <t>07306-1901</t>
  </si>
  <si>
    <t>98118-6468</t>
  </si>
  <si>
    <t xml:space="preserve">1036 NE 11th Ave  Cape Coral, FL 33909 </t>
  </si>
  <si>
    <t>C654</t>
  </si>
  <si>
    <t>67207-6728</t>
  </si>
  <si>
    <t xml:space="preserve">129 SE 25th Ln  Cape Coral, FL 33904 </t>
  </si>
  <si>
    <t>18-43-24-c2-05737.0190</t>
  </si>
  <si>
    <t>Cape Coral Unit 36 Blk 2346 Pb 16 Pg 124 Lots 11 + 12</t>
  </si>
  <si>
    <t>Gosheff</t>
  </si>
  <si>
    <t>Tia</t>
  </si>
  <si>
    <t>Cape Coral Unit 33 Blk 2247 Pb 16 Pg 54 Lots 87 Thru 89</t>
  </si>
  <si>
    <t xml:space="preserve">6 Sonora Ave  South San Francisco, CA 94080-5941 </t>
  </si>
  <si>
    <t>Cape Coral Unit 85 Blk 5647 Pb 24 Pg 56 Lots 7 + 8</t>
  </si>
  <si>
    <t xml:space="preserve">11438 227th St </t>
  </si>
  <si>
    <t>Cape Coral Unit 33 Blk 2283 Pb 16 Pg 59 Lots 42 + 43</t>
  </si>
  <si>
    <t xml:space="preserve">2051 W California St  San Diego, CA 92110-2122 </t>
  </si>
  <si>
    <t>Cypress Trail Rv Resort As Desc In Inst# 2013000212499 Lot 266</t>
  </si>
  <si>
    <t xml:space="preserve">1006 NE 33rd Ter </t>
  </si>
  <si>
    <t>Julie L Bennett Trust</t>
  </si>
  <si>
    <t>Marcela Figueroa</t>
  </si>
  <si>
    <t xml:space="preserve">720 2nd Ave #2 </t>
  </si>
  <si>
    <t>Cape Coral Unit 34 Blk 2466 Pb 16 Pg 76 Lots 47 + 48</t>
  </si>
  <si>
    <t>Eccleston</t>
  </si>
  <si>
    <t>50021-9600</t>
  </si>
  <si>
    <t xml:space="preserve">238 Chemin De La Pepiniere  Gerardmer, FR </t>
  </si>
  <si>
    <t>Joseph &amp; Joseph Antony</t>
  </si>
  <si>
    <t>90266-6862</t>
  </si>
  <si>
    <t>Huber</t>
  </si>
  <si>
    <t>Country Lakes Unit 2 Desc In Inst#2005-57461 Lot 139</t>
  </si>
  <si>
    <t xml:space="preserve">2645 Laramie Cir  Fairfield, CA 94533-7256 </t>
  </si>
  <si>
    <t xml:space="preserve">3034 E 143rd Dr </t>
  </si>
  <si>
    <t>Dominic &amp; Frances Russo</t>
  </si>
  <si>
    <t xml:space="preserve">1841 NE 2nd St </t>
  </si>
  <si>
    <t>17-43-24-c1-05824.0310</t>
  </si>
  <si>
    <t>19-43-24-c4-05560.0290</t>
  </si>
  <si>
    <t xml:space="preserve">PO Box 1248  Kalaheo, HI 96741-1248 </t>
  </si>
  <si>
    <t>33909-1262</t>
  </si>
  <si>
    <t>Cypress Woods Rv Resort Unit 4 Pb 79 Pgs 68-71 Blk D Lot 93</t>
  </si>
  <si>
    <t>Daniel Rojas</t>
  </si>
  <si>
    <t>31-44-24-c4-00612.0150</t>
  </si>
  <si>
    <t xml:space="preserve">3837 Knowlton St </t>
  </si>
  <si>
    <t xml:space="preserve">6046 Latimer Ave  Fort Myers, FL 33905 </t>
  </si>
  <si>
    <t>Kamrus Hosein &amp; Aslim Ali</t>
  </si>
  <si>
    <t xml:space="preserve">33 Poplar Cir </t>
  </si>
  <si>
    <t>Mount Hood Parkdale</t>
  </si>
  <si>
    <t xml:space="preserve">4148 Timberline Cir </t>
  </si>
  <si>
    <t xml:space="preserve">6113 Higgins Ave </t>
  </si>
  <si>
    <t>32-43-24-c1-02231.0540</t>
  </si>
  <si>
    <t>Jalbert</t>
  </si>
  <si>
    <t>Alta Vista</t>
  </si>
  <si>
    <t xml:space="preserve">2629 NE 5th Pl </t>
  </si>
  <si>
    <t xml:space="preserve">10376 Nightwood Dr </t>
  </si>
  <si>
    <t xml:space="preserve">6004 Stratton Rd </t>
  </si>
  <si>
    <t xml:space="preserve">1712 Sunsine Pl  Sebring, FL 33870 </t>
  </si>
  <si>
    <t>11-44-25-09-00000.2760</t>
  </si>
  <si>
    <t>Cypress Woods Rv Resort Ut 1 Pb 65 Pg 85 + 86 Blk B Lot 65</t>
  </si>
  <si>
    <t>Noblesville</t>
  </si>
  <si>
    <t xml:space="preserve">118 Tropicana Pkwy E </t>
  </si>
  <si>
    <t>Cape Coral Unit 36 Pt 1 Blk 2500 Pb 23 Pg 93 Lots 9 + 10</t>
  </si>
  <si>
    <t xml:space="preserve">6144 Holt Ct </t>
  </si>
  <si>
    <t>Rebecca</t>
  </si>
  <si>
    <t>Drees</t>
  </si>
  <si>
    <t>Absecon</t>
  </si>
  <si>
    <t>11-44-25-l1-12000.3870</t>
  </si>
  <si>
    <t>Cape Coral Unit 36 Blk 2333 Pb 16 Pg 127 Lots 75 + 76</t>
  </si>
  <si>
    <t>Bradley Gardens</t>
  </si>
  <si>
    <t xml:space="preserve">1302 NE 9th Ave  Cape Coral, FL 33909 </t>
  </si>
  <si>
    <t>Daniel Carl Drenckhahn &amp; Lou Drenckhahn</t>
  </si>
  <si>
    <t>Russell Park Blk 4 Pb 8 Pg 36 Parl N Of Riverside S Of River</t>
  </si>
  <si>
    <t>Kismet</t>
  </si>
  <si>
    <t xml:space="preserve">6034 Joplin Ave </t>
  </si>
  <si>
    <t xml:space="preserve">3130 NE 14th Ave  Cape Coral, FL 33909 </t>
  </si>
  <si>
    <t>32-43-24-c3-02185.0470</t>
  </si>
  <si>
    <t>Elsie</t>
  </si>
  <si>
    <t>Jensen</t>
  </si>
  <si>
    <t xml:space="preserve">818 NE 17th St  Cape Coral, FL 33909 </t>
  </si>
  <si>
    <t>Saul &amp; Celia Horne</t>
  </si>
  <si>
    <t>31-43-24-c3-02120.0130</t>
  </si>
  <si>
    <t>Estalena</t>
  </si>
  <si>
    <t xml:space="preserve">96 County Road 170  Killen, AL 35645-6101 </t>
  </si>
  <si>
    <t xml:space="preserve">101 NE 11th Ln </t>
  </si>
  <si>
    <t>33909-4627</t>
  </si>
  <si>
    <t>Gil Acosta</t>
  </si>
  <si>
    <t>06371-1540</t>
  </si>
  <si>
    <t>33147-3062</t>
  </si>
  <si>
    <t>34770-1534</t>
  </si>
  <si>
    <t>A G A &amp; Connie Raiani</t>
  </si>
  <si>
    <t>Sp 901</t>
  </si>
  <si>
    <t>91214-1442</t>
  </si>
  <si>
    <t xml:space="preserve">141 Cedar St </t>
  </si>
  <si>
    <t xml:space="preserve">2712 NE 2nd Ave </t>
  </si>
  <si>
    <t>91201-1439</t>
  </si>
  <si>
    <t>19-43-24-c1-05576.0630</t>
  </si>
  <si>
    <t>61704-1505</t>
  </si>
  <si>
    <t>Coppell</t>
  </si>
  <si>
    <t>85013-3434</t>
  </si>
  <si>
    <t>Jody &amp; Steven Stewart</t>
  </si>
  <si>
    <t>Guptill</t>
  </si>
  <si>
    <t xml:space="preserve">1360 W Choctaw Dr  London, OH 43140-8747 </t>
  </si>
  <si>
    <t>79932-2228</t>
  </si>
  <si>
    <t>11729-6728</t>
  </si>
  <si>
    <t>07043-2018</t>
  </si>
  <si>
    <t>Julien Seite</t>
  </si>
  <si>
    <t>Delia Huayanay &amp; Carlos Latorrez</t>
  </si>
  <si>
    <t xml:space="preserve">2121 NE 20th Ln  Cape Coral, FL 33909 </t>
  </si>
  <si>
    <t>Cape Coral Unit 87 Blk 5705 Pb 24 Pg 72 Lots 25 + 26</t>
  </si>
  <si>
    <t xml:space="preserve">Po Box 34389 </t>
  </si>
  <si>
    <t xml:space="preserve">4356 Greenwood Ave </t>
  </si>
  <si>
    <t>William &amp; Linda Deshane</t>
  </si>
  <si>
    <t xml:space="preserve">421 Santa Barbara St  North Fort Myers, FL 33903 </t>
  </si>
  <si>
    <t xml:space="preserve">5500 Flaghole Rd </t>
  </si>
  <si>
    <t>Joseph &amp; Susanna Bellino</t>
  </si>
  <si>
    <t>Chintan</t>
  </si>
  <si>
    <t>Naylen</t>
  </si>
  <si>
    <t xml:space="preserve">3002 NE 1st Ave </t>
  </si>
  <si>
    <t xml:space="preserve">7826 NW 40th Ct A </t>
  </si>
  <si>
    <t>33909-1012</t>
  </si>
  <si>
    <t>Sheridan</t>
  </si>
  <si>
    <t>01-44-23-c3-02466.0030</t>
  </si>
  <si>
    <t>Armenio</t>
  </si>
  <si>
    <t xml:space="preserve">14572 Highcrest Cir  Irvine, CA 92604-2437 </t>
  </si>
  <si>
    <t>Cape Coral Unit 87 Blk 5748 Pb 24 Pg 69 Lots 10 + 11</t>
  </si>
  <si>
    <t>20-43-24-c1-05646.0250</t>
  </si>
  <si>
    <t xml:space="preserve">5299 Cypress Trail Resort Cir </t>
  </si>
  <si>
    <t>30th</t>
  </si>
  <si>
    <t xml:space="preserve">107 NE 16th Ter </t>
  </si>
  <si>
    <t>09-45-23-c2-04683.0110</t>
  </si>
  <si>
    <t>32-43-24-c3-02186.0270</t>
  </si>
  <si>
    <t>Christina &amp; Robert Salinas</t>
  </si>
  <si>
    <t>Giannini Dominic Tr</t>
  </si>
  <si>
    <t xml:space="preserve">1320 NE 23rd Ter  Cape Coral, FL 33909 </t>
  </si>
  <si>
    <t xml:space="preserve">31 NE 12th Ct  Cape Coral, FL 33909 </t>
  </si>
  <si>
    <t>Becker</t>
  </si>
  <si>
    <t>Pine Run</t>
  </si>
  <si>
    <t xml:space="preserve">10313 Fire Flag Trl  Fort Myers, FL 33905 </t>
  </si>
  <si>
    <t xml:space="preserve">1701 NE 10th Ln </t>
  </si>
  <si>
    <t>19-43-24-c1-05577.0430</t>
  </si>
  <si>
    <t xml:space="preserve">2109 NE 14th Pl </t>
  </si>
  <si>
    <t>Jester</t>
  </si>
  <si>
    <t>Cape Coral Unit 7 Blk.349 Pb 12 Pg 114 Lots 42 + 43</t>
  </si>
  <si>
    <t>Miguel Echenique &amp; Hector Lima</t>
  </si>
  <si>
    <t>Cape Coral Unit 32 Blk 2109 Pb 16 Pg 2 Lots 22 + 23</t>
  </si>
  <si>
    <t>Duplisea</t>
  </si>
  <si>
    <t>Cobblestone</t>
  </si>
  <si>
    <t>Gasataya</t>
  </si>
  <si>
    <t xml:space="preserve">470 Mississippi Ave </t>
  </si>
  <si>
    <t xml:space="preserve">2310 Willow Rd  Northfield, IL 60093 </t>
  </si>
  <si>
    <t>Mary Farmer</t>
  </si>
  <si>
    <t>Caulmep</t>
  </si>
  <si>
    <t>Karl Ertl</t>
  </si>
  <si>
    <t xml:space="preserve">10 Maple St  Farmingdale, NY 11735-4305 </t>
  </si>
  <si>
    <t xml:space="preserve">1786 SW Cashmere Blvd </t>
  </si>
  <si>
    <t xml:space="preserve">714 Monmouth Ave </t>
  </si>
  <si>
    <t xml:space="preserve">342 Empire Ave  Blackwood, NJ 08012-4706 </t>
  </si>
  <si>
    <t>18-43-24-c2-05734.0050</t>
  </si>
  <si>
    <t xml:space="preserve">276 Seaview Ave </t>
  </si>
  <si>
    <t xml:space="preserve">10 Franklin Ter </t>
  </si>
  <si>
    <t xml:space="preserve">1412 Trailridge Cir </t>
  </si>
  <si>
    <t xml:space="preserve">2205 NE 27th Ter  Cape Coral, FL 33909 </t>
  </si>
  <si>
    <t>Marti Ladanyi</t>
  </si>
  <si>
    <t>Cape Coral Unit 84 Blk 5595 Pb 24 Pg 44 Lots 44 + 45</t>
  </si>
  <si>
    <t>18-43-24-c1-05723.0050</t>
  </si>
  <si>
    <t>Cape Coral Unit 31 Blk 2064 Pb 14 Pg 162 Lots 52 + 53</t>
  </si>
  <si>
    <t>Lohmar</t>
  </si>
  <si>
    <t>98146-2744</t>
  </si>
  <si>
    <t xml:space="preserve">335 NE 17th St  Cape Coral, FL 33909 </t>
  </si>
  <si>
    <t>19-43-24-c3-05619.0460</t>
  </si>
  <si>
    <t xml:space="preserve">1203 Emerson Ave  Teaneck, NJ 07666-2705 </t>
  </si>
  <si>
    <t xml:space="preserve">9542 Sunflower St </t>
  </si>
  <si>
    <t xml:space="preserve">3920 SW 67th Ave </t>
  </si>
  <si>
    <t>29-43-24-c4-02278.0190</t>
  </si>
  <si>
    <t>33125-2204</t>
  </si>
  <si>
    <t xml:space="preserve">27 Berryrun Dr SW </t>
  </si>
  <si>
    <t>Elk</t>
  </si>
  <si>
    <t>Wheeler Robert H &amp; Ericka J Tr</t>
  </si>
  <si>
    <t>18-45-24-c2-00075.0220</t>
  </si>
  <si>
    <t>Ines &amp; Mark Toler</t>
  </si>
  <si>
    <t xml:space="preserve">4505 W 13th Ln </t>
  </si>
  <si>
    <t>Cape Coral Unit 36 Pt 1 Blk 2509 Pb 23 Pg 93 Lots 8 + 9</t>
  </si>
  <si>
    <t xml:space="preserve">3425 Catalina Dr  Carlsbad, CA 92010-2856 </t>
  </si>
  <si>
    <t xml:space="preserve">6120 Humboldt Ave  Fort Myers, FL 33905 </t>
  </si>
  <si>
    <t>Sababa</t>
  </si>
  <si>
    <t>Villavicencio</t>
  </si>
  <si>
    <t>Cape Coral Unit 26 Blk.878 Pb 14 Pg 129 Lots 66 + 67</t>
  </si>
  <si>
    <t xml:space="preserve">506 N Beech Rd </t>
  </si>
  <si>
    <t>33904-4430</t>
  </si>
  <si>
    <t xml:space="preserve">2208 NE 23rd Ave </t>
  </si>
  <si>
    <t>33172-1306</t>
  </si>
  <si>
    <t>31-43-24-c4-02144.0350</t>
  </si>
  <si>
    <t>Rosedale</t>
  </si>
  <si>
    <t>25-43-23-c2-02340.0190</t>
  </si>
  <si>
    <t>Naguy Thomas A Tr</t>
  </si>
  <si>
    <t>Hildrizhausen</t>
  </si>
  <si>
    <t>Andrejs Belovs</t>
  </si>
  <si>
    <t>Summerland Key</t>
  </si>
  <si>
    <t>Mahendra</t>
  </si>
  <si>
    <t xml:space="preserve">1211 N Sugar Bend Run  Greenfield, IN 46140-7869 </t>
  </si>
  <si>
    <t xml:space="preserve">14500 Lake Crescent Pl </t>
  </si>
  <si>
    <t>Mcleod</t>
  </si>
  <si>
    <t>36875-3310</t>
  </si>
  <si>
    <t>Norton John R Tr</t>
  </si>
  <si>
    <t>Solomon</t>
  </si>
  <si>
    <t xml:space="preserve">7208 Meeker Creek Dr  Dayton, OH 45414-2075 </t>
  </si>
  <si>
    <t>Richard &amp; Maryellen Beck</t>
  </si>
  <si>
    <t xml:space="preserve">537 SE 36th St  Cape Coral, FL 33904 </t>
  </si>
  <si>
    <t>Morenberg</t>
  </si>
  <si>
    <t xml:space="preserve">8 Bianco Ct </t>
  </si>
  <si>
    <t>Dorchester</t>
  </si>
  <si>
    <t>Pete</t>
  </si>
  <si>
    <t>33193-3675</t>
  </si>
  <si>
    <t>Pine Manor Unit 6 Blk.29 Pb 12 Pg 82 Lot 32</t>
  </si>
  <si>
    <t xml:space="preserve">12603 Mezzadro Ave  Bakersfield, CA 93312-6870 </t>
  </si>
  <si>
    <t>03-44-26-14-00077.0070</t>
  </si>
  <si>
    <t>16123-2212</t>
  </si>
  <si>
    <t xml:space="preserve">9380 Balada St </t>
  </si>
  <si>
    <t>Laperie</t>
  </si>
  <si>
    <t>31-43-24-c4-02143.0300</t>
  </si>
  <si>
    <t xml:space="preserve">1600 Riverview Dr  Huron, SD 57350-4208 </t>
  </si>
  <si>
    <t xml:space="preserve">3930 Garden Blvd </t>
  </si>
  <si>
    <t>Boim</t>
  </si>
  <si>
    <t xml:space="preserve">1402 NE 1st Pl </t>
  </si>
  <si>
    <t>Petunia</t>
  </si>
  <si>
    <t>Lemanski</t>
  </si>
  <si>
    <t>11372-5615</t>
  </si>
  <si>
    <t>Hazle Township</t>
  </si>
  <si>
    <t>Stanley &amp; Patricia Gordon</t>
  </si>
  <si>
    <t>Echo Pass</t>
  </si>
  <si>
    <t>Lafountaine</t>
  </si>
  <si>
    <t>Phengsy</t>
  </si>
  <si>
    <t>Matthew Kaesermann</t>
  </si>
  <si>
    <t>Cape Coral Unit 85 Blk 5634 Pb 24 Pg 50 Lots 23 + 24</t>
  </si>
  <si>
    <t>Najah Thompson</t>
  </si>
  <si>
    <t xml:space="preserve">6322 Desert Peace Ave </t>
  </si>
  <si>
    <t xml:space="preserve">4314 NE 9th Pl  Cape Coral, FL 33909 </t>
  </si>
  <si>
    <t>33144-4630</t>
  </si>
  <si>
    <t xml:space="preserve">Via Samborondon Km 25 Biblos </t>
  </si>
  <si>
    <t>Cascade Oaks</t>
  </si>
  <si>
    <t xml:space="preserve">3203 NE 14th Ave  Cape Coral, FL 33909 </t>
  </si>
  <si>
    <t>18-43-24-c4-05684.0290</t>
  </si>
  <si>
    <t>33909-3257</t>
  </si>
  <si>
    <t xml:space="preserve">1401 SE 36th St  Cape Coral, FL 33904 </t>
  </si>
  <si>
    <t>Orange Grove</t>
  </si>
  <si>
    <t>Lopane</t>
  </si>
  <si>
    <t xml:space="preserve">6131 Hughes Ave  Fort Myers, FL 33905 </t>
  </si>
  <si>
    <t>Cape Coral Unit 34 Blk 2465 Pb 16 Pg 80 Lots 77 + 78</t>
  </si>
  <si>
    <t xml:space="preserve">89 Legallais St Channel Port Aux </t>
  </si>
  <si>
    <t>Jarvin</t>
  </si>
  <si>
    <t xml:space="preserve">5442/5444 Fifth Ave </t>
  </si>
  <si>
    <t>Cape Coral Unit 84 Blk 5559 Pb 24 Pg 32 Lots 32 + 33</t>
  </si>
  <si>
    <t>Andrius</t>
  </si>
  <si>
    <t xml:space="preserve">2577 E Sundance Dr </t>
  </si>
  <si>
    <t>91730-7439</t>
  </si>
  <si>
    <t>Cammarata</t>
  </si>
  <si>
    <t>33909-1350</t>
  </si>
  <si>
    <t xml:space="preserve">6101 Hendley Ct </t>
  </si>
  <si>
    <t xml:space="preserve">33 Tulpen St  Kenton, DE 47906 </t>
  </si>
  <si>
    <t>David &amp; Elena Acosta</t>
  </si>
  <si>
    <t xml:space="preserve">4215 NE 17th Ave  Cape Coral, FL 33909 </t>
  </si>
  <si>
    <t xml:space="preserve">202 SE 45th Ter  Cape Coral, FL 33904 </t>
  </si>
  <si>
    <t>Camaraza</t>
  </si>
  <si>
    <t>Cape Coral Unit 35 Blk.2384 Pb 16 Pg 108 Lots 44 + 45</t>
  </si>
  <si>
    <t>Miriam Mejia</t>
  </si>
  <si>
    <t xml:space="preserve">35 Rue Antoine Baron  Sucy En Brie, FR </t>
  </si>
  <si>
    <t>Jovanny Fernandez</t>
  </si>
  <si>
    <t xml:space="preserve">15432 Lake Ave </t>
  </si>
  <si>
    <t>Michaela</t>
  </si>
  <si>
    <t xml:space="preserve">6025 Jadestone Ave </t>
  </si>
  <si>
    <t>Cape Coral Unit 80 Blk 5134 Pb 22 Pg 141 Lots 53 Thru 55</t>
  </si>
  <si>
    <t>Game Lord</t>
  </si>
  <si>
    <t>Skillman</t>
  </si>
  <si>
    <t>70127-3442</t>
  </si>
  <si>
    <t xml:space="preserve">5711 Maplewood Ct </t>
  </si>
  <si>
    <t>33909-7388</t>
  </si>
  <si>
    <t>32-43-24-c2-02242.0050</t>
  </si>
  <si>
    <t>Perez</t>
  </si>
  <si>
    <t xml:space="preserve">5470 Cypress Trail Resort Cir  Fort Myers, FL 33905 </t>
  </si>
  <si>
    <t xml:space="preserve">2571 W 17th St  Brooklyn, NY 11214-6907 </t>
  </si>
  <si>
    <t>Parish</t>
  </si>
  <si>
    <t xml:space="preserve">5390 SW 91st Ave  Miami, FL 33165-6649 </t>
  </si>
  <si>
    <t>Cape Coral Unit 36 Blk 2343 Pb 16 Pg 121 Lots 17 + 18</t>
  </si>
  <si>
    <t>PO Box 60660</t>
  </si>
  <si>
    <t>Lower Grand Lagoon</t>
  </si>
  <si>
    <t xml:space="preserve">1820 NE 13th Pl  Cape Coral, FL 33909 </t>
  </si>
  <si>
    <t>34-43-24-01-00021.0200</t>
  </si>
  <si>
    <t>20-43-24-c4-05635.0430</t>
  </si>
  <si>
    <t xml:space="preserve">10339 Fire Flag Trl </t>
  </si>
  <si>
    <t>Milagros</t>
  </si>
  <si>
    <t xml:space="preserve">2812 NE 5th Pl </t>
  </si>
  <si>
    <t>Richard Phidd &amp; Nancy Rosenberg</t>
  </si>
  <si>
    <t xml:space="preserve">421 12th St #3 </t>
  </si>
  <si>
    <t>36-43-23-c3-02484.0230</t>
  </si>
  <si>
    <t xml:space="preserve">5142 Cypress Trail Resort Cir </t>
  </si>
  <si>
    <t xml:space="preserve">PO Box 220085  Chicago, IL 60622 </t>
  </si>
  <si>
    <t>Lothar Koschik &amp; For Ab</t>
  </si>
  <si>
    <t>Khamphoui</t>
  </si>
  <si>
    <t>33909-4715</t>
  </si>
  <si>
    <t>21042-1720</t>
  </si>
  <si>
    <t>Patel</t>
  </si>
  <si>
    <t xml:space="preserve">1822 NE 34th Ln </t>
  </si>
  <si>
    <t xml:space="preserve">Spocker Weg 35 Pl </t>
  </si>
  <si>
    <t>Peagudo</t>
  </si>
  <si>
    <t>College Park</t>
  </si>
  <si>
    <t>47274-3293</t>
  </si>
  <si>
    <t>Cape Coral Unit 32 Blk 2139 Pb 16 Pg 10 Lots 40 + 41</t>
  </si>
  <si>
    <t>Minnetonka</t>
  </si>
  <si>
    <t>33909-4426</t>
  </si>
  <si>
    <t>Bolton</t>
  </si>
  <si>
    <t xml:space="preserve">506 NE 18th St </t>
  </si>
  <si>
    <t xml:space="preserve">14126 71st Rd  Flushing, NY 11367-1945 </t>
  </si>
  <si>
    <t>Bievenida</t>
  </si>
  <si>
    <t xml:space="preserve">1609 NE 33rd Ter  Cape Coral, FL 33909 </t>
  </si>
  <si>
    <t xml:space="preserve">12651 Water Ln  Fort Myers, FL 33908 </t>
  </si>
  <si>
    <t xml:space="preserve">69 Hopping Ave </t>
  </si>
  <si>
    <t>34116-5229</t>
  </si>
  <si>
    <t>46234-1964</t>
  </si>
  <si>
    <t>25-43-23-c4-02305.0650</t>
  </si>
  <si>
    <t xml:space="preserve">Po Box 369 </t>
  </si>
  <si>
    <t xml:space="preserve">5541 Janeru Cir  Macon, GA 31216-7113 </t>
  </si>
  <si>
    <t xml:space="preserve">4314 NE 9th Pl </t>
  </si>
  <si>
    <t>03-44-26-08-00038.0050</t>
  </si>
  <si>
    <t>03076-3028</t>
  </si>
  <si>
    <t>Cape Coral Unit 88 Blk 5820 Pb 24 Pg 143 Lots 17 + 18</t>
  </si>
  <si>
    <t>Catherine Doerrstein</t>
  </si>
  <si>
    <t>11-44-25-10-00000.4310</t>
  </si>
  <si>
    <t>Cape Coral Unit 88 Blk 5814 Pb 24 Pg 139 Lots 33 Thru 35</t>
  </si>
  <si>
    <t>04-44-25-12-00020.0010</t>
  </si>
  <si>
    <t>For Donald G Warnez Trust</t>
  </si>
  <si>
    <t>Raven Glass</t>
  </si>
  <si>
    <t>Harbour</t>
  </si>
  <si>
    <t xml:space="preserve">18602 SW 41st St </t>
  </si>
  <si>
    <t>10550-1004</t>
  </si>
  <si>
    <t xml:space="preserve">1002 Kismet Pkwy E </t>
  </si>
  <si>
    <t xml:space="preserve">829 NE 23rd Ter </t>
  </si>
  <si>
    <t>Mill River</t>
  </si>
  <si>
    <t xml:space="preserve">W2056 Church Dr  Watertown, WI 53094-9530 </t>
  </si>
  <si>
    <t>Venetian</t>
  </si>
  <si>
    <t>Pine Manor Unit 1 Blk.9 Pb 9 Pg 134 Lot 5</t>
  </si>
  <si>
    <t>Michael &amp; Debra Obrien</t>
  </si>
  <si>
    <t xml:space="preserve">306 NE 11th St  Cape Coral, FL 33909 </t>
  </si>
  <si>
    <t>Airoso</t>
  </si>
  <si>
    <t xml:space="preserve">107 Gary Lynn Ln </t>
  </si>
  <si>
    <t xml:space="preserve">318 NE 25th St  Cape Coral, FL 33909 </t>
  </si>
  <si>
    <t>Anadey</t>
  </si>
  <si>
    <t xml:space="preserve">60 Brown River Rd  Bayport, NY 11705 </t>
  </si>
  <si>
    <t>33175-6834</t>
  </si>
  <si>
    <t xml:space="preserve">1909 NE 18th Pl </t>
  </si>
  <si>
    <t>11356-1727</t>
  </si>
  <si>
    <t xml:space="preserve">9136 SE Mercury St </t>
  </si>
  <si>
    <t>Ozznzm</t>
  </si>
  <si>
    <t xml:space="preserve">2117 NE 33rd Ter  Cape Coral, FL 33909 </t>
  </si>
  <si>
    <t>Cape Coral Unit 33 Blk 2283 Pb 16 Pg 59 Lots 40 + 41</t>
  </si>
  <si>
    <t>10040-1022</t>
  </si>
  <si>
    <t>Defrancesco</t>
  </si>
  <si>
    <t>Mauricio Dager &amp; Virginia Cordido</t>
  </si>
  <si>
    <t>Cape Coral Unit 31 Blk 2075 Pb 14 Pg 161 Lots 30 Thru 32</t>
  </si>
  <si>
    <t>Wittenberg John J &amp; Judy A Tr</t>
  </si>
  <si>
    <t xml:space="preserve">108 Smallwood Ave </t>
  </si>
  <si>
    <t>Wemmel</t>
  </si>
  <si>
    <t xml:space="preserve">5138 Cypress Trail Resort Cir </t>
  </si>
  <si>
    <t xml:space="preserve">250 President St #807 </t>
  </si>
  <si>
    <t xml:space="preserve">21335 NE 19th Ct  Miami, FL 33179-1516 </t>
  </si>
  <si>
    <t>Interlachen</t>
  </si>
  <si>
    <t xml:space="preserve">1305 NE Juanita Pl </t>
  </si>
  <si>
    <t xml:space="preserve">25107 Pecan Ln  Katy, TX 77494-6358 </t>
  </si>
  <si>
    <t>Cape Coral Unit 88 Blk 5798 Pb 24 Pg 131 Lots 16 + 17</t>
  </si>
  <si>
    <t>34-43-24-01-00030.0170</t>
  </si>
  <si>
    <t xml:space="preserve">1516 NE 34th Ln </t>
  </si>
  <si>
    <t xml:space="preserve">3445 NE 9th Pl  Cape Coral, FL 33909 </t>
  </si>
  <si>
    <t>Michael &amp; Laurie Smith</t>
  </si>
  <si>
    <t>Cape Coral Unit 41 Blk 2876 Pb 17 Pg 12 Lots 71 + 72</t>
  </si>
  <si>
    <t>Cypress Woods Rv Resort Unit 4 Pb 79 Pgs 68-71 Blk D Lot 128</t>
  </si>
  <si>
    <t>24219-2984</t>
  </si>
  <si>
    <t>33909-2829</t>
  </si>
  <si>
    <t>Wickham</t>
  </si>
  <si>
    <t>33908-8218</t>
  </si>
  <si>
    <t>Mcgregor</t>
  </si>
  <si>
    <t>Christchurch</t>
  </si>
  <si>
    <t>Pedana</t>
  </si>
  <si>
    <t xml:space="preserve">1033 NE 40th Ter  Cape Coral, FL 33909 </t>
  </si>
  <si>
    <t>Gulf Harbour Yacht + Cc Ph 1 Pb 56 Pgs 1-4 Lot 31 + Or 2999/461</t>
  </si>
  <si>
    <t>Theodore</t>
  </si>
  <si>
    <t xml:space="preserve">1903 NE 20th St  Cape Coral, FL 33909 </t>
  </si>
  <si>
    <t xml:space="preserve">2045 NE 24th Ter </t>
  </si>
  <si>
    <t>33909-7334</t>
  </si>
  <si>
    <t>60712-2120</t>
  </si>
  <si>
    <t xml:space="preserve">910 Old Concord Rd  Salisbury, NC 28144-5712 </t>
  </si>
  <si>
    <t>Monica Fulgencio</t>
  </si>
  <si>
    <t xml:space="preserve">2611 SE 23rd Ave  Cape Coral, FL 33904 </t>
  </si>
  <si>
    <t xml:space="preserve">37641 Murietta Ter  Fremont, CA 94536-6644 </t>
  </si>
  <si>
    <t>Separovich</t>
  </si>
  <si>
    <t>08816-3023</t>
  </si>
  <si>
    <t>Frenzel</t>
  </si>
  <si>
    <t xml:space="preserve">5661 Maplewood Ct  Fort Myers, FL 33905 </t>
  </si>
  <si>
    <t>08753-7016</t>
  </si>
  <si>
    <t>Vo</t>
  </si>
  <si>
    <t>33909-4279</t>
  </si>
  <si>
    <t>Partenope</t>
  </si>
  <si>
    <t xml:space="preserve">1656 Chemin De La Seyne  La Seyne Sur Mer, FR </t>
  </si>
  <si>
    <t>11235-6101</t>
  </si>
  <si>
    <t xml:space="preserve">3727 Michigan Ave  Fort Myers, FL 33905 </t>
  </si>
  <si>
    <t xml:space="preserve">190 Tooker Ave  Springfield, NJ 07081-1635 </t>
  </si>
  <si>
    <t>LINK</t>
  </si>
  <si>
    <t>Cape Coral Unit 33 Blk.2202 Pb 16 Pg 45 Lots 51 + 52</t>
  </si>
  <si>
    <t xml:space="preserve">430 S Livingston Ave  Livingston, NJ 07039-4308 </t>
  </si>
  <si>
    <t>Altamonte Springs</t>
  </si>
  <si>
    <t>19-43-24-c1-05547.0070</t>
  </si>
  <si>
    <t xml:space="preserve">2401 NE 19th Pl  Cape Coral, FL 33909 </t>
  </si>
  <si>
    <t>06-44-26-00-00015.0000</t>
  </si>
  <si>
    <t xml:space="preserve">4116 NE 12th Ct </t>
  </si>
  <si>
    <t xml:space="preserve">5001 Collins Ave 15a, Miami Beach, FL 33140-2739 </t>
  </si>
  <si>
    <t xml:space="preserve">117 Dunns Corner Rd </t>
  </si>
  <si>
    <t>Matthew &amp; Peggy Merlino</t>
  </si>
  <si>
    <t xml:space="preserve">2918 NE 6th Ave </t>
  </si>
  <si>
    <t>32-43-24-c3-02229.0030</t>
  </si>
  <si>
    <t>33909-1606</t>
  </si>
  <si>
    <t>Ct</t>
  </si>
  <si>
    <t>Gabriel Aguilar &amp; Haydee Canseco</t>
  </si>
  <si>
    <t xml:space="preserve">409 Grand Augusta Ln </t>
  </si>
  <si>
    <t xml:space="preserve">326 NE 16th Ter </t>
  </si>
  <si>
    <t>Cape Coral Unit 6 Part 3 Blk 75 Pb 11 Pg 72 W 10 Ft Of Lot 95 + Lots 96 + 97 + Port Between Lot + Canal As Desc In Or 965 Pg 495 Ex B</t>
  </si>
  <si>
    <t xml:space="preserve">5273 Cypress Trail Resort Cir  Fort Myers, FL 33905 </t>
  </si>
  <si>
    <t>Century</t>
  </si>
  <si>
    <t>03-44-26-09-00045.0110</t>
  </si>
  <si>
    <t>04-44-25-08-00000.0350</t>
  </si>
  <si>
    <t>33909-4764</t>
  </si>
  <si>
    <t>05-44-24-c1-03529.0350</t>
  </si>
  <si>
    <t xml:space="preserve">315 E 88th St 3f, New York, NY 10128-4917 </t>
  </si>
  <si>
    <t>Pine Manor Unit 5 Blk 21 Pb 11 Pg 24 Lot 19</t>
  </si>
  <si>
    <t xml:space="preserve">209 Sweet Gum  Kyle, TX 78640-5961 </t>
  </si>
  <si>
    <t>Max Meadows</t>
  </si>
  <si>
    <t>60503-8533</t>
  </si>
  <si>
    <t xml:space="preserve">2105 Lakebreeze Way  Deltona, FL 32738-6250 </t>
  </si>
  <si>
    <t>33909-1317</t>
  </si>
  <si>
    <t>33909-1998</t>
  </si>
  <si>
    <t xml:space="preserve">1590 2nd Ave 2rs </t>
  </si>
  <si>
    <t xml:space="preserve">2109 NE 2nd Pl  Cape Coral, FL 33909 </t>
  </si>
  <si>
    <t>61073-6424</t>
  </si>
  <si>
    <t xml:space="preserve">4417 NE 20th Pl </t>
  </si>
  <si>
    <t>66224-3977</t>
  </si>
  <si>
    <t>Lamora</t>
  </si>
  <si>
    <t xml:space="preserve">1007 NE 23rd St </t>
  </si>
  <si>
    <t>Cape Coral Unit 87 Blk 5705 Pb 24 Pg 72 Lots 23 + 24</t>
  </si>
  <si>
    <t xml:space="preserve">5280 Cypress Trail Resort Cir </t>
  </si>
  <si>
    <t>Imperial Golf Course</t>
  </si>
  <si>
    <t xml:space="preserve">14120 Carlos St  Fort Myers, FL 33905 </t>
  </si>
  <si>
    <t xml:space="preserve">2117 NE 43rd Ln </t>
  </si>
  <si>
    <t>33905-8617</t>
  </si>
  <si>
    <t xml:space="preserve">U I Lutniowa 44  Gdanski, PL 00080 </t>
  </si>
  <si>
    <t>33193-2419</t>
  </si>
  <si>
    <t>Fayard</t>
  </si>
  <si>
    <t xml:space="preserve">1908 NE 5th Ct </t>
  </si>
  <si>
    <t>Cape Coral Unit 17 Blk 1540 Pb 14 Pg 31 Lots 42 + 43</t>
  </si>
  <si>
    <t>34221-1114</t>
  </si>
  <si>
    <t>Kewaskum</t>
  </si>
  <si>
    <t xml:space="preserve">89 Cooper Rd </t>
  </si>
  <si>
    <t xml:space="preserve">80 Harding Ave B7 </t>
  </si>
  <si>
    <t>Cape Coral Unit 47 Part 2 Blk 3520 Pg 23 Pg 125 Lots 32 Thru 37</t>
  </si>
  <si>
    <t>Franklin Park</t>
  </si>
  <si>
    <t xml:space="preserve">1415 NE 21st Pl </t>
  </si>
  <si>
    <t xml:space="preserve">2709 Parker Dr  Quincy, IL 62305 </t>
  </si>
  <si>
    <t>Francisco &amp; Teresa Permuy</t>
  </si>
  <si>
    <t xml:space="preserve">16080 Sunset Strip </t>
  </si>
  <si>
    <t>72076-3578</t>
  </si>
  <si>
    <t xml:space="preserve">48 Gartenstrasse  Schweig, DE 90571 </t>
  </si>
  <si>
    <t>Coral Bay As Desc In 2022000234797 Lot 347</t>
  </si>
  <si>
    <t xml:space="preserve">3025 NE 2nd Ave  Cape Coral, FL 33909 </t>
  </si>
  <si>
    <t xml:space="preserve">4305 NE 9th Ct </t>
  </si>
  <si>
    <t xml:space="preserve">PO Box 461300  Aurora, CO 80046-1300 </t>
  </si>
  <si>
    <t xml:space="preserve">1701 N Tamiami Trl </t>
  </si>
  <si>
    <t xml:space="preserve">2112 NE 6th Ave </t>
  </si>
  <si>
    <t>Brent Shapiro Trust</t>
  </si>
  <si>
    <t xml:space="preserve">1721 NE 40th Ln </t>
  </si>
  <si>
    <t>Langenfelder</t>
  </si>
  <si>
    <t xml:space="preserve">11387 Cline Ave  Crown Point, IN 46307-8794 </t>
  </si>
  <si>
    <t>33909-5448</t>
  </si>
  <si>
    <t xml:space="preserve">15081/83 Cemetery Rd  Fort Myers, FL 33905 </t>
  </si>
  <si>
    <t>Guillermo &amp; Elizabeth Bacares</t>
  </si>
  <si>
    <t>34-43-24-01-00046.0030</t>
  </si>
  <si>
    <t>116th</t>
  </si>
  <si>
    <t xml:space="preserve">245 SW 35th Ave </t>
  </si>
  <si>
    <t>Massachusetts</t>
  </si>
  <si>
    <t xml:space="preserve">2306 NE 36th St </t>
  </si>
  <si>
    <t>Chandler</t>
  </si>
  <si>
    <t>Myrtle</t>
  </si>
  <si>
    <t xml:space="preserve">415 N Main St  Redfield, SD 57469-1255 </t>
  </si>
  <si>
    <t xml:space="preserve">575 Ione Ave  Fort Myers, FL 33905 </t>
  </si>
  <si>
    <t>ZONING</t>
  </si>
  <si>
    <t xml:space="preserve">321 NE 8th Ter  Cape Coral, FL 33909 </t>
  </si>
  <si>
    <t>Cape Coral Unit 88 Blk 5805 Pb 24 Pg 137 Lots 9 + 10</t>
  </si>
  <si>
    <t xml:space="preserve">10832 SW 61st Ter  Miami, FL 33173-1257 </t>
  </si>
  <si>
    <t>China Berry</t>
  </si>
  <si>
    <t>Las Cruces</t>
  </si>
  <si>
    <t>Cape Coral Unit 17 Pt 1 Blk 1540 Pb 23 Pg 5 Lots 73 + 74</t>
  </si>
  <si>
    <t xml:space="preserve">1317 Sun Copper Dr  Las Vegas, NV 89117-7023 </t>
  </si>
  <si>
    <t>33178-4598</t>
  </si>
  <si>
    <t>West Bend</t>
  </si>
  <si>
    <t>12-44-23-c1-02369.0240</t>
  </si>
  <si>
    <t>33909-3252</t>
  </si>
  <si>
    <t xml:space="preserve">3440 NE 15th Ave </t>
  </si>
  <si>
    <t>Raymond &amp; Richard Locke</t>
  </si>
  <si>
    <t>Avellino Isles</t>
  </si>
  <si>
    <t xml:space="preserve">1521 NE 18th Ave  Cape Coral, FL 33909 </t>
  </si>
  <si>
    <t xml:space="preserve">1150 S Colony Way #3 </t>
  </si>
  <si>
    <t xml:space="preserve">5228 Pineland Daisy Trl  Fort Myers, FL 33905 </t>
  </si>
  <si>
    <t>Cape Coral Unit 36 Blk 2528 Pb 16 Pg 114 Lots 32 + 33</t>
  </si>
  <si>
    <t>Siesta</t>
  </si>
  <si>
    <t xml:space="preserve">10051 Stonewood Dr  Fort Myers, FL 33905 </t>
  </si>
  <si>
    <t>Dinh</t>
  </si>
  <si>
    <t>19-43-24-c3-05608.0630</t>
  </si>
  <si>
    <t>Shadow Wood Preserve U-2 Pb 71 Pgs 16-20 Blk B Lot 9</t>
  </si>
  <si>
    <t>James &amp; Barbara Mackenzie</t>
  </si>
  <si>
    <t>Carlson</t>
  </si>
  <si>
    <t xml:space="preserve">3723 Tareco St  Fort Myers, FL 33905 </t>
  </si>
  <si>
    <t>TT</t>
  </si>
  <si>
    <t xml:space="preserve">14260 Bigelow Rd </t>
  </si>
  <si>
    <t xml:space="preserve">2516 Aviation Pkwy </t>
  </si>
  <si>
    <t>Cape Coral Unit 33 Blk 2196 Pb 16 Pg 47 Lots 23 24 + 25</t>
  </si>
  <si>
    <t>Cape Coral Unit 36 Blk 2534 Pb 16 Pg 118 Lots 18 + 19</t>
  </si>
  <si>
    <t xml:space="preserve">49 Leland Dr  Novato, CA 94947-2984 </t>
  </si>
  <si>
    <t>Tice</t>
  </si>
  <si>
    <t>Intondi</t>
  </si>
  <si>
    <t xml:space="preserve">8748 W State Road 81  Beloit, WI 53511-9246 </t>
  </si>
  <si>
    <t>92130-2895</t>
  </si>
  <si>
    <t>Nora</t>
  </si>
  <si>
    <t>Riccardo Cino &amp; Marcella Bocciardi</t>
  </si>
  <si>
    <t xml:space="preserve">2720 Howland Blvd  Deltona, FL 32725-9617 </t>
  </si>
  <si>
    <t>3rd works</t>
  </si>
  <si>
    <t>Rockville Centre</t>
  </si>
  <si>
    <t>33909-4225</t>
  </si>
  <si>
    <t>11-44-25-l1-1400b.4380</t>
  </si>
  <si>
    <t xml:space="preserve">1 C </t>
  </si>
  <si>
    <t>Mattocks</t>
  </si>
  <si>
    <t>Lehigh Acres W Pt Unit 14 Blk 84 Pb 26 Pg 20 Lot 3</t>
  </si>
  <si>
    <t>Aaron Le</t>
  </si>
  <si>
    <t>18-43-24-c2-05739.0330</t>
  </si>
  <si>
    <t>Freiligrathstr</t>
  </si>
  <si>
    <t>Cape Coral Unit 84 Blk 5565 Pb 24 Pg 40 Lots 23 + 24</t>
  </si>
  <si>
    <t>30-43-26-06-00000.0080</t>
  </si>
  <si>
    <t>11550-5315</t>
  </si>
  <si>
    <t>25-43-23-c4-02303.0310</t>
  </si>
  <si>
    <t>Cathy W Pinard &amp; Cathy Pinard</t>
  </si>
  <si>
    <t>Yiset</t>
  </si>
  <si>
    <t xml:space="preserve">4640 NW 43rd Ct </t>
  </si>
  <si>
    <t>33029-5856</t>
  </si>
  <si>
    <t>Magpoc</t>
  </si>
  <si>
    <t xml:space="preserve">464 South Dr </t>
  </si>
  <si>
    <t>Adalberto Portieles</t>
  </si>
  <si>
    <t xml:space="preserve">305 NE 13th St  Cape Coral, FL 33909 </t>
  </si>
  <si>
    <t>Greenwich</t>
  </si>
  <si>
    <t>Cape Coral Unit 31 Blk 2076 Pb 14 Pg 161 Lots 15 + 16</t>
  </si>
  <si>
    <t xml:space="preserve">1141 Sweet Creek Cir </t>
  </si>
  <si>
    <t>Niemi</t>
  </si>
  <si>
    <t xml:space="preserve">5125 Oxford Dr </t>
  </si>
  <si>
    <t>West Forooghossadat Eslami Tr</t>
  </si>
  <si>
    <t>Indian Trail</t>
  </si>
  <si>
    <t>Melrose</t>
  </si>
  <si>
    <t>25-43-23-c1-02300.a690</t>
  </si>
  <si>
    <t>Manlius</t>
  </si>
  <si>
    <t>Renko</t>
  </si>
  <si>
    <t xml:space="preserve">1715 NE 13th Ter </t>
  </si>
  <si>
    <t>Ariana</t>
  </si>
  <si>
    <t xml:space="preserve">3724 Kelsey St </t>
  </si>
  <si>
    <t>36-43-23-c2-02527.0050</t>
  </si>
  <si>
    <t>14052-9760</t>
  </si>
  <si>
    <t>Cape Coral Unit 46 Blk 3607 Pb 17 Pg 127 Lots 5 Thru 7</t>
  </si>
  <si>
    <t xml:space="preserve">555 NE 15th St 20k </t>
  </si>
  <si>
    <t>Central Park</t>
  </si>
  <si>
    <t xml:space="preserve">14116 Carrie Pauline Ln  Riverview, FL 33569-6552 </t>
  </si>
  <si>
    <t>Bianco</t>
  </si>
  <si>
    <t>Kelvin</t>
  </si>
  <si>
    <t>Callaremi</t>
  </si>
  <si>
    <t>33909-4710</t>
  </si>
  <si>
    <t>32-43-24-c1-02191.0230</t>
  </si>
  <si>
    <t xml:space="preserve">153 Kamal Pkwy </t>
  </si>
  <si>
    <t>Cape Coral Unit 36 Blk 2522 Pb 16 Pg 113 Lots 41 + 42</t>
  </si>
  <si>
    <t>Diep</t>
  </si>
  <si>
    <t>33909-1944</t>
  </si>
  <si>
    <t>Topeka</t>
  </si>
  <si>
    <t xml:space="preserve">1104 NE 32nd Ln </t>
  </si>
  <si>
    <t>Cypress Trail Rv Resort Ph 3 As Desc In Inst# 2015000085552 Lot 65</t>
  </si>
  <si>
    <t xml:space="preserve">1440 Park St </t>
  </si>
  <si>
    <t>Flaghole</t>
  </si>
  <si>
    <t>Brannon</t>
  </si>
  <si>
    <t>Banos</t>
  </si>
  <si>
    <t xml:space="preserve">323 Grant Ave </t>
  </si>
  <si>
    <t xml:space="preserve">1529 NE 36th St  Cape Coral, FL 33909 </t>
  </si>
  <si>
    <t>James Marsh</t>
  </si>
  <si>
    <t>76539-6813</t>
  </si>
  <si>
    <t xml:space="preserve">3805 Heyburn St </t>
  </si>
  <si>
    <t xml:space="preserve">4001 SW 28th St  West Park, FL 33023-4435 </t>
  </si>
  <si>
    <t xml:space="preserve">5920 W Henderson St  Chicago, IL 60634-4220 </t>
  </si>
  <si>
    <t xml:space="preserve">19 Calle 160 #203 </t>
  </si>
  <si>
    <t>Vis</t>
  </si>
  <si>
    <t>33175-6344</t>
  </si>
  <si>
    <t>33909-1655</t>
  </si>
  <si>
    <t>Evers</t>
  </si>
  <si>
    <t>Jose Diaz &amp; Juan Hernandez</t>
  </si>
  <si>
    <t>Luis Guzman</t>
  </si>
  <si>
    <t>Akroune</t>
  </si>
  <si>
    <t>Greengate</t>
  </si>
  <si>
    <t>Barrows Nancy M Tr</t>
  </si>
  <si>
    <t>60564-9487</t>
  </si>
  <si>
    <t>Cape Coral Unit 36 Blk 2546 Pb 16 Pg 113 Lots 52 + 53</t>
  </si>
  <si>
    <t xml:space="preserve">15500 River By Rd </t>
  </si>
  <si>
    <t>169th</t>
  </si>
  <si>
    <t xml:space="preserve">4 Leeds Rd  Flemington, NJ 08822-6809 </t>
  </si>
  <si>
    <t>33909-3394</t>
  </si>
  <si>
    <t xml:space="preserve">3713 NE 17th Ave </t>
  </si>
  <si>
    <t>Cape Coral Unit 34 Blk 2462 Pb 16 Pg 84 Lots 13 + 14</t>
  </si>
  <si>
    <t>PO Box 264</t>
  </si>
  <si>
    <t>33909-8841</t>
  </si>
  <si>
    <t>Rivercenter</t>
  </si>
  <si>
    <t>19-43-24-c3-05622.0150</t>
  </si>
  <si>
    <t>Sameer</t>
  </si>
  <si>
    <t xml:space="preserve">22 Golden Hill St  Trumbull, CT 06611-5011 </t>
  </si>
  <si>
    <t>70506-6186</t>
  </si>
  <si>
    <t xml:space="preserve">411 Kismet Pkwy E  Cape Coral, FL 33909 </t>
  </si>
  <si>
    <t>Stony</t>
  </si>
  <si>
    <t xml:space="preserve">415 Wischman Ave </t>
  </si>
  <si>
    <t>Lehigh Acres Unit 11 Blk 53 Pb 26 Pg 14 Lot 4</t>
  </si>
  <si>
    <t>Rosa &amp; Sergio Rosa</t>
  </si>
  <si>
    <t>Doppalapudi</t>
  </si>
  <si>
    <t>Lehigh Acres Unit 4 Blk 24 Pb 26 Pg 31 Lot 3</t>
  </si>
  <si>
    <t>Harold &amp; Franzecarole Franze</t>
  </si>
  <si>
    <t>15-44-24-01-00000.0310</t>
  </si>
  <si>
    <t>Mcmillen</t>
  </si>
  <si>
    <t>02131-4902</t>
  </si>
  <si>
    <t xml:space="preserve">3300 NE 9th Ave </t>
  </si>
  <si>
    <t>Oxley</t>
  </si>
  <si>
    <t>25-43-23-c2-02346.0270</t>
  </si>
  <si>
    <t xml:space="preserve">461 NE Juanita Ct </t>
  </si>
  <si>
    <t>Vergara</t>
  </si>
  <si>
    <t>Bethesda</t>
  </si>
  <si>
    <t>49426-7745</t>
  </si>
  <si>
    <t>02-46-23-04-00000.0040</t>
  </si>
  <si>
    <t>Steven &amp; Lynn Szubinski</t>
  </si>
  <si>
    <t>Donna &amp; Anthony Rotondo</t>
  </si>
  <si>
    <t>Crt</t>
  </si>
  <si>
    <t xml:space="preserve">5226 Pineland Daisy Trl </t>
  </si>
  <si>
    <t>Sythel Randle</t>
  </si>
  <si>
    <t>Cape Coral Unit 36 Blk 2173 Pb 16 Pg 118 Lots 62 Thru 67</t>
  </si>
  <si>
    <t xml:space="preserve">206 NE 25th St  Cape Coral, FL 33909 </t>
  </si>
  <si>
    <t xml:space="preserve">5228 Cypress Trail Resort Cir  Fort Myers, FL 33905 </t>
  </si>
  <si>
    <t xml:space="preserve">5416 Springlake Way  Baltimore, MD 21212-3444 </t>
  </si>
  <si>
    <t>33467-4780</t>
  </si>
  <si>
    <t xml:space="preserve">322 E 40th St  Paterson, NJ 07504-1102 </t>
  </si>
  <si>
    <t>Connie Kamler &amp; For Grice</t>
  </si>
  <si>
    <t xml:space="preserve">2505 Anthem Village Dr E </t>
  </si>
  <si>
    <t xml:space="preserve">4024 Garden Blvd </t>
  </si>
  <si>
    <t>61080-2462</t>
  </si>
  <si>
    <t>Eloisa</t>
  </si>
  <si>
    <t xml:space="preserve">5541 Cypress Woods Resort Dr </t>
  </si>
  <si>
    <t>Costa Family Trust</t>
  </si>
  <si>
    <t xml:space="preserve">1487 Newhaven Point Ln  West Palm Beach, FL 33411-6623 </t>
  </si>
  <si>
    <t xml:space="preserve">526 NE 5th Ct  Cape Coral, FL 33909 </t>
  </si>
  <si>
    <t>50701-4847</t>
  </si>
  <si>
    <t>Lillain Kish</t>
  </si>
  <si>
    <t xml:space="preserve">10622 Chestnut St  Cypress, CA 90630-4909 </t>
  </si>
  <si>
    <t>Ludwig</t>
  </si>
  <si>
    <t>53223-4967</t>
  </si>
  <si>
    <t>Gertrude Howard</t>
  </si>
  <si>
    <t xml:space="preserve">8 NE 13th Ave  Cape Coral, FL 33909 </t>
  </si>
  <si>
    <t xml:space="preserve">106 Hudson Ave </t>
  </si>
  <si>
    <t>18-43-24-c4-05702.0450</t>
  </si>
  <si>
    <t>11-44-25-05-0000c.0250</t>
  </si>
  <si>
    <t>33905-7732</t>
  </si>
  <si>
    <t>01-44-23-c3-02423.0240</t>
  </si>
  <si>
    <t>Thunder Bay</t>
  </si>
  <si>
    <t>Beaverton</t>
  </si>
  <si>
    <t>Hayesville</t>
  </si>
  <si>
    <t>Abatemarco</t>
  </si>
  <si>
    <t xml:space="preserve">6521 Cedarwood Ave </t>
  </si>
  <si>
    <t>Darryl</t>
  </si>
  <si>
    <t>06-44-24-c2-02076.0730</t>
  </si>
  <si>
    <t xml:space="preserve">1406 NE 20th St  Cape Coral, FL 33909 </t>
  </si>
  <si>
    <t xml:space="preserve">16453 SW 97th St  Miami, FL 33196-5829 </t>
  </si>
  <si>
    <t xml:space="preserve">2911 NE 5th Pl </t>
  </si>
  <si>
    <t>Madeyski Danuta Tr</t>
  </si>
  <si>
    <t>Chanthaphonh</t>
  </si>
  <si>
    <t>13th circle</t>
  </si>
  <si>
    <t>Cape Coral Unit 34 Blk 2457 Pb 16 Pg 83 Lots 28 + 29</t>
  </si>
  <si>
    <t>61088-8561</t>
  </si>
  <si>
    <t>20-46-25-00-00012.0280</t>
  </si>
  <si>
    <t>33027-3374</t>
  </si>
  <si>
    <t>17-43-24-c1-05821.0160</t>
  </si>
  <si>
    <t>33909-1405</t>
  </si>
  <si>
    <t>Star Prairie</t>
  </si>
  <si>
    <t xml:space="preserve">3025 Dunsmuir Rd  Vernon, BC V1h 1B3 </t>
  </si>
  <si>
    <t>44406-9159</t>
  </si>
  <si>
    <t>Jill</t>
  </si>
  <si>
    <t>Palmona Park Unit 1 Blk 47 Pb 7 Pg 54 Lots 11 + 12</t>
  </si>
  <si>
    <t xml:space="preserve">1810 NE 2nd Ter </t>
  </si>
  <si>
    <t>Slater</t>
  </si>
  <si>
    <t>Carlyle Rose</t>
  </si>
  <si>
    <t xml:space="preserve">6132 Hutton Ct  Fort Myers, FL 33905 </t>
  </si>
  <si>
    <t>33903-4249</t>
  </si>
  <si>
    <t>Januarco</t>
  </si>
  <si>
    <t>33909-4563</t>
  </si>
  <si>
    <t>Michael Barone</t>
  </si>
  <si>
    <t>Winterspice</t>
  </si>
  <si>
    <t>Toursdale</t>
  </si>
  <si>
    <t xml:space="preserve">10090 Stonewood Dr </t>
  </si>
  <si>
    <t>29835-3325</t>
  </si>
  <si>
    <t>19-43-24-c4-05564.0030</t>
  </si>
  <si>
    <t>Edwin Villalobos</t>
  </si>
  <si>
    <t>Marco Biggio</t>
  </si>
  <si>
    <t>Lehigh Acres E Pt Unit 14 Blk 81 Pb 26 Pg 19 Lot 2</t>
  </si>
  <si>
    <t>33909-4274</t>
  </si>
  <si>
    <t>Cape Coral Unit 88 Blk 5820 Pb 24 Pg 143 Lots 15 + 16</t>
  </si>
  <si>
    <t>Reyson</t>
  </si>
  <si>
    <t>Amanda Ward</t>
  </si>
  <si>
    <t xml:space="preserve">619 Pascal St N  Saint Paul, MN 55104-2443 </t>
  </si>
  <si>
    <t>33135-2764</t>
  </si>
  <si>
    <t>25-43-23-c4-02299.0150</t>
  </si>
  <si>
    <t>Oanh</t>
  </si>
  <si>
    <t>Parkwood</t>
  </si>
  <si>
    <t>33909-8302</t>
  </si>
  <si>
    <t xml:space="preserve">2321 NE 35th St  Cape Coral, FL 33909 </t>
  </si>
  <si>
    <t>Bouza</t>
  </si>
  <si>
    <t>29-43-24-c3-02253.0220</t>
  </si>
  <si>
    <t>19-43-24-c1-05567.0160</t>
  </si>
  <si>
    <t>Upper Canada</t>
  </si>
  <si>
    <t xml:space="preserve">200 Green Valley Dr  Palmerton, PA 18071-3522 </t>
  </si>
  <si>
    <t>Spreckels</t>
  </si>
  <si>
    <t>Danton &amp; Elisa Devera</t>
  </si>
  <si>
    <t xml:space="preserve">3238 NE 16th Ave </t>
  </si>
  <si>
    <t xml:space="preserve">1 Nile St  Yonkers, NY 10704-2707 </t>
  </si>
  <si>
    <t>19-43-24-c3-05607.0340</t>
  </si>
  <si>
    <t>Husa</t>
  </si>
  <si>
    <t>Maida</t>
  </si>
  <si>
    <t>Spurlock</t>
  </si>
  <si>
    <t xml:space="preserve">3007 NE 5th Pl </t>
  </si>
  <si>
    <t>Ocean Mist</t>
  </si>
  <si>
    <t xml:space="preserve">529 NE 15th Ter  Cape Coral, FL 33909 </t>
  </si>
  <si>
    <t xml:space="preserve">PO Box 487  Selbyville, DE 19975 </t>
  </si>
  <si>
    <t>Cape Coral Unit 33 Blk.2258 Pb 16 Pg 56 Lots 32 + 33</t>
  </si>
  <si>
    <t xml:space="preserve">2524 NE Juanita Pl </t>
  </si>
  <si>
    <t>01-44-23-c2-02465.0340</t>
  </si>
  <si>
    <t xml:space="preserve">2001 NE 7th Pl </t>
  </si>
  <si>
    <t>Cypress Woods Rv Resort Unit 4 Pb 79 Pgs 68-71 Blk D Lot 1</t>
  </si>
  <si>
    <t xml:space="preserve">2415 NE Juanita Pl </t>
  </si>
  <si>
    <t>33909-1993</t>
  </si>
  <si>
    <t>B099</t>
  </si>
  <si>
    <t>SD</t>
  </si>
  <si>
    <t>Manuel Moya &amp; Elisabet Rodriguez</t>
  </si>
  <si>
    <t>33909-3340</t>
  </si>
  <si>
    <t>Cape Coral Unit 85 Blk 5631 Pb 24 Pg 51 Lots 35 + 36</t>
  </si>
  <si>
    <t xml:space="preserve">1010 NE 33rd St  Cape Coral, FL 33909 </t>
  </si>
  <si>
    <t xml:space="preserve">1932 Campus Pl  Louisville, KY 40299-2307 </t>
  </si>
  <si>
    <t xml:space="preserve">1004 Lewis O Gray Dr </t>
  </si>
  <si>
    <t>Mary Jane Messer &amp; Mary Messer</t>
  </si>
  <si>
    <t>Cape Coral Unit 88 Blk 5798 Pb 24 Pg 131 Lots 14 + 15</t>
  </si>
  <si>
    <t xml:space="preserve">2321 19th St SW </t>
  </si>
  <si>
    <t>Hector Bermudez</t>
  </si>
  <si>
    <t>Antonia Hinojosa</t>
  </si>
  <si>
    <t>74012-4637</t>
  </si>
  <si>
    <t>49233-9686</t>
  </si>
  <si>
    <t>33909-3051</t>
  </si>
  <si>
    <t>Henry &amp; Gregory Laski</t>
  </si>
  <si>
    <t>06-44-24-c1-02099.0050</t>
  </si>
  <si>
    <t xml:space="preserve">5104 Cypress Trail Resort Cir  Fort Myers, FL 33905 </t>
  </si>
  <si>
    <t>Christian &amp; Kori Anderson</t>
  </si>
  <si>
    <t>Cape Coral Unit 36 Blk 2522 Pb 16 Pg 113 Lots 5 6 + 7</t>
  </si>
  <si>
    <t xml:space="preserve">2047 NE 27th Ter </t>
  </si>
  <si>
    <t xml:space="preserve">Po Box 4 </t>
  </si>
  <si>
    <t>01-44-23-c4-02445.0610</t>
  </si>
  <si>
    <t>Lake Heron</t>
  </si>
  <si>
    <t>Seattle</t>
  </si>
  <si>
    <t>Robert &amp; Deborah Norman</t>
  </si>
  <si>
    <t>Evan &amp; Siew Burgess</t>
  </si>
  <si>
    <t xml:space="preserve">2729 NE 1st Pl </t>
  </si>
  <si>
    <t>Prairie Duch En</t>
  </si>
  <si>
    <t>Bannister</t>
  </si>
  <si>
    <t>Marra Rosemarie Tr</t>
  </si>
  <si>
    <t>Vacant Land (Nec)</t>
  </si>
  <si>
    <t>Basnagoda</t>
  </si>
  <si>
    <t xml:space="preserve">816-07487 Po Box 816-07487 </t>
  </si>
  <si>
    <t>Maria Binondo</t>
  </si>
  <si>
    <t>Carr 74</t>
  </si>
  <si>
    <t>Christopher</t>
  </si>
  <si>
    <t xml:space="preserve">6640 SW 70th Ter </t>
  </si>
  <si>
    <t xml:space="preserve">2212 NE 14th Pl  Cape Coral, FL 33909 </t>
  </si>
  <si>
    <t xml:space="preserve">PO Box 465  Ulysses, KS 67880 </t>
  </si>
  <si>
    <t>Early</t>
  </si>
  <si>
    <t xml:space="preserve">2390 SW 24th Ter  Miami, FL 33145-3630 </t>
  </si>
  <si>
    <t xml:space="preserve">29145 600th Ave </t>
  </si>
  <si>
    <t>03-44-26-02-00008.0160</t>
  </si>
  <si>
    <t xml:space="preserve">51 Cunningham Rd  Reeds Spring, MO 65737-9521 </t>
  </si>
  <si>
    <t>R089</t>
  </si>
  <si>
    <t xml:space="preserve">10015 Rambelwood Ct  Fort Myers, FL 33905 </t>
  </si>
  <si>
    <t>22153-3020</t>
  </si>
  <si>
    <t>Jeffrey Sambar</t>
  </si>
  <si>
    <t>Schmidt John C &amp; Joanne J Tr</t>
  </si>
  <si>
    <t>Summit Park</t>
  </si>
  <si>
    <t>48067-3219</t>
  </si>
  <si>
    <t xml:space="preserve">4125 NE 23rd Pl </t>
  </si>
  <si>
    <t xml:space="preserve">2119 N Farm Road 197 </t>
  </si>
  <si>
    <t>06-44-24-c1-02067.0330</t>
  </si>
  <si>
    <t>82nd avenue</t>
  </si>
  <si>
    <t xml:space="preserve">6216 Pepper Hill St  West Bloomfield, MI 48322-2301 </t>
  </si>
  <si>
    <t>Villas At Lucaya Desc In Inst# 2012000052073 Tract W-1 Less Inst# 2017000121127</t>
  </si>
  <si>
    <t>Cape Coral Unit 33 Blk 2223 Pb 16 Pg 43 Lots 44 Thru 46</t>
  </si>
  <si>
    <t xml:space="preserve">10181 Shadowood Ct </t>
  </si>
  <si>
    <t xml:space="preserve">4418 NE 22nd Ave  Cape Coral, FL 33909 </t>
  </si>
  <si>
    <t>West Olive</t>
  </si>
  <si>
    <t>Les Lardents Saint Mamans</t>
  </si>
  <si>
    <t xml:space="preserve">Po Box 226 Rd </t>
  </si>
  <si>
    <t>Jain</t>
  </si>
  <si>
    <t>34108-5534</t>
  </si>
  <si>
    <t>Romaine</t>
  </si>
  <si>
    <t xml:space="preserve">1703 N Gator Cir </t>
  </si>
  <si>
    <t>Woodridge Park</t>
  </si>
  <si>
    <t>Cape Coral Unit 84 Blk 5579 Pb 24 Pg 47 Lots 43 + 44</t>
  </si>
  <si>
    <t>Mary &amp; For Ellman</t>
  </si>
  <si>
    <t>36-43-23-c4-02506.0030</t>
  </si>
  <si>
    <t>55127-7830</t>
  </si>
  <si>
    <t>11-44-25-08-00000.2620</t>
  </si>
  <si>
    <t>Thomas + Johnson 1St Addn Tice Blk C Pb 5 Pg 52 Lot 7</t>
  </si>
  <si>
    <t>33909-6416</t>
  </si>
  <si>
    <t xml:space="preserve">3517 NE 21st Ave  Cape Coral, FL 33909 </t>
  </si>
  <si>
    <t xml:space="preserve">711 NE Juanita Ct </t>
  </si>
  <si>
    <t xml:space="preserve">9700 Il Route 176 </t>
  </si>
  <si>
    <t>06-44-24-c2-02091.0050</t>
  </si>
  <si>
    <t>97526-1517</t>
  </si>
  <si>
    <t xml:space="preserve">3024 NE 5th Ave </t>
  </si>
  <si>
    <t>25-43-23-c4-02355.0120</t>
  </si>
  <si>
    <t>Mystic</t>
  </si>
  <si>
    <t>Cape Coral Unit 87 Blk 5711 Pb 24 Pg 76 Lots 3 + 4</t>
  </si>
  <si>
    <t xml:space="preserve">6141 Hughes Ave  Fort Myers, FL 33905 </t>
  </si>
  <si>
    <t xml:space="preserve">1301 NE 34th Ln  Cape Coral, FL 33909 </t>
  </si>
  <si>
    <t>Bossert</t>
  </si>
  <si>
    <t xml:space="preserve">10003 Parkwood Dr  Fort Myers, FL 33905 </t>
  </si>
  <si>
    <t>07307-1119</t>
  </si>
  <si>
    <t xml:space="preserve">Avenue Constitucion 232 Centro </t>
  </si>
  <si>
    <t>Cape Coral Unit 34 Blk 2461 Pb 16 Pg 85 Lots 19 + 20</t>
  </si>
  <si>
    <t>James Kennedy</t>
  </si>
  <si>
    <t>33909-1743</t>
  </si>
  <si>
    <t xml:space="preserve">389a Portsmouth Dr  Lakewood, NJ 08701-6824 </t>
  </si>
  <si>
    <t>49460-9780</t>
  </si>
  <si>
    <t xml:space="preserve">903 SW 124th St  Seattle, WA 98146-2744 </t>
  </si>
  <si>
    <t>08043-9570</t>
  </si>
  <si>
    <t>25-43-23-c4-02295.0210</t>
  </si>
  <si>
    <t xml:space="preserve">11890 NW 81st Ct  Coral Springs, FL 33076-3566 </t>
  </si>
  <si>
    <t xml:space="preserve">632 W 200 N  Salt Lake City, UT 84116-3467 </t>
  </si>
  <si>
    <t>Niver</t>
  </si>
  <si>
    <t>Rena</t>
  </si>
  <si>
    <t>K9A 4J7</t>
  </si>
  <si>
    <t xml:space="preserve">8423 101st St </t>
  </si>
  <si>
    <t xml:space="preserve">5716 Tradewind Dr  Portage, MI 49024-1197 </t>
  </si>
  <si>
    <t xml:space="preserve">5801 Pathwood Ct  Fort Myers, FL 33905 </t>
  </si>
  <si>
    <t>36-43-23-c3-02501.0350</t>
  </si>
  <si>
    <t xml:space="preserve">1410 NE 20th St </t>
  </si>
  <si>
    <t>33909-1454</t>
  </si>
  <si>
    <t>12-44-23-c1-02364.0010</t>
  </si>
  <si>
    <t>Brookmere</t>
  </si>
  <si>
    <t>Paeonian Springs</t>
  </si>
  <si>
    <t>Corbara</t>
  </si>
  <si>
    <t xml:space="preserve">1728 NE 21st St </t>
  </si>
  <si>
    <t xml:space="preserve">8051 Friendship Ln  Naples, FL 34120-4854 </t>
  </si>
  <si>
    <t>Thomas &amp; Alice Krom</t>
  </si>
  <si>
    <t>03-44-26-13-00069.0010</t>
  </si>
  <si>
    <t>95054-1613</t>
  </si>
  <si>
    <t>Chicopee</t>
  </si>
  <si>
    <t>Cape Coral Unit 33 Blk.2231 Pb 16 Pg 51 Lots 28 + 29</t>
  </si>
  <si>
    <t>33165-5003</t>
  </si>
  <si>
    <t xml:space="preserve">79 Skyline Dr  Hickory, PA 15340-1321 </t>
  </si>
  <si>
    <t>Stryker</t>
  </si>
  <si>
    <t xml:space="preserve">10329 Fire Flag Trl  Fort Myers, FL 33905 </t>
  </si>
  <si>
    <t xml:space="preserve">3421 Andalusia Blvd  Cape Coral, FL 33909 </t>
  </si>
  <si>
    <t xml:space="preserve">82 Two Rivers Dr  Edgewater, MD 21037-2678 </t>
  </si>
  <si>
    <t>Shelly</t>
  </si>
  <si>
    <t>Colleen</t>
  </si>
  <si>
    <t>AT</t>
  </si>
  <si>
    <t>Garaix</t>
  </si>
  <si>
    <t>Breathless</t>
  </si>
  <si>
    <t xml:space="preserve">5206 Marsh Mallow Trl  Fort Myers, FL 33905 </t>
  </si>
  <si>
    <t>19-43-24-c4-05557.0390</t>
  </si>
  <si>
    <t>Carl &amp; Kathryn Valero</t>
  </si>
  <si>
    <t>Alfred Sanchez</t>
  </si>
  <si>
    <t xml:space="preserve">15031 Willowwood Ct </t>
  </si>
  <si>
    <t xml:space="preserve">10413 Nightwood Dr  Fort Myers, FL 33905 </t>
  </si>
  <si>
    <t xml:space="preserve">1189 Brookstone Dr </t>
  </si>
  <si>
    <t xml:space="preserve">703 Kismet Pkwy E </t>
  </si>
  <si>
    <t>Poplar Grove</t>
  </si>
  <si>
    <t>11414-3031</t>
  </si>
  <si>
    <t>Cape Coral Unit 36 Pt 1 Blk 2478 Pb 23 Pg 90 Lots 46 + 47</t>
  </si>
  <si>
    <t>Brady</t>
  </si>
  <si>
    <t>11961-1656</t>
  </si>
  <si>
    <t>Daniel &amp; Christine Donovan</t>
  </si>
  <si>
    <t>Simon</t>
  </si>
  <si>
    <t xml:space="preserve">5112 W Wolfram St #1 </t>
  </si>
  <si>
    <t>Cape Coral Unit 17 Pt 1 Blk 1544 Pb 23 Pg 4 Lots 3 Thru 5</t>
  </si>
  <si>
    <t xml:space="preserve">335 NE 7th Ter  Cape Coral, FL 33909 </t>
  </si>
  <si>
    <t xml:space="preserve">5241 Cypress Trail Resort Cir </t>
  </si>
  <si>
    <t>Cape Coral Unit 84 Blk 5606 Pb 24 Pg 42 Lots 22 + 23</t>
  </si>
  <si>
    <t xml:space="preserve">2742 NE 1st Pl  Cape Coral, FL 33909 </t>
  </si>
  <si>
    <t>Channel</t>
  </si>
  <si>
    <t xml:space="preserve">6111 Laurelwood Dr  Fort Myers, FL 33905 </t>
  </si>
  <si>
    <t xml:space="preserve">5790 Neal Rd </t>
  </si>
  <si>
    <t>Cape Coral Unit 26 Blk.911 Pb 14 Pg 136 Lots 65 + 66</t>
  </si>
  <si>
    <t>Cypress Trail Rv Resort Phase 2-B As Desc In Inst# 2015000013050 Lot 370</t>
  </si>
  <si>
    <t>Cape Coral Unit 32 Blk 2122 Pb 16 Pg 7 Lots 9 + 10</t>
  </si>
  <si>
    <t>Lehigh Acres Unit 11 Blk 56 Pb 26 Pg 14 Lot 21</t>
  </si>
  <si>
    <t>Walker</t>
  </si>
  <si>
    <t>Vega Baja</t>
  </si>
  <si>
    <t xml:space="preserve">5303 S Watterson Trl  Louisville, KY 40291-1736 </t>
  </si>
  <si>
    <t xml:space="preserve">2255 Rio De Janeiro Ave </t>
  </si>
  <si>
    <t xml:space="preserve">10900 Cobble Run  Spotsylvania, VA 22551-8938 </t>
  </si>
  <si>
    <t>West End</t>
  </si>
  <si>
    <t>06-46-24-15-00000.2510</t>
  </si>
  <si>
    <t>11-44-25-l1-1400a.1270</t>
  </si>
  <si>
    <t>Cape Coral Unit 17 Pt 1 Blk 1540 Pb 23 Pg 5 Lots 71 + 72</t>
  </si>
  <si>
    <t xml:space="preserve">4495 Hwy 8  Hardy, NE 68943-4237 </t>
  </si>
  <si>
    <t>46140-9531</t>
  </si>
  <si>
    <t>Gulapa</t>
  </si>
  <si>
    <t>25-43-23-c4-02296.0010</t>
  </si>
  <si>
    <t>Cape Coral Unit 32 Blk 2144 Pb 16 Pg 2 Lots 37 + 38</t>
  </si>
  <si>
    <t xml:space="preserve">11737 NW 39th St </t>
  </si>
  <si>
    <t>Cape Coral Unit 31 Blk 2066 Pb 14 Pg 160 Lots 23 + 24</t>
  </si>
  <si>
    <t>Cape Coral Unit 34 Blk 2099 Pb 16 Pg 83 Lot 50 + 51</t>
  </si>
  <si>
    <t xml:space="preserve">1113 NE 10th Ln </t>
  </si>
  <si>
    <t xml:space="preserve">918 Kismet Pkwy E  Cape Coral, FL 33909 </t>
  </si>
  <si>
    <t xml:space="preserve">580 S Clinton St 5b, Denver, CO 80247-1263 </t>
  </si>
  <si>
    <t>33543-6409</t>
  </si>
  <si>
    <t xml:space="preserve">1820 NE 13th Pl </t>
  </si>
  <si>
    <t>Fitch</t>
  </si>
  <si>
    <t>33062-6928</t>
  </si>
  <si>
    <t xml:space="preserve">346 Thompson Mill Rd  New Hope, PA 18938-9219 </t>
  </si>
  <si>
    <t>Cape Coral Unit 87 Blk 5688 Pb 24 Pg 82 Lots 5 + 6</t>
  </si>
  <si>
    <t>Ruchit Patel</t>
  </si>
  <si>
    <t xml:space="preserve">507 Diplomat Pkwy E  Cape Coral, FL 33909-5229 </t>
  </si>
  <si>
    <t xml:space="preserve">3504 Mahejan Dr  Pearland, TX 77584-5501 </t>
  </si>
  <si>
    <t>Konathala</t>
  </si>
  <si>
    <t>13078-6504</t>
  </si>
  <si>
    <t>Cape Coral Unit 84 Blk 5600 Pb 24 Pg 43 Lots 25 + 26</t>
  </si>
  <si>
    <t xml:space="preserve">1465 E 101st St </t>
  </si>
  <si>
    <t>Harold Thomas &amp; Corrie Coleman</t>
  </si>
  <si>
    <t>C018</t>
  </si>
  <si>
    <t>19-43-24-c3-05611.0570</t>
  </si>
  <si>
    <t xml:space="preserve">1303 SE 26th St  Cape Coral, FL 33904 </t>
  </si>
  <si>
    <t>Beechtree</t>
  </si>
  <si>
    <t>Cape Coral Unit 87 Blk 5725 Pb 24 Pg 81 Lots 23 + 24</t>
  </si>
  <si>
    <t>29-43-24-c4-02284.0560</t>
  </si>
  <si>
    <t xml:space="preserve">472 Bradford St </t>
  </si>
  <si>
    <t xml:space="preserve">1135 NE 5th Ave </t>
  </si>
  <si>
    <t>Elk Grove Village</t>
  </si>
  <si>
    <t>Fairmount</t>
  </si>
  <si>
    <t>Wilson Monsalve</t>
  </si>
  <si>
    <t>33909-6269</t>
  </si>
  <si>
    <t xml:space="preserve">773 Bradford Ter  Springfield, PA 19064-3908 </t>
  </si>
  <si>
    <t>03-44-26-01-00005.0080</t>
  </si>
  <si>
    <t>31-44-24-c3-00551.0060</t>
  </si>
  <si>
    <t>Insdale</t>
  </si>
  <si>
    <t>Cape Coral Unit 15 Blk 460 Pb 13 Pg 74 Lots 25 + 26</t>
  </si>
  <si>
    <t>H1</t>
  </si>
  <si>
    <t>33029-5601</t>
  </si>
  <si>
    <t>Jerry &amp; Terri Engle</t>
  </si>
  <si>
    <t>Cape Coral Unit 84 Blk 5565 Pb 24 Pg 40 Lots 21 + 22</t>
  </si>
  <si>
    <t xml:space="preserve">64-20 Calle 98  Bogota, CO </t>
  </si>
  <si>
    <t>01-44-23-c1-02463.0060</t>
  </si>
  <si>
    <t xml:space="preserve">17 Shady Ln  Deer Park, IL 60010-3634 </t>
  </si>
  <si>
    <t>33909-4362</t>
  </si>
  <si>
    <t xml:space="preserve">1434 NE 1st Pl </t>
  </si>
  <si>
    <t xml:space="preserve">1852 Danielle Ln  Belvidere, IL 61008-9504 </t>
  </si>
  <si>
    <t xml:space="preserve">2597 Forest City Dr  Henderson, NV 89052-6936 </t>
  </si>
  <si>
    <t xml:space="preserve">4405 NE 21st Ct  Cape Coral, FL 33909 </t>
  </si>
  <si>
    <t>Chris &amp; Cheryl Fontaine</t>
  </si>
  <si>
    <t>Ivanhoe</t>
  </si>
  <si>
    <t>Cape Coral Unit 32 Blk.2115 Pb 16 Pg 3 Lots 3 + 4</t>
  </si>
  <si>
    <t>Paul &amp; Nancy Emert</t>
  </si>
  <si>
    <t>Tsou Yang</t>
  </si>
  <si>
    <t>Cape Coral Unit 33 Blk 2191 Pb 16 Pg 50 Lots 19 + 20</t>
  </si>
  <si>
    <t xml:space="preserve">1406 NE 2nd St </t>
  </si>
  <si>
    <t>01-44-23-c4-02419.0190</t>
  </si>
  <si>
    <t>08078-1027</t>
  </si>
  <si>
    <t>Martha Zambrano &amp; William Portilla</t>
  </si>
  <si>
    <t>Jamerson</t>
  </si>
  <si>
    <t>Carlsbad</t>
  </si>
  <si>
    <t>19-43-24-c1-05572.0190</t>
  </si>
  <si>
    <t xml:space="preserve">3717 Tallman St  Fort Myers, FL 33905 </t>
  </si>
  <si>
    <t xml:space="preserve">581 SW 47th Ave </t>
  </si>
  <si>
    <t>33904-5845</t>
  </si>
  <si>
    <t>Salinas</t>
  </si>
  <si>
    <t>Mary Early</t>
  </si>
  <si>
    <t>Ziad Bader</t>
  </si>
  <si>
    <t>33184-1701</t>
  </si>
  <si>
    <t>33905-1803</t>
  </si>
  <si>
    <t>33018-3830</t>
  </si>
  <si>
    <t>34683-2716</t>
  </si>
  <si>
    <t xml:space="preserve">6230 Castlewood Cir  Fort Myers, FL 33905 </t>
  </si>
  <si>
    <t xml:space="preserve">Po Box 360750 </t>
  </si>
  <si>
    <t>Barbara &amp; William Vasata</t>
  </si>
  <si>
    <t>Liddell</t>
  </si>
  <si>
    <t>Green View</t>
  </si>
  <si>
    <t xml:space="preserve">341 NE 30th Ter </t>
  </si>
  <si>
    <t>Roxbury</t>
  </si>
  <si>
    <t>33909-3307</t>
  </si>
  <si>
    <t xml:space="preserve">1618 NE 6th Ave </t>
  </si>
  <si>
    <t xml:space="preserve">10120 Shadowood Ct </t>
  </si>
  <si>
    <t>03-44-26-04-00017.0010</t>
  </si>
  <si>
    <t>Montilla</t>
  </si>
  <si>
    <t>Peters</t>
  </si>
  <si>
    <t>17-43-24-c3-05787.0010</t>
  </si>
  <si>
    <t>Buckingham Park Ne Sec Blk 26 Pb 9 Pg 65 Lot 27</t>
  </si>
  <si>
    <t xml:space="preserve">2730 NE 2nd Pl </t>
  </si>
  <si>
    <t xml:space="preserve">3848 Insdale St </t>
  </si>
  <si>
    <t xml:space="preserve">411 Walnut St #3776 </t>
  </si>
  <si>
    <t>Grace Denissa F Tr</t>
  </si>
  <si>
    <t>Westwood</t>
  </si>
  <si>
    <t>Safia</t>
  </si>
  <si>
    <t>Rohini</t>
  </si>
  <si>
    <t>02128-4919</t>
  </si>
  <si>
    <t>76063-8637</t>
  </si>
  <si>
    <t xml:space="preserve">6147 Hershey Ave  Fort Myers, FL 33905 </t>
  </si>
  <si>
    <t>Cape Coral Unit 34 Blk 2438 Pb 16 Pg 81 Lots 51 + 52</t>
  </si>
  <si>
    <t xml:space="preserve">4112 SW 137th Ave </t>
  </si>
  <si>
    <t>Octavio Arteaga</t>
  </si>
  <si>
    <t>29-43-24-c4-02285.0360</t>
  </si>
  <si>
    <t>Cape Coral Unit 26 Blk.857 Pb 14 Pg 123 Lots 29 + 30</t>
  </si>
  <si>
    <t>33909-1400</t>
  </si>
  <si>
    <t xml:space="preserve">322 NE 17th St </t>
  </si>
  <si>
    <t xml:space="preserve">4 Eastbourne Ave  Long Branch, NJ 07740-6146 </t>
  </si>
  <si>
    <t>David &amp; Sushilla Ramkay</t>
  </si>
  <si>
    <t>Aiello</t>
  </si>
  <si>
    <t>Pieroni</t>
  </si>
  <si>
    <t>Raeanne Laserna</t>
  </si>
  <si>
    <t xml:space="preserve">1692 Edgewood Blvd  Berkley, MI 48072-2147 </t>
  </si>
  <si>
    <t>33018-5280</t>
  </si>
  <si>
    <t xml:space="preserve">1705 NE 33rd Ln  Cape Coral, FL 33909 </t>
  </si>
  <si>
    <t>New Carlisle</t>
  </si>
  <si>
    <t xml:space="preserve">8604 Kirk Ln </t>
  </si>
  <si>
    <t>33905-8700</t>
  </si>
  <si>
    <t>33909-1792</t>
  </si>
  <si>
    <t>33265-4953</t>
  </si>
  <si>
    <t xml:space="preserve">530 Amaryllis Rd </t>
  </si>
  <si>
    <t xml:space="preserve">55 Blue Jay Dr </t>
  </si>
  <si>
    <t>Rolle</t>
  </si>
  <si>
    <t>Lillian Chin</t>
  </si>
  <si>
    <t xml:space="preserve">28 S Hillside Ave  Elmsford, NY 10523-3619 </t>
  </si>
  <si>
    <t>Joel Gershon</t>
  </si>
  <si>
    <t>PO Box 690</t>
  </si>
  <si>
    <t>45103-1639</t>
  </si>
  <si>
    <t>36-43-23-c3-02497.0190</t>
  </si>
  <si>
    <t>33055-3531</t>
  </si>
  <si>
    <t xml:space="preserve">19681 Summerlin Rd #162 </t>
  </si>
  <si>
    <t>For Virginia Shaller Living Trust</t>
  </si>
  <si>
    <t xml:space="preserve">326 Warren St  Harrison, NJ 07029-1740 </t>
  </si>
  <si>
    <t>95125-6344</t>
  </si>
  <si>
    <t>Arnaud Faivre</t>
  </si>
  <si>
    <t>Consuelo Calderon &amp; Percy Tavara</t>
  </si>
  <si>
    <t>Advantaira Trust Llc</t>
  </si>
  <si>
    <t>Bradley</t>
  </si>
  <si>
    <t xml:space="preserve">20 Alsop Rd </t>
  </si>
  <si>
    <t>31-43-24-c3-02114.0340</t>
  </si>
  <si>
    <t xml:space="preserve">9320 NW 32nd Mnr </t>
  </si>
  <si>
    <t>06-44-24-c3-02032.0050</t>
  </si>
  <si>
    <t xml:space="preserve">375 Prospect Ave </t>
  </si>
  <si>
    <t>Wendell &amp; Michele Brandenburg</t>
  </si>
  <si>
    <t xml:space="preserve">1912 Oak Ave  Northfield, NJ 08225-1534 </t>
  </si>
  <si>
    <t xml:space="preserve">3837 Huntley St  Fort Myers, FL 33905 </t>
  </si>
  <si>
    <t>R3 D</t>
  </si>
  <si>
    <t xml:space="preserve">1619 NE 36th Ter  Cape Coral, FL 33909 </t>
  </si>
  <si>
    <t xml:space="preserve">2501 NE 22nd Pl </t>
  </si>
  <si>
    <t>S A M Inmuebles &amp; Mario Avila</t>
  </si>
  <si>
    <t>Cape Coral Unit 36 Blk 2300B Pb 16 Pg 122 Lots 9 + 10</t>
  </si>
  <si>
    <t xml:space="preserve">25 Walmsley Rd  Darien, CT 06820-5130 </t>
  </si>
  <si>
    <t>19148-3947</t>
  </si>
  <si>
    <t>19-43-24-c2-05602.0170</t>
  </si>
  <si>
    <t>33903-3310</t>
  </si>
  <si>
    <t xml:space="preserve">9 Blucherstrasse </t>
  </si>
  <si>
    <t>Leesure Village Blk 9 Cb 3 Pg 60 Lot 17</t>
  </si>
  <si>
    <t xml:space="preserve">3920 NE 10th Pl </t>
  </si>
  <si>
    <t>Mackenzie</t>
  </si>
  <si>
    <t>20-43-24-c3-05674.0380</t>
  </si>
  <si>
    <t xml:space="preserve">912 Navajo Ave </t>
  </si>
  <si>
    <t>Zenissa</t>
  </si>
  <si>
    <t>Vintage</t>
  </si>
  <si>
    <t>04086-1665</t>
  </si>
  <si>
    <t xml:space="preserve">1027 NE 40th Ter  Cape Coral, FL 33909 </t>
  </si>
  <si>
    <t>Fraker</t>
  </si>
  <si>
    <t xml:space="preserve">121 Tara Lakes Dr W  Boynton Beach, FL 33436-6763 </t>
  </si>
  <si>
    <t xml:space="preserve">1962 SE Leo Ln </t>
  </si>
  <si>
    <t>44401-9703</t>
  </si>
  <si>
    <t>H029</t>
  </si>
  <si>
    <t>Rue De La Roite</t>
  </si>
  <si>
    <t>Cape Coral Unit 36 Pt 1 Blk 2489 Pb 23 Pg 88 Lots 19 + 20</t>
  </si>
  <si>
    <t>77573-4750</t>
  </si>
  <si>
    <t xml:space="preserve">15016 87th Rd </t>
  </si>
  <si>
    <t>First 1912 Trust</t>
  </si>
  <si>
    <t>33909-6504</t>
  </si>
  <si>
    <t xml:space="preserve">121 NE 31st Ter </t>
  </si>
  <si>
    <t xml:space="preserve">2106 NE 20th Ter </t>
  </si>
  <si>
    <t>Commisso</t>
  </si>
  <si>
    <t>01-44-23-c3-02429.0570</t>
  </si>
  <si>
    <t xml:space="preserve">3766 22nd Ave NE </t>
  </si>
  <si>
    <t xml:space="preserve">1216 Pondella Cir  North Fort Myers, FL 33903 </t>
  </si>
  <si>
    <t xml:space="preserve">1330 NE 6th Ave  Cape Coral, FL 33909 </t>
  </si>
  <si>
    <t xml:space="preserve">6 Hine St </t>
  </si>
  <si>
    <t>19008-2641</t>
  </si>
  <si>
    <t>Kimberly Hand</t>
  </si>
  <si>
    <t xml:space="preserve">1400 SE 29th Ter  Cape Coral, FL 33904 </t>
  </si>
  <si>
    <t xml:space="preserve">5306 Carlton St  Naples, FL 34113-8770 </t>
  </si>
  <si>
    <t xml:space="preserve">60 Louis Ave </t>
  </si>
  <si>
    <t>03-44-26-01-00001.0140</t>
  </si>
  <si>
    <t>Julius &amp; Jean Spirig</t>
  </si>
  <si>
    <t>Cape Coral Unit 33 Blk 2279 Pb 16 Pg 60 Lots 7 + 8</t>
  </si>
  <si>
    <t>55044-6080</t>
  </si>
  <si>
    <t xml:space="preserve">Po Box 4779 </t>
  </si>
  <si>
    <t>33909-6215</t>
  </si>
  <si>
    <t>Burgos</t>
  </si>
  <si>
    <t>53219-2738</t>
  </si>
  <si>
    <t>Cape Coral Unit 32 Blk 2103 Pb 16 Pg 5 Lots 49 + 50</t>
  </si>
  <si>
    <t>09-44-25-00-00021.0130</t>
  </si>
  <si>
    <t>Webster</t>
  </si>
  <si>
    <t xml:space="preserve">1015 NE 34th Ter </t>
  </si>
  <si>
    <t>33904-5017</t>
  </si>
  <si>
    <t>33904-5698</t>
  </si>
  <si>
    <t>Minnie Lake</t>
  </si>
  <si>
    <t>C067</t>
  </si>
  <si>
    <t>Pickett</t>
  </si>
  <si>
    <t>96734-4011</t>
  </si>
  <si>
    <t xml:space="preserve">7502 Ramblewood Ct </t>
  </si>
  <si>
    <t>Maleenia &amp; For Mohabir</t>
  </si>
  <si>
    <t>33903-1228</t>
  </si>
  <si>
    <t xml:space="preserve">80427 Spanish Bay </t>
  </si>
  <si>
    <t>Wickenhieser</t>
  </si>
  <si>
    <t xml:space="preserve">1032 NE 19th St </t>
  </si>
  <si>
    <t>20-43-24-c3-05637.0140</t>
  </si>
  <si>
    <t xml:space="preserve">1711 NE 27th St </t>
  </si>
  <si>
    <t xml:space="preserve">12961 SW 79th St </t>
  </si>
  <si>
    <t xml:space="preserve">1814 NE 2nd Ter </t>
  </si>
  <si>
    <t xml:space="preserve">4410 Garden Blvd </t>
  </si>
  <si>
    <t>33909-1253</t>
  </si>
  <si>
    <t xml:space="preserve">8563 Woodgrove Harbor Ln  Boynton Beach, FL 33473-4841 </t>
  </si>
  <si>
    <t>Peter &amp; Winifred Foster</t>
  </si>
  <si>
    <t>Araceli Yanez</t>
  </si>
  <si>
    <t>Cape Coral Unit 17 Blk 1508 Pb 14 Pg 31 Lots 32 + 33</t>
  </si>
  <si>
    <t>11-44-25-06-0000d.1350</t>
  </si>
  <si>
    <t>11-44-25-11-00000.2300</t>
  </si>
  <si>
    <t>Cape Coral Unit 33 Blk 2235 Pb 16 Pg 55 Lots 24 + 25</t>
  </si>
  <si>
    <t>11-44-25-09-00000.0070</t>
  </si>
  <si>
    <t>Whorley</t>
  </si>
  <si>
    <t xml:space="preserve">3700 NE 16th Ave  Cape Coral, FL 33909 </t>
  </si>
  <si>
    <t xml:space="preserve">2025 NE 5th Pl  Cape Coral, FL 33909 </t>
  </si>
  <si>
    <t>Khanukayeva</t>
  </si>
  <si>
    <t xml:space="preserve">8421 Buckingham Rd </t>
  </si>
  <si>
    <t xml:space="preserve">829 NE 19th Ter </t>
  </si>
  <si>
    <t>19-43-24-c2-05595.0360</t>
  </si>
  <si>
    <t>33904-2736</t>
  </si>
  <si>
    <t xml:space="preserve">1018 NE 14th Ave  Cape Coral, FL 33909 </t>
  </si>
  <si>
    <t>08879-3433</t>
  </si>
  <si>
    <t>Parkview</t>
  </si>
  <si>
    <t>Cypress Woods Rv Resort Ut 1 Pb 65 Pg 85 + 86 Blk B Lot 56</t>
  </si>
  <si>
    <t>29909-5082</t>
  </si>
  <si>
    <t>Cornwall</t>
  </si>
  <si>
    <t>20-43-24-c4-05630.0190</t>
  </si>
  <si>
    <t xml:space="preserve">280 Granada Blvd  Fort Myers, FL 33905 </t>
  </si>
  <si>
    <t>32-43-24-c2-02234.0660</t>
  </si>
  <si>
    <t xml:space="preserve">3739 Kelsey St </t>
  </si>
  <si>
    <t xml:space="preserve">1302 Angeline Ave </t>
  </si>
  <si>
    <t xml:space="preserve">2636 NE 20th Ct  Cape Coral, FL 33909 </t>
  </si>
  <si>
    <t>Pensacola</t>
  </si>
  <si>
    <t>Yoder</t>
  </si>
  <si>
    <t>Maximo Sanchez &amp; Yolanda Delacampa</t>
  </si>
  <si>
    <t>20-43-24-c2-05663.0130</t>
  </si>
  <si>
    <t>24060-1176</t>
  </si>
  <si>
    <t>Lehigh Acres Unit 14 Blk 84 Pb 26 Pg 20 Lot 6</t>
  </si>
  <si>
    <t xml:space="preserve">534 6 warren St </t>
  </si>
  <si>
    <t xml:space="preserve">95 Beach St </t>
  </si>
  <si>
    <t>33067-3216</t>
  </si>
  <si>
    <t>Darrah</t>
  </si>
  <si>
    <t>32-43-24-c4-02200.0670</t>
  </si>
  <si>
    <t>Dennis &amp; Betty Jenkins</t>
  </si>
  <si>
    <t>Tim</t>
  </si>
  <si>
    <t>Palmona Park Unit 1 Blk 24 Pb 7 Pg 54 Lots 1 + 2</t>
  </si>
  <si>
    <t>Cape Coral Unit 87 Blk 5698 Pb 24 Pg 75 Lots 15 + 16</t>
  </si>
  <si>
    <t xml:space="preserve">23305 131st Ave </t>
  </si>
  <si>
    <t xml:space="preserve">1509 NE 18th Ave </t>
  </si>
  <si>
    <t>11-44-25-04-0000b.0800</t>
  </si>
  <si>
    <t>Cape Coral Unit 88 Blk 5798 Pb 24 Pg 131 Lots 12 + 13</t>
  </si>
  <si>
    <t>33909-4618</t>
  </si>
  <si>
    <t xml:space="preserve">2100 NE 7th Pl </t>
  </si>
  <si>
    <t>Cape Coral Unit 25 Blk 907 Pb 14 Pg 96 Lots 8 + 9</t>
  </si>
  <si>
    <t>05-44-24-c2-03527.0190</t>
  </si>
  <si>
    <t>Cape Coral Unit 85 Blk 5664 Pb 24 Pg 57 Lot 51</t>
  </si>
  <si>
    <t xml:space="preserve">1714 NE 18th Pl </t>
  </si>
  <si>
    <t>Duke</t>
  </si>
  <si>
    <t xml:space="preserve">2742 NE 3rd Ave </t>
  </si>
  <si>
    <t xml:space="preserve">339 Kismet Pkwy E </t>
  </si>
  <si>
    <t xml:space="preserve">1403 NE 17th Ter  Cape Coral, FL 33909 </t>
  </si>
  <si>
    <t>17-43-24-c1-05827.0240</t>
  </si>
  <si>
    <t xml:space="preserve">6755 NW 169th St B, Hialeah, FL 33015-4248 </t>
  </si>
  <si>
    <t>Parl Desc In Or 454 Pg 128 In Sec 20 Twp 46 R 25</t>
  </si>
  <si>
    <t>Knol Emily Tr For Andrew W &amp; Emily Knol Trust</t>
  </si>
  <si>
    <t>Marco</t>
  </si>
  <si>
    <t xml:space="preserve">2220 NE 2nd Pl  Cape Coral, FL 33909 </t>
  </si>
  <si>
    <t>33909-2711</t>
  </si>
  <si>
    <t xml:space="preserve">2448 Raleigh St  Hollywood, FL 33020-1607 </t>
  </si>
  <si>
    <t>Cypress Trail Rv Resort Ph 4-B As Desc In Inst# 2017000057565 Lot 321</t>
  </si>
  <si>
    <t>Gershon</t>
  </si>
  <si>
    <t>45640-2024</t>
  </si>
  <si>
    <t>06443-3012</t>
  </si>
  <si>
    <t>Croocq &amp; Joseph De</t>
  </si>
  <si>
    <t>Cape Coral Unit 46 Blk 3592 Pb 17 Pg 122 Lots 55 + 56</t>
  </si>
  <si>
    <t>Record Owner</t>
  </si>
  <si>
    <t>34-43-25-09-00000.3080</t>
  </si>
  <si>
    <t>33905-2536</t>
  </si>
  <si>
    <t xml:space="preserve">26722 S Beverly Dr </t>
  </si>
  <si>
    <t>Obere Rodstr</t>
  </si>
  <si>
    <t xml:space="preserve">1321 SE 32nd Ter  Cape Coral, FL 33904 </t>
  </si>
  <si>
    <t>11005-1009</t>
  </si>
  <si>
    <t>Cape Coral Unit 33 Blk.2217 Pb 16 Pg 44 Lots 39 + 40</t>
  </si>
  <si>
    <t>Cape Coral Unit 34 Blk 2446 Pb 16 Pg 78 Lots 47 + 48</t>
  </si>
  <si>
    <t xml:space="preserve">4413/4415 Armeda Ave </t>
  </si>
  <si>
    <t xml:space="preserve">734 Dennis Pl </t>
  </si>
  <si>
    <t xml:space="preserve">461 SW 135th Ter </t>
  </si>
  <si>
    <t xml:space="preserve">17 Normandy Rd  Yonkers, NY 10701-6721 </t>
  </si>
  <si>
    <t>Laurel</t>
  </si>
  <si>
    <t>Sharpley</t>
  </si>
  <si>
    <t>Justina</t>
  </si>
  <si>
    <t>North Bergen</t>
  </si>
  <si>
    <t xml:space="preserve">Am Wiesenhof #26 </t>
  </si>
  <si>
    <t xml:space="preserve">10230 Surfwood Ct  Fort Myers, FL 33905 </t>
  </si>
  <si>
    <t>John &amp; For Arnone</t>
  </si>
  <si>
    <t>Oberg</t>
  </si>
  <si>
    <t>97220-3443</t>
  </si>
  <si>
    <t>Normandy</t>
  </si>
  <si>
    <t xml:space="preserve">4058 Ellesmere Rd </t>
  </si>
  <si>
    <t>14624-5803</t>
  </si>
  <si>
    <t xml:space="preserve">12321 Davis Blvd </t>
  </si>
  <si>
    <t xml:space="preserve">12540 SW 207th Ter  Miami, FL 33177-5632 </t>
  </si>
  <si>
    <t xml:space="preserve">2227 S 4th Ave  Riverside, IL 60546-1209 </t>
  </si>
  <si>
    <t>33909-6842</t>
  </si>
  <si>
    <t>Morning Mist</t>
  </si>
  <si>
    <t>Milburn</t>
  </si>
  <si>
    <t>Cypress Trail Rv Resort Phase 2-B As Desc In Inst# 2015000013050 Lot 479</t>
  </si>
  <si>
    <t xml:space="preserve">923 NE 33rd Ter  Cape Coral, FL 33909 </t>
  </si>
  <si>
    <t xml:space="preserve">3854 Hyde Park Dr </t>
  </si>
  <si>
    <t xml:space="preserve">10129 Spyglass Ln  Port Saint Lucie, FL 34986-3043 </t>
  </si>
  <si>
    <t>19-43-24-c3-05610.0030</t>
  </si>
  <si>
    <t>Phoebe &amp; For Gamponia</t>
  </si>
  <si>
    <t>Pottstown</t>
  </si>
  <si>
    <t>Cedarville</t>
  </si>
  <si>
    <t>La Calera Sopo</t>
  </si>
  <si>
    <t xml:space="preserve">6030 Stratton Rd  Fort Myers, FL 33905 </t>
  </si>
  <si>
    <t>PO Box 3794</t>
  </si>
  <si>
    <t xml:space="preserve">2 Emery St  Iselin, NJ 08830-2405 </t>
  </si>
  <si>
    <t xml:space="preserve">10508 Williams Rd </t>
  </si>
  <si>
    <t>Dacula</t>
  </si>
  <si>
    <t>03-44-26-13-00070.0100</t>
  </si>
  <si>
    <t>11372-2409</t>
  </si>
  <si>
    <t>Fritz Schroeder Ufer</t>
  </si>
  <si>
    <t xml:space="preserve">41 Lyon St </t>
  </si>
  <si>
    <t>Armiston</t>
  </si>
  <si>
    <t xml:space="preserve">2127 NE 27th Ter  Cape Coral, FL 33909 </t>
  </si>
  <si>
    <t>Bagly Forest</t>
  </si>
  <si>
    <t>Cypress Trail Rv Resort Phase 2-A As Desc In Inst# 2014000026506 Lot 156</t>
  </si>
  <si>
    <t>Eirene</t>
  </si>
  <si>
    <t xml:space="preserve">3708 Hyde Park Dr  Fort Myers, FL 33905 </t>
  </si>
  <si>
    <t xml:space="preserve">2329 S 4th St  Philadelphia, PA 19148-3947 </t>
  </si>
  <si>
    <t>19-43-24-c4-05551.0110</t>
  </si>
  <si>
    <t>Cypress Woods Rv Resort Ut 1 Pb 65 Pg 85 + 86 Blk B Lot 2</t>
  </si>
  <si>
    <t xml:space="preserve">715 Knob Hill Cir </t>
  </si>
  <si>
    <t>Ingelheim</t>
  </si>
  <si>
    <t>06-44-24-c1-02071.0070</t>
  </si>
  <si>
    <t>Truc Tran &amp; Noi Nguyen</t>
  </si>
  <si>
    <t>97022-9720</t>
  </si>
  <si>
    <t xml:space="preserve">125 NE 11th Ter </t>
  </si>
  <si>
    <t xml:space="preserve">7753 S Westbrook Dr </t>
  </si>
  <si>
    <t>Watchung</t>
  </si>
  <si>
    <t>Shorthorn</t>
  </si>
  <si>
    <t xml:space="preserve">1549 Scandia Cir  Reston, VA 20190-4968 </t>
  </si>
  <si>
    <t xml:space="preserve">4108 Garden Blvd  Cape Coral, FL 33909 </t>
  </si>
  <si>
    <t>Cota Chia Conjunto</t>
  </si>
  <si>
    <t xml:space="preserve">11466 NW 4th Ln  Miami, FL 33172-4963 </t>
  </si>
  <si>
    <t>Woodlane</t>
  </si>
  <si>
    <t>Cape Coral Unit 32 Blk 2147 Pb 16 Pg 8 Lots 35 + 36</t>
  </si>
  <si>
    <t>Fabrice</t>
  </si>
  <si>
    <t>Jacqueline &amp; Philippe Kramarz</t>
  </si>
  <si>
    <t>Buckingham Pk Re Blk B U-1 Blk 3 Pb 27 Pg 188 Lot 32</t>
  </si>
  <si>
    <t>Reichardt</t>
  </si>
  <si>
    <t xml:space="preserve">2032 NE 40th St </t>
  </si>
  <si>
    <t>Hans</t>
  </si>
  <si>
    <t>Hugh &amp; Mary Courtney</t>
  </si>
  <si>
    <t>Cundinamrea</t>
  </si>
  <si>
    <t>Glass</t>
  </si>
  <si>
    <t>Limestone</t>
  </si>
  <si>
    <t xml:space="preserve">18974 Formosa St </t>
  </si>
  <si>
    <t>36-44-23-c3-00898.0500</t>
  </si>
  <si>
    <t xml:space="preserve">563 Ellis St </t>
  </si>
  <si>
    <t xml:space="preserve">175 Grandview Pt  Ringgold, GA 30736-2675 </t>
  </si>
  <si>
    <t>92807-4844</t>
  </si>
  <si>
    <t xml:space="preserve">10 Hewlett Rd  Greenvale, NY 11548-1124 </t>
  </si>
  <si>
    <t xml:space="preserve">308 73rd St </t>
  </si>
  <si>
    <t xml:space="preserve">268 Village Dr </t>
  </si>
  <si>
    <t>92284-1177</t>
  </si>
  <si>
    <t>Alegriano</t>
  </si>
  <si>
    <t>Coopers Park Pb 17 Pg 31 Lot 1</t>
  </si>
  <si>
    <t xml:space="preserve">322 NE 25th St </t>
  </si>
  <si>
    <t>Cape Coral Unit 85 Blk 5663 Pb 24 Pg 58 Lots 28 + 29</t>
  </si>
  <si>
    <t>Jesus Giraldo</t>
  </si>
  <si>
    <t>33903-5016</t>
  </si>
  <si>
    <t>Persimmon</t>
  </si>
  <si>
    <t xml:space="preserve">4104 NE 14th Pl </t>
  </si>
  <si>
    <t xml:space="preserve">4384 Harbour Ter  North Fort Myers, FL 33903 </t>
  </si>
  <si>
    <t>Krischanowsk</t>
  </si>
  <si>
    <t xml:space="preserve">10 Corwin St  Randolph, NJ 07869-3405 </t>
  </si>
  <si>
    <t>Eastwick</t>
  </si>
  <si>
    <t>Cape Coral Unit 17 Blk.1526 Pb 14 Pg 36 Lots 68 + 69</t>
  </si>
  <si>
    <t>Denver</t>
  </si>
  <si>
    <t xml:space="preserve">1336 NE 20th Pl  Cape Coral, FL 33909 </t>
  </si>
  <si>
    <t xml:space="preserve">5862 Burrwood Ct  Fort Myers, FL 33905 </t>
  </si>
  <si>
    <t>Cape Coral Unit 87 Blk 5739 Pb 24 Pg 77 Lots 15 + 16</t>
  </si>
  <si>
    <t>H117</t>
  </si>
  <si>
    <t>Ryan Butler</t>
  </si>
  <si>
    <t xml:space="preserve">3669 Ward Loop B </t>
  </si>
  <si>
    <t>Camas</t>
  </si>
  <si>
    <t xml:space="preserve">224 NE 26th St </t>
  </si>
  <si>
    <t>Cape Coral Unit 32 Blk 2144 Pb 16 Pg 2 Lots 35 + 36</t>
  </si>
  <si>
    <t>Bell Tower</t>
  </si>
  <si>
    <t xml:space="preserve">17031 NW 10th Ct  Miami, FL 33169-5238 </t>
  </si>
  <si>
    <t>54961-9637</t>
  </si>
  <si>
    <t>12-44-23-c2-02393.0010</t>
  </si>
  <si>
    <t xml:space="preserve">Po Box 2087 </t>
  </si>
  <si>
    <t>20-43-24-c2-05656.0490</t>
  </si>
  <si>
    <t>75154-3615</t>
  </si>
  <si>
    <t>Kevin &amp; Jamie Butterfield</t>
  </si>
  <si>
    <t>Rancho Eighty Unrec Or 891 Pg 305 Tract 14 Less W 336 Ft Of N 130 Ft</t>
  </si>
  <si>
    <t>Sharon Brin</t>
  </si>
  <si>
    <t>33174-3828</t>
  </si>
  <si>
    <t>17-43-24-c4-05762.0110</t>
  </si>
  <si>
    <t>Cape Coral Unit 33 Blk 2287 Pb 16 Pg 57 Lots 19 + 20</t>
  </si>
  <si>
    <t>33909-1509</t>
  </si>
  <si>
    <t>22042-1318</t>
  </si>
  <si>
    <t xml:space="preserve">1824 NE 13th Pl </t>
  </si>
  <si>
    <t>PO Box 220479</t>
  </si>
  <si>
    <t xml:space="preserve">3302 NE 8th Pl </t>
  </si>
  <si>
    <t>33909-4667</t>
  </si>
  <si>
    <t>Cape Coral Unit 87 Blk 5725 Pb 24 Pg 81 Lots 21 + 22</t>
  </si>
  <si>
    <t xml:space="preserve">335 Kingston Rd </t>
  </si>
  <si>
    <t>Rex</t>
  </si>
  <si>
    <t xml:space="preserve">57580 125th St </t>
  </si>
  <si>
    <t>33825-9570</t>
  </si>
  <si>
    <t>Cape Coral Unit 84 Blk 5619 Pb 24 Pg 33 Lots 19 + 20</t>
  </si>
  <si>
    <t>Calle 105</t>
  </si>
  <si>
    <t>Cape Coral Unit 32 Blk 2155 Pb 16 Pg 13 Lots 25 + 26</t>
  </si>
  <si>
    <t xml:space="preserve">37 Haatzmaut St  Petach Tikva, IL 49222 </t>
  </si>
  <si>
    <t>Sicklerville</t>
  </si>
  <si>
    <t>PO Box 118</t>
  </si>
  <si>
    <t>Robert Buonocore</t>
  </si>
  <si>
    <t xml:space="preserve">89 Legallais St Channel Port Aux  Channel-Port-Aux-Basques, NL A0m 1C0 </t>
  </si>
  <si>
    <t>Joaquin Murieta</t>
  </si>
  <si>
    <t>Dennis &amp; Harriet Presky</t>
  </si>
  <si>
    <t xml:space="preserve">12300 SW 151st St #186 </t>
  </si>
  <si>
    <t>01-44-23-c2-02460.0590</t>
  </si>
  <si>
    <t xml:space="preserve">4408 Ramsey Blvd  Cape Coral, FL 33909 </t>
  </si>
  <si>
    <t>Glasgow</t>
  </si>
  <si>
    <t xml:space="preserve">1139 NE 5th Ave </t>
  </si>
  <si>
    <t>06-45-24-c4-00528.0550</t>
  </si>
  <si>
    <t>Cape Coral Unit 36 Pt.1 Blk.2505 Pb 23 Pg 92 Lots 1 + 2</t>
  </si>
  <si>
    <t>Lukas</t>
  </si>
  <si>
    <t xml:space="preserve">16 Alexandra Dr  Assonet, MA 02702-1722 </t>
  </si>
  <si>
    <t>33909-8406</t>
  </si>
  <si>
    <t xml:space="preserve">801 Vogiantzis Pkwy  Cape Coral, FL 33909 </t>
  </si>
  <si>
    <t xml:space="preserve">19513 SW 114th Pl  Miami, FL 33157-8159 </t>
  </si>
  <si>
    <t xml:space="preserve">13305 Whispering Oaks Dr  Fort Myers, FL 33905 </t>
  </si>
  <si>
    <t>16-44-26-05-00007.0550</t>
  </si>
  <si>
    <t>87144-2522</t>
  </si>
  <si>
    <t xml:space="preserve">3722 Teakwood St  Fort Myers, FL 33905 </t>
  </si>
  <si>
    <t>John &amp; Caroline Stegmann</t>
  </si>
  <si>
    <t>01-44-23-c3-02466.0070</t>
  </si>
  <si>
    <t xml:space="preserve">6132 Higgins Ave  Fort Myers, FL 33905 </t>
  </si>
  <si>
    <t>Huy</t>
  </si>
  <si>
    <t>20-43-24-c2-05657.0290</t>
  </si>
  <si>
    <t xml:space="preserve">1433 Weeping Willow Ct  Cape Coral, FL 33909 </t>
  </si>
  <si>
    <t xml:space="preserve">5246 Nautilus Dr </t>
  </si>
  <si>
    <t>Gall</t>
  </si>
  <si>
    <t>Income Trust</t>
  </si>
  <si>
    <t xml:space="preserve">5266 Cypress Trail Resort Cir  Fort Myers, FL 33905 </t>
  </si>
  <si>
    <t>25-43-23-c2-02330.0210</t>
  </si>
  <si>
    <t>Gladwin</t>
  </si>
  <si>
    <t xml:space="preserve">2810 NE 6th Ave </t>
  </si>
  <si>
    <t>Royal Lake</t>
  </si>
  <si>
    <t>33909-6891</t>
  </si>
  <si>
    <t>Rohini &amp; Khmraj Raghubans</t>
  </si>
  <si>
    <t>Acworth</t>
  </si>
  <si>
    <t xml:space="preserve">13534 SW 42nd Ter </t>
  </si>
  <si>
    <t>04074-8447</t>
  </si>
  <si>
    <t xml:space="preserve">200 Morse Plz  Fort Myers, FL 33905 </t>
  </si>
  <si>
    <t>Cypress Trail Rv Resort As Desc In Inst# 2013000212499 Lot 252</t>
  </si>
  <si>
    <t>Patricia Schumacher</t>
  </si>
  <si>
    <t>Robert Ludwig</t>
  </si>
  <si>
    <t xml:space="preserve">42 Brentwood Dr </t>
  </si>
  <si>
    <t xml:space="preserve">829 NE 10th St  Cape Coral, FL 33909 </t>
  </si>
  <si>
    <t xml:space="preserve">2305 NE 39th St  Cape Coral, FL 33909 </t>
  </si>
  <si>
    <t>Indialantic</t>
  </si>
  <si>
    <t xml:space="preserve">746 NE 7th Ave </t>
  </si>
  <si>
    <t>Sahagun</t>
  </si>
  <si>
    <t>James &amp; Estalena Frady</t>
  </si>
  <si>
    <t>Braudy</t>
  </si>
  <si>
    <t xml:space="preserve">3925 NE 19th Pl  Cape Coral, FL 33909 </t>
  </si>
  <si>
    <t xml:space="preserve">427 Kismet Pkwy E  Cape Coral, FL 33909 </t>
  </si>
  <si>
    <t>Sidney</t>
  </si>
  <si>
    <t>Westview</t>
  </si>
  <si>
    <t xml:space="preserve">632 NE 8th Ter  Cape Coral, FL 33909 </t>
  </si>
  <si>
    <t>Opal</t>
  </si>
  <si>
    <t>Antonio &amp; Maria Gonzalez</t>
  </si>
  <si>
    <t xml:space="preserve">1600 NE 37th St  Cape Coral, FL 33909 </t>
  </si>
  <si>
    <t>Cape Coral Unit 32 Blk.2128 Pb 16 Pg 10 Lots 1 + 2</t>
  </si>
  <si>
    <t>19-43-24-c1-05550.0300</t>
  </si>
  <si>
    <t>Wayne Jalbert</t>
  </si>
  <si>
    <t>Couvillon</t>
  </si>
  <si>
    <t xml:space="preserve">400 Eberline Rd  Mohawk, NY 13407-3713 </t>
  </si>
  <si>
    <t>93923-8751</t>
  </si>
  <si>
    <t>Edith Rothstein</t>
  </si>
  <si>
    <t>Marie-Line &amp; Marie Schraen</t>
  </si>
  <si>
    <t>36-43-23-c4-02487.0350</t>
  </si>
  <si>
    <t>Lehigh Acres Unit 2 Blk 9 Pb 26 Pg 4 Lot 4</t>
  </si>
  <si>
    <t>Mastic</t>
  </si>
  <si>
    <t>33909-4417</t>
  </si>
  <si>
    <t>Schock</t>
  </si>
  <si>
    <t xml:space="preserve">4840 Keely Ln </t>
  </si>
  <si>
    <t xml:space="preserve">5771 Cypress Woods Resort Dr  Fort Myers, FL 33905 </t>
  </si>
  <si>
    <t xml:space="preserve">4085 Rambler Ave  Saint Cloud, FL 34772-7916 </t>
  </si>
  <si>
    <t>Marlen</t>
  </si>
  <si>
    <t>Blue Ridge</t>
  </si>
  <si>
    <t>Lehigh Acres Unit 9 Blk 43 Pb 26 Pg 11 Lot 16</t>
  </si>
  <si>
    <t>Norabell</t>
  </si>
  <si>
    <t>07039-4308</t>
  </si>
  <si>
    <t>Howland</t>
  </si>
  <si>
    <t xml:space="preserve">1325 NE 19th Ter  Cape Coral, FL 33909 </t>
  </si>
  <si>
    <t>Yellow Court Dawn</t>
  </si>
  <si>
    <t>Coolidge Weaver</t>
  </si>
  <si>
    <t>Mcdaniel</t>
  </si>
  <si>
    <t>Ocean</t>
  </si>
  <si>
    <t>Indi Mohan &amp; Mahendra Ramgopal</t>
  </si>
  <si>
    <t>06-46-24-15-00000.4500</t>
  </si>
  <si>
    <t>May</t>
  </si>
  <si>
    <t xml:space="preserve">392 Patton Ave  Shirley, NY 11967-1530 </t>
  </si>
  <si>
    <t xml:space="preserve">1520 Crystal Lake Cir #10 </t>
  </si>
  <si>
    <t>33909-6809</t>
  </si>
  <si>
    <t xml:space="preserve">5308 Cypress Trail Resort Cir </t>
  </si>
  <si>
    <t xml:space="preserve">3744 Hyde Park Dr  Fort Myers, FL 33905 </t>
  </si>
  <si>
    <t>Snellville</t>
  </si>
  <si>
    <t xml:space="preserve">2328 NE 19th Pl </t>
  </si>
  <si>
    <t>33909-2221</t>
  </si>
  <si>
    <t>Exequiel</t>
  </si>
  <si>
    <t xml:space="preserve">1326 NE 2nd Pl </t>
  </si>
  <si>
    <t>the Crossings</t>
  </si>
  <si>
    <t>33904-4470</t>
  </si>
  <si>
    <t xml:space="preserve">14917 Martin Dr </t>
  </si>
  <si>
    <t xml:space="preserve">186 Holmes St </t>
  </si>
  <si>
    <t>Espey</t>
  </si>
  <si>
    <t>11203-2202</t>
  </si>
  <si>
    <t xml:space="preserve">4316 NE 24th Pl  Cape Coral, FL 33909 </t>
  </si>
  <si>
    <t>93065-8227</t>
  </si>
  <si>
    <t>31-43-24-c2-02125.0030</t>
  </si>
  <si>
    <t>Port Rowan</t>
  </si>
  <si>
    <t>Cape Coral Unit 87 Blk 5687 Pb 24 Pg 85 Lots 33 + 34</t>
  </si>
  <si>
    <t>Cape Coral Unit 85 Blk 5641 Pb 24 Pg 54 Lot 18</t>
  </si>
  <si>
    <t xml:space="preserve">106 NE 31st Ter </t>
  </si>
  <si>
    <t>C101</t>
  </si>
  <si>
    <t xml:space="preserve">12550 Watercress Ln </t>
  </si>
  <si>
    <t xml:space="preserve">400 Chopsey Hill Rd  Bridgeport, CT 06606-3804 </t>
  </si>
  <si>
    <t xml:space="preserve">2019 NE 28th St </t>
  </si>
  <si>
    <t>Tpke</t>
  </si>
  <si>
    <t xml:space="preserve">3651 Harold Ave  Fort Myers, FL 33901 </t>
  </si>
  <si>
    <t xml:space="preserve">314 NE 17th Pl </t>
  </si>
  <si>
    <t>North Wales</t>
  </si>
  <si>
    <t>Northville</t>
  </si>
  <si>
    <t>33028-1121</t>
  </si>
  <si>
    <t xml:space="preserve">23629 White Oak Forest Dr  Porter, TX 77365-5127 </t>
  </si>
  <si>
    <t xml:space="preserve">376 Mallard Dr </t>
  </si>
  <si>
    <t>Cape Coral Unit 21 Blk.636 Pb 13 Pg 158 Lots 20 + 21</t>
  </si>
  <si>
    <t>Cape Coral Unit 87 Blk 5688 Pb 24 Pb 82 Lots 48 + 49</t>
  </si>
  <si>
    <t xml:space="preserve">71 Coventry Rd </t>
  </si>
  <si>
    <t xml:space="preserve">391 Oasis Park Rd </t>
  </si>
  <si>
    <t>Suman</t>
  </si>
  <si>
    <t xml:space="preserve">1330 NE 19th Pl </t>
  </si>
  <si>
    <t>Fayon</t>
  </si>
  <si>
    <t xml:space="preserve">5142 Cypress Trail Resort Cir  Fort Myers, FL 33905 </t>
  </si>
  <si>
    <t xml:space="preserve">Po Box 2150 </t>
  </si>
  <si>
    <t>66206-2451</t>
  </si>
  <si>
    <t xml:space="preserve">1003 NE 13th Ave  Cape Coral, FL 33909 </t>
  </si>
  <si>
    <t>Lehigh Acres Unit 6 Blk 31 Pb 26 Pg 8 Lot 5</t>
  </si>
  <si>
    <t xml:space="preserve">516 NE 16th Ter  Cape Coral, FL 33909 </t>
  </si>
  <si>
    <t>Kevin &amp; Delynn Pauly</t>
  </si>
  <si>
    <t>Aldama</t>
  </si>
  <si>
    <t>36-44-23-c4-00879.0390</t>
  </si>
  <si>
    <t xml:space="preserve">20034 SW 123rd Dr  Miami, FL 33177-5209 </t>
  </si>
  <si>
    <t>33909-3297</t>
  </si>
  <si>
    <t xml:space="preserve">2420 NE 20th Pl </t>
  </si>
  <si>
    <t>Mccormick James &amp; Yvonne Tr</t>
  </si>
  <si>
    <t>36-43-23-c1-02519.0470</t>
  </si>
  <si>
    <t>31-43-24-c4-02107.0150</t>
  </si>
  <si>
    <t xml:space="preserve">584 Sherwood Oaks Rd </t>
  </si>
  <si>
    <t>Long James G &amp; Wilda S Tr</t>
  </si>
  <si>
    <t xml:space="preserve">1242 NE 40th Ter  Cape Coral, FL 33909 </t>
  </si>
  <si>
    <t>Petoskey</t>
  </si>
  <si>
    <t xml:space="preserve">4628 Nottoway Dr </t>
  </si>
  <si>
    <t xml:space="preserve">811 Stanley Ct </t>
  </si>
  <si>
    <t>Barbara Woods &amp; Myrtle Odlum</t>
  </si>
  <si>
    <t>12-44-23-c1-02408.0050</t>
  </si>
  <si>
    <t xml:space="preserve">4975 Sandra Bay Dr #103, Naples, FL 34109-2684 </t>
  </si>
  <si>
    <t>Founders</t>
  </si>
  <si>
    <t>Welsh</t>
  </si>
  <si>
    <t>03-44-26-11-00053.0070</t>
  </si>
  <si>
    <t>Oanh Nguyen &amp; Hung Duong</t>
  </si>
  <si>
    <t xml:space="preserve">1815 Andalusia Blvd </t>
  </si>
  <si>
    <t>32-43-24-c1-02184.0640</t>
  </si>
  <si>
    <t>Portieles</t>
  </si>
  <si>
    <t>Marie &amp; Dennis Baker</t>
  </si>
  <si>
    <t xml:space="preserve">5215 Pineland Daisy Trl  Fort Myers, FL 33905 </t>
  </si>
  <si>
    <t>36-43-23-c4-02146.0730</t>
  </si>
  <si>
    <t>18-43-24-c4-05579.0010</t>
  </si>
  <si>
    <t>11793-3030</t>
  </si>
  <si>
    <t>Meili</t>
  </si>
  <si>
    <t>17-43-24-c2-05804.0190</t>
  </si>
  <si>
    <t>Davey</t>
  </si>
  <si>
    <t xml:space="preserve">3204 NE 14th Ct  Cape Coral, FL 33909 </t>
  </si>
  <si>
    <t>Ft Myers Shores Unit 6 Blk 61 Pb 17 Pg 75 Lots 12 + 13</t>
  </si>
  <si>
    <t>For Barbara A Anderson Trust</t>
  </si>
  <si>
    <t>Rodolfo</t>
  </si>
  <si>
    <t>08-44-24-c3-01509.1020</t>
  </si>
  <si>
    <t>Cape Coral Unit 88 Blk 5815 Pb 24 Pg 139 Lots 3 + 4</t>
  </si>
  <si>
    <t>Cape Coral Unit 36 Blk 2344 Pb 16 Pg 121 Lots 24 + 25</t>
  </si>
  <si>
    <t xml:space="preserve">185 E 85th St 17j </t>
  </si>
  <si>
    <t>08046-3008</t>
  </si>
  <si>
    <t xml:space="preserve">2135 Lakeview Rd  Bellmore, NY 11710-4208 </t>
  </si>
  <si>
    <t xml:space="preserve">4940 E Paradise Dr  Scottsdale, AZ 85254-4649 </t>
  </si>
  <si>
    <t>Luis Farara &amp; Karen Santiago</t>
  </si>
  <si>
    <t>01-44-23-c3-02387.0660</t>
  </si>
  <si>
    <t xml:space="preserve">414 NE 23rd Pl </t>
  </si>
  <si>
    <t>22801-5733</t>
  </si>
  <si>
    <t xml:space="preserve">766 Symmes Rd  Hamilton, OH 45015-1960 </t>
  </si>
  <si>
    <t>Larrabee</t>
  </si>
  <si>
    <t xml:space="preserve">46 Jacaranda Pkwy E </t>
  </si>
  <si>
    <t xml:space="preserve">4 Boxwood Cir  Dracut, MA 01826-2759 </t>
  </si>
  <si>
    <t xml:space="preserve">122 Ramsdell Rd  Gray, ME 04039-9728 </t>
  </si>
  <si>
    <t>Cape Coral Unit 84 Blk 5565 Pb 24 Pg 37 Lots 64 + 65</t>
  </si>
  <si>
    <t xml:space="preserve">1306 NE 22nd Pl  Cape Coral, FL 33909 </t>
  </si>
  <si>
    <t>Cape Coral Unit 88 Blk 5798 Pb 24 Pg 131 Lots 10 + 11</t>
  </si>
  <si>
    <t xml:space="preserve">9801 SW 87th St  Miami, FL 33173-4060 </t>
  </si>
  <si>
    <t>May Seman</t>
  </si>
  <si>
    <t>06-44-24-c3-02065.0110</t>
  </si>
  <si>
    <t>For Barbara Weinberger Trust</t>
  </si>
  <si>
    <t>Eisen &amp; Elosia Alimario</t>
  </si>
  <si>
    <t>Ficus</t>
  </si>
  <si>
    <t>Lehigh Acres Unit 1 Blk 3 Pb 26 Pg 2 Lot 43</t>
  </si>
  <si>
    <t xml:space="preserve">1512 Everest Pkwy </t>
  </si>
  <si>
    <t xml:space="preserve">60-07 Calle 160 #8, Bogota, CO </t>
  </si>
  <si>
    <t xml:space="preserve">15344 NW 1st St  Pembroke Pines, FL 33028-1867 </t>
  </si>
  <si>
    <t>Ira Financial &amp; Boyhan Boyhan</t>
  </si>
  <si>
    <t>31-43-24-c1-02147.0270</t>
  </si>
  <si>
    <t>17-43-24-c1-05778.0210</t>
  </si>
  <si>
    <t xml:space="preserve">16443 95th St  Howard Beach, NY 11414-3705 </t>
  </si>
  <si>
    <t xml:space="preserve">1205 Haddington Way  Wesley Chapel, FL 33543-3941 </t>
  </si>
  <si>
    <t>Cape Coral Unit 84 Blk 5591 Pb 24 Pg 41 Lots 7 + 8</t>
  </si>
  <si>
    <t xml:space="preserve">1815 NE 28th St  Cape Coral, FL 33909 </t>
  </si>
  <si>
    <t>Miyatake</t>
  </si>
  <si>
    <t xml:space="preserve">32 Mansfield Dr  Brick, NJ 08724-4902 </t>
  </si>
  <si>
    <t>For Boring Trust</t>
  </si>
  <si>
    <t xml:space="preserve">24 NE 19th Ct </t>
  </si>
  <si>
    <t xml:space="preserve">4224 Sherwood Ct </t>
  </si>
  <si>
    <t xml:space="preserve">11835 Cannon Rd </t>
  </si>
  <si>
    <t xml:space="preserve">1021 Lucerne Pkwy </t>
  </si>
  <si>
    <t>Lionel &amp; Anita Vargas</t>
  </si>
  <si>
    <t>Harmony</t>
  </si>
  <si>
    <t>33904-3557</t>
  </si>
  <si>
    <t xml:space="preserve">265 Stockton St </t>
  </si>
  <si>
    <t xml:space="preserve">3901 Meadowlands St  Las Vegas, NV 89129-8210 </t>
  </si>
  <si>
    <t xml:space="preserve">54 Delaney Dr </t>
  </si>
  <si>
    <t>33909-4466</t>
  </si>
  <si>
    <t xml:space="preserve">4239 E Gator Cir </t>
  </si>
  <si>
    <t xml:space="preserve">296 Lafayette Ave  Cliffside Park, NJ 07010-2505 </t>
  </si>
  <si>
    <t>Lasano</t>
  </si>
  <si>
    <t>Hitchcock</t>
  </si>
  <si>
    <t xml:space="preserve">1306 NE 10th Ave </t>
  </si>
  <si>
    <t>Rusten</t>
  </si>
  <si>
    <t>33905-8608</t>
  </si>
  <si>
    <t xml:space="preserve">10449 Nightwood Dr </t>
  </si>
  <si>
    <t>Nedra</t>
  </si>
  <si>
    <t xml:space="preserve">3487 Celestial Way </t>
  </si>
  <si>
    <t xml:space="preserve">3 Dogwood Dr  East Hampton, NY 11937-1411 </t>
  </si>
  <si>
    <t xml:space="preserve">2527 NE 7th Ave </t>
  </si>
  <si>
    <t>Nervy Martinez</t>
  </si>
  <si>
    <t>Fairhaven</t>
  </si>
  <si>
    <t>Zaida</t>
  </si>
  <si>
    <t xml:space="preserve">227 Holly Ave </t>
  </si>
  <si>
    <t xml:space="preserve">10341 SW 136th St  Miami, FL 33176-6656 </t>
  </si>
  <si>
    <t>72842-8847</t>
  </si>
  <si>
    <t xml:space="preserve">3045 Port Royal Dr </t>
  </si>
  <si>
    <t>32-45-24-02-0000c.0080</t>
  </si>
  <si>
    <t>25-43-23-c4-02305.0690</t>
  </si>
  <si>
    <t>Cape Coral Ut 87 Blk 5750 Pb 24 Pg 68 Lots 17 + 18</t>
  </si>
  <si>
    <t>Carl</t>
  </si>
  <si>
    <t xml:space="preserve">104 NE 25th St  Cape Coral, FL 33909 </t>
  </si>
  <si>
    <t xml:space="preserve">3 Vito Ct </t>
  </si>
  <si>
    <t>Williamsburg</t>
  </si>
  <si>
    <t>Arth</t>
  </si>
  <si>
    <t xml:space="preserve">3824 Kittyhawk Dr </t>
  </si>
  <si>
    <t>Brantley Oaks</t>
  </si>
  <si>
    <t>03-44-26-08-00038.0090</t>
  </si>
  <si>
    <t xml:space="preserve">3007 18th St </t>
  </si>
  <si>
    <t xml:space="preserve">3627 W Gator Cir  Cape Coral, FL 33909 </t>
  </si>
  <si>
    <t>Shakespeare</t>
  </si>
  <si>
    <t>Richard Bennetti</t>
  </si>
  <si>
    <t>Beverly Nortz</t>
  </si>
  <si>
    <t xml:space="preserve">4231 Colden St #163 </t>
  </si>
  <si>
    <t xml:space="preserve">4530 Eagle Falls Pl  Tampa, FL 33619-9611 </t>
  </si>
  <si>
    <t xml:space="preserve">10303 Prairie Iris Dr </t>
  </si>
  <si>
    <t xml:space="preserve">2028 NE 13th Ave  Cape Coral, FL 33909 </t>
  </si>
  <si>
    <t>Han</t>
  </si>
  <si>
    <t>03-44-26-02-00009.0010</t>
  </si>
  <si>
    <t>Christian Dubois</t>
  </si>
  <si>
    <t>20-44-26-05-00025.0020</t>
  </si>
  <si>
    <t>American &amp; Mesahchai Freeman</t>
  </si>
  <si>
    <t>Sean Silva</t>
  </si>
  <si>
    <t>08226-3626</t>
  </si>
  <si>
    <t>Martin Hills</t>
  </si>
  <si>
    <t>62839-3801</t>
  </si>
  <si>
    <t>Stotts</t>
  </si>
  <si>
    <t>PO Box 402</t>
  </si>
  <si>
    <t>Las Nueces</t>
  </si>
  <si>
    <t>Cape Coral Unit 36 Blk 2512 Pb 23 Pg 88 Lots 13 + 14</t>
  </si>
  <si>
    <t>T5G 3J2</t>
  </si>
  <si>
    <t xml:space="preserve">2301 Laguna Cir #1506 </t>
  </si>
  <si>
    <t xml:space="preserve">1401 NE 13th Ter  Cape Coral, FL 33909 </t>
  </si>
  <si>
    <t>Aram</t>
  </si>
  <si>
    <t>Cape Coral Unit 36 Pt 1 Blk 2509 Pb 23 Pg 93 Lots 46 + 47</t>
  </si>
  <si>
    <t>University</t>
  </si>
  <si>
    <t>Cape Coral Unit 87 Blk 5701 Pb 24 Pg 74 Lots 39 + 40</t>
  </si>
  <si>
    <t>Loda</t>
  </si>
  <si>
    <t>216th</t>
  </si>
  <si>
    <t>Evans</t>
  </si>
  <si>
    <t>Cypress Woods Rv Resort Unit 4 Pb 79 Pgs 68-71 Blk D Lot 46</t>
  </si>
  <si>
    <t>Yarmouth</t>
  </si>
  <si>
    <t>03-44-26-08-00037.0040</t>
  </si>
  <si>
    <t xml:space="preserve">1723 NE 36th Ln  Cape Coral, FL 33909 </t>
  </si>
  <si>
    <t>33440-2916</t>
  </si>
  <si>
    <t xml:space="preserve">1226 NE 14th Ave  Cape Coral, FL 33909 </t>
  </si>
  <si>
    <t>Hardy</t>
  </si>
  <si>
    <t>Gabriel Gonzalez</t>
  </si>
  <si>
    <t xml:space="preserve">2616 NE 7th Pl </t>
  </si>
  <si>
    <t xml:space="preserve">1910 Bexley Ln </t>
  </si>
  <si>
    <t>33909-3243</t>
  </si>
  <si>
    <t>Miguel &amp; Claudia Castellanos</t>
  </si>
  <si>
    <t xml:space="preserve">2992 Welsh Rd  Philadelphia, PA 19152-2121 </t>
  </si>
  <si>
    <t xml:space="preserve">3836 Highlight St </t>
  </si>
  <si>
    <t>37122-4513</t>
  </si>
  <si>
    <t xml:space="preserve">8027 Altavan Ave </t>
  </si>
  <si>
    <t>Cape Coral Unit 31 Blk 2045 Pb 14 Pg 154 Lots 26 + 27</t>
  </si>
  <si>
    <t>20-43-24-c1-05650.0270</t>
  </si>
  <si>
    <t>Blondet</t>
  </si>
  <si>
    <t>Lallave</t>
  </si>
  <si>
    <t>01-45-23-c3-00479.0040</t>
  </si>
  <si>
    <t>11-44-25-09-00000.2060</t>
  </si>
  <si>
    <t>St Vith Schoenberg</t>
  </si>
  <si>
    <t>07-44-24-c3-01488.0250</t>
  </si>
  <si>
    <t>Cape Coral Unit 32 Blk 2147 Pb 16 Pg 8 Lots 33 + 34</t>
  </si>
  <si>
    <t>11f</t>
  </si>
  <si>
    <t>Calgary</t>
  </si>
  <si>
    <t xml:space="preserve">1405 NE 33rd Ln </t>
  </si>
  <si>
    <t xml:space="preserve">240 Hampden Pl </t>
  </si>
  <si>
    <t>Pl</t>
  </si>
  <si>
    <t>33908-8258</t>
  </si>
  <si>
    <t>25-43-23-c2-02339.0430</t>
  </si>
  <si>
    <t xml:space="preserve">873 Ivory Rd SE  Rio Rancho, NM 87124-3009 </t>
  </si>
  <si>
    <t>36-43-23-c4-02513.0200</t>
  </si>
  <si>
    <t xml:space="preserve">4039 Jewell St  San Diego, CA 92109-6046 </t>
  </si>
  <si>
    <t xml:space="preserve">2502 NE 19th Pl </t>
  </si>
  <si>
    <t xml:space="preserve">1513 NE 15th Ter </t>
  </si>
  <si>
    <t xml:space="preserve">PO Box 710  Avoca, IA 51521 </t>
  </si>
  <si>
    <t>Trevor &amp; Opal Pitter</t>
  </si>
  <si>
    <t xml:space="preserve">2600 NE Juanita Pl </t>
  </si>
  <si>
    <t xml:space="preserve">9180 Gallena St  Naples, FL 34109 </t>
  </si>
  <si>
    <t xml:space="preserve">3980 N Boston Rd </t>
  </si>
  <si>
    <t xml:space="preserve">1524 NE 35th Ln </t>
  </si>
  <si>
    <t>33909-7374</t>
  </si>
  <si>
    <t>Tuscany Park</t>
  </si>
  <si>
    <t xml:space="preserve">2915 N Jerusalem Rd </t>
  </si>
  <si>
    <t>Mcanulty</t>
  </si>
  <si>
    <t>Edward &amp; Mari-Ynn Obrien</t>
  </si>
  <si>
    <t xml:space="preserve">Po Box Hm35 </t>
  </si>
  <si>
    <t>Cape Coral Unit 31 Part 2 Blk.2031 Pb 23 Pg 7 Lots 26 + 27</t>
  </si>
  <si>
    <t xml:space="preserve">694 Muscogee Dr  North Fort Myers, FL 33903 </t>
  </si>
  <si>
    <t>07002-2216</t>
  </si>
  <si>
    <t>11-44-25-05-0000c.0780</t>
  </si>
  <si>
    <t>08-44-25-p3-04800.0500</t>
  </si>
  <si>
    <t>Cape Coral Unit 87 Blk 5739 Pb 24 Pg 77 Lots 13 + 14</t>
  </si>
  <si>
    <t xml:space="preserve">326 NE 25th St </t>
  </si>
  <si>
    <t>Parkland</t>
  </si>
  <si>
    <t>31-43-24-c4-02142.0050</t>
  </si>
  <si>
    <t>James &amp; Philip Mcmanus</t>
  </si>
  <si>
    <t xml:space="preserve">6040 Houston Ave  Fort Myers, FL 33905 </t>
  </si>
  <si>
    <t>06810-8262</t>
  </si>
  <si>
    <t xml:space="preserve">6015 Stratton Rd </t>
  </si>
  <si>
    <t xml:space="preserve">1330 NE 12th Pl </t>
  </si>
  <si>
    <t>Cape Coral Unit 36 Blk 2317 Pb 16 Pg 126 Lots 21 + 22</t>
  </si>
  <si>
    <t xml:space="preserve">2309 NE 33rd Ln  Cape Coral, FL 33909 </t>
  </si>
  <si>
    <t>Baker</t>
  </si>
  <si>
    <t xml:space="preserve">1400 Kismet Pkwy E </t>
  </si>
  <si>
    <t>Coupland</t>
  </si>
  <si>
    <t>Lehigh Acres W 1/2 Unit 10 Blk 48 Pb 26 Pg 12 Lot 22</t>
  </si>
  <si>
    <t>Irwin</t>
  </si>
  <si>
    <t>Reseda</t>
  </si>
  <si>
    <t xml:space="preserve">2200 NE 15th Ave </t>
  </si>
  <si>
    <t>33314-3320</t>
  </si>
  <si>
    <t>Rocio</t>
  </si>
  <si>
    <t>Gregory Duarte</t>
  </si>
  <si>
    <t>32-43-24-c1-02181.0500</t>
  </si>
  <si>
    <t>Cape Coral Unit 87 Blk 5744 Pb 24 Pg 70 Lots 19 + 20</t>
  </si>
  <si>
    <t>Tyagi</t>
  </si>
  <si>
    <t>Cape Coral Unit 84 Blk 5621 Pb 24 Pg 34 Lots 3 + 4</t>
  </si>
  <si>
    <t>Puerta</t>
  </si>
  <si>
    <t>Robert &amp; Barbara Bullock</t>
  </si>
  <si>
    <t>19-43-24-c2-05605.0110</t>
  </si>
  <si>
    <t>Testa</t>
  </si>
  <si>
    <t xml:space="preserve">14161 Cherrydale St  Fort Myers, FL 33905 </t>
  </si>
  <si>
    <t>33904-3503</t>
  </si>
  <si>
    <t xml:space="preserve">351 NE 19th Ter  Cape Coral, FL 33909 </t>
  </si>
  <si>
    <t xml:space="preserve">329 NE 13th St </t>
  </si>
  <si>
    <t>Cape Coral Unit 85 Blk 5663 Pb 24 Pg 58 Lot 46</t>
  </si>
  <si>
    <t>Tien Dang &amp; Thuong Nguyen</t>
  </si>
  <si>
    <t>16-44-26-06-00015.0170</t>
  </si>
  <si>
    <t>33909-4412</t>
  </si>
  <si>
    <t>Buckingham Pk Re Blk B U-3 Blk 13 Pb 27 Pg 190 Lot 58</t>
  </si>
  <si>
    <t>18-43-24-c4-05680.0140</t>
  </si>
  <si>
    <t>31-43-24-c3-02119.0130</t>
  </si>
  <si>
    <t>Marie-Agn</t>
  </si>
  <si>
    <t xml:space="preserve">417 NE 19th Ter </t>
  </si>
  <si>
    <t>17-43-24-c2-05815.0310</t>
  </si>
  <si>
    <t>95658-9715</t>
  </si>
  <si>
    <t xml:space="preserve">342 NE 20th St  Cape Coral, FL 33909 </t>
  </si>
  <si>
    <t>92530-2023</t>
  </si>
  <si>
    <t xml:space="preserve">5 State St #1, Worcester, MA 01609-2893 </t>
  </si>
  <si>
    <t>33909-1646</t>
  </si>
  <si>
    <t xml:space="preserve">4237 NE 23rd Pl  Cape Coral, FL 33909 </t>
  </si>
  <si>
    <t>Rww Family Trust</t>
  </si>
  <si>
    <t>03-44-26-07-00033.0160</t>
  </si>
  <si>
    <t>Licata</t>
  </si>
  <si>
    <t>06-44-24-c1-02077.0150</t>
  </si>
  <si>
    <t>River By Pb 11 Pg 16 Lot 1</t>
  </si>
  <si>
    <t xml:space="preserve">506 Jacaranda Pkwy E  Cape Coral, FL 33909 </t>
  </si>
  <si>
    <t>05-44-24-c1-03529.0390</t>
  </si>
  <si>
    <t xml:space="preserve">6755 SW 54th St  Miami, FL 33155-5717 </t>
  </si>
  <si>
    <t>Siu</t>
  </si>
  <si>
    <t>11731-2527</t>
  </si>
  <si>
    <t xml:space="preserve">2440 Cambridge Dr </t>
  </si>
  <si>
    <t xml:space="preserve">1015 NE 34th Ter  Cape Coral, FL 33909 </t>
  </si>
  <si>
    <t>33909-6151</t>
  </si>
  <si>
    <t xml:space="preserve">3401 NE 8th Pl </t>
  </si>
  <si>
    <t>George Bukhin</t>
  </si>
  <si>
    <t>Doti Kimberly Ann Tr</t>
  </si>
  <si>
    <t xml:space="preserve">933 Spring Oak Dr </t>
  </si>
  <si>
    <t>Paradise Shores Unit 2 Pb 11 Pg 49 Lot 5</t>
  </si>
  <si>
    <t xml:space="preserve">1609 NE 2nd Pl  Cape Coral, FL 33909 </t>
  </si>
  <si>
    <t xml:space="preserve">20 Brady Ln  Bloomfield Hills, MI 48304-2802 </t>
  </si>
  <si>
    <t>31-43-24-c1-02170.0310</t>
  </si>
  <si>
    <t>Whitewood</t>
  </si>
  <si>
    <t xml:space="preserve">6112 Laurelwood Dr </t>
  </si>
  <si>
    <t>PO Box 255</t>
  </si>
  <si>
    <t>33909-8832</t>
  </si>
  <si>
    <t xml:space="preserve">2732 NE 6th Ave  Cape Coral, FL 33909 </t>
  </si>
  <si>
    <t>48316-5114</t>
  </si>
  <si>
    <t>Demaris</t>
  </si>
  <si>
    <t xml:space="preserve">2180 S Wolf Rd </t>
  </si>
  <si>
    <t>25-43-23-c1-02321.0290</t>
  </si>
  <si>
    <t>Quester</t>
  </si>
  <si>
    <t>Cape Coral Unit 36 Blk 2533 Pb 16 Pg 117 Lots 9 Thru 11</t>
  </si>
  <si>
    <t>Rue Chasselas</t>
  </si>
  <si>
    <t xml:space="preserve">31 Via Palermo </t>
  </si>
  <si>
    <t>Panayotis Tsakiris</t>
  </si>
  <si>
    <t xml:space="preserve">3031 Tuscany Park Dr </t>
  </si>
  <si>
    <t>Woodstock</t>
  </si>
  <si>
    <t xml:space="preserve">12901 SW 64th Ct  Pinecrest, FL 33156-7026 </t>
  </si>
  <si>
    <t>Cape Coral Unit 34 Blk 2462 Pb 16 Pg 86 Lots 3 + 4</t>
  </si>
  <si>
    <t>Merys</t>
  </si>
  <si>
    <t>32-43-24-c1-02182.0300</t>
  </si>
  <si>
    <t xml:space="preserve">1900 Arkell Rd </t>
  </si>
  <si>
    <t xml:space="preserve">2416 NE 23rd Pl  Cape Coral, FL 33909 </t>
  </si>
  <si>
    <t xml:space="preserve">1109 NE 32nd Ter </t>
  </si>
  <si>
    <t>10024-6556</t>
  </si>
  <si>
    <t xml:space="preserve">10526 Steinkamp Rd SE </t>
  </si>
  <si>
    <t>Giovanny</t>
  </si>
  <si>
    <t>Whetmore</t>
  </si>
  <si>
    <t>Cape Coral Unit 26 Blk.873 Pb 14 Pg 132 Lots 61 + 62</t>
  </si>
  <si>
    <t>Doris Rodriguez</t>
  </si>
  <si>
    <t xml:space="preserve">1300 Poitras Dr  Vero Beach, FL 32963-2300 </t>
  </si>
  <si>
    <t xml:space="preserve">3008 SE 11th Pl </t>
  </si>
  <si>
    <t xml:space="preserve">4413 NE 21st Ct </t>
  </si>
  <si>
    <t>60025-6900</t>
  </si>
  <si>
    <t xml:space="preserve">4435 W Torino Ave  Las Vegas, NV 89139-7603 </t>
  </si>
  <si>
    <t xml:space="preserve">2189 Calgary Ln </t>
  </si>
  <si>
    <t>19977-1600</t>
  </si>
  <si>
    <t>Soleau Gary J &amp; Linda M Tr</t>
  </si>
  <si>
    <t xml:space="preserve">1950 Iris Ln </t>
  </si>
  <si>
    <t xml:space="preserve">5640 Cypress Woods Resort Dr </t>
  </si>
  <si>
    <t>27th</t>
  </si>
  <si>
    <t>06-44-24-c3-02059.0270</t>
  </si>
  <si>
    <t xml:space="preserve">2838 210th St </t>
  </si>
  <si>
    <t xml:space="preserve">4464 Walter St </t>
  </si>
  <si>
    <t>11-44-25-06-0000d.0520</t>
  </si>
  <si>
    <t>Michael Maniscolco</t>
  </si>
  <si>
    <t xml:space="preserve">5783 Burrwood Ct  Fort Myers, FL 33905 </t>
  </si>
  <si>
    <t>Bhurasingh</t>
  </si>
  <si>
    <t xml:space="preserve">2208 Isle Of Pines Ave </t>
  </si>
  <si>
    <t xml:space="preserve">1501 S Gator Cir </t>
  </si>
  <si>
    <t>H4Z 0A5</t>
  </si>
  <si>
    <t xml:space="preserve">1425 NE 5th Pl  Cape Coral, FL 33909 </t>
  </si>
  <si>
    <t>Amores</t>
  </si>
  <si>
    <t xml:space="preserve">2103 NE 40th Ter  Cape Coral, FL 33909 </t>
  </si>
  <si>
    <t xml:space="preserve">1229 NE 4th Pl  Cape Coral, FL 33909 </t>
  </si>
  <si>
    <t>Cape Coral Unit 33 Blk 2264 Pb 16 Pg 59 Lots 9 + 10</t>
  </si>
  <si>
    <t xml:space="preserve">110 Littlewood Dr </t>
  </si>
  <si>
    <t>John &amp; Mercedes Bird</t>
  </si>
  <si>
    <t>10466-1403</t>
  </si>
  <si>
    <t xml:space="preserve">2138 NE 20th Ter  Cape Coral, FL 33909 </t>
  </si>
  <si>
    <t>John Mcdonald</t>
  </si>
  <si>
    <t xml:space="preserve">1803 N Gator Cir  Cape Coral, FL 33909 </t>
  </si>
  <si>
    <t>33184-1408</t>
  </si>
  <si>
    <t xml:space="preserve">6 Freiligrathstr </t>
  </si>
  <si>
    <t>01-44-23-c3-02465.0810</t>
  </si>
  <si>
    <t xml:space="preserve">50380 State Highway 68  Lake Crystal, MN 56055-2416 </t>
  </si>
  <si>
    <t xml:space="preserve">5854 Burrwood Ct </t>
  </si>
  <si>
    <t>31-43-24-c2-02153.0290</t>
  </si>
  <si>
    <t>Forest Bay</t>
  </si>
  <si>
    <t xml:space="preserve">6640 Locust Way </t>
  </si>
  <si>
    <t>19154-1925</t>
  </si>
  <si>
    <t>33909-7320</t>
  </si>
  <si>
    <t>32-43-24-c1-02183.0100</t>
  </si>
  <si>
    <t>Zinna</t>
  </si>
  <si>
    <t>Lehigh Acres Unit 3 Blk 13 Pb 26 Pg 5 Lot 31</t>
  </si>
  <si>
    <t>Norco</t>
  </si>
  <si>
    <t>Kenia</t>
  </si>
  <si>
    <t>33909-1107</t>
  </si>
  <si>
    <t xml:space="preserve">127 NE 23rd Ter  Cape Coral, FL 33909 </t>
  </si>
  <si>
    <t>Cape Coral Unit 47 Part 2 Blk.3517 Pb 23 Pg 122 Lots 1 + 2</t>
  </si>
  <si>
    <t>Eugene Eydlin</t>
  </si>
  <si>
    <t>Nova</t>
  </si>
  <si>
    <t>Makakilo</t>
  </si>
  <si>
    <t xml:space="preserve">4840 Goebel Rd </t>
  </si>
  <si>
    <t>Ann Birnberg</t>
  </si>
  <si>
    <t xml:space="preserve">3024 W Cavalry Dr </t>
  </si>
  <si>
    <t xml:space="preserve">1722 NE 1st Pl  Cape Coral, FL 33909 </t>
  </si>
  <si>
    <t>33909-4265</t>
  </si>
  <si>
    <t>Rivera</t>
  </si>
  <si>
    <t>55934-2107</t>
  </si>
  <si>
    <t>Ginger</t>
  </si>
  <si>
    <t>Nesley</t>
  </si>
  <si>
    <t xml:space="preserve">2359 NE 43rd Ln </t>
  </si>
  <si>
    <t xml:space="preserve">4209 47th Ave 6e </t>
  </si>
  <si>
    <t xml:space="preserve">214 NE 15th Ter  Cape Coral, FL 33909 </t>
  </si>
  <si>
    <t>Avello</t>
  </si>
  <si>
    <t>Cape Coral Unit 36 Blk 2317 Pb 16 Pg 126 Lots 33 &amp; 34</t>
  </si>
  <si>
    <t xml:space="preserve">37 NE 27th Ter  Cape Coral, FL 33909 </t>
  </si>
  <si>
    <t>83616-5884</t>
  </si>
  <si>
    <t xml:space="preserve">462 Mahogany Rd </t>
  </si>
  <si>
    <t xml:space="preserve">19 Via Socrate Sardelli  Ixonia, WI 53036 </t>
  </si>
  <si>
    <t xml:space="preserve">2614 NE 1st Ave </t>
  </si>
  <si>
    <t>Cui</t>
  </si>
  <si>
    <t>30-43-26-02-00021.0070</t>
  </si>
  <si>
    <t>Luciani</t>
  </si>
  <si>
    <t>Cape Coral Unit 36 Blk 2310 Pb 16 Pg 120 Lots 21 + 22</t>
  </si>
  <si>
    <t xml:space="preserve">2130 Andalusia Blvd </t>
  </si>
  <si>
    <t>Elizabeth Godoy</t>
  </si>
  <si>
    <t>Reza &amp; Patricia Moradi</t>
  </si>
  <si>
    <t xml:space="preserve">1509 NE 18th Ave  Cape Coral, FL 33909 </t>
  </si>
  <si>
    <t xml:space="preserve">4 Old Mill Rd </t>
  </si>
  <si>
    <t>Cape Coral Unit 32 Blk 2161 Pb 16 Pg 11 Lots 23 + 24</t>
  </si>
  <si>
    <t>Bp</t>
  </si>
  <si>
    <t xml:space="preserve">19513 SW 114th Pl </t>
  </si>
  <si>
    <t xml:space="preserve">24 NE 23rd Ter </t>
  </si>
  <si>
    <t>Cape Coral Unit 34 Blk 2454 Pb 16 Pg 86 Lot 17 + 18</t>
  </si>
  <si>
    <t xml:space="preserve">14637 SW 159th Ct  Miami, FL 33196-5755 </t>
  </si>
  <si>
    <t>33904-7487</t>
  </si>
  <si>
    <t>33909-4750</t>
  </si>
  <si>
    <t>Saeid</t>
  </si>
  <si>
    <t>Juana</t>
  </si>
  <si>
    <t xml:space="preserve">3285 E Ruby Hill Dr  Pleasanton, CA 94566-2128 </t>
  </si>
  <si>
    <t xml:space="preserve">1000 SW 12th St  Miami, FL 33129-1825 </t>
  </si>
  <si>
    <t>36-43-23-c1-02520.0560</t>
  </si>
  <si>
    <t>Tinton Falls</t>
  </si>
  <si>
    <t xml:space="preserve">15 Chemin Ancien D Aix </t>
  </si>
  <si>
    <t xml:space="preserve">7301 Santa Fe Pkwy  Atlanta, GA 30350-6832 </t>
  </si>
  <si>
    <t>Water</t>
  </si>
  <si>
    <t xml:space="preserve">7835 Young Ave NE  Rockford, MI 49341-9630 </t>
  </si>
  <si>
    <t xml:space="preserve">5736 Brightwood Dr </t>
  </si>
  <si>
    <t>PO Box 201</t>
  </si>
  <si>
    <t xml:space="preserve">Rte Des Monts-Delauaux 70 </t>
  </si>
  <si>
    <t>03-44-26-09-00043.0060</t>
  </si>
  <si>
    <t>33173-3479</t>
  </si>
  <si>
    <t>Cape Coral Unit 36 Blk 2347 Pb 16 Pg 130 Lot 21 + Lot 70 Blk 2346</t>
  </si>
  <si>
    <t xml:space="preserve">14240 Chancellor St </t>
  </si>
  <si>
    <t>Turner-Fernandez</t>
  </si>
  <si>
    <t xml:space="preserve">2024 NE 18th St  Cape Coral, FL 33909 </t>
  </si>
  <si>
    <t xml:space="preserve">46 Brosnan Pl  Tuckahoe, NY 10707-1332 </t>
  </si>
  <si>
    <t>33905-8603</t>
  </si>
  <si>
    <t xml:space="preserve">2614 NE 3rd Ave </t>
  </si>
  <si>
    <t>33909-3042</t>
  </si>
  <si>
    <t>07-44-24-c3-01493.0280</t>
  </si>
  <si>
    <t>Prescott</t>
  </si>
  <si>
    <t>Ft Myers Sbrn Tr Frms No 2 Blk 4 Pb 6 Pg 47 Lot 5</t>
  </si>
  <si>
    <t xml:space="preserve">215 Short St  Lemont, IL 60439-4226 </t>
  </si>
  <si>
    <t xml:space="preserve">1819 NE 18th Pl  Cape Coral, FL 33909 </t>
  </si>
  <si>
    <t xml:space="preserve">50 3rd Ave  Scottdale, PA 15683-2107 </t>
  </si>
  <si>
    <t xml:space="preserve">79 Skyline Dr </t>
  </si>
  <si>
    <t xml:space="preserve">111 Regency Dr </t>
  </si>
  <si>
    <t>Rosenbaum</t>
  </si>
  <si>
    <t>Highvilla</t>
  </si>
  <si>
    <t>Cape Coral Unit 35 Blk 2376 Pb 16 Pg 103 Lots 17 + 18</t>
  </si>
  <si>
    <t>77077-5790</t>
  </si>
  <si>
    <t>Eugene &amp; Jeanne Siruk</t>
  </si>
  <si>
    <t>11428-1140</t>
  </si>
  <si>
    <t>Wangerman</t>
  </si>
  <si>
    <t>16-44-26-06-00012.0030</t>
  </si>
  <si>
    <t xml:space="preserve">2740 NE 7th Pl </t>
  </si>
  <si>
    <t>Burdette</t>
  </si>
  <si>
    <t>Thistle Ridge</t>
  </si>
  <si>
    <t>33909-8881</t>
  </si>
  <si>
    <t>Vela</t>
  </si>
  <si>
    <t>Pearlman</t>
  </si>
  <si>
    <t>80207-3121</t>
  </si>
  <si>
    <t>27455-2707</t>
  </si>
  <si>
    <t>18-43-24-c2-05734.0630</t>
  </si>
  <si>
    <t>11757-5462</t>
  </si>
  <si>
    <t xml:space="preserve">8427 107th St </t>
  </si>
  <si>
    <t>18-43-24-c3-05752.0030</t>
  </si>
  <si>
    <t>33175-3711</t>
  </si>
  <si>
    <t xml:space="preserve">5322 S Mccreedy Ave  Cudahy, WI 53110-2223 </t>
  </si>
  <si>
    <t xml:space="preserve">952 W 1150 S  Union Mills, IN 46382-9742 </t>
  </si>
  <si>
    <t>Cape Coral Unit 87 Blk 5721 Pb 24 Pg 80 Lot 27</t>
  </si>
  <si>
    <t xml:space="preserve">1013 NE 13th Pl </t>
  </si>
  <si>
    <t>Kyzer</t>
  </si>
  <si>
    <t>Pompano Beach</t>
  </si>
  <si>
    <t>Hoai</t>
  </si>
  <si>
    <t>11967-1530</t>
  </si>
  <si>
    <t xml:space="preserve">10361 Nightwood Dr </t>
  </si>
  <si>
    <t>David &amp; Amy Abraham</t>
  </si>
  <si>
    <t xml:space="preserve">Po Box 154 </t>
  </si>
  <si>
    <t>Sherrill</t>
  </si>
  <si>
    <t>Michael Duran</t>
  </si>
  <si>
    <t>Cape Coral Unit 36 Blk 2344 Pb 16 Pg 121 Lots 22 + 23</t>
  </si>
  <si>
    <t xml:space="preserve">33 NE 20th Ct </t>
  </si>
  <si>
    <t>Rosario &amp; Ann Roccaro</t>
  </si>
  <si>
    <t>Cape Coral Unit 32 Blk.2167 Pb 16 Pg 8 Lots 35 + 36</t>
  </si>
  <si>
    <t xml:space="preserve">1823 NE 22nd St  Cape Coral, FL 33909 </t>
  </si>
  <si>
    <t>K1G 4P3</t>
  </si>
  <si>
    <t xml:space="preserve">592 Van Buren St  Brooklyn, NY 11221-3705 </t>
  </si>
  <si>
    <t xml:space="preserve">7305 Fountain Ave  Tampa, FL 33634-3501 </t>
  </si>
  <si>
    <t>Jenniges</t>
  </si>
  <si>
    <t xml:space="preserve">14251 SW 106th Ter </t>
  </si>
  <si>
    <t xml:space="preserve">2034 Mount Vernon Dr </t>
  </si>
  <si>
    <t>Ruby</t>
  </si>
  <si>
    <t>07055-6104</t>
  </si>
  <si>
    <t>33909-6407</t>
  </si>
  <si>
    <t xml:space="preserve">5335 Bent Tree Forest Dr #120 </t>
  </si>
  <si>
    <t xml:space="preserve">3705 NE 11th Ave </t>
  </si>
  <si>
    <t xml:space="preserve">9 Edgewood Rd  Shrewsbury, MA 01545-5946 </t>
  </si>
  <si>
    <t>25-43-23-c1-02300.a480</t>
  </si>
  <si>
    <t>19-43-24-c2-05596.0210</t>
  </si>
  <si>
    <t xml:space="preserve">269 Lake Francis Rd </t>
  </si>
  <si>
    <t>34277-7035</t>
  </si>
  <si>
    <t>Shohola</t>
  </si>
  <si>
    <t>11-44-25-l1-13000.3100</t>
  </si>
  <si>
    <t>Randag</t>
  </si>
  <si>
    <t>06-44-24-c2-02081.0320</t>
  </si>
  <si>
    <t xml:space="preserve">4002 SE 12th Ave  Cape Coral, FL 33904 </t>
  </si>
  <si>
    <t xml:space="preserve">114 Handy Rd </t>
  </si>
  <si>
    <t>Mcentyre</t>
  </si>
  <si>
    <t xml:space="preserve">1126 SW 112th Way </t>
  </si>
  <si>
    <t>Cape Coral Unit 36 Blk 2532 Pb 16 Pg 117 Lots 1 + 2</t>
  </si>
  <si>
    <t>33909-4500</t>
  </si>
  <si>
    <t>33909-6118</t>
  </si>
  <si>
    <t xml:space="preserve">28501 Dino Cir  Chesterfield, MI 48047-4819 </t>
  </si>
  <si>
    <t xml:space="preserve">49 Ackerstrasse  Crothersville, IN 47229 </t>
  </si>
  <si>
    <t>Cape Coral Unit 11 Blk.570 Pb 13 Pg 48 Lots 35 + 36</t>
  </si>
  <si>
    <t>07304-3106</t>
  </si>
  <si>
    <t xml:space="preserve">8914 201st St </t>
  </si>
  <si>
    <t xml:space="preserve">1611 NE 36th Ln  Cape Coral, FL 33909 </t>
  </si>
  <si>
    <t>Cape Coral Unit 85 Blk 5637 Pb 24 Pg 50 Lot 50</t>
  </si>
  <si>
    <t>04-44-24-00-00014.0000</t>
  </si>
  <si>
    <t xml:space="preserve">29704 Byron Pl  Castaic, CA 91384-3806 </t>
  </si>
  <si>
    <t>Clewiston</t>
  </si>
  <si>
    <t>91340-1017</t>
  </si>
  <si>
    <t>16055-9227</t>
  </si>
  <si>
    <t>Ilene</t>
  </si>
  <si>
    <t xml:space="preserve">3429 Andalusia Blvd  Cape Coral, FL 33909 </t>
  </si>
  <si>
    <t>33909-4211</t>
  </si>
  <si>
    <t>Lewis</t>
  </si>
  <si>
    <t>Cypress Trail Rv Resort Phase 4-A As Desc In Inst# 20160000135610 Lot 388</t>
  </si>
  <si>
    <t xml:space="preserve">2111 Oxford Cir  Daphne, AL 36526-4266 </t>
  </si>
  <si>
    <t xml:space="preserve">2020 NE 18th St </t>
  </si>
  <si>
    <t xml:space="preserve">3719 Tareco St  Fort Myers, FL 33905 </t>
  </si>
  <si>
    <t xml:space="preserve">1330 NE 22nd Pl  Cape Coral, FL 33909 </t>
  </si>
  <si>
    <t>Hanson</t>
  </si>
  <si>
    <t>11550-5301</t>
  </si>
  <si>
    <t>11795-3513</t>
  </si>
  <si>
    <t>31-43-24-c2-02139.0280</t>
  </si>
  <si>
    <t>Mayfield Heights</t>
  </si>
  <si>
    <t xml:space="preserve">857 Wendy Ann Ct </t>
  </si>
  <si>
    <t xml:space="preserve">1918 NE 28th St </t>
  </si>
  <si>
    <t>Cape Coral Unit 87 Blk 5745 Pb 24 Pg 70 Lots 27 + 28</t>
  </si>
  <si>
    <t>Cape Coral Unit 84 Blk 5561 Pb 24 Pg 37 Lots 3 + 4</t>
  </si>
  <si>
    <t>Amin Vijaykumar S Tr</t>
  </si>
  <si>
    <t xml:space="preserve">114 Carriage Ln </t>
  </si>
  <si>
    <t>Brito</t>
  </si>
  <si>
    <t>Cape Coral Unit 7 Blk 364 Pb 12 Pg 109 Lots 14 14A 15</t>
  </si>
  <si>
    <t xml:space="preserve">128 NE 6th St  Cape Coral, FL 33909 </t>
  </si>
  <si>
    <t xml:space="preserve">5950 Maplewood Ct  Fort Myers, FL 33905 </t>
  </si>
  <si>
    <t>25-43-23-c3-02345.0200</t>
  </si>
  <si>
    <t>19-43-24-c2-05597.0010</t>
  </si>
  <si>
    <t>Cape Coral Unit 32 Blk 2143 Pb 16 Pg 3 Lot 1 + Lt 49 Blk 2144</t>
  </si>
  <si>
    <t xml:space="preserve">6670 NW 114th Ave #607 </t>
  </si>
  <si>
    <t>Cypress Trail Rv Resort Phase 2-A As Desc In Inst# 2014000026506 Lot 206</t>
  </si>
  <si>
    <t>Green Acres Blk F Pb 5 Pg 72 Lots 9 + 10</t>
  </si>
  <si>
    <t xml:space="preserve">820 Seaview Ave  Bridgeport, CT 06607-1637 </t>
  </si>
  <si>
    <t>33909-1930</t>
  </si>
  <si>
    <t>20-43-24-c2-05641.0480</t>
  </si>
  <si>
    <t xml:space="preserve">3934 NE 23rd Ave </t>
  </si>
  <si>
    <t>18-43-24-c4-05703.0290</t>
  </si>
  <si>
    <t xml:space="preserve">207 Seabrook Dr </t>
  </si>
  <si>
    <t>Cape Coral Unit 36 Blk 2535 Pb 16 Pg 118 Lots 24 + 25</t>
  </si>
  <si>
    <t>B036</t>
  </si>
  <si>
    <t xml:space="preserve">843 William Ave  Sudbury, ON P3a 3T1 </t>
  </si>
  <si>
    <t xml:space="preserve">3318 NE 9th Ave  Cape Coral, FL 33909 </t>
  </si>
  <si>
    <t xml:space="preserve">3742 NE 13th Ave </t>
  </si>
  <si>
    <t>Lehigh Acres Unit 11 Blk 55 Pb 26 Pb 14 Lot 3</t>
  </si>
  <si>
    <t>Wernik</t>
  </si>
  <si>
    <t>Moncton</t>
  </si>
  <si>
    <t>33021-2166</t>
  </si>
  <si>
    <t xml:space="preserve">Wildwood Ln </t>
  </si>
  <si>
    <t xml:space="preserve">Ta Doar #1826 </t>
  </si>
  <si>
    <t xml:space="preserve">132 NE 20th Ter  Cape Coral, FL 33909 </t>
  </si>
  <si>
    <t xml:space="preserve">8051 W Highway 318  Reddick, FL 32686-2670 </t>
  </si>
  <si>
    <t>Lela Taylor</t>
  </si>
  <si>
    <t xml:space="preserve">11780 Iona Rd </t>
  </si>
  <si>
    <t>Cape Coral Unit 33 Blk.2230 Pb 16 Pg 48 Lots 30 Thru 32</t>
  </si>
  <si>
    <t xml:space="preserve">1310 NE 3rd Ave </t>
  </si>
  <si>
    <t>Cape Coral Unit 36 Pt 1 Blk 2509 Pb 23 Pg 93 Lots 44 + 45</t>
  </si>
  <si>
    <t>Janet Passkiewicz &amp; Candace Jacobs</t>
  </si>
  <si>
    <t xml:space="preserve">31 Tenney Ln  Scarborough, ME 04074-7566 </t>
  </si>
  <si>
    <t>18-43-24-c1-05725.0230</t>
  </si>
  <si>
    <t>03-44-26-10-00047.0100</t>
  </si>
  <si>
    <t>Jan Van Puyenbroecklaan</t>
  </si>
  <si>
    <t>06-44-24-c1-02097.0240</t>
  </si>
  <si>
    <t>60660-3845</t>
  </si>
  <si>
    <t xml:space="preserve">2180 Friday Rd </t>
  </si>
  <si>
    <t>Ellingwood</t>
  </si>
  <si>
    <t>Yamile Martinez</t>
  </si>
  <si>
    <t xml:space="preserve">1224 NE 41st St </t>
  </si>
  <si>
    <t xml:space="preserve">1904 S Ocean Dr #803 </t>
  </si>
  <si>
    <t>Valencia</t>
  </si>
  <si>
    <t>33909-3380</t>
  </si>
  <si>
    <t xml:space="preserve">211 NE 15th Ter </t>
  </si>
  <si>
    <t xml:space="preserve">821 Jacaranda Pkwy E </t>
  </si>
  <si>
    <t xml:space="preserve">191 Royal Lake Dr  Ponte Vedra, FL 32081 </t>
  </si>
  <si>
    <t>Cape Coral Unit 32 Blk 2147 Pb 16 Pg 8 Lots 31 + 32</t>
  </si>
  <si>
    <t xml:space="preserve">4116 NE 10th Ave </t>
  </si>
  <si>
    <t xml:space="preserve">18125 SW 138th Ct  Miami, FL 33177-6450 </t>
  </si>
  <si>
    <t xml:space="preserve">2535 SW 119th Ter  Miramar, FL 33025-5605 </t>
  </si>
  <si>
    <t>Silvio</t>
  </si>
  <si>
    <t>33905-2728</t>
  </si>
  <si>
    <t xml:space="preserve">1003 NE 1st Ave  Cape Coral, FL 33909 </t>
  </si>
  <si>
    <t xml:space="preserve">6036 Lacota Ave  Fort Myers, FL 33905 </t>
  </si>
  <si>
    <t xml:space="preserve">109 N Defiance St </t>
  </si>
  <si>
    <t>11-44-25-06-0000d.0030</t>
  </si>
  <si>
    <t xml:space="preserve">134 Hagaman St </t>
  </si>
  <si>
    <t>R026</t>
  </si>
  <si>
    <t xml:space="preserve">19830 NW 77th Ct </t>
  </si>
  <si>
    <t>Sefkija Bajraktarevic</t>
  </si>
  <si>
    <t xml:space="preserve">3622 NE 21st Pl  Cape Coral, FL 33909 </t>
  </si>
  <si>
    <t>Katty</t>
  </si>
  <si>
    <t>Miami Gardens</t>
  </si>
  <si>
    <t>Fpo</t>
  </si>
  <si>
    <t xml:space="preserve">1254 NE 40th St  Cape Coral, FL 33909 </t>
  </si>
  <si>
    <t>Vars</t>
  </si>
  <si>
    <t xml:space="preserve">69 Goethestrasse </t>
  </si>
  <si>
    <t xml:space="preserve">2214 Pacific Ave </t>
  </si>
  <si>
    <t>Cape Coral Unit 36 Blk 2329 Pb 16 Pg 128 Lots 3 + 4</t>
  </si>
  <si>
    <t xml:space="preserve">71 Maverick Trl </t>
  </si>
  <si>
    <t xml:space="preserve">1005 NE 5th Pl  Cape Coral, FL 33909 </t>
  </si>
  <si>
    <t>13077-8341</t>
  </si>
  <si>
    <t>Giordano</t>
  </si>
  <si>
    <t xml:space="preserve">641 NE 5th Ave </t>
  </si>
  <si>
    <t>Oaklawn</t>
  </si>
  <si>
    <t>Jack</t>
  </si>
  <si>
    <t>Dieter Hartwig</t>
  </si>
  <si>
    <t>Buckingham Estates Desc Inst 2006-258275 Lot 59</t>
  </si>
  <si>
    <t>25-43-23-c2-02316.0190</t>
  </si>
  <si>
    <t xml:space="preserve">8472 Bellecombe Rue Loc, Laval, QC H7h 2Z9 </t>
  </si>
  <si>
    <t xml:space="preserve">1004 NE 1st Ave </t>
  </si>
  <si>
    <t>80219-3972</t>
  </si>
  <si>
    <t>36-44-23-c3-00861.0790</t>
  </si>
  <si>
    <t>25-43-23-c4-02294.0450</t>
  </si>
  <si>
    <t>Green Acres Blk G Pb 5 Pg 72 Lot 8</t>
  </si>
  <si>
    <t>18-43-24-c2-05737.0030</t>
  </si>
  <si>
    <t>B3M 4Y1</t>
  </si>
  <si>
    <t>Erftstadt</t>
  </si>
  <si>
    <t>34120-2047</t>
  </si>
  <si>
    <t>Cape Coral Unit 84 Blk 5566 Pb 24 Pg 38 Lots 27 + 28</t>
  </si>
  <si>
    <t>Fuentes</t>
  </si>
  <si>
    <t>Barwick</t>
  </si>
  <si>
    <t xml:space="preserve">7 Holiday Blvd  Center Moriches, NY 11934-2807 </t>
  </si>
  <si>
    <t>Marcus</t>
  </si>
  <si>
    <t>25-43-23-c4-02301.0010</t>
  </si>
  <si>
    <t>French Valley</t>
  </si>
  <si>
    <t>Cape Coral Unit 32 Blk 2144 Pb 16 Pg 2 Lots 31 + 32</t>
  </si>
  <si>
    <t xml:space="preserve">52 Oak Ave  Richmond Hill, ON L4c 6R7 </t>
  </si>
  <si>
    <t xml:space="preserve">415 Kismet Pkwy E </t>
  </si>
  <si>
    <t>Gouiran</t>
  </si>
  <si>
    <t>Gladys</t>
  </si>
  <si>
    <t>Tobon</t>
  </si>
  <si>
    <t>Alberts Marion J Tr</t>
  </si>
  <si>
    <t xml:space="preserve">3859 NW 77th Ave </t>
  </si>
  <si>
    <t xml:space="preserve">641 NE 5th Ave  Cape Coral, FL 33909 </t>
  </si>
  <si>
    <t>07980-1008</t>
  </si>
  <si>
    <t>NL</t>
  </si>
  <si>
    <t>Lisa &amp; Anthony Scoli</t>
  </si>
  <si>
    <t>10598-3731</t>
  </si>
  <si>
    <t xml:space="preserve">137 Cultural Park Blvd N </t>
  </si>
  <si>
    <t>05-44-24-c1-03530.0480</t>
  </si>
  <si>
    <t>36-43-23-c4-02506.0070</t>
  </si>
  <si>
    <t>Degomez</t>
  </si>
  <si>
    <t>11-44-25-08-00000.2660</t>
  </si>
  <si>
    <t>33909-6456</t>
  </si>
  <si>
    <t xml:space="preserve">129 Shomate Dr </t>
  </si>
  <si>
    <t>Gaymon</t>
  </si>
  <si>
    <t>Pamela King</t>
  </si>
  <si>
    <t>33182-1656</t>
  </si>
  <si>
    <t>Cypress Trail Rv Resort Phase 4-A As Desc In Inst# 20160000135610 Lot 334</t>
  </si>
  <si>
    <t>Arlington Pb 16 Pg 38-39 Lot 307</t>
  </si>
  <si>
    <t>Hodzic &amp; Nermin Hodzic</t>
  </si>
  <si>
    <t>Bad Soden 2</t>
  </si>
  <si>
    <t>25-43-23-c4-02355.0160</t>
  </si>
  <si>
    <t>Maria Jaramillo</t>
  </si>
  <si>
    <t>Country</t>
  </si>
  <si>
    <t xml:space="preserve">1111 Crandon Blvd A1002 </t>
  </si>
  <si>
    <t>Poplar</t>
  </si>
  <si>
    <t>19-43-24-c4-05560.0130</t>
  </si>
  <si>
    <t>03865-2789</t>
  </si>
  <si>
    <t>33901-8805</t>
  </si>
  <si>
    <t>Guardela</t>
  </si>
  <si>
    <t>Demartino</t>
  </si>
  <si>
    <t xml:space="preserve">180 Rainbow Dr #8026 </t>
  </si>
  <si>
    <t>Cape Coral Unit 32 Blk 2155 Pb 16 Pg 13 Lots 21 + 22</t>
  </si>
  <si>
    <t>33909-1783</t>
  </si>
  <si>
    <t>Monte Vista</t>
  </si>
  <si>
    <t>Maureen</t>
  </si>
  <si>
    <t xml:space="preserve">3537 NE 18th Ave </t>
  </si>
  <si>
    <t xml:space="preserve">1528 NE 13th Ave  Cape Coral, FL 33909 </t>
  </si>
  <si>
    <t>Gerola</t>
  </si>
  <si>
    <t xml:space="preserve">7 Melody Rd  Peabody, MA 01960-3202 </t>
  </si>
  <si>
    <t>18-43-24-c3-05746.0190</t>
  </si>
  <si>
    <t>Bakers</t>
  </si>
  <si>
    <t xml:space="preserve">1940 Kismet Pkwy E </t>
  </si>
  <si>
    <t>48609-5252</t>
  </si>
  <si>
    <t>Cape Coral Unit 39 Blk 2722 Pb 16 Pg 148 Lots 99 + 100</t>
  </si>
  <si>
    <t xml:space="preserve">48 Robin Ln </t>
  </si>
  <si>
    <t xml:space="preserve">13501 Torrey Way </t>
  </si>
  <si>
    <t>Stillwater</t>
  </si>
  <si>
    <t xml:space="preserve">3829 NE 23rd Ave  Cape Coral, FL 33909 </t>
  </si>
  <si>
    <t>03-44-26-11-00057.0060</t>
  </si>
  <si>
    <t xml:space="preserve">108 Bailey Ln  Benton, IL 62812-1940 </t>
  </si>
  <si>
    <t>Greenwood</t>
  </si>
  <si>
    <t xml:space="preserve">4032 Woodruff Rd </t>
  </si>
  <si>
    <t>Iliana Alvarez</t>
  </si>
  <si>
    <t xml:space="preserve">6117 Holt Ct  Fort Myers, FL 33905 </t>
  </si>
  <si>
    <t>Santiago Martinez</t>
  </si>
  <si>
    <t xml:space="preserve">Gandersheimer Weg #20, Hamburg, DE 22459 </t>
  </si>
  <si>
    <t>07630-1353</t>
  </si>
  <si>
    <t xml:space="preserve">PO Box 630791  Miami, FL 33163 </t>
  </si>
  <si>
    <t xml:space="preserve">315 Emerson Mill Rd  Hampden, ME 04444-1015 </t>
  </si>
  <si>
    <t>Shute</t>
  </si>
  <si>
    <t>Cape Coral Unit 87 Blk 5689 Pb 24 Pg 83 Lots 30 + 31</t>
  </si>
  <si>
    <t>Blick</t>
  </si>
  <si>
    <t>77345-2401</t>
  </si>
  <si>
    <t>Thomas &amp; Heike Stark</t>
  </si>
  <si>
    <t xml:space="preserve">6110 Hutton Ct  Fort Myers, FL 33905 </t>
  </si>
  <si>
    <t xml:space="preserve">6015 Higgins Ave </t>
  </si>
  <si>
    <t xml:space="preserve">2324 NE 34th Ter </t>
  </si>
  <si>
    <t>33909-5233</t>
  </si>
  <si>
    <t>PO Box 2474</t>
  </si>
  <si>
    <t>18-43-24-c3-05714.0470</t>
  </si>
  <si>
    <t>Susan Frohreich</t>
  </si>
  <si>
    <t xml:space="preserve">2745 NE 4th Ave </t>
  </si>
  <si>
    <t>11423-2422</t>
  </si>
  <si>
    <t>Cypress Woods Rv Resort Un 3 Desc In Pb 72 Pgs 92-95 Blk C Lot 62</t>
  </si>
  <si>
    <t>70380-5300</t>
  </si>
  <si>
    <t xml:space="preserve">4210 NE 23rd Ave </t>
  </si>
  <si>
    <t>Leipsic</t>
  </si>
  <si>
    <t>Cape Coral Unit 88 Blk 5794 Pb 24 Pg 130 Lots 53 + 54</t>
  </si>
  <si>
    <t>Cape Coral Unit 17 Blk.1525 Pb 14 Pg 33 Lots 17 + 18</t>
  </si>
  <si>
    <t>David Vanlerberg</t>
  </si>
  <si>
    <t xml:space="preserve">821 Penfield St </t>
  </si>
  <si>
    <t xml:space="preserve">PO Box 1249  Bartow, FL 33831-1249 </t>
  </si>
  <si>
    <t>Lehigh Acres Unit 12 Blk 65 Pb 26 Pg 15 Lot 17</t>
  </si>
  <si>
    <t>Shaoyang Lin</t>
  </si>
  <si>
    <t xml:space="preserve">312 Sherman St  Linden, NJ 07036-1948 </t>
  </si>
  <si>
    <t xml:space="preserve">12455 Baywind Ct </t>
  </si>
  <si>
    <t>Holiday Travel Park Rv Condo Ph 1 Or 1557 Pg 1583 Unit 255</t>
  </si>
  <si>
    <t xml:space="preserve">2 Rue De La Carmerie </t>
  </si>
  <si>
    <t>29464-4688</t>
  </si>
  <si>
    <t>Sedgwick</t>
  </si>
  <si>
    <t>Cape Coral Unit 36 Blk 2522 Pb 16 Pg 113 Lots 14 + 15</t>
  </si>
  <si>
    <t xml:space="preserve">1200 NE 44th St  Cape Coral, FL 33909 </t>
  </si>
  <si>
    <t>29-43-24-c3-02277.0290</t>
  </si>
  <si>
    <t>Quirico</t>
  </si>
  <si>
    <t>06-46-24-15-00000.2550</t>
  </si>
  <si>
    <t>Rosemarie</t>
  </si>
  <si>
    <t>West New York</t>
  </si>
  <si>
    <t>33102-5364</t>
  </si>
  <si>
    <t xml:space="preserve">152 Lapis Ct </t>
  </si>
  <si>
    <t>Kaller Gottsch</t>
  </si>
  <si>
    <t xml:space="preserve">3728 SE 16th Pl </t>
  </si>
  <si>
    <t xml:space="preserve">4001 NE 10th Ave </t>
  </si>
  <si>
    <t xml:space="preserve">4137 NE 15th Ave  Cape Coral, FL 33909 </t>
  </si>
  <si>
    <t>Cypress Woods Rv Resort Un 3 Desc In Pb 72 Pgs 92-95 Blk C Lot 103</t>
  </si>
  <si>
    <t>Christie</t>
  </si>
  <si>
    <t>Country Lakes S/D Unit 1 Pb 36 Pg 13 Lot 100</t>
  </si>
  <si>
    <t>33909-6206</t>
  </si>
  <si>
    <t xml:space="preserve">3832 NE 9th Pl </t>
  </si>
  <si>
    <t xml:space="preserve">140 Chemin De Martenard </t>
  </si>
  <si>
    <t xml:space="preserve">42 Denise Dr  Edison, NJ 08820-4602 </t>
  </si>
  <si>
    <t xml:space="preserve">2804 NE 7th Pl  Cape Coral, FL 33909 </t>
  </si>
  <si>
    <t>Cape Coral Unit 26 Blk.911 Pb 14 Pg 135 Lots 13 + 14</t>
  </si>
  <si>
    <t>Gaitree &amp; Radha Narain</t>
  </si>
  <si>
    <t>66104-1207</t>
  </si>
  <si>
    <t>Thoai &amp; Destinie Ha</t>
  </si>
  <si>
    <t>Cape Coral Unit 32 Blk 2131 Pb 16 Pg 13 Lots 14 + 15</t>
  </si>
  <si>
    <t>Bridget &amp; Joseph Kauser</t>
  </si>
  <si>
    <t>Cape Coral Ut 87 Blk 5698 Pg 24 Pg 75 Lots 53 + 54</t>
  </si>
  <si>
    <t>12-45-23-c3-00290.0010</t>
  </si>
  <si>
    <t xml:space="preserve">5180 Cypress Trail Resort Cir  Fort Myers, FL 33905 </t>
  </si>
  <si>
    <t>Knob Hill</t>
  </si>
  <si>
    <t xml:space="preserve">475 Whisper Ln </t>
  </si>
  <si>
    <t>Moussa</t>
  </si>
  <si>
    <t xml:space="preserve">8957 SW 21st Ct A </t>
  </si>
  <si>
    <t>C058</t>
  </si>
  <si>
    <t>River Ridge</t>
  </si>
  <si>
    <t>Cape Coral Unit 47 Pt 2 Blk 3524 Pb 23 Pg 121 Lots 28 + 29</t>
  </si>
  <si>
    <t>Mesina</t>
  </si>
  <si>
    <t>Sam &amp; Jayne Sharaba</t>
  </si>
  <si>
    <t xml:space="preserve">924 NE 3rd Ave </t>
  </si>
  <si>
    <t>Cape Coral Unit 36 Blk 2546 Pb 16 Pg 113 Lots 25 + 26</t>
  </si>
  <si>
    <t>03-44-26-06-00028.0240</t>
  </si>
  <si>
    <t>11105-2209</t>
  </si>
  <si>
    <t xml:space="preserve">Po Box 5779 </t>
  </si>
  <si>
    <t>Masser</t>
  </si>
  <si>
    <t xml:space="preserve">4207 NE 11th Ave  Cape Coral, FL 33909 </t>
  </si>
  <si>
    <t xml:space="preserve">31 Tenney Ln </t>
  </si>
  <si>
    <t>Daniel &amp; Nancy Senatro</t>
  </si>
  <si>
    <t>Stephane &amp; Catherine Camilleri</t>
  </si>
  <si>
    <t>David Tavenner &amp; Estate American</t>
  </si>
  <si>
    <t>David &amp; Janet Calvani</t>
  </si>
  <si>
    <t xml:space="preserve">24 Sturbridge Rd </t>
  </si>
  <si>
    <t>Santalo</t>
  </si>
  <si>
    <t>Margarita</t>
  </si>
  <si>
    <t xml:space="preserve">5081 D'angora Rue #407 </t>
  </si>
  <si>
    <t xml:space="preserve">408 New York Ave </t>
  </si>
  <si>
    <t>Grant Park</t>
  </si>
  <si>
    <t>Caravan</t>
  </si>
  <si>
    <t>Novakovski</t>
  </si>
  <si>
    <t>Colwell</t>
  </si>
  <si>
    <t>Cape Coral Unit 35 Blk.2384 Pb 16 Pg 108 Lots 15 + 16</t>
  </si>
  <si>
    <t xml:space="preserve">4679 King Meadow Trl  Kent, OH 44240-5622 </t>
  </si>
  <si>
    <t>Saddlebunch</t>
  </si>
  <si>
    <t>Cape Coral Unit 87 Blk 5747 Pb 24 Pg 69 Lots 41 + 42</t>
  </si>
  <si>
    <t xml:space="preserve">516 Dinah Rd  Landing, NJ 07850-1712 </t>
  </si>
  <si>
    <t xml:space="preserve">925 NE 34th Ter  Cape Coral, FL 33909 </t>
  </si>
  <si>
    <t>Werner</t>
  </si>
  <si>
    <t>03-44-26-12-00065.0170</t>
  </si>
  <si>
    <t>Schumann</t>
  </si>
  <si>
    <t xml:space="preserve">665 SW Lake Charles Cir </t>
  </si>
  <si>
    <t>Cape Coral Unit 36 Blk 2317 Pb 16 Pg 126 Lots 31 &amp; 32</t>
  </si>
  <si>
    <t>12-44-25-01-00000.0350</t>
  </si>
  <si>
    <t>Rejean</t>
  </si>
  <si>
    <t>33909-6402</t>
  </si>
  <si>
    <t xml:space="preserve">10 Sequoia Trl  Highland Mills, NY 10930-2144 </t>
  </si>
  <si>
    <t>Garnet Hill</t>
  </si>
  <si>
    <t xml:space="preserve">3106 NE Juanita Pl </t>
  </si>
  <si>
    <t>Ponce De Leon</t>
  </si>
  <si>
    <t xml:space="preserve">8 Lydia Ln </t>
  </si>
  <si>
    <t xml:space="preserve">10324 Prairie Iris Dr  Fort Myers, FL 33905 </t>
  </si>
  <si>
    <t>Hugh &amp; Clover Rhoden</t>
  </si>
  <si>
    <t>29-43-24-c4-02283.0550</t>
  </si>
  <si>
    <t>Cape Coral Unit 32 Blk 2161 Pb 16 Pg 11 Lots 21 + 22</t>
  </si>
  <si>
    <t xml:space="preserve">3014 SE 6th Ave </t>
  </si>
  <si>
    <t xml:space="preserve">314 Bellair Rd  Fort Myers, FL 33905 </t>
  </si>
  <si>
    <t xml:space="preserve">1405 NE 9th Pl  Cape Coral, FL 33909 </t>
  </si>
  <si>
    <t xml:space="preserve">2606 NE 6th Ave  Cape Coral, FL 33909 </t>
  </si>
  <si>
    <t xml:space="preserve">1526 NE 37th St  Cape Coral, FL 33909 </t>
  </si>
  <si>
    <t>Robert Fernandes</t>
  </si>
  <si>
    <t>65802-9285</t>
  </si>
  <si>
    <t xml:space="preserve">1209 NE 8th Pl  Cape Coral, FL 33909 </t>
  </si>
  <si>
    <t xml:space="preserve">2002 NE 17th Ave  Cape Coral, FL 33909 </t>
  </si>
  <si>
    <t xml:space="preserve">422 NE 5th Ave </t>
  </si>
  <si>
    <t>12-44-23-c3-03594.0540</t>
  </si>
  <si>
    <t xml:space="preserve">5 Gary Rd </t>
  </si>
  <si>
    <t>Marie Miklic</t>
  </si>
  <si>
    <t>03-44-26-10-00052.0130</t>
  </si>
  <si>
    <t>18-43-24-c3-05742.0250</t>
  </si>
  <si>
    <t>Planas</t>
  </si>
  <si>
    <t>18344-1179</t>
  </si>
  <si>
    <t>03-44-26-12-00064.0120</t>
  </si>
  <si>
    <t>01-44-23-c4-02444.0360</t>
  </si>
  <si>
    <t>Pattee</t>
  </si>
  <si>
    <t xml:space="preserve">1325 NE 17th Ter  Cape Coral, FL 33909 </t>
  </si>
  <si>
    <t xml:space="preserve">54398 White Spruce Ln  Shelby Township, MI 48315-1462 </t>
  </si>
  <si>
    <t>33909-1440</t>
  </si>
  <si>
    <t>Skyline Orchard</t>
  </si>
  <si>
    <t xml:space="preserve">3334 Lewis Seifert Rd </t>
  </si>
  <si>
    <t>Thierry</t>
  </si>
  <si>
    <t>Wedgewood</t>
  </si>
  <si>
    <t xml:space="preserve">4420 Fulton Rd </t>
  </si>
  <si>
    <t>33027-1513</t>
  </si>
  <si>
    <t xml:space="preserve">1183 Patterson Rd  Cape Coral, FL 33909 </t>
  </si>
  <si>
    <t>N5X 0K5</t>
  </si>
  <si>
    <t xml:space="preserve">287 Rockhill Ct  Marco Island, FL 34145-3829 </t>
  </si>
  <si>
    <t xml:space="preserve">862 Nollan Rd  Cotopaxi, CO 81223-9325 </t>
  </si>
  <si>
    <t>Cape Coral Unit 32 Blk 2142 Pb 16 Pg 6 Lots 36 + 37</t>
  </si>
  <si>
    <t xml:space="preserve">4832 E Riverside Dr </t>
  </si>
  <si>
    <t>Egan</t>
  </si>
  <si>
    <t xml:space="preserve">5059 Saxony Ct </t>
  </si>
  <si>
    <t>Petrie</t>
  </si>
  <si>
    <t>For Lisa M Fink Trust</t>
  </si>
  <si>
    <t>34691-2534</t>
  </si>
  <si>
    <t>Defender</t>
  </si>
  <si>
    <t xml:space="preserve">1612 NE 6th Pl </t>
  </si>
  <si>
    <t>Peter &amp; Connie Jennings</t>
  </si>
  <si>
    <t>36-43-23-c2-02543.0240</t>
  </si>
  <si>
    <t>62258-1468</t>
  </si>
  <si>
    <t xml:space="preserve">10323 Fire Flag Trl </t>
  </si>
  <si>
    <t>33905-2527</t>
  </si>
  <si>
    <t xml:space="preserve">4907 64th Dr W  Naples, FL 34120 </t>
  </si>
  <si>
    <t xml:space="preserve">469 Vanderveer Rd  Raritan, NJ 08869-1019 </t>
  </si>
  <si>
    <t>Rd-D</t>
  </si>
  <si>
    <t>Cape Coral Unit 31 Blk.2045 Pb 14 Pg 154 Lots 49 + 50</t>
  </si>
  <si>
    <t>Palmetto Palms R V Resort Condo Ph 1 Or 1530 Pg 1466 Res Unit 22</t>
  </si>
  <si>
    <t xml:space="preserve">387 S Main St </t>
  </si>
  <si>
    <t>Rhonda Chamblee</t>
  </si>
  <si>
    <t>Vernita</t>
  </si>
  <si>
    <t>Eric &amp; Aaron Brown</t>
  </si>
  <si>
    <t xml:space="preserve">502 NE 20th Ter </t>
  </si>
  <si>
    <t xml:space="preserve">5 Andrews Dr </t>
  </si>
  <si>
    <t>Cape Coral Unit 2 Pt.2 Amd Blk.99 Pb 11 Pg 97 S 1/2 Of Lot 23 + Lots 24 + 25</t>
  </si>
  <si>
    <t xml:space="preserve">440 E 62nd St 11f </t>
  </si>
  <si>
    <t>Holiday Travel Park Rv Condo Ph 1 Or 1577 Pg 1583 Unit 126</t>
  </si>
  <si>
    <t xml:space="preserve">810 NE 12th St  Cape Coral, FL 33909 </t>
  </si>
  <si>
    <t>33486-3516</t>
  </si>
  <si>
    <t>91709-8743</t>
  </si>
  <si>
    <t xml:space="preserve">401 Aviation Pkwy  Cape Coral, FL 33904 </t>
  </si>
  <si>
    <t>Cape Coral Unit 7 Blk 331 Pb 12 Pg 125 Lots 7 + 8</t>
  </si>
  <si>
    <t>Lehigh Acres Unit 7 Blk 33 Pb 26 Pg 9 Lot 24</t>
  </si>
  <si>
    <t>01-44-23-c2-02433.0170</t>
  </si>
  <si>
    <t xml:space="preserve">150 Knollwood Dr  Newbury Park, CA 91320-4209 </t>
  </si>
  <si>
    <t>Cape Coral Unit 88 Blk 5774 Pb 24 Pg 128 Lots 41 + 42</t>
  </si>
  <si>
    <t>Firnkes</t>
  </si>
  <si>
    <t>33909-4805</t>
  </si>
  <si>
    <t xml:space="preserve">2924 NE 6th Pl </t>
  </si>
  <si>
    <t xml:space="preserve">2809 NE 6th Ave </t>
  </si>
  <si>
    <t xml:space="preserve">1026 NE 15th Ln </t>
  </si>
  <si>
    <t>Graybill</t>
  </si>
  <si>
    <t xml:space="preserve">4020 NE 22nd Ave </t>
  </si>
  <si>
    <t>Abound</t>
  </si>
  <si>
    <t>Scott Bonora</t>
  </si>
  <si>
    <t xml:space="preserve">1733 NE 18th Pl </t>
  </si>
  <si>
    <t xml:space="preserve">1706 NE 1st Pl </t>
  </si>
  <si>
    <t xml:space="preserve">115 NE 23rd Ter </t>
  </si>
  <si>
    <t>Harley &amp; Bonita Zimmel</t>
  </si>
  <si>
    <t xml:space="preserve">Strasse 4 Herzogenauracher  Erlangen, DE 91056 </t>
  </si>
  <si>
    <t>19401-4021</t>
  </si>
  <si>
    <t>Teresita Bhombal</t>
  </si>
  <si>
    <t>Pottenstein</t>
  </si>
  <si>
    <t>C004</t>
  </si>
  <si>
    <t>Cape Coral Unit 33 Blk 2208 Pb 16 Pg 42 Lots 45 + 46</t>
  </si>
  <si>
    <t>31-44-24-c2-00651.0010</t>
  </si>
  <si>
    <t>Oneill</t>
  </si>
  <si>
    <t>Lehigh Acres Unit 2 Blk 7 Pb 26 Pg 4 Lot 15</t>
  </si>
  <si>
    <t xml:space="preserve">1800 Forest Run Dr  Independence, KY 41051-8171 </t>
  </si>
  <si>
    <t>Cape Coral Unit 32 Blk 2161 Pb 16 Pg 12 Lots 47 + 48</t>
  </si>
  <si>
    <t xml:space="preserve">3353 NE 13th Pl  Cape Coral, FL 33909 </t>
  </si>
  <si>
    <t>Rodney</t>
  </si>
  <si>
    <t xml:space="preserve">2305 NE 34th St  Cape Coral, FL 33909 </t>
  </si>
  <si>
    <t xml:space="preserve">39 Twistback Rd  Claremont, NH 03743-4538 </t>
  </si>
  <si>
    <t>Interlochen</t>
  </si>
  <si>
    <t>Conyers</t>
  </si>
  <si>
    <t>Cape Coral Unit 84 Blk 5549 Pb 24 Pg 39 Lots 17 + 18</t>
  </si>
  <si>
    <t xml:space="preserve">380 Green Acres Dr  Canton, MS 39046-2800 </t>
  </si>
  <si>
    <t>18-43-24-c3-05711.0330</t>
  </si>
  <si>
    <t xml:space="preserve">2727 Bartels Dr  Mount Pleasant, WI 53406-1669 </t>
  </si>
  <si>
    <t>Robert Messenger</t>
  </si>
  <si>
    <t>Boisclair</t>
  </si>
  <si>
    <t>34110-1098</t>
  </si>
  <si>
    <t xml:space="preserve">449 E 14th St 7g </t>
  </si>
  <si>
    <t>U</t>
  </si>
  <si>
    <t>Papadakis</t>
  </si>
  <si>
    <t>Bruce &amp; Rita Figurniak</t>
  </si>
  <si>
    <t xml:space="preserve">4015 SE 20th Pl </t>
  </si>
  <si>
    <t>Anthony &amp; Diana Diaz</t>
  </si>
  <si>
    <t>Cape Coral Unit 33 Blk 2229 Pb 16 Pg 47 Lots 16 + 17</t>
  </si>
  <si>
    <t>Straight</t>
  </si>
  <si>
    <t>17-43-24-c2-05797.0430</t>
  </si>
  <si>
    <t xml:space="preserve">2 Wyche Way  Ossining, NY 10562-4000 </t>
  </si>
  <si>
    <t>Ruggieri</t>
  </si>
  <si>
    <t xml:space="preserve">15423 SW 31st St  Miami, FL 33185-5901 </t>
  </si>
  <si>
    <t>Marion Station</t>
  </si>
  <si>
    <t>Pine Acres Pb 9 Pg 42 Lot 8</t>
  </si>
  <si>
    <t xml:space="preserve">5071 Sussex Dr  Evans, GA 30809-8232 </t>
  </si>
  <si>
    <t>Randell Dyer</t>
  </si>
  <si>
    <t>Birkmire</t>
  </si>
  <si>
    <t>Cape Coral Unit 84 Blk 5621 Pb 24 Pg 34 Lots 38 + 39</t>
  </si>
  <si>
    <t xml:space="preserve">167 Juanita Ave  Freeport, NY 11520-4141 </t>
  </si>
  <si>
    <t>Lewis River</t>
  </si>
  <si>
    <t>Cape Coral Unit 35 Blk 2411 Pb 16 Pg 110 Lots 73 + 74</t>
  </si>
  <si>
    <t>01-44-23-c3-02459.0230</t>
  </si>
  <si>
    <t xml:space="preserve">9470 Haldibrook Rd </t>
  </si>
  <si>
    <t>33908-4858</t>
  </si>
  <si>
    <t>33905-8201</t>
  </si>
  <si>
    <t xml:space="preserve">184 Bis Rue Du Faubourg </t>
  </si>
  <si>
    <t>Crystal Lake</t>
  </si>
  <si>
    <t xml:space="preserve">2010 Richmond Rd  Staten Island, NY 10306-2549 </t>
  </si>
  <si>
    <t>Clearwater</t>
  </si>
  <si>
    <t xml:space="preserve">1904 NE 33rd Ter </t>
  </si>
  <si>
    <t>17-43-24-c3-05783.0110</t>
  </si>
  <si>
    <t>17-43-24-c1-05819.0110</t>
  </si>
  <si>
    <t xml:space="preserve">10342 Prairie Iris Dr  Fort Myers, FL 33905 </t>
  </si>
  <si>
    <t>Cape Coral Unit 32 Blk.2096 Pb 16 Pg 2 Lots 1 + 2</t>
  </si>
  <si>
    <t xml:space="preserve">3730 Hyde Park Dr </t>
  </si>
  <si>
    <t>Jose Castano</t>
  </si>
  <si>
    <t xml:space="preserve">2125 Hughes Ave </t>
  </si>
  <si>
    <t>Cape Coral Unit 36 Blk 2535 Pb 16 Pg 118 Lots 22 + 23</t>
  </si>
  <si>
    <t xml:space="preserve">1061 NE 157th St </t>
  </si>
  <si>
    <t>Boonton</t>
  </si>
  <si>
    <t>18-43-24-c1-05686.0210</t>
  </si>
  <si>
    <t>25-43-23-c3-02343.0590</t>
  </si>
  <si>
    <t>Marlene M Logan Trust</t>
  </si>
  <si>
    <t>Cape Coral Unit 47 Pt 2 Blk 3515 Pb 23 Pg 125 Lots 58 &amp; 59</t>
  </si>
  <si>
    <t xml:space="preserve">2104 NE 40th Ter  Cape Coral, FL 33909 </t>
  </si>
  <si>
    <t xml:space="preserve">1803 NE 23rd Ter </t>
  </si>
  <si>
    <t xml:space="preserve">3501 NE 17th Pl </t>
  </si>
  <si>
    <t>MAIL POST DIRECTION</t>
  </si>
  <si>
    <t>West Jefferson</t>
  </si>
  <si>
    <t>11-44-25-09-00000.2110</t>
  </si>
  <si>
    <t>33024-9008</t>
  </si>
  <si>
    <t>Enock</t>
  </si>
  <si>
    <t xml:space="preserve">1139 N Vecino Ln  Placentia, CA 92870-4149 </t>
  </si>
  <si>
    <t>19-43-24-c2-05588.0030</t>
  </si>
  <si>
    <t>Goldring</t>
  </si>
  <si>
    <t xml:space="preserve">1413 NE 13th St </t>
  </si>
  <si>
    <t>N 264 Ft Of W 1/2 Of Sw 1/4 Of Sw 1/4 Of Sw 1/4</t>
  </si>
  <si>
    <t>Marstons Mills</t>
  </si>
  <si>
    <t xml:space="preserve">117 SE 28th Ter </t>
  </si>
  <si>
    <t xml:space="preserve">241 Beacom Blvd  Miami, FL 33135-1528 </t>
  </si>
  <si>
    <t>Cape Coral Unit 84 Blk 5624 Pb 24 Pg 33 Lots 23 + 24</t>
  </si>
  <si>
    <t>Lina</t>
  </si>
  <si>
    <t xml:space="preserve">2216 NE 34th Ln  Cape Coral, FL 33909 </t>
  </si>
  <si>
    <t xml:space="preserve">PO Box 220399  Brooklyn, NY 11222 </t>
  </si>
  <si>
    <t xml:space="preserve">4801 Mcgregor Blvd  Fort Myers, FL 33901 </t>
  </si>
  <si>
    <t>06-44-24-c2-02094.0770</t>
  </si>
  <si>
    <t xml:space="preserve">1928 NE 6th Ave  Cape Coral, FL 33909 </t>
  </si>
  <si>
    <t>Orem</t>
  </si>
  <si>
    <t>Thomas Utkin &amp; Silvia Utkin-Kupiedo</t>
  </si>
  <si>
    <t xml:space="preserve">2313 Radius Way  Newport News, VA 23602-9088 </t>
  </si>
  <si>
    <t>Gate</t>
  </si>
  <si>
    <t xml:space="preserve">1212 NW 141st Ave  Pembroke Pines, FL 33028-2367 </t>
  </si>
  <si>
    <t>24-44-24-p4-0160h.001a</t>
  </si>
  <si>
    <t xml:space="preserve">3342 NE 9th Ave  Cape Coral, FL 33909 </t>
  </si>
  <si>
    <t>29-43-24-c4-02280.0410</t>
  </si>
  <si>
    <t>Lau David S Tr</t>
  </si>
  <si>
    <t xml:space="preserve">2079 E 10180 S  Sandy, UT 84092-4060 </t>
  </si>
  <si>
    <t>Kristel</t>
  </si>
  <si>
    <t xml:space="preserve">1329 NE 19th Pl </t>
  </si>
  <si>
    <t xml:space="preserve">6170 Robinson St  Jupiter, FL 33458-6631 </t>
  </si>
  <si>
    <t xml:space="preserve">2208 NE 33rd Ln </t>
  </si>
  <si>
    <t>05-45-24-c1-00593.0230</t>
  </si>
  <si>
    <t>11-44-25-04-0000b.0840</t>
  </si>
  <si>
    <t xml:space="preserve">1308 NE 23rd Ter </t>
  </si>
  <si>
    <t>Lehigh Acres Unit 1 W Pt Blk 4 Pb 26 Pg 2 Lot 12</t>
  </si>
  <si>
    <t xml:space="preserve">301 SE 31st Ter  Cape Coral, FL 33904 </t>
  </si>
  <si>
    <t>33909-4658</t>
  </si>
  <si>
    <t xml:space="preserve">4127 Kennedy Rd  Thomasville, NC 27360-7305 </t>
  </si>
  <si>
    <t xml:space="preserve">510 NE 25th Ter </t>
  </si>
  <si>
    <t>J5R 0C4</t>
  </si>
  <si>
    <t>Sabati</t>
  </si>
  <si>
    <t>L'ile-Bizard</t>
  </si>
  <si>
    <t xml:space="preserve">24957 222nd Ave </t>
  </si>
  <si>
    <t xml:space="preserve">48 Linmar Homes  Aliquippa, PA 15001-2637 </t>
  </si>
  <si>
    <t>Starbuck</t>
  </si>
  <si>
    <t>Margo</t>
  </si>
  <si>
    <t>Cape Coral Unit 33 Blk 2244 Pb 16 Pg 54 Lots 56 + 57</t>
  </si>
  <si>
    <t xml:space="preserve">2327 NE 35th Ln </t>
  </si>
  <si>
    <t>Michael Russell</t>
  </si>
  <si>
    <t>33909-4369</t>
  </si>
  <si>
    <t xml:space="preserve">10100 Sunnywood Ct  Fort Myers, FL 33905 </t>
  </si>
  <si>
    <t xml:space="preserve">9 Gregory Ln </t>
  </si>
  <si>
    <t>02189-3036</t>
  </si>
  <si>
    <t>31-44-24-c2-00636.0200</t>
  </si>
  <si>
    <t>46304-3538</t>
  </si>
  <si>
    <t xml:space="preserve">221 Hemlock Ter  Mountain Top, PA 18707-1530 </t>
  </si>
  <si>
    <t>11758-5802</t>
  </si>
  <si>
    <t xml:space="preserve">18381 Ironstone Way  Lakeville, MN 55044-6080 </t>
  </si>
  <si>
    <t>Mabel</t>
  </si>
  <si>
    <t>Lewis O Gray</t>
  </si>
  <si>
    <t>Ronald</t>
  </si>
  <si>
    <t xml:space="preserve">4753 Meadow Lark Dr </t>
  </si>
  <si>
    <t xml:space="preserve">26 Main St #6, North Andover, MA 01845-2573 </t>
  </si>
  <si>
    <t xml:space="preserve">1249 Fogg Rd </t>
  </si>
  <si>
    <t>10458-4926</t>
  </si>
  <si>
    <t>06-44-24-c4-02055.0260</t>
  </si>
  <si>
    <t>Godes</t>
  </si>
  <si>
    <t xml:space="preserve">4092 Princeton St  Fort Myers, FL 33901 </t>
  </si>
  <si>
    <t>Norbert &amp; Cheryl Hamilton</t>
  </si>
  <si>
    <t>Hickory Point</t>
  </si>
  <si>
    <t>Dennis &amp; Michelle Hillebrenner</t>
  </si>
  <si>
    <t xml:space="preserve">84 E Meadow Rd  Calverton, NY 11933-1412 </t>
  </si>
  <si>
    <t xml:space="preserve">8 Hill St  Seymour, CT 06483-2616 </t>
  </si>
  <si>
    <t>Persio Nunez</t>
  </si>
  <si>
    <t>65355-1118</t>
  </si>
  <si>
    <t>11-44-25-07-00000.1410</t>
  </si>
  <si>
    <t>31-44-24-c1-00658.0690</t>
  </si>
  <si>
    <t>Douglas Pratt</t>
  </si>
  <si>
    <t>36-43-23-c2-02540.0100</t>
  </si>
  <si>
    <t>Patricia Escoffery</t>
  </si>
  <si>
    <t xml:space="preserve">3405 NE 23rd Pl  Cape Coral, FL 33909 </t>
  </si>
  <si>
    <t>Westcliff</t>
  </si>
  <si>
    <t xml:space="preserve">2459 Augusta Way </t>
  </si>
  <si>
    <t xml:space="preserve">200 Carol Way  Fort Myers, FL 33905 </t>
  </si>
  <si>
    <t xml:space="preserve">3616 Henry Hudson Pkwy 5ds </t>
  </si>
  <si>
    <t>03-44-26-07-00033.0210</t>
  </si>
  <si>
    <t>Cape Coral Unit 84 Blk 5617 Pb 24 Pg 35 Lot 5</t>
  </si>
  <si>
    <t>Tillery</t>
  </si>
  <si>
    <t xml:space="preserve">920 NE 10th Ln </t>
  </si>
  <si>
    <t>Jay Davidson &amp; Karl Schneider</t>
  </si>
  <si>
    <t>Gaviria</t>
  </si>
  <si>
    <t xml:space="preserve">13211 Old Seward Hwy B, Anchorage, AK 99515-4002 </t>
  </si>
  <si>
    <t xml:space="preserve">67491 Rose Dr  Washington, MI 48095-1376 </t>
  </si>
  <si>
    <t>Aaron Orzolick &amp; Kathryn Ruliffson</t>
  </si>
  <si>
    <t>Pleasant View</t>
  </si>
  <si>
    <t>33909-6882</t>
  </si>
  <si>
    <t>33909-6201</t>
  </si>
  <si>
    <t xml:space="preserve">241 Eugenia Ave </t>
  </si>
  <si>
    <t xml:space="preserve">225 List Rd </t>
  </si>
  <si>
    <t>46037-8815</t>
  </si>
  <si>
    <t>Rue De Montreuil</t>
  </si>
  <si>
    <t>03-44-26-02-00010.0090</t>
  </si>
  <si>
    <t xml:space="preserve">8601 Buckingham Rd </t>
  </si>
  <si>
    <t xml:space="preserve">3 Chemin De La Tille  Geovreisset, FR </t>
  </si>
  <si>
    <t xml:space="preserve">1324 NE 15th Ter  Cape Coral, FL 33909 </t>
  </si>
  <si>
    <t>05-44-24-c1-03540.0310</t>
  </si>
  <si>
    <t xml:space="preserve">6150 Stratton Rd </t>
  </si>
  <si>
    <t>Cape Coral Unit 47 Pt 2 Blk 3530 Pb 23 Pg 126 Lots 48 + 49</t>
  </si>
  <si>
    <t xml:space="preserve">4611 Goebel Rd  Fort Myers, FL 33905 </t>
  </si>
  <si>
    <t>25-43-23-c2-02346.0600</t>
  </si>
  <si>
    <t xml:space="preserve">10079 Parkwood Dr </t>
  </si>
  <si>
    <t>Old Pali</t>
  </si>
  <si>
    <t xml:space="preserve">349 Kingston Dr S </t>
  </si>
  <si>
    <t xml:space="preserve">2010 NE 1st Pl </t>
  </si>
  <si>
    <t>03-44-26-13-00070.0140</t>
  </si>
  <si>
    <t xml:space="preserve">339 NE 19th Ter </t>
  </si>
  <si>
    <t xml:space="preserve">1735 SE 46th St </t>
  </si>
  <si>
    <t xml:space="preserve">830 Elmsbrook Ln </t>
  </si>
  <si>
    <t xml:space="preserve">6022 Juliet Ave  Fort Myers, FL 33905 </t>
  </si>
  <si>
    <t xml:space="preserve">629 Cedar St </t>
  </si>
  <si>
    <t>Palmetto Palms Rv Resort Condo Ph 2 Or 1530 Pg 1466 Res Unit 127</t>
  </si>
  <si>
    <t>32901-7756</t>
  </si>
  <si>
    <t>Cape Coral Unit 85 Blk.5637 Pb 24 Pg 54 Lots 1 + 2</t>
  </si>
  <si>
    <t xml:space="preserve">2110 NE 41st St </t>
  </si>
  <si>
    <t xml:space="preserve">8030 Paul Ave  Waconia, MN 55387-9423 </t>
  </si>
  <si>
    <t>Clementina</t>
  </si>
  <si>
    <t>Callejas</t>
  </si>
  <si>
    <t>36-43-23-c4-02494.0030</t>
  </si>
  <si>
    <t xml:space="preserve">Odebacksvaegen  Simlangsdalen, SE 00310 </t>
  </si>
  <si>
    <t xml:space="preserve">124 Smith Pl  Staten Island, NY 10302-2042 </t>
  </si>
  <si>
    <t>06-44-24-c4-02056.0060</t>
  </si>
  <si>
    <t>Regent</t>
  </si>
  <si>
    <t xml:space="preserve">PO Box 920  Unionville, PA 19375 </t>
  </si>
  <si>
    <t>02155-5401</t>
  </si>
  <si>
    <t xml:space="preserve">1711 Benton Ave E  Albia, IA 52531-1709 </t>
  </si>
  <si>
    <t xml:space="preserve">48 Ivy Way  Lancaster, NY 14086-2628 </t>
  </si>
  <si>
    <t xml:space="preserve">2619 Hc 1  Florida, PR 00650-9724 </t>
  </si>
  <si>
    <t xml:space="preserve">4321 NE 9th Ave  Cape Coral, FL 33909 </t>
  </si>
  <si>
    <t>N2P 2T8</t>
  </si>
  <si>
    <t>Cypress Woods Rv Resort Ut 1 Pb 65 Pg 85 + 86 Blk B Lot 42</t>
  </si>
  <si>
    <t xml:space="preserve">3021 NE 6th Ave </t>
  </si>
  <si>
    <t>17-43-24-c1-05824.0390</t>
  </si>
  <si>
    <t>Barron</t>
  </si>
  <si>
    <t>Nicholas &amp; Anthony Masi</t>
  </si>
  <si>
    <t xml:space="preserve">PO Box 221  Middletown, NJ 07748 </t>
  </si>
  <si>
    <t xml:space="preserve">16921 SW 5th Ct </t>
  </si>
  <si>
    <t>Bohdan Osewski</t>
  </si>
  <si>
    <t>13131-3151</t>
  </si>
  <si>
    <t>11580-2509</t>
  </si>
  <si>
    <t>36-44-23-c3-00898.0540</t>
  </si>
  <si>
    <t>Orange City</t>
  </si>
  <si>
    <t>18-43-24-c1-05691.0490</t>
  </si>
  <si>
    <t xml:space="preserve">286 Deerfield Glen Dr  Saint Augustine, FL 32086-1826 </t>
  </si>
  <si>
    <t>Cape Coral Unit 35 Blk.2380 Pb 16 Pg 106 Lots 33 + 34</t>
  </si>
  <si>
    <t>29-43-24-c3-02271.0010</t>
  </si>
  <si>
    <t xml:space="preserve">105 Rue De Domparon </t>
  </si>
  <si>
    <t xml:space="preserve">4 Warren Ct  Farmingville, NY 11738-2286 </t>
  </si>
  <si>
    <t xml:space="preserve">11570 Palm Beach Blvd  Fort Myers, FL 33905 </t>
  </si>
  <si>
    <t xml:space="preserve">3434 Colwell Ave #200 </t>
  </si>
  <si>
    <t xml:space="preserve">1205 NE 12th St  Cape Coral, FL 33909 </t>
  </si>
  <si>
    <t xml:space="preserve">4413 Birmingham St </t>
  </si>
  <si>
    <t xml:space="preserve">2309 NE 34th Ter </t>
  </si>
  <si>
    <t>25-43-23-c2-02316.0730</t>
  </si>
  <si>
    <t>18-43-24-c2-05723.0310</t>
  </si>
  <si>
    <t>Birnberg</t>
  </si>
  <si>
    <t>Cape Coral Unit 84 Blk 5617 Pb 24 Pg 34 Lots 37 + 38</t>
  </si>
  <si>
    <t xml:space="preserve">8101 N 200 W </t>
  </si>
  <si>
    <t>Gee</t>
  </si>
  <si>
    <t xml:space="preserve">449 Stipe St </t>
  </si>
  <si>
    <t>Janette</t>
  </si>
  <si>
    <t>33905-4718</t>
  </si>
  <si>
    <t>Cape Coral Unit 36 Blk 2354 Pb 16 Pg 119 Lots 55 + 56</t>
  </si>
  <si>
    <t>07-44-24-c3-01498.0070</t>
  </si>
  <si>
    <t>Cape Coral Unit 47 Pt 2 Blk 3538 Pb 23 Pg 120 Lots 47 + 48</t>
  </si>
  <si>
    <t>An Doan</t>
  </si>
  <si>
    <t xml:space="preserve">3920 NE 15th Pl </t>
  </si>
  <si>
    <t>33909-4604</t>
  </si>
  <si>
    <t xml:space="preserve">330 NE 27th Ter  Cape Coral, FL 33909 </t>
  </si>
  <si>
    <t>Matthew Schock</t>
  </si>
  <si>
    <t>97338-9403</t>
  </si>
  <si>
    <t>17-43-24-c1-05823.0340</t>
  </si>
  <si>
    <t>Johan</t>
  </si>
  <si>
    <t>Cape Coral Unit 84 Blk 5610 Pb24 Pg41 Lots 31 + 32</t>
  </si>
  <si>
    <t>Randy Cotnoir</t>
  </si>
  <si>
    <t>33433-1618</t>
  </si>
  <si>
    <t>Cape Coral Unit 26 Blk.911 Pb 14 Pg 135 Lots 11 + 12</t>
  </si>
  <si>
    <t>Mari</t>
  </si>
  <si>
    <t>Peter Hirakis</t>
  </si>
  <si>
    <t>19-43-24-c4-05566.0210</t>
  </si>
  <si>
    <t>33331-5025</t>
  </si>
  <si>
    <t>Eleanor Castellano</t>
  </si>
  <si>
    <t xml:space="preserve">1935 Kismet Pkwy E </t>
  </si>
  <si>
    <t>36-43-23-c3-02146.0100</t>
  </si>
  <si>
    <t xml:space="preserve">Po Box 1464 </t>
  </si>
  <si>
    <t>Bukhin</t>
  </si>
  <si>
    <t>Stirling</t>
  </si>
  <si>
    <t>Cape Coral Unit 26 Blk 923 Pb 14 Pg 135 Lots 39 + 40</t>
  </si>
  <si>
    <t>Bullock</t>
  </si>
  <si>
    <t xml:space="preserve">1331 NE 12th Pl  Cape Coral, FL 33909 </t>
  </si>
  <si>
    <t xml:space="preserve">15281 River By Rd </t>
  </si>
  <si>
    <t xml:space="preserve">15361/371 Cemetery Rd  Fort Myers, FL 33905 </t>
  </si>
  <si>
    <t xml:space="preserve">1448 Eastland Rd SE  Atlanta, GA 30316-3222 </t>
  </si>
  <si>
    <t>Christine &amp; Catherine Flockton</t>
  </si>
  <si>
    <t>Cessna</t>
  </si>
  <si>
    <t xml:space="preserve">2105 NE 4th St  Cape Coral, FL 33909 </t>
  </si>
  <si>
    <t>Palmona Park Unit 1 Blk 33 Pb 7 Pg 55 Lots 8 + E 1/2 Of 9</t>
  </si>
  <si>
    <t>Bessie Frederick</t>
  </si>
  <si>
    <t xml:space="preserve">515 NE 5th Ave  Cape Coral, FL 33909 </t>
  </si>
  <si>
    <t xml:space="preserve">4413 17th Pl SW  Naples, FL 34116-5907 </t>
  </si>
  <si>
    <t xml:space="preserve">14120 Autumn Creek Dr </t>
  </si>
  <si>
    <t>Fairwood</t>
  </si>
  <si>
    <t xml:space="preserve">29 Stackpole Rd  Somersworth, NH 03878-1609 </t>
  </si>
  <si>
    <t>PO Box 158</t>
  </si>
  <si>
    <t xml:space="preserve">343 NE 9th Ter </t>
  </si>
  <si>
    <t>Cape Coral Unit 35 Blk 2410 Pb 16 Pg 110 Lots 6 + 7</t>
  </si>
  <si>
    <t>E8829</t>
  </si>
  <si>
    <t>Arthur &amp; Helen Curry</t>
  </si>
  <si>
    <t>Robertson Bridge</t>
  </si>
  <si>
    <t xml:space="preserve">1409 NE 14th Ter </t>
  </si>
  <si>
    <t>18-43-24-c4-05679.0090</t>
  </si>
  <si>
    <t>Margaret A Lue Trust</t>
  </si>
  <si>
    <t>Cape Coral Unit 36 Pt 1 Blk 2545 Pb 23 Pg 94 Lots 25 + 26</t>
  </si>
  <si>
    <t>11-44-25-08-00000.4650</t>
  </si>
  <si>
    <t xml:space="preserve">7149 Bog Hollow Rd </t>
  </si>
  <si>
    <t>Cape Coral Unit 33 Blk 2285 Pb 16 Pg 60 Lots 59 + 60</t>
  </si>
  <si>
    <t>Lukes</t>
  </si>
  <si>
    <t>Wendy Langen</t>
  </si>
  <si>
    <t>Karda</t>
  </si>
  <si>
    <t>Denis</t>
  </si>
  <si>
    <t>Nelson Rivera</t>
  </si>
  <si>
    <t>Carlos &amp; Judith Malabanan</t>
  </si>
  <si>
    <t xml:space="preserve">4401 NE 15th Pl  Cape Coral, FL 33909 </t>
  </si>
  <si>
    <t xml:space="preserve">456 NE 1st Pl  Cape Coral, FL 33909 </t>
  </si>
  <si>
    <t xml:space="preserve">3624 NE 15th Ave </t>
  </si>
  <si>
    <t xml:space="preserve">326 Magothy Rd #326 </t>
  </si>
  <si>
    <t>Cape Coral Unit 84 Blk 5590 Pb 24 Pg 41 Lots 15 + 16</t>
  </si>
  <si>
    <t>Lori</t>
  </si>
  <si>
    <t>Konstanty</t>
  </si>
  <si>
    <t xml:space="preserve">1140 Grand Marais Rd W  Windsor, ON N9e 1C7 </t>
  </si>
  <si>
    <t xml:space="preserve">18 Cobbles Cres  West Sussex, GB 00000 </t>
  </si>
  <si>
    <t xml:space="preserve">321 Oregon Rd  Stevensville, MD 21666-3415 </t>
  </si>
  <si>
    <t xml:space="preserve">584 W Colchester Dr </t>
  </si>
  <si>
    <t xml:space="preserve">5539/5541 Eighth Ave </t>
  </si>
  <si>
    <t>Yaxy</t>
  </si>
  <si>
    <t>Penn</t>
  </si>
  <si>
    <t>Albert</t>
  </si>
  <si>
    <t>33013-1558</t>
  </si>
  <si>
    <t>01-44-23-c3-02428.0070</t>
  </si>
  <si>
    <t>Cape Coral Unit 85 Blk 5646 Pb 24 Pg 56 Lots 19 + 20</t>
  </si>
  <si>
    <t xml:space="preserve">3129 Stone Edge Rd </t>
  </si>
  <si>
    <t>32-43-24-c1-02179.0400</t>
  </si>
  <si>
    <t xml:space="preserve">8130 Clifford Ct </t>
  </si>
  <si>
    <t>Manassas</t>
  </si>
  <si>
    <t>Daniel Lee</t>
  </si>
  <si>
    <t xml:space="preserve">8907 Stratford Xing  Minneapolis, MN 55443-3852 </t>
  </si>
  <si>
    <t>Augusta Zorbini</t>
  </si>
  <si>
    <t>Zbigniew</t>
  </si>
  <si>
    <t>10468-6407</t>
  </si>
  <si>
    <t>Bayonne</t>
  </si>
  <si>
    <t>Buckingham Pk Re Blk B U-2 Blk 9 Pb 27 Pg 189 Lot 9</t>
  </si>
  <si>
    <t xml:space="preserve">202 NE 24th Ter </t>
  </si>
  <si>
    <t>Debra &amp; Augustus Jamerson</t>
  </si>
  <si>
    <t>Bad Saarow</t>
  </si>
  <si>
    <t xml:space="preserve">1406 Andalusia Blvd </t>
  </si>
  <si>
    <t xml:space="preserve">10230 Surfwood Ct </t>
  </si>
  <si>
    <t xml:space="preserve">23057 Benet Ln  Plainfield, IL 60586-5108 </t>
  </si>
  <si>
    <t>Ender Desir</t>
  </si>
  <si>
    <t xml:space="preserve">730 Bayside Ln  Weston, FL 33326-3337 </t>
  </si>
  <si>
    <t xml:space="preserve">7101 SW 74th St </t>
  </si>
  <si>
    <t>Joaquin Sanchez &amp; Xavier Puig</t>
  </si>
  <si>
    <t xml:space="preserve">32421 Lyndon St </t>
  </si>
  <si>
    <t>Xenia</t>
  </si>
  <si>
    <t xml:space="preserve">339 NE 22nd Ter  Cape Coral, FL 33909 </t>
  </si>
  <si>
    <t>Jamieson</t>
  </si>
  <si>
    <t>Capri</t>
  </si>
  <si>
    <t xml:space="preserve">6017 Lindbrook Ave  Fort Myers, FL 33905 </t>
  </si>
  <si>
    <t xml:space="preserve">343 NE 24th Ter  Cape Coral, FL 33909 </t>
  </si>
  <si>
    <t xml:space="preserve">913 NE 5th Pl </t>
  </si>
  <si>
    <t>33021-4102</t>
  </si>
  <si>
    <t>Eljema</t>
  </si>
  <si>
    <t>John Rodriguez</t>
  </si>
  <si>
    <t>Jakub Zaleski</t>
  </si>
  <si>
    <t xml:space="preserve">2630 NE 6th Ave  Cape Coral, FL 33909 </t>
  </si>
  <si>
    <t xml:space="preserve">3716 Kittyhawk Dr  Fort Myers, FL 33905 </t>
  </si>
  <si>
    <t>Tempe</t>
  </si>
  <si>
    <t>Spotsylvania</t>
  </si>
  <si>
    <t>Rml</t>
  </si>
  <si>
    <t>95th</t>
  </si>
  <si>
    <t>62305-8306</t>
  </si>
  <si>
    <t>46750-3120</t>
  </si>
  <si>
    <t>Alecia</t>
  </si>
  <si>
    <t xml:space="preserve">6066 E Butterfield Ln  Anaheim, CA 92807-4844 </t>
  </si>
  <si>
    <t>12-46-23-05-00000.4060</t>
  </si>
  <si>
    <t>Hedwig Mandler</t>
  </si>
  <si>
    <t>Engel</t>
  </si>
  <si>
    <t xml:space="preserve">1144 NE 44th Ln </t>
  </si>
  <si>
    <t>11977-1012</t>
  </si>
  <si>
    <t>Randolph</t>
  </si>
  <si>
    <t>Tyler Fraker</t>
  </si>
  <si>
    <t>R904</t>
  </si>
  <si>
    <t xml:space="preserve">349 Commerce St  Williston, VT 05495-7154 </t>
  </si>
  <si>
    <t>Deerfield Glen</t>
  </si>
  <si>
    <t>08087-1239</t>
  </si>
  <si>
    <t xml:space="preserve">101 NE 8th Ter </t>
  </si>
  <si>
    <t>08-44-24-c4-01508.0320</t>
  </si>
  <si>
    <t>32818-6457</t>
  </si>
  <si>
    <t xml:space="preserve">815 Birdsong Ct  Aurora, OH 44202-5104 </t>
  </si>
  <si>
    <t>Bird</t>
  </si>
  <si>
    <t xml:space="preserve">14550 Cemetery Rd  Fort Myers, FL 33905 </t>
  </si>
  <si>
    <t>46975-7564</t>
  </si>
  <si>
    <t>48047-4819</t>
  </si>
  <si>
    <t>Fugon</t>
  </si>
  <si>
    <t xml:space="preserve">4374 Thielen Ave </t>
  </si>
  <si>
    <t>01-45-23-c4-00857.0290</t>
  </si>
  <si>
    <t>Cornillot</t>
  </si>
  <si>
    <t>32137-3247</t>
  </si>
  <si>
    <t xml:space="preserve">Po Box 304 </t>
  </si>
  <si>
    <t xml:space="preserve">1935 NE 33rd Ter </t>
  </si>
  <si>
    <t xml:space="preserve">5208 White Sky Cir  Fort Myers, FL 33908 </t>
  </si>
  <si>
    <t xml:space="preserve">3811 Jenifer St NW </t>
  </si>
  <si>
    <t>32-44-24-c2-01214.0050</t>
  </si>
  <si>
    <t>07-46-25-04-0000b.0510</t>
  </si>
  <si>
    <t>Lawrence &amp; Maureen Miller</t>
  </si>
  <si>
    <t xml:space="preserve">3733 Lily Haven Ave  Las Vegas, NV 89120-2560 </t>
  </si>
  <si>
    <t>Han Tong &amp; Lan Tran</t>
  </si>
  <si>
    <t xml:space="preserve">8791 Robinhood Cir  Westerville, OH 43082-9665 </t>
  </si>
  <si>
    <t>Cape Coral Unit 35 Blk 2399 Pb 16 Pg 104 Lots 27 + 28</t>
  </si>
  <si>
    <t>Jennifer Rondestvedt &amp; Paul Jevnick</t>
  </si>
  <si>
    <t>Gnanashanmugam</t>
  </si>
  <si>
    <t>55419-5533</t>
  </si>
  <si>
    <t>17-43-24-c1-05821.0250</t>
  </si>
  <si>
    <t xml:space="preserve">Italia N31-112Y Vancouver  Carlisle, PA 17015 </t>
  </si>
  <si>
    <t>Cape Coral Unit 32 Blk 2161 Pb 16 Pg 12 Lots 45 + 46</t>
  </si>
  <si>
    <t xml:space="preserve">110 Kismet Pkwy E </t>
  </si>
  <si>
    <t>Virginie</t>
  </si>
  <si>
    <t>60010-3634</t>
  </si>
  <si>
    <t xml:space="preserve">116 NE 27th Ter  Cape Coral, FL 33909 </t>
  </si>
  <si>
    <t>William &amp; Equity Diamantas</t>
  </si>
  <si>
    <t xml:space="preserve">359 Neptune Ave B </t>
  </si>
  <si>
    <t>98043-5704</t>
  </si>
  <si>
    <t>Thomas &amp; Donna Camisa</t>
  </si>
  <si>
    <t>11548-1124</t>
  </si>
  <si>
    <t>Kainovic</t>
  </si>
  <si>
    <t>Cypress Woods Rv Resort Unit 4 Pb 79 Pgs 68-71 Blk D Lot 37</t>
  </si>
  <si>
    <t>Cypress Trail Rv Resort Phase 2-A As Desc In Inst# 2014000026506 Lot 7</t>
  </si>
  <si>
    <t>02169-3628</t>
  </si>
  <si>
    <t>Newberry</t>
  </si>
  <si>
    <t xml:space="preserve">39 Garden Cir </t>
  </si>
  <si>
    <t>33255-7151</t>
  </si>
  <si>
    <t xml:space="preserve">1829 Savona Pkwy  Cape Coral, FL 33904 </t>
  </si>
  <si>
    <t>Franch</t>
  </si>
  <si>
    <t xml:space="preserve">8 Waltham Way  Jackson, NJ 08527-4384 </t>
  </si>
  <si>
    <t>American &amp; Janet Holman</t>
  </si>
  <si>
    <t xml:space="preserve">3347 SE 18th Ave  Cape Coral, FL 33904 </t>
  </si>
  <si>
    <t>Marcella</t>
  </si>
  <si>
    <t>31-43-24-c4-02143.0380</t>
  </si>
  <si>
    <t xml:space="preserve">114 NE 21st Ave </t>
  </si>
  <si>
    <t xml:space="preserve">2113 NE 1st Ave </t>
  </si>
  <si>
    <t>33324-4908</t>
  </si>
  <si>
    <t>36-43-23-c2-02292.0220</t>
  </si>
  <si>
    <t xml:space="preserve">1821 NE 21st St  Cape Coral, FL 33909 </t>
  </si>
  <si>
    <t>Mcconnell</t>
  </si>
  <si>
    <t>Cedar Island</t>
  </si>
  <si>
    <t>PO Box 496</t>
  </si>
  <si>
    <t>Ann Mullen</t>
  </si>
  <si>
    <t xml:space="preserve">212 NE 31st Ter  Cape Coral, FL 33909 </t>
  </si>
  <si>
    <t>08742-2853</t>
  </si>
  <si>
    <t xml:space="preserve">3809 Pine Ridge Rd </t>
  </si>
  <si>
    <t xml:space="preserve">3140 NE 13th Pl </t>
  </si>
  <si>
    <t>East Rockaway</t>
  </si>
  <si>
    <t>10g</t>
  </si>
  <si>
    <t>Cypress Trail Rv Resort Phase 4-C Block B Lot 448 As Desc In Inst 2019000042424</t>
  </si>
  <si>
    <t xml:space="preserve">15931 SW 96th Ter  Miami, FL 33196-6619 </t>
  </si>
  <si>
    <t xml:space="preserve">7916 W Beechwood Ave  Milwaukee, WI 53223-4967 </t>
  </si>
  <si>
    <t>Ernesto Toribio</t>
  </si>
  <si>
    <t xml:space="preserve">1006 NE 34th St </t>
  </si>
  <si>
    <t xml:space="preserve">564 S 980 W  Orem, UT 84058-5251 </t>
  </si>
  <si>
    <t>Lehigh Acres Unit 1 Blk 6 Pb 26 Pg 3 Lot 30</t>
  </si>
  <si>
    <t>81st</t>
  </si>
  <si>
    <t>Beatrice Kuhl</t>
  </si>
  <si>
    <t>Sharon</t>
  </si>
  <si>
    <t>Niraj Someshwar</t>
  </si>
  <si>
    <t xml:space="preserve">1821 NE 27th St </t>
  </si>
  <si>
    <t xml:space="preserve">805 North St  Weatherly, PA 18255-1222 </t>
  </si>
  <si>
    <t>19-43-24-c3-05619.0290</t>
  </si>
  <si>
    <t>Beernaert</t>
  </si>
  <si>
    <t xml:space="preserve">23502 Mantova River Dr </t>
  </si>
  <si>
    <t>32-43-24-c2-02188.0310</t>
  </si>
  <si>
    <t>Third</t>
  </si>
  <si>
    <t>34-43-24-01-00039.0230</t>
  </si>
  <si>
    <t>Angel Medina</t>
  </si>
  <si>
    <t xml:space="preserve">507 SE 32nd St </t>
  </si>
  <si>
    <t xml:space="preserve">3603 NE 19th Ave  Cape Coral, FL 33909 </t>
  </si>
  <si>
    <t xml:space="preserve">74 Hillside Dr  Hamburg, NJ 07419-1307 </t>
  </si>
  <si>
    <t>Cape Coral Unit 87 Blk.5688 Pb 24 Pg 82 Lots 1 + 2</t>
  </si>
  <si>
    <t>34120-5059</t>
  </si>
  <si>
    <t>18-43-24-c4-05579.0050</t>
  </si>
  <si>
    <t>36-43-23-c4-02146.0770</t>
  </si>
  <si>
    <t>Cain Earnest H &amp; Laura J Tr</t>
  </si>
  <si>
    <t>33144-5002</t>
  </si>
  <si>
    <t xml:space="preserve">10110 Shadowood Ct  Fort Myers, FL 33905 </t>
  </si>
  <si>
    <t>Clarence Bachus</t>
  </si>
  <si>
    <t>Phuong &amp; Tina Nguyen</t>
  </si>
  <si>
    <t>Cape Coral Unit 32 Blk 2141 Pb 16 Pg 7 Lots 9 + 10</t>
  </si>
  <si>
    <t>Cape Coral Unit 88 Blk 5819 Pb 24 Pg 143 Lots 65 + 66</t>
  </si>
  <si>
    <t xml:space="preserve">211 Los Cerezos St #307, Lima, PE 00012 </t>
  </si>
  <si>
    <t>La Grange</t>
  </si>
  <si>
    <t>48092-2102</t>
  </si>
  <si>
    <t>Coloma</t>
  </si>
  <si>
    <t>49259-9504</t>
  </si>
  <si>
    <t xml:space="preserve">203 E Brunswick St  Sterling, VA 20164-2218 </t>
  </si>
  <si>
    <t>Alfred J Chiovetta Trust</t>
  </si>
  <si>
    <t xml:space="preserve">8899 NW 47th Dr </t>
  </si>
  <si>
    <t xml:space="preserve">8695 SW 51st Pl #4 </t>
  </si>
  <si>
    <t xml:space="preserve">3917 NE 16th Ave </t>
  </si>
  <si>
    <t xml:space="preserve">1032 NE 19th St  Cape Coral, FL 33909 </t>
  </si>
  <si>
    <t xml:space="preserve">14 Northern Dr  Bridgewater, NJ 08807-1822 </t>
  </si>
  <si>
    <t>Cape Coral Unit 17 Blk.1534 Pb 14 Pg 31 Lots 26 + 27</t>
  </si>
  <si>
    <t xml:space="preserve">9280 17th Ave NW  Bradenton, FL 34209-8153 </t>
  </si>
  <si>
    <t>Alpay</t>
  </si>
  <si>
    <t xml:space="preserve">6356 Beechwood Ave  Alliance, OH 44601-9481 </t>
  </si>
  <si>
    <t xml:space="preserve">111 Mcconnell Ave  Bayport, NY 11705-1770 </t>
  </si>
  <si>
    <t xml:space="preserve">1819 NE 22nd St </t>
  </si>
  <si>
    <t>Warriner</t>
  </si>
  <si>
    <t>25-43-23-c1-02329.0510</t>
  </si>
  <si>
    <t>24-44-24-p4-0130c.0060</t>
  </si>
  <si>
    <t>Cape Coral Unit 87 Blk 5749 Pb 24 Pg 68 Lots 65 + 66</t>
  </si>
  <si>
    <t>Mark &amp; Sabrina Greco</t>
  </si>
  <si>
    <t>33909-4403</t>
  </si>
  <si>
    <t>Willcox Rhonda H</t>
  </si>
  <si>
    <t>Michael Pendergast &amp; Nadine Blanchett</t>
  </si>
  <si>
    <t xml:space="preserve">2521 NE 19th Pl </t>
  </si>
  <si>
    <t>33905-7675</t>
  </si>
  <si>
    <t xml:space="preserve">16340 N Oleander Dr  Fort Myers, FL 33908 </t>
  </si>
  <si>
    <t xml:space="preserve">1218 NE 8th Pl </t>
  </si>
  <si>
    <t>Smyrna</t>
  </si>
  <si>
    <t>06-44-24-c3-02065.0150</t>
  </si>
  <si>
    <t xml:space="preserve">965 Township Road 296  Hammondsville, OH 43930-7934 </t>
  </si>
  <si>
    <t xml:space="preserve">1507 NE 8th Pl  Cape Coral, FL 33909 </t>
  </si>
  <si>
    <t>17-43-24-c1-05778.0250</t>
  </si>
  <si>
    <t>Hawkins</t>
  </si>
  <si>
    <t xml:space="preserve">6074 Waterway Bay Dr  Fort Myers, FL 33908 </t>
  </si>
  <si>
    <t>Enrique Jimenez</t>
  </si>
  <si>
    <t>Robert Gerola</t>
  </si>
  <si>
    <t xml:space="preserve">1805 NW 89th Ter 109-4 </t>
  </si>
  <si>
    <t xml:space="preserve">926 NE 34th Ter  Cape Coral, FL 33909 </t>
  </si>
  <si>
    <t>Joseph &amp; Carmen Roman</t>
  </si>
  <si>
    <t>Antoni Sobotka</t>
  </si>
  <si>
    <t xml:space="preserve">9731 SW 16th St </t>
  </si>
  <si>
    <t>Cali</t>
  </si>
  <si>
    <t>Tillotson</t>
  </si>
  <si>
    <t>33909-1348</t>
  </si>
  <si>
    <t xml:space="preserve">915 NE 37th Ter </t>
  </si>
  <si>
    <t xml:space="preserve">5627 8th St N  Arlington, VA 22205-1019 </t>
  </si>
  <si>
    <t>Arne</t>
  </si>
  <si>
    <t>Choctaw</t>
  </si>
  <si>
    <t>46996-8339</t>
  </si>
  <si>
    <t>Belton</t>
  </si>
  <si>
    <t xml:space="preserve">7007 E Gold Dust Ave #1040, Paradise Valley, AZ 85253-1412 </t>
  </si>
  <si>
    <t>03-44-26-08-00036.0280</t>
  </si>
  <si>
    <t>Margot Graham-Bruckus &amp; Harold Gerdes</t>
  </si>
  <si>
    <t xml:space="preserve">15b Rue Meckenheck  Berchem, LU </t>
  </si>
  <si>
    <t>Campos</t>
  </si>
  <si>
    <t>05-45-24-c1-00598.0510</t>
  </si>
  <si>
    <t xml:space="preserve">1550 Mattawa Blvd </t>
  </si>
  <si>
    <t>Cape Coral Unit 34 Blk 2421 Pb 16 Pg 79 Lots 39 + 40</t>
  </si>
  <si>
    <t xml:space="preserve">1041 S Collier Blvd #301 </t>
  </si>
  <si>
    <t>Stoneleigh</t>
  </si>
  <si>
    <t>33905-8648</t>
  </si>
  <si>
    <t>Canyon Country</t>
  </si>
  <si>
    <t>Cape Coral Unit 84 Blk 5566 Pb 24 Pg 38 Lots 23 + 24</t>
  </si>
  <si>
    <t xml:space="preserve">201 Cat Tail Bay Dr D </t>
  </si>
  <si>
    <t>Roger Bryant</t>
  </si>
  <si>
    <t>Cape Coral Unit 36 Pt 1 Blk 2478 Pb 23 Pg 90 Lots 17 + 18</t>
  </si>
  <si>
    <t>Penfield</t>
  </si>
  <si>
    <t>25-43-23-c1-02327.b330</t>
  </si>
  <si>
    <t>60106-1303</t>
  </si>
  <si>
    <t>32907-5983</t>
  </si>
  <si>
    <t>De Pinzon</t>
  </si>
  <si>
    <t>Boguslawa &amp; Janusz Ptak</t>
  </si>
  <si>
    <t xml:space="preserve">1472 Meadows Blvd  Weston, FL 33327-1805 </t>
  </si>
  <si>
    <t>22153-1317</t>
  </si>
  <si>
    <t xml:space="preserve">2200 NE 1st Ave </t>
  </si>
  <si>
    <t>Army Navy</t>
  </si>
  <si>
    <t xml:space="preserve">849 NE 38th Ter  Cape Coral, FL 33909 </t>
  </si>
  <si>
    <t>Rayano</t>
  </si>
  <si>
    <t xml:space="preserve">926 NE 34th St </t>
  </si>
  <si>
    <t>60523-1669</t>
  </si>
  <si>
    <t>Marek Cylkowski</t>
  </si>
  <si>
    <t>Cape Coral Unit 36 Blk 2303 Pb 16 Pg 119 Lots 55 + 56</t>
  </si>
  <si>
    <t>Andreas &amp; Evelyn Teuschler</t>
  </si>
  <si>
    <t>14580-7102</t>
  </si>
  <si>
    <t xml:space="preserve">2125 NE 25th Ter </t>
  </si>
  <si>
    <t xml:space="preserve">621 E Windward Pl  Tucson, AZ 85704-7338 </t>
  </si>
  <si>
    <t>PO Box 207001</t>
  </si>
  <si>
    <t xml:space="preserve">438 Clark St  North Fort Myers, FL 33903 </t>
  </si>
  <si>
    <t xml:space="preserve">2624 Riviera Ct  Tulare, CA 93274-3262 </t>
  </si>
  <si>
    <t>For Dennis M &amp; Judith A Mcomber Trust</t>
  </si>
  <si>
    <t xml:space="preserve">343 Beach 92Nd St  Rockaway Beach, NY 11693-1412 </t>
  </si>
  <si>
    <t>Chilco</t>
  </si>
  <si>
    <t xml:space="preserve">13704 169th St  Jamaica, NY 11434-4502 </t>
  </si>
  <si>
    <t>Bobby Vo</t>
  </si>
  <si>
    <t>Pascua-Cano</t>
  </si>
  <si>
    <t>Lombard</t>
  </si>
  <si>
    <t>Cape Coral Unit 47 Pt 2 Blk 3530 Pb 23 Pg 126 Lots 46 + 47</t>
  </si>
  <si>
    <t>Shoveler</t>
  </si>
  <si>
    <t>Dilworth</t>
  </si>
  <si>
    <t xml:space="preserve">37 Lee Ave </t>
  </si>
  <si>
    <t>Huffines</t>
  </si>
  <si>
    <t>Michael &amp; Lynn Chilelli</t>
  </si>
  <si>
    <t>Ormonde</t>
  </si>
  <si>
    <t>Moonachie</t>
  </si>
  <si>
    <t xml:space="preserve">334 NE 11th St </t>
  </si>
  <si>
    <t>Abilene</t>
  </si>
  <si>
    <t>Goodrich</t>
  </si>
  <si>
    <t xml:space="preserve">1425 Venetian Ct </t>
  </si>
  <si>
    <t>182nd</t>
  </si>
  <si>
    <t>Blue Water Shores Pb 10 Pg 78 Lot 24</t>
  </si>
  <si>
    <t>03-44-26-08-00037.0080</t>
  </si>
  <si>
    <t>Francia</t>
  </si>
  <si>
    <t>33909-9218</t>
  </si>
  <si>
    <t xml:space="preserve">2333 Caroma Ln </t>
  </si>
  <si>
    <t>33909-3283</t>
  </si>
  <si>
    <t>Dublin Laguardia &amp; Emelina Mendez</t>
  </si>
  <si>
    <t xml:space="preserve">1513 Jacaranda Pkwy E  Cape Coral, FL 33909 </t>
  </si>
  <si>
    <t>31-44-24-c2-00635.0390</t>
  </si>
  <si>
    <t>Spring</t>
  </si>
  <si>
    <t xml:space="preserve">4 Dana Ln </t>
  </si>
  <si>
    <t xml:space="preserve">6558 Stovall Rd </t>
  </si>
  <si>
    <t xml:space="preserve">3311 NE 20th Ave  Cape Coral, FL 33909 </t>
  </si>
  <si>
    <t>Cape Coral Unit 47 Pt 2 Blk 3540 Pb 23 Pg 117 Lots 54 + 55</t>
  </si>
  <si>
    <t>32750-3302</t>
  </si>
  <si>
    <t>33909-2517</t>
  </si>
  <si>
    <t>Laura Ciliotta</t>
  </si>
  <si>
    <t>Lehigh Acres Unit 5 Blk 25 Pb 26 Pg 32 Lot 10</t>
  </si>
  <si>
    <t xml:space="preserve">216 NE 18th St  Cape Coral, FL 33909 </t>
  </si>
  <si>
    <t>16-44-26-05-00006.0050</t>
  </si>
  <si>
    <t xml:space="preserve">9967 NW 7th St </t>
  </si>
  <si>
    <t>Giraldo</t>
  </si>
  <si>
    <t xml:space="preserve">1113 NE 5th Ave </t>
  </si>
  <si>
    <t>07104-1904</t>
  </si>
  <si>
    <t>Karima Moudoub</t>
  </si>
  <si>
    <t>33412-2059</t>
  </si>
  <si>
    <t>Mount Pleasant</t>
  </si>
  <si>
    <t xml:space="preserve">401 NE 15th St  Cape Coral, FL 33909 </t>
  </si>
  <si>
    <t xml:space="preserve">105 Lake Harbor Dr  Johnson City, TN 37615-2986 </t>
  </si>
  <si>
    <t xml:space="preserve">1741 Pacer Pl NW  Conyers, GA 30012-4033 </t>
  </si>
  <si>
    <t>Hoyt</t>
  </si>
  <si>
    <t>11221-3705</t>
  </si>
  <si>
    <t>Alice Darmody</t>
  </si>
  <si>
    <t xml:space="preserve">3713 NE 11th Pl </t>
  </si>
  <si>
    <t>Kim &amp; Raymond Cook</t>
  </si>
  <si>
    <t>West Jordan</t>
  </si>
  <si>
    <t xml:space="preserve">5731 Buchanan St  Hollywood, FL 33021-5615 </t>
  </si>
  <si>
    <t>Gaylen</t>
  </si>
  <si>
    <t>Lenia</t>
  </si>
  <si>
    <t>Cape Coral Unit 84 Blk 5617 Pb 24 Pg 34 Lots 35 + 36</t>
  </si>
  <si>
    <t>33905-7910</t>
  </si>
  <si>
    <t xml:space="preserve">1842 N Carriage Ln  Port Clinton, OH 43452-2906 </t>
  </si>
  <si>
    <t>33904-8505</t>
  </si>
  <si>
    <t>03-44-26-01-00003.0320</t>
  </si>
  <si>
    <t>Permuy</t>
  </si>
  <si>
    <t>Cape Coral Unit 25 Blk.907 Pb 14 Pg 95 Lots 42 + 43</t>
  </si>
  <si>
    <t>Hany Lozano</t>
  </si>
  <si>
    <t>29-43-24-c4-02256.0620</t>
  </si>
  <si>
    <t>Jonathan Rejas</t>
  </si>
  <si>
    <t>77083-5381</t>
  </si>
  <si>
    <t xml:space="preserve">2900 NE 4th Pl </t>
  </si>
  <si>
    <t>Cape Coral Unit 36 Blk 2354 Pb 16 Pg 119 Lots 53 + 54</t>
  </si>
  <si>
    <t>Hoyos</t>
  </si>
  <si>
    <t xml:space="preserve">309 Tropicana Pkwy E  Cape Coral, FL 33909 </t>
  </si>
  <si>
    <t>Joseph &amp; Joseph Martines</t>
  </si>
  <si>
    <t xml:space="preserve">1532 NE 36th Ln </t>
  </si>
  <si>
    <t>128th</t>
  </si>
  <si>
    <t xml:space="preserve">4096 Rutz Ln  Allentown, PA 18104-7702 </t>
  </si>
  <si>
    <t>20-43-24-c2-05664.0510</t>
  </si>
  <si>
    <t>Cape Coral Unit 88 Blk 5778 Pb 24 Pg 135 Lots 15 + 16</t>
  </si>
  <si>
    <t xml:space="preserve">6150 Higgins Ave </t>
  </si>
  <si>
    <t>06-44-24-c3-02035.0030</t>
  </si>
  <si>
    <t xml:space="preserve">910 NE 23rd Ter  Cape Coral, FL 33909 </t>
  </si>
  <si>
    <t xml:space="preserve">11 Magee Dr </t>
  </si>
  <si>
    <t xml:space="preserve">16992 Cass Brook Ln  Woodbridge, VA 22191-5111 </t>
  </si>
  <si>
    <t>33903-4427</t>
  </si>
  <si>
    <t>32810-1904</t>
  </si>
  <si>
    <t>33029-3691</t>
  </si>
  <si>
    <t>Victor &amp; Merys Lopez</t>
  </si>
  <si>
    <t xml:space="preserve">2316 W 141st St </t>
  </si>
  <si>
    <t>03-44-26-01-00005.0170</t>
  </si>
  <si>
    <t xml:space="preserve">1535 Steamboat Ct  Evergreen, CO 80439-9561 </t>
  </si>
  <si>
    <t xml:space="preserve">3924 NE 15th Pl </t>
  </si>
  <si>
    <t>Mary &amp; Lucio Gandolfo</t>
  </si>
  <si>
    <t xml:space="preserve">2616 NE 21st Ave  Cape Coral, FL 33909 </t>
  </si>
  <si>
    <t>07463-1529</t>
  </si>
  <si>
    <t>Cape Coral Unit 85 Blk 5655 Pb 24 Pg 57 Lots 23 + 24</t>
  </si>
  <si>
    <t>Lozada</t>
  </si>
  <si>
    <t>Aria</t>
  </si>
  <si>
    <t xml:space="preserve">3731 Michigan Ave  Fort Myers, FL 33905 </t>
  </si>
  <si>
    <t xml:space="preserve">1405 NE 18th Ave </t>
  </si>
  <si>
    <t>20-43-24-c3-05639.0320</t>
  </si>
  <si>
    <t xml:space="preserve">4975 Sandra Bay Dr #103 </t>
  </si>
  <si>
    <t>Fricke</t>
  </si>
  <si>
    <t>Cape Coral Unit 36 Blk 2352 Pb 16 Pg 124 Lots 13 + 14</t>
  </si>
  <si>
    <t>33909-4452</t>
  </si>
  <si>
    <t xml:space="preserve">121 NE 5th Ter  Cape Coral, FL 33909 </t>
  </si>
  <si>
    <t>Cape Coral Unit 34 Blk.2424 Pb 16 Pg 76 Lots 39 + 40</t>
  </si>
  <si>
    <t>Amanda</t>
  </si>
  <si>
    <t>17-43-24-c2-05815.0350</t>
  </si>
  <si>
    <t>95691-5439</t>
  </si>
  <si>
    <t>Vladimir &amp; Carlos Ayala</t>
  </si>
  <si>
    <t>Johnston</t>
  </si>
  <si>
    <t>Mangal</t>
  </si>
  <si>
    <t xml:space="preserve">9195 E Mountain View Ave </t>
  </si>
  <si>
    <t>Wiens</t>
  </si>
  <si>
    <t>03-44-26-09-00045.0190</t>
  </si>
  <si>
    <t>19-43-24-c4-05557.0230</t>
  </si>
  <si>
    <t xml:space="preserve">6319 Hatteras Club Dr </t>
  </si>
  <si>
    <t>Horace</t>
  </si>
  <si>
    <t xml:space="preserve">4025 NE 22nd Ave  Cape Coral, FL 33909 </t>
  </si>
  <si>
    <t>Fontanari</t>
  </si>
  <si>
    <t>Evita</t>
  </si>
  <si>
    <t xml:space="preserve">10376 Nightwood Dr  Fort Myers, FL 33905 </t>
  </si>
  <si>
    <t xml:space="preserve">5370 Ragusa Loop B </t>
  </si>
  <si>
    <t>Cape Coral Unit 33 Blk.2241 Pb 16 Pg 52 Lots 57 + 58</t>
  </si>
  <si>
    <t>Sharon &amp; For Seidenberg</t>
  </si>
  <si>
    <t>36-44-23-c1-00911.0110</t>
  </si>
  <si>
    <t>03-44-26-01-00004.0120</t>
  </si>
  <si>
    <t>33904-7963</t>
  </si>
  <si>
    <t xml:space="preserve">85 Rio Robles E #1230 </t>
  </si>
  <si>
    <t xml:space="preserve">17 Parsborough Crt  Toronto, ON M1b 4Y2 </t>
  </si>
  <si>
    <t>Cape Coral Unit 21 Blk.658 Pb 13 Pg 159 Lots 69 70 + 70A</t>
  </si>
  <si>
    <t>Cape Coral Unit 36 Pt 1 Blk 2480 Pb 23 Pg 90 Lots 43 Thru 45</t>
  </si>
  <si>
    <t xml:space="preserve">3626 NE 18th Ave </t>
  </si>
  <si>
    <t>33909-8872</t>
  </si>
  <si>
    <t>Debora Roth &amp; Diane Eaton</t>
  </si>
  <si>
    <t>Cape Coral Unit 36 Pt 1 Blk 2545 Pb 23 Pg 94 Lots 23 + 24</t>
  </si>
  <si>
    <t xml:space="preserve">867 Bay Shore Ave </t>
  </si>
  <si>
    <t>33016-5520</t>
  </si>
  <si>
    <t xml:space="preserve">500 Pennroyal Ln </t>
  </si>
  <si>
    <t xml:space="preserve">9126 Jasmine Ln  Irving, TX 75063-4277 </t>
  </si>
  <si>
    <t>Mauro &amp; Caroline Bruno</t>
  </si>
  <si>
    <t>80247-1263</t>
  </si>
  <si>
    <t>Januereo</t>
  </si>
  <si>
    <t>Juan Anguisaca</t>
  </si>
  <si>
    <t xml:space="preserve">9585 E 300 N  Kendallville, IN 46755-9223 </t>
  </si>
  <si>
    <t>Carla Valle-Yepez</t>
  </si>
  <si>
    <t xml:space="preserve">71 Oakland St  Malden, MA 02148-6522 </t>
  </si>
  <si>
    <t>David Zacaria</t>
  </si>
  <si>
    <t xml:space="preserve">2527 NE 6th Ave </t>
  </si>
  <si>
    <t>46815-6561</t>
  </si>
  <si>
    <t>Cathy</t>
  </si>
  <si>
    <t xml:space="preserve">7900 SW 50th Ct  Miami, FL 33143-6031 </t>
  </si>
  <si>
    <t>19-43-24-c2-05753.0300</t>
  </si>
  <si>
    <t>11725-1024</t>
  </si>
  <si>
    <t>33408-5560</t>
  </si>
  <si>
    <t xml:space="preserve">1306 NE 9th Ave </t>
  </si>
  <si>
    <t xml:space="preserve">1403 NE 19th St  Cape Coral, FL 33909 </t>
  </si>
  <si>
    <t>Cypress Trail Rv Resort Phase 4-C Block A Lot 136 As Desc In Inst 2019000042424</t>
  </si>
  <si>
    <t xml:space="preserve">7916 W Beechwood Ave </t>
  </si>
  <si>
    <t>Rue Des Fleurines</t>
  </si>
  <si>
    <t xml:space="preserve">11071 Sunburst Ln </t>
  </si>
  <si>
    <t>Vella</t>
  </si>
  <si>
    <t>93401-5732</t>
  </si>
  <si>
    <t>Cypress Trail Rv Resort Phase 2-A As Desc In Inst# 2014000026506 Lot 2</t>
  </si>
  <si>
    <t xml:space="preserve">69 Berlin St  Dedham, MA 02026-2336 </t>
  </si>
  <si>
    <t xml:space="preserve">4103 Carriage Dr H1, Pompano Beach, FL 33069-5538 </t>
  </si>
  <si>
    <t>Benjamin Griggs</t>
  </si>
  <si>
    <t>Devera</t>
  </si>
  <si>
    <t>19-43-24-c3-05611.0410</t>
  </si>
  <si>
    <t>33065-1995</t>
  </si>
  <si>
    <t xml:space="preserve">511 Jersey Ave </t>
  </si>
  <si>
    <t>Parl Loc In Govt Lot 2 Desc In Or 4236 Pg 2558</t>
  </si>
  <si>
    <t>61084-9733</t>
  </si>
  <si>
    <t>Cape Coral Unit 87 Blk 5740 Pb 24 Pg 70 Lots 51 Thru 53</t>
  </si>
  <si>
    <t>Generosa Magallanes</t>
  </si>
  <si>
    <t xml:space="preserve">280 Granada Blvd </t>
  </si>
  <si>
    <t xml:space="preserve">2606 NE 19th Pl  Cape Coral, FL 33909 </t>
  </si>
  <si>
    <t>25-43-23-c4-02302.0590</t>
  </si>
  <si>
    <t>Michael Tucker</t>
  </si>
  <si>
    <t>Lehigh Acres Unit 5 Blk 22 Pb 26 Pg 7 Lot 12</t>
  </si>
  <si>
    <t xml:space="preserve">20 Rue Loui-Cochet  St Hilaire Au Temple, FR </t>
  </si>
  <si>
    <t xml:space="preserve">20-40 Guayano </t>
  </si>
  <si>
    <t>Aydee Perez</t>
  </si>
  <si>
    <t>Gray Barn</t>
  </si>
  <si>
    <t xml:space="preserve">2353 Lodovick Ave  Bronx, NY 10469-6329 </t>
  </si>
  <si>
    <t>33909-6109</t>
  </si>
  <si>
    <t xml:space="preserve">623 Inverness Rd </t>
  </si>
  <si>
    <t>Robt &amp; Raffella Boncore</t>
  </si>
  <si>
    <t>Marilyn Schroyer</t>
  </si>
  <si>
    <t>Petrovski</t>
  </si>
  <si>
    <t xml:space="preserve">5555 SW 192nd Ter  Southwest Ranches, FL 33332-3328 </t>
  </si>
  <si>
    <t>Jonathan Harbour</t>
  </si>
  <si>
    <t>33904-8358</t>
  </si>
  <si>
    <t>Cape Coral Unit 36 Blk 2319 Pb 16 Pg 129 Lots 69 + 70</t>
  </si>
  <si>
    <t>Demetrios</t>
  </si>
  <si>
    <t>33903-7335</t>
  </si>
  <si>
    <t>R267</t>
  </si>
  <si>
    <t xml:space="preserve">6900 Westcliff Dr #603 </t>
  </si>
  <si>
    <t xml:space="preserve">95 Burgess Pl  Groton, CT 06340-5010 </t>
  </si>
  <si>
    <t>36-43-23-c3-02101.0710</t>
  </si>
  <si>
    <t>17-43-24-c3-05795.0270</t>
  </si>
  <si>
    <t>Riverbend</t>
  </si>
  <si>
    <t>01-44-23-c3-02465.0850</t>
  </si>
  <si>
    <t xml:space="preserve">423 NE 1st Ave </t>
  </si>
  <si>
    <t>33909-4202</t>
  </si>
  <si>
    <t>Cayman</t>
  </si>
  <si>
    <t>20-43-24-c2-05666.0110</t>
  </si>
  <si>
    <t xml:space="preserve">18 Liberty Rd  Marshfield, MA 02050-4728 </t>
  </si>
  <si>
    <t xml:space="preserve">337 NE 29th St </t>
  </si>
  <si>
    <t>Cape Coral Unit 36 Pt 1 Blk 2542 Pb 23 Pg 94 Lots 11 + 12</t>
  </si>
  <si>
    <t>H3W 2Z2</t>
  </si>
  <si>
    <t>33909-7360</t>
  </si>
  <si>
    <t>Jacqueline Lamas</t>
  </si>
  <si>
    <t xml:space="preserve">4116 NE 14th Pl  Cape Coral, FL 33909 </t>
  </si>
  <si>
    <t>MARKET TOTAL VALUE</t>
  </si>
  <si>
    <t>01-44-23-c4-02419.0030</t>
  </si>
  <si>
    <t xml:space="preserve">2329 NE 34th Ter  Cape Coral, FL 33909 </t>
  </si>
  <si>
    <t xml:space="preserve">12503 Timberglen Ter  Colorado Springs, CO 80921-3781 </t>
  </si>
  <si>
    <t xml:space="preserve">10311 Prairie Iris Dr </t>
  </si>
  <si>
    <t xml:space="preserve">3335 SE 18th Ave </t>
  </si>
  <si>
    <t>Marsano</t>
  </si>
  <si>
    <t>46902-4658</t>
  </si>
  <si>
    <t>12306-5854</t>
  </si>
  <si>
    <t>32-43-24-c3-02223.0320</t>
  </si>
  <si>
    <t xml:space="preserve">PO Box 1262  Lawrence, MA 01842-2362 </t>
  </si>
  <si>
    <t xml:space="preserve">12703 Willow Marsh Ln </t>
  </si>
  <si>
    <t>Georgetown</t>
  </si>
  <si>
    <t xml:space="preserve">1007 NE 4th Ave </t>
  </si>
  <si>
    <t>Cedarwood</t>
  </si>
  <si>
    <t>Hau</t>
  </si>
  <si>
    <t xml:space="preserve">467 NE 3rd Pl </t>
  </si>
  <si>
    <t>Cape Coral Unit 33 Blk.2231 Pb 16 Pg 51 Lots 8 + 9</t>
  </si>
  <si>
    <t>Rodrigo Ledezma</t>
  </si>
  <si>
    <t>Hinojosa</t>
  </si>
  <si>
    <t xml:space="preserve">1205 NE 12th Pl  Cape Coral, FL 33909 </t>
  </si>
  <si>
    <t>Silvestri</t>
  </si>
  <si>
    <t xml:space="preserve">1915/1917 NE 15th Ln </t>
  </si>
  <si>
    <t xml:space="preserve">1240 S 2nd St #1302 </t>
  </si>
  <si>
    <t>Eli Tall</t>
  </si>
  <si>
    <t>Goldsberry</t>
  </si>
  <si>
    <t>Cypress Trail Rv Resort Ph 3 As Desc In Inst# 2015000085552 Lot 42</t>
  </si>
  <si>
    <t>33909-3539</t>
  </si>
  <si>
    <t>Bridge</t>
  </si>
  <si>
    <t>Propnetscenter</t>
  </si>
  <si>
    <t xml:space="preserve">1203 NE 44th St </t>
  </si>
  <si>
    <t xml:space="preserve">3800 NE 23rd Pl  Cape Coral, FL 33909 </t>
  </si>
  <si>
    <t>Seal Beach</t>
  </si>
  <si>
    <t xml:space="preserve">5173 Cypress Trail Resort Cir  Fort Myers, FL 33905 </t>
  </si>
  <si>
    <t>Buckingham Pk Re Blk B U-3 Blk 13 Pb 27 Pg 190 Lot 44</t>
  </si>
  <si>
    <t xml:space="preserve">2319 NE 5th Pl  Cape Coral, FL 33909 </t>
  </si>
  <si>
    <t xml:space="preserve">11691 Fox Sparrow Dr  Fort Myers, FL 33908 </t>
  </si>
  <si>
    <t xml:space="preserve">1820 Kismet Pkwy E  Cape Coral, FL 33909 </t>
  </si>
  <si>
    <t>Cape Coral Unit 36 Blk 2538 Pb 16 Pg 118 Lots 48 Thru 50</t>
  </si>
  <si>
    <t>33909-1632</t>
  </si>
  <si>
    <t xml:space="preserve">30623 Dover Rd  Easton, MD 21601-8723 </t>
  </si>
  <si>
    <t>07060-2822</t>
  </si>
  <si>
    <t>Deidad</t>
  </si>
  <si>
    <t>Charles Romaine</t>
  </si>
  <si>
    <t xml:space="preserve">1135 E Clark Rd </t>
  </si>
  <si>
    <t>Mario Fernandez</t>
  </si>
  <si>
    <t xml:space="preserve">771 Safari Rd </t>
  </si>
  <si>
    <t>33141-2434</t>
  </si>
  <si>
    <t>Lorie</t>
  </si>
  <si>
    <t>Old Chatham</t>
  </si>
  <si>
    <t>14072-2842</t>
  </si>
  <si>
    <t>33909-4790</t>
  </si>
  <si>
    <t xml:space="preserve">113 Cultural Park Blvd N  Cape Coral, FL 33909 </t>
  </si>
  <si>
    <t>29-43-24-c4-02287.0050</t>
  </si>
  <si>
    <t xml:space="preserve">6920 Motor Inn Dr  Huntingdon, PA 16652-1128 </t>
  </si>
  <si>
    <t>Bassum</t>
  </si>
  <si>
    <t>Quichocho</t>
  </si>
  <si>
    <t xml:space="preserve">Po Box 415 </t>
  </si>
  <si>
    <t xml:space="preserve">974 Pace Dr NW  Palm Bay, FL 32907-5983 </t>
  </si>
  <si>
    <t>22153-3508</t>
  </si>
  <si>
    <t>Lache</t>
  </si>
  <si>
    <t>Otis</t>
  </si>
  <si>
    <t xml:space="preserve">2614 NE 6th Ave </t>
  </si>
  <si>
    <t>Cape Coral Unit 36 Blk 2343 Pb 16 Pg 121 Lots 7 + 8</t>
  </si>
  <si>
    <t>Boeham</t>
  </si>
  <si>
    <t xml:space="preserve">4821 Marque Dr </t>
  </si>
  <si>
    <t>11420-1016</t>
  </si>
  <si>
    <t>06-46-24-15-00000.014a</t>
  </si>
  <si>
    <t>Schultheis John Nicholas Tr</t>
  </si>
  <si>
    <t>Dallas Florence</t>
  </si>
  <si>
    <t>30134-8009</t>
  </si>
  <si>
    <t>Cinnamon Tea</t>
  </si>
  <si>
    <t>Cape Coral Unit 87 Blk 5699 Pb 24 Pg 75 Lots 39 + 40</t>
  </si>
  <si>
    <t xml:space="preserve">424 NE 17th Pl </t>
  </si>
  <si>
    <t>B512</t>
  </si>
  <si>
    <t xml:space="preserve">9510 Old Southwick Pass  Alpharetta, GA 30022-5115 </t>
  </si>
  <si>
    <t>Cape Coral Unit 32 Blk 2137 Pb 16 Pg 13 Lots 5 + 6</t>
  </si>
  <si>
    <t>11-44-25-09-00000.0160</t>
  </si>
  <si>
    <t>Harding</t>
  </si>
  <si>
    <t xml:space="preserve">2017 Lomita Blvd  Lomita, CA 90717-1701 </t>
  </si>
  <si>
    <t>R017</t>
  </si>
  <si>
    <t>Via Commerciale</t>
  </si>
  <si>
    <t xml:space="preserve">213 NE 25th St </t>
  </si>
  <si>
    <t>Cape Coral Unit 84 Blk 5612 Pb 24 Pg 36 Lots 9 + 10</t>
  </si>
  <si>
    <t xml:space="preserve">4009 NE 23rd Pl  Cape Coral, FL 33909 </t>
  </si>
  <si>
    <t>Alvarado</t>
  </si>
  <si>
    <t>Elisabeth</t>
  </si>
  <si>
    <t>Blake &amp; Erin Thiesse</t>
  </si>
  <si>
    <t>Stewart Ruby A Tr</t>
  </si>
  <si>
    <t>07728-8157</t>
  </si>
  <si>
    <t>16-44-26-06-00012.0070</t>
  </si>
  <si>
    <t>Hilbert Humphrey</t>
  </si>
  <si>
    <t>31-43-24-c3-02116.0030</t>
  </si>
  <si>
    <t>46307-8860</t>
  </si>
  <si>
    <t>Telly</t>
  </si>
  <si>
    <t xml:space="preserve">314 NE 4th St  Cape Coral, FL 33909 </t>
  </si>
  <si>
    <t>Meeker Creek</t>
  </si>
  <si>
    <t>Karth Lake</t>
  </si>
  <si>
    <t>El Indio</t>
  </si>
  <si>
    <t xml:space="preserve">1813 NE 12th Pl </t>
  </si>
  <si>
    <t xml:space="preserve">261 Powell Ave SW  Renton, WA 98057-2276 </t>
  </si>
  <si>
    <t>18-43-24-c3-05752.0070</t>
  </si>
  <si>
    <t xml:space="preserve">2735 NW 16th Ter  Miami, FL 33125-2018 </t>
  </si>
  <si>
    <t>Cypress Trail Rv Resort Phase 2-A As Desc In Inst# 2014000026506 Lot 73</t>
  </si>
  <si>
    <t xml:space="preserve">1415 NE 15th St  Cape Coral, FL 33909 </t>
  </si>
  <si>
    <t xml:space="preserve">708 NE 3rd Ave  Cape Coral, FL 33909 </t>
  </si>
  <si>
    <t xml:space="preserve">606 Collins St  Bethany Beach, DE 19930-9534 </t>
  </si>
  <si>
    <t xml:space="preserve">1217 SE 31st St </t>
  </si>
  <si>
    <t xml:space="preserve">2314 NE 36th St  Cape Coral, FL 33909 </t>
  </si>
  <si>
    <t xml:space="preserve">1020 NE 32nd Ter </t>
  </si>
  <si>
    <t xml:space="preserve">2740 NE 7th Pl  Cape Coral, FL 33909 </t>
  </si>
  <si>
    <t xml:space="preserve">1424 NE 37th St  Cape Coral, FL 33909 </t>
  </si>
  <si>
    <t>07-44-24-c4-03607.0050</t>
  </si>
  <si>
    <t xml:space="preserve">3521 W Gator Cir </t>
  </si>
  <si>
    <t xml:space="preserve">6020 Tabor Ave </t>
  </si>
  <si>
    <t>Paterson Plank</t>
  </si>
  <si>
    <t xml:space="preserve">Po Box 158 </t>
  </si>
  <si>
    <t>Cape Coral Unit 88 Blk 5819 Pb 24 Pg 143 Lots 63 + 64</t>
  </si>
  <si>
    <t>Cape Coral Unit 33 Blk 2186 Pb 16 Pg 48 Lots 27 + 28</t>
  </si>
  <si>
    <t xml:space="preserve">2619 NE 22nd Ave </t>
  </si>
  <si>
    <t>01749-1454</t>
  </si>
  <si>
    <t xml:space="preserve">5215 Melissa Dr  Titusville, FL 32780-7154 </t>
  </si>
  <si>
    <t>Armando</t>
  </si>
  <si>
    <t xml:space="preserve">Po Box 694300 </t>
  </si>
  <si>
    <t>MAIL ZIP/ZIP+4</t>
  </si>
  <si>
    <t xml:space="preserve">1212 NW 141st Ave </t>
  </si>
  <si>
    <t>Cape Coral Unit 33 Blk.2199 Pb 16 Pg 45 Lots 60 + 61</t>
  </si>
  <si>
    <t>Bevacqua</t>
  </si>
  <si>
    <t>Pasion</t>
  </si>
  <si>
    <t xml:space="preserve">58 Glen Oaks Ct  Old Bridge, NJ 08857-3555 </t>
  </si>
  <si>
    <t>Chia &amp; Tat Thach</t>
  </si>
  <si>
    <t>R213</t>
  </si>
  <si>
    <t xml:space="preserve">1912 Oak Ave </t>
  </si>
  <si>
    <t>Cape Coral Unit 17 Blk.1534 Pb 14 Pg 31 Lots 24 + 25</t>
  </si>
  <si>
    <t xml:space="preserve">1405 NE 4th Pl  Cape Coral, FL 33909 </t>
  </si>
  <si>
    <t>33328-5615</t>
  </si>
  <si>
    <t xml:space="preserve">8771/8773 Buckingham Rd </t>
  </si>
  <si>
    <t>Cape Coral Unit 36 Blk 2314 Pb 16 Pg Ui0 Lots 56 + 57</t>
  </si>
  <si>
    <t>84093-1818</t>
  </si>
  <si>
    <t>Ridgecrest</t>
  </si>
  <si>
    <t>33909-6447</t>
  </si>
  <si>
    <t>Rodolfo &amp; Evelyn Herbello</t>
  </si>
  <si>
    <t>Ahah Ahsanullah</t>
  </si>
  <si>
    <t>19-43-24-c2-05596.0250</t>
  </si>
  <si>
    <t>Cape Coral Unit 35 Blk 2412 Pb 16 Pg 109 Lots 16 + 17</t>
  </si>
  <si>
    <t>Kalman</t>
  </si>
  <si>
    <t>11-44-25-l1-13000.3140</t>
  </si>
  <si>
    <t>44410-1643</t>
  </si>
  <si>
    <t>Raven Rock</t>
  </si>
  <si>
    <t xml:space="preserve">2113 NE 15th Ter  Cape Coral, FL 33909 </t>
  </si>
  <si>
    <t xml:space="preserve">5990 Main St </t>
  </si>
  <si>
    <t>29-43-24-c4-02256.0130</t>
  </si>
  <si>
    <t>62nd</t>
  </si>
  <si>
    <t>33015-5230</t>
  </si>
  <si>
    <t>Geel</t>
  </si>
  <si>
    <t>33909-4540</t>
  </si>
  <si>
    <t xml:space="preserve">515 Hilltop Rd  Yorktown Heights, NY 10598-3731 </t>
  </si>
  <si>
    <t>Cape Coral Unit 31 Blk 2073 Pb 14 Pg 160 Lots 61 + 62</t>
  </si>
  <si>
    <t>Kapassakis</t>
  </si>
  <si>
    <t xml:space="preserve">7730 NW 50th St </t>
  </si>
  <si>
    <t xml:space="preserve">2525 NE 19th Pl </t>
  </si>
  <si>
    <t>Daniel Richard Sawyer Living Trust</t>
  </si>
  <si>
    <t>33909-8839</t>
  </si>
  <si>
    <t xml:space="preserve">13660 Marquette Blvd </t>
  </si>
  <si>
    <t xml:space="preserve">4128 NE 10th Pl  Cape Coral, FL 33909 </t>
  </si>
  <si>
    <t>Kondeti</t>
  </si>
  <si>
    <t xml:space="preserve">7998 SW 144th St  Palmetto Bay, FL 33158-1557 </t>
  </si>
  <si>
    <t xml:space="preserve">18663 Simonet Dr NW </t>
  </si>
  <si>
    <t xml:space="preserve">7673 NW 182nd Ter  Hialeah, FL 33015-2942 </t>
  </si>
  <si>
    <t>33909-4251</t>
  </si>
  <si>
    <t>33909-1485</t>
  </si>
  <si>
    <t>33063-7383</t>
  </si>
  <si>
    <t>Cape Coral Unit 36 Blk 2318 Pb 16 Pg 127 Lots 53 + 54</t>
  </si>
  <si>
    <t>Carol &amp; For Tilkens</t>
  </si>
  <si>
    <t xml:space="preserve">6036 Lacota Ave </t>
  </si>
  <si>
    <t xml:space="preserve">35 Trailside Cir </t>
  </si>
  <si>
    <t xml:space="preserve">108 4th St  Fort Myers, FL 33907 </t>
  </si>
  <si>
    <t>Silver Sword</t>
  </si>
  <si>
    <t xml:space="preserve">1718 NE 1st Pl  Cape Coral, FL 33909 </t>
  </si>
  <si>
    <t>Bluewater</t>
  </si>
  <si>
    <t>17-43-24-c1-05828.0130</t>
  </si>
  <si>
    <t>Kraus Charles Frederick Iii Tr</t>
  </si>
  <si>
    <t>Tatiana</t>
  </si>
  <si>
    <t>Goodman</t>
  </si>
  <si>
    <t>03-44-26-11-00059.0190</t>
  </si>
  <si>
    <t>L4C 6R7</t>
  </si>
  <si>
    <t xml:space="preserve">2009 NE 15th St  Cape Coral, FL 33909 </t>
  </si>
  <si>
    <t>90064-3702</t>
  </si>
  <si>
    <t>Marsillargues</t>
  </si>
  <si>
    <t>Al</t>
  </si>
  <si>
    <t>Salvador-Silva</t>
  </si>
  <si>
    <t xml:space="preserve">366 Baslerstrasse  Portland, ME 04123 </t>
  </si>
  <si>
    <t xml:space="preserve">1520 NE 34th Ln  Cape Coral, FL 33909 </t>
  </si>
  <si>
    <t>25-43-23-c3-02345.0240</t>
  </si>
  <si>
    <t>33909-5224</t>
  </si>
  <si>
    <t>Lacota</t>
  </si>
  <si>
    <t xml:space="preserve">9615 Windgate Dr </t>
  </si>
  <si>
    <t>33908-4201</t>
  </si>
  <si>
    <t>33-43-26-l1-02000.0107</t>
  </si>
  <si>
    <t xml:space="preserve">520 Brickell Key Dr A904 </t>
  </si>
  <si>
    <t>Cape Coral Unit 33 Blk 2227 Pb 16 Pg 50 Lots 4 + 5</t>
  </si>
  <si>
    <t>Raymond &amp; Camille Chemtob</t>
  </si>
  <si>
    <t>Stephanie Nielsen</t>
  </si>
  <si>
    <t>Cypress Trail Rv Resort Phase 2-A As Desc In Inst# 2014000026506 Lot 246</t>
  </si>
  <si>
    <t xml:space="preserve">8 Arbor Ct </t>
  </si>
  <si>
    <t>33909-1970</t>
  </si>
  <si>
    <t>Cape Coral Unit 84 Blk 5608 Pb 24 Pg 36 Lots 21 + 22</t>
  </si>
  <si>
    <t>Pine Manor Unit 4 Blk 21 Pb 11 Pg 9 Lot 7 + S 1/2 Lot 6</t>
  </si>
  <si>
    <t>Meadow Ridge</t>
  </si>
  <si>
    <t>31-43-24-c2-02138.0270</t>
  </si>
  <si>
    <t xml:space="preserve">1014 Hain Rd </t>
  </si>
  <si>
    <t>Oakhurst</t>
  </si>
  <si>
    <t xml:space="preserve">5671 Maplewood Ct </t>
  </si>
  <si>
    <t xml:space="preserve">17051 Ralphs Ranch Rd #502, San Diego, CA 92127-2889 </t>
  </si>
  <si>
    <t>Anil &amp; Jyoti Kochar</t>
  </si>
  <si>
    <t>Gordon &amp; Barbara Anderson</t>
  </si>
  <si>
    <t>Montrose</t>
  </si>
  <si>
    <t>Westfield</t>
  </si>
  <si>
    <t>33905-3142</t>
  </si>
  <si>
    <t>L3C 6M7</t>
  </si>
  <si>
    <t>Karalic</t>
  </si>
  <si>
    <t xml:space="preserve">6 Dickinson St #2, Cambridge, MA 02139-1907 </t>
  </si>
  <si>
    <t>Villeneuve</t>
  </si>
  <si>
    <t>Lee Plantation Phase 1 Replat Blk 5 Pb 38 Pg 91 Lot 8</t>
  </si>
  <si>
    <t xml:space="preserve">6010 Langdon Ave </t>
  </si>
  <si>
    <t xml:space="preserve">130 Kismet Pkwy E  Cape Coral, FL 33909 </t>
  </si>
  <si>
    <t xml:space="preserve">19331 Pacifica Pl  Noblesville, IN 46060-6004 </t>
  </si>
  <si>
    <t xml:space="preserve">7337 Applegate Dr  Zephyrhills, FL 33540-1033 </t>
  </si>
  <si>
    <t>Rhoan</t>
  </si>
  <si>
    <t>Jorge Santi</t>
  </si>
  <si>
    <t>92843-3416</t>
  </si>
  <si>
    <t>Tampico</t>
  </si>
  <si>
    <t>29-43-26-05-00084.0350</t>
  </si>
  <si>
    <t xml:space="preserve">7951 SW 197th Ter </t>
  </si>
  <si>
    <t>20-43-24-c1-05649.0270</t>
  </si>
  <si>
    <t>32-43-24-c2-02235.0300</t>
  </si>
  <si>
    <t xml:space="preserve">2558 SE Rookery Dr #2307 </t>
  </si>
  <si>
    <t>36-44-23-c3-00879.0780</t>
  </si>
  <si>
    <t xml:space="preserve">927 NE 16th Ter </t>
  </si>
  <si>
    <t>Douthit</t>
  </si>
  <si>
    <t>Phil Hansen</t>
  </si>
  <si>
    <t xml:space="preserve">2101 16th Ct W  Williston, ND 58801-2528 </t>
  </si>
  <si>
    <t>06-44-24-c1-02070.0110</t>
  </si>
  <si>
    <t xml:space="preserve">323 NE 20th St </t>
  </si>
  <si>
    <t xml:space="preserve">115 Gold St  Manchester, NH 03103-6743 </t>
  </si>
  <si>
    <t>Brandt</t>
  </si>
  <si>
    <t>32827-5259</t>
  </si>
  <si>
    <t>Martinez</t>
  </si>
  <si>
    <t>11-44-25-06-0000d.0070</t>
  </si>
  <si>
    <t>R066</t>
  </si>
  <si>
    <t xml:space="preserve">2003 NE 15th Ln </t>
  </si>
  <si>
    <t>Orono</t>
  </si>
  <si>
    <t xml:space="preserve">1322 E 88th St  Brooklyn, NY 11236-5118 </t>
  </si>
  <si>
    <t>Bader</t>
  </si>
  <si>
    <t>Gregory K and Carol A Wiemelt Trust</t>
  </si>
  <si>
    <t xml:space="preserve">205 Woodlawn Ct </t>
  </si>
  <si>
    <t>Bill &amp; Toni Lafountaine</t>
  </si>
  <si>
    <t xml:space="preserve">2120 NE 40th Ter </t>
  </si>
  <si>
    <t>20-43-24-c1-05603.0290</t>
  </si>
  <si>
    <t xml:space="preserve">2062 Barbados Ave  Fort Myers, FL 33905 </t>
  </si>
  <si>
    <t>Michael &amp; Betty Gardiner</t>
  </si>
  <si>
    <t>Cape Coral Unit 33 Blk.2239 Pb 16 Pg 55 Lots 41 + 42</t>
  </si>
  <si>
    <t>Cape Coral Unit 33 Blk.2181 Pb 16 Pg 49 Lots 65 + 66</t>
  </si>
  <si>
    <t xml:space="preserve">3901 Bagly Forest Dr </t>
  </si>
  <si>
    <t>18951-5526</t>
  </si>
  <si>
    <t xml:space="preserve">5234 Pineland Daisy Trl </t>
  </si>
  <si>
    <t>Mariluz</t>
  </si>
  <si>
    <t>HI</t>
  </si>
  <si>
    <t>Dipillo</t>
  </si>
  <si>
    <t>Chronister</t>
  </si>
  <si>
    <t>Cape Coral Unit 84 Blk 5617 Pb 24 Pg 34 Lots 33 + 34</t>
  </si>
  <si>
    <t xml:space="preserve">6008 Jessica St </t>
  </si>
  <si>
    <t xml:space="preserve">901 NE 5th Ave </t>
  </si>
  <si>
    <t xml:space="preserve">1718 NE 28th St </t>
  </si>
  <si>
    <t xml:space="preserve">85 Robeson St </t>
  </si>
  <si>
    <t xml:space="preserve">5561 Spence Plantation Ln  Holly Springs, NC 27540-7293 </t>
  </si>
  <si>
    <t>Okeechobee</t>
  </si>
  <si>
    <t>Hardisty</t>
  </si>
  <si>
    <t>For Jacqueline Ann Curtis Trust</t>
  </si>
  <si>
    <t xml:space="preserve">5207 Pineland Daisy Trl  Fort Myers, FL 33905 </t>
  </si>
  <si>
    <t xml:space="preserve">416 NE 18th St </t>
  </si>
  <si>
    <t xml:space="preserve">69 Berlin St </t>
  </si>
  <si>
    <t>Cape Coral Unit 36 Pt.1 Blk.2503 Pb 23 Pg 93 Lots 1 + 2</t>
  </si>
  <si>
    <t>60501-1322</t>
  </si>
  <si>
    <t>10-44-25-09-00000.0286</t>
  </si>
  <si>
    <t xml:space="preserve">8714 E Edward Ave </t>
  </si>
  <si>
    <t>Gianni</t>
  </si>
  <si>
    <t>34639-2779</t>
  </si>
  <si>
    <t xml:space="preserve">1 Carshaulton Rd </t>
  </si>
  <si>
    <t>25-43-23-c4-02301.0050</t>
  </si>
  <si>
    <t>Cape Coral Unit 47 Pt 2 Blk 3538 Pb 23 Pg 120 Lots 43 + 44</t>
  </si>
  <si>
    <t xml:space="preserve">11511 Bubble Shell Dr </t>
  </si>
  <si>
    <t>St Amable</t>
  </si>
  <si>
    <t xml:space="preserve">88 Sun Cir </t>
  </si>
  <si>
    <t>Fat</t>
  </si>
  <si>
    <t>C C &amp; Cheryl Roberts</t>
  </si>
  <si>
    <t xml:space="preserve">414 W Lake St 1w </t>
  </si>
  <si>
    <t>Albany</t>
  </si>
  <si>
    <t>Maingot</t>
  </si>
  <si>
    <t>33909-6104</t>
  </si>
  <si>
    <t>06812-2915</t>
  </si>
  <si>
    <t>Cape Coral Unit 84 Blk 5548 Pb 24 Pg 46 Lots 9 + 10</t>
  </si>
  <si>
    <t xml:space="preserve">70219 Long Lake Rd  Saint James, MN 56081-4483 </t>
  </si>
  <si>
    <t>34-43-23-c4-02923.0570</t>
  </si>
  <si>
    <t xml:space="preserve">10237 Meadow Beauty Trl </t>
  </si>
  <si>
    <t xml:space="preserve">1926 NE 17th Ave </t>
  </si>
  <si>
    <t>Warkentien</t>
  </si>
  <si>
    <t>33909-3338</t>
  </si>
  <si>
    <t xml:space="preserve">2913 NE 7th Ave  Cape Coral, FL 33909 </t>
  </si>
  <si>
    <t>15636-1317</t>
  </si>
  <si>
    <t xml:space="preserve">5183 Cypress Trail Resort Cir </t>
  </si>
  <si>
    <t xml:space="preserve">3722 NE 13th Ave </t>
  </si>
  <si>
    <t>Cape Coral Unit 36 Blk 2351 Pb 16 Pg 130 Lots 30 + 31</t>
  </si>
  <si>
    <t>Augusto Laserna</t>
  </si>
  <si>
    <t xml:space="preserve">591 NW 45th Ter </t>
  </si>
  <si>
    <t xml:space="preserve">Po Box 221 </t>
  </si>
  <si>
    <t>Tulsa</t>
  </si>
  <si>
    <t>Cape Coral Unit 32 Blk 2138 Pb 16 Pg 12 Lots 39 + 40</t>
  </si>
  <si>
    <t xml:space="preserve">3022 NE 6th Pl  Cape Coral, FL 33909 </t>
  </si>
  <si>
    <t>Danton</t>
  </si>
  <si>
    <t>Chino</t>
  </si>
  <si>
    <t>2e</t>
  </si>
  <si>
    <t xml:space="preserve">326 NE 11th Pl </t>
  </si>
  <si>
    <t>33909-6496</t>
  </si>
  <si>
    <t>29-43-24-c4-02254.0040</t>
  </si>
  <si>
    <t>Marcia</t>
  </si>
  <si>
    <t>Cape Coral Unit 36 Blk 2352 Pb 16 Pg 124 Lots 11 + 12</t>
  </si>
  <si>
    <t xml:space="preserve">901 NE 5th Pl  Cape Coral, FL 33909 </t>
  </si>
  <si>
    <t>Cypress Trail Rv Resort Phase 4-A As Desc In Inst# 20160000135610 Lot 374</t>
  </si>
  <si>
    <t xml:space="preserve">1029 NE 15th Ter </t>
  </si>
  <si>
    <t>Budge</t>
  </si>
  <si>
    <t>Montano</t>
  </si>
  <si>
    <t>33909-1431</t>
  </si>
  <si>
    <t>Prospect Hill</t>
  </si>
  <si>
    <t>Lehigh Acres Unit 12 Blk 65 Pb 26 Pg 15 Lot 6</t>
  </si>
  <si>
    <t>33908-2026</t>
  </si>
  <si>
    <t>Jacqueline Correa &amp; Virgilio Brito</t>
  </si>
  <si>
    <t>36-43-23-c2-02539.0050</t>
  </si>
  <si>
    <t xml:space="preserve">1737 NE Juanita Pl </t>
  </si>
  <si>
    <t>Lassalle</t>
  </si>
  <si>
    <t xml:space="preserve">PO Box 9596  Naples, FL 34101-9596 </t>
  </si>
  <si>
    <t>31-43-24-c2-02128.0010</t>
  </si>
  <si>
    <t xml:space="preserve">2318 NE 24th Ter </t>
  </si>
  <si>
    <t>Cape Coral Unit 47 Part 2 Blk 2211A Pb 23 Pg 125 Lots 3 + 4</t>
  </si>
  <si>
    <t>Ankeny</t>
  </si>
  <si>
    <t>Naranja</t>
  </si>
  <si>
    <t>03-44-26-11-00055.0250</t>
  </si>
  <si>
    <t>20k</t>
  </si>
  <si>
    <t>Las Virgenes</t>
  </si>
  <si>
    <t xml:space="preserve">4 Mirage Villas Rd  Milford, MA 01757 </t>
  </si>
  <si>
    <t xml:space="preserve">610 Arbor Glen Ct </t>
  </si>
  <si>
    <t xml:space="preserve">1413 Everest Pkwy </t>
  </si>
  <si>
    <t xml:space="preserve">930 NE 12th St </t>
  </si>
  <si>
    <t>Hansen-Beaudry</t>
  </si>
  <si>
    <t xml:space="preserve">15400 SW 81st circle Ln #102 </t>
  </si>
  <si>
    <t>Zoraida</t>
  </si>
  <si>
    <t xml:space="preserve">1121 NE 9th Ter </t>
  </si>
  <si>
    <t>Sireesh</t>
  </si>
  <si>
    <t>32-43-24-c1-02231.0420</t>
  </si>
  <si>
    <t>Guenaely</t>
  </si>
  <si>
    <t>33010-5632</t>
  </si>
  <si>
    <t>Cape Coral Unit 36 Blk 2311 Pb 16 Pg 121 Lots 53 + 54</t>
  </si>
  <si>
    <t>Cape Coral Unit 32 Blk.2103 Pb 16 Pg 2 Lots 1 + 2</t>
  </si>
  <si>
    <t xml:space="preserve">3713 SE 13th Ave </t>
  </si>
  <si>
    <t>Hidwell</t>
  </si>
  <si>
    <t xml:space="preserve">444 E 82nd St 12a </t>
  </si>
  <si>
    <t xml:space="preserve">1523 SE 36th Ter  Cape Coral, FL 33904 </t>
  </si>
  <si>
    <t xml:space="preserve">418 Salisbury Cir </t>
  </si>
  <si>
    <t xml:space="preserve">6301 Evanswood Rd </t>
  </si>
  <si>
    <t xml:space="preserve">3733 NE 15th Pl  Cape Coral, FL 33909 </t>
  </si>
  <si>
    <t xml:space="preserve">17822 Saddlebunch Ky </t>
  </si>
  <si>
    <t>Cape Coral Unit 87 Blk 5714 Pb 24 Pg 76 Lots 13 + 14</t>
  </si>
  <si>
    <t>12-44-23-c1-02364.0090</t>
  </si>
  <si>
    <t>Charles &amp; Olga Garcia</t>
  </si>
  <si>
    <t>Nadia</t>
  </si>
  <si>
    <t>Marilyn</t>
  </si>
  <si>
    <t xml:space="preserve">2208 NE 17th St </t>
  </si>
  <si>
    <t>Cape Coral Unit 33 Blk 2222 Pb 16 Pg 44 Lots 30 Thru 32</t>
  </si>
  <si>
    <t>B022</t>
  </si>
  <si>
    <t>25-43-23-c4-02354.0150</t>
  </si>
  <si>
    <t>60124-4892</t>
  </si>
  <si>
    <t xml:space="preserve">125 Mohican Ln </t>
  </si>
  <si>
    <t>IT</t>
  </si>
  <si>
    <t>Madre</t>
  </si>
  <si>
    <t xml:space="preserve">3816 Hyde Park Dr </t>
  </si>
  <si>
    <t>Janet Pennington</t>
  </si>
  <si>
    <t>89107-2623</t>
  </si>
  <si>
    <t xml:space="preserve">2014 NE 10th Ave  Cape Coral, FL 33909 </t>
  </si>
  <si>
    <t xml:space="preserve">7826 NW 40th Ct A, Coral Springs, FL 33065-1995 </t>
  </si>
  <si>
    <t xml:space="preserve">6126 Humboldt Ave  Fort Myers, FL 33905 </t>
  </si>
  <si>
    <t>Sadeeq Malik</t>
  </si>
  <si>
    <t xml:space="preserve">4737 Demaret Dr  Santa Clara, CA 95054-1613 </t>
  </si>
  <si>
    <t>Mayfield</t>
  </si>
  <si>
    <t xml:space="preserve">1918 NE 18th St </t>
  </si>
  <si>
    <t xml:space="preserve">3846 Ashby Fork Rd </t>
  </si>
  <si>
    <t>Lehigh Acres Unit 7 Blk 33 Pb 26 Pg 9 Lot 15</t>
  </si>
  <si>
    <t xml:space="preserve">2723 NE 5th Pl </t>
  </si>
  <si>
    <t>Cape Coral Unit 85 Blk 5630 Pb 24 Pg 50 Lots 7 + 8</t>
  </si>
  <si>
    <t>11-44-25-l1-12000.3750</t>
  </si>
  <si>
    <t>Toivo Heikkila</t>
  </si>
  <si>
    <t xml:space="preserve">14 Calle Galleria  San Clemente, CA 92673-6869 </t>
  </si>
  <si>
    <t>01-44-23-c1-02436.0710</t>
  </si>
  <si>
    <t xml:space="preserve">5679 Bay Meadow Trl  Portage, MI 49024-1743 </t>
  </si>
  <si>
    <t>33909-5273</t>
  </si>
  <si>
    <t xml:space="preserve">2315 41st Ter SW  Naples, FL 34116-6519 </t>
  </si>
  <si>
    <t xml:space="preserve">1097 Milstead Dr </t>
  </si>
  <si>
    <t>Danlier</t>
  </si>
  <si>
    <t>Cape Coral Unit 36 Pt 1 Blk 2146 Pb 23 Pg 92 Lots 61 + 62</t>
  </si>
  <si>
    <t xml:space="preserve">2627 SE 19th Ave </t>
  </si>
  <si>
    <t xml:space="preserve">37010 Charles Town Pike  Hillsboro, VA 20132-2755 </t>
  </si>
  <si>
    <t>67206-1018</t>
  </si>
  <si>
    <t xml:space="preserve">26 Main St #3 </t>
  </si>
  <si>
    <t>18-43-24-c3-05707.0140</t>
  </si>
  <si>
    <t xml:space="preserve">111 Hubbard Ln </t>
  </si>
  <si>
    <t xml:space="preserve">4609 Palmetto Dr </t>
  </si>
  <si>
    <t xml:space="preserve">267 Minorca Ave #200, Coral Gables, FL 33134-4449 </t>
  </si>
  <si>
    <t xml:space="preserve">22 Morris St  Hamden, CT 06517-3423 </t>
  </si>
  <si>
    <t>Laurin Peterlin</t>
  </si>
  <si>
    <t>Surfside</t>
  </si>
  <si>
    <t>33909-4507</t>
  </si>
  <si>
    <t xml:space="preserve">5800 Billings Rd  Mount Hood Parkdale, OR 97041-7612 </t>
  </si>
  <si>
    <t>Parl In N 1/2 Of Se 1/4 Desc Or 1968 Pgs 3403 + 3405</t>
  </si>
  <si>
    <t>Lakewood Ranch</t>
  </si>
  <si>
    <t>Terrance</t>
  </si>
  <si>
    <t>Wuennerlein</t>
  </si>
  <si>
    <t>N0B 2H0</t>
  </si>
  <si>
    <t xml:space="preserve">5179 Cypress Trail Resort Cir </t>
  </si>
  <si>
    <t>Wyandot</t>
  </si>
  <si>
    <t>17-43-24-c2-05807.0170</t>
  </si>
  <si>
    <t>R012</t>
  </si>
  <si>
    <t>Vaiano</t>
  </si>
  <si>
    <t>34113-7306</t>
  </si>
  <si>
    <t>33909-2600</t>
  </si>
  <si>
    <t>02766-2213</t>
  </si>
  <si>
    <t xml:space="preserve">850 Lake St </t>
  </si>
  <si>
    <t xml:space="preserve">1014 NE 43rd Ter </t>
  </si>
  <si>
    <t>33909-6246</t>
  </si>
  <si>
    <t>Glenhaven</t>
  </si>
  <si>
    <t>Baird</t>
  </si>
  <si>
    <t>Cape Coral Unit 32 Blk 2169 Pb 16 Pg 8 Lots 11 + 12</t>
  </si>
  <si>
    <t>25-43-23-c2-02312.0290</t>
  </si>
  <si>
    <t>L T L &amp; Juana Jung</t>
  </si>
  <si>
    <t>Potts &amp; David Potts Family</t>
  </si>
  <si>
    <t xml:space="preserve">475 NE 3rd Ct </t>
  </si>
  <si>
    <t xml:space="preserve">15150 Spring St  Fort Myers, FL 33905 </t>
  </si>
  <si>
    <t>33909-8927</t>
  </si>
  <si>
    <t>Matthews</t>
  </si>
  <si>
    <t>Cross</t>
  </si>
  <si>
    <t>C098</t>
  </si>
  <si>
    <t>Parl In Sec 15 T 44 R 24 Desc In Or 1416 Pg 146</t>
  </si>
  <si>
    <t>31-43-24-c1-02162.0170</t>
  </si>
  <si>
    <t xml:space="preserve">2630 NE 19th Pl  Cape Coral, FL 33909 </t>
  </si>
  <si>
    <t>03-44-26-06-00028.0280</t>
  </si>
  <si>
    <t>Darryl Maras</t>
  </si>
  <si>
    <t xml:space="preserve">650 Ocean Ave #106, Brooklyn, NY 11226-5315 </t>
  </si>
  <si>
    <t>Castilla</t>
  </si>
  <si>
    <t>Giorgio &amp; For Barillaro</t>
  </si>
  <si>
    <t xml:space="preserve">74 Palm Ln  Westbury, NY 11590-6348 </t>
  </si>
  <si>
    <t xml:space="preserve">1623 NE 36th Ln </t>
  </si>
  <si>
    <t xml:space="preserve">1810 NE 44th St </t>
  </si>
  <si>
    <t>Fortier &amp; Robert Fortier</t>
  </si>
  <si>
    <t xml:space="preserve">210 Cleveland St  Brooklyn, NY 11208-1017 </t>
  </si>
  <si>
    <t>Christopher Franzoso &amp; Mercedes Salvador-Silva</t>
  </si>
  <si>
    <t>Harrisburg</t>
  </si>
  <si>
    <t>Westmar</t>
  </si>
  <si>
    <t>Safari</t>
  </si>
  <si>
    <t>60074-8517</t>
  </si>
  <si>
    <t xml:space="preserve">1609 Coral Ave  North Lauderdale, FL 33068-4154 </t>
  </si>
  <si>
    <t>Evelie</t>
  </si>
  <si>
    <t xml:space="preserve">12 Presidio Ave #2, Mill Valley, CA 94941-2013 </t>
  </si>
  <si>
    <t>Hoefer</t>
  </si>
  <si>
    <t xml:space="preserve">6040 Houston Ave </t>
  </si>
  <si>
    <t>06850-2901</t>
  </si>
  <si>
    <t xml:space="preserve">5523 Harrison St </t>
  </si>
  <si>
    <t xml:space="preserve">6361 Maytree Cir  Fort Myers, FL 33905 </t>
  </si>
  <si>
    <t>Barnard</t>
  </si>
  <si>
    <t>Dreiman</t>
  </si>
  <si>
    <t>Rahmani</t>
  </si>
  <si>
    <t xml:space="preserve">4140 NE 14th Pl  Cape Coral, FL 33909 </t>
  </si>
  <si>
    <t>Fabregas</t>
  </si>
  <si>
    <t xml:space="preserve">2202 NE 36th St  Cape Coral, FL 33909 </t>
  </si>
  <si>
    <t xml:space="preserve">284 Marlowe Dr  Erie, CO 80516-8938 </t>
  </si>
  <si>
    <t>19-43-24-c1-05577.0310</t>
  </si>
  <si>
    <t>Lorente Franey</t>
  </si>
  <si>
    <t>Ernest &amp; Nilda Califano</t>
  </si>
  <si>
    <t xml:space="preserve">3358 NE 13th Pl </t>
  </si>
  <si>
    <t>Windward</t>
  </si>
  <si>
    <t xml:space="preserve">1545 Brown Rd </t>
  </si>
  <si>
    <t>Rue Du Chat Perche</t>
  </si>
  <si>
    <t>Jorge Muse</t>
  </si>
  <si>
    <t>33908-2653</t>
  </si>
  <si>
    <t xml:space="preserve">11367 SW 236th Ln </t>
  </si>
  <si>
    <t xml:space="preserve">336 Claremont Ave  Mount Vernon, NY 10552-2315 </t>
  </si>
  <si>
    <t>05-44-24-c4-03544.0050</t>
  </si>
  <si>
    <t>43082-9665</t>
  </si>
  <si>
    <t xml:space="preserve">3442 NE 10th Pl </t>
  </si>
  <si>
    <t>17601-5119</t>
  </si>
  <si>
    <t xml:space="preserve">910 Old Concord Rd </t>
  </si>
  <si>
    <t>Catoctin</t>
  </si>
  <si>
    <t>Shmuel</t>
  </si>
  <si>
    <t>Fauzi &amp; For Ghantous</t>
  </si>
  <si>
    <t>17-43-24-c2-05802.0430</t>
  </si>
  <si>
    <t xml:space="preserve">43 Tippecanoe St </t>
  </si>
  <si>
    <t xml:space="preserve">5322 Shoal Creek Rd  Suffolk, VA 23435-4226 </t>
  </si>
  <si>
    <t xml:space="preserve">2238 Randolph Dr  Fort Myers, FL 33905 </t>
  </si>
  <si>
    <t xml:space="preserve">107 Ariola Dr  Gulf Breeze, FL 32561-2101 </t>
  </si>
  <si>
    <t>Aiko</t>
  </si>
  <si>
    <t xml:space="preserve">1629 Lake Heron Dr </t>
  </si>
  <si>
    <t>Mystic Island</t>
  </si>
  <si>
    <t>03-44-26-12-00064.0160</t>
  </si>
  <si>
    <t xml:space="preserve">276 Harbor Ln  Massapequa Park, NY 11762-4011 </t>
  </si>
  <si>
    <t>Lehigh Acres Unit 1 Blk 1 Pb 26 Pg 2 Lot 12</t>
  </si>
  <si>
    <t>Kyser</t>
  </si>
  <si>
    <t>Pattie</t>
  </si>
  <si>
    <t>Cape Coral Unit 33 Blk 2284 Pb 16 Pg 59 Lots 39 + 40</t>
  </si>
  <si>
    <t xml:space="preserve">1819 Whitesville Rd  Toms River, NJ 08755-1167 </t>
  </si>
  <si>
    <t>Cape Coral Unit 36 Blk 2330 Pb 16 Pg 129 Lots 21 + 22</t>
  </si>
  <si>
    <t>33909-1480</t>
  </si>
  <si>
    <t>19-43-24-c3-05619.0340</t>
  </si>
  <si>
    <t xml:space="preserve">5851 43rd Ave </t>
  </si>
  <si>
    <t>For Arnone Family Trust</t>
  </si>
  <si>
    <t>Cape Coral Unit 36 Blk 2335 Pb 16 Pg 127 Lots 75 + 76</t>
  </si>
  <si>
    <t>Willard</t>
  </si>
  <si>
    <t>Sunnywood</t>
  </si>
  <si>
    <t xml:space="preserve">10130 Shadowood Ct </t>
  </si>
  <si>
    <t>Aspen</t>
  </si>
  <si>
    <t>Holle</t>
  </si>
  <si>
    <t>21286-5908</t>
  </si>
  <si>
    <t>Diana Phillips</t>
  </si>
  <si>
    <t>Oconnor Molly E Tr</t>
  </si>
  <si>
    <t>Mascali Mario J Tr</t>
  </si>
  <si>
    <t>Pelletier</t>
  </si>
  <si>
    <t>Walrogen</t>
  </si>
  <si>
    <t xml:space="preserve">206 Jacaranda Pkwy E  Cape Coral, FL 33909 </t>
  </si>
  <si>
    <t>Leroy &amp; Helga Moultrie</t>
  </si>
  <si>
    <t>Ruth Sandlin</t>
  </si>
  <si>
    <t xml:space="preserve">20 Rue Des Micocouliers  Topeka, KS 66620 </t>
  </si>
  <si>
    <t>Cape Coral Unit 84 Blk 5611 Pb 24 Pg 35 Lots 35 + 36</t>
  </si>
  <si>
    <t>David Warrington</t>
  </si>
  <si>
    <t xml:space="preserve">562 Treasure Lk  Du Bois, PA 15801-9012 </t>
  </si>
  <si>
    <t xml:space="preserve">519 SE 36th St </t>
  </si>
  <si>
    <t>Fairland</t>
  </si>
  <si>
    <t>33901-3540</t>
  </si>
  <si>
    <t>80210-2624</t>
  </si>
  <si>
    <t xml:space="preserve">1440 Park St #3 </t>
  </si>
  <si>
    <t>32-43-24-c3-02229.0400</t>
  </si>
  <si>
    <t>89129-3280</t>
  </si>
  <si>
    <t xml:space="preserve">52 Goldring Cres </t>
  </si>
  <si>
    <t xml:space="preserve">1439 Oak Bluff Rd  Edgewater, MD 21037-2133 </t>
  </si>
  <si>
    <t>24018-2444</t>
  </si>
  <si>
    <t>Oscar Morales</t>
  </si>
  <si>
    <t>Cape Coral Unit 47 Pt 2 Blk 2220A Pb 23 Pg 125 Lots 31 + 32 + Vac Alley Desc In Inst# 2008000165570</t>
  </si>
  <si>
    <t>H006</t>
  </si>
  <si>
    <t xml:space="preserve">534 Retunda Pkwy W  Cape Coral, FL 33904 </t>
  </si>
  <si>
    <t>Cape Coral Unit 88 Blk 5813 Pb 24 Pg 138 Lot 5</t>
  </si>
  <si>
    <t>Christopher &amp; Angela Forcellina</t>
  </si>
  <si>
    <t>Hartford City</t>
  </si>
  <si>
    <t>Kokot</t>
  </si>
  <si>
    <t xml:space="preserve">1806 Marina Cir </t>
  </si>
  <si>
    <t>07728-5910</t>
  </si>
  <si>
    <t xml:space="preserve">929 NE 1st Pl </t>
  </si>
  <si>
    <t xml:space="preserve">15450 Allen Way  Fort Myers, FL 33908 </t>
  </si>
  <si>
    <t>33904-3936</t>
  </si>
  <si>
    <t>Oak Arbor</t>
  </si>
  <si>
    <t xml:space="preserve">39 Shaul-Hamelech Bv </t>
  </si>
  <si>
    <t xml:space="preserve">347 NE 19th Ter  Cape Coral, FL 33909 </t>
  </si>
  <si>
    <t>19152-3816</t>
  </si>
  <si>
    <t>Cape Coral Unit 87 Blk 5712 Pb 24 Pg 76 Lots 7 + 8</t>
  </si>
  <si>
    <t>Lake Magdalene</t>
  </si>
  <si>
    <t>Cape Coral Unit 34 Blk.2416 Pb 16 Pg 78 Lots 33 + 34</t>
  </si>
  <si>
    <t>Greenburg</t>
  </si>
  <si>
    <t>36-43-23-c3-02146.0630</t>
  </si>
  <si>
    <t xml:space="preserve">15348 Aquila Ave  Savage, MN 55378-2346 </t>
  </si>
  <si>
    <t xml:space="preserve">85 Rio Robles E #1230, San Jose, CA 95134-1656 </t>
  </si>
  <si>
    <t>39046-2800</t>
  </si>
  <si>
    <t xml:space="preserve">204 E Midland Ave </t>
  </si>
  <si>
    <t>Brookhaven</t>
  </si>
  <si>
    <t xml:space="preserve">1711 NE 44th Ter </t>
  </si>
  <si>
    <t>10606-2414</t>
  </si>
  <si>
    <t xml:space="preserve">Central Park  Cincinnati, OH 45231 </t>
  </si>
  <si>
    <t xml:space="preserve">4461 Ocean Blvd #14 </t>
  </si>
  <si>
    <t>C044</t>
  </si>
  <si>
    <t>Maria Gutierrez</t>
  </si>
  <si>
    <t xml:space="preserve">10007 Parkwood Dr </t>
  </si>
  <si>
    <t>33182-1103</t>
  </si>
  <si>
    <t>48104-7433</t>
  </si>
  <si>
    <t>Edgewater</t>
  </si>
  <si>
    <t>C 21</t>
  </si>
  <si>
    <t>Luis &amp; Gladys Castro</t>
  </si>
  <si>
    <t xml:space="preserve">5316 Cypress Trail Resort Cir  Fort Myers, FL 33905 </t>
  </si>
  <si>
    <t xml:space="preserve">72d-30 Calle 1 </t>
  </si>
  <si>
    <t>25-43-23-c1-02323.0470</t>
  </si>
  <si>
    <t>34145-6430</t>
  </si>
  <si>
    <t xml:space="preserve">2124 NE 39th Ter </t>
  </si>
  <si>
    <t>01-44-23-c4-02444.0150</t>
  </si>
  <si>
    <t>Iplangroup Andrew</t>
  </si>
  <si>
    <t>Cape Coral Unit 33 Blk 2233 Pb 16 Pg 53 Lots 42 + 43</t>
  </si>
  <si>
    <t>97527-5185</t>
  </si>
  <si>
    <t>Joes Creek</t>
  </si>
  <si>
    <t>Genova</t>
  </si>
  <si>
    <t>Peter Gurdon</t>
  </si>
  <si>
    <t xml:space="preserve">5801 Pathwood Ct </t>
  </si>
  <si>
    <t>Bobeda</t>
  </si>
  <si>
    <t>Errol</t>
  </si>
  <si>
    <t>Paulmar Ortiz</t>
  </si>
  <si>
    <t xml:space="preserve">4 Augusta Ct  Mount Sinai, NY 11766-3010 </t>
  </si>
  <si>
    <t xml:space="preserve">4 La Mulonniere  Parrish, AL 35580 </t>
  </si>
  <si>
    <t>33909-1230</t>
  </si>
  <si>
    <t>Patricia Palmer</t>
  </si>
  <si>
    <t>Winchendon</t>
  </si>
  <si>
    <t>Lake Wylie</t>
  </si>
  <si>
    <t xml:space="preserve">2915 N Jerusalem Rd  East Meadow, NY 11554-5453 </t>
  </si>
  <si>
    <t>Cape Coral Unit 84 Blk 5588 Pb 24 Pg 45 Lots 22 + 23</t>
  </si>
  <si>
    <t xml:space="preserve">4505 W 13th Ln  Hialeah, FL 33012-3324 </t>
  </si>
  <si>
    <t>Storkwood</t>
  </si>
  <si>
    <t>Sugar Hollow</t>
  </si>
  <si>
    <t xml:space="preserve">4418 NE Connection Ave </t>
  </si>
  <si>
    <t xml:space="preserve">9526 Sauterne Way </t>
  </si>
  <si>
    <t xml:space="preserve">318 NE 27th St </t>
  </si>
  <si>
    <t xml:space="preserve">14671 Smokey Hollow Ln </t>
  </si>
  <si>
    <t>Cypress Woods Rv Resort Ut 1 Pb 65 Pg 85 + 86 Blk B Lot 33</t>
  </si>
  <si>
    <t xml:space="preserve">1333 NE 33rd St </t>
  </si>
  <si>
    <t xml:space="preserve">56 Calle Aleli  Trujillo Alto, PR 00976-3535 </t>
  </si>
  <si>
    <t xml:space="preserve">160 Bell St </t>
  </si>
  <si>
    <t>52228-9516</t>
  </si>
  <si>
    <t xml:space="preserve">5730 Cypress Woods Resort Dr  Fort Myers, FL 33905 </t>
  </si>
  <si>
    <t>Tennent</t>
  </si>
  <si>
    <t>Jury</t>
  </si>
  <si>
    <t>Avron</t>
  </si>
  <si>
    <t>Xuan Nguyen &amp; Huyen-Vi Khong</t>
  </si>
  <si>
    <t xml:space="preserve">261 E Kingsbridge Rd N53, Bronx, NY 10458-4455 </t>
  </si>
  <si>
    <t>03-44-26-08-00037.0130</t>
  </si>
  <si>
    <t>27520-2197</t>
  </si>
  <si>
    <t>Hosein</t>
  </si>
  <si>
    <t>01906-3058</t>
  </si>
  <si>
    <t xml:space="preserve">1010 S Ocean Blvd #912, Pompano Beach, FL 33062-6631 </t>
  </si>
  <si>
    <t>Stagecoach</t>
  </si>
  <si>
    <t xml:space="preserve">2047 NE 25th Ter </t>
  </si>
  <si>
    <t xml:space="preserve">1534 Underwood Ave  San Francisco, CA 94124-3214 </t>
  </si>
  <si>
    <t xml:space="preserve">259 S 2nd St  New Vienna, OH 45159-9381 </t>
  </si>
  <si>
    <t>Cape Coral Unit 87 Blk 5748 Pb 24 Pg 70 Lots 30 + 31</t>
  </si>
  <si>
    <t>33025-3659</t>
  </si>
  <si>
    <t xml:space="preserve">5508 N Chard Rd </t>
  </si>
  <si>
    <t xml:space="preserve">1911 Brackenridge St </t>
  </si>
  <si>
    <t>19-43-24-c2-05588.0070</t>
  </si>
  <si>
    <t>16-44-26-06-00017.0100</t>
  </si>
  <si>
    <t xml:space="preserve">3200 NE 15th Pl </t>
  </si>
  <si>
    <t>49651-8769</t>
  </si>
  <si>
    <t>Monte</t>
  </si>
  <si>
    <t xml:space="preserve">12340 Hammock Creek Way  Fort Myers, FL 33905 </t>
  </si>
  <si>
    <t>58801-2528</t>
  </si>
  <si>
    <t>Cypress Woods Rv Resort Ut 1 Pb 65 Pg 85 + 86 Blk A Lot 47</t>
  </si>
  <si>
    <t>Hull Prairie</t>
  </si>
  <si>
    <t>03-44-26-10-00050.0080</t>
  </si>
  <si>
    <t>Simsbury Center</t>
  </si>
  <si>
    <t xml:space="preserve">7 Hovey Pond Dr </t>
  </si>
  <si>
    <t>Duncrest</t>
  </si>
  <si>
    <t>Douglas Johnston &amp; Debra Brinton</t>
  </si>
  <si>
    <t>Schrader</t>
  </si>
  <si>
    <t xml:space="preserve">287 Route De Lagnes  Robion, FR </t>
  </si>
  <si>
    <t>Barkman</t>
  </si>
  <si>
    <t>Maxim</t>
  </si>
  <si>
    <t>Fidel</t>
  </si>
  <si>
    <t xml:space="preserve">117 Kennedy Blvd </t>
  </si>
  <si>
    <t xml:space="preserve">2617 NE 5th Pl  Cape Coral, FL 33909 </t>
  </si>
  <si>
    <t>33909-4306</t>
  </si>
  <si>
    <t>Jacqueline &amp; Lorraine Bonnet</t>
  </si>
  <si>
    <t xml:space="preserve">432 Cross St </t>
  </si>
  <si>
    <t>Cape Coral Unit 84 Blk 5578 Pb 24 Pg 39 Lots 6 + 7</t>
  </si>
  <si>
    <t>R1-G</t>
  </si>
  <si>
    <t>55044-6852</t>
  </si>
  <si>
    <t>17-44-25-p2-0170g.0170</t>
  </si>
  <si>
    <t xml:space="preserve">528 Diplomat Pkwy E  Cape Coral, FL 33909 </t>
  </si>
  <si>
    <t>Hung Hoang</t>
  </si>
  <si>
    <t xml:space="preserve">1720 Jamaica St  Titusville, FL 32780-8721 </t>
  </si>
  <si>
    <t>33905-2513</t>
  </si>
  <si>
    <t>Othneil</t>
  </si>
  <si>
    <t>61607-1676</t>
  </si>
  <si>
    <t xml:space="preserve">5301 Cocoa Ct  Cape Coral, FL 33904 </t>
  </si>
  <si>
    <t>11-44-25-04-0000b.0880</t>
  </si>
  <si>
    <t>Angela Gutierrez &amp; David Lora</t>
  </si>
  <si>
    <t>33909-4698</t>
  </si>
  <si>
    <t>11003-1239</t>
  </si>
  <si>
    <t xml:space="preserve">1914 SE 32nd St  Cape Coral, FL 33904 </t>
  </si>
  <si>
    <t xml:space="preserve">2303 NE 21st Pl  Cape Coral, FL 33909 </t>
  </si>
  <si>
    <t xml:space="preserve">2806 Spring Oaks Dr </t>
  </si>
  <si>
    <t xml:space="preserve">820 Seaview Ave </t>
  </si>
  <si>
    <t>33905-2224</t>
  </si>
  <si>
    <t>Green</t>
  </si>
  <si>
    <t>48025-3407</t>
  </si>
  <si>
    <t>Hampstead</t>
  </si>
  <si>
    <t xml:space="preserve">2107 NE 24th Ter  Cape Coral, FL 33909 </t>
  </si>
  <si>
    <t>16-44-26-06-00013.0410</t>
  </si>
  <si>
    <t xml:space="preserve">13046 SW 150th Ter  Miami, FL 33186-6380 </t>
  </si>
  <si>
    <t>03-44-26-12-00061.0020</t>
  </si>
  <si>
    <t>Kasper</t>
  </si>
  <si>
    <t>Cape Coral Unit 36 Part 1 Blk 2476 Pb 23 Pg 89 Lots 25 + 26</t>
  </si>
  <si>
    <t>Lehigh Acres W Pt Unit 1 Blk 3 Pb 26 Pg 2 Lot 12</t>
  </si>
  <si>
    <t>61273-9798</t>
  </si>
  <si>
    <t>32-44-24-c2-01207.0210</t>
  </si>
  <si>
    <t>Cape Coral Unit 34 Blk 2468 Pb 16 Pg 75 Lots 36 + 37</t>
  </si>
  <si>
    <t>33901-9524</t>
  </si>
  <si>
    <t>Norberto Malcotti</t>
  </si>
  <si>
    <t>44024-8683</t>
  </si>
  <si>
    <t xml:space="preserve">12576 SW 259th St </t>
  </si>
  <si>
    <t xml:space="preserve">1219 NE 40th Ter </t>
  </si>
  <si>
    <t xml:space="preserve">6049 Higgins Ave  Fort Myers, FL 33905 </t>
  </si>
  <si>
    <t xml:space="preserve">2760 Garland Rd  Naples, FL 34117-4043 </t>
  </si>
  <si>
    <t>07036-1231</t>
  </si>
  <si>
    <t>Cape Coral Unit 85 Blk 5666 Pb 24 Pg 53 Lots 32 + 33</t>
  </si>
  <si>
    <t>33904-5621</t>
  </si>
  <si>
    <t xml:space="preserve">20 Bradwahl Dr  Morristown, NJ 07960-6130 </t>
  </si>
  <si>
    <t>17-43-24-c2-05799.0070</t>
  </si>
  <si>
    <t xml:space="preserve">642 Britons Ct  Oviedo, FL 32765-9155 </t>
  </si>
  <si>
    <t>33909-6530</t>
  </si>
  <si>
    <t>Phillip &amp; Sunye Schwartz</t>
  </si>
  <si>
    <t>Cape Coral Unit 84 Blk 5607 Pb 24 Pg 35 Lots 34 + 35</t>
  </si>
  <si>
    <t xml:space="preserve">19681 Summerlin Rd #233 </t>
  </si>
  <si>
    <t>11-44-25-06-0000d.1180</t>
  </si>
  <si>
    <t>Headwater</t>
  </si>
  <si>
    <t xml:space="preserve">5341 Silk Oak Ave </t>
  </si>
  <si>
    <t xml:space="preserve">162 Pershing Rd  Englewood Cliffs, NJ 07632-1916 </t>
  </si>
  <si>
    <t xml:space="preserve">3006 NE 2nd Ave  Cape Coral, FL 33909 </t>
  </si>
  <si>
    <t xml:space="preserve">15344 NW 1st St </t>
  </si>
  <si>
    <t>08-44-24-c3-01515.0060</t>
  </si>
  <si>
    <t xml:space="preserve">6623 Hidden Woods Trl  Cleveland, OH 44143-3579 </t>
  </si>
  <si>
    <t xml:space="preserve">6036 Jonathan Ave  Fort Myers, FL 33905 </t>
  </si>
  <si>
    <t xml:space="preserve">14671 Smokey Hollow Ln  North Fort Myers, FL 33903 </t>
  </si>
  <si>
    <t>33909-6241</t>
  </si>
  <si>
    <t>Discovery Bay</t>
  </si>
  <si>
    <t>Greeley</t>
  </si>
  <si>
    <t xml:space="preserve">505 NE 3rd Ave </t>
  </si>
  <si>
    <t xml:space="preserve">218 SE 47th St  Cape Coral, FL 33904 </t>
  </si>
  <si>
    <t>Olson</t>
  </si>
  <si>
    <t xml:space="preserve">45 Kensington Blvd </t>
  </si>
  <si>
    <t>Idania</t>
  </si>
  <si>
    <t>Margit</t>
  </si>
  <si>
    <t xml:space="preserve">9049 Beard Rd </t>
  </si>
  <si>
    <t xml:space="preserve">23 Bay Path Ln  Norwell, MA 02061-1529 </t>
  </si>
  <si>
    <t>33909-8922</t>
  </si>
  <si>
    <t>Jarvi</t>
  </si>
  <si>
    <t xml:space="preserve">3617 NE 21st Ave </t>
  </si>
  <si>
    <t xml:space="preserve">Po Box 3878 </t>
  </si>
  <si>
    <t xml:space="preserve">124 NE 20th St  Cape Coral, FL 33909 </t>
  </si>
  <si>
    <t>25-43-23-c2-02346.0640</t>
  </si>
  <si>
    <t xml:space="preserve">142 Ormonde Blvd  Valley Stream, NY 11580-3041 </t>
  </si>
  <si>
    <t>03-44-26-13-00070.0180</t>
  </si>
  <si>
    <t xml:space="preserve">2021 84th St 6e, Brooklyn, NY 11214-2466 </t>
  </si>
  <si>
    <t>Tua</t>
  </si>
  <si>
    <t xml:space="preserve">4103 Bathurst Dr  Charlotte, NC 28227-8680 </t>
  </si>
  <si>
    <t>61073-8293</t>
  </si>
  <si>
    <t xml:space="preserve">1806 NE 23rd Ter  Cape Coral, FL 33909 </t>
  </si>
  <si>
    <t>Maniscolco</t>
  </si>
  <si>
    <t xml:space="preserve">1809 NE 27th St  Cape Coral, FL 33909 </t>
  </si>
  <si>
    <t>36-43-23-c4-02494.0070</t>
  </si>
  <si>
    <t>Chan</t>
  </si>
  <si>
    <t>29-43-24-c4-02259.0320</t>
  </si>
  <si>
    <t>33909-0802</t>
  </si>
  <si>
    <t xml:space="preserve">327 NE 15th St  Cape Coral, FL 33909 </t>
  </si>
  <si>
    <t>Freeport</t>
  </si>
  <si>
    <t xml:space="preserve">1306 NE 22nd Pl </t>
  </si>
  <si>
    <t>Kastilan</t>
  </si>
  <si>
    <t xml:space="preserve">2514 NE 6th Ave  Cape Coral, FL 33909 </t>
  </si>
  <si>
    <t>01-44-23-c4-02468.0180</t>
  </si>
  <si>
    <t xml:space="preserve">3909 Jefferson Dr </t>
  </si>
  <si>
    <t>11706-6711</t>
  </si>
  <si>
    <t>Wae</t>
  </si>
  <si>
    <t>12-44-23-c3-03594.0090</t>
  </si>
  <si>
    <t xml:space="preserve">1156 Palm Ave  North Fort Myers, FL 33903 </t>
  </si>
  <si>
    <t>Januereo &amp; Carmen Pereira</t>
  </si>
  <si>
    <t xml:space="preserve">119 Butternut Flts </t>
  </si>
  <si>
    <t>11-44-25-05-0000c.0620</t>
  </si>
  <si>
    <t>Cape Coral Unit 36 Blk 2544 Pb 16 Pg 115 Lots 23 + 24</t>
  </si>
  <si>
    <t>Calle 1</t>
  </si>
  <si>
    <t xml:space="preserve">10414 SW 227th Ter  Miami, FL 33190-1397 </t>
  </si>
  <si>
    <t>33323-1930</t>
  </si>
  <si>
    <t xml:space="preserve">3521 W Gator Cir  Cape Coral, FL 33909 </t>
  </si>
  <si>
    <t>Juniper</t>
  </si>
  <si>
    <t>03-44-26-07-00034.0050</t>
  </si>
  <si>
    <t>03-44-26-09-00046.0040</t>
  </si>
  <si>
    <t>Haase</t>
  </si>
  <si>
    <t xml:space="preserve">1501 NE 23rd Ter </t>
  </si>
  <si>
    <t>Cape Coral Unit 26 Blk.830 Pb 14 Pg 125 Lots 1 Thru 3</t>
  </si>
  <si>
    <t xml:space="preserve">206 W Ferry Rd </t>
  </si>
  <si>
    <t>Cypress Woods Rv Resort Ut 1 Pb 65 Pg 85 + 86 Blk B Lot 82</t>
  </si>
  <si>
    <t>Jewel Marsalis</t>
  </si>
  <si>
    <t>Cape Coral Unit 85 Blk 5636 Pb 24 Pg 50 Lots 44 Thru 46</t>
  </si>
  <si>
    <t>Waymond Seawright</t>
  </si>
  <si>
    <t>Snider</t>
  </si>
  <si>
    <t xml:space="preserve">76 Fox Fire Estates Dr </t>
  </si>
  <si>
    <t>Morse Shores 1St Add. Blk.18 Pb 10 Pg 32 Lot 4</t>
  </si>
  <si>
    <t>33183-1241</t>
  </si>
  <si>
    <t>Marie Rickard</t>
  </si>
  <si>
    <t xml:space="preserve">3335 NE 21st Ave </t>
  </si>
  <si>
    <t xml:space="preserve">7551 Roslyn St  Pittsburgh, PA 15218-2518 </t>
  </si>
  <si>
    <t>25-43-23-c4-02307.0130</t>
  </si>
  <si>
    <t>Leonid</t>
  </si>
  <si>
    <t>Cape Coral Unit 87 Blk 5707 Pb 24 Pg 71 Lots 14 + 15</t>
  </si>
  <si>
    <t>Utkin</t>
  </si>
  <si>
    <t>33042-5407</t>
  </si>
  <si>
    <t>Simlangsdalen</t>
  </si>
  <si>
    <t xml:space="preserve">Po Box 4038 </t>
  </si>
  <si>
    <t xml:space="preserve">2640 Gately Dr W #506, West Palm Beach, FL 33415-7975 </t>
  </si>
  <si>
    <t xml:space="preserve">10135 SW 2nd Ter  Miami, FL 33174-4802 </t>
  </si>
  <si>
    <t>Delaware</t>
  </si>
  <si>
    <t xml:space="preserve">2908 NE 1st Ave  Cape Coral, FL 33909 </t>
  </si>
  <si>
    <t xml:space="preserve">543 Stockton St  North Fort Myers, FL 33903 </t>
  </si>
  <si>
    <t>Timothy &amp; Catherine Queisser</t>
  </si>
  <si>
    <t>85086-3215</t>
  </si>
  <si>
    <t xml:space="preserve">1140 Grand Marais Rd W </t>
  </si>
  <si>
    <t>23-44-24-p4-02032.0070</t>
  </si>
  <si>
    <t>Hendry Creek Blk A Pb 32 Pg 32 Lot 38</t>
  </si>
  <si>
    <t xml:space="preserve">1010 NE 33rd Ln </t>
  </si>
  <si>
    <t xml:space="preserve">8101 N 200 W  Decatur, IN 46733-8843 </t>
  </si>
  <si>
    <t xml:space="preserve">801 NW 2nd Ave  Hallandale Beach, FL 33009-2309 </t>
  </si>
  <si>
    <t>Aronica</t>
  </si>
  <si>
    <t>33909-4644</t>
  </si>
  <si>
    <t>Santiago De Surio Lima</t>
  </si>
  <si>
    <t>22903-3665</t>
  </si>
  <si>
    <t xml:space="preserve">27 High St #2 </t>
  </si>
  <si>
    <t>Wrentham</t>
  </si>
  <si>
    <t>Unionville</t>
  </si>
  <si>
    <t>Robert Boeham</t>
  </si>
  <si>
    <t xml:space="preserve">9 Cedar Dr </t>
  </si>
  <si>
    <t>Farina</t>
  </si>
  <si>
    <t>Horta</t>
  </si>
  <si>
    <t xml:space="preserve">1603 NE 40th St </t>
  </si>
  <si>
    <t xml:space="preserve">371 Northshore Dr  Gravois Mills, MO 65037-8057 </t>
  </si>
  <si>
    <t xml:space="preserve">2125 NE 17th Ter </t>
  </si>
  <si>
    <t>Camino Real</t>
  </si>
  <si>
    <t>13-44-23-c2-03594.0030</t>
  </si>
  <si>
    <t xml:space="preserve">4711 Branchville Rd  College Park, MD 20740-2004 </t>
  </si>
  <si>
    <t>Cape Coral Unit 33 Blk 2236 Pb 16 Pg 52 Lots 17 + 18</t>
  </si>
  <si>
    <t>36-43-23-c3-02146.0140</t>
  </si>
  <si>
    <t>33909-1589</t>
  </si>
  <si>
    <t xml:space="preserve">4772 SW 143rd Ave  Miami, FL 33175-4329 </t>
  </si>
  <si>
    <t>Evangelisto Peralta</t>
  </si>
  <si>
    <t>Huong</t>
  </si>
  <si>
    <t>33181-2178</t>
  </si>
  <si>
    <t xml:space="preserve">319 NE 19th Ter </t>
  </si>
  <si>
    <t xml:space="preserve">2661 SW 138th Ct </t>
  </si>
  <si>
    <t xml:space="preserve">3740 Hyde Park Dr  Fort Myers, FL 33905 </t>
  </si>
  <si>
    <t>PO Box 487</t>
  </si>
  <si>
    <t xml:space="preserve">17800 Summerland Key Ct </t>
  </si>
  <si>
    <t>Scribner</t>
  </si>
  <si>
    <t xml:space="preserve">2650 Colonade Ln </t>
  </si>
  <si>
    <t>45370-8753</t>
  </si>
  <si>
    <t>Ruger</t>
  </si>
  <si>
    <t>Lavery</t>
  </si>
  <si>
    <t>44024-2416</t>
  </si>
  <si>
    <t>Ivanov</t>
  </si>
  <si>
    <t xml:space="preserve">15715 Stillwell Rd  Huntsburg, OH 44046-9760 </t>
  </si>
  <si>
    <t xml:space="preserve">8095 Laketown Pkwy  Waconia, MN 55387-4206 </t>
  </si>
  <si>
    <t xml:space="preserve">2309 NE 35th Ter  Cape Coral, FL 33909 </t>
  </si>
  <si>
    <t>Dipankar</t>
  </si>
  <si>
    <t xml:space="preserve">312 SW 76th Ct  Miami, FL 33144-2434 </t>
  </si>
  <si>
    <t>Apple</t>
  </si>
  <si>
    <t>Bullyan Joseph M Tr</t>
  </si>
  <si>
    <t xml:space="preserve">10070 Rambelwood Ct  Fort Myers, FL 33905 </t>
  </si>
  <si>
    <t>Cape Coral Unit 31 Blk 2084 Pb 14 Pg 165 Lots 11 + 12</t>
  </si>
  <si>
    <t xml:space="preserve">4 Ely Ct  Bridgewater, NJ 08807-3286 </t>
  </si>
  <si>
    <t>33909-5328</t>
  </si>
  <si>
    <t xml:space="preserve">1329 NE 19th St  Cape Coral, FL 33909 </t>
  </si>
  <si>
    <t xml:space="preserve">1134 73rd St </t>
  </si>
  <si>
    <t>17740-8986</t>
  </si>
  <si>
    <t xml:space="preserve">27 Bohnert Pl  Waldwick, NJ 07463-1529 </t>
  </si>
  <si>
    <t xml:space="preserve">38326 Blyth Rd </t>
  </si>
  <si>
    <t>Simeon Ayquipa &amp; Nelida Gonzales</t>
  </si>
  <si>
    <t>11-44-25-08-00000.4690</t>
  </si>
  <si>
    <t xml:space="preserve">1407 Benson St </t>
  </si>
  <si>
    <t>Hanoier</t>
  </si>
  <si>
    <t xml:space="preserve">1320 NE 20th St </t>
  </si>
  <si>
    <t>Hinkle</t>
  </si>
  <si>
    <t xml:space="preserve">852 Vogiantzis Pkwy  Cape Coral, FL 33909 </t>
  </si>
  <si>
    <t>Cape Coral Unit 36 Blk 2338 Pb 16 Pg 124 Lots 45 + 46</t>
  </si>
  <si>
    <t>White Alder</t>
  </si>
  <si>
    <t>Cape Coral Unit 2 Pt.2 Amd Blk.101 Pb 11 Pg 98 Lots 25+26 + Or 2706/0415</t>
  </si>
  <si>
    <t xml:space="preserve">11142 Stardust Dr  Fort Myers, FL 33908 </t>
  </si>
  <si>
    <t>Domenico &amp; Laura Fulciniti</t>
  </si>
  <si>
    <t xml:space="preserve">1305 NE 16th Ter  Cape Coral, FL 33909 </t>
  </si>
  <si>
    <t>Montanez</t>
  </si>
  <si>
    <t>Dan</t>
  </si>
  <si>
    <t>Lehigh Acres Unit 7 Blk 34 Pb 26 Pg 9 Lot 9</t>
  </si>
  <si>
    <t xml:space="preserve">2205 NE 27th Ter </t>
  </si>
  <si>
    <t>Cape Coral Unit 87 Blk.5689 Pb 24 Pg 82 Lots 63 + 64</t>
  </si>
  <si>
    <t>11236-5118</t>
  </si>
  <si>
    <t xml:space="preserve">641 Woodside Ave  River Vale, NJ 07675-6513 </t>
  </si>
  <si>
    <t>25-43-23-c3-02341.0290</t>
  </si>
  <si>
    <t xml:space="preserve">2719 NE 7th Ave </t>
  </si>
  <si>
    <t xml:space="preserve"># 8 </t>
  </si>
  <si>
    <t>33461-2101</t>
  </si>
  <si>
    <t>Bee Ridge</t>
  </si>
  <si>
    <t>Krom</t>
  </si>
  <si>
    <t>Cape Coral Unit 35 Blk 2384 Pb 16 Pg 108 Lots 65 + 66</t>
  </si>
  <si>
    <t>Irina</t>
  </si>
  <si>
    <t>25-43-23-c2-02330.0290</t>
  </si>
  <si>
    <t xml:space="preserve">2127 NE 22nd Ave  Cape Coral, FL 33909 </t>
  </si>
  <si>
    <t xml:space="preserve">3738 Kenyon St </t>
  </si>
  <si>
    <t>36-43-23-c2-02526.0130</t>
  </si>
  <si>
    <t>Clackamas</t>
  </si>
  <si>
    <t>Debellis</t>
  </si>
  <si>
    <t xml:space="preserve">33 Old Schoolhouse Rd </t>
  </si>
  <si>
    <t xml:space="preserve">326 NE 9th Ter  Cape Coral, FL 33909 </t>
  </si>
  <si>
    <t>Cypress Trail Rv Resort Phase 2-A As Desc In Inst# 2014000026506 Lot 182</t>
  </si>
  <si>
    <t xml:space="preserve">818 NE 39th St  Cape Coral, FL 33909 </t>
  </si>
  <si>
    <t xml:space="preserve">10201 Nightwood Dr </t>
  </si>
  <si>
    <t>Cecil</t>
  </si>
  <si>
    <t xml:space="preserve">2130 NE 26th St </t>
  </si>
  <si>
    <t>Alexandra</t>
  </si>
  <si>
    <t xml:space="preserve">2616 NE 21st Ave </t>
  </si>
  <si>
    <t>Nydegger</t>
  </si>
  <si>
    <t xml:space="preserve">6054/6056 Laurelwood Dr </t>
  </si>
  <si>
    <t>92223-2494</t>
  </si>
  <si>
    <t>Stephan Verhaaren</t>
  </si>
  <si>
    <t xml:space="preserve">587-2050 Po Box 587-2050 </t>
  </si>
  <si>
    <t>13357-3707</t>
  </si>
  <si>
    <t xml:space="preserve">5266 Cypress Trail Resort Cir </t>
  </si>
  <si>
    <t>Mae Tengsico</t>
  </si>
  <si>
    <t xml:space="preserve">1019 NE 33rd St  Cape Coral, FL 33909 </t>
  </si>
  <si>
    <t>Terence Eng</t>
  </si>
  <si>
    <t xml:space="preserve">417 Woodhill Rd </t>
  </si>
  <si>
    <t>Harrison</t>
  </si>
  <si>
    <t>11720-2242</t>
  </si>
  <si>
    <t xml:space="preserve">3215 NE 14th Pl </t>
  </si>
  <si>
    <t>Alee</t>
  </si>
  <si>
    <t>Herbert Tillotson</t>
  </si>
  <si>
    <t>Wild Flax</t>
  </si>
  <si>
    <t xml:space="preserve">17867 Haberkorn Rd </t>
  </si>
  <si>
    <t xml:space="preserve">1127 NE 10th St </t>
  </si>
  <si>
    <t>Cape Coral Unit 36 Blk 2516 Pb 16 Pg 116 Lots 38 + 39</t>
  </si>
  <si>
    <t xml:space="preserve">6930 N Kostner Ave  Lincolnwood, IL 60712-4717 </t>
  </si>
  <si>
    <t xml:space="preserve">710 Whitehall Dr </t>
  </si>
  <si>
    <t xml:space="preserve">5152 Sunnybrook Ct  Cape Coral, FL 33904 </t>
  </si>
  <si>
    <t>20854-5417</t>
  </si>
  <si>
    <t xml:space="preserve">822 NE 19th St  Cape Coral, FL 33909 </t>
  </si>
  <si>
    <t xml:space="preserve">21 E Sheppard Ln </t>
  </si>
  <si>
    <t xml:space="preserve">1022 Andalusia Blvd </t>
  </si>
  <si>
    <t>11-44-25-04-0000b.0390</t>
  </si>
  <si>
    <t>Portilla</t>
  </si>
  <si>
    <t xml:space="preserve">119 Sharp St  Patchogue, NY 11772-1745 </t>
  </si>
  <si>
    <t xml:space="preserve">7714 W Turnberry Trl </t>
  </si>
  <si>
    <t xml:space="preserve">5282 Cypress Trail Resort Cir </t>
  </si>
  <si>
    <t>Shadyview</t>
  </si>
  <si>
    <t>16-44-26-l4-00029.0120</t>
  </si>
  <si>
    <t>25-43-23-c2-02331.0090</t>
  </si>
  <si>
    <t>03220-4054</t>
  </si>
  <si>
    <t>Michele Veal</t>
  </si>
  <si>
    <t xml:space="preserve">5633 Brightwood Dr  Fort Myers, FL 33905 </t>
  </si>
  <si>
    <t>Cape Coral Unit 84 Blk 5562 Pb 24 Pg 37 Lots 21 + 22</t>
  </si>
  <si>
    <t>33909-6889</t>
  </si>
  <si>
    <t>Brett</t>
  </si>
  <si>
    <t xml:space="preserve">6115 Hershey Ave  Fort Myers, FL 33905 </t>
  </si>
  <si>
    <t xml:space="preserve">1705 NE 4th Ave </t>
  </si>
  <si>
    <t>33142-6415</t>
  </si>
  <si>
    <t>19-43-24-c4-05562.0310</t>
  </si>
  <si>
    <t xml:space="preserve">107 N Wille St  Mount Prospect, IL 60056-2450 </t>
  </si>
  <si>
    <t>For George Leonard Trust</t>
  </si>
  <si>
    <t xml:space="preserve">7748 Surrey Dr  Darien, IL 60561-4336 </t>
  </si>
  <si>
    <t>Ray &amp; Gale Creep</t>
  </si>
  <si>
    <t>36-44-23-c3-00881.0180</t>
  </si>
  <si>
    <t>Jerry Miller &amp; For Lee</t>
  </si>
  <si>
    <t>Nancy</t>
  </si>
  <si>
    <t xml:space="preserve">911 NE 13th Pl </t>
  </si>
  <si>
    <t>60565-1297</t>
  </si>
  <si>
    <t xml:space="preserve">1817 NE 6th Pl </t>
  </si>
  <si>
    <t>Trophy Club</t>
  </si>
  <si>
    <t xml:space="preserve">3732 Teakwood St </t>
  </si>
  <si>
    <t>Cape Coral Unit 15 Blk.460 Pb 13 Pg 70 Lots 16-17-18</t>
  </si>
  <si>
    <t>Lilian Navas</t>
  </si>
  <si>
    <t>Francisco Pacheco &amp; Maria Tapia</t>
  </si>
  <si>
    <t>18-43-24-c3-05748.0370</t>
  </si>
  <si>
    <t>12065-3860</t>
  </si>
  <si>
    <t xml:space="preserve">7377 Sparkling Lake Rd </t>
  </si>
  <si>
    <t>33415-7975</t>
  </si>
  <si>
    <t xml:space="preserve">5780 Maplewood Ct </t>
  </si>
  <si>
    <t>Escobar</t>
  </si>
  <si>
    <t>Cypress Woods Rv Resort Unit 4 Pb 79 Pgs 68-71 Blk D Lot 77</t>
  </si>
  <si>
    <t>Thang</t>
  </si>
  <si>
    <t>Purtlebaugh</t>
  </si>
  <si>
    <t>Hindsville</t>
  </si>
  <si>
    <t>33909-3274</t>
  </si>
  <si>
    <t>Navas</t>
  </si>
  <si>
    <t>PO Box 144</t>
  </si>
  <si>
    <t>Daniel Hanches &amp; Mihaela Hanehes</t>
  </si>
  <si>
    <t xml:space="preserve">2700 NE Juanita Pl  Cape Coral, FL 33909 </t>
  </si>
  <si>
    <t>Watkins</t>
  </si>
  <si>
    <t xml:space="preserve">323 NE 25th St  Cape Coral, FL 33909 </t>
  </si>
  <si>
    <t xml:space="preserve">667 E 232nd St 4k </t>
  </si>
  <si>
    <t>Sigfredo &amp; Diana Diaz</t>
  </si>
  <si>
    <t>North Las Vegas</t>
  </si>
  <si>
    <t>Walnut Hollow</t>
  </si>
  <si>
    <t>Musto Lauren</t>
  </si>
  <si>
    <t>33012-2428</t>
  </si>
  <si>
    <t xml:space="preserve">280 Kingston Dr </t>
  </si>
  <si>
    <t>Thesy Walraf</t>
  </si>
  <si>
    <t>Lynnea Sales</t>
  </si>
  <si>
    <t>S85w32595</t>
  </si>
  <si>
    <t>Cape Coral Unit 36 Pt 1 Blk 2512 Pb 23 Pg 88 Lots 5 + 6</t>
  </si>
  <si>
    <t xml:space="preserve">7071 Orchard Lake Rd #333, West Bloomfield, MI 48322-3684 </t>
  </si>
  <si>
    <t xml:space="preserve">1222 NE 2nd Pl </t>
  </si>
  <si>
    <t>Schenker</t>
  </si>
  <si>
    <t>25-43-23-c2-02346.0150</t>
  </si>
  <si>
    <t xml:space="preserve">1116 NE 18th Ave  Cape Coral, FL 33909 </t>
  </si>
  <si>
    <t>36-43-23-c1-02521.0200</t>
  </si>
  <si>
    <t>19-43-24-c4-05563.0110</t>
  </si>
  <si>
    <t>Harry &amp; Barbara Oden</t>
  </si>
  <si>
    <t>33904-2850</t>
  </si>
  <si>
    <t>Digne Les Bains</t>
  </si>
  <si>
    <t xml:space="preserve">152 Timber Ln </t>
  </si>
  <si>
    <t>02468-1401</t>
  </si>
  <si>
    <t xml:space="preserve">6 Convenience Center Rd </t>
  </si>
  <si>
    <t>Cape Coral Unit 35 Blk 2375 Pb 16 Pg 105 Lots 9 + 10</t>
  </si>
  <si>
    <t>91356-4218</t>
  </si>
  <si>
    <t>Qunzhen Lin &amp; Jackie Zheng</t>
  </si>
  <si>
    <t xml:space="preserve">803 Cessna St  Independence, OR 97351-9671 </t>
  </si>
  <si>
    <t>La Castellana Antioquia</t>
  </si>
  <si>
    <t>Palio</t>
  </si>
  <si>
    <t xml:space="preserve">4120 SW 26th St  West Park, FL 33023-4420 </t>
  </si>
  <si>
    <t xml:space="preserve">51 Ledgeways </t>
  </si>
  <si>
    <t>Wade</t>
  </si>
  <si>
    <t xml:space="preserve">1409 NE 13th Ter </t>
  </si>
  <si>
    <t>Cape Coral Unit 34 Blk 2439 Pb 16 Pg 84 Lots 44 + 45</t>
  </si>
  <si>
    <t>Buffalo</t>
  </si>
  <si>
    <t>Cape Coral Unit 36 Blk 2312 Pb 16 Pg 124 Lots 1 + 2</t>
  </si>
  <si>
    <t>Harwich Port</t>
  </si>
  <si>
    <t>Lehigh Acres Unit 11 Blk 55 Pb 26 Pg 14 Lot 5</t>
  </si>
  <si>
    <t>Porco</t>
  </si>
  <si>
    <t>Cape Coral Unit 84 Blk 5596 Pb 24 Pg 41 Lots 21 + 22</t>
  </si>
  <si>
    <t>Hartridge</t>
  </si>
  <si>
    <t>Cottage Point Unrec Blk I Db259/224 Lot 10</t>
  </si>
  <si>
    <t>02481-1410</t>
  </si>
  <si>
    <t xml:space="preserve">404 De Vendee Rue  Boucherville, QC J4b 8H4 </t>
  </si>
  <si>
    <t>11-44-25-09-00000.1810</t>
  </si>
  <si>
    <t>San German</t>
  </si>
  <si>
    <t>01-44-23-c4-02424.0110</t>
  </si>
  <si>
    <t xml:space="preserve">8911 Mistletoe Dr  Easton, MD 21601-7437 </t>
  </si>
  <si>
    <t>Palmetto Palms Rv Resort Condo Ph 2 Or 1530 Pg 1466 Res Unit 162</t>
  </si>
  <si>
    <t xml:space="preserve">1324 Auburn Ave </t>
  </si>
  <si>
    <t>Carmine Santosus</t>
  </si>
  <si>
    <t xml:space="preserve">PO Box Hm35  BM </t>
  </si>
  <si>
    <t xml:space="preserve">3601 NE 13th Ave  Cape Coral, FL 33909 </t>
  </si>
  <si>
    <t>Cape Coral Unit 85 Blk 5647 Pb 24 Pg 56 Lots 21 + 22</t>
  </si>
  <si>
    <t>Cindy Grove</t>
  </si>
  <si>
    <t xml:space="preserve">3400 Timberline Dr  Quincy, IL 62305-8306 </t>
  </si>
  <si>
    <t>Calle Tintillo</t>
  </si>
  <si>
    <t>228th</t>
  </si>
  <si>
    <t xml:space="preserve">103 Westley Rd  Old Bridge, NJ 08857-3562 </t>
  </si>
  <si>
    <t>Martha Viviano</t>
  </si>
  <si>
    <t xml:space="preserve">209 S Main St </t>
  </si>
  <si>
    <t>11-44-25-l1-12000.2920</t>
  </si>
  <si>
    <t xml:space="preserve">7899 W 16th Ave </t>
  </si>
  <si>
    <t>West Plains</t>
  </si>
  <si>
    <t>Cape Coral Unit 34 Blk.2427 Pb 16 Pg 76 Lots 5 + 6</t>
  </si>
  <si>
    <t>33909-4443</t>
  </si>
  <si>
    <t>60546-1209</t>
  </si>
  <si>
    <t>Cape Coral Unit 31 Blk 2071 Pb 14 Pg 163 Lots 19 + 20</t>
  </si>
  <si>
    <t>Springer</t>
  </si>
  <si>
    <t>Stone Mountain</t>
  </si>
  <si>
    <t>11419-2713</t>
  </si>
  <si>
    <t>Yolanda Garced</t>
  </si>
  <si>
    <t xml:space="preserve">365 Aley Hill Rd  Beaver Falls, PA 15010-5726 </t>
  </si>
  <si>
    <t xml:space="preserve">10063 Parkwood Dr  Fort Myers, FL 33905 </t>
  </si>
  <si>
    <t>11552-2514</t>
  </si>
  <si>
    <t xml:space="preserve">1048 Lovely Rd </t>
  </si>
  <si>
    <t>Salvador &amp; Ruth Rodriguez</t>
  </si>
  <si>
    <t>Wilkesboro</t>
  </si>
  <si>
    <t>17-43-24-c1-05778.0290</t>
  </si>
  <si>
    <t xml:space="preserve">1324 Auburn Ave  Naperville, IL 60565-2926 </t>
  </si>
  <si>
    <t>55110-1091</t>
  </si>
  <si>
    <t xml:space="preserve">1690 W Prescott Pl </t>
  </si>
  <si>
    <t>County Road 550</t>
  </si>
  <si>
    <t xml:space="preserve">4327 S Highway 27 #328 </t>
  </si>
  <si>
    <t>33125-2270</t>
  </si>
  <si>
    <t xml:space="preserve">3446 NE 9th Pl </t>
  </si>
  <si>
    <t>Cape Coral Unit 34 Blk 2468 Pb 16 Pg 75 Lots 34 + 35</t>
  </si>
  <si>
    <t>Arbor</t>
  </si>
  <si>
    <t xml:space="preserve">1633 NE 33rd Ter </t>
  </si>
  <si>
    <t>Donato</t>
  </si>
  <si>
    <t>Toivo</t>
  </si>
  <si>
    <t>33908-5812</t>
  </si>
  <si>
    <t xml:space="preserve">2215 NE 28th St  Cape Coral, FL 33909 </t>
  </si>
  <si>
    <t xml:space="preserve">1720 NE 7th Pl  Cape Coral, FL 33909 </t>
  </si>
  <si>
    <t xml:space="preserve">2020 Chic Inn Rd </t>
  </si>
  <si>
    <t>Kaycie</t>
  </si>
  <si>
    <t>Vidales</t>
  </si>
  <si>
    <t xml:space="preserve">425 Meadows Blvd #75, Mississauga, ON L4z 1N3 </t>
  </si>
  <si>
    <t>Singletree</t>
  </si>
  <si>
    <t xml:space="preserve">5640 Cypress Woods Resort Dr  Fort Myers, FL 33905 </t>
  </si>
  <si>
    <t>05-44-24-c1-03530.0570</t>
  </si>
  <si>
    <t xml:space="preserve">2529 NE 20th Pl </t>
  </si>
  <si>
    <t xml:space="preserve">2117 NE 20th St  Cape Coral, FL 33909 </t>
  </si>
  <si>
    <t>Cape Coral Unit 36 Blk 2309 Pb 16 Pg 120 Lots 70 + 71</t>
  </si>
  <si>
    <t xml:space="preserve">1812 NE 21st St </t>
  </si>
  <si>
    <t xml:space="preserve">2752 SW 13th St  Miami, FL 33145-1122 </t>
  </si>
  <si>
    <t xml:space="preserve">13229 114th St  South Ozone Park, NY 11420-2317 </t>
  </si>
  <si>
    <t>33458-7619</t>
  </si>
  <si>
    <t>30179-5496</t>
  </si>
  <si>
    <t>Cape Coral Unit 33 Blk 2242 Pb 16 Pg 54 Lots 3 + 4</t>
  </si>
  <si>
    <t xml:space="preserve">18 Trottenstrasse  Islikon, CH 08546 </t>
  </si>
  <si>
    <t>Cape Coral Unit 26 Blk 879 Pb 14 Pg 130 Lots 20 + 21</t>
  </si>
  <si>
    <t>Regency</t>
  </si>
  <si>
    <t>Cape Coral Unit 84 Blk 5607 Pb 24 Pg 35 Lots 32 + 33</t>
  </si>
  <si>
    <t>Michael Devaldivielso</t>
  </si>
  <si>
    <t xml:space="preserve">121 NE 12th Ter  Cape Coral, FL 33909 </t>
  </si>
  <si>
    <t xml:space="preserve">6049 Joplin Ave  Fort Myers, FL 33905 </t>
  </si>
  <si>
    <t>Deborah Cerrato</t>
  </si>
  <si>
    <t>Mariam Diawara</t>
  </si>
  <si>
    <t xml:space="preserve">3860 River Hollow Run  Peachtree Corners, GA 30096-6190 </t>
  </si>
  <si>
    <t xml:space="preserve">1721 NE 3rd Ave </t>
  </si>
  <si>
    <t>Fishkill</t>
  </si>
  <si>
    <t xml:space="preserve">4324 Atwood Dr </t>
  </si>
  <si>
    <t>Cypress Woods Rv Resort Unit 4 Pb 79 Pgs 68-71 Blk D Lot 23</t>
  </si>
  <si>
    <t xml:space="preserve">418 Kismet Pkwy E  Cape Coral, FL 33909 </t>
  </si>
  <si>
    <t>Ridgewood</t>
  </si>
  <si>
    <t>Jamey</t>
  </si>
  <si>
    <t xml:space="preserve">101 NE 20th Ct </t>
  </si>
  <si>
    <t xml:space="preserve">18516 E 800th Rd </t>
  </si>
  <si>
    <t xml:space="preserve">1805 Staples Ave #205 </t>
  </si>
  <si>
    <t>Old Dunhams Corner</t>
  </si>
  <si>
    <t>Bozena</t>
  </si>
  <si>
    <t>11581-2633</t>
  </si>
  <si>
    <t>Oriani</t>
  </si>
  <si>
    <t>19-43-24-c3-05609.0070</t>
  </si>
  <si>
    <t>Farmingdale</t>
  </si>
  <si>
    <t>03-44-26-12-00068.0150</t>
  </si>
  <si>
    <t>75007-4891</t>
  </si>
  <si>
    <t>Grand</t>
  </si>
  <si>
    <t xml:space="preserve">916 NE 32nd St  Cape Coral, FL 33909 </t>
  </si>
  <si>
    <t xml:space="preserve">2519 Sea Oats Cir N #3, Lakeland, FL 33815 </t>
  </si>
  <si>
    <t>Starkey</t>
  </si>
  <si>
    <t xml:space="preserve">22184 Comer Ave </t>
  </si>
  <si>
    <t>Cape Coral Unit 85 Blk 5657 Pb 24 Pg 54 Lot 5</t>
  </si>
  <si>
    <t xml:space="preserve">1903 NE 23rd Ave  Cape Coral, FL 33909 </t>
  </si>
  <si>
    <t>33905-5726</t>
  </si>
  <si>
    <t>William &amp; Shawn Kasper</t>
  </si>
  <si>
    <t xml:space="preserve">11331 Dupont Rd </t>
  </si>
  <si>
    <t xml:space="preserve">11130 Sunburst Ln  Fort Myers, FL 33908 </t>
  </si>
  <si>
    <t xml:space="preserve">5561 Cypress Woods Resort Dr </t>
  </si>
  <si>
    <t xml:space="preserve">10121 Sunnywood Ct  Fort Myers, FL 33905 </t>
  </si>
  <si>
    <t xml:space="preserve">N5194 State Road 78 </t>
  </si>
  <si>
    <t>PO Box 461300</t>
  </si>
  <si>
    <t xml:space="preserve">19a Calle 161 A #30, Bogota, CO </t>
  </si>
  <si>
    <t xml:space="preserve">1411 NE 19th Ave </t>
  </si>
  <si>
    <t>Cape Coral Unit 36 Blk 2498 Pb 23 Pg 92 Lots 31 + 32</t>
  </si>
  <si>
    <t>05-44-24-c1-03531.0370</t>
  </si>
  <si>
    <t>25-43-23-c2-02316.0030</t>
  </si>
  <si>
    <t>40509-4470</t>
  </si>
  <si>
    <t>Rene Debergeyck</t>
  </si>
  <si>
    <t>21-44-24-02-00008.074a</t>
  </si>
  <si>
    <t xml:space="preserve">6011 Thrush Ave </t>
  </si>
  <si>
    <t>28-43-23-c4-05134.0530</t>
  </si>
  <si>
    <t>Jacson</t>
  </si>
  <si>
    <t>01969-2446</t>
  </si>
  <si>
    <t>Cristeta</t>
  </si>
  <si>
    <t xml:space="preserve">1826 NE 4th Ave  Cape Coral, FL 33909 </t>
  </si>
  <si>
    <t xml:space="preserve">2301 NE 34th Ter  Cape Coral, FL 33909 </t>
  </si>
  <si>
    <t xml:space="preserve">1213 NE 7th Ave  Cape Coral, FL 33909 </t>
  </si>
  <si>
    <t xml:space="preserve">5609 Brightwood Dr  Fort Myers, FL 33905 </t>
  </si>
  <si>
    <t>Wanda Newton</t>
  </si>
  <si>
    <t>C726</t>
  </si>
  <si>
    <t xml:space="preserve">3846 Highlight St </t>
  </si>
  <si>
    <t xml:space="preserve">8302 Miami Cir </t>
  </si>
  <si>
    <t>Cape Coral Unit 85 Blk 5662 Pb 24 Pg 58 Lots 45 + 46</t>
  </si>
  <si>
    <t xml:space="preserve">5721 Cypress Woods Resort Dr </t>
  </si>
  <si>
    <t xml:space="preserve">850 SW 142nd Ave </t>
  </si>
  <si>
    <t>Devine Michele Tr</t>
  </si>
  <si>
    <t>PO Box 19000</t>
  </si>
  <si>
    <t xml:space="preserve">521 N Riverside Dr #609 </t>
  </si>
  <si>
    <t>Rosio</t>
  </si>
  <si>
    <t>Cape Coral Unit 35 Blk.2369 Pb 16 Pg 101 Lots 19 Thru 21</t>
  </si>
  <si>
    <t>Kovarova</t>
  </si>
  <si>
    <t>Nicklaus</t>
  </si>
  <si>
    <t>Beatriz</t>
  </si>
  <si>
    <t>Westwinde</t>
  </si>
  <si>
    <t>Cape Coral Unit 87 Blk 5707 Pb 24 Pg 71 Lots 12 + 13</t>
  </si>
  <si>
    <t xml:space="preserve">5478 Cypress Trail Resort Cir  Fort Myers, FL 33905 </t>
  </si>
  <si>
    <t>Donna Ovari</t>
  </si>
  <si>
    <t xml:space="preserve">405 N Swift St </t>
  </si>
  <si>
    <t xml:space="preserve">140 Hall St </t>
  </si>
  <si>
    <t>Schertz</t>
  </si>
  <si>
    <t>60540-7735</t>
  </si>
  <si>
    <t xml:space="preserve">27 Dixington Cres  Weston, ON M9p 2K3 </t>
  </si>
  <si>
    <t>10543-2212</t>
  </si>
  <si>
    <t xml:space="preserve">6021 Joplin Ave  Fort Myers, FL 33905 </t>
  </si>
  <si>
    <t xml:space="preserve">323 Seven Springs Way #208 </t>
  </si>
  <si>
    <t>Cypress Trail Rv Resort Ph 3 As Desc In Inst# 2015000085552 Lot 33</t>
  </si>
  <si>
    <t>03-44-26-01-00003.0360</t>
  </si>
  <si>
    <t xml:space="preserve">1426 NE 33rd Ter  Cape Coral, FL 33909 </t>
  </si>
  <si>
    <t>Cape Coral Unit 88 Blk 5797 Pb 24 Pg 131 Lots 49 + 50</t>
  </si>
  <si>
    <t>Victor &amp; Regina Golaszewski</t>
  </si>
  <si>
    <t>Franz Haider</t>
  </si>
  <si>
    <t xml:space="preserve">68397 Eagle Lake Rd  Edwardsburg, MI 49112-9548 </t>
  </si>
  <si>
    <t>Cape Coral Unit 85 Blk.5644 Pb 24 Pg 56 Lots 1 + 2</t>
  </si>
  <si>
    <t>Dianna</t>
  </si>
  <si>
    <t>Mccrae</t>
  </si>
  <si>
    <t>05-44-24-c1-03532.0170</t>
  </si>
  <si>
    <t>39th</t>
  </si>
  <si>
    <t>33909-1623</t>
  </si>
  <si>
    <t>Ruehling</t>
  </si>
  <si>
    <t>Cape Coral Unit 87 Blk 5706 Pb 24 Pg 72 Lots 19 + 20</t>
  </si>
  <si>
    <t xml:space="preserve">102 George Rogers Rd  Charlottesville, VA 22911-8411 </t>
  </si>
  <si>
    <t>08092-3141</t>
  </si>
  <si>
    <t xml:space="preserve">Po Box 126205 </t>
  </si>
  <si>
    <t>Golden Lake Heights Unit 2 Blk C Pb 23 Pg 63 Lot 25</t>
  </si>
  <si>
    <t xml:space="preserve">905 NE 23rd Ter  Cape Coral, FL 33909 </t>
  </si>
  <si>
    <t>Cape Coral Unit 84 Blk 5578 Pb 24 Pg 46 Lots 22 + 23</t>
  </si>
  <si>
    <t>Valley Stream</t>
  </si>
  <si>
    <t>Confer</t>
  </si>
  <si>
    <t>Cape Coral Unit 85 Blk 5649 Pb 24 Pg 57 Lots 39 + 40</t>
  </si>
  <si>
    <t>01876-2923</t>
  </si>
  <si>
    <t>Schega</t>
  </si>
  <si>
    <t>Zastawny</t>
  </si>
  <si>
    <t>32-43-24-c2-02185.0210</t>
  </si>
  <si>
    <t>61254-1727</t>
  </si>
  <si>
    <t>Angelina</t>
  </si>
  <si>
    <t>For Unknown Trust</t>
  </si>
  <si>
    <t>Carole Didonato</t>
  </si>
  <si>
    <t>Russell Park Blk 6 Pb 6 Pg 12 Lots 211 + 212</t>
  </si>
  <si>
    <t>36-43-23-c3-02501.0230</t>
  </si>
  <si>
    <t>Highland Beach</t>
  </si>
  <si>
    <t>33909-1334</t>
  </si>
  <si>
    <t>33175-6023</t>
  </si>
  <si>
    <t>33168-4306</t>
  </si>
  <si>
    <t>Ponte Vedra</t>
  </si>
  <si>
    <t xml:space="preserve">124 NE 8th Ter </t>
  </si>
  <si>
    <t xml:space="preserve">4391 Langston Blvd  Arlington, VA 22207-3207 </t>
  </si>
  <si>
    <t>Tian</t>
  </si>
  <si>
    <t xml:space="preserve">1118 NE 15th Ter </t>
  </si>
  <si>
    <t xml:space="preserve">2109 NE 17th Ter  Cape Coral, FL 33909 </t>
  </si>
  <si>
    <t xml:space="preserve">9800 SW 49th St </t>
  </si>
  <si>
    <t>For Pinto Trust</t>
  </si>
  <si>
    <t>33905-8634</t>
  </si>
  <si>
    <t>Alfredo Chavez</t>
  </si>
  <si>
    <t>Tsakiris</t>
  </si>
  <si>
    <t>56326-8168</t>
  </si>
  <si>
    <t>19-43-24-c4-05557.0270</t>
  </si>
  <si>
    <t>Schlehenweg</t>
  </si>
  <si>
    <t>Hertert</t>
  </si>
  <si>
    <t>32132-2373</t>
  </si>
  <si>
    <t>Raul Ascarrunz &amp; Melissa Ascarrunz</t>
  </si>
  <si>
    <t xml:space="preserve">16907 Gothic Dr </t>
  </si>
  <si>
    <t xml:space="preserve">1041 NE 40th Ter </t>
  </si>
  <si>
    <t>75019-4865</t>
  </si>
  <si>
    <t>25-43-23-c2-02351.0180</t>
  </si>
  <si>
    <t>18-43-24-c3-05714.0310</t>
  </si>
  <si>
    <t>Palmona Park Unit 1 Blk 36 Pb 7 Pg 54 Lot 10</t>
  </si>
  <si>
    <t xml:space="preserve">5231 Cypress Trail Resort Cir </t>
  </si>
  <si>
    <t>Janelle Breegle</t>
  </si>
  <si>
    <t>Cape Coral Unit 84 Blk 5583 Pb 24 Pg 48 Lots 23 + 24</t>
  </si>
  <si>
    <t>33909-2307</t>
  </si>
  <si>
    <t xml:space="preserve">611 Morris Park Ave </t>
  </si>
  <si>
    <t>Elbow Shores</t>
  </si>
  <si>
    <t>Jacklyn</t>
  </si>
  <si>
    <t xml:space="preserve">3709 Kelsey St </t>
  </si>
  <si>
    <t xml:space="preserve">1017 Jacaranda Pkwy E </t>
  </si>
  <si>
    <t>03-44-26-13-00075.0210</t>
  </si>
  <si>
    <t xml:space="preserve">1546 Kemman Ave </t>
  </si>
  <si>
    <t>33909-5465</t>
  </si>
  <si>
    <t xml:space="preserve">3916 N Potsdam Ave #764 </t>
  </si>
  <si>
    <t>Sebastian Ruggieri &amp; Veronica Lamas</t>
  </si>
  <si>
    <t xml:space="preserve">4495 Hwy 8 </t>
  </si>
  <si>
    <t xml:space="preserve">8608 E Gail Rd  Scottsdale, AZ 85260-6651 </t>
  </si>
  <si>
    <t xml:space="preserve">415 N Main St </t>
  </si>
  <si>
    <t xml:space="preserve">12082 NW 24th St </t>
  </si>
  <si>
    <t>Beach</t>
  </si>
  <si>
    <t xml:space="preserve">1911 NE 33rd St  Cape Coral, FL 33909 </t>
  </si>
  <si>
    <t xml:space="preserve">2109 NE 14th Pl  Cape Coral, FL 33909 </t>
  </si>
  <si>
    <t>32-43-24-c1-02182.0380</t>
  </si>
  <si>
    <t>Keebler</t>
  </si>
  <si>
    <t>19-43-24-c2-05753.0340</t>
  </si>
  <si>
    <t xml:space="preserve">627 NE 23rd Ter </t>
  </si>
  <si>
    <t xml:space="preserve">2002 NE 6th Pl  Cape Coral, FL 33909 </t>
  </si>
  <si>
    <t>Cape Coral Unit 2 Pt.2 Amd Blk.98 Pb 11 Pg 97 Lots 24 + 25</t>
  </si>
  <si>
    <t>Cape Coral Unit 14 Blk.525 Pb 13 Pg 66 Lots 1 2 + 3</t>
  </si>
  <si>
    <t>14067-9210</t>
  </si>
  <si>
    <t xml:space="preserve">263 Canal Dr NE </t>
  </si>
  <si>
    <t xml:space="preserve">87 Lofty Ln  North Fort Myers, FL 33903 </t>
  </si>
  <si>
    <t>Altemir &amp; Maria Barbosa</t>
  </si>
  <si>
    <t>Hyacinth Chin</t>
  </si>
  <si>
    <t>Cape Coral Unit 13 Blk 516 Pb 13 Pg 58 Lots 9 Thru 11</t>
  </si>
  <si>
    <t xml:space="preserve">1922 NE 28th St  Cape Coral, FL 33909 </t>
  </si>
  <si>
    <t xml:space="preserve">3445 Andalusia Blvd </t>
  </si>
  <si>
    <t xml:space="preserve">2124 NE 17th Ave </t>
  </si>
  <si>
    <t xml:space="preserve">37 Josef-Fischhaber-Str </t>
  </si>
  <si>
    <t>77339-3389</t>
  </si>
  <si>
    <t>Cecilia</t>
  </si>
  <si>
    <t>Mchenry</t>
  </si>
  <si>
    <t>Monsalve</t>
  </si>
  <si>
    <t xml:space="preserve">7169 E Hyatt St </t>
  </si>
  <si>
    <t>35-45-24-00-00028.0270</t>
  </si>
  <si>
    <t>Haber</t>
  </si>
  <si>
    <t>Kanagawa</t>
  </si>
  <si>
    <t>Ramona</t>
  </si>
  <si>
    <t>Lena Boles &amp; Janice Crawford</t>
  </si>
  <si>
    <t>Silver Dollar</t>
  </si>
  <si>
    <t>33909-6149</t>
  </si>
  <si>
    <t>Ceiba</t>
  </si>
  <si>
    <t>Cape Coral Unit 84 Blk 5574 Pb 24 Pg 36 Lots 24 Thru 26</t>
  </si>
  <si>
    <t>Jiovanni</t>
  </si>
  <si>
    <t xml:space="preserve">144 Cove Rd </t>
  </si>
  <si>
    <t>Harborage Subd Pb 38 Pg 9 Lot 65 + Nlry1/2 Of Lot 64</t>
  </si>
  <si>
    <t xml:space="preserve">901 NE 16th Ter </t>
  </si>
  <si>
    <t xml:space="preserve">2014 NE 25th Ter  Cape Coral, FL 33909 </t>
  </si>
  <si>
    <t>Macleod</t>
  </si>
  <si>
    <t>33904-3333</t>
  </si>
  <si>
    <t>33909-2895</t>
  </si>
  <si>
    <t>Haggith &amp; Carmel Nadav</t>
  </si>
  <si>
    <t>Apex</t>
  </si>
  <si>
    <t>33909-4242</t>
  </si>
  <si>
    <t>Mission Glen</t>
  </si>
  <si>
    <t>East Stroudsburg</t>
  </si>
  <si>
    <t>Cape Coral Unit 17 Blk.1539 Pb 14 Pg 35 Lots 42 + 43</t>
  </si>
  <si>
    <t>Wolfgang</t>
  </si>
  <si>
    <t xml:space="preserve">1321 NE 39th St  Cape Coral, FL 33909 </t>
  </si>
  <si>
    <t xml:space="preserve">11036 Stardust Dr </t>
  </si>
  <si>
    <t xml:space="preserve">145 Ocean Ave #404 </t>
  </si>
  <si>
    <t xml:space="preserve">2103 NE 1st Pl  Cape Coral, FL 33909 </t>
  </si>
  <si>
    <t xml:space="preserve">13425 Marquette Blvd  Fort Myers, FL 33905 </t>
  </si>
  <si>
    <t>26201-5158</t>
  </si>
  <si>
    <t>Springwood</t>
  </si>
  <si>
    <t>Xiomara Cruz</t>
  </si>
  <si>
    <t xml:space="preserve">5506 Cypress Trail Resort Cir  Fort Myers, FL 33905 </t>
  </si>
  <si>
    <t>Lorraine Smith</t>
  </si>
  <si>
    <t>Stoney Creek</t>
  </si>
  <si>
    <t xml:space="preserve">1106 NE 5th Pl  Cape Coral, FL 33909 </t>
  </si>
  <si>
    <t>33904-5725</t>
  </si>
  <si>
    <t xml:space="preserve">13346 Majestic Way  Cooper City, FL 33330-2652 </t>
  </si>
  <si>
    <t>Maria Alfaro</t>
  </si>
  <si>
    <t xml:space="preserve">5227 Cypress Trail Resort Cir </t>
  </si>
  <si>
    <t>18-43-24-c1-05692.0870</t>
  </si>
  <si>
    <t xml:space="preserve">89 Teddy Ave  San Francisco, CA 94134-2345 </t>
  </si>
  <si>
    <t>32807-1313</t>
  </si>
  <si>
    <t>33071-5413</t>
  </si>
  <si>
    <t xml:space="preserve">3836 Hyde Park Dr  Fort Myers, FL 33905 </t>
  </si>
  <si>
    <t xml:space="preserve">1349 Lexington Ave 4b </t>
  </si>
  <si>
    <t xml:space="preserve">3428 W Gator Cir </t>
  </si>
  <si>
    <t>Fatima</t>
  </si>
  <si>
    <t xml:space="preserve">3859 Heyburn St  Fort Myers, FL 33905 </t>
  </si>
  <si>
    <t>17050-2256</t>
  </si>
  <si>
    <t>Kennard</t>
  </si>
  <si>
    <t xml:space="preserve">6280 S Military Trl #605, Lake Worth, FL 33463-7134 </t>
  </si>
  <si>
    <t xml:space="preserve">7 Holiday Blvd </t>
  </si>
  <si>
    <t xml:space="preserve">3606 NE 21st Pl </t>
  </si>
  <si>
    <t>Cornelius</t>
  </si>
  <si>
    <t>33126-5484</t>
  </si>
  <si>
    <t>Tuyen Le</t>
  </si>
  <si>
    <t>Reynoldsburg</t>
  </si>
  <si>
    <t xml:space="preserve">1615 NE 23rd St </t>
  </si>
  <si>
    <t>Abbey Hill</t>
  </si>
  <si>
    <t>07960-2745</t>
  </si>
  <si>
    <t xml:space="preserve">8675 SW 113th Ct  Miami, FL 33173-4235 </t>
  </si>
  <si>
    <t xml:space="preserve">4132 SE 10th Ave  Cape Coral, FL 33904 </t>
  </si>
  <si>
    <t xml:space="preserve">3853 Ivy Ct  Fort Myers, FL 33905 </t>
  </si>
  <si>
    <t>Bruno Specker</t>
  </si>
  <si>
    <t>36-44-23-c2-00907.0340</t>
  </si>
  <si>
    <t xml:space="preserve">1103 NE 18th Ave </t>
  </si>
  <si>
    <t>Equity &amp; Ira Renk</t>
  </si>
  <si>
    <t>Mcghee James G Tr</t>
  </si>
  <si>
    <t>Floyd Storey</t>
  </si>
  <si>
    <t xml:space="preserve">5731 Buchanan St </t>
  </si>
  <si>
    <t xml:space="preserve">632 Bellemeade Dr SW </t>
  </si>
  <si>
    <t>Cape Coral Unit 36 Blk 2526 Pb 16 Pg 117 Lots 26 + 27</t>
  </si>
  <si>
    <t>01-44-23-c1-02433.0070</t>
  </si>
  <si>
    <t>Gerald &amp; Norma Fossum</t>
  </si>
  <si>
    <t>Johanes</t>
  </si>
  <si>
    <t>32-44-24-c3-01175.0010</t>
  </si>
  <si>
    <t>66087-4021</t>
  </si>
  <si>
    <t>33024-1060</t>
  </si>
  <si>
    <t>Nice</t>
  </si>
  <si>
    <t xml:space="preserve">1405 NE 18th Pl </t>
  </si>
  <si>
    <t>C Thomas C &amp; Dorothy Apple</t>
  </si>
  <si>
    <t>Cape Coral Unit 85 Blk 5633 Pb 24 Pg 51 Lots 60 + 61</t>
  </si>
  <si>
    <t>Bellair</t>
  </si>
  <si>
    <t>Adam &amp; Jennifer Jensen</t>
  </si>
  <si>
    <t xml:space="preserve">2215 NE 21st Pl </t>
  </si>
  <si>
    <t>Needham</t>
  </si>
  <si>
    <t xml:space="preserve">6055 Lacota Ave </t>
  </si>
  <si>
    <t xml:space="preserve">1911 N Bosart Ave </t>
  </si>
  <si>
    <t>Gerard &amp; Rose Wibrew</t>
  </si>
  <si>
    <t xml:space="preserve">3138 NE 13th Ct  Cape Coral, FL 33909 </t>
  </si>
  <si>
    <t>29-43-24-c4-02287.0090</t>
  </si>
  <si>
    <t xml:space="preserve">19230 E Country Club Dr </t>
  </si>
  <si>
    <t>Cape Coral Unit 33 Blk 2280 Pb 16 Pg 60 Lots 27 + 28</t>
  </si>
  <si>
    <t xml:space="preserve">110 NE 11th Ln  Cape Coral, FL 33909 </t>
  </si>
  <si>
    <t>Paul Weigele &amp; For Wigle</t>
  </si>
  <si>
    <t>Doug &amp; Chloe Harrison</t>
  </si>
  <si>
    <t>33909-7318</t>
  </si>
  <si>
    <t>45039-7352</t>
  </si>
  <si>
    <t>33909-0906</t>
  </si>
  <si>
    <t xml:space="preserve">6118 Laurelwood Dr  Fort Myers, FL 33905 </t>
  </si>
  <si>
    <t>Manning Kong &amp; Ping Siu</t>
  </si>
  <si>
    <t xml:space="preserve">1330 NE 22nd Pl </t>
  </si>
  <si>
    <t>Marion Williams</t>
  </si>
  <si>
    <t>Jose &amp; Karina Moreno</t>
  </si>
  <si>
    <t>Lehigh Acres Unit 3 Blk 13 Pb 26 Pg 5 Lot 29</t>
  </si>
  <si>
    <t>Cape Coral Unit 33 Blk.2218 Pb 16 Pg 44 Lots 13 + 14</t>
  </si>
  <si>
    <t>Lehigh Acres Unit 1 E Pt Blk 6 Pb 26 Pg 3 Lot 2</t>
  </si>
  <si>
    <t xml:space="preserve">2233 Scofield Carleton Rd </t>
  </si>
  <si>
    <t xml:space="preserve">1729 NE 21st St </t>
  </si>
  <si>
    <t>55317-8351</t>
  </si>
  <si>
    <t xml:space="preserve">105 Nathan Hale Dr </t>
  </si>
  <si>
    <t xml:space="preserve">1441 SE 32nd St  Cape Coral, FL 33904 </t>
  </si>
  <si>
    <t>Russell Park Blk 5 Pb 8 Pg 36 Lot 185</t>
  </si>
  <si>
    <t>Soundararajan Bridget Tr</t>
  </si>
  <si>
    <t xml:space="preserve">1431 S Cody St  Lakewood, CO 80232-5225 </t>
  </si>
  <si>
    <t xml:space="preserve">3702 Colorado Ave  Kenner, LA 70065-3002 </t>
  </si>
  <si>
    <t>Kemman</t>
  </si>
  <si>
    <t>33909-5411</t>
  </si>
  <si>
    <t xml:space="preserve">1405 NE 17th Ave </t>
  </si>
  <si>
    <t>Cypress Trail Rv Resort Phase 2-A As Desc In Inst# 2014000026506 Lot 10</t>
  </si>
  <si>
    <t>R057</t>
  </si>
  <si>
    <t xml:space="preserve">3201 NE 13th Ave </t>
  </si>
  <si>
    <t>21042-1268</t>
  </si>
  <si>
    <t>Frank Daquino</t>
  </si>
  <si>
    <t xml:space="preserve">1022 Cedar Canyon Rd </t>
  </si>
  <si>
    <t xml:space="preserve">1947 NE 15th Ter </t>
  </si>
  <si>
    <t>32-43-24-c1-02226.0430</t>
  </si>
  <si>
    <t xml:space="preserve">1656 W 57th Ter </t>
  </si>
  <si>
    <t>Kathy Parrish</t>
  </si>
  <si>
    <t xml:space="preserve">4241 NE 19th Ave  Cape Coral, FL 33909 </t>
  </si>
  <si>
    <t>Pikcilingyte</t>
  </si>
  <si>
    <t xml:space="preserve">911 NE 23rd St  Cape Coral, FL 33909 </t>
  </si>
  <si>
    <t xml:space="preserve">2305 NE 35th Ln </t>
  </si>
  <si>
    <t>Bruckner</t>
  </si>
  <si>
    <t>03-44-26-13-00073.0120</t>
  </si>
  <si>
    <t>Katheryn</t>
  </si>
  <si>
    <t xml:space="preserve">2210 NE 13th Ave  Cape Coral, FL 33909 </t>
  </si>
  <si>
    <t>Angelo Caputo &amp; For Realty</t>
  </si>
  <si>
    <t xml:space="preserve">1329 NE 19th Pl  Cape Coral, FL 33909 </t>
  </si>
  <si>
    <t>Rosa Arana &amp; For Wheelock</t>
  </si>
  <si>
    <t>Twin Falls</t>
  </si>
  <si>
    <t>Cape Coral Unit 34 Blk 2460 Pb 16 Pg 86 Lots 59 + 60</t>
  </si>
  <si>
    <t>11590-3233</t>
  </si>
  <si>
    <t>17-43-24-c2-05812.0250</t>
  </si>
  <si>
    <t xml:space="preserve">2829 NE 5th Ave  Cape Coral, FL 33909 </t>
  </si>
  <si>
    <t xml:space="preserve">1660 Apollo Way  Beaumont, CA 92223-2494 </t>
  </si>
  <si>
    <t xml:space="preserve">3404 NE 13th Pl </t>
  </si>
  <si>
    <t xml:space="preserve">1595 Jerusalem Rd </t>
  </si>
  <si>
    <t>03-44-26-09-00042.0090</t>
  </si>
  <si>
    <t>Cypress Bend</t>
  </si>
  <si>
    <t>James &amp; Judy Nord</t>
  </si>
  <si>
    <t xml:space="preserve">1125 NE 2nd Ave  Cape Coral, FL 33909 </t>
  </si>
  <si>
    <t xml:space="preserve">PO Box 264  Seeleys Bay, ON K0h 2N0 </t>
  </si>
  <si>
    <t xml:space="preserve">17 Prospect Ave  Saugus, MA 01906-3821 </t>
  </si>
  <si>
    <t>Cape Coral Unit 34 Blk 2439 Pb 16 Pg 84 Lots 42 + 43</t>
  </si>
  <si>
    <t xml:space="preserve">3718 Kelsey St  Fort Myers, FL 33905 </t>
  </si>
  <si>
    <t>Birch</t>
  </si>
  <si>
    <t xml:space="preserve">521 SE 30th Ter </t>
  </si>
  <si>
    <t>33905-6209</t>
  </si>
  <si>
    <t>Gutowski</t>
  </si>
  <si>
    <t xml:space="preserve">6399 Hc 2 </t>
  </si>
  <si>
    <t>Dieter Rampp</t>
  </si>
  <si>
    <t xml:space="preserve">1114 NE 10th Ln </t>
  </si>
  <si>
    <t xml:space="preserve">16553 14th St  Dade City, FL 33523-6301 </t>
  </si>
  <si>
    <t>Patrick</t>
  </si>
  <si>
    <t xml:space="preserve">3728 SE 16th Pl  Cape Coral, FL 33904 </t>
  </si>
  <si>
    <t>Rowland</t>
  </si>
  <si>
    <t>31-43-24-c3-02122.0390</t>
  </si>
  <si>
    <t xml:space="preserve">342 NE 20th St </t>
  </si>
  <si>
    <t>Cape Coral Unit 7 Blk 332 Pb 12 Pg 121 Lots 21 + 22</t>
  </si>
  <si>
    <t>Grignon</t>
  </si>
  <si>
    <t>33909-3329</t>
  </si>
  <si>
    <t>33903-7321</t>
  </si>
  <si>
    <t xml:space="preserve">1342 SE 44th Ter </t>
  </si>
  <si>
    <t>Cape Coral Unit 84 Blk 5597 Pb 24 Pg 43 Lots 30 + 31</t>
  </si>
  <si>
    <t xml:space="preserve">201 NE 31st St </t>
  </si>
  <si>
    <t xml:space="preserve">8 Stearns Ave  Lawrence, MA 01841-1133 </t>
  </si>
  <si>
    <t>Cape Coral Unit 31 Blk.2056 Pb 14 Pg 158 Lots 26 + 27</t>
  </si>
  <si>
    <t xml:space="preserve">2022 NE 15th Ln </t>
  </si>
  <si>
    <t xml:space="preserve">2415 NE 22nd Pl </t>
  </si>
  <si>
    <t>Stathis</t>
  </si>
  <si>
    <t>1f</t>
  </si>
  <si>
    <t>Monasterio</t>
  </si>
  <si>
    <t xml:space="preserve">544 Highway 33 </t>
  </si>
  <si>
    <t>33909-6487</t>
  </si>
  <si>
    <t>33183-2029</t>
  </si>
  <si>
    <t>Cape Coral Unit 84 Blk 5609 Pb 24 Pg 36 Lots 49 + 50</t>
  </si>
  <si>
    <t>Daniel Kim</t>
  </si>
  <si>
    <t xml:space="preserve">1305 Dakota St  Watertown, WI 53094-6512 </t>
  </si>
  <si>
    <t>11-44-25-l1-13000.3180</t>
  </si>
  <si>
    <t>Hagglund</t>
  </si>
  <si>
    <t xml:space="preserve">6 Saw Mill Dr  Somerset, NJ 08873-7363 </t>
  </si>
  <si>
    <t>Avacado</t>
  </si>
  <si>
    <t>Kulka</t>
  </si>
  <si>
    <t>Kimly</t>
  </si>
  <si>
    <t>Lacrois</t>
  </si>
  <si>
    <t>Central</t>
  </si>
  <si>
    <t xml:space="preserve">5465 NW 190th St  Miami Gardens, FL 33055-2347 </t>
  </si>
  <si>
    <t xml:space="preserve">110 Harriett St </t>
  </si>
  <si>
    <t>Ft Myers Shores Unit 6 Blk 64 Pb 17 Pg 76 Lots 16 + 17</t>
  </si>
  <si>
    <t>17-43-24-c2-05813.0050</t>
  </si>
  <si>
    <t xml:space="preserve">6139 Deeside Dr  Dublin, OH 43017-9456 </t>
  </si>
  <si>
    <t xml:space="preserve">3900 SW 147th Ave  Miramar, FL 33027-3703 </t>
  </si>
  <si>
    <t>33162-5331</t>
  </si>
  <si>
    <t>Donald Goodger</t>
  </si>
  <si>
    <t>Carmen Cabrera &amp; Maria Garcia</t>
  </si>
  <si>
    <t>Cape Coral Unit 33 Blk 2253 Pb 16 Pg 57 Lots 24 + 25</t>
  </si>
  <si>
    <t>Robert-Koch-Str 11 B</t>
  </si>
  <si>
    <t>Mark &amp; Vicky Huizer</t>
  </si>
  <si>
    <t xml:space="preserve">47 Agatha Dr </t>
  </si>
  <si>
    <t xml:space="preserve">1306 NE 16th Ter  Cape Coral, FL 33909 </t>
  </si>
  <si>
    <t xml:space="preserve">70219 Long Lake Rd </t>
  </si>
  <si>
    <t xml:space="preserve">15261 Cemetery Rd  Fort Myers, FL 33905 </t>
  </si>
  <si>
    <t>Teresita</t>
  </si>
  <si>
    <t>25-43-23-c3-02343.0430</t>
  </si>
  <si>
    <t>Kyle Shatterly</t>
  </si>
  <si>
    <t xml:space="preserve">175 Grandview Pt </t>
  </si>
  <si>
    <t>Reynolds Nettie May Tr</t>
  </si>
  <si>
    <t>20-43-24-c4-05630.0070</t>
  </si>
  <si>
    <t>Brian &amp; Lizanne Blodgett</t>
  </si>
  <si>
    <t>Carmen Chaple</t>
  </si>
  <si>
    <t>Silva</t>
  </si>
  <si>
    <t>Cape Coral Unit 88 Blk 5775 Pb 24 Pg 134 Lots 3 + 4</t>
  </si>
  <si>
    <t>33909-3525</t>
  </si>
  <si>
    <t>Fourth</t>
  </si>
  <si>
    <t>B013</t>
  </si>
  <si>
    <t>Cape Coral Unit 36 Pt 1 Blk 2490 Pb 23 Pg 88 Lots 41 + 42</t>
  </si>
  <si>
    <t>32-43-24-c2-02234.0540</t>
  </si>
  <si>
    <t xml:space="preserve">5673 Brightwood Dr  Fort Myers, FL 33905 </t>
  </si>
  <si>
    <t>Chappell &amp; Susan Otis</t>
  </si>
  <si>
    <t>Da Costa Marantes</t>
  </si>
  <si>
    <t xml:space="preserve">3928 SE 4th Ave  Cape Coral, FL 33904 </t>
  </si>
  <si>
    <t>17-43-24-c1-05828.0170</t>
  </si>
  <si>
    <t xml:space="preserve">10013 NE Hazel Dell Ave #408 </t>
  </si>
  <si>
    <t>Cape Coral Unit 35 Blk.2413 Pb 16 Pg 109 Lots 59 + 60</t>
  </si>
  <si>
    <t>Auva Haseley &amp; Michael Miller</t>
  </si>
  <si>
    <t>Yoel</t>
  </si>
  <si>
    <t>Luke</t>
  </si>
  <si>
    <t xml:space="preserve">51 Cunningham Rd </t>
  </si>
  <si>
    <t>Pinczewski</t>
  </si>
  <si>
    <t xml:space="preserve">2743 NE 7th Ave </t>
  </si>
  <si>
    <t xml:space="preserve">3747 Kelsey St  Fort Myers, FL 33905 </t>
  </si>
  <si>
    <t>18-43-24-c1-05695.0270</t>
  </si>
  <si>
    <t xml:space="preserve">5001 Collins Ave 15a </t>
  </si>
  <si>
    <t>Lysiak Norman &amp; Kathleen Tr</t>
  </si>
  <si>
    <t xml:space="preserve">16453 SW 97th St </t>
  </si>
  <si>
    <t xml:space="preserve">2695 S Johnson Cir  Lakewood, CO 80227-2880 </t>
  </si>
  <si>
    <t>25-43-23-c3-02345.0280</t>
  </si>
  <si>
    <t>Leib</t>
  </si>
  <si>
    <t xml:space="preserve">5309 Cypress Trail Resort Cir  Fort Myers, FL 33905 </t>
  </si>
  <si>
    <t>32-43-24-c4-02200.0550</t>
  </si>
  <si>
    <t>Cape Coral Unit 88 Blk 5802 Pb 24 Pg 136 Lots 17 + 18</t>
  </si>
  <si>
    <t xml:space="preserve">113 Pacella Park Dr  Randolph, MA 02368-1765 </t>
  </si>
  <si>
    <t xml:space="preserve">3715 14th St W #317, Bradenton, FL 34205-6151 </t>
  </si>
  <si>
    <t xml:space="preserve">301 SE 31st Ter </t>
  </si>
  <si>
    <t>Fayez &amp; Mary Khellah</t>
  </si>
  <si>
    <t>75071-5055</t>
  </si>
  <si>
    <t xml:space="preserve">2308 NE 19th Pl  Cape Coral, FL 33909 </t>
  </si>
  <si>
    <t xml:space="preserve">1340 NE Van Loon Ter </t>
  </si>
  <si>
    <t xml:space="preserve">18 Thorndale Ct  Nashville, TN 37215-6146 </t>
  </si>
  <si>
    <t>01-44-23-c2-02456.0240</t>
  </si>
  <si>
    <t>Cendrowski</t>
  </si>
  <si>
    <t>A0M 1C0</t>
  </si>
  <si>
    <t>Cypress Trail Rv Resort Phase 4-C Block A Lot 123 As Desc In Inst 2019000042424</t>
  </si>
  <si>
    <t>Ridgeview</t>
  </si>
  <si>
    <t xml:space="preserve">1705 NE 23rd Ter </t>
  </si>
  <si>
    <t xml:space="preserve">4665 Bay Shore Dr  Sturgeon Bay, WI 54235-9735 </t>
  </si>
  <si>
    <t xml:space="preserve">9325 Vanderveer St  Queens Village, NY 11428-1728 </t>
  </si>
  <si>
    <t xml:space="preserve">2115 Poplar Park Dr  Kingwood, TX 77339-1757 </t>
  </si>
  <si>
    <t xml:space="preserve">Po Box 2357 </t>
  </si>
  <si>
    <t xml:space="preserve">6601 Dunrobin Pt SW  Ocean Isle Beach, NC 28469-5610 </t>
  </si>
  <si>
    <t>Iniguez</t>
  </si>
  <si>
    <t>Cedarburg</t>
  </si>
  <si>
    <t>R003</t>
  </si>
  <si>
    <t>Cape Coral Unit 36 Blk 2316 Pb 16 Pg 126 Lots 59 + 60</t>
  </si>
  <si>
    <t xml:space="preserve">613 Diplomat Pkwy E  Cape Coral, FL 33909 </t>
  </si>
  <si>
    <t>33909-4209</t>
  </si>
  <si>
    <t>33908-3867</t>
  </si>
  <si>
    <t>36-43-23-c3-02509.0400</t>
  </si>
  <si>
    <t>Rondena</t>
  </si>
  <si>
    <t xml:space="preserve">96 Stackyard Dr  Mastic Beach, NY 11951-1303 </t>
  </si>
  <si>
    <t>Rosemarie &amp; For Marra</t>
  </si>
  <si>
    <t>Lehigh Acres Ut 14 E Pt Blk 80 Pb 26 Pg 19 Lot 8</t>
  </si>
  <si>
    <t xml:space="preserve">202 Parkview Dr </t>
  </si>
  <si>
    <t>Fredderick Sadowski</t>
  </si>
  <si>
    <t>Cape Coral Unit 85 Blk 5656 Pb 24 Pg 57 Lots 49 + 50</t>
  </si>
  <si>
    <t>29-43-26-05-00084.0390</t>
  </si>
  <si>
    <t>25-43-23-c2-02333.0230</t>
  </si>
  <si>
    <t xml:space="preserve">707 Overlook Pt </t>
  </si>
  <si>
    <t xml:space="preserve">5227 Pineland Daisy Trl </t>
  </si>
  <si>
    <t>Yasmin Elsayed</t>
  </si>
  <si>
    <t>32832-5912</t>
  </si>
  <si>
    <t>Lufkin</t>
  </si>
  <si>
    <t>03-44-26-14-00082.0030</t>
  </si>
  <si>
    <t>06-44-24-c1-02070.0150</t>
  </si>
  <si>
    <t>Emilio &amp; Vivian Avila</t>
  </si>
  <si>
    <t>32-44-24-c4-01180.0230</t>
  </si>
  <si>
    <t>05-44-24-c1-03522.0390</t>
  </si>
  <si>
    <t>10032-3708</t>
  </si>
  <si>
    <t xml:space="preserve">1046 Fisher Ave </t>
  </si>
  <si>
    <t>18-43-24-c1-05696.0070</t>
  </si>
  <si>
    <t>Cypress Trail Rv Resort Phase 4-C Block B Lot 462 As Desc In Inst 2019000042424</t>
  </si>
  <si>
    <t>Carlos</t>
  </si>
  <si>
    <t>Timberglen</t>
  </si>
  <si>
    <t>10469-4733</t>
  </si>
  <si>
    <t xml:space="preserve">52 Vine St  Winchester, MA 01890-1823 </t>
  </si>
  <si>
    <t xml:space="preserve">3511 NE 17th Ave </t>
  </si>
  <si>
    <t>Cape Coral Unit 33 Blk 2184 Pb 16 Pg 50 Lots 40 + 41</t>
  </si>
  <si>
    <t xml:space="preserve">10145 Lucas Rd </t>
  </si>
  <si>
    <t>Ralphs Ranch</t>
  </si>
  <si>
    <t xml:space="preserve">3617 SE 1st Pl  Cape Coral, FL 33904 </t>
  </si>
  <si>
    <t>Tyrone</t>
  </si>
  <si>
    <t>25-43-23-c1-02348.0350</t>
  </si>
  <si>
    <t>Evangelos</t>
  </si>
  <si>
    <t>33909-1928</t>
  </si>
  <si>
    <t xml:space="preserve">18/83 Yeshayahu Hanavi  Modena, IL 71776 </t>
  </si>
  <si>
    <t>Berovides</t>
  </si>
  <si>
    <t xml:space="preserve">1621 NE 33rd Ln </t>
  </si>
  <si>
    <t>Beret</t>
  </si>
  <si>
    <t xml:space="preserve">1309 Robinson Creek Rd  Lily, KY 40740-3056 </t>
  </si>
  <si>
    <t>Cypress Trail Rv Resort Phase 2-B As Desc In Inst# 2015000013050 Lot 359</t>
  </si>
  <si>
    <t>Ivan &amp; Danka Radic</t>
  </si>
  <si>
    <t xml:space="preserve">13175 Orange Ct </t>
  </si>
  <si>
    <t>Reinthaler</t>
  </si>
  <si>
    <t>Lawrence Station</t>
  </si>
  <si>
    <t>Nicastro</t>
  </si>
  <si>
    <t>33909-6433</t>
  </si>
  <si>
    <t xml:space="preserve">1428 Wright Ave  Sunnyvale, CA 94087-4017 </t>
  </si>
  <si>
    <t>C David C &amp; Beth Tillery</t>
  </si>
  <si>
    <t>12-46-23-05-00000.3270</t>
  </si>
  <si>
    <t>Cape Coral Unit 47 Pt 2 Blk 3520 Pb 23 Pg 125 Lots 28 + 29</t>
  </si>
  <si>
    <t>08031-1122</t>
  </si>
  <si>
    <t xml:space="preserve">10040 Stonewood Dr  Fort Myers, FL 33905 </t>
  </si>
  <si>
    <t xml:space="preserve">1222 High St  Union Grove, WI 53182-1326 </t>
  </si>
  <si>
    <t xml:space="preserve">3835 Hillandale St </t>
  </si>
  <si>
    <t>Grunwald</t>
  </si>
  <si>
    <t xml:space="preserve">2621 Winding Creek Dr </t>
  </si>
  <si>
    <t>Norbert Erl</t>
  </si>
  <si>
    <t>Jachimowski</t>
  </si>
  <si>
    <t xml:space="preserve">20040 W Oakmont Cir  Hialeah, FL 33015-2054 </t>
  </si>
  <si>
    <t>Solicito</t>
  </si>
  <si>
    <t>11720-1123</t>
  </si>
  <si>
    <t xml:space="preserve">4 Brantley Way  Sicklerville, NJ 08081-1103 </t>
  </si>
  <si>
    <t xml:space="preserve">461 NE Juanita Ct  Cape Coral, FL 33909 </t>
  </si>
  <si>
    <t>Cape Coral Unit 36 Blk 2318 Pb 16 Pg 127 Lots 27 + 28</t>
  </si>
  <si>
    <t>Cactus</t>
  </si>
  <si>
    <t>Fernhill</t>
  </si>
  <si>
    <t>76049-4229</t>
  </si>
  <si>
    <t xml:space="preserve">4000 NE 20th Pl </t>
  </si>
  <si>
    <t>54023-8425</t>
  </si>
  <si>
    <t>Cape Coral Unit 36 Pt 1 Blk 2486 Pb 23 Pg 88 Lots 9 + 10</t>
  </si>
  <si>
    <t>33909-3378</t>
  </si>
  <si>
    <t xml:space="preserve">1911 NE 20th Ct  Cape Coral, FL 33909 </t>
  </si>
  <si>
    <t>Marrett</t>
  </si>
  <si>
    <t>6e</t>
  </si>
  <si>
    <t>Labrier</t>
  </si>
  <si>
    <t xml:space="preserve">155 N End Rd  Townsend, MA 01469-1122 </t>
  </si>
  <si>
    <t>Winter Brook</t>
  </si>
  <si>
    <t xml:space="preserve">12n385 Jackson Dr  Elgin, IL 60124-4874 </t>
  </si>
  <si>
    <t>33909-1471</t>
  </si>
  <si>
    <t>11379-1430</t>
  </si>
  <si>
    <t>75235-8344</t>
  </si>
  <si>
    <t xml:space="preserve">3906 NE 19th Pl  Cape Coral, FL 33909 </t>
  </si>
  <si>
    <t xml:space="preserve">7773 Jewel Ln #204, Naples, FL 34109-8784 </t>
  </si>
  <si>
    <t xml:space="preserve">1419 NE 1st Pl </t>
  </si>
  <si>
    <t xml:space="preserve">10213 Butterweed Trl </t>
  </si>
  <si>
    <t>25-43-23-c1-02349.0150</t>
  </si>
  <si>
    <t>Lohiser</t>
  </si>
  <si>
    <t>Mckeone</t>
  </si>
  <si>
    <t>Cosby</t>
  </si>
  <si>
    <t>Lismore</t>
  </si>
  <si>
    <t xml:space="preserve">273 Lake Dr  Lake Peekskill, NY 10537-1114 </t>
  </si>
  <si>
    <t xml:space="preserve">10569 Braudy Ln  Abingdon, VA 24210-8977 </t>
  </si>
  <si>
    <t>Belmar</t>
  </si>
  <si>
    <t>Schmidt</t>
  </si>
  <si>
    <t>32-43-24-c1-02231.0460</t>
  </si>
  <si>
    <t xml:space="preserve">2123 NE 20th St </t>
  </si>
  <si>
    <t>Reza</t>
  </si>
  <si>
    <t>Ingrid</t>
  </si>
  <si>
    <t>Tria A Lawton-Russell Trust</t>
  </si>
  <si>
    <t xml:space="preserve">1190 Long Hill Rd  Stirling, NJ 07980-1008 </t>
  </si>
  <si>
    <t xml:space="preserve">7 Edgebrook Ct  New City, NY 10956-2465 </t>
  </si>
  <si>
    <t xml:space="preserve">4505 Avondale Pl </t>
  </si>
  <si>
    <t xml:space="preserve">1577 Jim Fenley Loop </t>
  </si>
  <si>
    <t>Lamontaveapt 6A</t>
  </si>
  <si>
    <t>Irma Bernard</t>
  </si>
  <si>
    <t>John</t>
  </si>
  <si>
    <t xml:space="preserve">3743 Kenyon St  Fort Myers, FL 33905 </t>
  </si>
  <si>
    <t>52233-1868</t>
  </si>
  <si>
    <t>29205-2366</t>
  </si>
  <si>
    <t xml:space="preserve">13 Pine Ave  West Long Branch, NJ 07764-1535 </t>
  </si>
  <si>
    <t>25-43-23-c4-02354.0190</t>
  </si>
  <si>
    <t>B062</t>
  </si>
  <si>
    <t>Cape Coral Unit 34 Blk 2465 Pb 16 Pg 86 Lots 28 + 29</t>
  </si>
  <si>
    <t>33905-7716</t>
  </si>
  <si>
    <t>Cape Coral Unit 87 Blk 5690 Pb 24 Pg 84 Lots 13 + 14</t>
  </si>
  <si>
    <t>MT</t>
  </si>
  <si>
    <t>36-44-23-c1-00916.0430</t>
  </si>
  <si>
    <t>01-44-23-c3-02427.0110</t>
  </si>
  <si>
    <t>Gannett</t>
  </si>
  <si>
    <t>Wolverine</t>
  </si>
  <si>
    <t xml:space="preserve">2127 NE 27th Ter </t>
  </si>
  <si>
    <t xml:space="preserve">2412 NE 19th Pl </t>
  </si>
  <si>
    <t>11-44-25-l1-12000.3790</t>
  </si>
  <si>
    <t>Cape Coral Unit 36 Blk 2523 Pb 16 Pg 114 Lots 41 + 42</t>
  </si>
  <si>
    <t>174th</t>
  </si>
  <si>
    <t>Romeo Vergara</t>
  </si>
  <si>
    <t>Pelaez</t>
  </si>
  <si>
    <t>Susan &amp; Gary Chan</t>
  </si>
  <si>
    <t>33903-2615</t>
  </si>
  <si>
    <t>31-43-24-c3-02120.0050</t>
  </si>
  <si>
    <t xml:space="preserve">2660 NE 189th St </t>
  </si>
  <si>
    <t>Placko</t>
  </si>
  <si>
    <t>13-45-23-c3-00120.0360</t>
  </si>
  <si>
    <t>K Ts</t>
  </si>
  <si>
    <t>Lazaro &amp; Ana Torres</t>
  </si>
  <si>
    <t>Robert &amp; Robin Lanyon</t>
  </si>
  <si>
    <t>33909-4547</t>
  </si>
  <si>
    <t>C035</t>
  </si>
  <si>
    <t xml:space="preserve">3839 Knowlton St </t>
  </si>
  <si>
    <t xml:space="preserve">1808/1810 NE 8th Pl  Cape Coral, FL 33909 </t>
  </si>
  <si>
    <t xml:space="preserve">1615 SE 40th St </t>
  </si>
  <si>
    <t xml:space="preserve">1707 NE 27th St  Cape Coral, FL 33909 </t>
  </si>
  <si>
    <t>Cape Coral Unit 17 Blk.1494 Pb 14 Pg 29 Lots 19 + 20</t>
  </si>
  <si>
    <t xml:space="preserve">3849 Hoffman St  Fort Myers, FL 33905 </t>
  </si>
  <si>
    <t xml:space="preserve">1823 NE 17th Ter </t>
  </si>
  <si>
    <t>Toni</t>
  </si>
  <si>
    <t xml:space="preserve">12020 Palm Dr  Fort Myers, FL 33908 </t>
  </si>
  <si>
    <t>Cabot</t>
  </si>
  <si>
    <t xml:space="preserve">3781 Criswell Dr </t>
  </si>
  <si>
    <t>R052</t>
  </si>
  <si>
    <t>Leonardtown</t>
  </si>
  <si>
    <t>Pflugerville</t>
  </si>
  <si>
    <t xml:space="preserve">6106 Chatham Dr  Aliquippa, PA 15001-4852 </t>
  </si>
  <si>
    <t>01-44-23-c2-02460.0470</t>
  </si>
  <si>
    <t xml:space="preserve">7 Ash Rd  Jackson, NJ 08527-1233 </t>
  </si>
  <si>
    <t>33909-6286</t>
  </si>
  <si>
    <t xml:space="preserve">11510 Blue Warbler Dr  Fort Myers, FL 33908 </t>
  </si>
  <si>
    <t>Lehigh Acres Unit 14 Blk 79 Pb 26 Pg 19 Lot 5</t>
  </si>
  <si>
    <t xml:space="preserve">2031 NE 4th Ave  Cape Coral, FL 33909 </t>
  </si>
  <si>
    <t xml:space="preserve">6026 Langdon Ave  Fort Myers, FL 33905 </t>
  </si>
  <si>
    <t xml:space="preserve">11511 Padina Dr  Fort Myers, FL 33908 </t>
  </si>
  <si>
    <t>Cape Coral Unit 36 Pt 1 Blk 2479 Pb 23 Pg 93 Lots 35 + 36</t>
  </si>
  <si>
    <t xml:space="preserve">5649 Brightwood Dr  Fort Myers, FL 33905 </t>
  </si>
  <si>
    <t xml:space="preserve">3728 NE 15th Pl </t>
  </si>
  <si>
    <t xml:space="preserve">7634 Hewes Rd </t>
  </si>
  <si>
    <t>Cape Coral Unit 34 Blk.2426 Pb 16 Pg 82 Lots 21 + 22</t>
  </si>
  <si>
    <t>Galiano</t>
  </si>
  <si>
    <t>88240-9437</t>
  </si>
  <si>
    <t>Walid</t>
  </si>
  <si>
    <t xml:space="preserve">10701 Orange River Blvd </t>
  </si>
  <si>
    <t>Newell</t>
  </si>
  <si>
    <t xml:space="preserve">5860 Maplewood Ct  Fort Myers, FL 33905 </t>
  </si>
  <si>
    <t xml:space="preserve">908 NE 9th Ter </t>
  </si>
  <si>
    <t>Chester Brenner</t>
  </si>
  <si>
    <t>Ana</t>
  </si>
  <si>
    <t xml:space="preserve">4405 NE 21st Pl </t>
  </si>
  <si>
    <t>Cape Coral Unit 31 Blk 2037 Pb 14 Pg 155 Lots 5 + 6</t>
  </si>
  <si>
    <t xml:space="preserve"># 88-27 </t>
  </si>
  <si>
    <t xml:space="preserve">1906 N Tallyrand St  Wichita, KS 67206-1018 </t>
  </si>
  <si>
    <t>12-44-23-c2-02384.0650</t>
  </si>
  <si>
    <t>215b</t>
  </si>
  <si>
    <t>Cape Coral Unit 36 Blk 2348 Pb 16 Pg 128 Lots 49 + 50</t>
  </si>
  <si>
    <t xml:space="preserve">7442 S Village Dr  Clarkston, MI 48346-1999 </t>
  </si>
  <si>
    <t>20-43-24-c1-05646.0170</t>
  </si>
  <si>
    <t xml:space="preserve">121 NE 11th Ln </t>
  </si>
  <si>
    <t xml:space="preserve">2304 NE 33rd Ln  Cape Coral, FL 33909 </t>
  </si>
  <si>
    <t>Cape Coral Unit 36 Blk 2333 Pb 16 Pg 127 Lots 13 + 14</t>
  </si>
  <si>
    <t>Marsh</t>
  </si>
  <si>
    <t xml:space="preserve">13 Talos Way  Rochester, NY 14624-5803 </t>
  </si>
  <si>
    <t>33909-3324</t>
  </si>
  <si>
    <t>33908-2301</t>
  </si>
  <si>
    <t xml:space="preserve">Severin Schreibergasse 3 5/5 </t>
  </si>
  <si>
    <t>31-43-24-c1-02161.0160</t>
  </si>
  <si>
    <t xml:space="preserve">342 Gino Rue  St-Raymond, QC G3l 2W9 </t>
  </si>
  <si>
    <t xml:space="preserve">4565 SW 153rd Ave </t>
  </si>
  <si>
    <t>Eric &amp; Aria Cox</t>
  </si>
  <si>
    <t xml:space="preserve">4075 Victoria Dr </t>
  </si>
  <si>
    <t xml:space="preserve">2138 Amanda Mae Ct </t>
  </si>
  <si>
    <t xml:space="preserve">4391 Langston Blvd </t>
  </si>
  <si>
    <t>1a</t>
  </si>
  <si>
    <t xml:space="preserve">154 Nina Ln </t>
  </si>
  <si>
    <t>Pelasgias</t>
  </si>
  <si>
    <t>Palmetto Palms Rv Resort Condo Ph 3 Or 1530 Pg 1466 Res Unit 540</t>
  </si>
  <si>
    <t>Kempner</t>
  </si>
  <si>
    <t>Conrad</t>
  </si>
  <si>
    <t>46755-9223</t>
  </si>
  <si>
    <t xml:space="preserve">4409 Ramsey Blvd </t>
  </si>
  <si>
    <t>Flts</t>
  </si>
  <si>
    <t>11-44-25-l1-12000.3540</t>
  </si>
  <si>
    <t>Cruthers</t>
  </si>
  <si>
    <t>Sucet Calle &amp; Jorge Rodriguez</t>
  </si>
  <si>
    <t>Yahya</t>
  </si>
  <si>
    <t xml:space="preserve">5324 Riva Ridge Dr  Wesley Chapel, FL 33544-5521 </t>
  </si>
  <si>
    <t>Shealy</t>
  </si>
  <si>
    <t>North Merrick</t>
  </si>
  <si>
    <t>Dilger</t>
  </si>
  <si>
    <t>34286-5042</t>
  </si>
  <si>
    <t xml:space="preserve">3307 NE 20th Ave  Cape Coral, FL 33909 </t>
  </si>
  <si>
    <t>Hartley Lepage</t>
  </si>
  <si>
    <t>10567-1613</t>
  </si>
  <si>
    <t>Macmichael</t>
  </si>
  <si>
    <t>Duanesburg</t>
  </si>
  <si>
    <t xml:space="preserve">1409 NE 18th Pl </t>
  </si>
  <si>
    <t>34116-6519</t>
  </si>
  <si>
    <t xml:space="preserve">2009 NE 44th Ter </t>
  </si>
  <si>
    <t>V7A 1H8</t>
  </si>
  <si>
    <t xml:space="preserve">57 Knollwood Dr </t>
  </si>
  <si>
    <t>19462-2583</t>
  </si>
  <si>
    <t>Nemeth</t>
  </si>
  <si>
    <t>21244-1723</t>
  </si>
  <si>
    <t xml:space="preserve">278 Snow Ridge Dr  Hendersonville, NC 28792 </t>
  </si>
  <si>
    <t>Porter Ranch</t>
  </si>
  <si>
    <t>Cape Coral Unit 33 Blk 2223 Pb 16 Pg 44 Lots 38 + 39</t>
  </si>
  <si>
    <t xml:space="preserve">3814 W Gator Cir </t>
  </si>
  <si>
    <t>Parras</t>
  </si>
  <si>
    <t xml:space="preserve">229 Capitol St </t>
  </si>
  <si>
    <t>PO Box 1249</t>
  </si>
  <si>
    <t xml:space="preserve">2114 NE 26th St  Cape Coral, FL 33909 </t>
  </si>
  <si>
    <t xml:space="preserve">14171 Roof St </t>
  </si>
  <si>
    <t xml:space="preserve">510 NE 16th Pl  Cape Coral, FL 33909 </t>
  </si>
  <si>
    <t xml:space="preserve">129 SE 25th Ln </t>
  </si>
  <si>
    <t>Eames</t>
  </si>
  <si>
    <t>Newman</t>
  </si>
  <si>
    <t xml:space="preserve">602 Retunda Pkwy W </t>
  </si>
  <si>
    <t>Spragueville</t>
  </si>
  <si>
    <t>Ruth Caicedo</t>
  </si>
  <si>
    <t xml:space="preserve">555 Eaton St F </t>
  </si>
  <si>
    <t xml:space="preserve">3850 Sedgwick Ave 5b </t>
  </si>
  <si>
    <t xml:space="preserve">16805 144th Dr  Jamaica, NY 11434-4803 </t>
  </si>
  <si>
    <t xml:space="preserve">656 Timber Creek Dr  Akron, OH 44333-1755 </t>
  </si>
  <si>
    <t>25-43-23-c3-02313.0070</t>
  </si>
  <si>
    <t xml:space="preserve">4019 NE 9th Ave  Cape Coral, FL 33909 </t>
  </si>
  <si>
    <t xml:space="preserve">1630 NE 13th Ave  Cape Coral, FL 33909 </t>
  </si>
  <si>
    <t xml:space="preserve">514 Americas Way #8351, Box Elder, SD 57719-7600 </t>
  </si>
  <si>
    <t xml:space="preserve">323 NE 25th St </t>
  </si>
  <si>
    <t xml:space="preserve">4509 Walter St  Fort Myers, FL 33905 </t>
  </si>
  <si>
    <t>03-44-26-06-00028.0070</t>
  </si>
  <si>
    <t>Jeanette &amp; For Kramer</t>
  </si>
  <si>
    <t>Chase</t>
  </si>
  <si>
    <t>Gordon Cole &amp; Rhonda Willcox</t>
  </si>
  <si>
    <t xml:space="preserve">5 Ajellos Farm Rd </t>
  </si>
  <si>
    <t>Sholom</t>
  </si>
  <si>
    <t xml:space="preserve">3708 Tallman St  Fort Myers, FL 33905 </t>
  </si>
  <si>
    <t>Priyanka Sinha</t>
  </si>
  <si>
    <t>Phyllisan &amp; E West</t>
  </si>
  <si>
    <t xml:space="preserve">16110 SW 69th Ter  Miami, FL 33193-3482 </t>
  </si>
  <si>
    <t>Cape Coral Unit 34 Blk 2427 Pb 16 Pg 76 Lots 15 + 16</t>
  </si>
  <si>
    <t>19-43-24-c2-05590.0010</t>
  </si>
  <si>
    <t>17-43-24-c2-05803.0270</t>
  </si>
  <si>
    <t>Dalmeida</t>
  </si>
  <si>
    <t>33909-1727</t>
  </si>
  <si>
    <t>Cape Coral Unit 31 Blk 2052 Pb 14 Pg 154 Lots 7 + 8</t>
  </si>
  <si>
    <t>33904-3976</t>
  </si>
  <si>
    <t>Caterina Rilinger</t>
  </si>
  <si>
    <t>Mineral Springs</t>
  </si>
  <si>
    <t>Lazy Acres</t>
  </si>
  <si>
    <t>Zulma Hahn</t>
  </si>
  <si>
    <t>94533-7256</t>
  </si>
  <si>
    <t>Reliance</t>
  </si>
  <si>
    <t>Schneckenberg David Tr</t>
  </si>
  <si>
    <t>33909-6232</t>
  </si>
  <si>
    <t>36-43-23-c3-02146.0670</t>
  </si>
  <si>
    <t xml:space="preserve">460 N Syracuse Ave  Massapequa, NY 11758-2028 </t>
  </si>
  <si>
    <t>Cape Coral Unit 35 Blk.2393 Pb 16 Pg 108 Lot 1</t>
  </si>
  <si>
    <t>33156-2671</t>
  </si>
  <si>
    <t xml:space="preserve">1627 NE 13th Ave </t>
  </si>
  <si>
    <t>Gabriele</t>
  </si>
  <si>
    <t>Erwin &amp; Lita Hieble</t>
  </si>
  <si>
    <t>Gregory Gruber &amp; Jayne Gresch</t>
  </si>
  <si>
    <t xml:space="preserve">29429 Pembroke Lndg  Millsboro, DE 19966-7574 </t>
  </si>
  <si>
    <t>C084</t>
  </si>
  <si>
    <t>Cape Coral Unit 31 Blk 2063 Pb 14 Pg 165 Lots 55 + 56</t>
  </si>
  <si>
    <t xml:space="preserve">10264 Meadow Beauty Trl </t>
  </si>
  <si>
    <t xml:space="preserve">27 Winding River Dr  Toms River, NJ 08755-5139 </t>
  </si>
  <si>
    <t>03-44-26-01-00006.0300</t>
  </si>
  <si>
    <t>95051-5621</t>
  </si>
  <si>
    <t>Atlantic Beach</t>
  </si>
  <si>
    <t>33905-8738</t>
  </si>
  <si>
    <t>36-44-23-c4-00879.0270</t>
  </si>
  <si>
    <t>L9H 5E4</t>
  </si>
  <si>
    <t>Cape Coral Unit 84 Blk 5587 Pb 24 Pg 44 Lots 31 + 32</t>
  </si>
  <si>
    <t xml:space="preserve">4116 NE 10th Ave  Cape Coral, FL 33909 </t>
  </si>
  <si>
    <t xml:space="preserve">4350 Shutt Rd  Mussey, MI 48014-3206 </t>
  </si>
  <si>
    <t>Cypress Woods Rv Resort Desc In Inst#2006-358211 Lot 149</t>
  </si>
  <si>
    <t>Cape Coral Unit 35 Blk 2370 Pb 16 Pg 104 Lots 54 + 55</t>
  </si>
  <si>
    <t>Daniel Konstanty &amp; Wendy Waldau</t>
  </si>
  <si>
    <t>Vine</t>
  </si>
  <si>
    <t>Orville Shaffer &amp; Shaffer For</t>
  </si>
  <si>
    <t>Lascells</t>
  </si>
  <si>
    <t>Philippe</t>
  </si>
  <si>
    <t>Jacques &amp; Angele Hebert</t>
  </si>
  <si>
    <t>Cape Coral Unit 32 Blk 2149 Pb 16 Pg 12 Lots 64 + 65</t>
  </si>
  <si>
    <t xml:space="preserve">1431 S Cody St </t>
  </si>
  <si>
    <t xml:space="preserve">5232 Cypress Trail Resort Cir  Fort Myers, FL 33905 </t>
  </si>
  <si>
    <t>Cape Coral Unit 33 Blk 2253 Pb 16 Pg 57 Lots 22 + 23</t>
  </si>
  <si>
    <t>Dunn Elise M Tr</t>
  </si>
  <si>
    <t>19-43-24-c3-05619.0130</t>
  </si>
  <si>
    <t xml:space="preserve">2423 NE 23rd Ave </t>
  </si>
  <si>
    <t>Robert Lee</t>
  </si>
  <si>
    <t>Robert Mansour</t>
  </si>
  <si>
    <t>Cape Coral Unit 35 Blk 2414 Pb 16 Pg 104 Lots 9 + 10</t>
  </si>
  <si>
    <t>Key Biscayne</t>
  </si>
  <si>
    <t xml:space="preserve">201 NE 9th Ave  Hialeah, FL 33010-5126 </t>
  </si>
  <si>
    <t xml:space="preserve">225 Granada Blvd  Fort Myers, FL 33905 </t>
  </si>
  <si>
    <t>Feliciano &amp; Concepcion Payawal</t>
  </si>
  <si>
    <t xml:space="preserve">1730 NE 22nd St </t>
  </si>
  <si>
    <t xml:space="preserve">6483 NW 23rd St </t>
  </si>
  <si>
    <t>Emel Bulat</t>
  </si>
  <si>
    <t xml:space="preserve">49 Middlebury Rd </t>
  </si>
  <si>
    <t xml:space="preserve">2402 NE 19th Pl  Cape Coral, FL 33909 </t>
  </si>
  <si>
    <t xml:space="preserve">1501 NE 19th Ter  Cape Coral, FL 33909 </t>
  </si>
  <si>
    <t>Cypress Woods Rv Resort Ut 1 Pb 65 Pg 85 + 86 Blk B Lot 73</t>
  </si>
  <si>
    <t xml:space="preserve">216 Doolie Rd  Mooresville, NC 28117-5800 </t>
  </si>
  <si>
    <t>Cape Coral Unit 26 Blk 861 Pb 14 Pg 129 Lots 79 + 80</t>
  </si>
  <si>
    <t xml:space="preserve">1414 NE 12th Pl  Cape Coral, FL 33909 </t>
  </si>
  <si>
    <t xml:space="preserve">10 Allds St #263 </t>
  </si>
  <si>
    <t xml:space="preserve">4151 Silver Sword Ct </t>
  </si>
  <si>
    <t>Connie &amp; Jose Gutierrez</t>
  </si>
  <si>
    <t xml:space="preserve">315 Friedman Dr </t>
  </si>
  <si>
    <t xml:space="preserve">2406 E 8th St </t>
  </si>
  <si>
    <t>Sergei</t>
  </si>
  <si>
    <t>03-44-26-08-00037.0170</t>
  </si>
  <si>
    <t>Cape Coral Unit 88 Blk 5802 Pb 24 Pg 136 Lots 15 + 16</t>
  </si>
  <si>
    <t xml:space="preserve">Po Box 93-1005 </t>
  </si>
  <si>
    <t xml:space="preserve">318 Wilderness Dr </t>
  </si>
  <si>
    <t>33012-7610</t>
  </si>
  <si>
    <t xml:space="preserve">PO Box 371890  Key Largo, FL 33037-1890 </t>
  </si>
  <si>
    <t>29-43-24-c3-02273.0180</t>
  </si>
  <si>
    <t>20-43-24-c2-05654.0030</t>
  </si>
  <si>
    <t xml:space="preserve">7285 W 2nd Ct  Hialeah, FL 33014-5059 </t>
  </si>
  <si>
    <t xml:space="preserve">2216 NE 14th Pl </t>
  </si>
  <si>
    <t xml:space="preserve">300 Kismet Pkwy E  Cape Coral, FL 33909 </t>
  </si>
  <si>
    <t>11236-3452</t>
  </si>
  <si>
    <t>Sonia &amp; Joel Lecce</t>
  </si>
  <si>
    <t>Antonio &amp; Teresa Medrano</t>
  </si>
  <si>
    <t>36-43-23-c3-02484.0150</t>
  </si>
  <si>
    <t xml:space="preserve">13750 SW 29th St  Davie, FL 33330-1155 </t>
  </si>
  <si>
    <t xml:space="preserve">1815 Concession Rd 10 </t>
  </si>
  <si>
    <t xml:space="preserve">2015 NE 25th Ter  Cape Coral, FL 33909 </t>
  </si>
  <si>
    <t xml:space="preserve">686 Hentron Ct  Maineville, OH 45039-7352 </t>
  </si>
  <si>
    <t>Lehigh Acres Unit 4 Blk 21 Pb 26 Pg 6 Lot 6</t>
  </si>
  <si>
    <t xml:space="preserve">1406 NE 20th St </t>
  </si>
  <si>
    <t xml:space="preserve">6121 Hendley Ct </t>
  </si>
  <si>
    <t>Jose Treto</t>
  </si>
  <si>
    <t xml:space="preserve">3828 SE 15th Pl  Cape Coral, FL 33904 </t>
  </si>
  <si>
    <t xml:space="preserve">2220 NE 26th Ter </t>
  </si>
  <si>
    <t xml:space="preserve">1402 NE 6th Pl  Cape Coral, FL 33909 </t>
  </si>
  <si>
    <t xml:space="preserve">5159 Cypress Trail Resort Cir  Fort Myers, FL 33905 </t>
  </si>
  <si>
    <t>PO Box 1587</t>
  </si>
  <si>
    <t xml:space="preserve">18974 Formosa St  Venice, FL 34293-2113 </t>
  </si>
  <si>
    <t xml:space="preserve">3847 Huntley St </t>
  </si>
  <si>
    <t xml:space="preserve">3912 NE 9th Ave </t>
  </si>
  <si>
    <t>Francisco Guzman</t>
  </si>
  <si>
    <t xml:space="preserve">606 59th St #1, West New York, NJ 07093-1322 </t>
  </si>
  <si>
    <t>31-44-24-c2-00634.0430</t>
  </si>
  <si>
    <t>07666-3726</t>
  </si>
  <si>
    <t>33055-4738</t>
  </si>
  <si>
    <t xml:space="preserve">105 SE 41st Ter </t>
  </si>
  <si>
    <t>Dothan</t>
  </si>
  <si>
    <t>32-43-24-c4-02224.0090</t>
  </si>
  <si>
    <t xml:space="preserve">4700 W Leitner Dr  Coral Springs, FL 33067-2029 </t>
  </si>
  <si>
    <t xml:space="preserve">1233 N Winslowe Dr #104 </t>
  </si>
  <si>
    <t>Lawson Karen Sue Tr</t>
  </si>
  <si>
    <t xml:space="preserve">Urb Idamaris Gdns </t>
  </si>
  <si>
    <t>Destiny</t>
  </si>
  <si>
    <t xml:space="preserve">553 Alton Way C </t>
  </si>
  <si>
    <t xml:space="preserve">1881 S Main St </t>
  </si>
  <si>
    <t xml:space="preserve">1121 NE 32nd Ter  Cape Coral, FL 33909 </t>
  </si>
  <si>
    <t xml:space="preserve">1022 NE 13th St </t>
  </si>
  <si>
    <t>Cape Coral Unit 88 Blk 5802 Pb 24 Pg 136 Lot 29</t>
  </si>
  <si>
    <t>Angel &amp; Zoraida Rodriguez</t>
  </si>
  <si>
    <t>11-44-25-10-00000.4230</t>
  </si>
  <si>
    <t>Haigh</t>
  </si>
  <si>
    <t>Trail Haven</t>
  </si>
  <si>
    <t xml:space="preserve">1408 NE 23rd Ter </t>
  </si>
  <si>
    <t xml:space="preserve">611 Highvilla Rd </t>
  </si>
  <si>
    <t>33909-5319</t>
  </si>
  <si>
    <t xml:space="preserve">1722 NE 33rd Ter </t>
  </si>
  <si>
    <t xml:space="preserve">1813 NE 23rd St  Cape Coral, FL 33909 </t>
  </si>
  <si>
    <t>52742-1506</t>
  </si>
  <si>
    <t xml:space="preserve">1625 NE 33rd Ln </t>
  </si>
  <si>
    <t>33615-2659</t>
  </si>
  <si>
    <t>Mamari</t>
  </si>
  <si>
    <t>Cape Coral Unit 34 Blk 2450 Pb 16 Pg 84 Lots 41 + 42</t>
  </si>
  <si>
    <t xml:space="preserve">3717 NE 14th Pl  Cape Coral, FL 33909 </t>
  </si>
  <si>
    <t>33335-2661</t>
  </si>
  <si>
    <t xml:space="preserve">185 Somerworth Dr  Rochester, NY 14626-3637 </t>
  </si>
  <si>
    <t>C030</t>
  </si>
  <si>
    <t xml:space="preserve">2204 NE Juanita Pl  Cape Coral, FL 33909 </t>
  </si>
  <si>
    <t>19-43-24-c4-05564.0690</t>
  </si>
  <si>
    <t>36-43-23-c2-02540.0180</t>
  </si>
  <si>
    <t>Wayne &amp; Ruth Spong</t>
  </si>
  <si>
    <t xml:space="preserve">526 NE 18th St </t>
  </si>
  <si>
    <t xml:space="preserve">2201 Lititz Pike </t>
  </si>
  <si>
    <t>54th</t>
  </si>
  <si>
    <t>Rachel</t>
  </si>
  <si>
    <t>33909-3123</t>
  </si>
  <si>
    <t>Nuview Rory</t>
  </si>
  <si>
    <t>19-43-24-c4-05557.0320</t>
  </si>
  <si>
    <t>Cape Coral Unit 21 Blk.658 Pb 13 Pg 159 Lots 5 + 6</t>
  </si>
  <si>
    <t xml:space="preserve">532 NE 12th St  Cape Coral, FL 33909 </t>
  </si>
  <si>
    <t>Sullivan</t>
  </si>
  <si>
    <t xml:space="preserve">3902 NE 11th Pl  Cape Coral, FL 33909 </t>
  </si>
  <si>
    <t>31-44-24-c2-00635.0230</t>
  </si>
  <si>
    <t>55987-5735</t>
  </si>
  <si>
    <t xml:space="preserve">540 Artesian Way </t>
  </si>
  <si>
    <t xml:space="preserve">601 SE 25th Ter </t>
  </si>
  <si>
    <t xml:space="preserve">10000 NW 80th Ct #2125, Hialeah Gardens, FL 33016-2226 </t>
  </si>
  <si>
    <t>20-43-24-c1-05650.0150</t>
  </si>
  <si>
    <t xml:space="preserve">1213 NE 5th Ave  Cape Coral, FL 33909 </t>
  </si>
  <si>
    <t xml:space="preserve">104 NE 25th St </t>
  </si>
  <si>
    <t xml:space="preserve">528 Stockton St  North Fort Myers, FL 33903 </t>
  </si>
  <si>
    <t xml:space="preserve">741 Old State Rd  Johnstown, NY 12095-4749 </t>
  </si>
  <si>
    <t>33909-8962</t>
  </si>
  <si>
    <t>25-43-23-c4-02306.0370</t>
  </si>
  <si>
    <t>19-43-24-c1-05546.0190</t>
  </si>
  <si>
    <t>Madera</t>
  </si>
  <si>
    <t>Lake Crystal</t>
  </si>
  <si>
    <t>Crown</t>
  </si>
  <si>
    <t>Cape Coral Unit 88 Blk 5800 Pb 24 Pg 136 Lots 3 + 4</t>
  </si>
  <si>
    <t>02-46-23-02-0000i.032a</t>
  </si>
  <si>
    <t>Cape Coral Unit 17 Blk.1532 Pb 14 Pg 35 Lots 57 + 58</t>
  </si>
  <si>
    <t>Barbosa</t>
  </si>
  <si>
    <t>OWNER MAILING NAME</t>
  </si>
  <si>
    <t>Anna &amp; For Law</t>
  </si>
  <si>
    <t>25-43-23-c2-02346.0680</t>
  </si>
  <si>
    <t>60056-2961</t>
  </si>
  <si>
    <t>33909-2749</t>
  </si>
  <si>
    <t>Roger &amp; Colleen Sharpe</t>
  </si>
  <si>
    <t>Virginia Bordeaux &amp; David Hall</t>
  </si>
  <si>
    <t>Summerland</t>
  </si>
  <si>
    <t xml:space="preserve">6 Sonora Ave </t>
  </si>
  <si>
    <t>03-44-26-09-00044.0230</t>
  </si>
  <si>
    <t>Somphone</t>
  </si>
  <si>
    <t xml:space="preserve">13945 SW 24th St </t>
  </si>
  <si>
    <t>28-43-26-06-00064.0160</t>
  </si>
  <si>
    <t xml:space="preserve">5306 SW 138th Pl  Miami, FL 33175-6023 </t>
  </si>
  <si>
    <t>Chen</t>
  </si>
  <si>
    <t xml:space="preserve">1500 NE 19th Ave </t>
  </si>
  <si>
    <t xml:space="preserve">1203 NE 2nd Pl  Cape Coral, FL 33909 </t>
  </si>
  <si>
    <t>08731-1459</t>
  </si>
  <si>
    <t>Manganello Dennis Tr</t>
  </si>
  <si>
    <t>Cheryll Hagestead</t>
  </si>
  <si>
    <t xml:space="preserve">5020 NW 198th St  Miami Gardens, FL 33055-1755 </t>
  </si>
  <si>
    <t xml:space="preserve">22435 SW 61st Way B225 </t>
  </si>
  <si>
    <t>Ogilvie</t>
  </si>
  <si>
    <t>Cape Coral Unit 25 Blk.903 Pb 14 Pg 94 Lots 16 + 17</t>
  </si>
  <si>
    <t>Cape Coral Unit 34 Blk 2465 Pb 16 Pg 86 Lots 26 + 27</t>
  </si>
  <si>
    <t>03-44-26-07-00034.0090</t>
  </si>
  <si>
    <t>03-44-26-09-00046.0080</t>
  </si>
  <si>
    <t>Lakefield Place</t>
  </si>
  <si>
    <t>Vanhorn</t>
  </si>
  <si>
    <t xml:space="preserve">17007 Puppy Dog Dr  Fort Myers, FL 33908 </t>
  </si>
  <si>
    <t xml:space="preserve">4160 NE 9th Pl  Cape Coral, FL 33909 </t>
  </si>
  <si>
    <t>Reidstadt</t>
  </si>
  <si>
    <t xml:space="preserve">1929 Kismet Pkwy E  Cape Coral, FL 33909 </t>
  </si>
  <si>
    <t>70808-4725</t>
  </si>
  <si>
    <t>60641-5032</t>
  </si>
  <si>
    <t>53965-8643</t>
  </si>
  <si>
    <t xml:space="preserve">1319 N Gator Cir </t>
  </si>
  <si>
    <t>Angela Hasler</t>
  </si>
  <si>
    <t>Denville</t>
  </si>
  <si>
    <t>Terra</t>
  </si>
  <si>
    <t>33909-2292</t>
  </si>
  <si>
    <t>77385-3546</t>
  </si>
  <si>
    <t>Ella Yakin</t>
  </si>
  <si>
    <t xml:space="preserve">627 NE 19th Ter </t>
  </si>
  <si>
    <t xml:space="preserve">7952 W 30th Ln  Hialeah, FL 33018-3830 </t>
  </si>
  <si>
    <t>Cape Coral Unit 84 Blk 5577 Pb 24 Pg 45 Lots 33 + 34</t>
  </si>
  <si>
    <t>48430-1507</t>
  </si>
  <si>
    <t xml:space="preserve">5950 Maplewood Ct </t>
  </si>
  <si>
    <t>Adolfo</t>
  </si>
  <si>
    <t xml:space="preserve">20410 32nd Ave </t>
  </si>
  <si>
    <t>33472-5135</t>
  </si>
  <si>
    <t xml:space="preserve">5430 Harborage Dr </t>
  </si>
  <si>
    <t>33909-1526</t>
  </si>
  <si>
    <t>Ridgeland</t>
  </si>
  <si>
    <t>Grand Ledge</t>
  </si>
  <si>
    <t xml:space="preserve">1321 NE 3rd Ter </t>
  </si>
  <si>
    <t>03-44-26-09-00045.0030</t>
  </si>
  <si>
    <t>Darien &amp; John Poppa</t>
  </si>
  <si>
    <t>Gerald Greiman &amp; For Greiman-Carlson</t>
  </si>
  <si>
    <t>07079-1204</t>
  </si>
  <si>
    <t>Lincoln Village</t>
  </si>
  <si>
    <t>50324-5754</t>
  </si>
  <si>
    <t xml:space="preserve">240 E 55th St 10g, New York, NY 10022-4021 </t>
  </si>
  <si>
    <t>Puentes</t>
  </si>
  <si>
    <t>11-44-25-l1-13000.0900</t>
  </si>
  <si>
    <t>10128-1514</t>
  </si>
  <si>
    <t>Feeney</t>
  </si>
  <si>
    <t xml:space="preserve">1912 NW Waterwillow Way </t>
  </si>
  <si>
    <t>Josyabhatla</t>
  </si>
  <si>
    <t xml:space="preserve">1712 NE 33rd Ln </t>
  </si>
  <si>
    <t xml:space="preserve">260 Douglas Rd </t>
  </si>
  <si>
    <t xml:space="preserve">1402 NE 14th Ave  Cape Coral, FL 33909 </t>
  </si>
  <si>
    <t>Weiterstadt</t>
  </si>
  <si>
    <t xml:space="preserve">9590 De Venise Rue  Quebec, QC G2b 0B9 </t>
  </si>
  <si>
    <t>10805-1512</t>
  </si>
  <si>
    <t xml:space="preserve">1723 NE 27th Ter  Cape Coral, FL 33909 </t>
  </si>
  <si>
    <t>35-45-23-05-00003.0040</t>
  </si>
  <si>
    <t>Winsted</t>
  </si>
  <si>
    <t>19-43-24-c4-05566.0290</t>
  </si>
  <si>
    <t>33015-6636</t>
  </si>
  <si>
    <t>36-43-23-c3-02481.0010</t>
  </si>
  <si>
    <t xml:space="preserve">129 NE 31st Ter  Cape Coral, FL 33909 </t>
  </si>
  <si>
    <t>36-43-23-c3-02146.0180</t>
  </si>
  <si>
    <t xml:space="preserve">17f-3 No 70 Changfeng Rd  Taoyuan City, CN 00333 </t>
  </si>
  <si>
    <t xml:space="preserve">1308 SE 32nd St </t>
  </si>
  <si>
    <t xml:space="preserve">3101 SE 5th Ct </t>
  </si>
  <si>
    <t>Robert &amp; Debra Schega</t>
  </si>
  <si>
    <t xml:space="preserve">107 Gary Lynn Ln  Windsor, CT 06095-1772 </t>
  </si>
  <si>
    <t xml:space="preserve">1037 N Gator Cir </t>
  </si>
  <si>
    <t xml:space="preserve">60 Branch Ave </t>
  </si>
  <si>
    <t xml:space="preserve">610 Arbor Glen Ct  Mansfield, TX 76063-8699 </t>
  </si>
  <si>
    <t>32056-1587</t>
  </si>
  <si>
    <t>19-43-24-c2-05599.0230</t>
  </si>
  <si>
    <t>Bruce &amp; Elizabeth Budlong</t>
  </si>
  <si>
    <t>Gustav</t>
  </si>
  <si>
    <t>Volker &amp; Wiltrud Huelck</t>
  </si>
  <si>
    <t>Cape Coral Unit 85 Blk 5646 Pb 24 Pg 55 Lots 31 + 32</t>
  </si>
  <si>
    <t>02150-2975</t>
  </si>
  <si>
    <t xml:space="preserve">8018 Big Top Dr  Las Vegas, NV 89123 </t>
  </si>
  <si>
    <t>20-43-24-c4-05634.0060</t>
  </si>
  <si>
    <t>91354-1582</t>
  </si>
  <si>
    <t>Grieser</t>
  </si>
  <si>
    <t>Sundance</t>
  </si>
  <si>
    <t>Calusa</t>
  </si>
  <si>
    <t xml:space="preserve">1224 NE 41st Ter  Cape Coral, FL 33909 </t>
  </si>
  <si>
    <t xml:space="preserve">1201 NE 6th Ave </t>
  </si>
  <si>
    <t xml:space="preserve">1936 Kismet Pkwy E </t>
  </si>
  <si>
    <t>Sharon Simpson</t>
  </si>
  <si>
    <t xml:space="preserve">365 W 6th Ave B2 </t>
  </si>
  <si>
    <t>Chandra</t>
  </si>
  <si>
    <t xml:space="preserve">8934 Springwood Cir </t>
  </si>
  <si>
    <t>33909-5368</t>
  </si>
  <si>
    <t>55387-9423</t>
  </si>
  <si>
    <t xml:space="preserve">Calle Padres Constancio </t>
  </si>
  <si>
    <t xml:space="preserve">Po Box 424 </t>
  </si>
  <si>
    <t>Cape Coral Unit 33 Blk 2241 Pb 16 Pg 55 Lots 38 + 39</t>
  </si>
  <si>
    <t xml:space="preserve">1327 NE 20th Pl  Cape Coral, FL 33909 </t>
  </si>
  <si>
    <t xml:space="preserve">4 Eastbourne Ave </t>
  </si>
  <si>
    <t xml:space="preserve">1041 NE 16th Pl  Cape Coral, FL 33909 </t>
  </si>
  <si>
    <t xml:space="preserve">309 NE 20th St  Cape Coral, FL 33909 </t>
  </si>
  <si>
    <t>11-44-25-06-0000d.0400</t>
  </si>
  <si>
    <t>Karla</t>
  </si>
  <si>
    <t>Verdes</t>
  </si>
  <si>
    <t>Thyiprambil</t>
  </si>
  <si>
    <t xml:space="preserve">5204 Pineland Daisy Trl  Fort Myers, FL 33905 </t>
  </si>
  <si>
    <t>32828-5182</t>
  </si>
  <si>
    <t xml:space="preserve">1802 NE 41st St  Cape Coral, FL 33909 </t>
  </si>
  <si>
    <t>19-43-24-c3-05620.0470</t>
  </si>
  <si>
    <t xml:space="preserve">1221 NE 41st St </t>
  </si>
  <si>
    <t>Andalusia Boulevard Trust</t>
  </si>
  <si>
    <t>For Sieban Trust</t>
  </si>
  <si>
    <t>R107</t>
  </si>
  <si>
    <t>94505-9324</t>
  </si>
  <si>
    <t xml:space="preserve">5015 Dogwood Cir </t>
  </si>
  <si>
    <t>Cypress Trail Rv Resort Ph 4-B As Desc In Inst# 2017000057565 Lot 305</t>
  </si>
  <si>
    <t>Sobrado Lilianne Tr</t>
  </si>
  <si>
    <t>Cypress Woods Rv Resort Desc In Inst#2006-358211 Lot 144</t>
  </si>
  <si>
    <t xml:space="preserve">131 Gold Maple St </t>
  </si>
  <si>
    <t xml:space="preserve">1536 Crooked Stick Dr  Valrico, FL 33596-7815 </t>
  </si>
  <si>
    <t xml:space="preserve">2033 NE 10th Pl  Cape Coral, FL 33909 </t>
  </si>
  <si>
    <t>Anette</t>
  </si>
  <si>
    <t>Bogota Cindinamarca</t>
  </si>
  <si>
    <t>Kirkwall</t>
  </si>
  <si>
    <t xml:space="preserve">4151 Hawks Bill Ct  Wesley Chapel, FL 33543-4822 </t>
  </si>
  <si>
    <t>Eugenio</t>
  </si>
  <si>
    <t xml:space="preserve">1619 NE 37th St  Cape Coral, FL 33909 </t>
  </si>
  <si>
    <t xml:space="preserve">4653 Brently Pl  Las Vegas, NV 89122-7503 </t>
  </si>
  <si>
    <t>31-43-24-c2-02153.0170</t>
  </si>
  <si>
    <t xml:space="preserve">61 Birch Grov </t>
  </si>
  <si>
    <t xml:space="preserve">67 Grieco Dr  Jersey City, NJ 07305-4897 </t>
  </si>
  <si>
    <t>Jordan</t>
  </si>
  <si>
    <t>01-44-23-c2-02452.0290</t>
  </si>
  <si>
    <t>Rx-W</t>
  </si>
  <si>
    <t>Lehigh Acres Unit 3 Blk 12 Pb 26 Pg 5 Lot 3</t>
  </si>
  <si>
    <t xml:space="preserve">12470 SW 6th St #1403 </t>
  </si>
  <si>
    <t>Emelina</t>
  </si>
  <si>
    <t>Salgueiro</t>
  </si>
  <si>
    <t>Hollum</t>
  </si>
  <si>
    <t>Byrd</t>
  </si>
  <si>
    <t>01-44-23-c1-02441.0290</t>
  </si>
  <si>
    <t>18-43-24-c1-05726.0400</t>
  </si>
  <si>
    <t>06-44-24-c2-02085.0140</t>
  </si>
  <si>
    <t xml:space="preserve">117 Bells Hill Rd </t>
  </si>
  <si>
    <t xml:space="preserve">2214 NE 24th Ter </t>
  </si>
  <si>
    <t>Michael &amp; Alton Clemente</t>
  </si>
  <si>
    <t>33175-4329</t>
  </si>
  <si>
    <t>Frederick &amp; Genevieve Erben</t>
  </si>
  <si>
    <t>06-44-24-c1-02098.0410</t>
  </si>
  <si>
    <t xml:space="preserve">115 Armiston St  Brockton, MA 02302-1926 </t>
  </si>
  <si>
    <t xml:space="preserve">1623 NE 34th Ln </t>
  </si>
  <si>
    <t xml:space="preserve">1708 Beech Dr S  Plainfield, IN 46168-2142 </t>
  </si>
  <si>
    <t xml:space="preserve">925 NE 32nd St </t>
  </si>
  <si>
    <t xml:space="preserve">PO Box 313  Missoula, MT 59806 </t>
  </si>
  <si>
    <t xml:space="preserve">1406 NE 33rd Ln </t>
  </si>
  <si>
    <t xml:space="preserve">78 Quiet Woods Rd </t>
  </si>
  <si>
    <t xml:space="preserve">13 5th Ave  Linden, NJ 07036-3603 </t>
  </si>
  <si>
    <t xml:space="preserve">3450 SW 141st Ave #7, Miramar, FL 33027-3230 </t>
  </si>
  <si>
    <t xml:space="preserve">2912 S Anderson Ln </t>
  </si>
  <si>
    <t>31-43-24-c1-02168.0290</t>
  </si>
  <si>
    <t>Tab</t>
  </si>
  <si>
    <t>Jackson Heights</t>
  </si>
  <si>
    <t xml:space="preserve">9800 Monogram Ave  Northridge, CA 91343-1855 </t>
  </si>
  <si>
    <t>Cypress Woods Rv Resort Un 3 Desc In Pb 72 Pgs 92-95 Blk C Lot 6</t>
  </si>
  <si>
    <t xml:space="preserve">1210 NE 18th Pl </t>
  </si>
  <si>
    <t>18707-2383</t>
  </si>
  <si>
    <t xml:space="preserve">479 Mountain Rd  Bloomingburg, NY 12721-4216 </t>
  </si>
  <si>
    <t>Barnhart</t>
  </si>
  <si>
    <t>Martins Point</t>
  </si>
  <si>
    <t>33909-6826</t>
  </si>
  <si>
    <t>Manuel Morales</t>
  </si>
  <si>
    <t>Cape Coral Unit 36 Pt.1 Blk.2477 Pb 23 Pg 90 Lots 29 + 30</t>
  </si>
  <si>
    <t xml:space="preserve">60 Chicago Ave </t>
  </si>
  <si>
    <t>Cuong Mai &amp; Hong Nguyen</t>
  </si>
  <si>
    <t>Gdns</t>
  </si>
  <si>
    <t>10801-4245</t>
  </si>
  <si>
    <t xml:space="preserve">10194 E Atherton Rd </t>
  </si>
  <si>
    <t>Cape Coral Unit 36 Blk 2319 Pb 16 Pg 129 Lots 39 + 40</t>
  </si>
  <si>
    <t>Schiavello</t>
  </si>
  <si>
    <t xml:space="preserve">1725 NE 10th Ln </t>
  </si>
  <si>
    <t>Milstead</t>
  </si>
  <si>
    <t xml:space="preserve">4205 Garden Blvd  Cape Coral, FL 33909 </t>
  </si>
  <si>
    <t>Malvern</t>
  </si>
  <si>
    <t>34-43-25-09-00000.2130</t>
  </si>
  <si>
    <t>Cape Coral Unit 47 Pt 2 Blk 3527 Pb 23 Pg 122 Lots 19 + 20</t>
  </si>
  <si>
    <t xml:space="preserve">11074 Discovery Dr NW  Concord, NC 28027-4800 </t>
  </si>
  <si>
    <t>Pontejos</t>
  </si>
  <si>
    <t>Anthoula</t>
  </si>
  <si>
    <t xml:space="preserve">Po Box 69 </t>
  </si>
  <si>
    <t>Cape Coral Unit 13 Blk 514 Pb 13 Pg 57 Lots 27 + 28</t>
  </si>
  <si>
    <t>Ronald &amp; Anne Kaufman</t>
  </si>
  <si>
    <t>Howard &amp; Mirtia Davis</t>
  </si>
  <si>
    <t>60439-3803</t>
  </si>
  <si>
    <t>Cape Coral Unit 36 Blk 2308 Pb 16 Pg 120 Lots 22 + 23</t>
  </si>
  <si>
    <t>11-44-25-l1-13000.3230</t>
  </si>
  <si>
    <t>78250-5221</t>
  </si>
  <si>
    <t>Cape Coral Unit 87 Blk 5752 Pb 24 Pg 71 Lots 5 + 6</t>
  </si>
  <si>
    <t xml:space="preserve">1331 NE 12th Pl </t>
  </si>
  <si>
    <t>Hecker</t>
  </si>
  <si>
    <t xml:space="preserve">PO Box 9205  Pawtucket, RI 02862-1124 </t>
  </si>
  <si>
    <t>Manzano</t>
  </si>
  <si>
    <t>Alongi</t>
  </si>
  <si>
    <t xml:space="preserve">3857/3859 Hollycrest St  Fort Myers, FL 33905 </t>
  </si>
  <si>
    <t>33009-6654</t>
  </si>
  <si>
    <t>07-46-25-04-0000b.0590</t>
  </si>
  <si>
    <t>Cypress Woods Rv Resort Unit 4 Pb 79 Pgs 68-71 Blk D Lot 14</t>
  </si>
  <si>
    <t>02-46-23-02-0000d.0300</t>
  </si>
  <si>
    <t>36-43-23-c1-02520.0440</t>
  </si>
  <si>
    <t xml:space="preserve">1405 N Gator Cir  Cape Coral, FL 33909 </t>
  </si>
  <si>
    <t>Santa Ana</t>
  </si>
  <si>
    <t>New Milford</t>
  </si>
  <si>
    <t xml:space="preserve">2921 NE 1st Pl  Cape Coral, FL 33909 </t>
  </si>
  <si>
    <t xml:space="preserve">37 Rue Joseph Henot  Viborg, SD 57070 </t>
  </si>
  <si>
    <t xml:space="preserve">4004 Trinidad Way </t>
  </si>
  <si>
    <t xml:space="preserve">3577 NE 9th Pl </t>
  </si>
  <si>
    <t xml:space="preserve">3867 Anza Way  San Leandro, CA 94578-4109 </t>
  </si>
  <si>
    <t xml:space="preserve">2010 NE 1st Pl  Cape Coral, FL 33909 </t>
  </si>
  <si>
    <t xml:space="preserve">10301 Prairie Iris Dr </t>
  </si>
  <si>
    <t>33909-1575</t>
  </si>
  <si>
    <t>Waterbury</t>
  </si>
  <si>
    <t>Unterfoehring</t>
  </si>
  <si>
    <t>31-43-24-c1-02169.0090</t>
  </si>
  <si>
    <t xml:space="preserve">1715 NE 34th Ln  Cape Coral, FL 33909 </t>
  </si>
  <si>
    <t>07-44-24-c3-01493.0160</t>
  </si>
  <si>
    <t>33905-5717</t>
  </si>
  <si>
    <t>05-44-24-c2-03511.0010</t>
  </si>
  <si>
    <t>State Route 294</t>
  </si>
  <si>
    <t xml:space="preserve">5660 Cypress Woods Resort Dr </t>
  </si>
  <si>
    <t>Gorham</t>
  </si>
  <si>
    <t>32320-1906</t>
  </si>
  <si>
    <t xml:space="preserve">13 Ivory St </t>
  </si>
  <si>
    <t>Ken Jakubic &amp; Daniel Kaelin</t>
  </si>
  <si>
    <t xml:space="preserve">15030 Wildflower Cir  Naples, FL 34119-4857 </t>
  </si>
  <si>
    <t xml:space="preserve">414 NE 23rd Pl  Cape Coral, FL 33909 </t>
  </si>
  <si>
    <t>Monee</t>
  </si>
  <si>
    <t xml:space="preserve">1508 NE 35th St  Cape Coral, FL 33909 </t>
  </si>
  <si>
    <t>36206-1671</t>
  </si>
  <si>
    <t>33909-5603</t>
  </si>
  <si>
    <t>Willis &amp; Kimberly Cooan</t>
  </si>
  <si>
    <t xml:space="preserve">Po Box 954 </t>
  </si>
  <si>
    <t>Nir Tov</t>
  </si>
  <si>
    <t>Cypress Woods Rv Resort Unit 4 Pb 79 Pgs 68-71 Blk D Lot 136</t>
  </si>
  <si>
    <t>Aventura</t>
  </si>
  <si>
    <t xml:space="preserve">10018 Parkwood Dr </t>
  </si>
  <si>
    <t xml:space="preserve">514 NE Juanita Ct  Cape Coral, FL 33909 </t>
  </si>
  <si>
    <t>19-43-24-c2-05604.0670</t>
  </si>
  <si>
    <t>Laura &amp; Lance Lorelli</t>
  </si>
  <si>
    <t>Cape Coral Unit 47 Pt 2 Blk 3529 Pb 23 Pg 121 Lots 39 + 40</t>
  </si>
  <si>
    <t xml:space="preserve">4328 Connection Ave </t>
  </si>
  <si>
    <t>46060-6004</t>
  </si>
  <si>
    <t>06478-6141</t>
  </si>
  <si>
    <t>Zenaida Aranda</t>
  </si>
  <si>
    <t>01863-2312</t>
  </si>
  <si>
    <t>18-43-24-c2-05734.0510</t>
  </si>
  <si>
    <t>33405-1810</t>
  </si>
  <si>
    <t>33909-5314</t>
  </si>
  <si>
    <t xml:space="preserve">253 Cape Coral Pkwy E  Cape Coral, FL 33904 </t>
  </si>
  <si>
    <t>Mountain</t>
  </si>
  <si>
    <t>29-43-24-c4-02264.0390</t>
  </si>
  <si>
    <t xml:space="preserve">3222 NE 14th Ave  Cape Coral, FL 33909 </t>
  </si>
  <si>
    <t xml:space="preserve">1018 NE 2nd Ter  Cape Coral, FL 33909 </t>
  </si>
  <si>
    <t xml:space="preserve">6017 Lacota Ave  Fort Myers, FL 33905 </t>
  </si>
  <si>
    <t>Jabar</t>
  </si>
  <si>
    <t>Expy</t>
  </si>
  <si>
    <t>Papillion</t>
  </si>
  <si>
    <t>Canelo</t>
  </si>
  <si>
    <t>Edna Jones</t>
  </si>
  <si>
    <t xml:space="preserve">10319 Fire Flag Trl </t>
  </si>
  <si>
    <t>Neiman</t>
  </si>
  <si>
    <t xml:space="preserve">12 Oakmont St  Webster, MA 01570-3529 </t>
  </si>
  <si>
    <t>25-43-23-c2-02346.0190</t>
  </si>
  <si>
    <t xml:space="preserve">1318 Slayton Ave </t>
  </si>
  <si>
    <t>Constructores Bermudez</t>
  </si>
  <si>
    <t xml:space="preserve">1308 Otto St </t>
  </si>
  <si>
    <t xml:space="preserve">7179 Game Lord Dr  Springfield, VA 22153-1317 </t>
  </si>
  <si>
    <t xml:space="preserve">216 Magruder Pl SE </t>
  </si>
  <si>
    <t>44646-5017</t>
  </si>
  <si>
    <t xml:space="preserve">3825 Heyburn St </t>
  </si>
  <si>
    <t xml:space="preserve">103 NE 15th Ter  Cape Coral, FL 33909 </t>
  </si>
  <si>
    <t xml:space="preserve">1025 NE 5th Pl </t>
  </si>
  <si>
    <t xml:space="preserve">500 Layne Blvd #15, Hallandale Beach, FL 33009-6546 </t>
  </si>
  <si>
    <t xml:space="preserve">Robert-Koch-Str 11 B </t>
  </si>
  <si>
    <t xml:space="preserve">1231 Portmoor Way </t>
  </si>
  <si>
    <t xml:space="preserve">Po Box 398748 </t>
  </si>
  <si>
    <t>Oxford</t>
  </si>
  <si>
    <t>Cape Coral Unit 88 Blk 5802 Pb 24 Pg 136 Lots 13 + 14</t>
  </si>
  <si>
    <t>Widman</t>
  </si>
  <si>
    <t>Cino</t>
  </si>
  <si>
    <t>Cape Coral Unit 88 Blk 5821 Pb 24 Pg 141 Lots 19 + 20</t>
  </si>
  <si>
    <t xml:space="preserve">10301 Prairie Iris Dr  Fort Myers, FL 33905 </t>
  </si>
  <si>
    <t>34772-8398</t>
  </si>
  <si>
    <t>Sesarego</t>
  </si>
  <si>
    <t>48042-6217</t>
  </si>
  <si>
    <t xml:space="preserve">5337 Colonade Ct </t>
  </si>
  <si>
    <t>33473-4899</t>
  </si>
  <si>
    <t>994 5</t>
  </si>
  <si>
    <t xml:space="preserve">3605 NE 14th Pl  Cape Coral, FL 33909 </t>
  </si>
  <si>
    <t>John Blakeman &amp; Christine Townsend</t>
  </si>
  <si>
    <t>11-44-25-05-0000c.0170</t>
  </si>
  <si>
    <t>Cape Coral Unit 36 Blk 2302 Pb 16 Pg 122 Lots 49 + 50</t>
  </si>
  <si>
    <t xml:space="preserve">34801 Doheny Pl </t>
  </si>
  <si>
    <t>K0K 1C0</t>
  </si>
  <si>
    <t>31-43-24-c2-02137.0310</t>
  </si>
  <si>
    <t>Tripi Joann Tr</t>
  </si>
  <si>
    <t xml:space="preserve">1627 NE 23rd Ter </t>
  </si>
  <si>
    <t xml:space="preserve">3727 Trent St </t>
  </si>
  <si>
    <t>Radius</t>
  </si>
  <si>
    <t xml:space="preserve">4003 SE Oakhurst St #1 </t>
  </si>
  <si>
    <t>Stearns</t>
  </si>
  <si>
    <t>11-44-25-09-00000.1850</t>
  </si>
  <si>
    <t>Cape Coral Unit 35 Blk.2413 Pb 16 Pg 109 Lots 9 + 10</t>
  </si>
  <si>
    <t>Bay</t>
  </si>
  <si>
    <t xml:space="preserve">4312 NE 23rd Pl  Cape Coral, FL 33909 </t>
  </si>
  <si>
    <t xml:space="preserve">7013 W 30th Ln </t>
  </si>
  <si>
    <t>Swigart</t>
  </si>
  <si>
    <t>34104-5715</t>
  </si>
  <si>
    <t>33909-1325</t>
  </si>
  <si>
    <t xml:space="preserve">1209 NE 44th St  Cape Coral, FL 33909 </t>
  </si>
  <si>
    <t>Oshkosh</t>
  </si>
  <si>
    <t>25-44-24-p3-02700.0110</t>
  </si>
  <si>
    <t>02601-3505</t>
  </si>
  <si>
    <t>River</t>
  </si>
  <si>
    <t>Padiham</t>
  </si>
  <si>
    <t>Avenue J</t>
  </si>
  <si>
    <t>Willoughby</t>
  </si>
  <si>
    <t>11-44-25-l1-12000.2960</t>
  </si>
  <si>
    <t>Waterway Shores Unit 3 Pb 28 Pg 21 Lot 59</t>
  </si>
  <si>
    <t>For Margaret M Ehemann Trust</t>
  </si>
  <si>
    <t xml:space="preserve">1010 NE 2nd Pl  Cape Coral, FL 33909 </t>
  </si>
  <si>
    <t>80504-3771</t>
  </si>
  <si>
    <t>33462-1028</t>
  </si>
  <si>
    <t>33909-1036</t>
  </si>
  <si>
    <t>Cape Coral Unit 36 Blk 2531 Pb 16 Pg 117 Lots 34 + 35</t>
  </si>
  <si>
    <t>Hine</t>
  </si>
  <si>
    <t xml:space="preserve">134 NE 9th St </t>
  </si>
  <si>
    <t xml:space="preserve">10058 Parkwood Dr  Fort Myers, FL 33905 </t>
  </si>
  <si>
    <t xml:space="preserve">58 Bolton Trl  North Chili, NY 14514-9773 </t>
  </si>
  <si>
    <t>Krystal</t>
  </si>
  <si>
    <t>Bellingham</t>
  </si>
  <si>
    <t>33033-5903</t>
  </si>
  <si>
    <t xml:space="preserve">5501 Bayview Dr </t>
  </si>
  <si>
    <t>44065-8801</t>
  </si>
  <si>
    <t>Cypress Trail Rv Resort Ph 4-B As Desc In Inst# 2017000057565 Lot 99</t>
  </si>
  <si>
    <t>Ingraham</t>
  </si>
  <si>
    <t>Fuller Heights</t>
  </si>
  <si>
    <t xml:space="preserve">1478 S Prairie Ave #1 </t>
  </si>
  <si>
    <t xml:space="preserve">555 Kappock St 9p, Bronx, NY 10463-6430 </t>
  </si>
  <si>
    <t>Chitra</t>
  </si>
  <si>
    <t xml:space="preserve">2105 NE 10th Ave </t>
  </si>
  <si>
    <t>75126-2449</t>
  </si>
  <si>
    <t>Frady</t>
  </si>
  <si>
    <t>Plaistow</t>
  </si>
  <si>
    <t>89144-4300</t>
  </si>
  <si>
    <t>33909-2009</t>
  </si>
  <si>
    <t xml:space="preserve">567 Burning Fork Rd  Pikeville, KY 41501-3404 </t>
  </si>
  <si>
    <t>31-43-24-c1-02165.0150</t>
  </si>
  <si>
    <t xml:space="preserve">7551 Roslyn St </t>
  </si>
  <si>
    <t xml:space="preserve">27 Exchange St  Leominster, MA 01453-6339 </t>
  </si>
  <si>
    <t xml:space="preserve">4859 E Riverside Dr  Fort Myers, FL 33905 </t>
  </si>
  <si>
    <t xml:space="preserve">1735 Blue Wing Ct </t>
  </si>
  <si>
    <t>Tessie Yuste &amp; Eric Garcia-Cartaya</t>
  </si>
  <si>
    <t>Myrna</t>
  </si>
  <si>
    <t>Novarro</t>
  </si>
  <si>
    <t xml:space="preserve">3928 NE 15th Pl  Cape Coral, FL 33909 </t>
  </si>
  <si>
    <t>53005-3148</t>
  </si>
  <si>
    <t>18-43-24-c1-05725.0110</t>
  </si>
  <si>
    <t>01-44-23-c2-02465.0260</t>
  </si>
  <si>
    <t xml:space="preserve">3309 NE 15th Pl  Cape Coral, FL 33909 </t>
  </si>
  <si>
    <t xml:space="preserve">1082 Harmony Ln </t>
  </si>
  <si>
    <t>J0T 2C0</t>
  </si>
  <si>
    <t xml:space="preserve">2503 NE 5th Pl </t>
  </si>
  <si>
    <t>Hart Branch</t>
  </si>
  <si>
    <t>07013-3031</t>
  </si>
  <si>
    <t>Louis Tremblay</t>
  </si>
  <si>
    <t>Cypress Woods Rv Resort Unit 4 Pb 79 Pgs 68-71 Blk D Lot 63</t>
  </si>
  <si>
    <t>33909-3260</t>
  </si>
  <si>
    <t xml:space="preserve">15016 87th Rd  Jamaica, NY 11432-3312 </t>
  </si>
  <si>
    <t>Vernon &amp; Phyllis Bell</t>
  </si>
  <si>
    <t xml:space="preserve">2326 NE 35th Ter </t>
  </si>
  <si>
    <t>Shorewood Forest</t>
  </si>
  <si>
    <t xml:space="preserve">3006 NE 2nd Ave </t>
  </si>
  <si>
    <t>B401</t>
  </si>
  <si>
    <t>Nicaragua</t>
  </si>
  <si>
    <t>36-43-23-c4-02505.0150</t>
  </si>
  <si>
    <t>33905-2608</t>
  </si>
  <si>
    <t>Sunset Maple</t>
  </si>
  <si>
    <t>Gerardo Mendez</t>
  </si>
  <si>
    <t>Radmila &amp; For Bogoevski</t>
  </si>
  <si>
    <t>Gerthie</t>
  </si>
  <si>
    <t xml:space="preserve">3741 NE 14th Pl  Cape Coral, FL 33909 </t>
  </si>
  <si>
    <t xml:space="preserve">70 Center Rd </t>
  </si>
  <si>
    <t>Cape Coral Unit 36 Blk 2349 Pb 16 Pg 128 Lots 59 + 60</t>
  </si>
  <si>
    <t>Marie Dekeyser</t>
  </si>
  <si>
    <t>Cypress Trail Rv Resort Ph 4-B As Desc In Inst# 2017000057565 Lot 104</t>
  </si>
  <si>
    <t xml:space="preserve">1010 NE 15th Ln  Cape Coral, FL 33909 </t>
  </si>
  <si>
    <t xml:space="preserve">1711 Carrera Dr </t>
  </si>
  <si>
    <t>Cape Coral Unit 34 Blk.2457 Pb 16 Pg 83 Lots 9 + 10</t>
  </si>
  <si>
    <t xml:space="preserve">398 Beachy Rd  Accident, MD 21520-1141 </t>
  </si>
  <si>
    <t xml:space="preserve">5465 NW 190th St </t>
  </si>
  <si>
    <t>Cape Coral Unit 33 Blk.2230 Pb 16 Pg 52 Lots 63 + 64</t>
  </si>
  <si>
    <t>Richard Pearcy</t>
  </si>
  <si>
    <t>Haggith</t>
  </si>
  <si>
    <t>Damato</t>
  </si>
  <si>
    <t>Dennis Giordano</t>
  </si>
  <si>
    <t xml:space="preserve">621 Meadowvale Ln  Media, PA 19063-5015 </t>
  </si>
  <si>
    <t xml:space="preserve">1608 NE 5th Pl </t>
  </si>
  <si>
    <t>93rd</t>
  </si>
  <si>
    <t>Hobart</t>
  </si>
  <si>
    <t xml:space="preserve">13340 SW 10th Pl  Davie, FL 33325-1602 </t>
  </si>
  <si>
    <t>Daniel &amp; Mihaela Hanches</t>
  </si>
  <si>
    <t xml:space="preserve">1719 NE 22nd Ter </t>
  </si>
  <si>
    <t xml:space="preserve">3211 W Bryn Mawr Ave 2a, Chicago, IL 60659-3655 </t>
  </si>
  <si>
    <t>19111-3813</t>
  </si>
  <si>
    <t>Fudickar</t>
  </si>
  <si>
    <t xml:space="preserve">3931 NE 21st Pl </t>
  </si>
  <si>
    <t>Gates</t>
  </si>
  <si>
    <t xml:space="preserve">3038 Tiemann Ave  Bronx, NY 10469-3216 </t>
  </si>
  <si>
    <t xml:space="preserve">251 Hill St  Mineola, NY 11501-3244 </t>
  </si>
  <si>
    <t>Seaside</t>
  </si>
  <si>
    <t>08402-2721</t>
  </si>
  <si>
    <t xml:space="preserve">326 NE 16th Ter  Cape Coral, FL 33909 </t>
  </si>
  <si>
    <t>Tracy &amp; Kingdom Goodman</t>
  </si>
  <si>
    <t>49707-1278</t>
  </si>
  <si>
    <t>03-44-26-02-00008.0080</t>
  </si>
  <si>
    <t xml:space="preserve">11301 Liberty Ave  South Richmond Hill, NY 11419-1807 </t>
  </si>
  <si>
    <t>Ridgemont</t>
  </si>
  <si>
    <t>18-43-24-c3-05745.0270</t>
  </si>
  <si>
    <t>31-43-24-c1-02149.0540</t>
  </si>
  <si>
    <t>18-45-24-c2-00071.0190</t>
  </si>
  <si>
    <t>Francius-Figueres</t>
  </si>
  <si>
    <t>Cape Coral Unit 34 Blk 2465 Pb 16 Pg 86 Lots 24 + 25</t>
  </si>
  <si>
    <t xml:space="preserve">2201 NE 7th Pl </t>
  </si>
  <si>
    <t xml:space="preserve">2118 NE 33rd Ln </t>
  </si>
  <si>
    <t>Genevieve</t>
  </si>
  <si>
    <t xml:space="preserve">602 NE 12th St </t>
  </si>
  <si>
    <t xml:space="preserve">1115 S Rimline Dr  Idaho Falls, ID 83401-5913 </t>
  </si>
  <si>
    <t xml:space="preserve">5678 Ravenel Ln </t>
  </si>
  <si>
    <t>Cape Coral Unit 47 Part 2 Blk.3514 Pb 23 Pg 124 Lots 34 + 35</t>
  </si>
  <si>
    <t>Rickermann</t>
  </si>
  <si>
    <t>Arnaud</t>
  </si>
  <si>
    <t>Sugar Land</t>
  </si>
  <si>
    <t>Preston</t>
  </si>
  <si>
    <t>Santiago</t>
  </si>
  <si>
    <t xml:space="preserve">2208 NE 9th Ave  Cape Coral, FL 33909 </t>
  </si>
  <si>
    <t>32-43-24-c4-02198.0290</t>
  </si>
  <si>
    <t xml:space="preserve">1616 S Betty Ln  Clearwater, FL 33756-1239 </t>
  </si>
  <si>
    <t>White Oak</t>
  </si>
  <si>
    <t>Cape Coral Unit 84 Blk 5617 Pb 24 Pg 34 Lot 44</t>
  </si>
  <si>
    <t xml:space="preserve">3909 Jefferson Dr  Loveland, CO 80538-2379 </t>
  </si>
  <si>
    <t>11-44-25-08-00000.2540</t>
  </si>
  <si>
    <t>Rolling Hill</t>
  </si>
  <si>
    <t>Joseph &amp; For Falk</t>
  </si>
  <si>
    <t>Mccreedy</t>
  </si>
  <si>
    <t>Cape Coral Unit 84 Blk 5577 Pb 24 Pg 45 Lots 31 + 32</t>
  </si>
  <si>
    <t>Zenissa Valera</t>
  </si>
  <si>
    <t xml:space="preserve">3900 NE 15th Pl  Cape Coral, FL 33909 </t>
  </si>
  <si>
    <t>33027-3240</t>
  </si>
  <si>
    <t>Access Undetermined</t>
  </si>
  <si>
    <t xml:space="preserve">10214 Yellowtop Trl </t>
  </si>
  <si>
    <t>Carlene</t>
  </si>
  <si>
    <t xml:space="preserve">12840 Flint St  Overland Park, KS 66213-4428 </t>
  </si>
  <si>
    <t xml:space="preserve">5163 Atlanta Ave  Fort Myers, FL 33905 </t>
  </si>
  <si>
    <t xml:space="preserve">1504 Andalusia Blvd </t>
  </si>
  <si>
    <t xml:space="preserve">10457 Nightwood Dr </t>
  </si>
  <si>
    <t>Mark Putnam</t>
  </si>
  <si>
    <t>Cape Coral Unit 35 Blk 2364 Pb 16 Pg 105 Lots 31 + 32</t>
  </si>
  <si>
    <t>33909-1663</t>
  </si>
  <si>
    <t>48072-2147</t>
  </si>
  <si>
    <t xml:space="preserve">13863 SW 152nd Ter </t>
  </si>
  <si>
    <t>Cape Coral Unit 36 Blk 2309 Pb 16 Pg 120 Lots 44 + 45</t>
  </si>
  <si>
    <t>Gutarra</t>
  </si>
  <si>
    <t xml:space="preserve">322 SE 33rd St </t>
  </si>
  <si>
    <t>Sbrilli</t>
  </si>
  <si>
    <t>David Schneeweis</t>
  </si>
  <si>
    <t xml:space="preserve">12008 SW 28th St #402 </t>
  </si>
  <si>
    <t xml:space="preserve">11610 3rd Ave N </t>
  </si>
  <si>
    <t xml:space="preserve">6016 Thorpe Ave </t>
  </si>
  <si>
    <t xml:space="preserve">2000 NE 6th Ave </t>
  </si>
  <si>
    <t>33909-7309</t>
  </si>
  <si>
    <t>Camelia</t>
  </si>
  <si>
    <t>33909-1374</t>
  </si>
  <si>
    <t xml:space="preserve">1727 Lake Pl </t>
  </si>
  <si>
    <t>60068-5353</t>
  </si>
  <si>
    <t xml:space="preserve">750 Cowboy Way  Labelle, FL 33935-4485 </t>
  </si>
  <si>
    <t xml:space="preserve">1723 Andalusia Blvd  Cape Coral, FL 33909 </t>
  </si>
  <si>
    <t>Cape Coral Unit 47 Pt 2 Blk 3511 Pb 23 Pg 123 Lots 30 + 31</t>
  </si>
  <si>
    <t>06-44-24-c3-02060.0240</t>
  </si>
  <si>
    <t xml:space="preserve">4209 Oak Hill Dr </t>
  </si>
  <si>
    <t>31-43-24-c1-02161.0210</t>
  </si>
  <si>
    <t>Tsakis</t>
  </si>
  <si>
    <t>33909-5402</t>
  </si>
  <si>
    <t>Cape Coral Unit 87 Blk 5701 Pb 24 Pg 81 Lots 59 + 60</t>
  </si>
  <si>
    <t>Tien</t>
  </si>
  <si>
    <t>Shabakka Straw</t>
  </si>
  <si>
    <t>Stilwell</t>
  </si>
  <si>
    <t>St</t>
  </si>
  <si>
    <t>01-44-23-c4-02421.0010</t>
  </si>
  <si>
    <t>David Santaniello</t>
  </si>
  <si>
    <t>Dartford</t>
  </si>
  <si>
    <t xml:space="preserve">Nahal Hayarmukh 1 9/5, Modena, IL 71703 </t>
  </si>
  <si>
    <t>33185-4530</t>
  </si>
  <si>
    <t>Brixham</t>
  </si>
  <si>
    <t xml:space="preserve">2612 NE 21st Ct </t>
  </si>
  <si>
    <t>44131-3241</t>
  </si>
  <si>
    <t>U-Gen</t>
  </si>
  <si>
    <t xml:space="preserve">1636 NE 33rd Ln  Cape Coral, FL 33909 </t>
  </si>
  <si>
    <t>30542-5502</t>
  </si>
  <si>
    <t xml:space="preserve">211 NE 12th Ct </t>
  </si>
  <si>
    <t>Amin</t>
  </si>
  <si>
    <t xml:space="preserve">W3313 County Line Dr  Kewaskum, WI 53040 </t>
  </si>
  <si>
    <t xml:space="preserve">2483 W 16th St 11e, Brooklyn, NY 11214-7031 </t>
  </si>
  <si>
    <t>84/5</t>
  </si>
  <si>
    <t xml:space="preserve">41 Viola Ave </t>
  </si>
  <si>
    <t xml:space="preserve">1004 SW 118th Ct  Miami, FL 33184-2549 </t>
  </si>
  <si>
    <t xml:space="preserve">47 Bowling Ln  Deer Park, NY 11729-6728 </t>
  </si>
  <si>
    <t xml:space="preserve">3404 NE 13th Pl  Cape Coral, FL 33909 </t>
  </si>
  <si>
    <t>Cape Coral Unit 84 Blk 5551 Pb 24 Pg 39 Lot 51</t>
  </si>
  <si>
    <t>Bruce Ahlgren &amp; Tina Oshields</t>
  </si>
  <si>
    <t xml:space="preserve">10380 Nightwood Dr  Fort Myers, FL 33905 </t>
  </si>
  <si>
    <t>Fairburn</t>
  </si>
  <si>
    <t xml:space="preserve">14041 Chancellor St  Fort Myers, FL 33905 </t>
  </si>
  <si>
    <t>Lehigh Acres Unit 12 Blk 64 Pb 26 Pg 15 Lot 6</t>
  </si>
  <si>
    <t xml:space="preserve">3844 Highlight St </t>
  </si>
  <si>
    <t>Mono</t>
  </si>
  <si>
    <t>Cape Coral Unit 87 Blk 5740 Pb 24 Pg 69 Lots 7 + 8</t>
  </si>
  <si>
    <t>Cape Coral Unit 31 Blk 2079 Pb 14 Pg 164 Lots 39 + 40</t>
  </si>
  <si>
    <t>Atwell</t>
  </si>
  <si>
    <t>11-44-25-l1-1400a.1190</t>
  </si>
  <si>
    <t>the Acreage</t>
  </si>
  <si>
    <t>20-43-24-c2-05658.0020</t>
  </si>
  <si>
    <t xml:space="preserve">190 Sheffield Ct SW  Atlanta, GA 30331-7681 </t>
  </si>
  <si>
    <t>33019-2838</t>
  </si>
  <si>
    <t>11743-6507</t>
  </si>
  <si>
    <t xml:space="preserve">13428 Weatherstone Dr </t>
  </si>
  <si>
    <t>36-43-23-c3-02502.0070</t>
  </si>
  <si>
    <t xml:space="preserve">80 Clinton Ave  New Rochelle, NY 10801-3347 </t>
  </si>
  <si>
    <t>Birgit Wursag</t>
  </si>
  <si>
    <t>Notre-Dame-Des-Prairies</t>
  </si>
  <si>
    <t>Prior</t>
  </si>
  <si>
    <t>32-43-24-c4-02226.0230</t>
  </si>
  <si>
    <t xml:space="preserve">30663 W Dam Access Rd </t>
  </si>
  <si>
    <t>Cypress Woods Rv Resort Unit 4 Pb 79 Pgs 68-71 Blk D Lot 131</t>
  </si>
  <si>
    <t xml:space="preserve">7215 Wethersfield Dr  Maineville, OH 45039-8881 </t>
  </si>
  <si>
    <t>33909-9244</t>
  </si>
  <si>
    <t>Todd Niedosik</t>
  </si>
  <si>
    <t>34109-2684</t>
  </si>
  <si>
    <t xml:space="preserve">13119 N Boulevard  Tampa, FL 33612-3313 </t>
  </si>
  <si>
    <t>Ruiz</t>
  </si>
  <si>
    <t xml:space="preserve">2829 NE 7th Ave </t>
  </si>
  <si>
    <t>Paseo Manzana</t>
  </si>
  <si>
    <t>Bigos</t>
  </si>
  <si>
    <t>03-44-26-04-00016.0130</t>
  </si>
  <si>
    <t>Gregory Haley</t>
  </si>
  <si>
    <t>03-44-26-10-00051.0210</t>
  </si>
  <si>
    <t>33172-3304</t>
  </si>
  <si>
    <t>Carol &amp; John Tracey</t>
  </si>
  <si>
    <t>Lakefront</t>
  </si>
  <si>
    <t xml:space="preserve">116 Larry Uteck Blvd #208 </t>
  </si>
  <si>
    <t>29-43-24-c4-02284.0480</t>
  </si>
  <si>
    <t>Cape Coral Unit 85 Blk 5671 Pb 24 Pg 51 Lots 65 + 66</t>
  </si>
  <si>
    <t xml:space="preserve">2200 NE 5th Ave </t>
  </si>
  <si>
    <t>Aurellado</t>
  </si>
  <si>
    <t xml:space="preserve">5270 Cypress Trail Resort Cir  Fort Myers, FL 33905 </t>
  </si>
  <si>
    <t xml:space="preserve">3808 Kittyhawk Dr  Fort Myers, FL 33905 </t>
  </si>
  <si>
    <t>30004-4538</t>
  </si>
  <si>
    <t>03-44-26-13-00076.0050</t>
  </si>
  <si>
    <t>For Stefanadis Family Trust</t>
  </si>
  <si>
    <t>Rehoboth</t>
  </si>
  <si>
    <t xml:space="preserve">2381 Edwin Dr </t>
  </si>
  <si>
    <t xml:space="preserve">1804 NE 8th Pl </t>
  </si>
  <si>
    <t>Whac A Mole</t>
  </si>
  <si>
    <t xml:space="preserve">1921 Tourangeau Rd </t>
  </si>
  <si>
    <t xml:space="preserve">3518 NE 15th Ave  Cape Coral, FL 33909 </t>
  </si>
  <si>
    <t xml:space="preserve">250 Heltzels Ct NE  Warren, OH 44484-4658 </t>
  </si>
  <si>
    <t>03-44-26-12-00065.0050</t>
  </si>
  <si>
    <t xml:space="preserve">1300 State Route 294 </t>
  </si>
  <si>
    <t>Michael &amp; Richard Abatemarco</t>
  </si>
  <si>
    <t>Paoli</t>
  </si>
  <si>
    <t xml:space="preserve">9641 New Buffalo Rd  Canfield, OH 44406-9159 </t>
  </si>
  <si>
    <t xml:space="preserve">4017 NE 22nd Pl </t>
  </si>
  <si>
    <t>Elsa Deseixas</t>
  </si>
  <si>
    <t>Elizabeth Araujo &amp; Eduardo Lopez</t>
  </si>
  <si>
    <t xml:space="preserve">10072 Buena Vista Dr  Conifer, CO 80433-8603 </t>
  </si>
  <si>
    <t>Guelph</t>
  </si>
  <si>
    <t xml:space="preserve">4423 NE 10th Ct </t>
  </si>
  <si>
    <t>Matamis</t>
  </si>
  <si>
    <t>33909-3516</t>
  </si>
  <si>
    <t>20-43-24-c3-05671.0650</t>
  </si>
  <si>
    <t>Barker</t>
  </si>
  <si>
    <t>Cape Coral Unit 84 Blk 5564 Pb 24 Pg 37 Lots 9 + 10</t>
  </si>
  <si>
    <t>Poplar Park</t>
  </si>
  <si>
    <t>John E Stegmann Trust</t>
  </si>
  <si>
    <t>Fred &amp; Janet Landry</t>
  </si>
  <si>
    <t>Aileen</t>
  </si>
  <si>
    <t>Ana Deramos &amp; Ibeth Ramos</t>
  </si>
  <si>
    <t>Patricia Nielsen</t>
  </si>
  <si>
    <t>Cape Coral Unit 87 Blk 5734 Pb 24 Pg 87 Lots 47 + 48</t>
  </si>
  <si>
    <t>K2H 5W2</t>
  </si>
  <si>
    <t>Jerome Whitaker</t>
  </si>
  <si>
    <t>Cape Coral Unit 85 Blk 5635 Pb 24 Pg 50 Lots 5 + 6</t>
  </si>
  <si>
    <t>Marvin &amp; Elaine Chard</t>
  </si>
  <si>
    <t>Cape Coral Unit 84 Blk 5579 Pb 24 Pg 46 Lots 49 + 50</t>
  </si>
  <si>
    <t xml:space="preserve">5 Golini Dr  Johnston, RI 02919-2204 </t>
  </si>
  <si>
    <t xml:space="preserve">3912 Garden Blvd  Cape Coral, FL 33909 </t>
  </si>
  <si>
    <t xml:space="preserve">1592 Osborn Ave  Riverhead, NY 11901-5207 </t>
  </si>
  <si>
    <t>19-43-24-c3-05612.0290</t>
  </si>
  <si>
    <t xml:space="preserve">260 Reid Ave  Staten Island, NY 10305-1437 </t>
  </si>
  <si>
    <t>Cape Coral Unit 31 Blk 2097 Pb 14 Pg 163 Lots 59 + 60</t>
  </si>
  <si>
    <t>Corona</t>
  </si>
  <si>
    <t xml:space="preserve">307 NE 22nd Ter  Cape Coral, FL 33909 </t>
  </si>
  <si>
    <t>Jennifer Canal 2013 Trust</t>
  </si>
  <si>
    <t xml:space="preserve">6558 Stovall Rd  Cave City, KY 42127-9431 </t>
  </si>
  <si>
    <t xml:space="preserve">40 Canterbury Dr  Scotch Plains, NJ 07076-1534 </t>
  </si>
  <si>
    <t>07305-3919</t>
  </si>
  <si>
    <t xml:space="preserve">9645 Tanager Dr </t>
  </si>
  <si>
    <t>Cape Coral Unit 47 Pt 2 Blk 3524 Pb 23 Pg 117 Lots 11 + 12</t>
  </si>
  <si>
    <t>Osamah Hasan</t>
  </si>
  <si>
    <t>Heritage Hills</t>
  </si>
  <si>
    <t>Cypress Trail Rv Resort Phase 2-A As Desc In Inst# 2014000026506 Lot 277</t>
  </si>
  <si>
    <t xml:space="preserve">902 NE 15th Ln  Cape Coral, FL 33909 </t>
  </si>
  <si>
    <t>Cape Coral Unit 25 Blk.901 Pb 14 Pg 93 Lots 19 + 20</t>
  </si>
  <si>
    <t>29-43-24-c4-02285.0280</t>
  </si>
  <si>
    <t>Gustavo Martinez &amp; Yuleima Placencia</t>
  </si>
  <si>
    <t>33909-1320</t>
  </si>
  <si>
    <t xml:space="preserve">2624 NE 22nd Ave  Cape Coral, FL 33909 </t>
  </si>
  <si>
    <t xml:space="preserve">4022 NE 9th Pl </t>
  </si>
  <si>
    <t xml:space="preserve">2310 NE 6th Ave  Cape Coral, FL 33909 </t>
  </si>
  <si>
    <t>Satterfield</t>
  </si>
  <si>
    <t>Mh-2</t>
  </si>
  <si>
    <t xml:space="preserve">7719 Ridgepark Ct  Springfield, VA 22153-3508 </t>
  </si>
  <si>
    <t>19-43-24-c4-05553.0370</t>
  </si>
  <si>
    <t>Lehigh Acres Unit 13 Blk 72 Pb 26 Pg 17 Lot 15</t>
  </si>
  <si>
    <t>Maiolo</t>
  </si>
  <si>
    <t>Simmonds</t>
  </si>
  <si>
    <t>18-43-24-c4-05683.0210</t>
  </si>
  <si>
    <t>Cape Coral Unit 87 Blk 5740 Pb 24 Pg 69 Lots 23 + 24</t>
  </si>
  <si>
    <t xml:space="preserve">5197 Cypress Trail Resort Cir  Fort Myers, FL 33905 </t>
  </si>
  <si>
    <t>Gregory Sliviak</t>
  </si>
  <si>
    <t xml:space="preserve">2200 Cherokee Dr </t>
  </si>
  <si>
    <t>36-43-23-c2-02543.0120</t>
  </si>
  <si>
    <t>B200</t>
  </si>
  <si>
    <t>Fidelina</t>
  </si>
  <si>
    <t>Cape Coral Unit 32 Blk 2115 Pb 16 Pg 3 Lots 53 + 54</t>
  </si>
  <si>
    <t>Sanborn</t>
  </si>
  <si>
    <t>32-43-24-c3-02236.0610</t>
  </si>
  <si>
    <t>33909-7358</t>
  </si>
  <si>
    <t>44875-1228</t>
  </si>
  <si>
    <t>Guenther</t>
  </si>
  <si>
    <t>Cape Coral Unit 47 Pt 2 Blk 3531 Pb 23 Pg 121 Lots 60 + 61</t>
  </si>
  <si>
    <t>24-44-24-p4-0160h.0100</t>
  </si>
  <si>
    <t xml:space="preserve">3336 Meadow Ave  East Peoria, IL 61611-4639 </t>
  </si>
  <si>
    <t>Kaufman</t>
  </si>
  <si>
    <t>Banjeglav</t>
  </si>
  <si>
    <t>El-Kouri</t>
  </si>
  <si>
    <t xml:space="preserve">10221 Surfwood Ct </t>
  </si>
  <si>
    <t>33165-7942</t>
  </si>
  <si>
    <t>Alderwood Manor</t>
  </si>
  <si>
    <t>Marie-Curie-Str15</t>
  </si>
  <si>
    <t>Cape Coral Unit 36 Blk 2346 Pb 16 Pg 127 Lots 45 &amp; 46</t>
  </si>
  <si>
    <t>Eirene &amp; Abraham Celiz</t>
  </si>
  <si>
    <t>27712-1857</t>
  </si>
  <si>
    <t xml:space="preserve">6019 Lindbrook Ave </t>
  </si>
  <si>
    <t xml:space="preserve">1090 Oakcroft Ln  Somerset, NJ 08873-1679 </t>
  </si>
  <si>
    <t>Julianna</t>
  </si>
  <si>
    <t xml:space="preserve">26089 Dull Knife Trl </t>
  </si>
  <si>
    <t>33909-2004</t>
  </si>
  <si>
    <t xml:space="preserve">3569 Andalusia Blvd  Cape Coral, FL 33909 </t>
  </si>
  <si>
    <t>Demaeght</t>
  </si>
  <si>
    <t>Covington</t>
  </si>
  <si>
    <t>Carolina Farkas-Alvarez</t>
  </si>
  <si>
    <t>01-44-23-c3-02465.0680</t>
  </si>
  <si>
    <t xml:space="preserve">Po Box Li30010 </t>
  </si>
  <si>
    <t>Lehigh Acres Unit 9 Blk 42 Pb 26 Pg 11 Lot 21</t>
  </si>
  <si>
    <t>Wellmann</t>
  </si>
  <si>
    <t>Long Branch</t>
  </si>
  <si>
    <t xml:space="preserve">317 Felicia Ct  Bloomingdale, IL 60108-8835 </t>
  </si>
  <si>
    <t xml:space="preserve">2205 NE 13th Ave  Cape Coral, FL 33909 </t>
  </si>
  <si>
    <t>Lehigh Acres Unit 8 Blk 39 Pb 26 Pg 10 Lot 7</t>
  </si>
  <si>
    <t>21144-4406</t>
  </si>
  <si>
    <t>33909-1919</t>
  </si>
  <si>
    <t>Michael &amp; Melanie Matuschke</t>
  </si>
  <si>
    <t>Joana</t>
  </si>
  <si>
    <t>Cape Coral Unit 88 Blk 5802 Pb 24 Pg 136 Lots 11 + 12</t>
  </si>
  <si>
    <t xml:space="preserve">6501 Cedarwood Ave </t>
  </si>
  <si>
    <t xml:space="preserve">10121 Sunnywood Ct </t>
  </si>
  <si>
    <t xml:space="preserve">5610 Mulligan Way  Bradenton, FL 34211-2261 </t>
  </si>
  <si>
    <t xml:space="preserve">3578 NE 9th Pl  Cape Coral, FL 33909 </t>
  </si>
  <si>
    <t xml:space="preserve">3711 Wilmar Dr  Cincinnati, OH 45211-4622 </t>
  </si>
  <si>
    <t>Weishaar</t>
  </si>
  <si>
    <t>Ha</t>
  </si>
  <si>
    <t>60014-3944</t>
  </si>
  <si>
    <t>33909-6424</t>
  </si>
  <si>
    <t>Jose Jaraba &amp; Angela Felix</t>
  </si>
  <si>
    <t>12-44-23-c3-03597.0070</t>
  </si>
  <si>
    <t>Andre Tomas</t>
  </si>
  <si>
    <t>Cape Coral Unit 87 Blk 5683 Pb 24 Pg 82 Lots 29 + 30</t>
  </si>
  <si>
    <t>01-44-23-c1-02448.0170</t>
  </si>
  <si>
    <t>Modena</t>
  </si>
  <si>
    <t xml:space="preserve">642 NE 7th Ave  Cape Coral, FL 33909 </t>
  </si>
  <si>
    <t>03-44-26-01-00001.0060</t>
  </si>
  <si>
    <t>Cape Coral Unit 33 Blk 2188 Pb 16 Pg 52 Lots 38 + 39</t>
  </si>
  <si>
    <t xml:space="preserve">2303 NE 16th Ter  Cape Coral, FL 33909 </t>
  </si>
  <si>
    <t xml:space="preserve">1800 NE 1st Pl </t>
  </si>
  <si>
    <t>03-44-26-05-00025.0040</t>
  </si>
  <si>
    <t xml:space="preserve">1815 NE 13th Ter  Cape Coral, FL 33909 </t>
  </si>
  <si>
    <t>Anthon</t>
  </si>
  <si>
    <t>11209-1925</t>
  </si>
  <si>
    <t>Enza Friedman</t>
  </si>
  <si>
    <t>Marquez</t>
  </si>
  <si>
    <t>33909-6135</t>
  </si>
  <si>
    <t>Mansson</t>
  </si>
  <si>
    <t>Cape Coral Unit 87 Blk 5713 Pb 24 Pg 76 Lots 33 + 34</t>
  </si>
  <si>
    <t xml:space="preserve">4547 SE 11th Pl </t>
  </si>
  <si>
    <t>Maudet</t>
  </si>
  <si>
    <t>Cape Coral Unit 34 Blk 2464 Pb 16 Pg 85 Lots 38 + 39</t>
  </si>
  <si>
    <t>Cypress Trail Rv Resort As Desc In Inst# 2013000212499 Lot 177</t>
  </si>
  <si>
    <t xml:space="preserve">658 NE 5th Pl </t>
  </si>
  <si>
    <t>33909-3369</t>
  </si>
  <si>
    <t>33909-8816</t>
  </si>
  <si>
    <t>Coral</t>
  </si>
  <si>
    <t xml:space="preserve">1857 NE 23rd St </t>
  </si>
  <si>
    <t>Cape Coral Unit 85 Blk 5634 Pb 24 Pg 50 Lot 17</t>
  </si>
  <si>
    <t>Rd</t>
  </si>
  <si>
    <t xml:space="preserve">6040 Laurelwood Dr  Fort Myers, FL 33905 </t>
  </si>
  <si>
    <t xml:space="preserve">2110 NE 7th Ave </t>
  </si>
  <si>
    <t>43551-9781</t>
  </si>
  <si>
    <t xml:space="preserve">13364 Marquette Blvd  Fort Myers, FL 33905 </t>
  </si>
  <si>
    <t xml:space="preserve">1806 NE 11th Ln  Cape Coral, FL 33909 </t>
  </si>
  <si>
    <t>Modabber</t>
  </si>
  <si>
    <t>Curtis</t>
  </si>
  <si>
    <t xml:space="preserve">95 Beach St  Jersey City, NJ 07307-4226 </t>
  </si>
  <si>
    <t xml:space="preserve">1717 NE 20th Ter </t>
  </si>
  <si>
    <t xml:space="preserve">1225 NE 41st Ter  Cape Coral, FL 33909 </t>
  </si>
  <si>
    <t>La Fonda</t>
  </si>
  <si>
    <t xml:space="preserve">456 Boettger Pl  Waterloo, ON N2k 3N5 </t>
  </si>
  <si>
    <t xml:space="preserve">318 NE 18th Ave </t>
  </si>
  <si>
    <t xml:space="preserve">306 Linn Ridge Rd  Mount Vernon, IA 52314-9770 </t>
  </si>
  <si>
    <t xml:space="preserve">7860 Camino Real 106l </t>
  </si>
  <si>
    <t xml:space="preserve">14 Lockhart Ln  Saint Augustine, FL 32080-5958 </t>
  </si>
  <si>
    <t>Jardin</t>
  </si>
  <si>
    <t xml:space="preserve">10103 Windy Knoll Ct  Clarkston, MI 48348-2182 </t>
  </si>
  <si>
    <t>American &amp; Teresa Davis Ira For</t>
  </si>
  <si>
    <t>Tina</t>
  </si>
  <si>
    <t>11-44-25-06-0000d.1270</t>
  </si>
  <si>
    <t xml:space="preserve">PO Box 218  Hope, RI 02831 </t>
  </si>
  <si>
    <t>11-44-25-11-00000.2220</t>
  </si>
  <si>
    <t>Islam</t>
  </si>
  <si>
    <t>Cape Coral Unit 33 Blk.2229 Pb 16 Pg 47 Lots 57 + 58</t>
  </si>
  <si>
    <t xml:space="preserve">9310 Savannah Estates Dr </t>
  </si>
  <si>
    <t>33308-3126</t>
  </si>
  <si>
    <t xml:space="preserve">2504 NW 93rd Ter </t>
  </si>
  <si>
    <t>Fischer Craig A Tr</t>
  </si>
  <si>
    <t>Homewood</t>
  </si>
  <si>
    <t>03-46-24-02-00000.0520</t>
  </si>
  <si>
    <t>Cape Coral Unit 34 Blk 2437 Pb 16 Pg 82 Lots 66 + 67</t>
  </si>
  <si>
    <t>19-43-24-c2-05595.0280</t>
  </si>
  <si>
    <t xml:space="preserve">106 Darley Ln  Wilmington, NC 28409-4502 </t>
  </si>
  <si>
    <t xml:space="preserve">5935 NW 200th St  Hialeah, FL 33015-4885 </t>
  </si>
  <si>
    <t>Javier Grass</t>
  </si>
  <si>
    <t>Ragusa</t>
  </si>
  <si>
    <t>32-43-24-c2-02234.0580</t>
  </si>
  <si>
    <t>Cape Coral Unit 87 Blk 5694 Pb 24 Pg 81 Lots 35 + 36</t>
  </si>
  <si>
    <t>Thornapple River</t>
  </si>
  <si>
    <t xml:space="preserve">335 Beach 39th St </t>
  </si>
  <si>
    <t>Bachiu</t>
  </si>
  <si>
    <t>33905-7707</t>
  </si>
  <si>
    <t>Cape Coral Unit 32 Blk 2149 Pb 16 Pg 11 Lots 14 + 15</t>
  </si>
  <si>
    <t>LU</t>
  </si>
  <si>
    <t>Lehigh Acres Unit 14 Blk 82 Pb 26 Pg 20 Lot 1</t>
  </si>
  <si>
    <t xml:space="preserve">5241 NW 174th Dr  Miami Gardens, FL 33055-3531 </t>
  </si>
  <si>
    <t>Cape Coral Unit 84 Blk 5603 Pb 24 Pg 42 Lots 3 + 4</t>
  </si>
  <si>
    <t xml:space="preserve">1705 NE 26th Ter </t>
  </si>
  <si>
    <t xml:space="preserve">3204 NE 13th Pl </t>
  </si>
  <si>
    <t xml:space="preserve">4121 NE 19th Pl  Cape Coral, FL 33909 </t>
  </si>
  <si>
    <t>Lorraine &amp; James Poznanski</t>
  </si>
  <si>
    <t>18-43-24-c4-05708.0450</t>
  </si>
  <si>
    <t xml:space="preserve">4952 Seville Ct </t>
  </si>
  <si>
    <t xml:space="preserve">8621 Drumwood Rd </t>
  </si>
  <si>
    <t xml:space="preserve">914 SE 25th Ln </t>
  </si>
  <si>
    <t>Somphone Kenkeo</t>
  </si>
  <si>
    <t xml:space="preserve">5004 White Sky Cir  Fort Myers, FL 33908 </t>
  </si>
  <si>
    <t xml:space="preserve">Rue Du Plit #21 </t>
  </si>
  <si>
    <t>33909-7304</t>
  </si>
  <si>
    <t xml:space="preserve">113 Prospect Hill Rd  Colchester, CT 06415-1622 </t>
  </si>
  <si>
    <t>Cape Coral Unit 34 Blk 2425 Pb 16 Pg 79 Lots 26 + 27</t>
  </si>
  <si>
    <t>25-43-23-c1-02300.a900</t>
  </si>
  <si>
    <t>Cape Coral Unit 88 Blk 5804 Pb 24 Pg 138 Lots 39 + 40</t>
  </si>
  <si>
    <t>Melvin &amp; Lorie Schrock</t>
  </si>
  <si>
    <t>33016-4633</t>
  </si>
  <si>
    <t>11-44-25-04-0000b.0720</t>
  </si>
  <si>
    <t>33909-4538</t>
  </si>
  <si>
    <t>07302-4545</t>
  </si>
  <si>
    <t xml:space="preserve">16817 Pink Coral Path </t>
  </si>
  <si>
    <t xml:space="preserve">1616 W Passyunk Ave  Philadelphia, PA 19145-3823 </t>
  </si>
  <si>
    <t>06-46-24-15-00000.4910</t>
  </si>
  <si>
    <t xml:space="preserve">2920 NE 6th Pl  Cape Coral, FL 33909 </t>
  </si>
  <si>
    <t xml:space="preserve">909 NE 4th Pl </t>
  </si>
  <si>
    <t>Susan Haydysch &amp; Dale Tollefson</t>
  </si>
  <si>
    <t>Russell Park Blk 2 Pb 8 Pg 36 Desc Or 3415 Pg 906 Aka Lot E Less Instrument 2021000129241</t>
  </si>
  <si>
    <t xml:space="preserve">4013 NE 23rd Pl </t>
  </si>
  <si>
    <t>DELINQUENT TAX VALUE</t>
  </si>
  <si>
    <t xml:space="preserve">3925 NE 19th Ave </t>
  </si>
  <si>
    <t>R043</t>
  </si>
  <si>
    <t>Albert &amp; Cheryl Bell</t>
  </si>
  <si>
    <t>Long Huynh</t>
  </si>
  <si>
    <t xml:space="preserve">11075 Trail Haven Rd </t>
  </si>
  <si>
    <t>33909-4249</t>
  </si>
  <si>
    <t>19-43-24-c3-05623.0410</t>
  </si>
  <si>
    <t>Cape Coral Unit 88 Blk 5762 Pb 24 Pg 134 Lots 17 + 18</t>
  </si>
  <si>
    <t xml:space="preserve">109 NE 12th Ln </t>
  </si>
  <si>
    <t>For Setnan 2003 Trust</t>
  </si>
  <si>
    <t>36-43-23-c3-02509.0440</t>
  </si>
  <si>
    <t>Wood James R Tr</t>
  </si>
  <si>
    <t xml:space="preserve">8603 106th St  Richmond Hill, NY 11418-1603 </t>
  </si>
  <si>
    <t xml:space="preserve">125 Mohican Ln  Loda, IL 60948-9669 </t>
  </si>
  <si>
    <t xml:space="preserve">6125 Laurelwood Dr </t>
  </si>
  <si>
    <t xml:space="preserve">1144 NE 44th Ln  Cape Coral, FL 33909 </t>
  </si>
  <si>
    <t xml:space="preserve">2530 Bellaire St  Denver, CO 80207-3121 </t>
  </si>
  <si>
    <t xml:space="preserve">4651 Little River Ln  Fort Myers, FL 33905 </t>
  </si>
  <si>
    <t xml:space="preserve">79 Dublin Rd  Southbury, CT 06488-3802 </t>
  </si>
  <si>
    <t xml:space="preserve">3638 NE 10th Ave </t>
  </si>
  <si>
    <t>Candace Gustafson</t>
  </si>
  <si>
    <t>10704-2542</t>
  </si>
  <si>
    <t>Prairie Dawn</t>
  </si>
  <si>
    <t xml:space="preserve">1416 Lemonville Rd  Burlington, ON L7p 0T6 </t>
  </si>
  <si>
    <t>Commerce Township</t>
  </si>
  <si>
    <t>Evelie &amp; Marta Diaz</t>
  </si>
  <si>
    <t>Centergate</t>
  </si>
  <si>
    <t>Naperville</t>
  </si>
  <si>
    <t>Cape Coral Unit 25 Blk.903 Pb 14 Pg 94 Lots 12 + 13</t>
  </si>
  <si>
    <t xml:space="preserve">2720 NE 5th Ave </t>
  </si>
  <si>
    <t>Cape Coral Unit 36 Blk 2352 Pb 16 Pg 124 Lots 9 + 10</t>
  </si>
  <si>
    <t>03-44-26-14-00082.0070</t>
  </si>
  <si>
    <t>Murph</t>
  </si>
  <si>
    <t>Alice Lahair &amp; For Land</t>
  </si>
  <si>
    <t>12211-1455</t>
  </si>
  <si>
    <t>Cypress Woods Rv Resort Ut 1 Pb 65 Pg 85 + 86 Blk A Lot 5</t>
  </si>
  <si>
    <t xml:space="preserve">1896 Eastwick Ln  Aurora, IL 60503-8533 </t>
  </si>
  <si>
    <t xml:space="preserve">437 West Ct NW  Vienna, VA 22180-4183 </t>
  </si>
  <si>
    <t>Cape Coral Unit 88 Blk 5780 Pb 24 Pg 135 Lots 29 + 30</t>
  </si>
  <si>
    <t>John Holshouser</t>
  </si>
  <si>
    <t xml:space="preserve">290 NW 123rd Ave  Miami, FL 33182-1259 </t>
  </si>
  <si>
    <t xml:space="preserve">822 NE 41st Ln </t>
  </si>
  <si>
    <t>25-43-23-c1-02348.0390</t>
  </si>
  <si>
    <t>04-44-25-07-0000d.0050</t>
  </si>
  <si>
    <t>33909-1968</t>
  </si>
  <si>
    <t>Cape Coral Unit 85 Blk 5642 Pb 24 Pg 54 Lots 31 + 32</t>
  </si>
  <si>
    <t xml:space="preserve">10307 S Aspen Dr  Palos Hills, IL 60465-1709 </t>
  </si>
  <si>
    <t>64139-1264</t>
  </si>
  <si>
    <t xml:space="preserve">156 Pebble Shores Dr #201, Naples, FL 34110-9256 </t>
  </si>
  <si>
    <t xml:space="preserve">3719 Trent St  Fort Myers, FL 33905 </t>
  </si>
  <si>
    <t>Camino</t>
  </si>
  <si>
    <t xml:space="preserve">3715 Trent St  Fort Myers, FL 33905 </t>
  </si>
  <si>
    <t xml:space="preserve">1139 NE 5th Ave  Cape Coral, FL 33909 </t>
  </si>
  <si>
    <t>03-44-26-14-00081.0020</t>
  </si>
  <si>
    <t>James Fraley</t>
  </si>
  <si>
    <t>Pocatello</t>
  </si>
  <si>
    <t>33909-6473</t>
  </si>
  <si>
    <t xml:space="preserve">309 Whittemore Dr  South Beloit, IL 61080-2462 </t>
  </si>
  <si>
    <t>60169-3052</t>
  </si>
  <si>
    <t>Yanelis</t>
  </si>
  <si>
    <t>Arpad Kupai</t>
  </si>
  <si>
    <t xml:space="preserve">Po Box 680150 </t>
  </si>
  <si>
    <t>03-44-26-13-00070.0020</t>
  </si>
  <si>
    <t xml:space="preserve">10445 NW 130th St </t>
  </si>
  <si>
    <t>Harry &amp; Sylvia Defendini</t>
  </si>
  <si>
    <t xml:space="preserve">27 High St #2, Newport, RI 02840-3590 </t>
  </si>
  <si>
    <t>Cooley</t>
  </si>
  <si>
    <t>33071-7933</t>
  </si>
  <si>
    <t>36-43-23-c2-02537.0280</t>
  </si>
  <si>
    <t>David &amp; Elizabeth Matthews</t>
  </si>
  <si>
    <t xml:space="preserve">8300 Arlington Blvd B2 </t>
  </si>
  <si>
    <t>Sobalvarro</t>
  </si>
  <si>
    <t>18-43-24-c2-05724.0240</t>
  </si>
  <si>
    <t xml:space="preserve">200 High St </t>
  </si>
  <si>
    <t xml:space="preserve">4116 NE 23rd Pl  Cape Coral, FL 33909 </t>
  </si>
  <si>
    <t>Rzhepkin</t>
  </si>
  <si>
    <t xml:space="preserve">Po Box 229 </t>
  </si>
  <si>
    <t xml:space="preserve">204 NE 25th Ter </t>
  </si>
  <si>
    <t xml:space="preserve">2126 NE 2nd St  Cape Coral, FL 33909 </t>
  </si>
  <si>
    <t>Cape Coral Unit 6 Pt.3 Blk 53 Pb 11 Pg 70 Lots 18 + 19</t>
  </si>
  <si>
    <t xml:space="preserve">3rd works Forbur </t>
  </si>
  <si>
    <t>Blue Heron</t>
  </si>
  <si>
    <t xml:space="preserve">208 NE 9th St </t>
  </si>
  <si>
    <t>Tucker</t>
  </si>
  <si>
    <t>Carine</t>
  </si>
  <si>
    <t>44070-2613</t>
  </si>
  <si>
    <t xml:space="preserve">31 Ronald Dr </t>
  </si>
  <si>
    <t xml:space="preserve">3239 NE 9th Ave  Cape Coral, FL 33909 </t>
  </si>
  <si>
    <t xml:space="preserve">1 Benjamin Griggs Dr  Franklin Park, NJ 08823-1821 </t>
  </si>
  <si>
    <t xml:space="preserve">4172 NE 8th Pl </t>
  </si>
  <si>
    <t>Cape Coral Unit 36 Blk 2346 Pb 16 Pg 127 Lots 31 + 32</t>
  </si>
  <si>
    <t xml:space="preserve">20410 Chingville Rd  Leonardtown, MD 20650-4566 </t>
  </si>
  <si>
    <t xml:space="preserve">1416 Venetian Ct </t>
  </si>
  <si>
    <t>Anne &amp; Jerome Hewitt</t>
  </si>
  <si>
    <t xml:space="preserve">1522 SE 41st Ter  Cape Coral, FL 33904 </t>
  </si>
  <si>
    <t>Nguyen</t>
  </si>
  <si>
    <t xml:space="preserve">6550 NW Oaklawn Way  Port Saint Lucie, FL 34983-6402 </t>
  </si>
  <si>
    <t>Tauren</t>
  </si>
  <si>
    <t>46036-8748</t>
  </si>
  <si>
    <t xml:space="preserve">10341 Fire Flag Trl </t>
  </si>
  <si>
    <t xml:space="preserve">13124 SW 106th Ave  Miami, FL 33176-5530 </t>
  </si>
  <si>
    <t xml:space="preserve">1008 NE 36th Ter </t>
  </si>
  <si>
    <t>V A &amp; Marcellinogiuliana Marcellino</t>
  </si>
  <si>
    <t>Monclerc</t>
  </si>
  <si>
    <t>33909-5250</t>
  </si>
  <si>
    <t xml:space="preserve">5767 NW 115th Ct #103 </t>
  </si>
  <si>
    <t xml:space="preserve">216 Barnstable Dr </t>
  </si>
  <si>
    <t xml:space="preserve">11380 Biscayne Blvd #146, Miami, FL 33181-3433 </t>
  </si>
  <si>
    <t xml:space="preserve">218 Jacaranda Pkwy E  Cape Coral, FL 33909 </t>
  </si>
  <si>
    <t>Julian Martinez</t>
  </si>
  <si>
    <t xml:space="preserve">10209 Yellowtop Trl </t>
  </si>
  <si>
    <t xml:space="preserve">5210 Pineland Daisy Trl </t>
  </si>
  <si>
    <t>Cape Coral Unit 1 Part 2 Blk.11 Pb 11 Pg 34 Lots 48 + 49</t>
  </si>
  <si>
    <t>Brzeczek</t>
  </si>
  <si>
    <t>Mohan</t>
  </si>
  <si>
    <t>44401-9711</t>
  </si>
  <si>
    <t>30152-2683</t>
  </si>
  <si>
    <t xml:space="preserve">17930 SW 176th St  Miami, FL 33187-1693 </t>
  </si>
  <si>
    <t xml:space="preserve">2501 SE 20th Ave  Cape Coral, FL 33904 </t>
  </si>
  <si>
    <t>33904-4052</t>
  </si>
  <si>
    <t xml:space="preserve">3529 NE 20th Pl  Cape Coral, FL 33909 </t>
  </si>
  <si>
    <t>Ohara</t>
  </si>
  <si>
    <t xml:space="preserve">2848 Leaf Shade Dr  Ellicott City, MD 21042-2559 </t>
  </si>
  <si>
    <t>33905-7756</t>
  </si>
  <si>
    <t xml:space="preserve">10170 Sunnywood Ct  Fort Myers, FL 33905 </t>
  </si>
  <si>
    <t>Anke Walter</t>
  </si>
  <si>
    <t xml:space="preserve">13 Calle 142 #911, Bogota, CO </t>
  </si>
  <si>
    <t>Yuste</t>
  </si>
  <si>
    <t>01-44-23-c3-02427.0150</t>
  </si>
  <si>
    <t xml:space="preserve">1413 NE 23rd Ter  Cape Coral, FL 33909 </t>
  </si>
  <si>
    <t>Cypress Woods Rv Resort Un 3 Desc In Pb 72 Pgs 92-95 Blk C Lot 120</t>
  </si>
  <si>
    <t>Cape Coral Unit 84 Blk 5567 Pb 24 Pg 40 Lots 20 + 21</t>
  </si>
  <si>
    <t>Cape Coral Unit 33 Blk 2264 Pb 16 Pg 59 Lots 41 + 42</t>
  </si>
  <si>
    <t>North Babylon</t>
  </si>
  <si>
    <t xml:space="preserve">2743 NE 6th Ave </t>
  </si>
  <si>
    <t>Cape Coral Unit 36 Pt 1 Blk 2477 Pb 23 Pg 90 Lots 33 + 34</t>
  </si>
  <si>
    <t xml:space="preserve">3540 NE 13th Ave </t>
  </si>
  <si>
    <t>Maple Glen</t>
  </si>
  <si>
    <t xml:space="preserve">17208 Continental Dr </t>
  </si>
  <si>
    <t>33909-1429</t>
  </si>
  <si>
    <t>33905-2402</t>
  </si>
  <si>
    <t>Cape Coral Unit 85 Blk 5662 Pb 24 Pg 58 Lots 17 + 18</t>
  </si>
  <si>
    <t xml:space="preserve">3826 Hyde Park Dr </t>
  </si>
  <si>
    <t>94025-2507</t>
  </si>
  <si>
    <t>R381</t>
  </si>
  <si>
    <t xml:space="preserve">10338 Prairie Iris Dr  Fort Myers, FL 33905 </t>
  </si>
  <si>
    <t>Cape Coral Unit 33 Blk 2223 Pb 16 Pg 44 Lots 32 + 33</t>
  </si>
  <si>
    <t>PO Box 220399</t>
  </si>
  <si>
    <t>PO Box 327</t>
  </si>
  <si>
    <t xml:space="preserve">30 Downs Rd  Hempstead, NY 11550-7510 </t>
  </si>
  <si>
    <t>Cape Coral Unit 33 Blk 2233 Pb 16 Pg 53 Lots 11 + 12</t>
  </si>
  <si>
    <t>33909-4587</t>
  </si>
  <si>
    <t>AB</t>
  </si>
  <si>
    <t>C075</t>
  </si>
  <si>
    <t>Urb Villa Blanca</t>
  </si>
  <si>
    <t xml:space="preserve">10079 Rambelwood Ct </t>
  </si>
  <si>
    <t>33155-5938</t>
  </si>
  <si>
    <t xml:space="preserve">234 Pheasant Ln  West Bend, WI 53090-7501 </t>
  </si>
  <si>
    <t>33025-7679</t>
  </si>
  <si>
    <t>36-43-23-c1-02290.0560</t>
  </si>
  <si>
    <t>Brouty</t>
  </si>
  <si>
    <t>R092</t>
  </si>
  <si>
    <t>11-44-25-10-00000.4760</t>
  </si>
  <si>
    <t xml:space="preserve">2632railsi S W </t>
  </si>
  <si>
    <t xml:space="preserve">6141 Higgins Ave </t>
  </si>
  <si>
    <t>Pita</t>
  </si>
  <si>
    <t>Valle</t>
  </si>
  <si>
    <t>Mingjie</t>
  </si>
  <si>
    <t>09-44-25-07-00007.002a</t>
  </si>
  <si>
    <t xml:space="preserve">13440 Orange Grove Blvd </t>
  </si>
  <si>
    <t>Cape Coral Unit 17 Blk.1488 Pb 14 Pg 24 Lots 25 + 26</t>
  </si>
  <si>
    <t>Cape Coral Unit 2 Part 3 Blk.222 Pb 11 Pg 39 Lots 24 + 25</t>
  </si>
  <si>
    <t>Dale &amp; Lorraine Constine</t>
  </si>
  <si>
    <t>Frank Geppert</t>
  </si>
  <si>
    <t>Juan Yalico &amp; Zhenia Arriola</t>
  </si>
  <si>
    <t xml:space="preserve">1468 New Bedford Sharon Rd  West Middlesex, PA 16159-4730 </t>
  </si>
  <si>
    <t xml:space="preserve">75 Northridge Ave  Merrick, NY 11566-1929 </t>
  </si>
  <si>
    <t>17-43-24-c1-05824.0020</t>
  </si>
  <si>
    <t>Osmar Gonzalez</t>
  </si>
  <si>
    <t xml:space="preserve">226 Clark St </t>
  </si>
  <si>
    <t>For Samantha J Gignac Trust</t>
  </si>
  <si>
    <t>Leggeri</t>
  </si>
  <si>
    <t>Alafaya</t>
  </si>
  <si>
    <t>Kevin Warkentien</t>
  </si>
  <si>
    <t>Jeffrey</t>
  </si>
  <si>
    <t xml:space="preserve">1715 SE 43rd St </t>
  </si>
  <si>
    <t xml:space="preserve">10231 Butterweed Trl </t>
  </si>
  <si>
    <t>William &amp; Catherine Watson</t>
  </si>
  <si>
    <t>Balmville</t>
  </si>
  <si>
    <t>Diaconescu</t>
  </si>
  <si>
    <t xml:space="preserve">2001 NE 7th Pl  Cape Coral, FL 33909 </t>
  </si>
  <si>
    <t xml:space="preserve">2213 NE 9th Pl  Cape Coral, FL 33909 </t>
  </si>
  <si>
    <t xml:space="preserve">Po Box 759 </t>
  </si>
  <si>
    <t>36-43-23-c4-02545.0330</t>
  </si>
  <si>
    <t>Christopher Conrad &amp; Kathleen Fee</t>
  </si>
  <si>
    <t>89052-3801</t>
  </si>
  <si>
    <t>Yafit-Gore</t>
  </si>
  <si>
    <t xml:space="preserve">26 Rue Des Vignes </t>
  </si>
  <si>
    <t>Ridgway</t>
  </si>
  <si>
    <t xml:space="preserve">3081 Butler Rd  Wakeman, OH 44889-8937 </t>
  </si>
  <si>
    <t>Caines</t>
  </si>
  <si>
    <t>Charlyn</t>
  </si>
  <si>
    <t>Cape Coral Unit 34 Blk 2468 Pb 16 Pg 75 Lots 18 &amp; 19</t>
  </si>
  <si>
    <t>Cape Coral Unit 34 Blk 2464 Pb 16 Pg 84 Lots 10 + 11</t>
  </si>
  <si>
    <t>Mississippi</t>
  </si>
  <si>
    <t>Innisbrooke</t>
  </si>
  <si>
    <t>11-44-25-09-00000.2470</t>
  </si>
  <si>
    <t xml:space="preserve">321 NE 8th Ter </t>
  </si>
  <si>
    <t>33909-3364</t>
  </si>
  <si>
    <t>Carralero</t>
  </si>
  <si>
    <t>Ayestas</t>
  </si>
  <si>
    <t>36-43-23-c3-02508.0150</t>
  </si>
  <si>
    <t xml:space="preserve">6401 Maytree Cir  Fort Myers, FL 33905 </t>
  </si>
  <si>
    <t>19-43-24-c1-05577.0390</t>
  </si>
  <si>
    <t>Brett Durfee</t>
  </si>
  <si>
    <t>5a</t>
  </si>
  <si>
    <t>33024-5433</t>
  </si>
  <si>
    <t>Vernal Russell &amp; Elsa Case-Russell</t>
  </si>
  <si>
    <t>05-44-24-c1-03533.0550</t>
  </si>
  <si>
    <t xml:space="preserve">2107 NE 27th Ter </t>
  </si>
  <si>
    <t>Karczewski</t>
  </si>
  <si>
    <t xml:space="preserve">3037 N Oakland Forest Dr #204 </t>
  </si>
  <si>
    <t xml:space="preserve">416 Avenue Y </t>
  </si>
  <si>
    <t>Ft Myers Beach Kampground S/D Unit 1 Pb 35 Pg 47 Blk Y Lot 25</t>
  </si>
  <si>
    <t xml:space="preserve">811 W 57th Ter </t>
  </si>
  <si>
    <t>Paul &amp; Karen Weiler</t>
  </si>
  <si>
    <t>E6</t>
  </si>
  <si>
    <t>18-43-24-c3-05747.0410</t>
  </si>
  <si>
    <t>Cape Coral Unit 31 Blk 2070 Pb 14 Pg 163 Lots 48 Thru 50</t>
  </si>
  <si>
    <t xml:space="preserve">6911 37th Ave S </t>
  </si>
  <si>
    <t xml:space="preserve">3733 NE 15th Ave  Cape Coral, FL 33909 </t>
  </si>
  <si>
    <t xml:space="preserve">375 Prospect Ave  Fort Myers, FL 33905 </t>
  </si>
  <si>
    <t xml:space="preserve">151 Robin Dr  Barto, PA 19504-9371 </t>
  </si>
  <si>
    <t xml:space="preserve">PO Box 380198  Brooklyn, NY 11238 </t>
  </si>
  <si>
    <t>BM</t>
  </si>
  <si>
    <t>Sawali</t>
  </si>
  <si>
    <t>Cape Coral Unit 17 Blk 1495 Pb 14 Pg 29 Lots 1 + 2</t>
  </si>
  <si>
    <t xml:space="preserve">2027 NE 15th Ln  Cape Coral, FL 33909 </t>
  </si>
  <si>
    <t xml:space="preserve">449 Stipe St  North Fort Myers, FL 33903 </t>
  </si>
  <si>
    <t xml:space="preserve">46 Jacaranda Pkwy E  Cape Coral, FL 33909 </t>
  </si>
  <si>
    <t xml:space="preserve">2201 NE 23rd Ter  Cape Coral, FL 33909 </t>
  </si>
  <si>
    <t>11-44-25-l1-13000.1030</t>
  </si>
  <si>
    <t>Cranfords Subd. Blk.6 Pb 1 Pg 30 Lots 12 + 14</t>
  </si>
  <si>
    <t xml:space="preserve">614 NE 16th Ter  Cape Coral, FL 33909 </t>
  </si>
  <si>
    <t xml:space="preserve">1909 NE 19th Ter </t>
  </si>
  <si>
    <t>Lataille</t>
  </si>
  <si>
    <t>36-43-23-c4-02546.0130</t>
  </si>
  <si>
    <t xml:space="preserve">2830 NE 6th Ave </t>
  </si>
  <si>
    <t>Blanchard</t>
  </si>
  <si>
    <t xml:space="preserve">14551 Jonathan Harbour Dr </t>
  </si>
  <si>
    <t xml:space="preserve">330 NE 10th Ter  Cape Coral, FL 33909 </t>
  </si>
  <si>
    <t>Cape Coral Unit 36 Pt 1 Blk 02483 Pb 23 Pg 89 Lots 7 + 8</t>
  </si>
  <si>
    <t xml:space="preserve">2216 NE 19th Pl  Cape Coral, FL 33909 </t>
  </si>
  <si>
    <t>43015-7989</t>
  </si>
  <si>
    <t>Cape Coral Unit 84 Blk 5619 Pb 24 Pg 34 Lots 1 + 2</t>
  </si>
  <si>
    <t>James &amp; Yvonne Mccormick</t>
  </si>
  <si>
    <t>48193-7661</t>
  </si>
  <si>
    <t>Rhea</t>
  </si>
  <si>
    <t xml:space="preserve">13 Perkal St </t>
  </si>
  <si>
    <t xml:space="preserve">901 NE 16th Ter  Cape Coral, FL 33909 </t>
  </si>
  <si>
    <t xml:space="preserve">3740 Kilarney St </t>
  </si>
  <si>
    <t>05-44-24-c1-03520.0090</t>
  </si>
  <si>
    <t xml:space="preserve">14081 Chancellor St  Fort Myers, FL 33905 </t>
  </si>
  <si>
    <t>Yield &amp; Reynol Karr</t>
  </si>
  <si>
    <t xml:space="preserve">2922 Banyan Boulevard Cir NW  Boca Raton, FL 33431-6335 </t>
  </si>
  <si>
    <t>Cape Coral Unit 84 Blk 5619 Pb 24 Pg 33 Lots 27 + 28</t>
  </si>
  <si>
    <t>Cape Coral Unit 36 Blk 2521 Pb 16 Pg 116 Lots 40 + 41</t>
  </si>
  <si>
    <t>07-46-25-04-000r0.0620</t>
  </si>
  <si>
    <t>33909-4822</t>
  </si>
  <si>
    <t>11-44-25-07-00000.1770</t>
  </si>
  <si>
    <t xml:space="preserve">4230 Connection Ave </t>
  </si>
  <si>
    <t>12-44-23-c2-02384.0440</t>
  </si>
  <si>
    <t>56528-9004</t>
  </si>
  <si>
    <t xml:space="preserve">34 Cocheset Path </t>
  </si>
  <si>
    <t xml:space="preserve">7250 N Oakmont Dr </t>
  </si>
  <si>
    <t>Windham</t>
  </si>
  <si>
    <t>H086</t>
  </si>
  <si>
    <t xml:space="preserve">13132 SW 57th Ter  Miami, FL 33183-1223 </t>
  </si>
  <si>
    <t>Severo</t>
  </si>
  <si>
    <t>Stanley Porco</t>
  </si>
  <si>
    <t>Croll</t>
  </si>
  <si>
    <t>C021</t>
  </si>
  <si>
    <t>19901-3925</t>
  </si>
  <si>
    <t>14830-2181</t>
  </si>
  <si>
    <t>Wade Landry</t>
  </si>
  <si>
    <t>17-45-24-c1-00077.0260</t>
  </si>
  <si>
    <t xml:space="preserve">2929 SE 22nd Ave </t>
  </si>
  <si>
    <t xml:space="preserve">6630 Evans St  Hollywood, FL 33024-1910 </t>
  </si>
  <si>
    <t>Juanata</t>
  </si>
  <si>
    <t>Cape Coral Unit 34 Blk 2464 Pb 16 Pg 85 Lots 36 + 37</t>
  </si>
  <si>
    <t>Kramer</t>
  </si>
  <si>
    <t xml:space="preserve">617 SE 25th Ter  Cape Coral, FL 33904 </t>
  </si>
  <si>
    <t xml:space="preserve">4311 NE 11th Ave  Cape Coral, FL 33909 </t>
  </si>
  <si>
    <t xml:space="preserve">5543/5545 Ninth Ave </t>
  </si>
  <si>
    <t xml:space="preserve">1531 NW 180th Way  Pembroke Pines, FL 33029-3040 </t>
  </si>
  <si>
    <t>Newport News</t>
  </si>
  <si>
    <t xml:space="preserve">2531 NE 5th Pl  Cape Coral, FL 33909 </t>
  </si>
  <si>
    <t>Merriatte</t>
  </si>
  <si>
    <t>33909-6272</t>
  </si>
  <si>
    <t>Scandia</t>
  </si>
  <si>
    <t>Claribel</t>
  </si>
  <si>
    <t>33180-1044</t>
  </si>
  <si>
    <t>Cape Coral Unit 47 Pt 2 Blk 3541 Pb 23 Pg 117 Lots 32 + 33</t>
  </si>
  <si>
    <t xml:space="preserve">121 NE 55th St #7, Miami, FL 33137-2465 </t>
  </si>
  <si>
    <t xml:space="preserve">6423 Collins Ave #805, Miami Beach, FL 33141-4641 </t>
  </si>
  <si>
    <t>Cuevas</t>
  </si>
  <si>
    <t>Croser</t>
  </si>
  <si>
    <t>Tomas</t>
  </si>
  <si>
    <t>Sakellis</t>
  </si>
  <si>
    <t>Scarborough</t>
  </si>
  <si>
    <t>18102-1223</t>
  </si>
  <si>
    <t xml:space="preserve">10335 Fire Flag Trl  Fort Myers, FL 33905 </t>
  </si>
  <si>
    <t xml:space="preserve">2928 Alder Dr  Camino, CA 95709-9629 </t>
  </si>
  <si>
    <t>19-43-24-c3-05619.0170</t>
  </si>
  <si>
    <t>07306-5110</t>
  </si>
  <si>
    <t xml:space="preserve">6150 Hepner Ave </t>
  </si>
  <si>
    <t xml:space="preserve">3725 Andalusia Blvd  Cape Coral, FL 33909 </t>
  </si>
  <si>
    <t>11-44-25-06-0000d.0930</t>
  </si>
  <si>
    <t xml:space="preserve">1830 NE 11th Ln  Cape Coral, FL 33909 </t>
  </si>
  <si>
    <t xml:space="preserve">1019 NE 37th Ter </t>
  </si>
  <si>
    <t>46143-7848</t>
  </si>
  <si>
    <t>Rue Port De Careme</t>
  </si>
  <si>
    <t>South Strafford</t>
  </si>
  <si>
    <t>20-46-25-00-00012.013d</t>
  </si>
  <si>
    <t>33909-3310</t>
  </si>
  <si>
    <t>Paul Ruley</t>
  </si>
  <si>
    <t>Cape Coral Unit 32 Blk 2149 Pb 16 Pg 11 Lots 12 + 13</t>
  </si>
  <si>
    <t xml:space="preserve">332 NE 9th St </t>
  </si>
  <si>
    <t>Jeffrey &amp; Jane King</t>
  </si>
  <si>
    <t xml:space="preserve">6820 W Flagler St #205, Miami, FL 33144-2838 </t>
  </si>
  <si>
    <t xml:space="preserve">8850 SW 25th St  Miami, FL 33165-2019 </t>
  </si>
  <si>
    <t>20-43-24-c1-05641.0220</t>
  </si>
  <si>
    <t xml:space="preserve">1006 NE 6th Pl </t>
  </si>
  <si>
    <t>07675-6164</t>
  </si>
  <si>
    <t>Totowa</t>
  </si>
  <si>
    <t>10579-1338</t>
  </si>
  <si>
    <t>33145-3913</t>
  </si>
  <si>
    <t xml:space="preserve">Jan Van Puyenbroecklaan #57 </t>
  </si>
  <si>
    <t>06-44-24-c2-02064.0040</t>
  </si>
  <si>
    <t xml:space="preserve">924 Kismet Pkwy E  Cape Coral, FL 33909 </t>
  </si>
  <si>
    <t>155th</t>
  </si>
  <si>
    <t xml:space="preserve">3750 Kenyon St  Fort Myers, FL 33905 </t>
  </si>
  <si>
    <t>Jena Pascua</t>
  </si>
  <si>
    <t>17-43-24-c3-05797.0490</t>
  </si>
  <si>
    <t>Conte</t>
  </si>
  <si>
    <t>Roald Almero</t>
  </si>
  <si>
    <t xml:space="preserve">2320 NE 21st Ter </t>
  </si>
  <si>
    <t xml:space="preserve">78 Central Hwy </t>
  </si>
  <si>
    <t>55790-8155</t>
  </si>
  <si>
    <t>Mazza</t>
  </si>
  <si>
    <t>Rutland</t>
  </si>
  <si>
    <t>33909-1228</t>
  </si>
  <si>
    <t xml:space="preserve">1102 Mccormick Dr </t>
  </si>
  <si>
    <t>Cape Coral Unit 87 Blk 5702 Pb 24 Pg 72 Lots 39 + 40</t>
  </si>
  <si>
    <t>06-46-24-18-00t00.0130</t>
  </si>
  <si>
    <t xml:space="preserve">1518 39th St 2r, Brooklyn, NY 11218-4462 </t>
  </si>
  <si>
    <t xml:space="preserve">225 NE 10th Pl  Cape Coral, FL 33909 </t>
  </si>
  <si>
    <t xml:space="preserve">1150 N Loop W 108-64 </t>
  </si>
  <si>
    <t>Mckinnon</t>
  </si>
  <si>
    <t xml:space="preserve">8103 11th Ave </t>
  </si>
  <si>
    <t>Sixes</t>
  </si>
  <si>
    <t xml:space="preserve">3101 NE Juanita Pl  Cape Coral, FL 33909 </t>
  </si>
  <si>
    <t xml:space="preserve">107 State St </t>
  </si>
  <si>
    <t>Doscher</t>
  </si>
  <si>
    <t xml:space="preserve">320 W Graham Ave </t>
  </si>
  <si>
    <t>Anh</t>
  </si>
  <si>
    <t>Unity</t>
  </si>
  <si>
    <t xml:space="preserve">1813 W 51st street Pl </t>
  </si>
  <si>
    <t xml:space="preserve">5401 26th Pl SW  Naples, FL 34116-7507 </t>
  </si>
  <si>
    <t>18-43-24-c1-05701.0610</t>
  </si>
  <si>
    <t>Princess Margaret</t>
  </si>
  <si>
    <t>1027 ne 34th terrace trust</t>
  </si>
  <si>
    <t>33909-8414</t>
  </si>
  <si>
    <t>Makensey Homewood</t>
  </si>
  <si>
    <t xml:space="preserve">12059 Boldrey Dr </t>
  </si>
  <si>
    <t>Peter &amp; Camilla Malloy</t>
  </si>
  <si>
    <t xml:space="preserve">409 Drury Ln  Slidell, LA 70460-8445 </t>
  </si>
  <si>
    <t>H032</t>
  </si>
  <si>
    <t xml:space="preserve">759 W County Road 125 S  Petersburg, IN 47567-8227 </t>
  </si>
  <si>
    <t>David Gonzalez</t>
  </si>
  <si>
    <t>Cabana City Blk U Pb 8 Pg 61 Lts 23 Thru 32 + S 15 Ft Of Lts 13 Thru 22</t>
  </si>
  <si>
    <t>Juan &amp; Angelina Reyes</t>
  </si>
  <si>
    <t xml:space="preserve">9978 Villa Dr </t>
  </si>
  <si>
    <t xml:space="preserve">1803 NE 10th Ave </t>
  </si>
  <si>
    <t>Peach</t>
  </si>
  <si>
    <t>Brisley</t>
  </si>
  <si>
    <t>06-46-24-15-00000.3050</t>
  </si>
  <si>
    <t>11-44-25-10-00000.4270</t>
  </si>
  <si>
    <t xml:space="preserve">1200 NE 44th St </t>
  </si>
  <si>
    <t>32-43-24-c3-02196.0300</t>
  </si>
  <si>
    <t>Daniel Guerra</t>
  </si>
  <si>
    <t xml:space="preserve">5129 Atlantic Ct  Cape Coral, FL 33904 </t>
  </si>
  <si>
    <t>Chopsey Hill</t>
  </si>
  <si>
    <t xml:space="preserve">45 Heathcote Ave </t>
  </si>
  <si>
    <t xml:space="preserve">530 Middle Frk  Hagerhill, KY 41222-9037 </t>
  </si>
  <si>
    <t>35216-3110</t>
  </si>
  <si>
    <t>33909-5359</t>
  </si>
  <si>
    <t>20-43-26-09-00000.1600</t>
  </si>
  <si>
    <t xml:space="preserve">3503 NE 14th Pl  Cape Coral, FL 33909 </t>
  </si>
  <si>
    <t xml:space="preserve">1416 SE 29th Ter </t>
  </si>
  <si>
    <t>Salvatore &amp; Lucille Bevacqua</t>
  </si>
  <si>
    <t xml:space="preserve">13124 SW 106th Ave </t>
  </si>
  <si>
    <t xml:space="preserve">2692 S Falcon View Dr </t>
  </si>
  <si>
    <t>Merry Wickham &amp; Cathy Fuller</t>
  </si>
  <si>
    <t>Ilidio</t>
  </si>
  <si>
    <t>PO Box 75341</t>
  </si>
  <si>
    <t>33015-4142</t>
  </si>
  <si>
    <t>Alex Paul</t>
  </si>
  <si>
    <t>21037-2133</t>
  </si>
  <si>
    <t>05-44-24-c2-03511.0540</t>
  </si>
  <si>
    <t>47803-2085</t>
  </si>
  <si>
    <t>Cape Coral Unit 36 Part 1 Blk 2509 Pb 23 Pg 90 Lots 38 + 39</t>
  </si>
  <si>
    <t>31-43-24-c3-02140.0180</t>
  </si>
  <si>
    <t>Severich</t>
  </si>
  <si>
    <t xml:space="preserve">507 Karcher Ave </t>
  </si>
  <si>
    <t>C070</t>
  </si>
  <si>
    <t xml:space="preserve">5216 Cypress Trail Resort Cir  Fort Myers, FL 33905 </t>
  </si>
  <si>
    <t>Moshe</t>
  </si>
  <si>
    <t xml:space="preserve">185 Nanshanlu Huliqu #502 </t>
  </si>
  <si>
    <t>Arguelles</t>
  </si>
  <si>
    <t>Soucie</t>
  </si>
  <si>
    <t xml:space="preserve">3027 NE 5th Pl  Cape Coral, FL 33909 </t>
  </si>
  <si>
    <t xml:space="preserve">1 Turning Shore Dr </t>
  </si>
  <si>
    <t xml:space="preserve">3309 NE 15th Pl </t>
  </si>
  <si>
    <t xml:space="preserve">2416 Mount Home Church Rd </t>
  </si>
  <si>
    <t>Fan Yeung</t>
  </si>
  <si>
    <t xml:space="preserve">Neu Heimat #20 </t>
  </si>
  <si>
    <t>32618-4404</t>
  </si>
  <si>
    <t>Allen &amp; For Skaarup</t>
  </si>
  <si>
    <t>141st</t>
  </si>
  <si>
    <t>Schwartzmiller</t>
  </si>
  <si>
    <t>12-44-23-c1-02370.0300</t>
  </si>
  <si>
    <t>Soete</t>
  </si>
  <si>
    <t>Lehigh Acres Unit 10 Blk 49 Pb 26 Pg 12 Lot 15</t>
  </si>
  <si>
    <t xml:space="preserve">15431 S Pratt Ln </t>
  </si>
  <si>
    <t xml:space="preserve">10180 Shadowood Ct  Fort Myers, FL 33905 </t>
  </si>
  <si>
    <t xml:space="preserve">220 Adams St 8b, Hoboken, NJ 07030-2561 </t>
  </si>
  <si>
    <t>Modica</t>
  </si>
  <si>
    <t xml:space="preserve">815 NE 34th Ter  Cape Coral, FL 33909 </t>
  </si>
  <si>
    <t xml:space="preserve">1109 NE 32nd Ter  Cape Coral, FL 33909 </t>
  </si>
  <si>
    <t>Haider Naqvi</t>
  </si>
  <si>
    <t>Jennifer Bajar &amp; Anthony Menio</t>
  </si>
  <si>
    <t>Courtney Palms</t>
  </si>
  <si>
    <t>Gregory &amp; Winnie Chan</t>
  </si>
  <si>
    <t>Cape Coral Unit 31 Blk 2052 Pb 14 Pg 154 Lots 33 + 34</t>
  </si>
  <si>
    <t xml:space="preserve">1789 Atlantic Ave  North Fort Myers, FL 33903 </t>
  </si>
  <si>
    <t>Rocio Arroyo &amp; Bellatrix For</t>
  </si>
  <si>
    <t xml:space="preserve">6621 Staley Farms Rd  Fort Myers, FL 33905 </t>
  </si>
  <si>
    <t>Wingeier</t>
  </si>
  <si>
    <t xml:space="preserve">1550 Mattawa Blvd  Laval, QC H7p 5B6 </t>
  </si>
  <si>
    <t xml:space="preserve">111 W 120th St #2 </t>
  </si>
  <si>
    <t>Cape Coral Unit 36 Blk 2351 Pb 16 Pg 127 Lots 42 + 43</t>
  </si>
  <si>
    <t>Catarina Loccisano</t>
  </si>
  <si>
    <t xml:space="preserve">25 E Private Road 140 N  Logansport, IN 46947-6797 </t>
  </si>
  <si>
    <t>Narragansett</t>
  </si>
  <si>
    <t>Chin</t>
  </si>
  <si>
    <t xml:space="preserve">1936 NE 23rd Pl </t>
  </si>
  <si>
    <t>Robert &amp; Eileen Bersey</t>
  </si>
  <si>
    <t>Rajendra Ramrattan</t>
  </si>
  <si>
    <t>Allentown</t>
  </si>
  <si>
    <t>33904-5619</t>
  </si>
  <si>
    <t>George Salk &amp; Julie Dotan</t>
  </si>
  <si>
    <t>Petra</t>
  </si>
  <si>
    <t>Deloach</t>
  </si>
  <si>
    <t xml:space="preserve">125 E San Marino Dr  Miami Beach, FL 33139-1103 </t>
  </si>
  <si>
    <t>Marilyn Gomez &amp; Maite Menendez</t>
  </si>
  <si>
    <t xml:space="preserve">2501 NE 18th Ave </t>
  </si>
  <si>
    <t>Orange Harbor Co-Op Desc In Inst# 2012-226486 Lot 88</t>
  </si>
  <si>
    <t>Larry &amp; Barbara Mcgrfew</t>
  </si>
  <si>
    <t>Cape Coral Unit 87 Blk 5735 Pb 24 Pg 17 Lot 28</t>
  </si>
  <si>
    <t>Champagne</t>
  </si>
  <si>
    <t>Cape Coral Unit 33 Blk 2182 Pb 16 Pg 53 Lots 38 + 39</t>
  </si>
  <si>
    <t>Glen Carbon</t>
  </si>
  <si>
    <t xml:space="preserve">200 Lake Christine Dr </t>
  </si>
  <si>
    <t>11203-6509</t>
  </si>
  <si>
    <t>K Env</t>
  </si>
  <si>
    <t>Oberdorfstrasse</t>
  </si>
  <si>
    <t>38017-8560</t>
  </si>
  <si>
    <t>33909-4621</t>
  </si>
  <si>
    <t>Rapheal &amp; Althelia Nuriddin</t>
  </si>
  <si>
    <t>Kenneth Boyd</t>
  </si>
  <si>
    <t>Tamiami City Blk.1 Pb 9 Pg 6 S205.86 Ft Of E 80 Ft</t>
  </si>
  <si>
    <t xml:space="preserve">12-63 Lexington St  Fair Lawn, NJ 07410-2232 </t>
  </si>
  <si>
    <t>Alabama Grove Terrace Blk 4 Pb 6 Pg 77 Lots 1 + 2 + N 10 Ft Lot 3</t>
  </si>
  <si>
    <t>Vine Grove</t>
  </si>
  <si>
    <t>33904-3423</t>
  </si>
  <si>
    <t xml:space="preserve">672 Gulf Ridge Dr  Jasper, AL 35504-3946 </t>
  </si>
  <si>
    <t xml:space="preserve">531 Patriot Ct </t>
  </si>
  <si>
    <t>El Sobrante</t>
  </si>
  <si>
    <t xml:space="preserve">7 Old Dunhams Corner Way </t>
  </si>
  <si>
    <t>33909-4332</t>
  </si>
  <si>
    <t>Cherry Grove</t>
  </si>
  <si>
    <t>Cape Coral Unit 33 Blk 2223 Pb 16 Pg 44 Lots 30 + 31</t>
  </si>
  <si>
    <t>Finderne</t>
  </si>
  <si>
    <t>Jeffrey Barron &amp; Michelle Becker</t>
  </si>
  <si>
    <t>Starnberg</t>
  </si>
  <si>
    <t>19401-1724</t>
  </si>
  <si>
    <t>Cypress Trail Rv Resort Ph 3 As Desc In Inst# 2015000085552 Lot 224</t>
  </si>
  <si>
    <t>06518-2704</t>
  </si>
  <si>
    <t>20-43-24-c3-05671.0700</t>
  </si>
  <si>
    <t>70056-7313</t>
  </si>
  <si>
    <t>10-44-24-15-00000.0070</t>
  </si>
  <si>
    <t>Smith</t>
  </si>
  <si>
    <t>Lawton</t>
  </si>
  <si>
    <t xml:space="preserve">6033 Lacota Ave </t>
  </si>
  <si>
    <t xml:space="preserve">46 Quellenstrabe  Hildrizhausen, DE 71157 </t>
  </si>
  <si>
    <t>Clifford</t>
  </si>
  <si>
    <t>Cape Coral Unit 34 Blk 2461 Pb 16 Pg 85 Lots 23 + 24</t>
  </si>
  <si>
    <t>20-43-24-c4-05632.0250</t>
  </si>
  <si>
    <t>Oneida</t>
  </si>
  <si>
    <t xml:space="preserve">228 Hillside Ave </t>
  </si>
  <si>
    <t>New Bedford</t>
  </si>
  <si>
    <t>Shrewsbury</t>
  </si>
  <si>
    <t>Morse Michael J Tr</t>
  </si>
  <si>
    <t xml:space="preserve">1822 NE 22nd Ave </t>
  </si>
  <si>
    <t>Bir</t>
  </si>
  <si>
    <t>San Rafael</t>
  </si>
  <si>
    <t xml:space="preserve">309 New York Dr </t>
  </si>
  <si>
    <t>Cape Coral Unit 32 Blk 2148 Pb 16 Pg 9 Lots 23 Thru 25</t>
  </si>
  <si>
    <t>33909-5305</t>
  </si>
  <si>
    <t>Kevin Grant</t>
  </si>
  <si>
    <t>16-44-26-06-00014.0040</t>
  </si>
  <si>
    <t>16-44-26-08-00026.0030</t>
  </si>
  <si>
    <t xml:space="preserve">681 E 47th St  Hialeah, FL 33013-1951 </t>
  </si>
  <si>
    <t xml:space="preserve">18211 SW 33rd St </t>
  </si>
  <si>
    <t>Boeder</t>
  </si>
  <si>
    <t xml:space="preserve">La Calera Sopo #4 </t>
  </si>
  <si>
    <t xml:space="preserve">300 E 33rd St  Sioux Falls, SD 57105-4903 </t>
  </si>
  <si>
    <t xml:space="preserve">2653 N 1220 W  Flora, IN 46929-9531 </t>
  </si>
  <si>
    <t xml:space="preserve">260 Douglas Rd  Chappaqua, NY 10514-3100 </t>
  </si>
  <si>
    <t>Cape Coral Unit 84 Blk 5579 Pb 24 Pg 47 Lots 33 Thru 35</t>
  </si>
  <si>
    <t>Tokar</t>
  </si>
  <si>
    <t>Cape Coral Unit 36 Blk 2541 Pb 16 Pg 115 Lots 32 Thru 34</t>
  </si>
  <si>
    <t>Cape Coral Unit 84 Blk 5604 Pb24 Pg42 Lots 59 + 60</t>
  </si>
  <si>
    <t>Cypress Trail Rv Resort Phase 2-B As Desc In Inst# 2015000013050 Lot 482</t>
  </si>
  <si>
    <t>32-43-24-c1-02182.0220</t>
  </si>
  <si>
    <t>33067-3529</t>
  </si>
  <si>
    <t>Townsend Richard L Tr</t>
  </si>
  <si>
    <t>Arcinas</t>
  </si>
  <si>
    <t xml:space="preserve">3513 NE 19th Ave </t>
  </si>
  <si>
    <t xml:space="preserve">913 NE 11th Ter  Cape Coral, FL 33909 </t>
  </si>
  <si>
    <t>46307-8794</t>
  </si>
  <si>
    <t xml:space="preserve">1630 NE 35th Ter  Cape Coral, FL 33909 </t>
  </si>
  <si>
    <t>Cape Coral Unit 85 Blk 5669 Pb 24 Pg 53 Lots 11 + 12</t>
  </si>
  <si>
    <t xml:space="preserve">800 NW 62nd St #330 </t>
  </si>
  <si>
    <t>G3L 2W9</t>
  </si>
  <si>
    <t>Camille</t>
  </si>
  <si>
    <t xml:space="preserve">407 Narragansett Villas Dr  Lindenhurst, NY 11757-5462 </t>
  </si>
  <si>
    <t xml:space="preserve">2005 NE 15th Pl </t>
  </si>
  <si>
    <t xml:space="preserve">10111 NW 1st Mnr  Coral Springs, FL 33071-7325 </t>
  </si>
  <si>
    <t xml:space="preserve">3960 Lincoln Rd  Bloomfield Hills, MI 48301-3963 </t>
  </si>
  <si>
    <t>H2A 2G1</t>
  </si>
  <si>
    <t>17-43-24-c3-05793.0300</t>
  </si>
  <si>
    <t>Stedman</t>
  </si>
  <si>
    <t>Buschling</t>
  </si>
  <si>
    <t>Ohio</t>
  </si>
  <si>
    <t>06-44-24-c3-02059.0190</t>
  </si>
  <si>
    <t>Mahan</t>
  </si>
  <si>
    <t xml:space="preserve">4420 Jenkins Cres  Mississauga, ON L5r 1T9 </t>
  </si>
  <si>
    <t xml:space="preserve">46 Hashahaf St  Hadera, IL 38523 </t>
  </si>
  <si>
    <t>Soaring Hawk</t>
  </si>
  <si>
    <t>Hemlock</t>
  </si>
  <si>
    <t>Kirt Schmelzer &amp; Christy Vanorden</t>
  </si>
  <si>
    <t xml:space="preserve">5356 Bayside Ct </t>
  </si>
  <si>
    <t xml:space="preserve">2744 NE 4th Pl </t>
  </si>
  <si>
    <t>11-44-25-06-0000d.0440</t>
  </si>
  <si>
    <t>Dileo</t>
  </si>
  <si>
    <t>Rue Pricipale</t>
  </si>
  <si>
    <t xml:space="preserve">6784 Benton St </t>
  </si>
  <si>
    <t>Cesar &amp; Maria Meza</t>
  </si>
  <si>
    <t>Cape Coral Unit 88 Blk 5824 Pb 24 Pg 143 Lots 4 + 5</t>
  </si>
  <si>
    <t>20-43-24-c4-05633.0050</t>
  </si>
  <si>
    <t xml:space="preserve">10051 Rambelwood Ct </t>
  </si>
  <si>
    <t xml:space="preserve">59 Prinzenstr  Greeley, CO 80639 </t>
  </si>
  <si>
    <t xml:space="preserve">2110 NE 7th Ave  Cape Coral, FL 33909 </t>
  </si>
  <si>
    <t>Cape Coral Unit 36 Blk 2338 Pb 16 Pg 124 Lots 13 + 14</t>
  </si>
  <si>
    <t xml:space="preserve">2797 Halifax Ct  Columbus, OH 43232-5334 </t>
  </si>
  <si>
    <t>53186-2664</t>
  </si>
  <si>
    <t xml:space="preserve">3758 Kemper St </t>
  </si>
  <si>
    <t>Cypress Trail Rv Resort Ph 4-B As Desc In Inst# 2017000057565 Lot 345</t>
  </si>
  <si>
    <t>33908-1712</t>
  </si>
  <si>
    <t>Roesems</t>
  </si>
  <si>
    <t>San Remo</t>
  </si>
  <si>
    <t xml:space="preserve">Po Box 7323 #300 </t>
  </si>
  <si>
    <t>Pitter</t>
  </si>
  <si>
    <t>Lim Ruth Tan Tr</t>
  </si>
  <si>
    <t>Harding George P Tr</t>
  </si>
  <si>
    <t>Virginia Morstein-Marx &amp; For Mortein-Marx</t>
  </si>
  <si>
    <t>Lee Roberts</t>
  </si>
  <si>
    <t xml:space="preserve">2216 NE 19th Pl </t>
  </si>
  <si>
    <t>Rippling Brook</t>
  </si>
  <si>
    <t>Salej</t>
  </si>
  <si>
    <t>Juan Ventura &amp; Paola Cordova</t>
  </si>
  <si>
    <t>Pasadena</t>
  </si>
  <si>
    <t xml:space="preserve">2126 NE 2nd Pl  Cape Coral, FL 33909 </t>
  </si>
  <si>
    <t xml:space="preserve">637 Flock Ave  Naperville, IL 60565-1297 </t>
  </si>
  <si>
    <t>18-43-24-c1-05726.0440</t>
  </si>
  <si>
    <t xml:space="preserve">1215 NE 5th Pl </t>
  </si>
  <si>
    <t>Langer Carol Ann Tr</t>
  </si>
  <si>
    <t xml:space="preserve">1417 NE 1st Ave  Cape Coral, FL 33909 </t>
  </si>
  <si>
    <t>Cape Coral Unit 87 Blk 5725 Pb 24 Pg 85 Lots 3 + 4</t>
  </si>
  <si>
    <t xml:space="preserve">2217 SW 117th Ave </t>
  </si>
  <si>
    <t xml:space="preserve">2367 E 6780 S  Salt Lake City, UT 84121-3223 </t>
  </si>
  <si>
    <t>06-44-24-c1-02098.0450</t>
  </si>
  <si>
    <t xml:space="preserve">11061 63rd Rd  Forest Hills, NY 11375-1426 </t>
  </si>
  <si>
    <t>Cape Coral Unit 87 Blk 5753 Pb 24 Pg 69 Lots 44 + 45</t>
  </si>
  <si>
    <t>Cape Coral Unit 46 Blk 3586 Pb 17 Pg 126 Lots 1 Thru 3</t>
  </si>
  <si>
    <t xml:space="preserve">3523 Old Niles Ferry Rd </t>
  </si>
  <si>
    <t>Topsham</t>
  </si>
  <si>
    <t xml:space="preserve">6380 S Mitchell Manor Cir </t>
  </si>
  <si>
    <t>Julanne</t>
  </si>
  <si>
    <t xml:space="preserve">1909 NE 19th Pl  Cape Coral, FL 33909 </t>
  </si>
  <si>
    <t xml:space="preserve">10030 Parkwood Dr  Fort Myers, FL 33905 </t>
  </si>
  <si>
    <t>33909-1027</t>
  </si>
  <si>
    <t>Razzano</t>
  </si>
  <si>
    <t>Logansport</t>
  </si>
  <si>
    <t>Gregory Rahm</t>
  </si>
  <si>
    <t>Cape Coral Unit 87 Blk 5729 Pb 24 Pg 86 Lots 58 + 59</t>
  </si>
  <si>
    <t xml:space="preserve">232 Aviation Pkwy  Cape Coral, FL 33904 </t>
  </si>
  <si>
    <t xml:space="preserve">3302 NE 13th Pl  Cape Coral, FL 33909 </t>
  </si>
  <si>
    <t>Dorian</t>
  </si>
  <si>
    <t xml:space="preserve">3502 E Gator Cir  Cape Coral, FL 33909 </t>
  </si>
  <si>
    <t xml:space="preserve">27 Founders Way  Downingtown, PA 19335-4520 </t>
  </si>
  <si>
    <t>Cape Coral Unit 33 Blk.2256 Pb 16 Pg 60 Lots 38 + 39</t>
  </si>
  <si>
    <t xml:space="preserve">1201 NE 18th Ter  Cape Coral, FL 33909 </t>
  </si>
  <si>
    <t xml:space="preserve">1001 Pendleton Cir  the Villages, FL 32162-1437 </t>
  </si>
  <si>
    <t xml:space="preserve">10211 Nightwood Dr </t>
  </si>
  <si>
    <t xml:space="preserve">10755 117th St </t>
  </si>
  <si>
    <t>10990-2822</t>
  </si>
  <si>
    <t>45440-1121</t>
  </si>
  <si>
    <t xml:space="preserve">401 Miltwood Dr </t>
  </si>
  <si>
    <t>Cape Coral Unit 88 Blk 5781 Pb 24 Pg 132 Lots 31 + 32</t>
  </si>
  <si>
    <t>Exempt &amp; Partridge Bracey</t>
  </si>
  <si>
    <t>18-43-24-c2-05739.0290</t>
  </si>
  <si>
    <t xml:space="preserve">85 S Bear Lake Rd </t>
  </si>
  <si>
    <t>Doerrstein Klaus Tr</t>
  </si>
  <si>
    <t xml:space="preserve">4109 NE 10th Pl  Cape Coral, FL 33909 </t>
  </si>
  <si>
    <t>Gaizka Benavides</t>
  </si>
  <si>
    <t xml:space="preserve">8030 Paul Ave </t>
  </si>
  <si>
    <t>33909-6866</t>
  </si>
  <si>
    <t>25-43-23-c4-02303.0270</t>
  </si>
  <si>
    <t>Orloff</t>
  </si>
  <si>
    <t>Mcneill</t>
  </si>
  <si>
    <t xml:space="preserve">14819 SW 177th Ter  Miami, FL 33187-6763 </t>
  </si>
  <si>
    <t xml:space="preserve">1224 NE 1st Pl </t>
  </si>
  <si>
    <t xml:space="preserve">1703 NE 1st Ave </t>
  </si>
  <si>
    <t>Cape Coral Unit 34 Blk 2451 Pb 16 Pg 85 Lots 10 Thru 12</t>
  </si>
  <si>
    <t>Waybert Cruz</t>
  </si>
  <si>
    <t>Leotta</t>
  </si>
  <si>
    <t>Jamesport</t>
  </si>
  <si>
    <t>Beach 39th</t>
  </si>
  <si>
    <t xml:space="preserve">3419 NE 14th Pl  Cape Coral, FL 33909 </t>
  </si>
  <si>
    <t xml:space="preserve">2695 S Johnson Cir </t>
  </si>
  <si>
    <t>Ruhland</t>
  </si>
  <si>
    <t xml:space="preserve">533 Tropicana Pkwy E </t>
  </si>
  <si>
    <t>33909-1512</t>
  </si>
  <si>
    <t xml:space="preserve">16080 Sunset Strip  Fort Myers, FL 33908 </t>
  </si>
  <si>
    <t xml:space="preserve">1701 NE 26th St </t>
  </si>
  <si>
    <t>Cape Coral Unit 33 Blk 2191 Pb 16 Pg 50 Lots 23 + 24</t>
  </si>
  <si>
    <t xml:space="preserve">123 4th Ave S  Safety Harbor, FL 34695-4021 </t>
  </si>
  <si>
    <t>Bartlett Wayne A Tr</t>
  </si>
  <si>
    <t>Cape Coral Unit 36 Blk 2291 Pb 16 Pg 120 Lots 9 + 10</t>
  </si>
  <si>
    <t>Ryan &amp; Gretchen Sadorf</t>
  </si>
  <si>
    <t xml:space="preserve">1332 NE 12th St  Cape Coral, FL 33909 </t>
  </si>
  <si>
    <t>32-43-24-c1-02191.0190</t>
  </si>
  <si>
    <t xml:space="preserve">1004 NE 1st Ave  Cape Coral, FL 33909 </t>
  </si>
  <si>
    <t>Daquino</t>
  </si>
  <si>
    <t>Lilian</t>
  </si>
  <si>
    <t>07653-1366</t>
  </si>
  <si>
    <t xml:space="preserve">Urb Quintas Del Rey  San German, PR 00683 </t>
  </si>
  <si>
    <t xml:space="preserve">1501 NE 34th Ln  Cape Coral, FL 33909 </t>
  </si>
  <si>
    <t>Cape Coral Unit 87 Blk 5746 Pb 24 Pg 70 Lots 19 + 20</t>
  </si>
  <si>
    <t>Cypress Woods Rv Resort Unit 4 Pb 79 Pgs 68-71 Blk D Lot 54</t>
  </si>
  <si>
    <t>34117-9262</t>
  </si>
  <si>
    <t>Cape Coral Unit 33 Blk 2227 Pb 16 Pg 46 Lots 42 + 43</t>
  </si>
  <si>
    <t>Stouffville</t>
  </si>
  <si>
    <t>Barbara &amp; For Anderson</t>
  </si>
  <si>
    <t xml:space="preserve">3130 NE 15th Ave  Cape Coral, FL 33909 </t>
  </si>
  <si>
    <t>21550-2202</t>
  </si>
  <si>
    <t xml:space="preserve">3232 NE 13th Pl  Cape Coral, FL 33909 </t>
  </si>
  <si>
    <t>Quinlan</t>
  </si>
  <si>
    <t>11-44-25-09-00000.0040</t>
  </si>
  <si>
    <t xml:space="preserve">1302 Angeline Ave  Orlando, FL 32807-1313 </t>
  </si>
  <si>
    <t xml:space="preserve">1802 NE 17th Ave </t>
  </si>
  <si>
    <t>Avinash Mavireddi</t>
  </si>
  <si>
    <t>Pepper Hill</t>
  </si>
  <si>
    <t>34981-4995</t>
  </si>
  <si>
    <t xml:space="preserve">18 W 15th Rd </t>
  </si>
  <si>
    <t>80525-6134</t>
  </si>
  <si>
    <t>Carlisle</t>
  </si>
  <si>
    <t>Weekes</t>
  </si>
  <si>
    <t xml:space="preserve">1911 Harding Ave  Garden City, KS 67846-4760 </t>
  </si>
  <si>
    <t>05-44-24-c2-03511.0050</t>
  </si>
  <si>
    <t xml:space="preserve">239 E 88th St #8, New York, NY 10128 </t>
  </si>
  <si>
    <t>Teresa Salinas</t>
  </si>
  <si>
    <t>James &amp; Jenifer Morgen</t>
  </si>
  <si>
    <t>21040-2220</t>
  </si>
  <si>
    <t xml:space="preserve">NE 23rd St  Cape Coral, FL 33909 </t>
  </si>
  <si>
    <t xml:space="preserve">14090 Cherrydale St  Fort Myers, FL 33905 </t>
  </si>
  <si>
    <t>Lutz</t>
  </si>
  <si>
    <t xml:space="preserve">2218 NE 34th Ter  Cape Coral, FL 33909 </t>
  </si>
  <si>
    <t>Guignabodet</t>
  </si>
  <si>
    <t xml:space="preserve">11 Canal St  Chatsworth, NJ 08019-2221 </t>
  </si>
  <si>
    <t>16105-1309</t>
  </si>
  <si>
    <t>L5A 2J7</t>
  </si>
  <si>
    <t>Gignac Samantha J Tr</t>
  </si>
  <si>
    <t xml:space="preserve">7286 S Sundown Cir </t>
  </si>
  <si>
    <t xml:space="preserve">4356 Greenwood Ave  Fort Myers, FL 33905 </t>
  </si>
  <si>
    <t xml:space="preserve">PO Box 690  Water Mill, NY 11976 </t>
  </si>
  <si>
    <t>61028-8051</t>
  </si>
  <si>
    <t>11704-6740</t>
  </si>
  <si>
    <t xml:space="preserve">3818 NE 10th Ave  Cape Coral, FL 33909 </t>
  </si>
  <si>
    <t xml:space="preserve">20803 Biscayne Blvd #301, Miami, FL 33180-1431 </t>
  </si>
  <si>
    <t>Private Road 140</t>
  </si>
  <si>
    <t>Brenner</t>
  </si>
  <si>
    <t>Tourangeau</t>
  </si>
  <si>
    <t xml:space="preserve">916 NE 9th Ter  Cape Coral, FL 33909 </t>
  </si>
  <si>
    <t xml:space="preserve">5741 Cypress Woods Resort Dr  Fort Myers, FL 33905 </t>
  </si>
  <si>
    <t>Cape Coral Unit 33 Blk.2185 Pb 16 Pg 51 Lots 73 + 74</t>
  </si>
  <si>
    <t xml:space="preserve">3856 Hollycrest St  Fort Myers, FL 33905 </t>
  </si>
  <si>
    <t xml:space="preserve">1140 Page St  Manchester, NH 03104-5552 </t>
  </si>
  <si>
    <t xml:space="preserve">8200 Boulevard E 5l, North Bergen, NJ 07047-6093 </t>
  </si>
  <si>
    <t>Grov</t>
  </si>
  <si>
    <t xml:space="preserve">1218 Andalusia Blvd  Cape Coral, FL 33909 </t>
  </si>
  <si>
    <t xml:space="preserve">4 Fountain St </t>
  </si>
  <si>
    <t xml:space="preserve">924 NE 1st Pl </t>
  </si>
  <si>
    <t xml:space="preserve">5005 Denton Dr </t>
  </si>
  <si>
    <t>Aley Hill</t>
  </si>
  <si>
    <t>David Cooley &amp; David For</t>
  </si>
  <si>
    <t>Pascal Simler</t>
  </si>
  <si>
    <t>Anglars Noxac</t>
  </si>
  <si>
    <t>Altamont</t>
  </si>
  <si>
    <t>Cape Coral Unit 47 Pt 2 Blk 3530 Pb 23 Pg 121 Lots 23 + 24</t>
  </si>
  <si>
    <t>Evelyn Barratt</t>
  </si>
  <si>
    <t xml:space="preserve">3717 NE 14th Pl </t>
  </si>
  <si>
    <t xml:space="preserve">127 NE 25th St </t>
  </si>
  <si>
    <t xml:space="preserve">195 Winchester St  Brookline, MA 02446-2765 </t>
  </si>
  <si>
    <t xml:space="preserve">2534 Stagecoach Trl S  Afton, MN 55001-9779 </t>
  </si>
  <si>
    <t>19-43-24-c2-05596.0130</t>
  </si>
  <si>
    <t xml:space="preserve">3166 S Irish Rd  Davison, MI 48423-2434 </t>
  </si>
  <si>
    <t xml:space="preserve">2128 NE 5th Ave  Cape Coral, FL 33909 </t>
  </si>
  <si>
    <t>Burnham</t>
  </si>
  <si>
    <t xml:space="preserve">1227 NE 36th Ln </t>
  </si>
  <si>
    <t>Christine &amp; Kingdom Odem</t>
  </si>
  <si>
    <t xml:space="preserve">531 SE 33rd Ter </t>
  </si>
  <si>
    <t>Isidra</t>
  </si>
  <si>
    <t>40291-1736</t>
  </si>
  <si>
    <t xml:space="preserve">8720 Lake Ridge Dr </t>
  </si>
  <si>
    <t>33904-5129</t>
  </si>
  <si>
    <t>Jasmin</t>
  </si>
  <si>
    <t xml:space="preserve">2315 NE 8th Pl  Cape Coral, FL 33909 </t>
  </si>
  <si>
    <t>Boyhan</t>
  </si>
  <si>
    <t>Victor Coto</t>
  </si>
  <si>
    <t>Frank &amp; Virnija Giurini</t>
  </si>
  <si>
    <t>Oscar Monterrosa &amp; Isabelle Metairon</t>
  </si>
  <si>
    <t>33909-4420</t>
  </si>
  <si>
    <t>31-43-24-c3-02124.0080</t>
  </si>
  <si>
    <t xml:space="preserve">14600 Ridgemoor Dr </t>
  </si>
  <si>
    <t>33905-7692</t>
  </si>
  <si>
    <t>05-44-24-c2-03526.0110</t>
  </si>
  <si>
    <t>Cape Coral Unit 31 Blk 2078 Pb 14 Pg 163 Lots 45 + 46</t>
  </si>
  <si>
    <t>Rosental</t>
  </si>
  <si>
    <t>Whalebone Bay</t>
  </si>
  <si>
    <t xml:space="preserve">6153 Hester Ave  Fort Myers, FL 33905 </t>
  </si>
  <si>
    <t xml:space="preserve">9305 Old Frederick Rd </t>
  </si>
  <si>
    <t>Richard &amp; Roberta Smith</t>
  </si>
  <si>
    <t>Cape Coral Unit 32 Blk 2101 Pb 16 Pg 2 Lots 21 + 22</t>
  </si>
  <si>
    <t>11-44-25-09-00000.1890</t>
  </si>
  <si>
    <t>Cape Coral Unit 88 Blk 5762 Pb 24 Pg 134 Lots 13 + 14</t>
  </si>
  <si>
    <t>Bey</t>
  </si>
  <si>
    <t>21st</t>
  </si>
  <si>
    <t xml:space="preserve">10609 Keysville Rd </t>
  </si>
  <si>
    <t>Cape Coral Unit 36 Blk 2296 Pb 16 Pg 119 Lots 28 + 29</t>
  </si>
  <si>
    <t>Conley Kimmo-Lee</t>
  </si>
  <si>
    <t>Lehigh Acres Unit 14 Blk 82 Pb 26 Pg 20 Lot 17</t>
  </si>
  <si>
    <t xml:space="preserve">1814 NE 5th Ct </t>
  </si>
  <si>
    <t xml:space="preserve">1917 NE 33rd Ter  Cape Coral, FL 33909 </t>
  </si>
  <si>
    <t>60616-1302</t>
  </si>
  <si>
    <t>Stone Investment Trust</t>
  </si>
  <si>
    <t xml:space="preserve">1807 NE 1st Pl </t>
  </si>
  <si>
    <t xml:space="preserve">2602 NE 1st Ave  Cape Coral, FL 33909 </t>
  </si>
  <si>
    <t>33909-1365</t>
  </si>
  <si>
    <t>Loeffler</t>
  </si>
  <si>
    <t>Joselyn</t>
  </si>
  <si>
    <t xml:space="preserve">36 Booth Meadow Ct </t>
  </si>
  <si>
    <t>Cape Coral Unit 84 Blk 5615 Pb 24 Pg 34 Lots 7 + 8</t>
  </si>
  <si>
    <t>Vidal</t>
  </si>
  <si>
    <t xml:space="preserve">9616 Percussion Way </t>
  </si>
  <si>
    <t>Maria Guerrero &amp; Wilmer Reynoza</t>
  </si>
  <si>
    <t>Karari</t>
  </si>
  <si>
    <t xml:space="preserve">13 Via Di Santa Cosimato </t>
  </si>
  <si>
    <t>Greylock</t>
  </si>
  <si>
    <t xml:space="preserve">7707 S Sparkman St </t>
  </si>
  <si>
    <t>Ramkissoon</t>
  </si>
  <si>
    <t xml:space="preserve">115 Armiston St </t>
  </si>
  <si>
    <t xml:space="preserve">1 Sharps Rock Dr  Hopatcong, NJ 07843-1623 </t>
  </si>
  <si>
    <t>25-43-23-c3-02345.0120</t>
  </si>
  <si>
    <t>Jonathan Finkel &amp; Michelle Griffith</t>
  </si>
  <si>
    <t xml:space="preserve">58 C #152, Bogota, CO </t>
  </si>
  <si>
    <t xml:space="preserve">18153 Goddard Ct </t>
  </si>
  <si>
    <t xml:space="preserve">408 NE 25th Ter </t>
  </si>
  <si>
    <t xml:space="preserve">1100 NE 44th Ln </t>
  </si>
  <si>
    <t xml:space="preserve">39 Lafayette St </t>
  </si>
  <si>
    <t>30350-5838</t>
  </si>
  <si>
    <t>Ram</t>
  </si>
  <si>
    <t>Xin</t>
  </si>
  <si>
    <t>Steven Pullicin</t>
  </si>
  <si>
    <t xml:space="preserve">212 NE 31st Ter </t>
  </si>
  <si>
    <t>Cape Coral Unit 84 Blk 5613 Pb 24 Pg 36 Lots 19 + 20</t>
  </si>
  <si>
    <t>Cape Coral Unit 35 Blk 2370 Pb 16 Pg 104 Lots 26 + 27</t>
  </si>
  <si>
    <t>Maria Castillo</t>
  </si>
  <si>
    <t>31-43-24-c2-02138.0150</t>
  </si>
  <si>
    <t xml:space="preserve">18 Haigh Ave </t>
  </si>
  <si>
    <t xml:space="preserve">15851 79th St </t>
  </si>
  <si>
    <t>Beaumont</t>
  </si>
  <si>
    <t xml:space="preserve">3336 Meadow Ave </t>
  </si>
  <si>
    <t>33572-3363</t>
  </si>
  <si>
    <t>Woodlake</t>
  </si>
  <si>
    <t xml:space="preserve">PO Box 470229  Kissimmee, FL 34747 </t>
  </si>
  <si>
    <t xml:space="preserve">3740 82nd avenue Cir E #101 </t>
  </si>
  <si>
    <t>Arena Gesellschaft Fuer Immobi</t>
  </si>
  <si>
    <t xml:space="preserve">9 White Oak Dr  Clinton, CT 06413-1102 </t>
  </si>
  <si>
    <t>33020-3744</t>
  </si>
  <si>
    <t xml:space="preserve">4311 NE 11th Ave </t>
  </si>
  <si>
    <t>33905-5703</t>
  </si>
  <si>
    <t>Anil &amp; Jyotil Kochar</t>
  </si>
  <si>
    <t xml:space="preserve">4827 Clearview Expy  Oakland Gardens, NY 11364-1042 </t>
  </si>
  <si>
    <t xml:space="preserve">3529 NE 20th Pl </t>
  </si>
  <si>
    <t>Romanoff Freda Tr</t>
  </si>
  <si>
    <t>Karl Marx Damm</t>
  </si>
  <si>
    <t>Ronald &amp; Helen Brisson</t>
  </si>
  <si>
    <t xml:space="preserve">105 S Main St </t>
  </si>
  <si>
    <t>Deamon</t>
  </si>
  <si>
    <t>Town Bank</t>
  </si>
  <si>
    <t>25-43-25-00-00002.004a</t>
  </si>
  <si>
    <t xml:space="preserve">10221 Butterweed Trl  Fort Myers, FL 33905 </t>
  </si>
  <si>
    <t>Joseph Paladino</t>
  </si>
  <si>
    <t>Cape Coral Unit 33 Blk 2277 Pb 16 Pg 58 Lots 27 + 28</t>
  </si>
  <si>
    <t xml:space="preserve">1256 NE 40th Ter </t>
  </si>
  <si>
    <t>Granbury</t>
  </si>
  <si>
    <t>Cypress Woods Rv Resort Unit 4 Pb 79 Pgs 68-71 Blk D Lot 122</t>
  </si>
  <si>
    <t>Blue Water Shores Pb 10 Pg 78 Lot 41</t>
  </si>
  <si>
    <t>Danka</t>
  </si>
  <si>
    <t>Williams Evaline P Tr</t>
  </si>
  <si>
    <t>N0C 1B0</t>
  </si>
  <si>
    <t xml:space="preserve">892 White Clover Ben Rd </t>
  </si>
  <si>
    <t>84092-4060</t>
  </si>
  <si>
    <t>Cape Coral Unit 36 Blk 2316 Pb 16 Pg 123 Lots 11 + 12</t>
  </si>
  <si>
    <t>Lick Island</t>
  </si>
  <si>
    <t>N0M 1J0</t>
  </si>
  <si>
    <t xml:space="preserve">4420 6th Ave SE  Naples, FL 34117-9192 </t>
  </si>
  <si>
    <t>Cape Coral Unit 36 Blk 2313 Pb 16 Pg 123 Lots 7 + 8</t>
  </si>
  <si>
    <t>Cape Coral Unit 26 Blk 924 Pb 14 Pg 136 Lots 39 + 40</t>
  </si>
  <si>
    <t xml:space="preserve">95-202 Halepule Pl </t>
  </si>
  <si>
    <t>Hearthstone</t>
  </si>
  <si>
    <t xml:space="preserve">1612 NE 10th Ln </t>
  </si>
  <si>
    <t>Tien Dai</t>
  </si>
  <si>
    <t xml:space="preserve">2106 NE 23rd Ave </t>
  </si>
  <si>
    <t xml:space="preserve">1009 NE 5th Pl  Cape Coral, FL 33909 </t>
  </si>
  <si>
    <t>La Seyne Sur Mer</t>
  </si>
  <si>
    <t>14505-9427</t>
  </si>
  <si>
    <t xml:space="preserve">4117 NE 22nd Pl  Cape Coral, FL 33909 </t>
  </si>
  <si>
    <t xml:space="preserve">1112 NE 32nd Ln  Cape Coral, FL 33909 </t>
  </si>
  <si>
    <t>38139-5638</t>
  </si>
  <si>
    <t>Messer</t>
  </si>
  <si>
    <t>James Haynes</t>
  </si>
  <si>
    <t xml:space="preserve">1734 Rolling Hills Cir  Charleston, WV 25314-2286 </t>
  </si>
  <si>
    <t>47528-8013</t>
  </si>
  <si>
    <t xml:space="preserve">1521 NE 17th Pl  Cape Coral, FL 33909 </t>
  </si>
  <si>
    <t>01-44-23-c2-02426.0210</t>
  </si>
  <si>
    <t>Cape Coral Unit 36 Blk 2351 Pb 16 Pg 127 Lots 40 + 41</t>
  </si>
  <si>
    <t xml:space="preserve">5700 Keeney St </t>
  </si>
  <si>
    <t xml:space="preserve">28 Long Hill Dr  Stamford, CT 06902-1417 </t>
  </si>
  <si>
    <t>Christiane</t>
  </si>
  <si>
    <t>Susanna</t>
  </si>
  <si>
    <t xml:space="preserve">2127 NE 39th Ter  Cape Coral, FL 33909 </t>
  </si>
  <si>
    <t xml:space="preserve">12055 SW 133rd Ter </t>
  </si>
  <si>
    <t>South San Francisco</t>
  </si>
  <si>
    <t>Norton</t>
  </si>
  <si>
    <t>Deborah</t>
  </si>
  <si>
    <t xml:space="preserve">24 Freierstr </t>
  </si>
  <si>
    <t xml:space="preserve">153 Equinox Rd </t>
  </si>
  <si>
    <t xml:space="preserve">3804 Hyde Park Dr  Fort Myers, FL 33905 </t>
  </si>
  <si>
    <t>Graci</t>
  </si>
  <si>
    <t>Yaron Morali</t>
  </si>
  <si>
    <t xml:space="preserve">1312 NE 17th Ave  Cape Coral, FL 33909 </t>
  </si>
  <si>
    <t>06-44-24-c1-02067.0290</t>
  </si>
  <si>
    <t>Evelio Espina</t>
  </si>
  <si>
    <t>Cape Coral Unit 85 Blk 5637 Pb 24 Pg 51 Lot 16</t>
  </si>
  <si>
    <t xml:space="preserve">1623 NE 12th Pl  Cape Coral, FL 33909 </t>
  </si>
  <si>
    <t>Rea</t>
  </si>
  <si>
    <t xml:space="preserve">562 NE 6th Ter </t>
  </si>
  <si>
    <t>21601-7437</t>
  </si>
  <si>
    <t xml:space="preserve">301 NE 10th St </t>
  </si>
  <si>
    <t xml:space="preserve">1244 NE 41st St </t>
  </si>
  <si>
    <t>94566-7106</t>
  </si>
  <si>
    <t xml:space="preserve">1703 NE 12th St  Cape Coral, FL 33909 </t>
  </si>
  <si>
    <t xml:space="preserve">6101 Holt Ct </t>
  </si>
  <si>
    <t>Laurence Gay-Bey &amp; Olivier Bey</t>
  </si>
  <si>
    <t>Gilbody</t>
  </si>
  <si>
    <t xml:space="preserve">620 Winterspice Dr </t>
  </si>
  <si>
    <t xml:space="preserve">542 NE 5th Pl  Cape Coral, FL 33909 </t>
  </si>
  <si>
    <t>122nd</t>
  </si>
  <si>
    <t>33909-3218</t>
  </si>
  <si>
    <t xml:space="preserve">7301 Gatehouse Cir #19 </t>
  </si>
  <si>
    <t>Malimban</t>
  </si>
  <si>
    <t>Stacy</t>
  </si>
  <si>
    <t>West Sacramento</t>
  </si>
  <si>
    <t>Verandah Unit Twelve Desc In Inst#2005-156524 Blk C Lot 27</t>
  </si>
  <si>
    <t>Jerry Frick</t>
  </si>
  <si>
    <t>11-44-25-08-00000.2580</t>
  </si>
  <si>
    <t>Ghantous Fauzi &amp; Suzan Tr</t>
  </si>
  <si>
    <t>Alexander Gonzalez</t>
  </si>
  <si>
    <t xml:space="preserve">1212 Spanish Cay Ln </t>
  </si>
  <si>
    <t>Waters Edge</t>
  </si>
  <si>
    <t>Carol &amp; For Langer</t>
  </si>
  <si>
    <t>Elipidio</t>
  </si>
  <si>
    <t>PO Box 15548</t>
  </si>
  <si>
    <t>Henry Schuster &amp; Cheryl Greenburg</t>
  </si>
  <si>
    <t>Cape Coral Unit 36 Pt 1 Blk 2486 Pb 23 Pg 89 Lots 37 + 38</t>
  </si>
  <si>
    <t xml:space="preserve">943 Grassmeade Way </t>
  </si>
  <si>
    <t>Marin Pineda &amp; Agen Velasquez</t>
  </si>
  <si>
    <t>01-44-23-c2-02465.0050</t>
  </si>
  <si>
    <t>Goodger</t>
  </si>
  <si>
    <t xml:space="preserve">4266 Croce Ct </t>
  </si>
  <si>
    <t>Cape Coral Unit 85 Blk.5641 Pb 24 Pg 54 Lots 1 + 2</t>
  </si>
  <si>
    <t>18-43-24-c2-05733.0260</t>
  </si>
  <si>
    <t xml:space="preserve">2055 Siesta Dr #5843 </t>
  </si>
  <si>
    <t xml:space="preserve">3161 SW 17th St </t>
  </si>
  <si>
    <t>33009-6493</t>
  </si>
  <si>
    <t>Road 5</t>
  </si>
  <si>
    <t xml:space="preserve">20 Whiting St  Roxbury, MA 02119-2496 </t>
  </si>
  <si>
    <t>Cape Coral Unit 36 Pt 1 Blk 2546 Pb 23 Pg 94 Lots 19 + 20</t>
  </si>
  <si>
    <t>11226-5315</t>
  </si>
  <si>
    <t>33905-8611</t>
  </si>
  <si>
    <t>33909-1022</t>
  </si>
  <si>
    <t xml:space="preserve">8585 E Hartford Dr #118, Scottsdale, AZ 85255-5473 </t>
  </si>
  <si>
    <t>Kapolei</t>
  </si>
  <si>
    <t>Trodella</t>
  </si>
  <si>
    <t>Bhombal</t>
  </si>
  <si>
    <t>Edward &amp; Lori Sheahan</t>
  </si>
  <si>
    <t>Frank &amp; Carolyn Lohre</t>
  </si>
  <si>
    <t>Case</t>
  </si>
  <si>
    <t>Cypress Trail Rv Resort Ph 4-B As Desc In Inst# 2017000057565 Lot 85</t>
  </si>
  <si>
    <t>36-43-23-c2-02545.0250</t>
  </si>
  <si>
    <t xml:space="preserve">306 Falcongate Dr </t>
  </si>
  <si>
    <t xml:space="preserve">1335 Sadlier Circle East Dr </t>
  </si>
  <si>
    <t xml:space="preserve">90 County Rd  Milford, ME 04461-3538 </t>
  </si>
  <si>
    <t xml:space="preserve">2205 NE 13th Pl </t>
  </si>
  <si>
    <t>Cabrera</t>
  </si>
  <si>
    <t xml:space="preserve">11 Cr 33 </t>
  </si>
  <si>
    <t xml:space="preserve">3859 NW 77th Ave  Lauderhill, FL 33351-6345 </t>
  </si>
  <si>
    <t>Molina</t>
  </si>
  <si>
    <t>31-43-24-c1-02161.0250</t>
  </si>
  <si>
    <t>33145-1625</t>
  </si>
  <si>
    <t>J6E 9G5</t>
  </si>
  <si>
    <t>36-43-23-c1-02291.0410</t>
  </si>
  <si>
    <t>PO Box 681744</t>
  </si>
  <si>
    <t xml:space="preserve">218 NE 9th Pl  Cape Coral, FL 33909 </t>
  </si>
  <si>
    <t>32-43-24-c1-02233.0150</t>
  </si>
  <si>
    <t>08534-2816</t>
  </si>
  <si>
    <t xml:space="preserve">2127 NE 13th Ave  Cape Coral, FL 33909 </t>
  </si>
  <si>
    <t xml:space="preserve">1819 NE 2nd Ave </t>
  </si>
  <si>
    <t>Steve Blumie</t>
  </si>
  <si>
    <t>Kremski Michael P Tr</t>
  </si>
  <si>
    <t>Lehigh Acres Unit 9 Blk 42 Pb 26 Pg 11 Lot 12</t>
  </si>
  <si>
    <t>Juan &amp; Ivonne Comesana</t>
  </si>
  <si>
    <t xml:space="preserve">2309 NE 26th St  Cape Coral, FL 33909 </t>
  </si>
  <si>
    <t>Cape Coral Unit 21 Blk 605 Pb 13 Pg 154 Lots 13 + 14</t>
  </si>
  <si>
    <t>48312-5770</t>
  </si>
  <si>
    <t>Buckingham Pk Re Blk B U-3 Blk 15 Pb 27 Pg 191 Lot 18</t>
  </si>
  <si>
    <t xml:space="preserve">14261 River Rd </t>
  </si>
  <si>
    <t>Cape Coral Unit 84 Blk 5548 Pb 24 Pg 39 Lots 17 + 18</t>
  </si>
  <si>
    <t xml:space="preserve">2124 NE 6th Ave  Cape Coral, FL 33909 </t>
  </si>
  <si>
    <t xml:space="preserve">1505 NE 36th St </t>
  </si>
  <si>
    <t>08108-2436</t>
  </si>
  <si>
    <t>01-45-23-c1-00882.0280</t>
  </si>
  <si>
    <t>Kelly</t>
  </si>
  <si>
    <t>11-44-25-10-00000.3690</t>
  </si>
  <si>
    <t>55043-9556</t>
  </si>
  <si>
    <t>33903-2847</t>
  </si>
  <si>
    <t>64112-2847</t>
  </si>
  <si>
    <t xml:space="preserve">1248 N Gator Cir  Cape Coral, FL 33909 </t>
  </si>
  <si>
    <t>Hague</t>
  </si>
  <si>
    <t xml:space="preserve">2109 NE 1st Ave </t>
  </si>
  <si>
    <t>33909-4779</t>
  </si>
  <si>
    <t xml:space="preserve">1749/1751 Beach Pkwy </t>
  </si>
  <si>
    <t>01-44-23-c2-02460.0310</t>
  </si>
  <si>
    <t>Wong</t>
  </si>
  <si>
    <t>Robert &amp; Debora Wiersum</t>
  </si>
  <si>
    <t xml:space="preserve">1928 NE 4th Ter  Cape Coral, FL 33909 </t>
  </si>
  <si>
    <t>Cape Coral Unit 85 Blk 5671 Pb 24 Pg 53 Lot 17</t>
  </si>
  <si>
    <t>33909-8807</t>
  </si>
  <si>
    <t xml:space="preserve">441 Wildflower Dr </t>
  </si>
  <si>
    <t>33428-7775</t>
  </si>
  <si>
    <t xml:space="preserve">612 NW 31st Ave  Miami, FL 33125-4233 </t>
  </si>
  <si>
    <t>31-43-24-c1-02162.0050</t>
  </si>
  <si>
    <t>Cardin Elaine R Tr</t>
  </si>
  <si>
    <t xml:space="preserve">13345 Whispering Oaks Dr  Fort Myers, FL 33905 </t>
  </si>
  <si>
    <t xml:space="preserve">805 NE 19th Ter </t>
  </si>
  <si>
    <t>11-44-25-07-00000.1820</t>
  </si>
  <si>
    <t xml:space="preserve">5185 Cypress Trail Resort Cir </t>
  </si>
  <si>
    <t>Dombal</t>
  </si>
  <si>
    <t xml:space="preserve">1728 NE 21st St  Cape Coral, FL 33909 </t>
  </si>
  <si>
    <t>Doral</t>
  </si>
  <si>
    <t>Alhambra</t>
  </si>
  <si>
    <t>20-43-24-c1-05646.0010</t>
  </si>
  <si>
    <t>Eekhoff</t>
  </si>
  <si>
    <t>Prange</t>
  </si>
  <si>
    <t xml:space="preserve">4015 SE 20th Pl  Cape Coral, FL 33904 </t>
  </si>
  <si>
    <t>Cape Coral Unit 36 Blk 2349 Pb 16 Pg 128 Lots 3 + 4</t>
  </si>
  <si>
    <t>Hunters Chase</t>
  </si>
  <si>
    <t xml:space="preserve">1314 NE 5th Pl </t>
  </si>
  <si>
    <t>Keith Taft</t>
  </si>
  <si>
    <t xml:space="preserve">1822 NE 18th Ave  Cape Coral, FL 33909 </t>
  </si>
  <si>
    <t xml:space="preserve">5934 Brightwood Dr </t>
  </si>
  <si>
    <t>Ulrich</t>
  </si>
  <si>
    <t>03-44-26-08-00039.0100</t>
  </si>
  <si>
    <t>Edythe</t>
  </si>
  <si>
    <t xml:space="preserve">7832 Lascala Blvd </t>
  </si>
  <si>
    <t xml:space="preserve">PO Box 1092  Fowlerville, MI 48836-1092 </t>
  </si>
  <si>
    <t>Cape Coral Unit 85 Blk 5638 Pb 24 Pg 50 Lots 67 + 68</t>
  </si>
  <si>
    <t xml:space="preserve">908 NE 43rd Ter </t>
  </si>
  <si>
    <t xml:space="preserve">817 NE 11th St  Cape Coral, FL 33909 </t>
  </si>
  <si>
    <t>Lepage</t>
  </si>
  <si>
    <t xml:space="preserve">1009 NE 2nd Pl </t>
  </si>
  <si>
    <t>Cape Coral Unit 85 Blk 5650 Pb 24 Pg 57 Lots 65 + 66</t>
  </si>
  <si>
    <t>Matthias</t>
  </si>
  <si>
    <t>18-43-24-c3-05742.0170</t>
  </si>
  <si>
    <t>F &amp; M Virgallito Family Trust</t>
  </si>
  <si>
    <t>Esther Turk</t>
  </si>
  <si>
    <t xml:space="preserve">4230 E Gator Cir </t>
  </si>
  <si>
    <t>Cape Coral Unit 36 Blk 2320 Pb 16 Pg 129 Lots 21 + 22</t>
  </si>
  <si>
    <t>Cape Coral Unit 88 Blk 5825 Pb 24 Pg 142 Lots 16 + 17</t>
  </si>
  <si>
    <t>06-44-24-c2-02089.0410</t>
  </si>
  <si>
    <t xml:space="preserve">11011 Hill Crest Ln </t>
  </si>
  <si>
    <t>New Philadelphia</t>
  </si>
  <si>
    <t xml:space="preserve">3134 Averill Blvd  Cape Coral, FL 33909 </t>
  </si>
  <si>
    <t>Carol &amp; Roberta Crandall</t>
  </si>
  <si>
    <t xml:space="preserve">2619 NE 22nd Ave  Cape Coral, FL 33909 </t>
  </si>
  <si>
    <t>Cape Coral Unit 47 Pt 2 Blk 3533 Pb 23 Pg 120 Lots 55 + 56</t>
  </si>
  <si>
    <t xml:space="preserve">4105 NE 21st Pl  Cape Coral, FL 33909 </t>
  </si>
  <si>
    <t>Howard &amp; Karrin Weeden</t>
  </si>
  <si>
    <t>06-44-24-c1-02078.0410</t>
  </si>
  <si>
    <t>Cutricka &amp; Daniel Richardson</t>
  </si>
  <si>
    <t>Scipione</t>
  </si>
  <si>
    <t>Cape Coral Unit 87 Blk 5752 Pb 24 Pg 71 Lots 11 + 12</t>
  </si>
  <si>
    <t>Graham Dickins</t>
  </si>
  <si>
    <t>Bella Burgos</t>
  </si>
  <si>
    <t>Norridge</t>
  </si>
  <si>
    <t>Thomas + Johnson 1St Addn Tice Blk A Pb 5 Pg 52 Lot 9 + E 12Ft Lot 10</t>
  </si>
  <si>
    <t xml:space="preserve">18 Starbird Ave </t>
  </si>
  <si>
    <t>Cape Coral Unit 36 Blk 2312 Pb 16 Pg 127 Lots 41 + 42</t>
  </si>
  <si>
    <t xml:space="preserve">437 S Abbey Hill Ln  Palatine, IL 60067-5984 </t>
  </si>
  <si>
    <t>18-43-24-c4-05683.0250</t>
  </si>
  <si>
    <t xml:space="preserve">1205 S Ridge Rd </t>
  </si>
  <si>
    <t>Cape Coral Unit 36 Blk 2543 Pb 16 Pg 118 Lots 53 + 54</t>
  </si>
  <si>
    <t>36-43-23-c2-02543.0160</t>
  </si>
  <si>
    <t xml:space="preserve">120 Carriage Way </t>
  </si>
  <si>
    <t>33909-7398</t>
  </si>
  <si>
    <t>Cape Coral Unit 34 Blk 2437 Pb 16 Pg 82 Lots 60 + 61</t>
  </si>
  <si>
    <t>Pleasant Prairie</t>
  </si>
  <si>
    <t>10590-2024</t>
  </si>
  <si>
    <t>Peter &amp; Yvonne Rymwid</t>
  </si>
  <si>
    <t>05-44-24-c2-03516.0330</t>
  </si>
  <si>
    <t>Boston</t>
  </si>
  <si>
    <t xml:space="preserve">479 Mountain Rd </t>
  </si>
  <si>
    <t>A50</t>
  </si>
  <si>
    <t>19-43-24-c1-05549.0170</t>
  </si>
  <si>
    <t>Dock Side Trust</t>
  </si>
  <si>
    <t>17-43-24-c2-05803.0110</t>
  </si>
  <si>
    <t xml:space="preserve">46775 S Interstate 94 </t>
  </si>
  <si>
    <t>94555-2422</t>
  </si>
  <si>
    <t>Alexis &amp; Gloria Perez</t>
  </si>
  <si>
    <t>Kisner</t>
  </si>
  <si>
    <t xml:space="preserve">933 SE 25th Ln </t>
  </si>
  <si>
    <t>48603-1104</t>
  </si>
  <si>
    <t xml:space="preserve">9526 S Muskegon Ave  Chicago, IL 60617-4903 </t>
  </si>
  <si>
    <t>Momari</t>
  </si>
  <si>
    <t xml:space="preserve">182 Paraggi Ct </t>
  </si>
  <si>
    <t xml:space="preserve">2733 NE 5th Pl </t>
  </si>
  <si>
    <t xml:space="preserve">1509 Everest Pkwy </t>
  </si>
  <si>
    <t>33909-4725</t>
  </si>
  <si>
    <t>36-43-23-c2-02542.0110</t>
  </si>
  <si>
    <t>34471-5731</t>
  </si>
  <si>
    <t>Ives Estates</t>
  </si>
  <si>
    <t>36-43-23-c3-02146.0510</t>
  </si>
  <si>
    <t>L9X 0C3</t>
  </si>
  <si>
    <t xml:space="preserve">2213 NE 4th Pl  Cape Coral, FL 33909 </t>
  </si>
  <si>
    <t xml:space="preserve">Km4 Cota Chia Conjunto </t>
  </si>
  <si>
    <t>33904-8321</t>
  </si>
  <si>
    <t>Chuon Muth &amp; Sophy Im</t>
  </si>
  <si>
    <t xml:space="preserve">10105 SE 227th St  Kent, WA 98031-2153 </t>
  </si>
  <si>
    <t>County Road 39</t>
  </si>
  <si>
    <t>33909-9230</t>
  </si>
  <si>
    <t>02043-2742</t>
  </si>
  <si>
    <t>La</t>
  </si>
  <si>
    <t>Berrymans</t>
  </si>
  <si>
    <t>West Palm Beach</t>
  </si>
  <si>
    <t xml:space="preserve">3117 NE Juanita Pl  Cape Coral, FL 33909 </t>
  </si>
  <si>
    <t>33909-6464</t>
  </si>
  <si>
    <t>Leibnizstr</t>
  </si>
  <si>
    <t>Natalia</t>
  </si>
  <si>
    <t xml:space="preserve">2306 NE 35th Ln  Cape Coral, FL 33909 </t>
  </si>
  <si>
    <t>Cape Coral Unit 47 Pt 2 Blk 3514 Pb 23 Pg 124 Lots 29 + 30</t>
  </si>
  <si>
    <t xml:space="preserve">9140 SW 80th Ave </t>
  </si>
  <si>
    <t xml:space="preserve">10354 Prairie Iris Dr  Fort Myers, FL 33905 </t>
  </si>
  <si>
    <t>Sandrine</t>
  </si>
  <si>
    <t>Parl In S E 1/4 Sec 34 Twp 43 R 25 As Desc In Or 807 Pg 353</t>
  </si>
  <si>
    <t>Juan Perez</t>
  </si>
  <si>
    <t>05-44-24-c1-03542.0320</t>
  </si>
  <si>
    <t>32-43-24-c3-02237.0450</t>
  </si>
  <si>
    <t>Zhen Zhou &amp; Tuyet-Hanh Pham</t>
  </si>
  <si>
    <t>Cape Coral Unit 88 Blk 5762 Pb 24 Pg 134 Lots 11 + 12</t>
  </si>
  <si>
    <t>Briarmore</t>
  </si>
  <si>
    <t>New Berlin</t>
  </si>
  <si>
    <t>03-44-26-13-00072.0150</t>
  </si>
  <si>
    <t>Koschik Lothar Tr</t>
  </si>
  <si>
    <t xml:space="preserve">287 Cedar Ave  Islip, NY 11751-4610 </t>
  </si>
  <si>
    <t xml:space="preserve">42 Oakmont Ave </t>
  </si>
  <si>
    <t xml:space="preserve">504 NE 20th Ter </t>
  </si>
  <si>
    <t xml:space="preserve">331 Kresson Gibbsboro Rd </t>
  </si>
  <si>
    <t>Ocean View</t>
  </si>
  <si>
    <t>33909-1110</t>
  </si>
  <si>
    <t xml:space="preserve">3631 NE 22nd Ave </t>
  </si>
  <si>
    <t xml:space="preserve">10221 SW 33rd St  Miami, FL 33165-3803 </t>
  </si>
  <si>
    <t>PO Box 279</t>
  </si>
  <si>
    <t xml:space="preserve">1529 NE 13th Ave </t>
  </si>
  <si>
    <t>34953-5301</t>
  </si>
  <si>
    <t>Branson</t>
  </si>
  <si>
    <t>Decarolli</t>
  </si>
  <si>
    <t>Tieu</t>
  </si>
  <si>
    <t>Lopiccolo</t>
  </si>
  <si>
    <t>For Charles L &amp; Janice M Lewis Trust</t>
  </si>
  <si>
    <t>22066-2030</t>
  </si>
  <si>
    <t>3gs</t>
  </si>
  <si>
    <t xml:space="preserve">430 Santa Cruz St  North Fort Myers, FL 33903 </t>
  </si>
  <si>
    <t xml:space="preserve">84 E Meadow Rd </t>
  </si>
  <si>
    <t>18-43-24-c2-05719.0000</t>
  </si>
  <si>
    <t>10705-4725</t>
  </si>
  <si>
    <t>24-45-23-c2-00140.0050</t>
  </si>
  <si>
    <t>33909-3502</t>
  </si>
  <si>
    <t>Calland</t>
  </si>
  <si>
    <t>Cape Coral Unit 33 Blk.2247 Pb 16 Pg 55 Lots 49 + 50</t>
  </si>
  <si>
    <t>33904-5751</t>
  </si>
  <si>
    <t>Akhtar Gudaro</t>
  </si>
  <si>
    <t>Ilagan</t>
  </si>
  <si>
    <t xml:space="preserve">1000 NE 44th Ln  Cape Coral, FL 33909 </t>
  </si>
  <si>
    <t>11-44-25-11-00000.2260</t>
  </si>
  <si>
    <t xml:space="preserve">2308 NE 28th St  Cape Coral, FL 33909 </t>
  </si>
  <si>
    <t xml:space="preserve">413 NE 23rd Ave </t>
  </si>
  <si>
    <t>Cape Coral Unit 85 Blk 5665 Pb 24 Pg 53 Lots 38 + 39</t>
  </si>
  <si>
    <t>Lehigh Acres W Pt Ut 1 Blk 3 Pb 26 Pg 2 Lot 11</t>
  </si>
  <si>
    <t>Rhoades</t>
  </si>
  <si>
    <t xml:space="preserve">3925 NE 16th Pl  Cape Coral, FL 33909 </t>
  </si>
  <si>
    <t>25-43-23-c1-02324.0150</t>
  </si>
  <si>
    <t>33165-2649</t>
  </si>
  <si>
    <t>11-44-25-09-00000.2030</t>
  </si>
  <si>
    <t>Esrael</t>
  </si>
  <si>
    <t>Cape Coral Unit 32 Blk 2138 Pb 16 Pg 9 Lots 29 + 30</t>
  </si>
  <si>
    <t xml:space="preserve">2303 NE 16th Ter </t>
  </si>
  <si>
    <t>11-44-25-l1-1400b.4630</t>
  </si>
  <si>
    <t>Seven Springs</t>
  </si>
  <si>
    <t xml:space="preserve">PO Box 22661  Fort Lauderdale, FL 33335-2661 </t>
  </si>
  <si>
    <t>06-44-24-c4-02047.0010</t>
  </si>
  <si>
    <t>Lehigh Acres Unit 6 Blk 30 Pb 26 Pg 8 Lot 8</t>
  </si>
  <si>
    <t>Casanave</t>
  </si>
  <si>
    <t>Emilia &amp; Joanna Kupczak</t>
  </si>
  <si>
    <t xml:space="preserve">1027 NE 33rd Ter  Cape Coral, FL 33909 </t>
  </si>
  <si>
    <t>33619-8402</t>
  </si>
  <si>
    <t>20-43-24-c2-05663.0090</t>
  </si>
  <si>
    <t xml:space="preserve">Po Box 1593 </t>
  </si>
  <si>
    <t>00751-6001</t>
  </si>
  <si>
    <t>Gordon</t>
  </si>
  <si>
    <t xml:space="preserve">6380 Castlewood Cir </t>
  </si>
  <si>
    <t xml:space="preserve">1311 NE 23rd St </t>
  </si>
  <si>
    <t xml:space="preserve">2121 NE 27th St  Cape Coral, FL 33909 </t>
  </si>
  <si>
    <t>02917-3325</t>
  </si>
  <si>
    <t>Jose Merced &amp; Mayra Tomicic</t>
  </si>
  <si>
    <t xml:space="preserve">1622 NE 23rd Ter  Cape Coral, FL 33909 </t>
  </si>
  <si>
    <t xml:space="preserve">1730 NE 19th Ave </t>
  </si>
  <si>
    <t>75901-1901</t>
  </si>
  <si>
    <t>02122-2996</t>
  </si>
  <si>
    <t xml:space="preserve">3862 Inverness Dr #202, Memphis, TN 38125-2343 </t>
  </si>
  <si>
    <t>Jose R Valle Revocable Trust</t>
  </si>
  <si>
    <t xml:space="preserve">506 NE 23rd Ter  Cape Coral, FL 33909 </t>
  </si>
  <si>
    <t>PO Box 510374</t>
  </si>
  <si>
    <t xml:space="preserve">179 Hawthorne Ave </t>
  </si>
  <si>
    <t xml:space="preserve">2109 NE 33rd Ter </t>
  </si>
  <si>
    <t>07675-6841</t>
  </si>
  <si>
    <t xml:space="preserve">460 Palm Is SE  Clearwater Beach, FL 33767-1938 </t>
  </si>
  <si>
    <t>33909-7344</t>
  </si>
  <si>
    <t>Baily</t>
  </si>
  <si>
    <t xml:space="preserve">14415 Round Lick Ln  Centreville, VA 20120-1678 </t>
  </si>
  <si>
    <t>05-45-24-c1-00593.0150</t>
  </si>
  <si>
    <t>32-43-24-c1-02194.0380</t>
  </si>
  <si>
    <t xml:space="preserve">323 Pondview Dr </t>
  </si>
  <si>
    <t xml:space="preserve">3 Chemin Du Crosery  Tiefosse, FR </t>
  </si>
  <si>
    <t xml:space="preserve">2214 NE 8th Pl </t>
  </si>
  <si>
    <t>Lehigh Acres Unit 8 Blk 38 Pb 26 Pg 10 E 1/2 Of Lot 14</t>
  </si>
  <si>
    <t xml:space="preserve">204 W Lake Blvd </t>
  </si>
  <si>
    <t xml:space="preserve">12 Roland Dr  Albany, NY 12208-1023 </t>
  </si>
  <si>
    <t xml:space="preserve">3785 La Rue St  Fort Myers, FL 33905 </t>
  </si>
  <si>
    <t xml:space="preserve">8490 SW 89th St </t>
  </si>
  <si>
    <t>Cape Coral Unit 85 Blk 5672 Pb 24 Pg 52 Lots 23 + 24</t>
  </si>
  <si>
    <t xml:space="preserve">1601 NE 33rd Ter  Cape Coral, FL 33909 </t>
  </si>
  <si>
    <t>Toledo</t>
  </si>
  <si>
    <t>R083</t>
  </si>
  <si>
    <t>Ryan Wells</t>
  </si>
  <si>
    <t>19-43-24-c3-05623.0450</t>
  </si>
  <si>
    <t xml:space="preserve">1560 S State St </t>
  </si>
  <si>
    <t xml:space="preserve">867 Bay Shore Ave  West Islip, NY 11795-1522 </t>
  </si>
  <si>
    <t>06416-2711</t>
  </si>
  <si>
    <t xml:space="preserve">1732 NE 18th Pl  Cape Coral, FL 33909 </t>
  </si>
  <si>
    <t>John &amp; Alma Steeves</t>
  </si>
  <si>
    <t xml:space="preserve">901 NE 5th Ave  Cape Coral, FL 33909 </t>
  </si>
  <si>
    <t>17042-4935</t>
  </si>
  <si>
    <t>Angelica</t>
  </si>
  <si>
    <t>07-44-24-c3-01496.0390</t>
  </si>
  <si>
    <t>20816-1262</t>
  </si>
  <si>
    <t xml:space="preserve">4319 NE 13th Pl  Cape Coral, FL 33909 </t>
  </si>
  <si>
    <t>43232-5334</t>
  </si>
  <si>
    <t>33909-1905</t>
  </si>
  <si>
    <t>34120-2393</t>
  </si>
  <si>
    <t xml:space="preserve">816 Durden Pkwy </t>
  </si>
  <si>
    <t>Roger &amp; Mary Aimi</t>
  </si>
  <si>
    <t>15-44-24-04-00000.0330</t>
  </si>
  <si>
    <t>Jorgensen</t>
  </si>
  <si>
    <t xml:space="preserve">3746 Hyde Park Dr  Fort Myers, FL 33905 </t>
  </si>
  <si>
    <t>Cape Coral Unit 36 Blk 2350 Pb 16 Pg 128 Lots 41 + 42</t>
  </si>
  <si>
    <t>77494-1657</t>
  </si>
  <si>
    <t>Suyderhoud</t>
  </si>
  <si>
    <t>East Peoria</t>
  </si>
  <si>
    <t xml:space="preserve">6515 38th Ave 1b </t>
  </si>
  <si>
    <t>Clarence</t>
  </si>
  <si>
    <t xml:space="preserve">800 NW 62nd St #330, Fort Lauderdale, FL 33309-2057 </t>
  </si>
  <si>
    <t>Buckingham Pk Re Blk B U-2 Blk 7 Pb 27 Pg 189 Lot 7</t>
  </si>
  <si>
    <t>For Thomas W &amp; Norma J Osburn Trust</t>
  </si>
  <si>
    <t xml:space="preserve">1421 8th St NE J1, Auburn, WA 98002-4518 </t>
  </si>
  <si>
    <t>11-44-25-06-0000d.1060</t>
  </si>
  <si>
    <t>Irving</t>
  </si>
  <si>
    <t>03-44-26-09-00045.0120</t>
  </si>
  <si>
    <t xml:space="preserve">650 E Vine Maple Lane Un </t>
  </si>
  <si>
    <t>Hineline</t>
  </si>
  <si>
    <t xml:space="preserve">201 Norfolk St </t>
  </si>
  <si>
    <t>Bracci</t>
  </si>
  <si>
    <t>33909-6121</t>
  </si>
  <si>
    <t>Sun-N-Fun Or 2338 Pg 1033 Lot 419 Co-Operative</t>
  </si>
  <si>
    <t>Cape Coral Unit 21 Blk 614 Pb 13 Pg 152 Lots 55 + 56</t>
  </si>
  <si>
    <t>Robert &amp; David Bates</t>
  </si>
  <si>
    <t xml:space="preserve">16007 86th St </t>
  </si>
  <si>
    <t>Cape Coral Unit 87 Blk 5730 Pb 24 Pg 86 Lots 43 + 44</t>
  </si>
  <si>
    <t>Cape Coral Unit 31 Blk 2035 Pb 14 Pg 156 Lots 3 + 4</t>
  </si>
  <si>
    <t xml:space="preserve">PO Box 559  Cutchogue, NY 11935 </t>
  </si>
  <si>
    <t xml:space="preserve">1302 NE 2nd Ave  Cape Coral, FL 33909 </t>
  </si>
  <si>
    <t xml:space="preserve">10211 Yellowtop Trl  Fort Myers, FL 33905 </t>
  </si>
  <si>
    <t>33909-3355</t>
  </si>
  <si>
    <t>33909-8802</t>
  </si>
  <si>
    <t>Cape Coral Unit 84 Blk 5550 Pb 24 Pg 39 Lot 30</t>
  </si>
  <si>
    <t>4b</t>
  </si>
  <si>
    <t xml:space="preserve">710 Coral Dr </t>
  </si>
  <si>
    <t>16-44-26-04-00002.0100</t>
  </si>
  <si>
    <t>Constructores</t>
  </si>
  <si>
    <t>25-43-23-c2-02346.0520</t>
  </si>
  <si>
    <t>Ann Arbor</t>
  </si>
  <si>
    <t xml:space="preserve">2524 Weber Blvd </t>
  </si>
  <si>
    <t>Cypress Trail Rv Resort Phase 4-A As Desc In Inst# 20160000135610 Lot 391</t>
  </si>
  <si>
    <t xml:space="preserve">4266 Croce Ct  Pleasanton, CA 94566-7106 </t>
  </si>
  <si>
    <t xml:space="preserve">594 Lambton Ln </t>
  </si>
  <si>
    <t>03-44-26-13-00070.0060</t>
  </si>
  <si>
    <t xml:space="preserve">14990 Center St </t>
  </si>
  <si>
    <t>Marchu</t>
  </si>
  <si>
    <t xml:space="preserve">10078 Hc 3  Keaau, HI 96749-9200 </t>
  </si>
  <si>
    <t>Luu</t>
  </si>
  <si>
    <t># 901</t>
  </si>
  <si>
    <t>6 warren</t>
  </si>
  <si>
    <t>John A Kaldahl Trust</t>
  </si>
  <si>
    <t xml:space="preserve">10386 Drummer Rd </t>
  </si>
  <si>
    <t>Green Shanty</t>
  </si>
  <si>
    <t>Pereda</t>
  </si>
  <si>
    <t xml:space="preserve">2232 Curtis St </t>
  </si>
  <si>
    <t>Mensur &amp; Mirsada Kapic</t>
  </si>
  <si>
    <t>33029-6044</t>
  </si>
  <si>
    <t xml:space="preserve">2330 SW 125th Ave  Miramar, FL 33027-2636 </t>
  </si>
  <si>
    <t>19-43-24-c4-05551.0070</t>
  </si>
  <si>
    <t xml:space="preserve">3644 NE 9th Ave  Cape Coral, FL 33909 </t>
  </si>
  <si>
    <t>Yonkers</t>
  </si>
  <si>
    <t>11-44-25-05-0000c.0500</t>
  </si>
  <si>
    <t>John &amp; Deborah Bingham</t>
  </si>
  <si>
    <t>Goeppingen</t>
  </si>
  <si>
    <t>Fort Lauderdale</t>
  </si>
  <si>
    <t>Merlin</t>
  </si>
  <si>
    <t xml:space="preserve">4305 NE 21st Ct </t>
  </si>
  <si>
    <t>Timberline</t>
  </si>
  <si>
    <t>Custer</t>
  </si>
  <si>
    <t xml:space="preserve">903 NE 32nd St </t>
  </si>
  <si>
    <t xml:space="preserve">68 Chemin Hauts De Grisy  El Indio, TX 78860 </t>
  </si>
  <si>
    <t>Iddings</t>
  </si>
  <si>
    <t xml:space="preserve">12-63 Lexington St </t>
  </si>
  <si>
    <t xml:space="preserve">336 NE 27th Ter </t>
  </si>
  <si>
    <t>Georgia Humphrey</t>
  </si>
  <si>
    <t xml:space="preserve">5150 Cypress Trail Resort Cir </t>
  </si>
  <si>
    <t>Av Principal Colinas De Valle</t>
  </si>
  <si>
    <t xml:space="preserve">2519 NE 7th Ave  Cape Coral, FL 33909 </t>
  </si>
  <si>
    <t>Watersedge</t>
  </si>
  <si>
    <t xml:space="preserve">5209 Cypress Trail Resort Cir  Fort Myers, FL 33905 </t>
  </si>
  <si>
    <t xml:space="preserve">6152 Stratton Rd </t>
  </si>
  <si>
    <t>Fernando Campo</t>
  </si>
  <si>
    <t>Cape Coral Unit 6 Pt.2 Amd Blk.33 Pb 12 Pg 40 Lots 11 + 12</t>
  </si>
  <si>
    <t>00969-3516</t>
  </si>
  <si>
    <t xml:space="preserve">11075 Trail Haven Rd  Rogers, MN 55374-9712 </t>
  </si>
  <si>
    <t xml:space="preserve">905 W Millbrook St  Hanford, CA 93230-8556 </t>
  </si>
  <si>
    <t>Lemire</t>
  </si>
  <si>
    <t>Kober</t>
  </si>
  <si>
    <t>33543-6403</t>
  </si>
  <si>
    <t>Lehigh Acres Unit 12 Blk 68 Pb 26 Pg 15 Lots 31 + 32</t>
  </si>
  <si>
    <t xml:space="preserve">1005 NE 44th St  Cape Coral, FL 33909 </t>
  </si>
  <si>
    <t>David &amp; Elizabeth Cruthers</t>
  </si>
  <si>
    <t>H077</t>
  </si>
  <si>
    <t>36-43-23-c3-02477.0350</t>
  </si>
  <si>
    <t>33040-3633</t>
  </si>
  <si>
    <t>Lehigh Acres Unit 9 Blk 44 Pb 26 Pg 11 Lot 22</t>
  </si>
  <si>
    <t xml:space="preserve">1448 Eastland Rd SE </t>
  </si>
  <si>
    <t xml:space="preserve">7913 Hidden Valley Dr </t>
  </si>
  <si>
    <t>33905-7796</t>
  </si>
  <si>
    <t>Madrid</t>
  </si>
  <si>
    <t xml:space="preserve">10225 Butterweed Trl  Fort Myers, FL 33905 </t>
  </si>
  <si>
    <t xml:space="preserve">4021 NE 10th Pl  Cape Coral, FL 33909 </t>
  </si>
  <si>
    <t>York</t>
  </si>
  <si>
    <t>UT</t>
  </si>
  <si>
    <t>Craig Feldmeier &amp; Amy Youssef</t>
  </si>
  <si>
    <t>Terence &amp; Paulette Braithwaite</t>
  </si>
  <si>
    <t>33909-1758</t>
  </si>
  <si>
    <t xml:space="preserve">2743 Edsel St  Trenton, MI 48183-2535 </t>
  </si>
  <si>
    <t>Lino &amp; Raquel Martinez</t>
  </si>
  <si>
    <t>Donald Hamilton</t>
  </si>
  <si>
    <t xml:space="preserve">1080 Massachusetts Ave  North Adams, MA 01247-2264 </t>
  </si>
  <si>
    <t xml:space="preserve">1408 NE 23rd Ter  Cape Coral, FL 33909 </t>
  </si>
  <si>
    <t xml:space="preserve">2900 NE 5th Pl  Cape Coral, FL 33909 </t>
  </si>
  <si>
    <t>Rodriguez Marquez &amp; Higgins Salej</t>
  </si>
  <si>
    <t xml:space="preserve">2219 Andalusia Blvd </t>
  </si>
  <si>
    <t>19-43-24-c4-05566.0130</t>
  </si>
  <si>
    <t xml:space="preserve">5548 Northwood Dr </t>
  </si>
  <si>
    <t xml:space="preserve">15809 140th Ct SE  Renton, WA 98058-7811 </t>
  </si>
  <si>
    <t>33909-1469</t>
  </si>
  <si>
    <t xml:space="preserve">1920 S Gator Cir </t>
  </si>
  <si>
    <t xml:space="preserve">2900 NE 2nd Ave  Cape Coral, FL 33909 </t>
  </si>
  <si>
    <t>N0m 1</t>
  </si>
  <si>
    <t xml:space="preserve">14 Ch Du Roucas Blanc </t>
  </si>
  <si>
    <t>Cape Coral Unit 87 Blk 5753 Pb 24 Pg 69 Lots 40 + 41</t>
  </si>
  <si>
    <t>Michel Rodini</t>
  </si>
  <si>
    <t>10803-1316</t>
  </si>
  <si>
    <t xml:space="preserve">3412 NE 19th Pl </t>
  </si>
  <si>
    <t xml:space="preserve">8230 Bleeks Rd  Ashton, ON K0a 1B0 </t>
  </si>
  <si>
    <t>Cape Coral Unit 87 Blk 5729 Pb 24 Pg 86 Lots 54 + 55</t>
  </si>
  <si>
    <t>Mendoza</t>
  </si>
  <si>
    <t>Carmen Zaporta</t>
  </si>
  <si>
    <t>Matthew &amp; Susan Rull</t>
  </si>
  <si>
    <t>Ziqiang Ren</t>
  </si>
  <si>
    <t xml:space="preserve">1 Sharen Dr  Lido Beach, NY 11561-5224 </t>
  </si>
  <si>
    <t xml:space="preserve">4157 NE 21st Pl  Cape Coral, FL 33909 </t>
  </si>
  <si>
    <t>Carmen Afonso</t>
  </si>
  <si>
    <t>94040-2303</t>
  </si>
  <si>
    <t xml:space="preserve">Villa Carolina  Carolina, PR 00985 </t>
  </si>
  <si>
    <t xml:space="preserve">822 Diplomat Pkwy E </t>
  </si>
  <si>
    <t>19707-9697</t>
  </si>
  <si>
    <t xml:space="preserve">506 NE 1st Ave </t>
  </si>
  <si>
    <t xml:space="preserve">10247 Meadow Beauty Trl </t>
  </si>
  <si>
    <t xml:space="preserve">5105 Grand Loop #308, Tacoma, WA 98407-3179 </t>
  </si>
  <si>
    <t xml:space="preserve">1042e E Radiant Ridge Dr </t>
  </si>
  <si>
    <t xml:space="preserve">2215 NE 16th Pl  Cape Coral, FL 33909 </t>
  </si>
  <si>
    <t xml:space="preserve">9502 Cissell Ave  Laurel, MD 20723-1820 </t>
  </si>
  <si>
    <t>Cypress Woods Rv Resort Un 3 Desc In Pb 72 Pgs 92-95 Blk C Lot 37</t>
  </si>
  <si>
    <t xml:space="preserve">2552 S 2nd St </t>
  </si>
  <si>
    <t xml:space="preserve">2035 Southridge Dr  Jefferson City, MO 65109-2028 </t>
  </si>
  <si>
    <t>80602-8866</t>
  </si>
  <si>
    <t>03-44-26-06-00030.0050</t>
  </si>
  <si>
    <t>06-44-24-c1-02068.0630</t>
  </si>
  <si>
    <t>55431-3727</t>
  </si>
  <si>
    <t>Glen Guthrie</t>
  </si>
  <si>
    <t>Vichare</t>
  </si>
  <si>
    <t>33909-3301</t>
  </si>
  <si>
    <t>17-43-24-c1-05824.0060</t>
  </si>
  <si>
    <t xml:space="preserve">6106 Stratton Rd </t>
  </si>
  <si>
    <t xml:space="preserve">1413 NE 5th Pl </t>
  </si>
  <si>
    <t xml:space="preserve">7015 Fountain Ave  Tampa, FL 33634-3511 </t>
  </si>
  <si>
    <t xml:space="preserve">6560 Chabot Ave </t>
  </si>
  <si>
    <t>L0B 1B0</t>
  </si>
  <si>
    <t xml:space="preserve">2218 NE 44th St  Cape Coral, FL 33909 </t>
  </si>
  <si>
    <t>63128-4517</t>
  </si>
  <si>
    <t>Edgar Fisher</t>
  </si>
  <si>
    <t xml:space="preserve">60 Louis Ave  Elmont, NY 11003-1239 </t>
  </si>
  <si>
    <t>11762-2505</t>
  </si>
  <si>
    <t>Grand Augusta</t>
  </si>
  <si>
    <t xml:space="preserve">466 Country Club Dr  Danville, VA 24541-4728 </t>
  </si>
  <si>
    <t>Zenick</t>
  </si>
  <si>
    <t xml:space="preserve">3012 NE 5th Pl </t>
  </si>
  <si>
    <t>Luz Guzman</t>
  </si>
  <si>
    <t>11-44-25-04-0000a.0470</t>
  </si>
  <si>
    <t>Owens</t>
  </si>
  <si>
    <t>25-43-23-c2-02330.0170</t>
  </si>
  <si>
    <t>Lehigh Acres Unit 5 Blk 23 Pb 26 Pg 26 Lot 2</t>
  </si>
  <si>
    <t xml:space="preserve">110 Diane Dr  Broomall, PA 19008-2641 </t>
  </si>
  <si>
    <t>Richard Cipriani</t>
  </si>
  <si>
    <t xml:space="preserve">2915 NE 2nd Pl  Cape Coral, FL 33909 </t>
  </si>
  <si>
    <t>33704-1736</t>
  </si>
  <si>
    <t xml:space="preserve">532 SE 26th Ter  Cape Coral, FL 33904 </t>
  </si>
  <si>
    <t>07-44-24-c4-03586.0160</t>
  </si>
  <si>
    <t xml:space="preserve">1802 NE 22nd Ave  Cape Coral, FL 33909 </t>
  </si>
  <si>
    <t>Lehigh Acres W Pt Unit 12 Blk 63 Pb 26 Pg 16 Lot 14</t>
  </si>
  <si>
    <t>Im Gestockert 84 A</t>
  </si>
  <si>
    <t>Parkside</t>
  </si>
  <si>
    <t>33905-7546</t>
  </si>
  <si>
    <t>De Navarra</t>
  </si>
  <si>
    <t>Loretta Allert &amp; Carolyn Cyrway</t>
  </si>
  <si>
    <t xml:space="preserve">433 NE 17th Pl  Cape Coral, FL 33909 </t>
  </si>
  <si>
    <t>Kevin &amp; Denise Young</t>
  </si>
  <si>
    <t xml:space="preserve">4445 Bessie Ave  Fort Myers, FL 33905 </t>
  </si>
  <si>
    <t>PO Box 360750</t>
  </si>
  <si>
    <t>Whitney</t>
  </si>
  <si>
    <t>Alice</t>
  </si>
  <si>
    <t xml:space="preserve">2117 NE 5th Pl </t>
  </si>
  <si>
    <t>Chestnut</t>
  </si>
  <si>
    <t>255th</t>
  </si>
  <si>
    <t xml:space="preserve">4216 NE 18th Ave  Cape Coral, FL 33909 </t>
  </si>
  <si>
    <t>Heriberto</t>
  </si>
  <si>
    <t xml:space="preserve">409 Shady Ln  Greenwood, IN 46142-8363 </t>
  </si>
  <si>
    <t>43528-9640</t>
  </si>
  <si>
    <t>Thomas Kaiser</t>
  </si>
  <si>
    <t xml:space="preserve">8471 Dewey Rd </t>
  </si>
  <si>
    <t>Cape Coral Unit 87 Blk 5690 Pb 24 Pg 83 Lots 49 + 50</t>
  </si>
  <si>
    <t xml:space="preserve">475 Marconi Rue Loc </t>
  </si>
  <si>
    <t>33909-4377</t>
  </si>
  <si>
    <t xml:space="preserve">11523 Hardisty Rd </t>
  </si>
  <si>
    <t>Bueno</t>
  </si>
  <si>
    <t xml:space="preserve">4034 NE 9th Pl  Cape Coral, FL 33909 </t>
  </si>
  <si>
    <t>Giacamo &amp; Grace Carollo</t>
  </si>
  <si>
    <t>G L G &amp; Barbara Mander</t>
  </si>
  <si>
    <t>11-44-25-l1-13000.1070</t>
  </si>
  <si>
    <t>33134-1844</t>
  </si>
  <si>
    <t xml:space="preserve">1018 NE 15th St </t>
  </si>
  <si>
    <t xml:space="preserve">2116 NE 24th Ter </t>
  </si>
  <si>
    <t xml:space="preserve">205 Woodlawn Ct  Quincy, IL 62301-4474 </t>
  </si>
  <si>
    <t xml:space="preserve">1427 Weeping Willow Ct </t>
  </si>
  <si>
    <t>Richard &amp; Beverly Jones</t>
  </si>
  <si>
    <t xml:space="preserve">1406 NE 1st Pl  Cape Coral, FL 33909 </t>
  </si>
  <si>
    <t xml:space="preserve">2126 NE 1st Pl </t>
  </si>
  <si>
    <t>07-44-24-c3-01494.0050</t>
  </si>
  <si>
    <t>36-43-23-c2-02534.0180</t>
  </si>
  <si>
    <t>36-43-23-c4-02546.0170</t>
  </si>
  <si>
    <t>Cape Coral Unit 34 Blk.2417 Pb 16 Pg 78 Lots 29 + 30</t>
  </si>
  <si>
    <t>13th</t>
  </si>
  <si>
    <t xml:space="preserve">4168 NE 9th Pl </t>
  </si>
  <si>
    <t>32-43-24-c4-02207.0030</t>
  </si>
  <si>
    <t>Beachy</t>
  </si>
  <si>
    <t>Lehigh Acres Unit 12 Blk 65 Pb 26 Pg 15 Lot 20</t>
  </si>
  <si>
    <t>Cape Coral Unit 36 Blk 2355 Pb 16 Pg 119 Lots 16 + 17</t>
  </si>
  <si>
    <t>Ulku</t>
  </si>
  <si>
    <t>Hialeah Gardens</t>
  </si>
  <si>
    <t xml:space="preserve">409 NE 18th Pl </t>
  </si>
  <si>
    <t>63376-2560</t>
  </si>
  <si>
    <t>Holiday</t>
  </si>
  <si>
    <t>34110-8406</t>
  </si>
  <si>
    <t xml:space="preserve">5760 Pathwood Ct </t>
  </si>
  <si>
    <t xml:space="preserve">2842 Bellarosa Cir </t>
  </si>
  <si>
    <t>Cape Coral Unit 36 Blk 2515 Pb 16 Pg 113 Lots 55 + 56</t>
  </si>
  <si>
    <t>Julie</t>
  </si>
  <si>
    <t>61073-8429</t>
  </si>
  <si>
    <t>Francois Maillard</t>
  </si>
  <si>
    <t xml:space="preserve">3534 Sanctuary Dr  Saint Cloud, FL 34769-7123 </t>
  </si>
  <si>
    <t>De La Torre</t>
  </si>
  <si>
    <t>Balks</t>
  </si>
  <si>
    <t>Healy</t>
  </si>
  <si>
    <t xml:space="preserve">7811 NW 159th Ter </t>
  </si>
  <si>
    <t xml:space="preserve">12 Legrande Ter  Wayne, NJ 07470-6029 </t>
  </si>
  <si>
    <t xml:space="preserve">8376 SW 159th Pl </t>
  </si>
  <si>
    <t>Blucherstrasse</t>
  </si>
  <si>
    <t>Magee</t>
  </si>
  <si>
    <t>Simi Valley</t>
  </si>
  <si>
    <t>Ken Chan</t>
  </si>
  <si>
    <t>PO Box 313</t>
  </si>
  <si>
    <t>Teakwood</t>
  </si>
  <si>
    <t>Sheltering Pines M/H Vlg Blk 2 Or 493 Pg 607-8 Lot 37</t>
  </si>
  <si>
    <t xml:space="preserve">1164 NE 44th Ln </t>
  </si>
  <si>
    <t>C061</t>
  </si>
  <si>
    <t>Cape Coral Unit 31 Blk 2078 Pb 14 Pg 163 Lots 41 + 42</t>
  </si>
  <si>
    <t>18-43-24-c4-05701.0410</t>
  </si>
  <si>
    <t>Brandon Pines</t>
  </si>
  <si>
    <t>Sergiu</t>
  </si>
  <si>
    <t xml:space="preserve">8620 Tropicaire Blvd  North Port, FL 34291-4036 </t>
  </si>
  <si>
    <t>Viet Quang Nguyen &amp; Viet Nguyen</t>
  </si>
  <si>
    <t>Cape Coral Unit 84 Blk 5588 Pb 24 Pg 45 Lots 5 + 6</t>
  </si>
  <si>
    <t xml:space="preserve">512 NW 8th Ave  Delray Beach, FL 33444-1702 </t>
  </si>
  <si>
    <t>33905-8715</t>
  </si>
  <si>
    <t>Sergio Zambrano</t>
  </si>
  <si>
    <t xml:space="preserve">164 Allen Rd </t>
  </si>
  <si>
    <t xml:space="preserve">7748 Surrey Dr </t>
  </si>
  <si>
    <t>Montufar</t>
  </si>
  <si>
    <t>Kemptville</t>
  </si>
  <si>
    <t xml:space="preserve">1374 W 550 S </t>
  </si>
  <si>
    <t xml:space="preserve">121 NE 8th Ter </t>
  </si>
  <si>
    <t>33029-1627</t>
  </si>
  <si>
    <t>17-43-24-c1-05761.0260</t>
  </si>
  <si>
    <t>Santacruz</t>
  </si>
  <si>
    <t>33909-8601</t>
  </si>
  <si>
    <t xml:space="preserve">13035 SW 2nd Ter  Miami, FL 33184-1257 </t>
  </si>
  <si>
    <t>Rail Head</t>
  </si>
  <si>
    <t>Oliver &amp; Andrea Harmann</t>
  </si>
  <si>
    <t>07202-1725</t>
  </si>
  <si>
    <t>12-45-23-c4-00221.0150</t>
  </si>
  <si>
    <t>05-45-24-c4-00569.0370</t>
  </si>
  <si>
    <t xml:space="preserve">10 Franklin Ter  Irvington, NJ 07111-1317 </t>
  </si>
  <si>
    <t>Tov</t>
  </si>
  <si>
    <t>Cape Coral Unit 32 Blk 2133 Pb 16 Pg 13 Lots 12 + 13</t>
  </si>
  <si>
    <t>Anderson Sandra</t>
  </si>
  <si>
    <t>Cape Coral Unit 31 Blk 2077 Pb 14 Pg 164 Lots 44 + 45</t>
  </si>
  <si>
    <t>Cape Coral Unit 31 Blk.2068 Pb 14 Pg 164 Lots 35 + 36</t>
  </si>
  <si>
    <t xml:space="preserve">13101 SW 209th St  Miami, FL 33177-7510 </t>
  </si>
  <si>
    <t xml:space="preserve">818 E Myrtle St </t>
  </si>
  <si>
    <t xml:space="preserve">Nir  Davis, IL 10803 </t>
  </si>
  <si>
    <t>Steven &amp; Sara Miszkiewicz</t>
  </si>
  <si>
    <t>16-43-24-01-00000.0080</t>
  </si>
  <si>
    <t xml:space="preserve">1120 NE 5th Pl  Cape Coral, FL 33909 </t>
  </si>
  <si>
    <t>92131-2940</t>
  </si>
  <si>
    <t>06804-1730</t>
  </si>
  <si>
    <t>Gary &amp; Aileen Schreiner</t>
  </si>
  <si>
    <t>Kelly Nguyen</t>
  </si>
  <si>
    <t xml:space="preserve">73 Wiltwyck Ave  Kingston, NY 12401-2643 </t>
  </si>
  <si>
    <t xml:space="preserve">1040 Kelly St </t>
  </si>
  <si>
    <t>36-43-23-c4-02475.0200</t>
  </si>
  <si>
    <t>32-43-24-c1-02182.0750</t>
  </si>
  <si>
    <t>George &amp; Linda Mccomb</t>
  </si>
  <si>
    <t>Larry Laidlaw &amp; Linda Mctavish</t>
  </si>
  <si>
    <t>18-43-24-c3-05747.0200</t>
  </si>
  <si>
    <t xml:space="preserve">1786 SW Cashmere Blvd  Port Saint Lucie, FL 34953-1533 </t>
  </si>
  <si>
    <t>Cape Coral Unit 85 Blk 5632 Pb 24 Pg 50 Lots 41 + 42</t>
  </si>
  <si>
    <t>Larue</t>
  </si>
  <si>
    <t xml:space="preserve">26 N Millpage Dr  Bethpage, NY 11714-4819 </t>
  </si>
  <si>
    <t>01-44-23-c1-02464.0360</t>
  </si>
  <si>
    <t>30-43-24-c2-13706.0720</t>
  </si>
  <si>
    <t>Cape Coral Unit 34 Blk.2443 Pb 16 Pg 78 Lots 43 + 44</t>
  </si>
  <si>
    <t>Atus</t>
  </si>
  <si>
    <t xml:space="preserve">26-28 Rosenstrasse </t>
  </si>
  <si>
    <t>31-44-24-c3-00611.0220</t>
  </si>
  <si>
    <t>Islip Terrace</t>
  </si>
  <si>
    <t xml:space="preserve">5268 Cypress Trail Resort Cir </t>
  </si>
  <si>
    <t>32-43-24-c2-02188.0230</t>
  </si>
  <si>
    <t>Cape Coral Unit 2 Part 3 Blk.228 Pb 11 Pg 39 Lots 30 + 31</t>
  </si>
  <si>
    <t xml:space="preserve">6129 Chickering Ct  Nashville, TN 37215-5001 </t>
  </si>
  <si>
    <t>Cape Coral Unit 47 Part 2 Blk 3536 Pb 23 Pg 119 Lots 41 + 42</t>
  </si>
  <si>
    <t xml:space="preserve">2118 NE 13th Ave </t>
  </si>
  <si>
    <t xml:space="preserve">8612 Breezy Hill Dr  Boynton Beach, FL 33473-4899 </t>
  </si>
  <si>
    <t>33909-3350</t>
  </si>
  <si>
    <t>Winter</t>
  </si>
  <si>
    <t>Crane</t>
  </si>
  <si>
    <t xml:space="preserve">1126 Akumu St </t>
  </si>
  <si>
    <t xml:space="preserve">423 NE 1st Ave  Cape Coral, FL 33909 </t>
  </si>
  <si>
    <t>11-44-25-05-0000c.0010</t>
  </si>
  <si>
    <t>33-43-25-03-00003.0760</t>
  </si>
  <si>
    <t>Cape Coral Unit 36 Blk 2353 Pb 16 Pg 120 Lots 26 + 27</t>
  </si>
  <si>
    <t>33909-6519</t>
  </si>
  <si>
    <t xml:space="preserve">15 Radburn Ln </t>
  </si>
  <si>
    <t>Discovery</t>
  </si>
  <si>
    <t>91709-6522</t>
  </si>
  <si>
    <t>Aihua</t>
  </si>
  <si>
    <t>Rentzelos</t>
  </si>
  <si>
    <t>Cape Coral Unit 36 Blk 2300A Pb 16 Pg 125 Lot 69</t>
  </si>
  <si>
    <t xml:space="preserve">1301 NE 22nd Ave </t>
  </si>
  <si>
    <t>Peralta</t>
  </si>
  <si>
    <t>Cape Coral Unit 19 Blk 1168 Pb 13 Pg 123 Lots 33 + 34</t>
  </si>
  <si>
    <t>William &amp; Jennifer Warren</t>
  </si>
  <si>
    <t xml:space="preserve">2415 NE 20th Ave </t>
  </si>
  <si>
    <t>Mccawley</t>
  </si>
  <si>
    <t xml:space="preserve">3411 Elmwood Ave </t>
  </si>
  <si>
    <t xml:space="preserve">3748 Kenyon St </t>
  </si>
  <si>
    <t xml:space="preserve">1004 S Tamarack Ave  Broken Arrow, OK 74012-4637 </t>
  </si>
  <si>
    <t xml:space="preserve">1028 NE 34th Ter </t>
  </si>
  <si>
    <t>72738-9200</t>
  </si>
  <si>
    <t xml:space="preserve">5284 Cypress Trail Resort Cir </t>
  </si>
  <si>
    <t>33904-3414</t>
  </si>
  <si>
    <t>06-44-24-c2-02064.0080</t>
  </si>
  <si>
    <t xml:space="preserve">1414 NE 18th St </t>
  </si>
  <si>
    <t>Marshfield</t>
  </si>
  <si>
    <t>Marci</t>
  </si>
  <si>
    <t>66th</t>
  </si>
  <si>
    <t xml:space="preserve">2508 Andrew Jackson Way NE  Huntsville, AL 35811-1932 </t>
  </si>
  <si>
    <t>33909-4323</t>
  </si>
  <si>
    <t xml:space="preserve">Po Box 1262 </t>
  </si>
  <si>
    <t xml:space="preserve">1711 NE 17th Ter  Cape Coral, FL 33909 </t>
  </si>
  <si>
    <t>06-44-24-c3-02065.0070</t>
  </si>
  <si>
    <t>33-43-25-03-00002.0710</t>
  </si>
  <si>
    <t>Cape Coral Unit 84 Blk 5613 Pb 24 Pg 36 Lots 85 + 86</t>
  </si>
  <si>
    <t xml:space="preserve">321 NE 7th Ter </t>
  </si>
  <si>
    <t>Tuckahoe</t>
  </si>
  <si>
    <t>Dotty</t>
  </si>
  <si>
    <t>Eliana Fernandez</t>
  </si>
  <si>
    <t>92692-4044</t>
  </si>
  <si>
    <t>Edgewater Gardens Unit 2 Pb 10 Pg 56 Lot 83</t>
  </si>
  <si>
    <t>East Barre</t>
  </si>
  <si>
    <t>Powhatan</t>
  </si>
  <si>
    <t>Christophe</t>
  </si>
  <si>
    <t xml:space="preserve">6170 Robinson St </t>
  </si>
  <si>
    <t>33634-3501</t>
  </si>
  <si>
    <t>Orchard Park</t>
  </si>
  <si>
    <t>Lisbeth</t>
  </si>
  <si>
    <t>Misiewicz</t>
  </si>
  <si>
    <t>33905-2241</t>
  </si>
  <si>
    <t>36-43-23-c2-02525.0690</t>
  </si>
  <si>
    <t xml:space="preserve">3680 Biltz Rd  Kent, OH 44240-6710 </t>
  </si>
  <si>
    <t>29-43-24-c4-02285.0610</t>
  </si>
  <si>
    <t xml:space="preserve">507 NE Juanita Ct </t>
  </si>
  <si>
    <t>West Sussex</t>
  </si>
  <si>
    <t>E F E &amp; Maureen Frase</t>
  </si>
  <si>
    <t>Tomas &amp; Myriam Valdes</t>
  </si>
  <si>
    <t xml:space="preserve">912 NE 10th St </t>
  </si>
  <si>
    <t xml:space="preserve">2310 Willow Rd </t>
  </si>
  <si>
    <t>Badua</t>
  </si>
  <si>
    <t>Cape Coral Unit 32 Blk.2155 Pb 16 Pg 13 Lots 33 + 34</t>
  </si>
  <si>
    <t xml:space="preserve">5375 Del Monte Ct </t>
  </si>
  <si>
    <t xml:space="preserve">1326 NE 9th Ave  Cape Coral, FL 33909 </t>
  </si>
  <si>
    <t>Tammy Karczewski</t>
  </si>
  <si>
    <t>02769-2425</t>
  </si>
  <si>
    <t>Lloyd</t>
  </si>
  <si>
    <t>Amparo &amp; E Diaz</t>
  </si>
  <si>
    <t>Fichtestrasse</t>
  </si>
  <si>
    <t>32-43-24-c3-02218.0210</t>
  </si>
  <si>
    <t xml:space="preserve">3829 NE 23rd Pl  Cape Coral, FL 33909 </t>
  </si>
  <si>
    <t>33327-1805</t>
  </si>
  <si>
    <t>Soucy</t>
  </si>
  <si>
    <t>Lehigh Acres Unit 6 Blk 27 Pb 26 Pg 8 Lot 18</t>
  </si>
  <si>
    <t>Prescilla</t>
  </si>
  <si>
    <t>Canarias</t>
  </si>
  <si>
    <t xml:space="preserve">325 Calusa St #95, Key Largo, FL 33037-2641 </t>
  </si>
  <si>
    <t xml:space="preserve">2222 NE 8th Pl  Cape Coral, FL 33909 </t>
  </si>
  <si>
    <t>H072</t>
  </si>
  <si>
    <t>Raymundo Elamparo</t>
  </si>
  <si>
    <t xml:space="preserve">1433 NE 19th Ave </t>
  </si>
  <si>
    <t>01-44-23-c2-02465.0100</t>
  </si>
  <si>
    <t>Fira</t>
  </si>
  <si>
    <t xml:space="preserve">2001 Spring Rd #700 </t>
  </si>
  <si>
    <t>Reedsville</t>
  </si>
  <si>
    <t>Quiam</t>
  </si>
  <si>
    <t xml:space="preserve">1139 NE 39th St </t>
  </si>
  <si>
    <t xml:space="preserve">28616 SE Glover Rd  Eagle Creek, OR 97022-9720 </t>
  </si>
  <si>
    <t xml:space="preserve">2541 NE 19th Pl </t>
  </si>
  <si>
    <t>20120-1858</t>
  </si>
  <si>
    <t>32-43-24-c3-02196.0340</t>
  </si>
  <si>
    <t>Ronny Ruehling</t>
  </si>
  <si>
    <t>For Ene Piirak Trust &amp; Piirak Aileen</t>
  </si>
  <si>
    <t>Cape Coral Unit 87 Blk 5730 Pb 24 Pg 86 Lots 41 + 42</t>
  </si>
  <si>
    <t>Diego Bonilla</t>
  </si>
  <si>
    <t xml:space="preserve">1529 NE 18th Ave  Cape Coral, FL 33909 </t>
  </si>
  <si>
    <t xml:space="preserve">2204 NE 39th Ter </t>
  </si>
  <si>
    <t>Luis &amp; Zaida Jaimes</t>
  </si>
  <si>
    <t>Cecilia &amp; E Maggi</t>
  </si>
  <si>
    <t xml:space="preserve">3646 NE 11th Pl </t>
  </si>
  <si>
    <t>Elke</t>
  </si>
  <si>
    <t>Solema</t>
  </si>
  <si>
    <t xml:space="preserve">1609 NE 33rd Ter </t>
  </si>
  <si>
    <t>Hellyer</t>
  </si>
  <si>
    <t>03-44-26-12-00068.0030</t>
  </si>
  <si>
    <t xml:space="preserve">301 NE 31st Ter </t>
  </si>
  <si>
    <t>Wilmington</t>
  </si>
  <si>
    <t>Truc</t>
  </si>
  <si>
    <t xml:space="preserve">338 Changebridge Rd </t>
  </si>
  <si>
    <t xml:space="preserve">21642 County Road 43 NW  Big Lake, MN 55309-8206 </t>
  </si>
  <si>
    <t xml:space="preserve">118 NE 12th Ter </t>
  </si>
  <si>
    <t xml:space="preserve">9054 Kendale Ct </t>
  </si>
  <si>
    <t xml:space="preserve">2723 NE 6th Pl  Cape Coral, FL 33909 </t>
  </si>
  <si>
    <t>00910-1332</t>
  </si>
  <si>
    <t>For Joseph M Bullyan Trust</t>
  </si>
  <si>
    <t>Cape Coral Unit 33 Blk 2235 Pb 16 Pg 52 Lots 30 + 31</t>
  </si>
  <si>
    <t xml:space="preserve">16579 Cedar Crest Dr  Orlando, FL 32828-6708 </t>
  </si>
  <si>
    <t xml:space="preserve">2527 NE 5th Pl  Cape Coral, FL 33909 </t>
  </si>
  <si>
    <t xml:space="preserve">14041 Barkwood St </t>
  </si>
  <si>
    <t>48836-1092</t>
  </si>
  <si>
    <t>Cypress Woods Rv Resort Desc In Inst#2006-358211 Lot 175</t>
  </si>
  <si>
    <t>08701-5555</t>
  </si>
  <si>
    <t xml:space="preserve">2133 NE 33rd St </t>
  </si>
  <si>
    <t>Lynette</t>
  </si>
  <si>
    <t xml:space="preserve">1309 NE 21st Ave </t>
  </si>
  <si>
    <t>31-43-24-c1-02173.0160</t>
  </si>
  <si>
    <t xml:space="preserve">955 Mount Whitney Ct </t>
  </si>
  <si>
    <t>Newell Protection Trust</t>
  </si>
  <si>
    <t>Traci</t>
  </si>
  <si>
    <t>Mashpee</t>
  </si>
  <si>
    <t xml:space="preserve">58 Century Ln  Litchfield, NH 03052-8019 </t>
  </si>
  <si>
    <t xml:space="preserve">6143 Humboldt Ave  Fort Myers, FL 33905 </t>
  </si>
  <si>
    <t>19701-4313</t>
  </si>
  <si>
    <t>Blounts N S Subd Blk 2 Pb 3 Pg 5 S 1/2 Of Lot 10</t>
  </si>
  <si>
    <t>Jaime &amp; Macrina Young</t>
  </si>
  <si>
    <t>34957-6803</t>
  </si>
  <si>
    <t>Evgeniya</t>
  </si>
  <si>
    <t xml:space="preserve">2213 NE 33rd Ter </t>
  </si>
  <si>
    <t>08-44-24-c1-01540.0730</t>
  </si>
  <si>
    <t>Linmar Homes</t>
  </si>
  <si>
    <t xml:space="preserve">1203 SE 37th Ter </t>
  </si>
  <si>
    <t xml:space="preserve">2537 NE 19th Pl  Cape Coral, FL 33909 </t>
  </si>
  <si>
    <t>92656-2546</t>
  </si>
  <si>
    <t>Spring Creek</t>
  </si>
  <si>
    <t>20-43-24-c3-05669.0110</t>
  </si>
  <si>
    <t xml:space="preserve">2714 Angulo </t>
  </si>
  <si>
    <t xml:space="preserve">1108 NE 34th Ter  Cape Coral, FL 33909 </t>
  </si>
  <si>
    <t xml:space="preserve">1004 S Tamarack Ave </t>
  </si>
  <si>
    <t xml:space="preserve">1319 White Oak Bottom Rd  Toms River, NJ 08755-1486 </t>
  </si>
  <si>
    <t xml:space="preserve">638 Laurel Dr  Pasadena, MD 21122-5225 </t>
  </si>
  <si>
    <t>10965-1628</t>
  </si>
  <si>
    <t xml:space="preserve">4020 Brixham Ct </t>
  </si>
  <si>
    <t xml:space="preserve">4410 NE 22nd Ave  Cape Coral, FL 33909 </t>
  </si>
  <si>
    <t>Saul Horne Trust</t>
  </si>
  <si>
    <t xml:space="preserve">1019 NE 34th St  Cape Coral, FL 33909 </t>
  </si>
  <si>
    <t xml:space="preserve">14116 Carrie Pauline Ln </t>
  </si>
  <si>
    <t>Nataly</t>
  </si>
  <si>
    <t>03-44-26-01-00003.0240</t>
  </si>
  <si>
    <t xml:space="preserve">7740 4th Ave S #305, Minneapolis, MN 55423-4357 </t>
  </si>
  <si>
    <t xml:space="preserve">7850 Half Moon Point Dr </t>
  </si>
  <si>
    <t xml:space="preserve">1929 NE 17th Ter </t>
  </si>
  <si>
    <t>29-43-24-c4-02256.0540</t>
  </si>
  <si>
    <t xml:space="preserve">104 Sunridge Way </t>
  </si>
  <si>
    <t xml:space="preserve">2918 NE 6th Ave  Cape Coral, FL 33909 </t>
  </si>
  <si>
    <t>Jefferson</t>
  </si>
  <si>
    <t>Owen Pitter</t>
  </si>
  <si>
    <t>20721-2132</t>
  </si>
  <si>
    <t>Leisure City</t>
  </si>
  <si>
    <t>33905-7541</t>
  </si>
  <si>
    <t>Karl &amp; Erika Koehn</t>
  </si>
  <si>
    <t>33909-1503</t>
  </si>
  <si>
    <t xml:space="preserve">1524 Groom Ave  North Las Vegas, NV 89081-3155 </t>
  </si>
  <si>
    <t>Defilippis</t>
  </si>
  <si>
    <t xml:space="preserve">5111 Cypress Trail Resort Cir </t>
  </si>
  <si>
    <t>Cape Coral Unit 88 Blk 5783 Pb 24 Pg 132 Lots 62 + 63</t>
  </si>
  <si>
    <t xml:space="preserve">3612 NE 17th Pl </t>
  </si>
  <si>
    <t xml:space="preserve">632 Bellemeade Dr SW  Marietta, GA 30008-3684 </t>
  </si>
  <si>
    <t>Cape Coral Unit 87 Blk.5690 Pb 24 Pg 83 Lots 30 + 31</t>
  </si>
  <si>
    <t>33909-4661</t>
  </si>
  <si>
    <t>33142-2840</t>
  </si>
  <si>
    <t xml:space="preserve">6037 Tabor Ave </t>
  </si>
  <si>
    <t>01824-2214</t>
  </si>
  <si>
    <t>15139-1410</t>
  </si>
  <si>
    <t>12-44-23-c2-02396.0400</t>
  </si>
  <si>
    <t>33909-1214</t>
  </si>
  <si>
    <t>33063-4346</t>
  </si>
  <si>
    <t>Yaniv</t>
  </si>
  <si>
    <t>Cynthia Poynor</t>
  </si>
  <si>
    <t xml:space="preserve">50413 Bay Run S </t>
  </si>
  <si>
    <t xml:space="preserve">6042 Garrett Hwy  Oakland, MD 21550-2202 </t>
  </si>
  <si>
    <t>10507-1817</t>
  </si>
  <si>
    <t xml:space="preserve">1923 SE 37th Ter  Cape Coral, FL 33904 </t>
  </si>
  <si>
    <t>Zakas</t>
  </si>
  <si>
    <t xml:space="preserve">120 Carriage Way  East Earl, PA 17519-9337 </t>
  </si>
  <si>
    <t>Vincennes</t>
  </si>
  <si>
    <t xml:space="preserve">13539 230th St  Laurelton, NY 11413-2529 </t>
  </si>
  <si>
    <t xml:space="preserve">1311 35th St NW </t>
  </si>
  <si>
    <t>Dorochenko</t>
  </si>
  <si>
    <t>Trail Ridge</t>
  </si>
  <si>
    <t xml:space="preserve">628 SE 30th Ln </t>
  </si>
  <si>
    <t>11226-5218</t>
  </si>
  <si>
    <t>John Pope &amp; Jean Rabatin-Pope</t>
  </si>
  <si>
    <t xml:space="preserve">1414 NE 1st Pl </t>
  </si>
  <si>
    <t>33909-8400</t>
  </si>
  <si>
    <t xml:space="preserve">1623 Dickinson Rd  Independence, MO 64050-1350 </t>
  </si>
  <si>
    <t>Resler</t>
  </si>
  <si>
    <t>Hammock Creek</t>
  </si>
  <si>
    <t>Buckingham Pk Re Blk B U-1 Blk 2 Pb 27 Pg 188 Lot 10</t>
  </si>
  <si>
    <t>12-44-23-c2-02398.0250</t>
  </si>
  <si>
    <t>Bergamont</t>
  </si>
  <si>
    <t>Valrico</t>
  </si>
  <si>
    <t xml:space="preserve">34624 Whittaker St </t>
  </si>
  <si>
    <t xml:space="preserve">6153 Higgins Ave  Fort Myers, FL 33905 </t>
  </si>
  <si>
    <t>Parl In Nw 1/4 Of Se 1/4 Sec 6 Twp 44 R 26 Desc In Or 1065 Pg 746 Less Inst#2009000295298</t>
  </si>
  <si>
    <t xml:space="preserve">1205 NE 3rd St </t>
  </si>
  <si>
    <t>Des Merisiers</t>
  </si>
  <si>
    <t xml:space="preserve">190 Sheffield Ct SW </t>
  </si>
  <si>
    <t>11-44-25-l1-13000.0980</t>
  </si>
  <si>
    <t>Cape Coral Unit 88 Blk 5807 Pb 24 Pg 138 Lots 7 + 8</t>
  </si>
  <si>
    <t>32-43-24-c4-02227.0120</t>
  </si>
  <si>
    <t>Hudson John A Tr</t>
  </si>
  <si>
    <t xml:space="preserve">2061 River Park Blvd  Orlando, FL 32817-4848 </t>
  </si>
  <si>
    <t>20-43-24-c4-05632.0290</t>
  </si>
  <si>
    <t>Cape Coral Unit 36 Blk 2352 Pb 16 Pg 121 Lots 28 + 29</t>
  </si>
  <si>
    <t>Lark</t>
  </si>
  <si>
    <t>33010-5126</t>
  </si>
  <si>
    <t>Voigt</t>
  </si>
  <si>
    <t>Salvador</t>
  </si>
  <si>
    <t>33909-5345</t>
  </si>
  <si>
    <t>Cape Coral Unit 34 Blk 2389 Pb 16 Pg 80 Lots 25 + 26</t>
  </si>
  <si>
    <t>17-43-24-c1-05775.0030</t>
  </si>
  <si>
    <t xml:space="preserve">6119 Humboldt Ave </t>
  </si>
  <si>
    <t xml:space="preserve">851 Miramar Ct  Cape Coral, FL 33904 </t>
  </si>
  <si>
    <t>Cape Coral Unit 34 Blk 2441 Pb 16 Pg 81 Lots 11 + 12</t>
  </si>
  <si>
    <t xml:space="preserve">2740 NE 7th Ave </t>
  </si>
  <si>
    <t>For Thomas A &amp; Debora A Naguy Trust</t>
  </si>
  <si>
    <t>Halstead</t>
  </si>
  <si>
    <t>29-43-24-c3-02277.0010</t>
  </si>
  <si>
    <t>Patty</t>
  </si>
  <si>
    <t>Houle</t>
  </si>
  <si>
    <t>Kendallville</t>
  </si>
  <si>
    <t>Beatrix Mendez</t>
  </si>
  <si>
    <t>80134-4538</t>
  </si>
  <si>
    <t>Yuhang</t>
  </si>
  <si>
    <t>32-43-24-c1-02182.0260</t>
  </si>
  <si>
    <t>Ronald W Brisson Revocable Trust</t>
  </si>
  <si>
    <t>19-43-24-c2-05753.0220</t>
  </si>
  <si>
    <t>Matamoros</t>
  </si>
  <si>
    <t xml:space="preserve">1729 NE 7th Ave  Cape Coral, FL 33909 </t>
  </si>
  <si>
    <t xml:space="preserve">13639 78th St NE  Foley, MN 56329-9294 </t>
  </si>
  <si>
    <t xml:space="preserve">3203 NE 14th Ave </t>
  </si>
  <si>
    <t xml:space="preserve">Po Box 149020 </t>
  </si>
  <si>
    <t>45414-5912</t>
  </si>
  <si>
    <t xml:space="preserve">1109 S Washington Ave </t>
  </si>
  <si>
    <t xml:space="preserve">6232 Tezcuco Ct </t>
  </si>
  <si>
    <t>Coral Gables</t>
  </si>
  <si>
    <t>Cape Coral Unit 85 Blk 5650 Pb 24 Pg 57 Lots 61 + 62</t>
  </si>
  <si>
    <t xml:space="preserve">6155 Hughes Ave  Fort Myers, FL 33905 </t>
  </si>
  <si>
    <t>Dessejour</t>
  </si>
  <si>
    <t xml:space="preserve">1718 NE 13th St  Cape Coral, FL 33909 </t>
  </si>
  <si>
    <t>Suburban Park Unit 5 Pb 22 Pg 27 Lot 37</t>
  </si>
  <si>
    <t>17-43-24-c3-05793.0340</t>
  </si>
  <si>
    <t xml:space="preserve">5741 Cypress Woods Resort Dr </t>
  </si>
  <si>
    <t xml:space="preserve">1007 NE 43rd Ter  Cape Coral, FL 33909 </t>
  </si>
  <si>
    <t>Cape Coral Unit 84 Blk 5566 Pb 24 Pg 40 Lots 53 + 54</t>
  </si>
  <si>
    <t>Bynoe</t>
  </si>
  <si>
    <t xml:space="preserve">6149 Laurelwood Dr  Fort Myers, FL 33905 </t>
  </si>
  <si>
    <t>Parkes</t>
  </si>
  <si>
    <t xml:space="preserve">9411 59th Ave F20 </t>
  </si>
  <si>
    <t>Buttonwood Harbor S/D Pb 44 Pg 88 Lot 33</t>
  </si>
  <si>
    <t>10034-1536</t>
  </si>
  <si>
    <t xml:space="preserve">1919 S Gator Cir  Cape Coral, FL 33909 </t>
  </si>
  <si>
    <t>Charles Sefcovic &amp; Kristina Seay</t>
  </si>
  <si>
    <t>Weisenborn Ryan N Tr</t>
  </si>
  <si>
    <t>Cape Coral Unit 84 Blk 5612 Pb 24 Pg 35 Lots 29 + 30</t>
  </si>
  <si>
    <t>Cape Coral Unit 88 Blk 5812 Pb 24 Pg 139 Lots 34 + 35</t>
  </si>
  <si>
    <t xml:space="preserve">192 Blue Gill Dr </t>
  </si>
  <si>
    <t xml:space="preserve">1947 NE 15th Ter  Cape Coral, FL 33909 </t>
  </si>
  <si>
    <t xml:space="preserve">2321 NE 23rd Pl </t>
  </si>
  <si>
    <t>Prelvukaj</t>
  </si>
  <si>
    <t>Bobby &amp; Betty Goble</t>
  </si>
  <si>
    <t>Yamili</t>
  </si>
  <si>
    <t>31-43-24-c1-02171.0070</t>
  </si>
  <si>
    <t xml:space="preserve">7207 Westover Way  Somerset, NJ 08873-5913 </t>
  </si>
  <si>
    <t>20-43-24-c4-05633.0090</t>
  </si>
  <si>
    <t>06-44-24-c4-02057.0320</t>
  </si>
  <si>
    <t xml:space="preserve">8961 SW 49th Ct  Cooper City, FL 33328-3607 </t>
  </si>
  <si>
    <t xml:space="preserve">8940 151st Ave 1e, Howard Beach, NY 11414-1505 </t>
  </si>
  <si>
    <t>33033-4961</t>
  </si>
  <si>
    <t xml:space="preserve">Po Box 7237 </t>
  </si>
  <si>
    <t xml:space="preserve">5041 NW 5th St </t>
  </si>
  <si>
    <t>Shelly-Ann</t>
  </si>
  <si>
    <t>Great Neck</t>
  </si>
  <si>
    <t>01-44-23-c3-02465.0770</t>
  </si>
  <si>
    <t>Julio &amp; Ana Rodriguez</t>
  </si>
  <si>
    <t>20-43-24-c2-05666.0030</t>
  </si>
  <si>
    <t>Cape Coral Unit 87 Blk 5750 Pb 24 Pg 68 Lots 7 + 8</t>
  </si>
  <si>
    <t>Denia</t>
  </si>
  <si>
    <t>Redway</t>
  </si>
  <si>
    <t>Cape Coral Unit 35 Blk 2409 Pb 16 Pg 110 Lots 45 + 46</t>
  </si>
  <si>
    <t>Michael Castillo</t>
  </si>
  <si>
    <t xml:space="preserve">6324 W Villa Linda Dr  Glendale, AZ 85310-3499 </t>
  </si>
  <si>
    <t xml:space="preserve">1326 NE 9th Ave </t>
  </si>
  <si>
    <t>Cape Coral Unit 31 Blk 2033 Pb 23 Pg 159 Lots 13 + 14</t>
  </si>
  <si>
    <t>33905-6628</t>
  </si>
  <si>
    <t>Laura Habrack</t>
  </si>
  <si>
    <t>11751-4610</t>
  </si>
  <si>
    <t xml:space="preserve">2833 NE 1st Pl </t>
  </si>
  <si>
    <t>10920-2617</t>
  </si>
  <si>
    <t>18-44-26-00-00001.1170</t>
  </si>
  <si>
    <t>William H Stinson &amp; William Stinson</t>
  </si>
  <si>
    <t>For Magee Family Trust</t>
  </si>
  <si>
    <t xml:space="preserve">1303 Kea St </t>
  </si>
  <si>
    <t>Coral &amp; Joseph Guido</t>
  </si>
  <si>
    <t xml:space="preserve">2260 SE 27th St </t>
  </si>
  <si>
    <t xml:space="preserve">1805 19th Pl #100 </t>
  </si>
  <si>
    <t>Songkham &amp; Khanthaly Rasombath</t>
  </si>
  <si>
    <t>Packard</t>
  </si>
  <si>
    <t>44046-9760</t>
  </si>
  <si>
    <t>65613-8502</t>
  </si>
  <si>
    <t xml:space="preserve">822 Kismet Pkwy E  Cape Coral, FL 33909 </t>
  </si>
  <si>
    <t xml:space="preserve">6010 Jonathan Ave </t>
  </si>
  <si>
    <t>Charlotte Harbor</t>
  </si>
  <si>
    <t>Sucy En Brie</t>
  </si>
  <si>
    <t>Loyon</t>
  </si>
  <si>
    <t>33411-8480</t>
  </si>
  <si>
    <t xml:space="preserve">78 Groton St  Staten Island, NY 10312-6538 </t>
  </si>
  <si>
    <t xml:space="preserve">6784 Benton St  Arvada, CO 80003-4242 </t>
  </si>
  <si>
    <t>Paul Mcfall &amp; Hua Li</t>
  </si>
  <si>
    <t>33179-3529</t>
  </si>
  <si>
    <t>Potteray</t>
  </si>
  <si>
    <t>2707 ne 7th avenue trust</t>
  </si>
  <si>
    <t>Cypress Trail Rv Resort As Desc In Inst# 2013000212499 Lot 267</t>
  </si>
  <si>
    <t>Marina Coppens &amp; Marina For</t>
  </si>
  <si>
    <t>29-43-24-c4-02285.0120</t>
  </si>
  <si>
    <t xml:space="preserve">110 NE 8th Pl </t>
  </si>
  <si>
    <t xml:space="preserve">4938/4940 Vincennes Ct  Cape Coral, FL 33904 </t>
  </si>
  <si>
    <t xml:space="preserve">8605 NW 112th Path </t>
  </si>
  <si>
    <t xml:space="preserve">4575 Lake Shore Rd </t>
  </si>
  <si>
    <t>ASSESSED TOTAL VALUE</t>
  </si>
  <si>
    <t>Lehigh Acres</t>
  </si>
  <si>
    <t>J5K 2V5</t>
  </si>
  <si>
    <t xml:space="preserve">10229 Butterweed Trl  Fort Myers, FL 33905 </t>
  </si>
  <si>
    <t>Sulzer</t>
  </si>
  <si>
    <t>Tuscany</t>
  </si>
  <si>
    <t xml:space="preserve">2522 NE 7th Pl </t>
  </si>
  <si>
    <t xml:space="preserve">1080 Massachusetts Ave </t>
  </si>
  <si>
    <t xml:space="preserve">166 SE 26th Ter  Cape Coral, FL 33904 </t>
  </si>
  <si>
    <t xml:space="preserve">1428 NE 44th St  Cape Coral, FL 33909 </t>
  </si>
  <si>
    <t>Lavigne</t>
  </si>
  <si>
    <t xml:space="preserve">14405 SW 158th St  Miami, FL 33177-7201 </t>
  </si>
  <si>
    <t>33909-1552</t>
  </si>
  <si>
    <t>06-44-24-c1-02073.0170</t>
  </si>
  <si>
    <t xml:space="preserve">2617 NE 20th Pl </t>
  </si>
  <si>
    <t>Robert Gordon</t>
  </si>
  <si>
    <t xml:space="preserve">1702 NE 27th St  Cape Coral, FL 33909 </t>
  </si>
  <si>
    <t xml:space="preserve">15419 W Western Reserve Rd </t>
  </si>
  <si>
    <t xml:space="preserve">2423 SW 99th Pl </t>
  </si>
  <si>
    <t>Paul &amp; Laurie Marshall</t>
  </si>
  <si>
    <t>Nancy &amp; Aleccy Rodriguez</t>
  </si>
  <si>
    <t>Cape Coral Unit 36 Blk 2355 Pb 16 Pg 120 Lots 80 + 81</t>
  </si>
  <si>
    <t>Midland Trust Company</t>
  </si>
  <si>
    <t xml:space="preserve">4373 New York Ave  Fort Myers, FL 33905 </t>
  </si>
  <si>
    <t>Herodek</t>
  </si>
  <si>
    <t>08-44-24-c3-01525.0250</t>
  </si>
  <si>
    <t xml:space="preserve">10018 Parkwood Dr  Fort Myers, FL 33905 </t>
  </si>
  <si>
    <t xml:space="preserve">174 W 17th St </t>
  </si>
  <si>
    <t>Wiemelt</t>
  </si>
  <si>
    <t>For Viviane A Berreitter Trust</t>
  </si>
  <si>
    <t>Cape Coral Unit 31 Blk.2068 Pb 14 Pg 164 Lots 33 + 34</t>
  </si>
  <si>
    <t>09-44-24-c1-01551.0430</t>
  </si>
  <si>
    <t>Nameoke</t>
  </si>
  <si>
    <t>Elke Szeman</t>
  </si>
  <si>
    <t xml:space="preserve">584 Sherwood Oaks Rd  Orange City, FL 32763-6359 </t>
  </si>
  <si>
    <t>11-44-25-09-00000.0080</t>
  </si>
  <si>
    <t>Cape Coral Unit 33 Blk 2199 Pb 16 Pg 49 Lots 36 + 37</t>
  </si>
  <si>
    <t xml:space="preserve">17040 Tidewater Ln </t>
  </si>
  <si>
    <t xml:space="preserve">2423 SW 99th Pl  Miami, FL 33165-2649 </t>
  </si>
  <si>
    <t>Manuel Ball &amp; Claribel Ruiz</t>
  </si>
  <si>
    <t>Munayer</t>
  </si>
  <si>
    <t>Downingtown</t>
  </si>
  <si>
    <t>06-44-24-c2-02080.0480</t>
  </si>
  <si>
    <t>Lye Phyllis A Tr</t>
  </si>
  <si>
    <t>Cape Coral Unit 87 Blk 5744 Pb 24 Pg 70 Lots 3 + 4</t>
  </si>
  <si>
    <t>Victor Cabrera</t>
  </si>
  <si>
    <t>Rosaline</t>
  </si>
  <si>
    <t>Nicholas &amp; Claudette Beinars</t>
  </si>
  <si>
    <t xml:space="preserve">165 Sunrise Ave </t>
  </si>
  <si>
    <t xml:space="preserve">321 NE 7th Ter  Cape Coral, FL 33909 </t>
  </si>
  <si>
    <t xml:space="preserve">3719 Kelsey St </t>
  </si>
  <si>
    <t>Cape Coral Unit 87 Blk.5742 Pb 24 Pg 70 Lots 25 + 26</t>
  </si>
  <si>
    <t>Cape Coral Unit 33 Blk 2234 Pb 16 Pg 51 Lots 44 + 45</t>
  </si>
  <si>
    <t>17-43-24-c2-05779.0390</t>
  </si>
  <si>
    <t>Monica &amp; Manoj Baird</t>
  </si>
  <si>
    <t>Ileana</t>
  </si>
  <si>
    <t>Arthur Alleshire &amp; Julie Bennett</t>
  </si>
  <si>
    <t>Cape Coral Unit 87 Blk 5716 Pb 24 Pg 76 Lots 15 + 16</t>
  </si>
  <si>
    <t>Maxime</t>
  </si>
  <si>
    <t>12-44-23-c2-02395.0110</t>
  </si>
  <si>
    <t xml:space="preserve">3674 SW 26th St </t>
  </si>
  <si>
    <t>25-43-23-c3-02342.0510</t>
  </si>
  <si>
    <t>Christine</t>
  </si>
  <si>
    <t>Des Lotus</t>
  </si>
  <si>
    <t>Ragno</t>
  </si>
  <si>
    <t xml:space="preserve">924 Main St </t>
  </si>
  <si>
    <t>Santaniello</t>
  </si>
  <si>
    <t xml:space="preserve">2002 NE 17th Pl </t>
  </si>
  <si>
    <t xml:space="preserve">3027 NE 5th Pl </t>
  </si>
  <si>
    <t>17-43-24-c4-05764.0210</t>
  </si>
  <si>
    <t xml:space="preserve">1429 Paseo Manzana </t>
  </si>
  <si>
    <t>Cape Coral Unit 2 Pt 3 Blk 218 Pb 11 Pg 39 Lot 14</t>
  </si>
  <si>
    <t xml:space="preserve">1256 NE 40th Ter  Cape Coral, FL 33909 </t>
  </si>
  <si>
    <t>Ray</t>
  </si>
  <si>
    <t xml:space="preserve">1304 NE 13th Ave  Cape Coral, FL 33909 </t>
  </si>
  <si>
    <t xml:space="preserve">1610 NE 35th Ln  Cape Coral, FL 33909 </t>
  </si>
  <si>
    <t>Kim Chau &amp; Minh Nguyen</t>
  </si>
  <si>
    <t xml:space="preserve">2221 NE 10th Pl </t>
  </si>
  <si>
    <t>Wolfgang Fattler Revocable Trust</t>
  </si>
  <si>
    <t>46835-3178</t>
  </si>
  <si>
    <t>Megerdichian</t>
  </si>
  <si>
    <t xml:space="preserve">61775 Glenwood Trl </t>
  </si>
  <si>
    <t xml:space="preserve">1400 NE 44th St  Cape Coral, FL 33909 </t>
  </si>
  <si>
    <t>33175-7410</t>
  </si>
  <si>
    <t>Cape Coral Unit 87 Blk 5741 Pb 24 Pg 69 Lots 5 + 6</t>
  </si>
  <si>
    <t>18-43-24-c1-05694.0350</t>
  </si>
  <si>
    <t>County Line</t>
  </si>
  <si>
    <t xml:space="preserve">106 Cameron Dr  Gretna, LA 70056-7313 </t>
  </si>
  <si>
    <t>Hanh</t>
  </si>
  <si>
    <t>Mclean</t>
  </si>
  <si>
    <t>Cape Coral Unit 88 Blk 5821 Pb 24 Pg 143 Lots 49 + 50</t>
  </si>
  <si>
    <t>11-44-25-l1-13000.3060</t>
  </si>
  <si>
    <t xml:space="preserve">4440 Scott Ave </t>
  </si>
  <si>
    <t xml:space="preserve">2045 NE 34th Ln  Cape Coral, FL 33909 </t>
  </si>
  <si>
    <t>Denton</t>
  </si>
  <si>
    <t xml:space="preserve">2003 NE 27th Ter </t>
  </si>
  <si>
    <t>Julio &amp; Gertrudis Andujar</t>
  </si>
  <si>
    <t>222nd</t>
  </si>
  <si>
    <t>29-43-24-c4-02256.0050</t>
  </si>
  <si>
    <t>05-44-24-c2-03526.0150</t>
  </si>
  <si>
    <t>33909-1013</t>
  </si>
  <si>
    <t>33955-4446</t>
  </si>
  <si>
    <t>E Scott E &amp; Linda Smith</t>
  </si>
  <si>
    <t xml:space="preserve">302 NE 11th St  Cape Coral, FL 33909 </t>
  </si>
  <si>
    <t>Bells Hill</t>
  </si>
  <si>
    <t>07087-7531</t>
  </si>
  <si>
    <t>11-44-25-06-0000d.1110</t>
  </si>
  <si>
    <t>Mineola</t>
  </si>
  <si>
    <t>Steve Wirtz</t>
  </si>
  <si>
    <t>Corine</t>
  </si>
  <si>
    <t xml:space="preserve">929 Brock Rd </t>
  </si>
  <si>
    <t xml:space="preserve">1907 NE 42nd St  Cape Coral, FL 33909 </t>
  </si>
  <si>
    <t>Ten Mile Anchorage Replat Blk.A Pb 21 Pg 43 Lot 32</t>
  </si>
  <si>
    <t>11558-1016</t>
  </si>
  <si>
    <t xml:space="preserve">1366 Montrose Tpke </t>
  </si>
  <si>
    <t>Cypress Trail Rv Resort Ph 4-B As Desc In Inst# 2017000057565 Lot 76</t>
  </si>
  <si>
    <t>25-43-23-c3-02343.0310</t>
  </si>
  <si>
    <t>19-43-24-c2-05595.0120</t>
  </si>
  <si>
    <t>Alla</t>
  </si>
  <si>
    <t>33909-6852</t>
  </si>
  <si>
    <t xml:space="preserve">880 Moody Rd  North Fort Myers, FL 33903 </t>
  </si>
  <si>
    <t>Martha</t>
  </si>
  <si>
    <t>Evening Creek</t>
  </si>
  <si>
    <t xml:space="preserve">4189 Mcgregor Blvd </t>
  </si>
  <si>
    <t>33909-3405</t>
  </si>
  <si>
    <t>32-43-24-c2-02234.0420</t>
  </si>
  <si>
    <t>Kulp</t>
  </si>
  <si>
    <t xml:space="preserve">1831 Andalusia Blvd </t>
  </si>
  <si>
    <t>Cape Coral Unit 84 Blk 5604 Pb 24 Pg 42 Lots 41 + 42</t>
  </si>
  <si>
    <t>Cape Coral Unit 88 Blk 5784 Pb 24 Pg 131 Lots 5 + 6</t>
  </si>
  <si>
    <t>Cape Coral Unit 85 Blk 5657 Pb 24 Pg 54 Lots 29 + 30</t>
  </si>
  <si>
    <t>33116-4851</t>
  </si>
  <si>
    <t>17-43-24-c1-05828.0050</t>
  </si>
  <si>
    <t>Vu</t>
  </si>
  <si>
    <t>06-45-24-c3-00535.0010</t>
  </si>
  <si>
    <t>Cape Coral Unit 36 Blk 2300A Pb 16 Pg 122 Lot 31</t>
  </si>
  <si>
    <t>West Simsbury</t>
  </si>
  <si>
    <t>Orange Harbor Co-Op As Desc In Inst# 2012000226486 Lot 291</t>
  </si>
  <si>
    <t>James Purtlebaugh</t>
  </si>
  <si>
    <t>Cape Coral Unit 31 Blk.2066 Pb 14 Pg 160 Lots 27 + 28</t>
  </si>
  <si>
    <t>Cape Coral Unit 35 Blk 2397 Pb 16 Pg 107 Lots 3 + 4</t>
  </si>
  <si>
    <t xml:space="preserve">5833 SW 50th Ter  Miami, FL 33155-6313 </t>
  </si>
  <si>
    <t xml:space="preserve">1010 NE 14th Ave  Cape Coral, FL 33909 </t>
  </si>
  <si>
    <t>Cape Coral Unit 32 Blk 2170 Pb 16 Pg 8 Lots 29 + 30</t>
  </si>
  <si>
    <t>Minieri</t>
  </si>
  <si>
    <t xml:space="preserve">38 Avenue Helene De Tournon  Tournon, FR </t>
  </si>
  <si>
    <t xml:space="preserve">3712 NE 12th Ave  Cape Coral, FL 33909 </t>
  </si>
  <si>
    <t>Feldman</t>
  </si>
  <si>
    <t>Holmberg</t>
  </si>
  <si>
    <t>Cypress Woods Rv Resort Unit 4 Pb 79 Pgs 68-71 Blk D Lot 40</t>
  </si>
  <si>
    <t xml:space="preserve">1810 NE 41st St </t>
  </si>
  <si>
    <t xml:space="preserve">3405 NE 9th Pl  Cape Coral, FL 33909 </t>
  </si>
  <si>
    <t xml:space="preserve">1531 NW 180th Way </t>
  </si>
  <si>
    <t xml:space="preserve">2806 NE 6th Ave  Cape Coral, FL 33909 </t>
  </si>
  <si>
    <t>92057-5606</t>
  </si>
  <si>
    <t xml:space="preserve">27 Fichter St  Bloomingdale, NJ 07403-1301 </t>
  </si>
  <si>
    <t>31-43-24-c2-02138.0190</t>
  </si>
  <si>
    <t>Old Frederick</t>
  </si>
  <si>
    <t xml:space="preserve">PO Box 405  Woodstown, NJ 08098 </t>
  </si>
  <si>
    <t>Fort Lee</t>
  </si>
  <si>
    <t>Luis</t>
  </si>
  <si>
    <t>Middleton</t>
  </si>
  <si>
    <t>33909-2089</t>
  </si>
  <si>
    <t xml:space="preserve">6121 Hendley Ct  Fort Myers, FL 33905 </t>
  </si>
  <si>
    <t xml:space="preserve">917 NE 10th Pl  Cape Coral, FL 33909 </t>
  </si>
  <si>
    <t>Cape Coral Unit 88 Blk 5827 Pb 24 Pg 142 Lots 3 + 4</t>
  </si>
  <si>
    <t>Dhillon</t>
  </si>
  <si>
    <t>97123-8657</t>
  </si>
  <si>
    <t xml:space="preserve">10371 SW 9th Ln </t>
  </si>
  <si>
    <t xml:space="preserve">1001 NE 5th Ave </t>
  </si>
  <si>
    <t xml:space="preserve">1523 NE 19th Ter </t>
  </si>
  <si>
    <t>03-44-26-10-00047.0060</t>
  </si>
  <si>
    <t>Windsong</t>
  </si>
  <si>
    <t>34652-3539</t>
  </si>
  <si>
    <t>Cape Coral Unit 84 Blk 5553 Pb 24 Pg 38 Lots 19 + 20</t>
  </si>
  <si>
    <t xml:space="preserve">8268 E Us 20 </t>
  </si>
  <si>
    <t>Roselene Saturne &amp; Rodny Monclerc</t>
  </si>
  <si>
    <t xml:space="preserve">12503 Timberglen Ter </t>
  </si>
  <si>
    <t>32-43-24-c2-02242.0590</t>
  </si>
  <si>
    <t>36-43-23-c2-02536.0320</t>
  </si>
  <si>
    <t xml:space="preserve">90 Wonham St  Clifton, NJ 07013-3031 </t>
  </si>
  <si>
    <t>Robert &amp; Christine Coulthard</t>
  </si>
  <si>
    <t>Buckingham Pk Re Blk B U-4 Blk 21 Pb 27 Pg 192 Lot 6</t>
  </si>
  <si>
    <t xml:space="preserve">301 Tropicana Pkwy E  Cape Coral, FL 33909 </t>
  </si>
  <si>
    <t xml:space="preserve">151 W 33rd St </t>
  </si>
  <si>
    <t>20-43-24-c1-05649.0190</t>
  </si>
  <si>
    <t xml:space="preserve">201 NE 23rd St </t>
  </si>
  <si>
    <t>17-43-24-c4-05787.0440</t>
  </si>
  <si>
    <t xml:space="preserve">1632 NE 17th Ter  Cape Coral, FL 33909 </t>
  </si>
  <si>
    <t>Cape Coral Unit 84 Blk 5610 Pb 24 Pg 41 Lot 49</t>
  </si>
  <si>
    <t>Seema</t>
  </si>
  <si>
    <t xml:space="preserve">1046 NE 2nd Ter </t>
  </si>
  <si>
    <t xml:space="preserve">2118 NE 41st St  Cape Coral, FL 33909 </t>
  </si>
  <si>
    <t xml:space="preserve">519 Hobson Ave </t>
  </si>
  <si>
    <t xml:space="preserve">1404 NE 2nd Pl  Cape Coral, FL 33909 </t>
  </si>
  <si>
    <t xml:space="preserve">4422 Magnolia Ridge Dr  Weston, FL 33331-5008 </t>
  </si>
  <si>
    <t>33909-2574</t>
  </si>
  <si>
    <t>Cape Coral Unit 84 Blk 5560 Pb 24 Pg 32 Lots 19 + 20</t>
  </si>
  <si>
    <t>Cape Coral Unit 7 Blk.330 Pb 12 Pg 125 Lots 9 + 10</t>
  </si>
  <si>
    <t>21701-4016</t>
  </si>
  <si>
    <t>Heisuke &amp; Wakako Hironaka</t>
  </si>
  <si>
    <t xml:space="preserve">13014 SW 48th St  Miami, FL 33175-4526 </t>
  </si>
  <si>
    <t xml:space="preserve">1330 NE 6th Ave </t>
  </si>
  <si>
    <t>Lehigh Acres Unit 11 Blk 54 Pb 26 Pg 14 Lot 17</t>
  </si>
  <si>
    <t>Cape Coral Unit 35 Blk.2366 Pb 16 Pg 101 Lots 1 + 2</t>
  </si>
  <si>
    <t>Rengifo</t>
  </si>
  <si>
    <t>Peter &amp; Angela Cammarata</t>
  </si>
  <si>
    <t xml:space="preserve">667 E 232nd St 4k, Bronx, NY 10466-2916 </t>
  </si>
  <si>
    <t xml:space="preserve">6612 Aiken Rd </t>
  </si>
  <si>
    <t xml:space="preserve">5 Fox Crest Ct </t>
  </si>
  <si>
    <t>Feuer</t>
  </si>
  <si>
    <t xml:space="preserve">7051 W 164th Ter </t>
  </si>
  <si>
    <t>Westmonte</t>
  </si>
  <si>
    <t>Triana</t>
  </si>
  <si>
    <t>Norte De Santander</t>
  </si>
  <si>
    <t>Leitner</t>
  </si>
  <si>
    <t>Jonathan Harbour U-1 Pb 45 Pg 9 Lot 50</t>
  </si>
  <si>
    <t xml:space="preserve">2110 NE 16th Ter </t>
  </si>
  <si>
    <t xml:space="preserve">1207 NE 3rd Ter  Cape Coral, FL 33909 </t>
  </si>
  <si>
    <t>Carmina</t>
  </si>
  <si>
    <t>33909-6313</t>
  </si>
  <si>
    <t>06-46-24-18-00v00.0050</t>
  </si>
  <si>
    <t>Smolka</t>
  </si>
  <si>
    <t>Line 40</t>
  </si>
  <si>
    <t xml:space="preserve">1406 NE 10th St  Cape Coral, FL 33909 </t>
  </si>
  <si>
    <t xml:space="preserve">2135 Lakeview Rd </t>
  </si>
  <si>
    <t>Koutsouvanos</t>
  </si>
  <si>
    <t>Cape Coral Unit 31 Blk 2050 Pb 14 Pg 157 Lots 57 + 58</t>
  </si>
  <si>
    <t>Jean &amp; Hazel Gorrin</t>
  </si>
  <si>
    <t xml:space="preserve">304 NE 31st Ter  Cape Coral, FL 33909 </t>
  </si>
  <si>
    <t xml:space="preserve">3434 NE 9th Pl  Cape Coral, FL 33909 </t>
  </si>
  <si>
    <t>San Tan Valley</t>
  </si>
  <si>
    <t>20-43-24-c1-05642.0600</t>
  </si>
  <si>
    <t xml:space="preserve">13014 SW 48th St </t>
  </si>
  <si>
    <t xml:space="preserve">1325 NE 1st Ave  Cape Coral, FL 33909 </t>
  </si>
  <si>
    <t xml:space="preserve">3758 Kittyhawk Dr </t>
  </si>
  <si>
    <t>Simler</t>
  </si>
  <si>
    <t xml:space="preserve">1822 NE 34th Ln  Cape Coral, FL 33909 </t>
  </si>
  <si>
    <t xml:space="preserve">7907 Glenoak Pkwy  Fort Wayne, IN 46815-6561 </t>
  </si>
  <si>
    <t xml:space="preserve">8201 Bellefonte Ln  Clinton, MD 20735-1812 </t>
  </si>
  <si>
    <t>Traci Vo</t>
  </si>
  <si>
    <t>33909-3258</t>
  </si>
  <si>
    <t xml:space="preserve">3025 NE 7th Ave  Cape Coral, FL 33909 </t>
  </si>
  <si>
    <t xml:space="preserve">15961 Cemetery Rd  Fort Myers, FL 33905 </t>
  </si>
  <si>
    <t>Zephyrhills</t>
  </si>
  <si>
    <t xml:space="preserve">4144 NE 10th Ave </t>
  </si>
  <si>
    <t xml:space="preserve">907 NE 32nd St  Cape Coral, FL 33909 </t>
  </si>
  <si>
    <t>Cyrol</t>
  </si>
  <si>
    <t>Cypress Trail Rv Resort Phase 4-A As Desc In Inst# 20160000135610 Lot 294</t>
  </si>
  <si>
    <t>Qunzhen</t>
  </si>
  <si>
    <t>33909-1351</t>
  </si>
  <si>
    <t xml:space="preserve">3804 Kittyhawk Dr  Fort Myers, FL 33905 </t>
  </si>
  <si>
    <t xml:space="preserve">1201 NE 4th Ave </t>
  </si>
  <si>
    <t>Cape Coral Unit 88 Blk 5796 Pb 24 Pg 137 Lot 40</t>
  </si>
  <si>
    <t>Calle 98</t>
  </si>
  <si>
    <t xml:space="preserve">20870 N River Ridge Dr  Bristol, IN 46507-8521 </t>
  </si>
  <si>
    <t xml:space="preserve">329 NE 13th St  Cape Coral, FL 33909 </t>
  </si>
  <si>
    <t xml:space="preserve">11753 W Atlantic Blvd #5, Coral Springs, FL 33071-4062 </t>
  </si>
  <si>
    <t>B3J 2J6</t>
  </si>
  <si>
    <t>Mills Creek</t>
  </si>
  <si>
    <t>25-43-23-c1-02349.0030</t>
  </si>
  <si>
    <t>Scott Hochwald &amp; Joanne Prenner</t>
  </si>
  <si>
    <t>03-44-26-11-00055.0170</t>
  </si>
  <si>
    <t>19-45-24-c2-00001.0640</t>
  </si>
  <si>
    <t>33905-8651</t>
  </si>
  <si>
    <t>Charmaine</t>
  </si>
  <si>
    <t>Hubert &amp; Yinay Ruiz</t>
  </si>
  <si>
    <t xml:space="preserve">3313 Catalina Ranch Rd </t>
  </si>
  <si>
    <t xml:space="preserve">1445 Route 776  Grand Manan, NB E5g 1H7 </t>
  </si>
  <si>
    <t>17-43-24-c3-05783.0560</t>
  </si>
  <si>
    <t>Cape Coral Unit 36 Blk 2352 Pb 16 Pg 121 Lots 26 + 27</t>
  </si>
  <si>
    <t>38075-7136</t>
  </si>
  <si>
    <t>22102-4724</t>
  </si>
  <si>
    <t>Persephone Canonne</t>
  </si>
  <si>
    <t>Kenneth &amp; David Knutti</t>
  </si>
  <si>
    <t>33909-7389</t>
  </si>
  <si>
    <t>Jaeger</t>
  </si>
  <si>
    <t xml:space="preserve">2133 NE 17th Ter  Cape Coral, FL 33909 </t>
  </si>
  <si>
    <t>Jacquelyn</t>
  </si>
  <si>
    <t xml:space="preserve">9816 SW 110th St  Miami, FL 33176-2886 </t>
  </si>
  <si>
    <t xml:space="preserve">4440 Ohio Ave  Fort Myers, FL 33905 </t>
  </si>
  <si>
    <t>Craig &amp; Mary Whitcraft</t>
  </si>
  <si>
    <t xml:space="preserve">10824 SE Oak St #332 </t>
  </si>
  <si>
    <t xml:space="preserve">1250 Greenwood Ave #422, Jenkintown, PA 19046-2957 </t>
  </si>
  <si>
    <t>25-43-23-c4-02354.0070</t>
  </si>
  <si>
    <t>Ricardo &amp; Linet Blondet</t>
  </si>
  <si>
    <t>36301-5899</t>
  </si>
  <si>
    <t xml:space="preserve">19123 SW 60th Ct 4a, Southwest Ranches, FL 33332-3347 </t>
  </si>
  <si>
    <t xml:space="preserve">3140 NE 13th Pl  Cape Coral, FL 33909 </t>
  </si>
  <si>
    <t xml:space="preserve">2302 NE 7th Ave </t>
  </si>
  <si>
    <t xml:space="preserve">793 Summer St </t>
  </si>
  <si>
    <t xml:space="preserve">6635 W 6th Ave </t>
  </si>
  <si>
    <t xml:space="preserve">6028 Stratton Rd </t>
  </si>
  <si>
    <t xml:space="preserve">114 Handy Rd  Grosse Pointe Farms, MI 48236-3811 </t>
  </si>
  <si>
    <t>44866-9747</t>
  </si>
  <si>
    <t xml:space="preserve">62 Nelson Ave #1, Jersey City, NJ 07307-4010 </t>
  </si>
  <si>
    <t xml:space="preserve">342 NE 15th St  Cape Coral, FL 33909 </t>
  </si>
  <si>
    <t>17-43-24-c2-05798.0680</t>
  </si>
  <si>
    <t>Celso</t>
  </si>
  <si>
    <t xml:space="preserve">1133 NE 2nd Ter </t>
  </si>
  <si>
    <t xml:space="preserve">3712 NE 14th Pl  Cape Coral, FL 33909 </t>
  </si>
  <si>
    <t>Cape Coral Unit 84 Blk 5617 Pb 24 Pg 35 Lots 1 + 2</t>
  </si>
  <si>
    <t xml:space="preserve">2213 NE 15th Ave </t>
  </si>
  <si>
    <t>Roberto &amp; Amin Gonzalez</t>
  </si>
  <si>
    <t xml:space="preserve">2124 NE 40th Ter  Cape Coral, FL 33909 </t>
  </si>
  <si>
    <t>Mosher</t>
  </si>
  <si>
    <t>29-43-24-c3-02268.0030</t>
  </si>
  <si>
    <t>Sumac</t>
  </si>
  <si>
    <t>30062-6443</t>
  </si>
  <si>
    <t>Boston Post</t>
  </si>
  <si>
    <t>Leota Hinson</t>
  </si>
  <si>
    <t>Greenvale</t>
  </si>
  <si>
    <t>05-44-24-c1-03538.0130</t>
  </si>
  <si>
    <t xml:space="preserve">14041 Chancellor St </t>
  </si>
  <si>
    <t>Pietrzak</t>
  </si>
  <si>
    <t>Geppert</t>
  </si>
  <si>
    <t>Silversword Woods S/D Pb 41 Pg 25 Lot 25</t>
  </si>
  <si>
    <t xml:space="preserve">818 NE 32nd Ln  Cape Coral, FL 33909 </t>
  </si>
  <si>
    <t>Biscayne</t>
  </si>
  <si>
    <t xml:space="preserve">1100 NE 34th Ln </t>
  </si>
  <si>
    <t>Matias Wiens</t>
  </si>
  <si>
    <t>Spring Oak</t>
  </si>
  <si>
    <t xml:space="preserve">1611 NE 36th St </t>
  </si>
  <si>
    <t>60025-5168</t>
  </si>
  <si>
    <t xml:space="preserve">151 Nicklaus Blvd  North Fort Myers, FL 33903 </t>
  </si>
  <si>
    <t>01-45-23-c2-00427.0050</t>
  </si>
  <si>
    <t>Watsessing</t>
  </si>
  <si>
    <t>48187-3246</t>
  </si>
  <si>
    <t>Oscar</t>
  </si>
  <si>
    <t>Cape Coral Unit 88 Blk 5812 Pb 24 Pg 139 Lots 32 + 33</t>
  </si>
  <si>
    <t>33031-3419</t>
  </si>
  <si>
    <t>Bowe</t>
  </si>
  <si>
    <t>Bobeda &amp; Mathew Bobeda Family</t>
  </si>
  <si>
    <t>Locust Hill</t>
  </si>
  <si>
    <t>Michael Dabreo</t>
  </si>
  <si>
    <t>01-44-23-c2-02460.0350</t>
  </si>
  <si>
    <t xml:space="preserve">10208 Meadow Beauty Trl </t>
  </si>
  <si>
    <t>Virzi</t>
  </si>
  <si>
    <t>Bavaro</t>
  </si>
  <si>
    <t xml:space="preserve">411 Walnut St 19404 Green Cv  Green Cove Springs, FL 32043 </t>
  </si>
  <si>
    <t xml:space="preserve">1730 NE 19th Ave  Cape Coral, FL 33909 </t>
  </si>
  <si>
    <t>Essex</t>
  </si>
  <si>
    <t xml:space="preserve">414 NE 7th St </t>
  </si>
  <si>
    <t>Kavalenka</t>
  </si>
  <si>
    <t>Jose R Valle &amp; Jose Valle</t>
  </si>
  <si>
    <t>45039-8881</t>
  </si>
  <si>
    <t>33909-8847</t>
  </si>
  <si>
    <t>Areya</t>
  </si>
  <si>
    <t>Cape Coral Unit 33 Blk.2251 Pb 16 Pg 58 Lots 18 + 19</t>
  </si>
  <si>
    <t xml:space="preserve">58 Glen Oaks Ct </t>
  </si>
  <si>
    <t>34120-4923</t>
  </si>
  <si>
    <t>34116-6481</t>
  </si>
  <si>
    <t xml:space="preserve">4328 Everett Ave  Kansas City, KS 66102-1926 </t>
  </si>
  <si>
    <t xml:space="preserve">2923 NE 5th Pl </t>
  </si>
  <si>
    <t>Cape Coral Unit 85 Blk 5642 Pb 24 Pg 55 Lots 27 + 28</t>
  </si>
  <si>
    <t>Edward Kerber</t>
  </si>
  <si>
    <t xml:space="preserve">2629 NE 4th Pl  Cape Coral, FL 33909 </t>
  </si>
  <si>
    <t>20-43-24-c2-05657.0050</t>
  </si>
  <si>
    <t>Carney Betty L Tr</t>
  </si>
  <si>
    <t>33-45-24-l4-2500c.0000</t>
  </si>
  <si>
    <t>20-43-24-c1-05646.0050</t>
  </si>
  <si>
    <t>Lenette</t>
  </si>
  <si>
    <t>Braithwaite</t>
  </si>
  <si>
    <t>32-43-24-c3-02186.0070</t>
  </si>
  <si>
    <t>Xiu</t>
  </si>
  <si>
    <t xml:space="preserve">3616 NE 22nd Ave  Cape Coral, FL 33909 </t>
  </si>
  <si>
    <t>Danae</t>
  </si>
  <si>
    <t>20720-3491</t>
  </si>
  <si>
    <t xml:space="preserve">8630 NW 28th St  Sunrise, FL 33322-2318 </t>
  </si>
  <si>
    <t>33909-3204</t>
  </si>
  <si>
    <t>31-43-24-c3-02142.0360</t>
  </si>
  <si>
    <t>33325-1602</t>
  </si>
  <si>
    <t>Tiny</t>
  </si>
  <si>
    <t>32-43-24-c1-02202.0270</t>
  </si>
  <si>
    <t>19-43-24-c1-05577.0230</t>
  </si>
  <si>
    <t xml:space="preserve">18 Chartres Ct </t>
  </si>
  <si>
    <t>For Jacqueline Honeycutt Trust</t>
  </si>
  <si>
    <t>Geiman</t>
  </si>
  <si>
    <t xml:space="preserve">10351 Prairie Iris Dr </t>
  </si>
  <si>
    <t xml:space="preserve">3812 Wind Dancer Cir  Saint Cloud, FL 34772-8274 </t>
  </si>
  <si>
    <t>Daniel &amp; Jennifer Williams</t>
  </si>
  <si>
    <t xml:space="preserve">18/83 Yeshayahu Hanavi </t>
  </si>
  <si>
    <t>01-44-23-c4-02442.0470</t>
  </si>
  <si>
    <t>Donald</t>
  </si>
  <si>
    <t>Wesley &amp; Cynthia Woodin</t>
  </si>
  <si>
    <t xml:space="preserve">151 Topeg Dr  Severna Park, MD 21146-2026 </t>
  </si>
  <si>
    <t>19-43-24-c3-05617.0410</t>
  </si>
  <si>
    <t xml:space="preserve">6440 SW 138th Ct 402b </t>
  </si>
  <si>
    <t>Cape Coral Unit 47 Part 2 Blk 3513 Pb 23 Pg 123 Lots 20 + 21</t>
  </si>
  <si>
    <t>Upton</t>
  </si>
  <si>
    <t>Yetcherla</t>
  </si>
  <si>
    <t>Gariepy</t>
  </si>
  <si>
    <t>Anthony &amp; Sue Lutz</t>
  </si>
  <si>
    <t>Wolniakowski</t>
  </si>
  <si>
    <t>Tanelus</t>
  </si>
  <si>
    <t>33908-8219</t>
  </si>
  <si>
    <t>Iannace</t>
  </si>
  <si>
    <t>Marjorie</t>
  </si>
  <si>
    <t>Madeline</t>
  </si>
  <si>
    <t>Westhampton</t>
  </si>
  <si>
    <t xml:space="preserve">1811 NE 26th St </t>
  </si>
  <si>
    <t xml:space="preserve">1603 S Gator Cir  Cape Coral, FL 33909 </t>
  </si>
  <si>
    <t>06-44-24-c2-02089.0450</t>
  </si>
  <si>
    <t>Guetsy</t>
  </si>
  <si>
    <t>Karthikeyan Somasundaram</t>
  </si>
  <si>
    <t>33909-7335</t>
  </si>
  <si>
    <t xml:space="preserve">1416 Venetian Ct  Cape Coral, FL 33904 </t>
  </si>
  <si>
    <t xml:space="preserve">1219 NE 15th Ln </t>
  </si>
  <si>
    <t>33193-2791</t>
  </si>
  <si>
    <t>Duarte</t>
  </si>
  <si>
    <t xml:space="preserve">965 Princess Doreen Dr  Lexington, KY 40509-4470 </t>
  </si>
  <si>
    <t>06-44-24-c1-02078.0450</t>
  </si>
  <si>
    <t xml:space="preserve">3603 NE 9th Ave </t>
  </si>
  <si>
    <t xml:space="preserve">6042 Houston Ave </t>
  </si>
  <si>
    <t xml:space="preserve">4666 Edmondson Ave </t>
  </si>
  <si>
    <t>29-43-26-06-00090.0290</t>
  </si>
  <si>
    <t>17-43-24-c1-05817.0470</t>
  </si>
  <si>
    <t>36-44-23-c4-00878.0350</t>
  </si>
  <si>
    <t>Sandpiper</t>
  </si>
  <si>
    <t xml:space="preserve">3856 Hoffman St </t>
  </si>
  <si>
    <t xml:space="preserve">7 S Pond Rd  Bloomfield, CT 06002-5004 </t>
  </si>
  <si>
    <t xml:space="preserve">2108 Wenola Ct  Fort Myers, FL 33905 </t>
  </si>
  <si>
    <t xml:space="preserve">124 NE 20th St </t>
  </si>
  <si>
    <t xml:space="preserve">707 NE 23rd Ter </t>
  </si>
  <si>
    <t>12-44-23-c1-02414.0380</t>
  </si>
  <si>
    <t>Cape Coral Unit 33 Blk 2234 Pb 16 Pg 51 Lots 42 + 43</t>
  </si>
  <si>
    <t>32-43-24-c3-02229.0320</t>
  </si>
  <si>
    <t>Echo</t>
  </si>
  <si>
    <t xml:space="preserve">8920 Angel Dr  Newburgh, IN 47630-8279 </t>
  </si>
  <si>
    <t>Cape Coral Unit 33 Blk.2244 Pb 16 Pg 54 Lots 66 + 67</t>
  </si>
  <si>
    <t>Cape Coral Unit 36 Blk 2353 Pb 16 Pg 120 Lots 22 + 23</t>
  </si>
  <si>
    <t xml:space="preserve">3739 NE 16th Pl  Cape Coral, FL 33909 </t>
  </si>
  <si>
    <t>Beacon Pointe</t>
  </si>
  <si>
    <t xml:space="preserve">322 Solitude Way  Shepherdsville, KY 40165-7335 </t>
  </si>
  <si>
    <t xml:space="preserve">1600 NE 37th St </t>
  </si>
  <si>
    <t>Cape Coral Unit 35 Blk.2413 Pb 16 Pg 109 Lots 7 + 8</t>
  </si>
  <si>
    <t xml:space="preserve">24871 Somerby Dr </t>
  </si>
  <si>
    <t>Luin</t>
  </si>
  <si>
    <t>60010-1065</t>
  </si>
  <si>
    <t xml:space="preserve">761 SE 7th Pl </t>
  </si>
  <si>
    <t>Steeves</t>
  </si>
  <si>
    <t>17-43-24-c2-05803.0150</t>
  </si>
  <si>
    <t>79938-2848</t>
  </si>
  <si>
    <t>33909-1607</t>
  </si>
  <si>
    <t>New Los Angeles</t>
  </si>
  <si>
    <t>76234-7773</t>
  </si>
  <si>
    <t>08-44-24-c2-01525.0850</t>
  </si>
  <si>
    <t>Janet &amp; Angelica Demera</t>
  </si>
  <si>
    <t>33909-4765</t>
  </si>
  <si>
    <t xml:space="preserve">1821 NE 36th Ln  Cape Coral, FL 33909 </t>
  </si>
  <si>
    <t>Cypress Woods Rv Resort Unit 4 Pb 79 Pgs 68-71 Blk D Lot 7</t>
  </si>
  <si>
    <t>31-43-24-c4-02143.0100</t>
  </si>
  <si>
    <t>33909-6112</t>
  </si>
  <si>
    <t>17347-9656</t>
  </si>
  <si>
    <t>Demaret</t>
  </si>
  <si>
    <t>Luningning</t>
  </si>
  <si>
    <t xml:space="preserve">225 NE 10th Pl </t>
  </si>
  <si>
    <t>Karen Runyan &amp; Theodore Partridge</t>
  </si>
  <si>
    <t>Hui</t>
  </si>
  <si>
    <t xml:space="preserve">2302 NE 21st Ter  Cape Coral, FL 33909 </t>
  </si>
  <si>
    <t>33905-8618</t>
  </si>
  <si>
    <t>18-43-24-c4-05684.0090</t>
  </si>
  <si>
    <t>Linda Petrozelli</t>
  </si>
  <si>
    <t xml:space="preserve">28 Calle 78 B-35 </t>
  </si>
  <si>
    <t>Zen Wtr Trust</t>
  </si>
  <si>
    <t>David &amp; Renee Frith</t>
  </si>
  <si>
    <t xml:space="preserve">1918 NE 16th Pl  Cape Coral, FL 33909 </t>
  </si>
  <si>
    <t xml:space="preserve">5170 Cypress Trail Resort Cir  Fort Myers, FL 33905 </t>
  </si>
  <si>
    <t>85284-3022</t>
  </si>
  <si>
    <t>Diwa</t>
  </si>
  <si>
    <t xml:space="preserve">10131 Sunnywood Ct </t>
  </si>
  <si>
    <t>33904-4829</t>
  </si>
  <si>
    <t xml:space="preserve">12 Stevens Rd </t>
  </si>
  <si>
    <t xml:space="preserve">2113 NE 1st St  Cape Coral, FL 33909 </t>
  </si>
  <si>
    <t xml:space="preserve">101 NE 11th Ln  Cape Coral, FL 33909 </t>
  </si>
  <si>
    <t>Nadege Morisseau</t>
  </si>
  <si>
    <t>19-43-24-c2-05587.0190</t>
  </si>
  <si>
    <t>32-43-24-c3-02237.0490</t>
  </si>
  <si>
    <t>01-44-23-c4-02444.0070</t>
  </si>
  <si>
    <t>Zabari Yehudit</t>
  </si>
  <si>
    <t xml:space="preserve">10184 Boca Cir </t>
  </si>
  <si>
    <t>Kelcey Hill</t>
  </si>
  <si>
    <t xml:space="preserve">417 Diplomat Pkwy E  Cape Coral, FL 33909 </t>
  </si>
  <si>
    <t>Cape Coral Unit 31 Blk 2068 Pb 14 Pg 164 Lots 19 + 20</t>
  </si>
  <si>
    <t xml:space="preserve">2011 NE 2nd St  Cape Coral, FL 33909 </t>
  </si>
  <si>
    <t>Marcelle &amp; Elie Levy</t>
  </si>
  <si>
    <t>33909-8896</t>
  </si>
  <si>
    <t>32-43-24-c1-02184.0400</t>
  </si>
  <si>
    <t>17-43-24-c2-05797.0390</t>
  </si>
  <si>
    <t>Water Tower</t>
  </si>
  <si>
    <t>Cape Coral Unit 33 Blk 2231 Pb 16 Pg 51 Lots 30 + 31</t>
  </si>
  <si>
    <t>20-44-26-04-00024.0040</t>
  </si>
  <si>
    <t>Lukasz</t>
  </si>
  <si>
    <t xml:space="preserve">2505 169th St </t>
  </si>
  <si>
    <t>Mattawa</t>
  </si>
  <si>
    <t xml:space="preserve">10436 Nightwood Dr  Fort Myers, FL 33905 </t>
  </si>
  <si>
    <t>03-44-26-08-00035.0200</t>
  </si>
  <si>
    <t>Cypress Trail Rv Resort Phase 2-A As Desc In Inst# 2014000026506 Lot 200</t>
  </si>
  <si>
    <t>Linda Adolewski</t>
  </si>
  <si>
    <t>01-44-23-c3-02459.0190</t>
  </si>
  <si>
    <t>Elmwood Park</t>
  </si>
  <si>
    <t>Cape Coral Unit 88 Blk 5824 Pb 24 Pg 143 Lots 12 + 13</t>
  </si>
  <si>
    <t>Cape Coral Unit 84 Blk 5585 Pb 24 Pg 48 Lots 37 + 38</t>
  </si>
  <si>
    <t>Paines</t>
  </si>
  <si>
    <t xml:space="preserve">2720 7th Pl NE </t>
  </si>
  <si>
    <t xml:space="preserve">27 First St Oreta Subdivsion </t>
  </si>
  <si>
    <t xml:space="preserve">9331 Stanmoor Ln </t>
  </si>
  <si>
    <t xml:space="preserve">476 Yankee Lake Rd  Wurtsboro, NY 12790-2068 </t>
  </si>
  <si>
    <t>For Phyllis M Steinbeck Trust</t>
  </si>
  <si>
    <t>49068-9451</t>
  </si>
  <si>
    <t>35504-3946</t>
  </si>
  <si>
    <t xml:space="preserve">6398 Warwick Ave </t>
  </si>
  <si>
    <t>03-44-26-08-00037.0050</t>
  </si>
  <si>
    <t>05-44-24-c2-2211a.0150</t>
  </si>
  <si>
    <t>17-43-24-c1-05819.0070</t>
  </si>
  <si>
    <t>Cape Coral Unit 32 Blk 2148 Pb 16 Pg 9 Lots 32 + 33</t>
  </si>
  <si>
    <t>Francis Lewis</t>
  </si>
  <si>
    <t xml:space="preserve">629 Cedar St  West Barnstable, MA 02668-1338 </t>
  </si>
  <si>
    <t>Sahitaj</t>
  </si>
  <si>
    <t>Rosenbauer</t>
  </si>
  <si>
    <t>Maier</t>
  </si>
  <si>
    <t>Dorothy Goebel &amp; Karen Schmitt</t>
  </si>
  <si>
    <t>Hyde Park</t>
  </si>
  <si>
    <t xml:space="preserve">801 S Ocean Dr #230, Hollywood, FL 33019-2126 </t>
  </si>
  <si>
    <t>Grossrassbergstr</t>
  </si>
  <si>
    <t>Karrin</t>
  </si>
  <si>
    <t xml:space="preserve">211 NE 20th St </t>
  </si>
  <si>
    <t>34119-7507</t>
  </si>
  <si>
    <t>Harvey</t>
  </si>
  <si>
    <t>33909-4515</t>
  </si>
  <si>
    <t xml:space="preserve">537 Beverly Dr  West Columbia, SC 29169-4589 </t>
  </si>
  <si>
    <t>Clarkston</t>
  </si>
  <si>
    <t xml:space="preserve">1323 NE 2nd Pl </t>
  </si>
  <si>
    <t xml:space="preserve">1035 NE 10th Pl  Cape Coral, FL 33909 </t>
  </si>
  <si>
    <t>49916-9230</t>
  </si>
  <si>
    <t>Haydysch</t>
  </si>
  <si>
    <t>07047-5118</t>
  </si>
  <si>
    <t>Raynol Ruiz &amp; Alejandro Beltran</t>
  </si>
  <si>
    <t xml:space="preserve">427 SE 28th Ter </t>
  </si>
  <si>
    <t>46075-9646</t>
  </si>
  <si>
    <t xml:space="preserve">1616 NE 8th Pl </t>
  </si>
  <si>
    <t xml:space="preserve">223 Packard Rd  Corinna, ME 04928-3410 </t>
  </si>
  <si>
    <t>33909-4226</t>
  </si>
  <si>
    <t>For Bechtol Trust</t>
  </si>
  <si>
    <t xml:space="preserve">11116 Superior Lndg  Bowie, MD 20720-3491 </t>
  </si>
  <si>
    <t>Abramovici-Hertert</t>
  </si>
  <si>
    <t>33905-5880</t>
  </si>
  <si>
    <t>Cape Coral Unit 35 Blk 2413 Pb 16 Pg 109 Lots 5 + 6</t>
  </si>
  <si>
    <t xml:space="preserve">2830 NE 6th Ave  Cape Coral, FL 33909 </t>
  </si>
  <si>
    <t xml:space="preserve">PO Box 670877  Pompano Beach, FL 33067 </t>
  </si>
  <si>
    <t>Villafuerte</t>
  </si>
  <si>
    <t>Steven &amp; Louanne Piccerill</t>
  </si>
  <si>
    <t>Cote Divoire</t>
  </si>
  <si>
    <t>Cape Coral Unit 47 Pt 2 Blk 3534 Pb 23 Pg 127 Lots 29 + 30</t>
  </si>
  <si>
    <t>Otto</t>
  </si>
  <si>
    <t>Kea</t>
  </si>
  <si>
    <t>Sarasota</t>
  </si>
  <si>
    <t xml:space="preserve">805 NE 19th Ter  Cape Coral, FL 33909 </t>
  </si>
  <si>
    <t>AZ</t>
  </si>
  <si>
    <t xml:space="preserve">3215 NE 14th Pl  Cape Coral, FL 33909 </t>
  </si>
  <si>
    <t>Muth</t>
  </si>
  <si>
    <t xml:space="preserve">8605 70th St </t>
  </si>
  <si>
    <t>Minesing</t>
  </si>
  <si>
    <t>Rs 1</t>
  </si>
  <si>
    <t xml:space="preserve">2305 Meridian St  Falls Church, VA 22046-1828 </t>
  </si>
  <si>
    <t>11-44-25-10-00000.4110</t>
  </si>
  <si>
    <t xml:space="preserve">1722 NE 10th Ln </t>
  </si>
  <si>
    <t>Ann Callaway</t>
  </si>
  <si>
    <t>98058-7811</t>
  </si>
  <si>
    <t xml:space="preserve">1705 NE 4th Ave  Cape Coral, FL 33909 </t>
  </si>
  <si>
    <t>65355-4133</t>
  </si>
  <si>
    <t>Cerveny</t>
  </si>
  <si>
    <t>Chris Wall</t>
  </si>
  <si>
    <t xml:space="preserve">626 SE 36th St </t>
  </si>
  <si>
    <t>Cypress Woods Rv Resort Un 3 Desc In Pb 72 Pgs 92-95 Blk C Lot 28</t>
  </si>
  <si>
    <t>33909-1945</t>
  </si>
  <si>
    <t>Pepin</t>
  </si>
  <si>
    <t>Arthur &amp; Mary Sessa</t>
  </si>
  <si>
    <t xml:space="preserve">6140 Hershey Ave  Fort Myers, FL 33905 </t>
  </si>
  <si>
    <t>Cape Coral Unit 84 Blk 5574 Pb 24 Pg 36 Lots 20 + 21</t>
  </si>
  <si>
    <t>17-43-24-c1-05814.0330</t>
  </si>
  <si>
    <t>County Road 25</t>
  </si>
  <si>
    <t>11520-5735</t>
  </si>
  <si>
    <t>PO Box 843</t>
  </si>
  <si>
    <t xml:space="preserve">2909 SE 8th Pl  Cape Coral, FL 33904 </t>
  </si>
  <si>
    <t>Cape Coral Unit 32 Blk 2145 Pb 16 Pg 5 Lots 13 Thru 15</t>
  </si>
  <si>
    <t xml:space="preserve">2222 NE 20th Ave </t>
  </si>
  <si>
    <t>18-43-24-c2-05716.0150</t>
  </si>
  <si>
    <t xml:space="preserve">12340 Hammock Creek Way </t>
  </si>
  <si>
    <t>33909-6450</t>
  </si>
  <si>
    <t>01-45-23-c4-00849.0320</t>
  </si>
  <si>
    <t>35-45-24-04-0000a.0380</t>
  </si>
  <si>
    <t xml:space="preserve">110 Palmer Dr </t>
  </si>
  <si>
    <t>Ogden</t>
  </si>
  <si>
    <t>Raceu</t>
  </si>
  <si>
    <t xml:space="preserve">1230 NE 13th Pl </t>
  </si>
  <si>
    <t>Abrams Patricia M Tr</t>
  </si>
  <si>
    <t xml:space="preserve">1224 NE 20th Ave  Cape Coral, FL 33909 </t>
  </si>
  <si>
    <t>03-44-26-07-00033.0170</t>
  </si>
  <si>
    <t>West Little River</t>
  </si>
  <si>
    <t>Sunil Rodrigues Family</t>
  </si>
  <si>
    <t xml:space="preserve">PO Box 45  Bardstown, KY 40004 </t>
  </si>
  <si>
    <t>Salazar</t>
  </si>
  <si>
    <t xml:space="preserve">1728 NE 12th Ter </t>
  </si>
  <si>
    <t xml:space="preserve">6221 82nd Pl </t>
  </si>
  <si>
    <t>Anclote</t>
  </si>
  <si>
    <t>Cape Coral Unit 35 Blk 2398 Pb 16 Pg 107 Lots 25 + 26</t>
  </si>
  <si>
    <t xml:space="preserve">6035 Jonathan Ave </t>
  </si>
  <si>
    <t>Ammerman</t>
  </si>
  <si>
    <t>33619-9611</t>
  </si>
  <si>
    <t>Elm Grove</t>
  </si>
  <si>
    <t>Cape Coral Unit 85 Blk 5632 Pb 24 Pg 50 Lots 17 + 18</t>
  </si>
  <si>
    <t>19-43-24-c1-05546.0070</t>
  </si>
  <si>
    <t>Michelle Harvey</t>
  </si>
  <si>
    <t>James &amp; Cynthia Welch</t>
  </si>
  <si>
    <t xml:space="preserve">11551 Bubble Shell Dr </t>
  </si>
  <si>
    <t>Maria Russell &amp; Maria For</t>
  </si>
  <si>
    <t xml:space="preserve">5202 Marsh Mallow Trl </t>
  </si>
  <si>
    <t xml:space="preserve">2138 Amanda Mae Ct  Tallahassee, FL 32312-3165 </t>
  </si>
  <si>
    <t>Bart &amp; Jeanne Dalessio</t>
  </si>
  <si>
    <t>8b</t>
  </si>
  <si>
    <t>33903-7109</t>
  </si>
  <si>
    <t>P J P &amp; Agnes Ahern</t>
  </si>
  <si>
    <t xml:space="preserve">2726 NE 3rd Ave  Cape Coral, FL 33909 </t>
  </si>
  <si>
    <t>25-43-23-c2-02346.0560</t>
  </si>
  <si>
    <t xml:space="preserve">Lutzelmath Weg #2 </t>
  </si>
  <si>
    <t>Wonham</t>
  </si>
  <si>
    <t xml:space="preserve">2742 NE 2nd Pl </t>
  </si>
  <si>
    <t>Brouillette</t>
  </si>
  <si>
    <t xml:space="preserve">PO Box 25364  Miami, FL 33102-5364 </t>
  </si>
  <si>
    <t xml:space="preserve">11080 Gross Dr  Cleveland, OH 44130-7327 </t>
  </si>
  <si>
    <t>Lehigh Acres Unit 4 Blk 24 Pb 26 Pg 31 Lot 4</t>
  </si>
  <si>
    <t xml:space="preserve">19920 Adams Rd </t>
  </si>
  <si>
    <t xml:space="preserve">10522 Cabot Trl </t>
  </si>
  <si>
    <t xml:space="preserve">8605 NW 112th Path  Doral, FL 33178-5614 </t>
  </si>
  <si>
    <t xml:space="preserve">14910 Williams St </t>
  </si>
  <si>
    <t>03-44-26-07-00032.0120</t>
  </si>
  <si>
    <t>Zyle</t>
  </si>
  <si>
    <t>Wyndham Oaks</t>
  </si>
  <si>
    <t>Bayport</t>
  </si>
  <si>
    <t xml:space="preserve">5482 Cypress Trail Resort Cir  Fort Myers, FL 33905 </t>
  </si>
  <si>
    <t>Cape Coral Unit 36 Blk 2352 Pb 16 Pg 121 Lots 24 + 25</t>
  </si>
  <si>
    <t>33308-3441</t>
  </si>
  <si>
    <t>Ibarra</t>
  </si>
  <si>
    <t>Muell</t>
  </si>
  <si>
    <t>05-45-24-c4-00544.0580</t>
  </si>
  <si>
    <t>Hillsboro Mile</t>
  </si>
  <si>
    <t>El Cajonita</t>
  </si>
  <si>
    <t>Kingsway</t>
  </si>
  <si>
    <t>Cape Coral Unit 88 Blk 5819 Pb 24 Pg 140 Lots 75 + 76</t>
  </si>
  <si>
    <t xml:space="preserve">3336 NE 19th Ave  Cape Coral, FL 33909 </t>
  </si>
  <si>
    <t>Saint James</t>
  </si>
  <si>
    <t xml:space="preserve">3723 NE 12th Pl  Cape Coral, FL 33909 </t>
  </si>
  <si>
    <t>Tulare</t>
  </si>
  <si>
    <t>Maryland Heights</t>
  </si>
  <si>
    <t xml:space="preserve">363 Gay Pl </t>
  </si>
  <si>
    <t>Esteban Trejo-Simon &amp; Patricia Lopez-Martinez</t>
  </si>
  <si>
    <t>Cape Coral Unit 87 Blk 5713 Pb 24 Pg 71 Lots 15 + 16</t>
  </si>
  <si>
    <t>Weeden</t>
  </si>
  <si>
    <t>Bloomville Hill</t>
  </si>
  <si>
    <t xml:space="preserve">60 Kosciuszko St  Brooklyn, NY 11205-4905 </t>
  </si>
  <si>
    <t xml:space="preserve">1440 NE 33rd St </t>
  </si>
  <si>
    <t>Tom &amp; Terry Frazee</t>
  </si>
  <si>
    <t>Janet &amp; Keith Kerman</t>
  </si>
  <si>
    <t>Cape Coral Unit 36 Pt 1 Blk 2492 Pb 23 Pg 91 Lots 1 + 2</t>
  </si>
  <si>
    <t xml:space="preserve">3413 Andalusia Blvd  Cape Coral, FL 33909 </t>
  </si>
  <si>
    <t xml:space="preserve">812 NE 6th Ave </t>
  </si>
  <si>
    <t>26003-5523</t>
  </si>
  <si>
    <t xml:space="preserve">2306 NE 7th Ave </t>
  </si>
  <si>
    <t>Dawn Doyle</t>
  </si>
  <si>
    <t>33904-3944</t>
  </si>
  <si>
    <t>Pond View</t>
  </si>
  <si>
    <t>Gary &amp; Joann Kamp</t>
  </si>
  <si>
    <t xml:space="preserve">18 Manchester Ct </t>
  </si>
  <si>
    <t>10027-6402</t>
  </si>
  <si>
    <t>Cape Coral Unit 85 Blk 5640 Pb 24 Pg 51 Lots 13 + 14</t>
  </si>
  <si>
    <t>Lehigh Acres W Pt Unit 1 Blk 3 Pb 26 Pg 2 Lot 6</t>
  </si>
  <si>
    <t>Marlett</t>
  </si>
  <si>
    <t xml:space="preserve">5125 Cypress Trail Resort Cir  Fort Myers, FL 33905 </t>
  </si>
  <si>
    <t xml:space="preserve">5620 SW 199th Ave </t>
  </si>
  <si>
    <t xml:space="preserve">1121 NE 9th Ter  Cape Coral, FL 33909 </t>
  </si>
  <si>
    <t xml:space="preserve">5228 Pineland Daisy Trl </t>
  </si>
  <si>
    <t>Berchem</t>
  </si>
  <si>
    <t>33909-1406</t>
  </si>
  <si>
    <t xml:space="preserve">76 Fieldcrest Dr </t>
  </si>
  <si>
    <t xml:space="preserve">1228 NE 17th Ave  Cape Coral, FL 33909 </t>
  </si>
  <si>
    <t xml:space="preserve">502 Fayette Ave  Mamaroneck, NY 10543-2212 </t>
  </si>
  <si>
    <t xml:space="preserve">Terrazas De Guaynabo  Guaynabo, PR 00969 </t>
  </si>
  <si>
    <t xml:space="preserve">4034 NW 70th Ave </t>
  </si>
  <si>
    <t>33909-4564</t>
  </si>
  <si>
    <t>MAIL HOUSE NUMBER</t>
  </si>
  <si>
    <t>44010-9719</t>
  </si>
  <si>
    <t>Chardon</t>
  </si>
  <si>
    <t xml:space="preserve">4505 Yackley Ave </t>
  </si>
  <si>
    <t xml:space="preserve">366 Baslerstrasse </t>
  </si>
  <si>
    <t>07060-2307</t>
  </si>
  <si>
    <t>Cape Coral Unit 46 Blk 3591 Pb 17 Pg 127 Lots 43 Thru 45</t>
  </si>
  <si>
    <t>48236-3811</t>
  </si>
  <si>
    <t xml:space="preserve">8 Coupland Crt  Welland, ON L3c 6M7 </t>
  </si>
  <si>
    <t xml:space="preserve">744 Pemberton Browns Mills Rd  Pemberton, NJ 08068-1535 </t>
  </si>
  <si>
    <t>Luis Garcia</t>
  </si>
  <si>
    <t xml:space="preserve">1003 NE 32nd Ter  Cape Coral, FL 33909 </t>
  </si>
  <si>
    <t xml:space="preserve">2312 Andalusia Blvd  Cape Coral, FL 33909 </t>
  </si>
  <si>
    <t>Cape Coral Unit 21 Blk.635 Pb 13 Pg 161 Lots 23 + 24</t>
  </si>
  <si>
    <t>Fred Schaefer &amp; May Carr</t>
  </si>
  <si>
    <t>11420-2330</t>
  </si>
  <si>
    <t>19-43-24-c4-05566.0170</t>
  </si>
  <si>
    <t xml:space="preserve">2639 211th St  Bayside, NY 11360-2520 </t>
  </si>
  <si>
    <t>Cape Coral Unit 85 Blk 5650 Pb 24 Pg 57 Lots 5 + 6</t>
  </si>
  <si>
    <t>P D P &amp; Patricia Patterson</t>
  </si>
  <si>
    <t>Quintana</t>
  </si>
  <si>
    <t xml:space="preserve">219 Rainbow Dr #11974, Livingston, TX 77399-2019 </t>
  </si>
  <si>
    <t>N Ft Myers Park Unit 1 Pb 9 Pg 113 Lots 1 + 2 + 3</t>
  </si>
  <si>
    <t xml:space="preserve">1802 NE 17th Ave  Cape Coral, FL 33909 </t>
  </si>
  <si>
    <t>Karpenko</t>
  </si>
  <si>
    <t xml:space="preserve">426 NE 20th St  Cape Coral, FL 33909 </t>
  </si>
  <si>
    <t>Cape Coral Unit 87 Blk 5742 Pb 24 Pg 69 Lots 52 + 53</t>
  </si>
  <si>
    <t xml:space="preserve">1115 Jacaranda Pkwy E  Cape Coral, FL 33909 </t>
  </si>
  <si>
    <t>33909-5537</t>
  </si>
  <si>
    <t xml:space="preserve">3825 N 49th Dr </t>
  </si>
  <si>
    <t xml:space="preserve">600 E Canfield St </t>
  </si>
  <si>
    <t>Hubrich</t>
  </si>
  <si>
    <t xml:space="preserve">14094 Village Ln </t>
  </si>
  <si>
    <t xml:space="preserve">PO Box 1367  Riverview, FL 33568-1367 </t>
  </si>
  <si>
    <t>11021-4704</t>
  </si>
  <si>
    <t>Tabor Robert L Tr</t>
  </si>
  <si>
    <t>Marlene</t>
  </si>
  <si>
    <t>Mary &amp; Carolyn Contos</t>
  </si>
  <si>
    <t>Michael &amp; Helen Koutsouvanos</t>
  </si>
  <si>
    <t xml:space="preserve">36040 Army Navy Dr </t>
  </si>
  <si>
    <t xml:space="preserve">619 NE 5th Ave </t>
  </si>
  <si>
    <t>Sam Naffa</t>
  </si>
  <si>
    <t>Broadway</t>
  </si>
  <si>
    <t>Stoecksweg</t>
  </si>
  <si>
    <t xml:space="preserve">2214 NE 35th Ln  Cape Coral, FL 33909 </t>
  </si>
  <si>
    <t>33909-5248</t>
  </si>
  <si>
    <t xml:space="preserve">16797 NW 91st Ct  Hialeah, FL 33018-6326 </t>
  </si>
  <si>
    <t xml:space="preserve">4317 NE 20th Ct  Cape Coral, FL 33909 </t>
  </si>
  <si>
    <t xml:space="preserve">24 Konrad-Adenauer-Str </t>
  </si>
  <si>
    <t xml:space="preserve">6560 Chabot Ave  Fort Myers, FL 33905 </t>
  </si>
  <si>
    <t>Cape Coral Unit 47 Pt 2 Blk 3527 Pb 23 Pg 116 Lots 11 + 12</t>
  </si>
  <si>
    <t>Abuhadba</t>
  </si>
  <si>
    <t>Snell</t>
  </si>
  <si>
    <t>114th</t>
  </si>
  <si>
    <t xml:space="preserve">7274 Heaven Ln  Fort Myers, FL 33908 </t>
  </si>
  <si>
    <t>Cypress Woods Rv Resort Unit 4 Pb 79 Pgs 68-71 Blk D Lot 2</t>
  </si>
  <si>
    <t>06-44-24-c3-02059.0030</t>
  </si>
  <si>
    <t>Cypress Woods Rv Resort Un 3 Desc In Pb 72 Pgs 92-95 Blk C Lot 77</t>
  </si>
  <si>
    <t>58041-4044</t>
  </si>
  <si>
    <t>53110-2223</t>
  </si>
  <si>
    <t>36-43-23-c2-02524.0200</t>
  </si>
  <si>
    <t>Ramlogan</t>
  </si>
  <si>
    <t xml:space="preserve">1234 Buloxi Ct </t>
  </si>
  <si>
    <t>SE</t>
  </si>
  <si>
    <t xml:space="preserve">2639 Consejo Rd  Corozal Town, BZ </t>
  </si>
  <si>
    <t>03-44-26-10-00049.0200</t>
  </si>
  <si>
    <t xml:space="preserve">137 Lakend Rd </t>
  </si>
  <si>
    <t xml:space="preserve">4137 NE 15th Ave </t>
  </si>
  <si>
    <t>Marquette</t>
  </si>
  <si>
    <t xml:space="preserve">4209 NE 23rd Pl </t>
  </si>
  <si>
    <t>33909-3341</t>
  </si>
  <si>
    <t xml:space="preserve">2138 County Route 26 </t>
  </si>
  <si>
    <t>Cape Coral Unit 33 Blk 2285 Pb 16 Pg 60 Lots 61 + 62</t>
  </si>
  <si>
    <t xml:space="preserve">4018 Caloosa Loop  Labelle, FL 33935-5366 </t>
  </si>
  <si>
    <t xml:space="preserve">9219 SW 136th street Cir </t>
  </si>
  <si>
    <t>Cape Coral Unit 87 Blk 5701 Pb 24 Pg 74 Lots 17 + 18</t>
  </si>
  <si>
    <t>Riveros</t>
  </si>
  <si>
    <t>David Schuth</t>
  </si>
  <si>
    <t>33905-3166</t>
  </si>
  <si>
    <t xml:space="preserve">5470 Cypress Trail Resort Cir </t>
  </si>
  <si>
    <t xml:space="preserve">1422 Weeping Willow Ct  Grants Pass, OR 97527-5185 </t>
  </si>
  <si>
    <t>Maryjane</t>
  </si>
  <si>
    <t xml:space="preserve">1180 Moody Rd </t>
  </si>
  <si>
    <t>Cape Coral Unit 36 Blk 2345 Pb 16 Pg 124 Lots 52 + 53</t>
  </si>
  <si>
    <t xml:space="preserve">732 Young Forest Dr </t>
  </si>
  <si>
    <t>Dustin</t>
  </si>
  <si>
    <t xml:space="preserve">3750 Hilton Ave SE </t>
  </si>
  <si>
    <t>Cypress Woods Rv Resort Un 3 Desc In Pb 72 Pgs 92-95 Blk C Lot 118</t>
  </si>
  <si>
    <t xml:space="preserve">6020 Latimer Ave </t>
  </si>
  <si>
    <t>Feliberto</t>
  </si>
  <si>
    <t>David Atwell &amp; Deanna Salvagni-Atwell</t>
  </si>
  <si>
    <t xml:space="preserve">7730 SW 89th Ct  Miami, FL 33173-3479 </t>
  </si>
  <si>
    <t>Mark Feuer</t>
  </si>
  <si>
    <t>Cubillos</t>
  </si>
  <si>
    <t>18940-9796</t>
  </si>
  <si>
    <t xml:space="preserve">1221 NE 18th Ave  Cape Coral, FL 33909 </t>
  </si>
  <si>
    <t xml:space="preserve">1335 Sadlier Circle East Dr  Indianapolis, IN 46239-1051 </t>
  </si>
  <si>
    <t>36-43-23-c2-02526.0050</t>
  </si>
  <si>
    <t>16-44-26-07-00023.0040</t>
  </si>
  <si>
    <t xml:space="preserve">2717 NE 2nd Pl </t>
  </si>
  <si>
    <t xml:space="preserve">214 Jacaranda Pkwy E </t>
  </si>
  <si>
    <t>31216-7113</t>
  </si>
  <si>
    <t>Weiser</t>
  </si>
  <si>
    <t>Keswick</t>
  </si>
  <si>
    <t>Linden</t>
  </si>
  <si>
    <t>Genaro</t>
  </si>
  <si>
    <t>Mathews</t>
  </si>
  <si>
    <t>Hersant</t>
  </si>
  <si>
    <t>01-44-23-c1-02441.0170</t>
  </si>
  <si>
    <t>33511-5211</t>
  </si>
  <si>
    <t>56097-4660</t>
  </si>
  <si>
    <t>Lowe Thomas F Tr</t>
  </si>
  <si>
    <t>Macedonia</t>
  </si>
  <si>
    <t xml:space="preserve">2109 NE 2nd Pl </t>
  </si>
  <si>
    <t>Virgallito</t>
  </si>
  <si>
    <t>Mark &amp; Rebekah Salsgiver</t>
  </si>
  <si>
    <t xml:space="preserve">2720 NE 7th Pl </t>
  </si>
  <si>
    <t xml:space="preserve">9 Higginsville Rd </t>
  </si>
  <si>
    <t>Dana Navarro</t>
  </si>
  <si>
    <t>Eden Valley</t>
  </si>
  <si>
    <t>Delgado-Lugo</t>
  </si>
  <si>
    <t>Cambridge</t>
  </si>
  <si>
    <t>25-43-23-c4-02298.b060</t>
  </si>
  <si>
    <t>Joerg Schaefer</t>
  </si>
  <si>
    <t xml:space="preserve">3936 E Glen Abbey Dr  Springfield, MO 65809-4689 </t>
  </si>
  <si>
    <t>11501-2331</t>
  </si>
  <si>
    <t>Cape Coral Unit 88 Blk 5784 Pb 24 Pg 131 Lots 35 + 36</t>
  </si>
  <si>
    <t>61284-9670</t>
  </si>
  <si>
    <t>Pedro &amp; Victoriano Jimenez</t>
  </si>
  <si>
    <t>Cape Coral Unit 26 Blk 873 Pb 14 Pg 132 Lots 57 + 58</t>
  </si>
  <si>
    <t xml:space="preserve">3607 NE 9th Ave </t>
  </si>
  <si>
    <t>Neal</t>
  </si>
  <si>
    <t>Cape Coral Unit 32 Blk 2162 Pb 16 Pg 11 Lots 55 + 56</t>
  </si>
  <si>
    <t>18-43-24-c3-05747.0490</t>
  </si>
  <si>
    <t xml:space="preserve">416 NE 18th St  Cape Coral, FL 33909 </t>
  </si>
  <si>
    <t>Rose Rupp &amp; Lloret Moussa</t>
  </si>
  <si>
    <t>Cape Coral Unit 33 Blk 2234 Pb 16 Pg 51 Lots 40 + 41</t>
  </si>
  <si>
    <t>Wallis Farm</t>
  </si>
  <si>
    <t xml:space="preserve">7 Mccormick Rd </t>
  </si>
  <si>
    <t>32828-8427</t>
  </si>
  <si>
    <t xml:space="preserve">4523 SE 11th Pl  Cape Coral, FL 33904 </t>
  </si>
  <si>
    <t>33028-1867</t>
  </si>
  <si>
    <t xml:space="preserve">5208 Junction Blvd </t>
  </si>
  <si>
    <t xml:space="preserve">14151 SW 202nd Ave </t>
  </si>
  <si>
    <t xml:space="preserve">305 NE 31st Ter  Cape Coral, FL 33909 </t>
  </si>
  <si>
    <t>David Roseberry</t>
  </si>
  <si>
    <t>25-43-23-c1-02300.a490</t>
  </si>
  <si>
    <t>Cape Coral Unit 87 Blk 5705 Pb 24 Pg 73 Lots 5 + 6</t>
  </si>
  <si>
    <t xml:space="preserve">19480 San Marco Dr </t>
  </si>
  <si>
    <t>Cardin</t>
  </si>
  <si>
    <t>11-44-25-l1-13000.3110</t>
  </si>
  <si>
    <t xml:space="preserve">4548 W Alhambra Cir  Naples, FL 34103-2529 </t>
  </si>
  <si>
    <t>H063</t>
  </si>
  <si>
    <t>32-43-24-c4-02207.0070</t>
  </si>
  <si>
    <t>33909-4510</t>
  </si>
  <si>
    <t xml:space="preserve">4433 Richardson Ave </t>
  </si>
  <si>
    <t>Cape Coral Unit 46 Blk 3597 Pb 17 Pg 124 Lots 7 + 8</t>
  </si>
  <si>
    <t>Rose-Innes</t>
  </si>
  <si>
    <t>Cape Coral Unit 34 Blk 2450 Pb 16 Pg 85 Lots 30 + 31</t>
  </si>
  <si>
    <t xml:space="preserve">18415 Collins St H, Tarzana, CA 91356-6540 </t>
  </si>
  <si>
    <t xml:space="preserve">14602 Old Olga Rd  Fort Myers, FL 33905 </t>
  </si>
  <si>
    <t xml:space="preserve">2304 NE 26th St </t>
  </si>
  <si>
    <t>Cape Coral Unit 88 Blk 5803 Pb 24 Pg 137 Lots 17 + 18</t>
  </si>
  <si>
    <t>Alwyne</t>
  </si>
  <si>
    <t xml:space="preserve">930 NE 23rd Ter  Cape Coral, FL 33909 </t>
  </si>
  <si>
    <t>Limia</t>
  </si>
  <si>
    <t>Kotchey</t>
  </si>
  <si>
    <t>Louis Kibsgard</t>
  </si>
  <si>
    <t>Fullerton</t>
  </si>
  <si>
    <t>Goodspeed Paul Morris Tr</t>
  </si>
  <si>
    <t xml:space="preserve">6049 Langdon Ave </t>
  </si>
  <si>
    <t>33909-1455</t>
  </si>
  <si>
    <t xml:space="preserve">26910 Grand Central Pkwy 9g </t>
  </si>
  <si>
    <t xml:space="preserve">6013 Thorpe Ave </t>
  </si>
  <si>
    <t xml:space="preserve">73 B  Berlin, DE 12683 </t>
  </si>
  <si>
    <t>33909-8930</t>
  </si>
  <si>
    <t>For Robert L Tabor Trust</t>
  </si>
  <si>
    <t xml:space="preserve">3733 Michigan Ave  Fort Myers, FL 33905 </t>
  </si>
  <si>
    <t xml:space="preserve">229 NE 10th Pl </t>
  </si>
  <si>
    <t>Simkin</t>
  </si>
  <si>
    <t>402b</t>
  </si>
  <si>
    <t>Joseph C De Croocq 2016 Trust</t>
  </si>
  <si>
    <t>19-43-24-c2-05604.0550</t>
  </si>
  <si>
    <t>John &amp; Luz Mcwilliams</t>
  </si>
  <si>
    <t>Lumen</t>
  </si>
  <si>
    <t>33012-2637</t>
  </si>
  <si>
    <t xml:space="preserve">630 Lafayette Blvd </t>
  </si>
  <si>
    <t xml:space="preserve">905 Price Rd </t>
  </si>
  <si>
    <t>34275-3598</t>
  </si>
  <si>
    <t>Macheda</t>
  </si>
  <si>
    <t xml:space="preserve">3 Alward Rd </t>
  </si>
  <si>
    <t>95762-4440</t>
  </si>
  <si>
    <t>Creekside East</t>
  </si>
  <si>
    <t xml:space="preserve">2632 NE 20th Ct  Cape Coral, FL 33909 </t>
  </si>
  <si>
    <t>Carbonell &amp; Menendez Alfredo</t>
  </si>
  <si>
    <t>Trai</t>
  </si>
  <si>
    <t xml:space="preserve">33 50 58th St </t>
  </si>
  <si>
    <t>14051-3008</t>
  </si>
  <si>
    <t xml:space="preserve">1621 NE 17th Ter </t>
  </si>
  <si>
    <t xml:space="preserve">9604 Sprow Ranch Ln </t>
  </si>
  <si>
    <t xml:space="preserve">1091 NW 104th Ave </t>
  </si>
  <si>
    <t xml:space="preserve">4109 NE 10th Pl </t>
  </si>
  <si>
    <t xml:space="preserve">2016 NE 40th St  Cape Coral, FL 33909 </t>
  </si>
  <si>
    <t>Cape Coral Unit 33 Blk 2227 Pb 16 Pg 46 Lots 12 + 13</t>
  </si>
  <si>
    <t>Hutchinson</t>
  </si>
  <si>
    <t>80227-2880</t>
  </si>
  <si>
    <t>Yelizaveta</t>
  </si>
  <si>
    <t xml:space="preserve">509 NE 24th Ter  Cape Coral, FL 33909 </t>
  </si>
  <si>
    <t>03-44-26-11-00058.0110</t>
  </si>
  <si>
    <t>Svana</t>
  </si>
  <si>
    <t xml:space="preserve">3522 E Gator Cir </t>
  </si>
  <si>
    <t xml:space="preserve">907 Secretariat Dr  Naperville, IL 60540-7735 </t>
  </si>
  <si>
    <t>Thielen</t>
  </si>
  <si>
    <t>Ghaleb Hatem</t>
  </si>
  <si>
    <t xml:space="preserve">14564 Snow Lodge Rd  Ely, MN 55731-8293 </t>
  </si>
  <si>
    <t>Cape Coral Unit 32 Blk 2148 Pb 16 Pg 9 Lots 30 + 31</t>
  </si>
  <si>
    <t>17-43-24-c4-05773.0230</t>
  </si>
  <si>
    <t>Pago Pago</t>
  </si>
  <si>
    <t>32-43-24-c2-02188.0270</t>
  </si>
  <si>
    <t>Huntingtown</t>
  </si>
  <si>
    <t>11234-3330</t>
  </si>
  <si>
    <t xml:space="preserve">8242 NW 42nd St </t>
  </si>
  <si>
    <t>C019</t>
  </si>
  <si>
    <t>11-44-25-05-0000c.0050</t>
  </si>
  <si>
    <t>Roxane</t>
  </si>
  <si>
    <t>Hepner</t>
  </si>
  <si>
    <t>Andrew Chasse</t>
  </si>
  <si>
    <t xml:space="preserve">5184 Cornstack Rd  Marion Station, MD 21838-2226 </t>
  </si>
  <si>
    <t>Duane &amp; Duane Boyken</t>
  </si>
  <si>
    <t>32765-8627</t>
  </si>
  <si>
    <t>Hodgson</t>
  </si>
  <si>
    <t xml:space="preserve">17820 Holly Brook Way  Boca Raton, FL 33487-2125 </t>
  </si>
  <si>
    <t>31-43-24-c1-02164.0230</t>
  </si>
  <si>
    <t xml:space="preserve">6010 Joplin Ave </t>
  </si>
  <si>
    <t>Pine</t>
  </si>
  <si>
    <t>Silver Rose</t>
  </si>
  <si>
    <t>Cape Coral Unit 36 Blk 2305 Pb 16 Pg 119 Lots 24 + 25</t>
  </si>
  <si>
    <t xml:space="preserve">2540 SE 21st Ave </t>
  </si>
  <si>
    <t xml:space="preserve">3018 NE 7th Ave </t>
  </si>
  <si>
    <t>12-46-23-03-00000.1620</t>
  </si>
  <si>
    <t xml:space="preserve">5798 Burrwood Ct  Fort Myers, FL 33905 </t>
  </si>
  <si>
    <t xml:space="preserve">34 Foley Rd  Warwick, NY 10990-2822 </t>
  </si>
  <si>
    <t>Lorraine</t>
  </si>
  <si>
    <t>Monument</t>
  </si>
  <si>
    <t>20-43-24-c2-05666.0560</t>
  </si>
  <si>
    <t>Tony Do</t>
  </si>
  <si>
    <t>33909-1205</t>
  </si>
  <si>
    <t xml:space="preserve">3709 NE 16th Ave  Cape Coral, FL 33909 </t>
  </si>
  <si>
    <t>Hugh &amp; Jacqueline Moxam</t>
  </si>
  <si>
    <t>Errol Hill</t>
  </si>
  <si>
    <t>53719-2205</t>
  </si>
  <si>
    <t>San Marcos</t>
  </si>
  <si>
    <t>Cape Coral Unit 47 Part 2 Blk 3540 Pb 23 Pg 119 Lots 15 + 16</t>
  </si>
  <si>
    <t>Andrew &amp; Iplan Conti</t>
  </si>
  <si>
    <t>Fuller</t>
  </si>
  <si>
    <t>25-43-23-c1-02329.0470</t>
  </si>
  <si>
    <t>11-44-25-l1-12000.2840</t>
  </si>
  <si>
    <t xml:space="preserve">11178 Sunburst Ln  Fort Myers, FL 33908 </t>
  </si>
  <si>
    <t>33909-4363</t>
  </si>
  <si>
    <t>America Outdoors Camper Resort 1 Condo Blk B Or 1673 Pg 2487 Unit 11</t>
  </si>
  <si>
    <t xml:space="preserve">930 Durden Pkwy  Cape Coral, FL 33909 </t>
  </si>
  <si>
    <t>Vernon</t>
  </si>
  <si>
    <t xml:space="preserve">2614 NE 3rd Ave  Cape Coral, FL 33909 </t>
  </si>
  <si>
    <t>Chanchavac</t>
  </si>
  <si>
    <t>Ale</t>
  </si>
  <si>
    <t xml:space="preserve">10201 Nightwood Dr  Fort Myers, FL 33905 </t>
  </si>
  <si>
    <t>Vincent &amp; Ann Vaiano</t>
  </si>
  <si>
    <t xml:space="preserve">120 Montgomery St G2 </t>
  </si>
  <si>
    <t xml:space="preserve">12 Gannett Rd </t>
  </si>
  <si>
    <t>Powell Sligh &amp; For Powell</t>
  </si>
  <si>
    <t xml:space="preserve">3617 NE 22nd Ave  Cape Coral, FL 33909 </t>
  </si>
  <si>
    <t>Cape Coral Unit 84 Blk 5609 Pb 24 Pg 35 Lots 33 + 34</t>
  </si>
  <si>
    <t>Gottselig</t>
  </si>
  <si>
    <t>33125-2190</t>
  </si>
  <si>
    <t>Tanney</t>
  </si>
  <si>
    <t>Dixington</t>
  </si>
  <si>
    <t xml:space="preserve">1305 NE 11th Ter </t>
  </si>
  <si>
    <t>Robert H Adams &amp; Cheryl Adams</t>
  </si>
  <si>
    <t>10065-8344</t>
  </si>
  <si>
    <t xml:space="preserve">17 Broadmeadow Rd </t>
  </si>
  <si>
    <t>Vermont</t>
  </si>
  <si>
    <t xml:space="preserve">5313 Cypress Trail Resort Cir  Fort Myers, FL 33905 </t>
  </si>
  <si>
    <t xml:space="preserve">1917 NE 33rd Ter </t>
  </si>
  <si>
    <t xml:space="preserve">1713 NE 5th Ter </t>
  </si>
  <si>
    <t>Beasley</t>
  </si>
  <si>
    <t>30064-5463</t>
  </si>
  <si>
    <t xml:space="preserve">1510 NE 6th Pl </t>
  </si>
  <si>
    <t>Cromie</t>
  </si>
  <si>
    <t xml:space="preserve">13641 River Forest Dr </t>
  </si>
  <si>
    <t>Cape Coral Unit 31 Blk 2078 Pb 14 Pg 163 Lots 15 + 16</t>
  </si>
  <si>
    <t xml:space="preserve">3735 Barrelwood Dr </t>
  </si>
  <si>
    <t>04-44-24-00-00030.013a</t>
  </si>
  <si>
    <t>Fiore</t>
  </si>
  <si>
    <t>Spruce</t>
  </si>
  <si>
    <t>Mikado</t>
  </si>
  <si>
    <t xml:space="preserve">19681 Summerlin Rd #51 </t>
  </si>
  <si>
    <t xml:space="preserve">10274 Meadow Beauty Trl </t>
  </si>
  <si>
    <t xml:space="preserve">1266 NE 41st Ter </t>
  </si>
  <si>
    <t>Parsons</t>
  </si>
  <si>
    <t xml:space="preserve">4144 NE 19th Pl  Cape Coral, FL 33909 </t>
  </si>
  <si>
    <t>Cedres</t>
  </si>
  <si>
    <t xml:space="preserve">6046 Stratton Rd  Fort Myers, FL 33905 </t>
  </si>
  <si>
    <t>Connecticut</t>
  </si>
  <si>
    <t>55746-3409</t>
  </si>
  <si>
    <t>04-44-25-21-0000b.0270</t>
  </si>
  <si>
    <t>Liberty</t>
  </si>
  <si>
    <t>Michael Newell &amp; Kevin Taylor</t>
  </si>
  <si>
    <t xml:space="preserve">5276 Mary Ct </t>
  </si>
  <si>
    <t>Du College</t>
  </si>
  <si>
    <t>Fiorbello</t>
  </si>
  <si>
    <t>49441-5704</t>
  </si>
  <si>
    <t>33905-8701</t>
  </si>
  <si>
    <t>Jiovanni &amp; Jessica Nodal</t>
  </si>
  <si>
    <t>Ellwood</t>
  </si>
  <si>
    <t>Jose Hernandez &amp; Marlen Figueroa</t>
  </si>
  <si>
    <t xml:space="preserve">445 E 52nd St  Long Beach, CA 90805-6403 </t>
  </si>
  <si>
    <t>06010-8430</t>
  </si>
  <si>
    <t>Cape Coral Unit 21 Blk 635 Pb 13 Pg 161 Lots 39 + 40</t>
  </si>
  <si>
    <t>Cape Coral Unit 85 Blk 5632 Pb 24 Pg 50 Lots 15 + 16</t>
  </si>
  <si>
    <t xml:space="preserve">2006 Birkdale Ave  Upland, CA 91784-7987 </t>
  </si>
  <si>
    <t>36-43-23-c4-02505.0030</t>
  </si>
  <si>
    <t xml:space="preserve">3803 Margay Ct  Alexandria, VA 22309-8219 </t>
  </si>
  <si>
    <t xml:space="preserve">6255 Joaquin Murieta Ave D, Newark, CA 94560-5421 </t>
  </si>
  <si>
    <t xml:space="preserve">PO Box 770598  Steamboat Springs, CO 80477 </t>
  </si>
  <si>
    <t>Nancy Zegarra</t>
  </si>
  <si>
    <t>03-44-26-12-00068.0070</t>
  </si>
  <si>
    <t xml:space="preserve">2230 NE 39th Ter </t>
  </si>
  <si>
    <t xml:space="preserve">208 NE 25th Ter  Cape Coral, FL 33909 </t>
  </si>
  <si>
    <t xml:space="preserve">9415 Marino Cir #107 </t>
  </si>
  <si>
    <t>Scholte Straat</t>
  </si>
  <si>
    <t>Bova-Silva</t>
  </si>
  <si>
    <t>Joan</t>
  </si>
  <si>
    <t xml:space="preserve">4737 Demaret Dr </t>
  </si>
  <si>
    <t>Cape Coral Unit 33 Blk 2182 Pb 16 Pg 49 Lots 26 + 27</t>
  </si>
  <si>
    <t>33436-6763</t>
  </si>
  <si>
    <t xml:space="preserve">2633 S Canal St </t>
  </si>
  <si>
    <t>33909-5532</t>
  </si>
  <si>
    <t>Buckingham Pk Re Blk B U-2 Blk 9 Pb 27 Pg 189 Lot 10</t>
  </si>
  <si>
    <t xml:space="preserve">185 Somerworth Dr </t>
  </si>
  <si>
    <t>08-44-25-p3-04800.3070</t>
  </si>
  <si>
    <t>05-44-24-c1-03531.0290</t>
  </si>
  <si>
    <t>33909-2766</t>
  </si>
  <si>
    <t>Church</t>
  </si>
  <si>
    <t>Cape Coral Unit 36 Blk 2352 Pb 16 Pg 121 Lots 22 + 23</t>
  </si>
  <si>
    <t xml:space="preserve">7812 Bergenline Ave </t>
  </si>
  <si>
    <t>Susan Marchus &amp; Vickson Hart</t>
  </si>
  <si>
    <t>Joanne D Kornfeld Trust</t>
  </si>
  <si>
    <t>Gilles</t>
  </si>
  <si>
    <t>Wentz</t>
  </si>
  <si>
    <t>Lisett</t>
  </si>
  <si>
    <t>34609-2030</t>
  </si>
  <si>
    <t>33140-2545</t>
  </si>
  <si>
    <t>32-43-24-c3-02219.0050</t>
  </si>
  <si>
    <t xml:space="preserve">3749 NE 16th Pl  Cape Coral, FL 33909 </t>
  </si>
  <si>
    <t xml:space="preserve">926 NE 34th Ter </t>
  </si>
  <si>
    <t>Abrahams</t>
  </si>
  <si>
    <t>48532-3556</t>
  </si>
  <si>
    <t>J6A 2R6</t>
  </si>
  <si>
    <t>Mattie Cunningham &amp; John Leonard</t>
  </si>
  <si>
    <t xml:space="preserve">10 Rue Des Roseaux  Schleithal, FR </t>
  </si>
  <si>
    <t xml:space="preserve">4209 NE 23rd Pl  Cape Coral, FL 33909 </t>
  </si>
  <si>
    <t xml:space="preserve">373 Rose Ave  Staten Island, NY 10306-4327 </t>
  </si>
  <si>
    <t>36-43-23-c3-02500.0350</t>
  </si>
  <si>
    <t>31-43-24-c1-02149.0420</t>
  </si>
  <si>
    <t>03-44-26-12-00067.0020</t>
  </si>
  <si>
    <t>Harriett</t>
  </si>
  <si>
    <t xml:space="preserve">1617 NE 5th Ave  Cape Coral, FL 33909 </t>
  </si>
  <si>
    <t>Eugene &amp; Barbara Gus</t>
  </si>
  <si>
    <t xml:space="preserve">1408 NE 10th Ave </t>
  </si>
  <si>
    <t xml:space="preserve">3873 8th St SW  Dickinson, ND 58601-7414 </t>
  </si>
  <si>
    <t xml:space="preserve">9211 212th Pl  Queens Village, NY 11428-1140 </t>
  </si>
  <si>
    <t>34116-6046</t>
  </si>
  <si>
    <t>04-44-25-21-0000c.0070</t>
  </si>
  <si>
    <t>14416-9537</t>
  </si>
  <si>
    <t xml:space="preserve">407 Ocean Blvd B10, Hampton, NH 03842-3662 </t>
  </si>
  <si>
    <t xml:space="preserve">3025 NE 5th Ave  Cape Coral, FL 33909 </t>
  </si>
  <si>
    <t xml:space="preserve">390 NE Town Ter  Jensen Beach, FL 34957-6803 </t>
  </si>
  <si>
    <t>Ada Romero</t>
  </si>
  <si>
    <t xml:space="preserve">1722 Fraser Dr  Louisville, KY 40205-2776 </t>
  </si>
  <si>
    <t xml:space="preserve">4445 County Road 25  Dundee, NY 14837-9517 </t>
  </si>
  <si>
    <t>Ovidio</t>
  </si>
  <si>
    <t xml:space="preserve">12961 SW 79th St  Miami, FL 33183-4207 </t>
  </si>
  <si>
    <t xml:space="preserve">16 Brannon Ct  Florence, AL 35630-1674 </t>
  </si>
  <si>
    <t xml:space="preserve">1002 NE 33rd St </t>
  </si>
  <si>
    <t xml:space="preserve">55 Abbey Ln #5320, Danbury, CT 06810-5227 </t>
  </si>
  <si>
    <t xml:space="preserve">14331 Skyview Dr </t>
  </si>
  <si>
    <t>Nestor &amp; Valia Velazquez</t>
  </si>
  <si>
    <t>Ft Myers Shores Unit 5 Blk 84 Pb 16 Pg 66 Lot 35</t>
  </si>
  <si>
    <t xml:space="preserve">411 Walnut St 17724 Green Cv #17724 </t>
  </si>
  <si>
    <t>Cypress Woods Rv Resort Ut 1 Pb 65 Pg 85 + 86 Blk A Lot 50</t>
  </si>
  <si>
    <t xml:space="preserve">3 W Custer St  Lemont, IL 60439-3803 </t>
  </si>
  <si>
    <t xml:space="preserve">4101 NE 22nd Pl </t>
  </si>
  <si>
    <t xml:space="preserve">1127 Rosa Del Rio Way </t>
  </si>
  <si>
    <t xml:space="preserve">265 Carteret St </t>
  </si>
  <si>
    <t>Cypress Trail Rv Resort As Desc In Inst# 2013000212499 Lot 258</t>
  </si>
  <si>
    <t>33470-5013</t>
  </si>
  <si>
    <t>03-44-26-01-00003.0280</t>
  </si>
  <si>
    <t>25-43-23-c1-02325.0530</t>
  </si>
  <si>
    <t>92605-3794</t>
  </si>
  <si>
    <t xml:space="preserve">1761 SE 46th Ln </t>
  </si>
  <si>
    <t>Sparkman</t>
  </si>
  <si>
    <t xml:space="preserve">329 NE 17th Ave </t>
  </si>
  <si>
    <t>Liliana Diaz</t>
  </si>
  <si>
    <t xml:space="preserve">6 Rue De Riffi </t>
  </si>
  <si>
    <t>Fairport Harbor</t>
  </si>
  <si>
    <t xml:space="preserve">61 Kingman St  Brockton, MA 02302-3232 </t>
  </si>
  <si>
    <t>Aga</t>
  </si>
  <si>
    <t>16508-2467</t>
  </si>
  <si>
    <t>33909-1543</t>
  </si>
  <si>
    <t xml:space="preserve">5065 SW 164th Ave </t>
  </si>
  <si>
    <t>33144-3115</t>
  </si>
  <si>
    <t>Cape Coral Unit 15 Blk.432 Pb 13 Pg 74 Lots 6 + 7</t>
  </si>
  <si>
    <t xml:space="preserve">912 NE 14th Ter </t>
  </si>
  <si>
    <t>18-43-24-c1-05689.0360</t>
  </si>
  <si>
    <t>32780-8721</t>
  </si>
  <si>
    <t>PO Box 1261</t>
  </si>
  <si>
    <t xml:space="preserve">4017 SE 12th Ave  Cape Coral, FL 33904 </t>
  </si>
  <si>
    <t xml:space="preserve">31192 Santa Margarita Pl  San Juan Capistrano, CA 92675-1831 </t>
  </si>
  <si>
    <t xml:space="preserve">618 NE 7th Ter  Cape Coral, FL 33909 </t>
  </si>
  <si>
    <t xml:space="preserve">1419 NE 18th Ter </t>
  </si>
  <si>
    <t xml:space="preserve">1702 NE 44th St </t>
  </si>
  <si>
    <t>19-43-24-c1-05570.0390</t>
  </si>
  <si>
    <t xml:space="preserve">2025 NE 33rd Ter  Cape Coral, FL 33909 </t>
  </si>
  <si>
    <t>Thomas Eckmann</t>
  </si>
  <si>
    <t>33980-2425</t>
  </si>
  <si>
    <t>Us Highway 19E</t>
  </si>
  <si>
    <t>Rue Edgar Degas</t>
  </si>
  <si>
    <t>Christopher Joos</t>
  </si>
  <si>
    <t>11795-3322</t>
  </si>
  <si>
    <t>Sonia Po</t>
  </si>
  <si>
    <t xml:space="preserve">1404 Greenleaf St  Dyer, IN 46311-2372 </t>
  </si>
  <si>
    <t>75089-8573</t>
  </si>
  <si>
    <t>Cape Coral Unit 36 Blk 2174 Pb 16 Pg 121 Lots 19 + 20</t>
  </si>
  <si>
    <t>Matagorda</t>
  </si>
  <si>
    <t>Palacio</t>
  </si>
  <si>
    <t xml:space="preserve">6948 W Jennifer Dr  Greenfield, IN 46140-9531 </t>
  </si>
  <si>
    <t xml:space="preserve">1426 NE 6th Pl </t>
  </si>
  <si>
    <t xml:space="preserve">3806 Kittyhawk Dr </t>
  </si>
  <si>
    <t>Cape Coral Unit 32 Blk 2173 Pb 16 Pg 11 Lots 16 + 17</t>
  </si>
  <si>
    <t xml:space="preserve">10326 Fire Flag Trl  Fort Myers, FL 33905 </t>
  </si>
  <si>
    <t xml:space="preserve">137 Dolshire Dr  Syracuse, NY 13212-3554 </t>
  </si>
  <si>
    <t>Jasmina</t>
  </si>
  <si>
    <t>Lyle</t>
  </si>
  <si>
    <t xml:space="preserve">254 San Diego St  North Fort Myers, FL 33903 </t>
  </si>
  <si>
    <t>19-43-24-c4-05557.0190</t>
  </si>
  <si>
    <t>Marvin &amp; Donna Mcdaniel</t>
  </si>
  <si>
    <t>33905-5107</t>
  </si>
  <si>
    <t>29-43-24-c3-02275.0200</t>
  </si>
  <si>
    <t>Rosario Rizzo</t>
  </si>
  <si>
    <t>11561-1834</t>
  </si>
  <si>
    <t>34119-8666</t>
  </si>
  <si>
    <t xml:space="preserve">923 NE 18th St  Cape Coral, FL 33909 </t>
  </si>
  <si>
    <t>Belle Mead</t>
  </si>
  <si>
    <t xml:space="preserve">245 W La Vieve Ln  Tempe, AZ 85284-3022 </t>
  </si>
  <si>
    <t>Dancumarie</t>
  </si>
  <si>
    <t>Kobe</t>
  </si>
  <si>
    <t>Richard &amp; Carol Gorrell</t>
  </si>
  <si>
    <t>Herod Tanelus &amp; Johnette Banks</t>
  </si>
  <si>
    <t>Lovia</t>
  </si>
  <si>
    <t xml:space="preserve">512 Shunpike Rd  Cape May, NJ 08204-4521 </t>
  </si>
  <si>
    <t>33909-2227</t>
  </si>
  <si>
    <t xml:space="preserve">1438 NE 2nd Ter </t>
  </si>
  <si>
    <t xml:space="preserve">212 Jarvis St </t>
  </si>
  <si>
    <t>Cape Coral Unit 84 Blk 5593 Pb 24 Pg 44 Lots 35 + 36</t>
  </si>
  <si>
    <t xml:space="preserve">2760 Jackstown Rd </t>
  </si>
  <si>
    <t>Marlow</t>
  </si>
  <si>
    <t>17-43-24-c1-05775.0070</t>
  </si>
  <si>
    <t xml:space="preserve">4308 Connection Ave </t>
  </si>
  <si>
    <t xml:space="preserve">15019 Gilmore St </t>
  </si>
  <si>
    <t>13-45-23-c3-00118.0390</t>
  </si>
  <si>
    <t>Marisa</t>
  </si>
  <si>
    <t>J</t>
  </si>
  <si>
    <t>Cape Coral Unit 87 Blk 5701 Pb 24 Pg 74 Lots 15 + 16</t>
  </si>
  <si>
    <t xml:space="preserve">4850 Grand Haven Ct  Cincinnati, OH 45248-1452 </t>
  </si>
  <si>
    <t>Milosevic</t>
  </si>
  <si>
    <t xml:space="preserve">10337 Fire Flag Trl </t>
  </si>
  <si>
    <t xml:space="preserve">17171 Park Row #100 </t>
  </si>
  <si>
    <t xml:space="preserve">13545 Marquette Blvd  Fort Myers, FL 33905 </t>
  </si>
  <si>
    <t>33909-4619</t>
  </si>
  <si>
    <t xml:space="preserve">463 San Bernardino St  North Fort Myers, FL 33903 </t>
  </si>
  <si>
    <t>Kings Lair</t>
  </si>
  <si>
    <t>Cape Coral Unit 36 Blk 2345 Pb 16 Pg 124 Lots 50 + 51</t>
  </si>
  <si>
    <t xml:space="preserve">1024 SW 10th St  Miami, FL 33130-3610 </t>
  </si>
  <si>
    <t>19-43-24-c2-05753.0260</t>
  </si>
  <si>
    <t>08234-8312</t>
  </si>
  <si>
    <t>Cape Coral Unit 34 Blk 2466 Pb 16 Pg 75 Lots 83 + 84</t>
  </si>
  <si>
    <t xml:space="preserve">6209 Yellow Court Dawn  Columbia, MD 21045 </t>
  </si>
  <si>
    <t>37027-1540</t>
  </si>
  <si>
    <t>Antonio &amp; Ricardo Luis</t>
  </si>
  <si>
    <t>Cape Coral Unit 35 Blk 2380 Pb 16 Pg 106 Lots 21 + 22</t>
  </si>
  <si>
    <t xml:space="preserve">3636 Belair Ln  Naples, FL 34103-3715 </t>
  </si>
  <si>
    <t xml:space="preserve">922 NE 33rd St </t>
  </si>
  <si>
    <t>Rays</t>
  </si>
  <si>
    <t>13205-2402</t>
  </si>
  <si>
    <t>15-44-23-c2-03663.0320</t>
  </si>
  <si>
    <t>Prince</t>
  </si>
  <si>
    <t>Kabir</t>
  </si>
  <si>
    <t xml:space="preserve">29 Huerbeek  Lubbeek, BE </t>
  </si>
  <si>
    <t xml:space="preserve">4756 SW 138th Loop  Ocala, FL 34473-2075 </t>
  </si>
  <si>
    <t xml:space="preserve">4010 NE 23rd Pl </t>
  </si>
  <si>
    <t>Snow</t>
  </si>
  <si>
    <t>Lehigh Acres Unit 13 Blk 70 Pb 26 Pg 17 Lot 4</t>
  </si>
  <si>
    <t>153rd</t>
  </si>
  <si>
    <t>17-43-24-c3-05793.0380</t>
  </si>
  <si>
    <t>Michael &amp; Alexandra Simmonds</t>
  </si>
  <si>
    <t>Cape Coral Unit 88 Blk 5767 Pb 24 Pg 128 Lots 6 + 7</t>
  </si>
  <si>
    <t>11225-3012</t>
  </si>
  <si>
    <t>17-43-24-c3-05786.0010</t>
  </si>
  <si>
    <t xml:space="preserve">16060 Cook Rd </t>
  </si>
  <si>
    <t xml:space="preserve">11084 Stardust Dr </t>
  </si>
  <si>
    <t>Lee</t>
  </si>
  <si>
    <t>25-44-24-p2-0050h.0010</t>
  </si>
  <si>
    <t>John &amp; John Williams</t>
  </si>
  <si>
    <t>Michael &amp; For Morse</t>
  </si>
  <si>
    <t>Geel 1</t>
  </si>
  <si>
    <t>Nelida Saguier</t>
  </si>
  <si>
    <t xml:space="preserve">5331 White Sky Cir  Fort Myers, FL 33908 </t>
  </si>
  <si>
    <t xml:space="preserve">316 Lindder Dr </t>
  </si>
  <si>
    <t>48220-1663</t>
  </si>
  <si>
    <t xml:space="preserve">6303 Blue Lagoon Dr #400 </t>
  </si>
  <si>
    <t xml:space="preserve">929 NE 1st Pl  Cape Coral, FL 33909 </t>
  </si>
  <si>
    <t>11413-2407</t>
  </si>
  <si>
    <t xml:space="preserve">89 Huron Rd </t>
  </si>
  <si>
    <t xml:space="preserve">19 Dutchtown Zion Rd  Belle Mead, NJ 08502-5108 </t>
  </si>
  <si>
    <t xml:space="preserve">85 Timberline Trai  Aurora, ON L4g 6A1 </t>
  </si>
  <si>
    <t>Cape Coral Unit 31 Blk 2048 Pb 14 Pg 157 Lots 19 + 20</t>
  </si>
  <si>
    <t>Ong</t>
  </si>
  <si>
    <t xml:space="preserve">6 Kirchstrasse </t>
  </si>
  <si>
    <t>Ernesto &amp; Brigida Olivas</t>
  </si>
  <si>
    <t xml:space="preserve">27 School St  Schaghticoke, NY 12154 </t>
  </si>
  <si>
    <t xml:space="preserve">1618 NE 5th Pl </t>
  </si>
  <si>
    <t>Louise Cortese</t>
  </si>
  <si>
    <t>Zuck</t>
  </si>
  <si>
    <t>33908-1792</t>
  </si>
  <si>
    <t>Lehigh Acres W Pt Unit 1 Blk 3 Pb 26 Pg 2 Lot 36</t>
  </si>
  <si>
    <t>Clarence Sieloff</t>
  </si>
  <si>
    <t xml:space="preserve">15762 Claire Ct  Macomb, MI 48042-4024 </t>
  </si>
  <si>
    <t xml:space="preserve">4756 SW 138th Loop </t>
  </si>
  <si>
    <t>34116-5907</t>
  </si>
  <si>
    <t>34113-7903</t>
  </si>
  <si>
    <t>Cape Coral Unit 85 Blk 5649 Pb 24 Pg 57 Lots 47 + 48</t>
  </si>
  <si>
    <t xml:space="preserve">2515 SE 22nd Pl </t>
  </si>
  <si>
    <t>11691-4908</t>
  </si>
  <si>
    <t>36-43-23-c2-02542.0200</t>
  </si>
  <si>
    <t xml:space="preserve">3864 Hoffman St  Fort Myers, FL 33905 </t>
  </si>
  <si>
    <t xml:space="preserve">23629 White Oak Forest Dr </t>
  </si>
  <si>
    <t>33194-2641</t>
  </si>
  <si>
    <t xml:space="preserve">5804 NW 85th Ave  Tamarac, FL 33321-4557 </t>
  </si>
  <si>
    <t xml:space="preserve">2122 Delaware Ave  Saint Paul, MN 55118-4710 </t>
  </si>
  <si>
    <t>Cape Coral Unit 88 Blk 5783 Pb 24 Pg 132 Lots 36 + 37</t>
  </si>
  <si>
    <t>Oliveira</t>
  </si>
  <si>
    <t xml:space="preserve">1 Greene St M8, Jersey City, NJ 07302-4545 </t>
  </si>
  <si>
    <t>Melinda Keller</t>
  </si>
  <si>
    <t>20-43-24-c3-05671.0530</t>
  </si>
  <si>
    <t>Arcadia Bluff</t>
  </si>
  <si>
    <t>Cape Coral Unit 36 Blk 2353 Pb 16 Pg 121 Lot 3 + 4</t>
  </si>
  <si>
    <t>Jose &amp; Joan Zamora</t>
  </si>
  <si>
    <t xml:space="preserve">3838 Unique Cir  Fort Myers, FL 33908 </t>
  </si>
  <si>
    <t xml:space="preserve">238 N High St  Mount Vernon, NY 10550-1004 </t>
  </si>
  <si>
    <t>Cape Coral Unit 36 Part 1 Blk 2494 Pb 23 Pg 91 Lots 27 + 28</t>
  </si>
  <si>
    <t>18-43-24-c1-05692.0790</t>
  </si>
  <si>
    <t xml:space="preserve">4546 W Copper Pot Ln  West Jordan, UT 84088-2781 </t>
  </si>
  <si>
    <t>34112-3825</t>
  </si>
  <si>
    <t>Marcus Mcgregor</t>
  </si>
  <si>
    <t xml:space="preserve">112 Jacaranda Pkwy E </t>
  </si>
  <si>
    <t>Cape Coral Unit 25 Blk 898 Pb 14 Pg 92 Lots 18 + 19 + Or 3290 Pg 2088</t>
  </si>
  <si>
    <t>Cape Coral Unit 47 Pt 2 Blk 3513 Pb 23 Pg 123 Lots 30 + 31</t>
  </si>
  <si>
    <t>19-43-24-c1-05548.0210</t>
  </si>
  <si>
    <t>33909-3107</t>
  </si>
  <si>
    <t>95404-1669</t>
  </si>
  <si>
    <t xml:space="preserve">1625 Lake Meadow Cir S </t>
  </si>
  <si>
    <t>07-46-25-04-00w00.024a</t>
  </si>
  <si>
    <t xml:space="preserve">709 NE 31st Ter </t>
  </si>
  <si>
    <t>01545-2366</t>
  </si>
  <si>
    <t>06002-5004</t>
  </si>
  <si>
    <t xml:space="preserve">6132 Higgins Ave </t>
  </si>
  <si>
    <t xml:space="preserve">246 Bavarian St </t>
  </si>
  <si>
    <t xml:space="preserve">Po Box 266 </t>
  </si>
  <si>
    <t>12-44-23-c1-02415.0230</t>
  </si>
  <si>
    <t>Cape Coral Unit 88 Blk 5827 Pb 24 Pg 142 Lots 42 + 43</t>
  </si>
  <si>
    <t xml:space="preserve">650 16th Ave NE </t>
  </si>
  <si>
    <t>Cape Coral Unit 88 Blk 5803 Pb 24 Pg 137 Lots 15 + 16</t>
  </si>
  <si>
    <t>Cypress Trail Rv Resort Phase 2-A As Desc In Inst# 2014000026506 Lot 157</t>
  </si>
  <si>
    <t>Cape Coral Unit 36 Pt 1 Blk 2507 Pb 23 Pg 91 Lots 9 + 10</t>
  </si>
  <si>
    <t>Paul &amp; Melba Araquistain</t>
  </si>
  <si>
    <t xml:space="preserve">2950 4th St S  Saint Petersburg, FL 33705-3644 </t>
  </si>
  <si>
    <t>33909-1200</t>
  </si>
  <si>
    <t xml:space="preserve">3744 NE 15th Pl </t>
  </si>
  <si>
    <t xml:space="preserve">123 Meade Dr  Annapolis, MD 21403-4015 </t>
  </si>
  <si>
    <t>Fort Collins</t>
  </si>
  <si>
    <t xml:space="preserve">15 Edmands Rd #414 </t>
  </si>
  <si>
    <t>Cape Coral Unit 36 Blk 2314 Pb 16 Pg 120 Lots 20 + 21</t>
  </si>
  <si>
    <t xml:space="preserve">732 Country Club Trl </t>
  </si>
  <si>
    <t xml:space="preserve">208 N King St  Xenia, OH 45385-2204 </t>
  </si>
  <si>
    <t xml:space="preserve">28 NE 23rd Ter  Cape Coral, FL 33909 </t>
  </si>
  <si>
    <t xml:space="preserve">4150 Painted Sky Rd </t>
  </si>
  <si>
    <t xml:space="preserve">3613 W Gator Cir  Cape Coral, FL 33909 </t>
  </si>
  <si>
    <t xml:space="preserve">1603 S Gator Cir </t>
  </si>
  <si>
    <t>Sophy</t>
  </si>
  <si>
    <t>33909-1592</t>
  </si>
  <si>
    <t xml:space="preserve">2748 NE 6th Pl  Cape Coral, FL 33909 </t>
  </si>
  <si>
    <t xml:space="preserve">6801 Blackmar Rd </t>
  </si>
  <si>
    <t>Timber Creek</t>
  </si>
  <si>
    <t>33905-5734</t>
  </si>
  <si>
    <t xml:space="preserve">5170 Maris Ave #400, Alexandria, VA 22304-1965 </t>
  </si>
  <si>
    <t xml:space="preserve">911 Downing Ave </t>
  </si>
  <si>
    <t>Loewenburgstrasse</t>
  </si>
  <si>
    <t>08-44-25-p3-04800.1130</t>
  </si>
  <si>
    <t xml:space="preserve">4102 NE 19th Pl  Cape Coral, FL 33909 </t>
  </si>
  <si>
    <t xml:space="preserve">10315 Prairie Iris Dr  Fort Myers, FL 33905 </t>
  </si>
  <si>
    <t>Kerkman</t>
  </si>
  <si>
    <t xml:space="preserve">228 Hill St </t>
  </si>
  <si>
    <t>Thoms</t>
  </si>
  <si>
    <t xml:space="preserve">1115 S Rimline Dr </t>
  </si>
  <si>
    <t>Jose Iniguez</t>
  </si>
  <si>
    <t xml:space="preserve">10511 Robinson St  Fort Myers, FL 33908 </t>
  </si>
  <si>
    <t>Todd Vaughn</t>
  </si>
  <si>
    <t>33904-4422</t>
  </si>
  <si>
    <t xml:space="preserve">8404 W Sample Rd #234 </t>
  </si>
  <si>
    <t>Sakuntala</t>
  </si>
  <si>
    <t xml:space="preserve">427 NE 31st Ter </t>
  </si>
  <si>
    <t xml:space="preserve">1722 NE 24th Ave  Cape Coral, FL 33909 </t>
  </si>
  <si>
    <t>Kristen Kluge</t>
  </si>
  <si>
    <t>Chudnovsky</t>
  </si>
  <si>
    <t>R1 D</t>
  </si>
  <si>
    <t xml:space="preserve">165 E Chemin Des Barger  Roseboom, NY 13450 </t>
  </si>
  <si>
    <t>Cypress Trail Rv Resort Phase 4-C Block B Lot 449 As Desc In Inst 2019000042424</t>
  </si>
  <si>
    <t xml:space="preserve">2347 Franklin Park Dr </t>
  </si>
  <si>
    <t>Cape Coral Unit 84 Blk 5576 Pb 24 Pg 46 Lots 71 + 72</t>
  </si>
  <si>
    <t xml:space="preserve">2524 Weber Blvd  Fort Myers, FL 33905 </t>
  </si>
  <si>
    <t xml:space="preserve">2630 Spurlock Way </t>
  </si>
  <si>
    <t>03-44-26-14-00084.0040</t>
  </si>
  <si>
    <t>Sulaica</t>
  </si>
  <si>
    <t>Pine Cliff</t>
  </si>
  <si>
    <t>Carr</t>
  </si>
  <si>
    <t xml:space="preserve">3021 NE 6th Ave  Cape Coral, FL 33909 </t>
  </si>
  <si>
    <t>Ft Myers Shores Unit 5 Blk 90 Pb 16 Pg 69 Lot 8</t>
  </si>
  <si>
    <t>Prinzenstr</t>
  </si>
  <si>
    <t xml:space="preserve">350 NE 25th Ter  Cape Coral, FL 33909 </t>
  </si>
  <si>
    <t>Davis</t>
  </si>
  <si>
    <t>Cape Coral Unit 32 Blk.2134 Pb 16 Pg 13 Lots 20 + 21</t>
  </si>
  <si>
    <t>32958-5022</t>
  </si>
  <si>
    <t>Yelena &amp; Leonid Bukhin</t>
  </si>
  <si>
    <t>Berquist Richard G &amp; Arlys Tr</t>
  </si>
  <si>
    <t>Bonczek</t>
  </si>
  <si>
    <t>Gloria Calix &amp; Francisca Dejesus</t>
  </si>
  <si>
    <t>31-43-24-c2-02129.0260</t>
  </si>
  <si>
    <t>25-43-23-c1-02319.0690</t>
  </si>
  <si>
    <t>Michael &amp; Shirley Adams</t>
  </si>
  <si>
    <t>Callaway</t>
  </si>
  <si>
    <t xml:space="preserve">2207 NE 43rd Ln  Cape Coral, FL 33909 </t>
  </si>
  <si>
    <t>Quagliata</t>
  </si>
  <si>
    <t>Josphina Mcginn &amp; Jacquelina Karpinski</t>
  </si>
  <si>
    <t>07-44-24-c3-01480.0370</t>
  </si>
  <si>
    <t>Jeffersontown</t>
  </si>
  <si>
    <t>Cape Coral Unit 36 Blk 2323 Pb 16 Pg 122 Lots 13 + 14</t>
  </si>
  <si>
    <t>Antola Michael A Tr</t>
  </si>
  <si>
    <t xml:space="preserve">6075 Lacota Ave </t>
  </si>
  <si>
    <t>18-45-24-c1-00053.0180</t>
  </si>
  <si>
    <t>Cape Coral Unit 19 Blk 1205 Pb 13 Pg 132 Lots 26 Thru 28</t>
  </si>
  <si>
    <t>21-43-26-03-00011.0000</t>
  </si>
  <si>
    <t xml:space="preserve">213 Parkhaven Dr </t>
  </si>
  <si>
    <t>08854-5480</t>
  </si>
  <si>
    <t>01-44-23-c1-02448.0050</t>
  </si>
  <si>
    <t xml:space="preserve">235 Benson Ave </t>
  </si>
  <si>
    <t>PO Box 408</t>
  </si>
  <si>
    <t>Danvers</t>
  </si>
  <si>
    <t xml:space="preserve">2740 NE 6th Ave </t>
  </si>
  <si>
    <t>Christofferson</t>
  </si>
  <si>
    <t>11207-4824</t>
  </si>
  <si>
    <t xml:space="preserve">585 Albany Ave #357 </t>
  </si>
  <si>
    <t xml:space="preserve">19 Barrington Rd  Barrington, NH 03825-7000 </t>
  </si>
  <si>
    <t>Cape Coral Unit 36 Part 1 Blk 2494 Pb 23 Pg 91 Lots 3 + 4</t>
  </si>
  <si>
    <t xml:space="preserve">PO Box 260443  Pembroke Pines, FL 33026-7443 </t>
  </si>
  <si>
    <t>Rey</t>
  </si>
  <si>
    <t>Andrew &amp; Robert Kukli</t>
  </si>
  <si>
    <t>Marlene S Solomon-Lodge &amp; Marlene Solomon-Lodge</t>
  </si>
  <si>
    <t xml:space="preserve">363 Gay Pl  Jackson, OH 45640-2024 </t>
  </si>
  <si>
    <t>33909-3249</t>
  </si>
  <si>
    <t xml:space="preserve">546 Regency Dr </t>
  </si>
  <si>
    <t xml:space="preserve">2304 Icarus Dr  Henderson, NV 89074-5043 </t>
  </si>
  <si>
    <t>Creekside</t>
  </si>
  <si>
    <t># 3-33</t>
  </si>
  <si>
    <t>Woodford</t>
  </si>
  <si>
    <t xml:space="preserve">187 Denver Rd </t>
  </si>
  <si>
    <t>Cape Coral Unit 19 Blk 1243 Pb 13 Pg 134 Lots 25 + 26</t>
  </si>
  <si>
    <t xml:space="preserve">11218 N Sugar Bluff Rd  Monticello, IN 47960-8142 </t>
  </si>
  <si>
    <t xml:space="preserve">1836 NE 22nd Ter  Cape Coral, FL 33909 </t>
  </si>
  <si>
    <t>Cypress Trail Rv Resort Phase 4-A As Desc In Inst# 20160000135610 Lot 285</t>
  </si>
  <si>
    <t xml:space="preserve">640 NE 2nd Pl  Cape Coral, FL 33909 </t>
  </si>
  <si>
    <t xml:space="preserve">5208 Marsh Mallow Trl </t>
  </si>
  <si>
    <t xml:space="preserve">333 Woodlands Dr </t>
  </si>
  <si>
    <t xml:space="preserve">831 NE 41st St  Cape Coral, FL 33909 </t>
  </si>
  <si>
    <t xml:space="preserve">2805 Morgan Trl </t>
  </si>
  <si>
    <t xml:space="preserve">19681 Summerlin Rd #295, Fort Myers, FL 33908 </t>
  </si>
  <si>
    <t xml:space="preserve">6051 Langdon Ave  Fort Myers, FL 33905 </t>
  </si>
  <si>
    <t>Westchase</t>
  </si>
  <si>
    <t>Yu Weng</t>
  </si>
  <si>
    <t>Lady Lake</t>
  </si>
  <si>
    <t>Palm Coast</t>
  </si>
  <si>
    <t>Hewitt</t>
  </si>
  <si>
    <t>Telfer</t>
  </si>
  <si>
    <t>Fieldstone</t>
  </si>
  <si>
    <t xml:space="preserve">19681 Summerlin Rd #540, Fort Myers, FL 33908 </t>
  </si>
  <si>
    <t xml:space="preserve">3522 NE 15th Ave </t>
  </si>
  <si>
    <t xml:space="preserve">42 Oakmont Ave  Hempstead, NY 11550-6522 </t>
  </si>
  <si>
    <t>Princess Doreen</t>
  </si>
  <si>
    <t>33909-6500</t>
  </si>
  <si>
    <t xml:space="preserve">3800 Hyde Park Dr  Fort Myers, FL 33905 </t>
  </si>
  <si>
    <t>Karen &amp; For Lawson</t>
  </si>
  <si>
    <t xml:space="preserve">1307 NE 23rd St  Cape Coral, FL 33909 </t>
  </si>
  <si>
    <t>11-44-25-06-0000d.1150</t>
  </si>
  <si>
    <t>Cape Coral Unit 84 Blk 5572 Pb 24 Pg 40 Lots 19 + 20</t>
  </si>
  <si>
    <t xml:space="preserve">2570 Liberty Rd </t>
  </si>
  <si>
    <t xml:space="preserve">4544 SW 128th Pl  Miami, FL 33175-4614 </t>
  </si>
  <si>
    <t>Cape Coral Unit 31 Blk 2095 Pb 14 Pg 164 Lots 72 + 73</t>
  </si>
  <si>
    <t xml:space="preserve">5990 Brightwood Dr </t>
  </si>
  <si>
    <t xml:space="preserve">1348 Prince Dr </t>
  </si>
  <si>
    <t>Hodzic</t>
  </si>
  <si>
    <t xml:space="preserve">843 William Ave </t>
  </si>
  <si>
    <t>Olivier</t>
  </si>
  <si>
    <t>25-43-23-c3-02343.0350</t>
  </si>
  <si>
    <t xml:space="preserve">79 Pound Rd </t>
  </si>
  <si>
    <t xml:space="preserve">2208 NE 17th St  Cape Coral, FL 33909 </t>
  </si>
  <si>
    <t>Nellie Monroe</t>
  </si>
  <si>
    <t>48382-4403</t>
  </si>
  <si>
    <t>Tompkins</t>
  </si>
  <si>
    <t xml:space="preserve">10082 Parkwood Dr  Fort Myers, FL 33905 </t>
  </si>
  <si>
    <t xml:space="preserve">2193 Havana Ave </t>
  </si>
  <si>
    <t xml:space="preserve">3413 NE 8th Pl </t>
  </si>
  <si>
    <t xml:space="preserve">960 E 4th St </t>
  </si>
  <si>
    <t>Westheimer</t>
  </si>
  <si>
    <t xml:space="preserve">1226 NE 40th St  Cape Coral, FL 33909 </t>
  </si>
  <si>
    <t>01-44-23-c2-02454.0310</t>
  </si>
  <si>
    <t>03-44-26-14-00081.0150</t>
  </si>
  <si>
    <t>Stanmoor</t>
  </si>
  <si>
    <t>Cape Coral Unit 32 Blk 2128 Pb 16 Pg 10 Lots 32 Thru 34</t>
  </si>
  <si>
    <t xml:space="preserve">42937 Minnie Lake Dr </t>
  </si>
  <si>
    <t>Shana</t>
  </si>
  <si>
    <t>Biter</t>
  </si>
  <si>
    <t xml:space="preserve">71433 Baldwin Prairie Rd  Union, MI 49130-9704 </t>
  </si>
  <si>
    <t xml:space="preserve">7055 Triple Lakes Rd </t>
  </si>
  <si>
    <t xml:space="preserve">39377 Nautical Ln </t>
  </si>
  <si>
    <t>Che-San</t>
  </si>
  <si>
    <t xml:space="preserve">5880 Pathwood Ct  Fort Myers, FL 33905 </t>
  </si>
  <si>
    <t xml:space="preserve">3832 NE 9th Pl  Cape Coral, FL 33909 </t>
  </si>
  <si>
    <t xml:space="preserve">16540 Arbor Ridge Dr </t>
  </si>
  <si>
    <t xml:space="preserve">12669 Cold Springs Dr  Huntley, IL 60142-7427 </t>
  </si>
  <si>
    <t xml:space="preserve">4232 NE 17th Ave </t>
  </si>
  <si>
    <t>44260-9641</t>
  </si>
  <si>
    <t xml:space="preserve">1417 NE 13th Ter  Cape Coral, FL 33909 </t>
  </si>
  <si>
    <t xml:space="preserve">N2026 N Lakeshore Dr  Fontana, WI 53125-1179 </t>
  </si>
  <si>
    <t>Chartres</t>
  </si>
  <si>
    <t xml:space="preserve">5163 Cypress Trail Resort Cir  Fort Myers, FL 33905 </t>
  </si>
  <si>
    <t>33168-1744</t>
  </si>
  <si>
    <t>Cape Coral Unit 34 Blk 2467 Pb 16 Pg 75 Lots 21 + 22</t>
  </si>
  <si>
    <t xml:space="preserve">211 Mccrae Ln A, Covington, KY 41011-5109 </t>
  </si>
  <si>
    <t>American &amp; Kristine Phan</t>
  </si>
  <si>
    <t>62301-4474</t>
  </si>
  <si>
    <t>Cypress Woods Rv Resort Unit 4 Pb 79 Pgs 68-71 Blk D Lot 80</t>
  </si>
  <si>
    <t>Nashroll &amp; Valreen Beharrie</t>
  </si>
  <si>
    <t>20723-2028</t>
  </si>
  <si>
    <t>01-44-23-c2-02456.0160</t>
  </si>
  <si>
    <t>11-44-25-04-0000b.0600</t>
  </si>
  <si>
    <t>03-44-26-04-00021.0040</t>
  </si>
  <si>
    <t xml:space="preserve">1708 NE 33rd Ln </t>
  </si>
  <si>
    <t>Ernest Larry R &amp; Ruth B Tr</t>
  </si>
  <si>
    <t>Ortlieb</t>
  </si>
  <si>
    <t>36-43-23-c4-02489.0490</t>
  </si>
  <si>
    <t>Victor &amp; Lourdes Cabrera</t>
  </si>
  <si>
    <t xml:space="preserve">5 Creekside Ln </t>
  </si>
  <si>
    <t>21054-1936</t>
  </si>
  <si>
    <t>Winamac</t>
  </si>
  <si>
    <t>32926-3416</t>
  </si>
  <si>
    <t>Tan Cao &amp; Trinh Hoang</t>
  </si>
  <si>
    <t xml:space="preserve">21 Calle 163 #85 </t>
  </si>
  <si>
    <t>Jeffcott</t>
  </si>
  <si>
    <t>19-43-24-c1-05680.0010</t>
  </si>
  <si>
    <t>Kornelia</t>
  </si>
  <si>
    <t xml:space="preserve">928 NE 37th Ter </t>
  </si>
  <si>
    <t>Crossville</t>
  </si>
  <si>
    <t xml:space="preserve">3850 Insdale St  Fort Myers, FL 33905 </t>
  </si>
  <si>
    <t>75033-2943</t>
  </si>
  <si>
    <t>Coronado</t>
  </si>
  <si>
    <t xml:space="preserve">817 Waksman Pl </t>
  </si>
  <si>
    <t xml:space="preserve">7 Edgebrook Ct </t>
  </si>
  <si>
    <t xml:space="preserve">1215 NE 18th Ave  Cape Coral, FL 33909 </t>
  </si>
  <si>
    <t>Cape Coral Unit 84 Blk 5586 Pb 24 Pg 48 Lots 3 + 4</t>
  </si>
  <si>
    <t xml:space="preserve">2305 NE 33rd Ln  Cape Coral, FL 33909 </t>
  </si>
  <si>
    <t>Cape Coral Unit 36 Blk 2340 Pb 16 Pg 127 Lots 21 + 22</t>
  </si>
  <si>
    <t>Everest</t>
  </si>
  <si>
    <t xml:space="preserve">909 NE 4th Pl  Cape Coral, FL 33909 </t>
  </si>
  <si>
    <t xml:space="preserve">1728 NW 111th St  Miami, FL 33167-3916 </t>
  </si>
  <si>
    <t xml:space="preserve">39 Laudermilch Rd  Hershey, PA 17033-9786 </t>
  </si>
  <si>
    <t xml:space="preserve">3538 NE 22nd Ave  Cape Coral, FL 33909 </t>
  </si>
  <si>
    <t>Cape Coral Unit 33 Blk 2226 Pb 16 Pg 46 Lots 25 Thru 27</t>
  </si>
  <si>
    <t xml:space="preserve">1 Leibnizstr </t>
  </si>
  <si>
    <t xml:space="preserve">PO Box 524468  Miami, FL 33152-4468 </t>
  </si>
  <si>
    <t>Cathy Klein</t>
  </si>
  <si>
    <t>Rohrs</t>
  </si>
  <si>
    <t>C102</t>
  </si>
  <si>
    <t>Greece</t>
  </si>
  <si>
    <t>01-44-23-c2-02426.0290</t>
  </si>
  <si>
    <t>Cape Coral Unit 87 Blk 5740 Pb 24 Pg 70 Lots 33 + 34</t>
  </si>
  <si>
    <t xml:space="preserve">800 E Main St  Dillon, SC 29536-3656 </t>
  </si>
  <si>
    <t xml:space="preserve">904 NE 19th St </t>
  </si>
  <si>
    <t xml:space="preserve">3773 NE 16th Pl  Cape Coral, FL 33909 </t>
  </si>
  <si>
    <t xml:space="preserve">2106 NE 20th Ln </t>
  </si>
  <si>
    <t>25-43-23-c2-02332.0100</t>
  </si>
  <si>
    <t xml:space="preserve">130 Williams Ave #1, Jersey City, NJ 07304-1171 </t>
  </si>
  <si>
    <t>Ft Myers Shores Unit 6 Blk 68 Pb 17 Pg 75 Lot 20</t>
  </si>
  <si>
    <t>Masi</t>
  </si>
  <si>
    <t xml:space="preserve">3012 NE 5th Pl  Cape Coral, FL 33909 </t>
  </si>
  <si>
    <t>Goss</t>
  </si>
  <si>
    <t>Viana</t>
  </si>
  <si>
    <t>33903-4421</t>
  </si>
  <si>
    <t>Greg &amp; Kingdom Beyer</t>
  </si>
  <si>
    <t>Chirinos</t>
  </si>
  <si>
    <t xml:space="preserve">24880 SW 119th Ave  Homestead, FL 33032-4316 </t>
  </si>
  <si>
    <t xml:space="preserve">4329 NE 9th Ct  Cape Coral, FL 33909 </t>
  </si>
  <si>
    <t xml:space="preserve">3337 James Harbor Way  Lawrenceville, GA 30044-3434 </t>
  </si>
  <si>
    <t>Wallasey</t>
  </si>
  <si>
    <t xml:space="preserve">2016 NE 24th Ave  Cape Coral, FL 33909 </t>
  </si>
  <si>
    <t xml:space="preserve">411 Walnut St #14383, Green Cove Springs, FL 32043-3443 </t>
  </si>
  <si>
    <t xml:space="preserve">3700 NE 13th Ave  Cape Coral, FL 33909 </t>
  </si>
  <si>
    <t xml:space="preserve">420 12th St  West Babylon, NY 11704-3109 </t>
  </si>
  <si>
    <t>48315-4974</t>
  </si>
  <si>
    <t>Cumming</t>
  </si>
  <si>
    <t xml:space="preserve">Po Box 25364 </t>
  </si>
  <si>
    <t>PO Box 694300</t>
  </si>
  <si>
    <t xml:space="preserve">10926 Edgewood Ave N  Champlin, MN 55316-3844 </t>
  </si>
  <si>
    <t xml:space="preserve">224 Willow Ave  Somerville, MA 02144-2225 </t>
  </si>
  <si>
    <t>Becerra</t>
  </si>
  <si>
    <t xml:space="preserve">2020 NE 20th Pl  Cape Coral, FL 33909 </t>
  </si>
  <si>
    <t xml:space="preserve">2023 NE 9th Pl  Cape Coral, FL 33909 </t>
  </si>
  <si>
    <t xml:space="preserve">3407 NE 21st Pl </t>
  </si>
  <si>
    <t>Rajwantie</t>
  </si>
  <si>
    <t>MAIL CARRIER ROUTE</t>
  </si>
  <si>
    <t>33rd</t>
  </si>
  <si>
    <t xml:space="preserve">6741 Seminole Ave </t>
  </si>
  <si>
    <t>33909-3298</t>
  </si>
  <si>
    <t>19111-4225</t>
  </si>
  <si>
    <t xml:space="preserve">1048 W Spruce Ct  Ontario, CA 91762-6164 </t>
  </si>
  <si>
    <t>Cape Coral Unit 84 Blk 5604 Pb 24 Pg 42 Lots 15 + 16</t>
  </si>
  <si>
    <t xml:space="preserve">4141 NE 10th Ave  Cape Coral, FL 33909 </t>
  </si>
  <si>
    <t xml:space="preserve">5301 W 5th Ave  Hialeah, FL 33012-2506 </t>
  </si>
  <si>
    <t>Ruixia &amp; For Tang</t>
  </si>
  <si>
    <t xml:space="preserve">4105 River View Cv  Vestavia, AL 35243-4705 </t>
  </si>
  <si>
    <t>20-43-24-c1-05770.0210</t>
  </si>
  <si>
    <t xml:space="preserve">255 S West Ave #509 </t>
  </si>
  <si>
    <t>32513-2400</t>
  </si>
  <si>
    <t>Lehigh Acres Unit 10 Blk 52 Pb 26 Pg 13 Lot 13</t>
  </si>
  <si>
    <t xml:space="preserve">2255 Rio De Janeiro Ave  Punta Gorda, FL 33983-8674 </t>
  </si>
  <si>
    <t xml:space="preserve">1824 NE 21st Pl </t>
  </si>
  <si>
    <t>Betty Carstens</t>
  </si>
  <si>
    <t>33909-1391</t>
  </si>
  <si>
    <t>Sreekumar Somasundaram</t>
  </si>
  <si>
    <t xml:space="preserve">2233 NE 15th St </t>
  </si>
  <si>
    <t>Luz Garcia &amp; Carlos Duque</t>
  </si>
  <si>
    <t>Cape Coral Unit 32 Blk 2173 Pb 16 Pg 11 Lots 14 + 15</t>
  </si>
  <si>
    <t>Cape Coral Unit 26 Blk 861 Pb 14 Pg 127 Lots 27 + 28</t>
  </si>
  <si>
    <t xml:space="preserve">14051 Cherrydale St </t>
  </si>
  <si>
    <t>33010-5200</t>
  </si>
  <si>
    <t xml:space="preserve">9621 Ridgeside Ct  Davie, FL 33328-6907 </t>
  </si>
  <si>
    <t>Carrollwood</t>
  </si>
  <si>
    <t xml:space="preserve">202 Opal Ave </t>
  </si>
  <si>
    <t>25-43-23-c1-02349.0070</t>
  </si>
  <si>
    <t>Apkar</t>
  </si>
  <si>
    <t xml:space="preserve">14 Park St  Sullivan, ME 04664-3005 </t>
  </si>
  <si>
    <t>Manach</t>
  </si>
  <si>
    <t xml:space="preserve">2864 N Nansemond Dr </t>
  </si>
  <si>
    <t xml:space="preserve">PO Box 404  Rock Creek, OH 44084 </t>
  </si>
  <si>
    <t>89436-4121</t>
  </si>
  <si>
    <t xml:space="preserve">1722 NE 10th Ln  Cape Coral, FL 33909 </t>
  </si>
  <si>
    <t xml:space="preserve">356 Liberty Hill Rd </t>
  </si>
  <si>
    <t>Iravani</t>
  </si>
  <si>
    <t>Metzger</t>
  </si>
  <si>
    <t xml:space="preserve">20 Villas Rd #101 </t>
  </si>
  <si>
    <t xml:space="preserve">817 NE 41st St  Cape Coral, FL 33909 </t>
  </si>
  <si>
    <t>Hillebrenner</t>
  </si>
  <si>
    <t>33305-1808</t>
  </si>
  <si>
    <t>Cape Coral Unit 36 Blk 2294 Pb 16 Pg 120 Lots 1 + 2</t>
  </si>
  <si>
    <t>Waubaushene</t>
  </si>
  <si>
    <t xml:space="preserve">2616 NE 7th Ave  Cape Coral, FL 33909 </t>
  </si>
  <si>
    <t>Rue Des Roseaux</t>
  </si>
  <si>
    <t xml:space="preserve">6 Convenience Center Rd  Champaign, IL 61820-7809 </t>
  </si>
  <si>
    <t>Glendale Heights</t>
  </si>
  <si>
    <t xml:space="preserve">5331 Loon Nest Ct </t>
  </si>
  <si>
    <t>Luciano</t>
  </si>
  <si>
    <t>Maylin</t>
  </si>
  <si>
    <t>64113-1166</t>
  </si>
  <si>
    <t>Halligan</t>
  </si>
  <si>
    <t xml:space="preserve">2048 NE 18th St  Cape Coral, FL 33909 </t>
  </si>
  <si>
    <t>Cape Coral Unit 36 Blk 2547 Pb 16 Pg 113 Lots 59 + 60</t>
  </si>
  <si>
    <t>Owens Cross Roads</t>
  </si>
  <si>
    <t>Walnut Cove</t>
  </si>
  <si>
    <t xml:space="preserve">54 Ann Lee Ln </t>
  </si>
  <si>
    <t>Little Elm</t>
  </si>
  <si>
    <t>Cape Coral Unit 2 Part 2 Blk 100 Pb 11 Pg 98 Lots 35 + 36 + Port Of Canal As Desc In Inst#2005-120516</t>
  </si>
  <si>
    <t>Janice &amp; Matthew Kates</t>
  </si>
  <si>
    <t>Cheryl Odonnell</t>
  </si>
  <si>
    <t>33909-4756</t>
  </si>
  <si>
    <t>Kreuzlingen</t>
  </si>
  <si>
    <t xml:space="preserve">2233 NE 15th St  Cape Coral, FL 33909 </t>
  </si>
  <si>
    <t>33909-1309</t>
  </si>
  <si>
    <t>Cape Coral Unit 33 Blk.2224 Pb 16 Pg 41 Lots 19 + 20</t>
  </si>
  <si>
    <t>05-44-24-c1-03538.0170</t>
  </si>
  <si>
    <t>Orangetree</t>
  </si>
  <si>
    <t xml:space="preserve">9503 Pine Rd </t>
  </si>
  <si>
    <t xml:space="preserve">5475 Cypress Trail Resort Cir  Fort Myers, FL 33905 </t>
  </si>
  <si>
    <t xml:space="preserve">3214 NE 14th Ave </t>
  </si>
  <si>
    <t>R261</t>
  </si>
  <si>
    <t>33909-4467</t>
  </si>
  <si>
    <t xml:space="preserve">3822 NE 23rd Pl </t>
  </si>
  <si>
    <t>Olga Alava</t>
  </si>
  <si>
    <t>33905-8609</t>
  </si>
  <si>
    <t>Ly</t>
  </si>
  <si>
    <t>19-43-24-c1-05576.0470</t>
  </si>
  <si>
    <t>60056-3260</t>
  </si>
  <si>
    <t>36-43-23-c1-02290.0440</t>
  </si>
  <si>
    <t>Margaret Bryan</t>
  </si>
  <si>
    <t>08-44-24-c2-01527.0010</t>
  </si>
  <si>
    <t>Jamey &amp; Jill Liddell</t>
  </si>
  <si>
    <t xml:space="preserve">14 Magnolia Ct </t>
  </si>
  <si>
    <t xml:space="preserve">PO Box 3072  Fremont, CA 94539 </t>
  </si>
  <si>
    <t xml:space="preserve">4340 NE 9th Ct  Cape Coral, FL 33909 </t>
  </si>
  <si>
    <t>Wacousta</t>
  </si>
  <si>
    <t>33314-7114</t>
  </si>
  <si>
    <t xml:space="preserve">10070 Stonewood Dr </t>
  </si>
  <si>
    <t xml:space="preserve">7217 Greenbank Rd </t>
  </si>
  <si>
    <t>David Lang &amp; David Lang</t>
  </si>
  <si>
    <t>Agoura Hills</t>
  </si>
  <si>
    <t xml:space="preserve">2216 NE 22nd Pl </t>
  </si>
  <si>
    <t>37067-4055</t>
  </si>
  <si>
    <t>Altamirano</t>
  </si>
  <si>
    <t xml:space="preserve">1126 NE 39th St  Cape Coral, FL 33909 </t>
  </si>
  <si>
    <t>Lucaya</t>
  </si>
  <si>
    <t xml:space="preserve">2915 NE 2nd Pl </t>
  </si>
  <si>
    <t>Quevedo</t>
  </si>
  <si>
    <t xml:space="preserve">124 Kismet Pkwy E </t>
  </si>
  <si>
    <t xml:space="preserve">6018 Jadestone Ave </t>
  </si>
  <si>
    <t xml:space="preserve">3635 NE 10th Pl </t>
  </si>
  <si>
    <t>49017-8426</t>
  </si>
  <si>
    <t>Khanthaly</t>
  </si>
  <si>
    <t>Cape Coral Unit 10 Blk.234 Pb 13 Pg 30 Lots 17 + 18</t>
  </si>
  <si>
    <t>Sahag Hovesepian</t>
  </si>
  <si>
    <t>Roadrunner</t>
  </si>
  <si>
    <t>Broad Channel</t>
  </si>
  <si>
    <t>Laura Cervantes</t>
  </si>
  <si>
    <t xml:space="preserve">3708 NE 23rd Ave </t>
  </si>
  <si>
    <t xml:space="preserve">901 Shawna Shrs </t>
  </si>
  <si>
    <t>Williamston</t>
  </si>
  <si>
    <t>18-43-24-c4-05707.0040</t>
  </si>
  <si>
    <t xml:space="preserve">1501 NE 6th Ave  Cape Coral, FL 33909 </t>
  </si>
  <si>
    <t>Hao</t>
  </si>
  <si>
    <t>Heritage Farms Lake Addn Unrec Desc Or 1407 Pg 0622 Lot 28A</t>
  </si>
  <si>
    <t>Mcrae</t>
  </si>
  <si>
    <t>Bruce</t>
  </si>
  <si>
    <t>Grafe</t>
  </si>
  <si>
    <t xml:space="preserve">814 NE 39th St </t>
  </si>
  <si>
    <t xml:space="preserve">39 Marcia Memorial Cir </t>
  </si>
  <si>
    <t>23456-7736</t>
  </si>
  <si>
    <t xml:space="preserve">11 Atlantis Ave  Manahawkin, NJ 08050-1804 </t>
  </si>
  <si>
    <t>11-44-25-04-0000a.0310</t>
  </si>
  <si>
    <t>Roger Feid</t>
  </si>
  <si>
    <t>Cote Saint-Luc</t>
  </si>
  <si>
    <t>Richard &amp; Elsie Quichocho</t>
  </si>
  <si>
    <t>Charles &amp; For Kraus</t>
  </si>
  <si>
    <t xml:space="preserve">10076 Windtree Ln N  Boca Raton, FL 33428-5471 </t>
  </si>
  <si>
    <t>20-43-24-c1-05646.0090</t>
  </si>
  <si>
    <t xml:space="preserve">7 Holman Heights Cir  Shrewsbury, MA 01545-2366 </t>
  </si>
  <si>
    <t>Arlene M Groseth &amp; Marvin Groseth</t>
  </si>
  <si>
    <t>Gabriel</t>
  </si>
  <si>
    <t xml:space="preserve">1635 NE 36th Ln  Cape Coral, FL 33909 </t>
  </si>
  <si>
    <t>Wiggins Bennie L Tr</t>
  </si>
  <si>
    <t xml:space="preserve">117 NE 8th Ter  Cape Coral, FL 33909 </t>
  </si>
  <si>
    <t>Oriole</t>
  </si>
  <si>
    <t xml:space="preserve">514 Americas Way #13329 </t>
  </si>
  <si>
    <t xml:space="preserve">2020 NE 18th St  Cape Coral, FL 33909 </t>
  </si>
  <si>
    <t>Luiz</t>
  </si>
  <si>
    <t xml:space="preserve">1813 NE 22nd Ave </t>
  </si>
  <si>
    <t>Bonnet</t>
  </si>
  <si>
    <t>Brindley</t>
  </si>
  <si>
    <t>44146-4002</t>
  </si>
  <si>
    <t>Cape Coral Unit 17 Pb 14 Pg 29 Blk 1481 Lot 47 + Blk 3607 Lot 45 Pb 17 Pg 129</t>
  </si>
  <si>
    <t xml:space="preserve">416 Whitewood Rd </t>
  </si>
  <si>
    <t>Cypress Trail Rv Resort Phase 4-C Block B Lot 438 As Desc In Inst 2019000042424</t>
  </si>
  <si>
    <t xml:space="preserve">2304 NE Juanita Pl </t>
  </si>
  <si>
    <t>Samuel</t>
  </si>
  <si>
    <t xml:space="preserve">1519 290th Ave  Mora, MN 55051-6256 </t>
  </si>
  <si>
    <t xml:space="preserve">919 SE 33rd Ter </t>
  </si>
  <si>
    <t>Oakbrook Terrace</t>
  </si>
  <si>
    <t>19-43-24-c3-05617.0450</t>
  </si>
  <si>
    <t xml:space="preserve">80 Clinton Ave </t>
  </si>
  <si>
    <t xml:space="preserve">1259 Sanders Rd </t>
  </si>
  <si>
    <t>Grove City</t>
  </si>
  <si>
    <t>Cape Coral Unit 47 Pt 2 Blk 3538 Pb 23 Pg 117 Lots 20 + 21</t>
  </si>
  <si>
    <t>New Windsor</t>
  </si>
  <si>
    <t>Maximo Raymondi &amp; Elvira Garcia</t>
  </si>
  <si>
    <t xml:space="preserve">1514 Woodpointe Dr  Indianapolis, IN 46234-1964 </t>
  </si>
  <si>
    <t>Rustic</t>
  </si>
  <si>
    <t>17-43-24-c2-05802.0390</t>
  </si>
  <si>
    <t>Pm</t>
  </si>
  <si>
    <t>Cape Coral Unit 87 Blk 5703 Pb 24 Pg 72 Lots 13 + 14</t>
  </si>
  <si>
    <t>Albert &amp; Kathleen Macmichael</t>
  </si>
  <si>
    <t>33909-4217</t>
  </si>
  <si>
    <t>Amend</t>
  </si>
  <si>
    <t>07047-1855</t>
  </si>
  <si>
    <t>Daniel &amp; Bridget Jenniges</t>
  </si>
  <si>
    <t>Agnes Luz &amp; Estate American</t>
  </si>
  <si>
    <t xml:space="preserve">339 NE 26th St  Cape Coral, FL 33909 </t>
  </si>
  <si>
    <t>For Sica Trust</t>
  </si>
  <si>
    <t xml:space="preserve">4117 E Gator Cir </t>
  </si>
  <si>
    <t>32224-4241</t>
  </si>
  <si>
    <t>06-44-24-c2-02089.0490</t>
  </si>
  <si>
    <t xml:space="preserve">10047 Rambelwood Ct </t>
  </si>
  <si>
    <t>Debby</t>
  </si>
  <si>
    <t>33909-7375</t>
  </si>
  <si>
    <t xml:space="preserve">3014 NE 7th Pl </t>
  </si>
  <si>
    <t>31-43-24-c2-02130.0350</t>
  </si>
  <si>
    <t xml:space="preserve">17532 NW 61st Ct N  Hialeah, FL 33015-4546 </t>
  </si>
  <si>
    <t>Ilex Klaudt</t>
  </si>
  <si>
    <t>Chino Hills</t>
  </si>
  <si>
    <t>Kay</t>
  </si>
  <si>
    <t>30328-2629</t>
  </si>
  <si>
    <t>Cotton</t>
  </si>
  <si>
    <t xml:space="preserve">Paseo Real  Dorado, PR 00646 </t>
  </si>
  <si>
    <t xml:space="preserve">14 Langhaldenstrasse  Kreuzlingen, CH 00000 </t>
  </si>
  <si>
    <t>57107-3024</t>
  </si>
  <si>
    <t>Hartsook</t>
  </si>
  <si>
    <t xml:space="preserve">10235 Greenfield Cir </t>
  </si>
  <si>
    <t xml:space="preserve">1218 NE 14th Pl </t>
  </si>
  <si>
    <t>Luck</t>
  </si>
  <si>
    <t>Musi</t>
  </si>
  <si>
    <t>Michael &amp; Shellie Bachert</t>
  </si>
  <si>
    <t xml:space="preserve">Les Parroucots  Anglars Noxac, FR </t>
  </si>
  <si>
    <t xml:space="preserve">10030 Willowood Dr </t>
  </si>
  <si>
    <t xml:space="preserve">10161 Shadowood Ct </t>
  </si>
  <si>
    <t xml:space="preserve">12050 Cactus Dr  Fort Myers, FL 33908 </t>
  </si>
  <si>
    <t>Littleleaf</t>
  </si>
  <si>
    <t xml:space="preserve">1805 NE 33rd Ter  Cape Coral, FL 33909 </t>
  </si>
  <si>
    <t>Verdezoto</t>
  </si>
  <si>
    <t xml:space="preserve">6064 Kings Hwy S  Zionsville, PA 18092-2022 </t>
  </si>
  <si>
    <t>Leah</t>
  </si>
  <si>
    <t>01-44-23-c1-02463.0400</t>
  </si>
  <si>
    <t xml:space="preserve">33 35 banool Rd #5, Manchester, NH 03103 </t>
  </si>
  <si>
    <t>31-43-24-c4-02144.0190</t>
  </si>
  <si>
    <t>33909-4702</t>
  </si>
  <si>
    <t xml:space="preserve">2126 NE 19th Pl </t>
  </si>
  <si>
    <t>11-44-25-07-00000.1650</t>
  </si>
  <si>
    <t xml:space="preserve">3444 E Gator Cir </t>
  </si>
  <si>
    <t>Sunnyvale</t>
  </si>
  <si>
    <t>32-43-24-c3-02229.0360</t>
  </si>
  <si>
    <t>Pershing</t>
  </si>
  <si>
    <t>Williner</t>
  </si>
  <si>
    <t>Cypress Trail Rv Resort Ph 3 As Desc In Inst# 2015000085552 Lot 57</t>
  </si>
  <si>
    <t>06-44-24-c4-02045.0490</t>
  </si>
  <si>
    <t>33196-1127</t>
  </si>
  <si>
    <t>19-43-24-c3-05618.0250</t>
  </si>
  <si>
    <t>06442-1214</t>
  </si>
  <si>
    <t xml:space="preserve">4102 NE 19th Pl </t>
  </si>
  <si>
    <t>98663-3713</t>
  </si>
  <si>
    <t>Isle Vista</t>
  </si>
  <si>
    <t>06-44-24-c1-02077.0440</t>
  </si>
  <si>
    <t>Broadview Park</t>
  </si>
  <si>
    <t>Lazaro</t>
  </si>
  <si>
    <t>Binderman</t>
  </si>
  <si>
    <t>Beg 1797 Ft W + 30 Ft S Of Ne Cor Of Nw 1/4 Th S 240 Ft W 100 Ft N 240 Ft E 100</t>
  </si>
  <si>
    <t>Gu</t>
  </si>
  <si>
    <t>Maple Grove</t>
  </si>
  <si>
    <t xml:space="preserve">10361 Nightwood Dr  Fort Myers, FL 33905 </t>
  </si>
  <si>
    <t xml:space="preserve">4477 Huntwicke Dr  Hilliard, OH 43026-8567 </t>
  </si>
  <si>
    <t xml:space="preserve">15 Paul Doyon #660, Boucherville, QC J4b 8S6 </t>
  </si>
  <si>
    <t>Cape Coral Unit 84 Blk 5577 Pb 24 Pg 47 Lots 3 + 4</t>
  </si>
  <si>
    <t>Parkway</t>
  </si>
  <si>
    <t>18-43-24-c4-05682.0280</t>
  </si>
  <si>
    <t>10466-2916</t>
  </si>
  <si>
    <t xml:space="preserve">2022 NE 14th Pl  Cape Coral, FL 33909 </t>
  </si>
  <si>
    <t xml:space="preserve">4918 Viceroy St 1-6, Cape Coral, FL 33904 </t>
  </si>
  <si>
    <t>Severino T Sulit Revocable Trust</t>
  </si>
  <si>
    <t xml:space="preserve">11 Cr 33  Counce, TN 38326-3166 </t>
  </si>
  <si>
    <t xml:space="preserve">1014 Hain Rd  New Freedom, PA 17349-9195 </t>
  </si>
  <si>
    <t xml:space="preserve">2744 NE 6th Ave </t>
  </si>
  <si>
    <t>Cuny</t>
  </si>
  <si>
    <t xml:space="preserve">3210 NE 13th Ct </t>
  </si>
  <si>
    <t xml:space="preserve">505 NE 3rd Ave  Cape Coral, FL 33909 </t>
  </si>
  <si>
    <t xml:space="preserve">14990 Center St  Fort Myers, FL 33905 </t>
  </si>
  <si>
    <t xml:space="preserve">4172 NE 8th Pl  Cape Coral, FL 33909 </t>
  </si>
  <si>
    <t>33909-8833</t>
  </si>
  <si>
    <t xml:space="preserve">2113 NE 25th Ter  Cape Coral, FL 33909 </t>
  </si>
  <si>
    <t xml:space="preserve">1103 Fort Sumter Ct </t>
  </si>
  <si>
    <t>Ta</t>
  </si>
  <si>
    <t xml:space="preserve">4117 Pearl St  Lake Elsinore, CA 92530-2023 </t>
  </si>
  <si>
    <t xml:space="preserve">3524 NE 18th Ave </t>
  </si>
  <si>
    <t xml:space="preserve">2222 NE 17th Pl  Cape Coral, FL 33909 </t>
  </si>
  <si>
    <t>Olivieri</t>
  </si>
  <si>
    <t xml:space="preserve">3441 NE 9th Pl  Cape Coral, FL 33909 </t>
  </si>
  <si>
    <t>Bethlehem</t>
  </si>
  <si>
    <t>95662-3673</t>
  </si>
  <si>
    <t>34117-4043</t>
  </si>
  <si>
    <t xml:space="preserve">4125 NE 14th Pl </t>
  </si>
  <si>
    <t>Rocca</t>
  </si>
  <si>
    <t xml:space="preserve">149 Morse Point Pl </t>
  </si>
  <si>
    <t xml:space="preserve">525 NW Biscayne Dr  Port Saint Lucie, FL 34983-8702 </t>
  </si>
  <si>
    <t>Paul &amp; Christine Paradowski</t>
  </si>
  <si>
    <t xml:space="preserve">1704 NE 21st St </t>
  </si>
  <si>
    <t>05-44-24-c1-03535.0030</t>
  </si>
  <si>
    <t xml:space="preserve">221 Woodbine Ave </t>
  </si>
  <si>
    <t>Damita</t>
  </si>
  <si>
    <t>Marisol</t>
  </si>
  <si>
    <t xml:space="preserve">5134 30th Ave 3o </t>
  </si>
  <si>
    <t xml:space="preserve">306 S Santa Catalina Cir  North Lauderdale, FL 33068-6301 </t>
  </si>
  <si>
    <t xml:space="preserve">Po Box 465 </t>
  </si>
  <si>
    <t>Robert &amp; Robert Hayes</t>
  </si>
  <si>
    <t>PO Box 186 Stn Main</t>
  </si>
  <si>
    <t>Dover Milton</t>
  </si>
  <si>
    <t>36-43-23-c1-02530.0140</t>
  </si>
  <si>
    <t xml:space="preserve">1256 Lock 7 Rd </t>
  </si>
  <si>
    <t>20-44-26-04-00024.0080</t>
  </si>
  <si>
    <t>33909-5489</t>
  </si>
  <si>
    <t>Cape Coral Unit 36 Blk 2355 Pb 16 Pg 120 Lots 52 + 53</t>
  </si>
  <si>
    <t>Pawley</t>
  </si>
  <si>
    <t>Cape Coral Unit 47 Pt 2 Blk 3543 Pb 23 Pg 118 Lot 47</t>
  </si>
  <si>
    <t>Hellman</t>
  </si>
  <si>
    <t xml:space="preserve">6026 Jessica St  Fort Myers, FL 33905 </t>
  </si>
  <si>
    <t>Kingdom Trust Company Custodian</t>
  </si>
  <si>
    <t>Chris &amp; Marizu Scano</t>
  </si>
  <si>
    <t xml:space="preserve">1403 NE 13th Pl </t>
  </si>
  <si>
    <t xml:space="preserve">3683 Pebble Bch  Schertz, TX 78108-2021 </t>
  </si>
  <si>
    <t>Cape Coral Unit 36 Blk 2528 Pb 16 Pg 113 Lots 1 + 2</t>
  </si>
  <si>
    <t>60185-5817</t>
  </si>
  <si>
    <t xml:space="preserve">1044 Bell Tower Dr </t>
  </si>
  <si>
    <t xml:space="preserve">1615 NE 174th St </t>
  </si>
  <si>
    <t>75001-3128</t>
  </si>
  <si>
    <t>Cape Coral Unit 85 Blk 5641 Pb 24 Pg 54 Lots 35 + 36</t>
  </si>
  <si>
    <t xml:space="preserve">8910 Albert Stewart Ln </t>
  </si>
  <si>
    <t>J4B 8H4</t>
  </si>
  <si>
    <t>33905-7724</t>
  </si>
  <si>
    <t xml:space="preserve">6538 Collins Ave </t>
  </si>
  <si>
    <t xml:space="preserve">986 S Moore St  Nashville, IL 62263-1571 </t>
  </si>
  <si>
    <t xml:space="preserve">225 NE 31st St </t>
  </si>
  <si>
    <t>33909-9228</t>
  </si>
  <si>
    <t>Cape Coral Unit 84 Blk 5546 Pb 24 Pg 47 Lot 7</t>
  </si>
  <si>
    <t>Starring</t>
  </si>
  <si>
    <t xml:space="preserve">1801 NE 13th Ave  Cape Coral, FL 33909 </t>
  </si>
  <si>
    <t>For Betty L Carney Trust</t>
  </si>
  <si>
    <t>Cape Coral Unit 36 Part 1 Blk 2505 Pb 23 Pg 91 Lots 9 + 10</t>
  </si>
  <si>
    <t>22304-1537</t>
  </si>
  <si>
    <t>Sur 60</t>
  </si>
  <si>
    <t>Cape Coral Unit 15 Blk.423 Pb 13 Pg 71 Lots 25 + 26</t>
  </si>
  <si>
    <t xml:space="preserve">8907 Stratford Xing </t>
  </si>
  <si>
    <t xml:space="preserve">1926 NE 20th Ave </t>
  </si>
  <si>
    <t>01-44-23-c1-02434.0330</t>
  </si>
  <si>
    <t xml:space="preserve">5249 Thackeray Dr </t>
  </si>
  <si>
    <t>Cape Coral Unit 34 Blk 2460 Pb 16 Pg 86 Lots 65 + 66</t>
  </si>
  <si>
    <t xml:space="preserve">108 NE 13th Ave </t>
  </si>
  <si>
    <t>32937-2558</t>
  </si>
  <si>
    <t>Lehigh Acres Unit 3 Blk 13 Pb 26 Pg 5 Lot 32</t>
  </si>
  <si>
    <t>Silic</t>
  </si>
  <si>
    <t>33909-4555</t>
  </si>
  <si>
    <t>Roberto &amp; Joan Camuza</t>
  </si>
  <si>
    <t xml:space="preserve">1906 NE 5th Ct  Cape Coral, FL 33909 </t>
  </si>
  <si>
    <t>Kill Devil Hills</t>
  </si>
  <si>
    <t xml:space="preserve">1042 Jardin Dr </t>
  </si>
  <si>
    <t>36-43-23-c3-02498.0330</t>
  </si>
  <si>
    <t xml:space="preserve">1005 NE 9th Ter  Cape Coral, FL 33909 </t>
  </si>
  <si>
    <t>08-44-24-c4-01544.0030</t>
  </si>
  <si>
    <t>Austin Vanhise</t>
  </si>
  <si>
    <t xml:space="preserve">308 Soaring Hawk St </t>
  </si>
  <si>
    <t>Federal Way</t>
  </si>
  <si>
    <t>R060</t>
  </si>
  <si>
    <t>Cape Coral Unit 84 Blk 5622 Pb 24 Pg 33 Lots 41 + 42</t>
  </si>
  <si>
    <t xml:space="preserve">1307 NE 1st Ave </t>
  </si>
  <si>
    <t>31-44-24-c4-00632.0080</t>
  </si>
  <si>
    <t>03-44-26-08-00036.0040</t>
  </si>
  <si>
    <t xml:space="preserve">185 E 85th St 17j, New York, NY 10028-2146 </t>
  </si>
  <si>
    <t>36-43-23-c1-02514.0530</t>
  </si>
  <si>
    <t xml:space="preserve">144 Sweet Water Cres </t>
  </si>
  <si>
    <t>Crandall</t>
  </si>
  <si>
    <t>New</t>
  </si>
  <si>
    <t xml:space="preserve">3934 Garden Blvd </t>
  </si>
  <si>
    <t xml:space="preserve">21627 Little Bear Ln </t>
  </si>
  <si>
    <t>Robert &amp; Walter Campbell</t>
  </si>
  <si>
    <t>12-44-23-c1-02403.0110</t>
  </si>
  <si>
    <t xml:space="preserve">22755 Center Ridge Rd </t>
  </si>
  <si>
    <t>Thomas Schertler</t>
  </si>
  <si>
    <t>20-43-24-c1-05597.0300</t>
  </si>
  <si>
    <t xml:space="preserve">206 SE 31st St  Cape Coral, FL 33904 </t>
  </si>
  <si>
    <t xml:space="preserve">300 Koehler Rd </t>
  </si>
  <si>
    <t>17961-9502</t>
  </si>
  <si>
    <t>Katz</t>
  </si>
  <si>
    <t>21215-4649</t>
  </si>
  <si>
    <t>Advantaira &amp; Charlotte Honcharenko</t>
  </si>
  <si>
    <t xml:space="preserve">151 Robin Dr </t>
  </si>
  <si>
    <t xml:space="preserve">27 Bohnert Pl </t>
  </si>
  <si>
    <t>Drebes</t>
  </si>
  <si>
    <t>Nahal Hayarmukh 1</t>
  </si>
  <si>
    <t>Paul &amp; Linda Sineiro</t>
  </si>
  <si>
    <t>Madison 310</t>
  </si>
  <si>
    <t>Robert &amp; Joyce Cassata</t>
  </si>
  <si>
    <t>Camargo</t>
  </si>
  <si>
    <t>E1G 3H3</t>
  </si>
  <si>
    <t xml:space="preserve">2110 Kismet Pkwy E  Cape Coral, FL 33909 </t>
  </si>
  <si>
    <t>11-44-25-11-00000.0640</t>
  </si>
  <si>
    <t xml:space="preserve">16990 NW 52nd Ave  Miami Gardens, FL 33055-4005 </t>
  </si>
  <si>
    <t>For Robert J &amp; Carol A Place Trust</t>
  </si>
  <si>
    <t xml:space="preserve">10135 SW 2nd Ter </t>
  </si>
  <si>
    <t>Walnut St 17724 Green</t>
  </si>
  <si>
    <t>25-43-23-c2-02338.0430</t>
  </si>
  <si>
    <t xml:space="preserve">11844 SW 203rd St </t>
  </si>
  <si>
    <t>Cape Coral Unit 34 Blk 2453 Pb 16 Pg 86 Lots 53 + 54</t>
  </si>
  <si>
    <t>Patricia Wild</t>
  </si>
  <si>
    <t xml:space="preserve">3770 Kemper St </t>
  </si>
  <si>
    <t>04963-4708</t>
  </si>
  <si>
    <t>Fan</t>
  </si>
  <si>
    <t xml:space="preserve">244d Country Rd  Medford, NY 11763-1634 </t>
  </si>
  <si>
    <t>Biskner</t>
  </si>
  <si>
    <t xml:space="preserve">505 E 41st St #3 </t>
  </si>
  <si>
    <t>34-43-24-01-00036.0100</t>
  </si>
  <si>
    <t xml:space="preserve">33 Universal Ter  Susquehanna, PA 18847-2652 </t>
  </si>
  <si>
    <t>Cypress Woods Rv Resort Un 3 Desc In Pb 72 Pgs 92-95 Blk C Lot 68</t>
  </si>
  <si>
    <t>11355-3991</t>
  </si>
  <si>
    <t>Kirt</t>
  </si>
  <si>
    <t xml:space="preserve">15741 Cemetery Rd </t>
  </si>
  <si>
    <t xml:space="preserve">PO Box 15548  Fort Lauderdale, FL 33318-5548 </t>
  </si>
  <si>
    <t>35226-1075</t>
  </si>
  <si>
    <t>Mildred Jones</t>
  </si>
  <si>
    <t>Whitehall</t>
  </si>
  <si>
    <t>Cape Coral Unit 33 Blk 2240 Pb 16 Pg 55 Lots 28 + 29</t>
  </si>
  <si>
    <t xml:space="preserve">6135 Hershey Ave  Fort Myers, FL 33905 </t>
  </si>
  <si>
    <t>30350-6832</t>
  </si>
  <si>
    <t>Lehigh Acres Unit 8 Blk 35 Pb 26 Pg 10 Lot 15</t>
  </si>
  <si>
    <t>31-43-24-c3-02140.0060</t>
  </si>
  <si>
    <t xml:space="preserve">3752 Harts Pl </t>
  </si>
  <si>
    <t>Steven Whitman</t>
  </si>
  <si>
    <t>33935-5251</t>
  </si>
  <si>
    <t>33909-6490</t>
  </si>
  <si>
    <t>Echevarria</t>
  </si>
  <si>
    <t>214th</t>
  </si>
  <si>
    <t xml:space="preserve">2800 NE 2nd Pl  Cape Coral, FL 33909 </t>
  </si>
  <si>
    <t>Ferrier</t>
  </si>
  <si>
    <t xml:space="preserve">4968 N Galaxy Dr </t>
  </si>
  <si>
    <t xml:space="preserve">6009 Joplin Ave </t>
  </si>
  <si>
    <t>Sauterne</t>
  </si>
  <si>
    <t xml:space="preserve">76 Kelvin Ave </t>
  </si>
  <si>
    <t>63135-2330</t>
  </si>
  <si>
    <t>Lidia Fredenburg</t>
  </si>
  <si>
    <t>Cape Coral Unit 36 Blk 2306 Pb 16 Pg 123 Lots 13 + 14</t>
  </si>
  <si>
    <t>Cylkowski</t>
  </si>
  <si>
    <t xml:space="preserve">1909 NE 19th Ter  Cape Coral, FL 33909 </t>
  </si>
  <si>
    <t>07033-1002</t>
  </si>
  <si>
    <t xml:space="preserve">12486 Veterans Memorial Pkwy  Lafayette, AL 36862-3528 </t>
  </si>
  <si>
    <t xml:space="preserve">1010 NE 44th Ln </t>
  </si>
  <si>
    <t>Cape Coral Unit 33 Blk 2232 Pb 16 Pg 53 Lots 15 + 16</t>
  </si>
  <si>
    <t>33185-4852</t>
  </si>
  <si>
    <t xml:space="preserve">111 Mcconnell Ave </t>
  </si>
  <si>
    <t xml:space="preserve">3905 NE 8th Pl  Cape Coral, FL 33909 </t>
  </si>
  <si>
    <t xml:space="preserve">314 NE 18th Ave  Cape Coral, FL 33909 </t>
  </si>
  <si>
    <t xml:space="preserve">5306 Cypress Trail Resort Cir  Fort Myers, FL 33905 </t>
  </si>
  <si>
    <t xml:space="preserve">1231 W 12400 S  Riverton, UT 84065-7018 </t>
  </si>
  <si>
    <t xml:space="preserve">1950 Iris Ln  Billings, MT 59102-2338 </t>
  </si>
  <si>
    <t xml:space="preserve">928 NE 37th Ter  Cape Coral, FL 33909 </t>
  </si>
  <si>
    <t>Larry &amp; Julie Silvestri</t>
  </si>
  <si>
    <t>North Dartmouth</t>
  </si>
  <si>
    <t xml:space="preserve">3430 SW 149th Ave  Miami, FL 33185-4852 </t>
  </si>
  <si>
    <t xml:space="preserve">26180 Panama Ave  Webster, MN 55088-9519 </t>
  </si>
  <si>
    <t>Robert &amp; Sherrill Hunter</t>
  </si>
  <si>
    <t>Hassan</t>
  </si>
  <si>
    <t>18-43-24-c2-05715.0140</t>
  </si>
  <si>
    <t>30341-1753</t>
  </si>
  <si>
    <t>Maureen Smith &amp; Catherine Arnold</t>
  </si>
  <si>
    <t xml:space="preserve">2710 NE 7th Ave  Cape Coral, FL 33909 </t>
  </si>
  <si>
    <t>33063-3502</t>
  </si>
  <si>
    <t xml:space="preserve">20 Loewenburgstr  Lohmar, DE 53797 </t>
  </si>
  <si>
    <t xml:space="preserve">928 Wellington St </t>
  </si>
  <si>
    <t>Savita</t>
  </si>
  <si>
    <t>20-43-26-02-00002.0010</t>
  </si>
  <si>
    <t>34113-8234</t>
  </si>
  <si>
    <t xml:space="preserve">1366 Corona Vis </t>
  </si>
  <si>
    <t>47630-8279</t>
  </si>
  <si>
    <t>Utopia</t>
  </si>
  <si>
    <t xml:space="preserve">11375 SW 58th Ter  Miami, FL 33173-1014 </t>
  </si>
  <si>
    <t>Cape Coral Unit 31 Blk 2065 Pb 14 Pg 160 Lots 63 + 64</t>
  </si>
  <si>
    <t>Maldonado</t>
  </si>
  <si>
    <t>Mariana Heights Pb Pg 73 Lt 14 E 140 Ft Of N 335.32 Ft</t>
  </si>
  <si>
    <t xml:space="preserve">597 Albany Pl  Longwood, FL 32779-2264 </t>
  </si>
  <si>
    <t>Gabas</t>
  </si>
  <si>
    <t xml:space="preserve">1813 NE 23rd St </t>
  </si>
  <si>
    <t>IN</t>
  </si>
  <si>
    <t>Parry Sound</t>
  </si>
  <si>
    <t>Velma</t>
  </si>
  <si>
    <t>Torrey Pines Parcel 127 South As Desc In Inst# 2015000174442 Lot 9</t>
  </si>
  <si>
    <t>32837-4600</t>
  </si>
  <si>
    <t>Daniel Boone</t>
  </si>
  <si>
    <t xml:space="preserve">8 Bianco Ct  Smithtown, NY 11787-4710 </t>
  </si>
  <si>
    <t>Fe</t>
  </si>
  <si>
    <t xml:space="preserve">2208 NE 34th Ln </t>
  </si>
  <si>
    <t>11-44-25-05-0000c.0580</t>
  </si>
  <si>
    <t>Cape Coral Unit 85 Blk 5656 Pb 24 Pg 57 Lots 55 + 56</t>
  </si>
  <si>
    <t>09-44-25-p4-00321.0030</t>
  </si>
  <si>
    <t xml:space="preserve">PO Box 145  Summerland, CA 93067 </t>
  </si>
  <si>
    <t>Belmont</t>
  </si>
  <si>
    <t xml:space="preserve">120 Augusta National  Anderson, SC 29621-4284 </t>
  </si>
  <si>
    <t>Cape Coral Unit 36 Blk 2349 Pb 16 Pg 125 Lots 1 + 2</t>
  </si>
  <si>
    <t>Waukesha</t>
  </si>
  <si>
    <t>Zeeshan</t>
  </si>
  <si>
    <t xml:space="preserve">514 NE 31st Ter  Cape Coral, FL 33909 </t>
  </si>
  <si>
    <t>16-44-26-06-00013.0120</t>
  </si>
  <si>
    <t>George &amp; For Grosse</t>
  </si>
  <si>
    <t>Vernon &amp; Nancy Hellyer</t>
  </si>
  <si>
    <t>Newark Valley</t>
  </si>
  <si>
    <t>Fountain View Rv Resort Or 1627 Pg 0179 Lot 205</t>
  </si>
  <si>
    <t xml:space="preserve">3 Rue Du Pre Jay </t>
  </si>
  <si>
    <t>Ft Myers Shores Unit 6 Blk 71 Pb 17 Pg 75 Lot 8 Less N 4.33 Ft</t>
  </si>
  <si>
    <t xml:space="preserve">124 NE 25th St </t>
  </si>
  <si>
    <t>33909-4501</t>
  </si>
  <si>
    <t xml:space="preserve">857 Wendy Ann Ct  Paramus, NJ 07652-3826 </t>
  </si>
  <si>
    <t xml:space="preserve">132 Maywood Dr  Syracuse, NY 13205-2402 </t>
  </si>
  <si>
    <t xml:space="preserve">1709 NE 5th Pl </t>
  </si>
  <si>
    <t>73034-6760</t>
  </si>
  <si>
    <t xml:space="preserve">2832 Raymond Ave </t>
  </si>
  <si>
    <t>Sauger</t>
  </si>
  <si>
    <t>Cape Coral Unit 36 Pt 1 Blk 2513 Pb 23 Pg 91 Lots 60 + 61</t>
  </si>
  <si>
    <t>06-44-24-c2-02083.0460</t>
  </si>
  <si>
    <t>Sanicharan</t>
  </si>
  <si>
    <t>Schmitt</t>
  </si>
  <si>
    <t>Avila</t>
  </si>
  <si>
    <t>Dillon</t>
  </si>
  <si>
    <t>Sussex</t>
  </si>
  <si>
    <t xml:space="preserve">19681 Summerlin Rd #406, Fort Myers, FL 33908 </t>
  </si>
  <si>
    <t>Chantilly</t>
  </si>
  <si>
    <t>31-43-24-c2-02139.0570</t>
  </si>
  <si>
    <t>33179-1516</t>
  </si>
  <si>
    <t>33909-4212</t>
  </si>
  <si>
    <t xml:space="preserve">50 Amphibian Rd </t>
  </si>
  <si>
    <t>Cypress Trail Rv Resort Phase 4-A As Desc In Inst# 20160000135610 Lot 389</t>
  </si>
  <si>
    <t xml:space="preserve">16051 Tonkawood Ct  Minnetonka, MN 55345-2831 </t>
  </si>
  <si>
    <t>33909-1446</t>
  </si>
  <si>
    <t>Cohen</t>
  </si>
  <si>
    <t xml:space="preserve">3626 NE 9th Ave </t>
  </si>
  <si>
    <t>Edgartown</t>
  </si>
  <si>
    <t xml:space="preserve">3621 NE 13th Ave  Cape Coral, FL 33909 </t>
  </si>
  <si>
    <t xml:space="preserve">1718 NE 1st Pl </t>
  </si>
  <si>
    <t xml:space="preserve">1114 NE 10th Ter  Cape Coral, FL 33909 </t>
  </si>
  <si>
    <t>50219-8027</t>
  </si>
  <si>
    <t xml:space="preserve">16999 SW 16th St </t>
  </si>
  <si>
    <t xml:space="preserve">3702 Dijon Way </t>
  </si>
  <si>
    <t>11-44-25-l1-13000.0820</t>
  </si>
  <si>
    <t xml:space="preserve">47 Lyon St #1 </t>
  </si>
  <si>
    <t xml:space="preserve">506 NE 1st Ave  Cape Coral, FL 33909 </t>
  </si>
  <si>
    <t xml:space="preserve">14017 Western Reserve Rd  Salem, OH 44460-9649 </t>
  </si>
  <si>
    <t xml:space="preserve">1310 NE 20th St  Cape Coral, FL 33909 </t>
  </si>
  <si>
    <t>W 600 Ft Of E 1975 Ft Of S770 Of N1370 Of Ne 1/4 Ls Par 15 Les R/W Or2360/157</t>
  </si>
  <si>
    <t xml:space="preserve">27 School St </t>
  </si>
  <si>
    <t>Cape Coral Unit 85 Blk 5649 Pb 24 Pg 57 Lots 43 + 44</t>
  </si>
  <si>
    <t xml:space="preserve">918 NE 8th Pl  Cape Coral, FL 33909 </t>
  </si>
  <si>
    <t>Cape Coral Unit 34 Blk 2421 Pb 16 Pg 79 Lots 17 + 18</t>
  </si>
  <si>
    <t xml:space="preserve">10083 Parkwood Dr  Fort Myers, FL 33905 </t>
  </si>
  <si>
    <t xml:space="preserve">10 Korytsas St </t>
  </si>
  <si>
    <t>Allison Gribbin</t>
  </si>
  <si>
    <t xml:space="preserve">1328 NE 18th St  Cape Coral, FL 33909 </t>
  </si>
  <si>
    <t>Land O' Lakes</t>
  </si>
  <si>
    <t>Pervez</t>
  </si>
  <si>
    <t>25-43-23-c1-02321.0090</t>
  </si>
  <si>
    <t>Ghantous Fauzi Tr</t>
  </si>
  <si>
    <t xml:space="preserve">82 Dawes Ave  Pittsfield, MA 01201-7322 </t>
  </si>
  <si>
    <t xml:space="preserve">900 Vogiantzis Pkwy </t>
  </si>
  <si>
    <t>55415-2636</t>
  </si>
  <si>
    <t>Baldwinsville</t>
  </si>
  <si>
    <t>33909-1931</t>
  </si>
  <si>
    <t>28-44-23-c1-06010.0110</t>
  </si>
  <si>
    <t>B037</t>
  </si>
  <si>
    <t>Ahlendung</t>
  </si>
  <si>
    <t xml:space="preserve">1904 NE 3rd Ave  Cape Coral, FL 33909 </t>
  </si>
  <si>
    <t>MB</t>
  </si>
  <si>
    <t xml:space="preserve">326 Diplomat Pkwy E </t>
  </si>
  <si>
    <t>06-44-24-c4-02065.0580</t>
  </si>
  <si>
    <t>Scheessel</t>
  </si>
  <si>
    <t>34116-5500</t>
  </si>
  <si>
    <t xml:space="preserve">2108 NE 36th Ter  Cape Coral, FL 33909 </t>
  </si>
  <si>
    <t>Afonso</t>
  </si>
  <si>
    <t>31-44-24-c1-00655.058a</t>
  </si>
  <si>
    <t>33905-3103</t>
  </si>
  <si>
    <t xml:space="preserve">2337 NW 184th Ter  Pembroke Pines, FL 33029-5300 </t>
  </si>
  <si>
    <t>Manhattan Beach</t>
  </si>
  <si>
    <t xml:space="preserve">747 Indian Hollow Rd  Las Cruces, NM 88011-8604 </t>
  </si>
  <si>
    <t>33756-1239</t>
  </si>
  <si>
    <t>Cape Coral Un 20 Pt 2 Blk 1193 Pb 19 Pg 47 Lots 28 + 29</t>
  </si>
  <si>
    <t xml:space="preserve">6134 Holt Ct </t>
  </si>
  <si>
    <t>Cape Coral Unit 88 Blk 5803 Pb 24 Pg 137 Lots 11 + 12</t>
  </si>
  <si>
    <t>25th</t>
  </si>
  <si>
    <t>03087-1277</t>
  </si>
  <si>
    <t>18-43-24-c2-05738.0370</t>
  </si>
  <si>
    <t>10022-4021</t>
  </si>
  <si>
    <t>Cape Coral Unit 33 Blk.2277 Pb 16 Pg 57 Lots 43 + 44</t>
  </si>
  <si>
    <t xml:space="preserve">1517 NE 32nd Ln </t>
  </si>
  <si>
    <t>Comber</t>
  </si>
  <si>
    <t>11-44-25-06-0000d.0320</t>
  </si>
  <si>
    <t>Orlan</t>
  </si>
  <si>
    <t xml:space="preserve">2910 NE 10th Ave  Pompano Beach, FL 33064-6359 </t>
  </si>
  <si>
    <t>33909-3381</t>
  </si>
  <si>
    <t>90045-2509</t>
  </si>
  <si>
    <t xml:space="preserve">1216 N Gator Cir  Cape Coral, FL 33909 </t>
  </si>
  <si>
    <t xml:space="preserve">623 NE 5th Ave  Cape Coral, FL 33909 </t>
  </si>
  <si>
    <t xml:space="preserve">16835 Juanita Ave </t>
  </si>
  <si>
    <t>25-43-23-c4-02354.0650</t>
  </si>
  <si>
    <t>Plathan</t>
  </si>
  <si>
    <t>James &amp; For Korth</t>
  </si>
  <si>
    <t>Valdecy</t>
  </si>
  <si>
    <t>Freiburger</t>
  </si>
  <si>
    <t xml:space="preserve">3307 W Christy Dr </t>
  </si>
  <si>
    <t>R027</t>
  </si>
  <si>
    <t>Wenonah</t>
  </si>
  <si>
    <t>33154-3420</t>
  </si>
  <si>
    <t>Sean</t>
  </si>
  <si>
    <t>10038-1654</t>
  </si>
  <si>
    <t>11937-1411</t>
  </si>
  <si>
    <t xml:space="preserve">130 Poinciana Dr </t>
  </si>
  <si>
    <t>Lynn &amp; Jennifer Picou</t>
  </si>
  <si>
    <t xml:space="preserve">4666 Hilland Rd  Cleveland, OH 44109-4570 </t>
  </si>
  <si>
    <t xml:space="preserve">1209 NE 15th Ter </t>
  </si>
  <si>
    <t xml:space="preserve">2900 Azalea Pl </t>
  </si>
  <si>
    <t>Garlepied</t>
  </si>
  <si>
    <t>Pasquale Rayano</t>
  </si>
  <si>
    <t>18-43-24-c1-05726.0320</t>
  </si>
  <si>
    <t>R801</t>
  </si>
  <si>
    <t>Mcleod Duncan Sub Unrec Or 181 Pg 400 Lot 6</t>
  </si>
  <si>
    <t xml:space="preserve">1 Lavendelweg </t>
  </si>
  <si>
    <t>Cape Coral Unit 85 Blk 5648 Pb 24 Pg 56 Lots 58 + 59</t>
  </si>
  <si>
    <t>03-44-26-09-00042.0060</t>
  </si>
  <si>
    <t>25-43-23-c4-02353.0600</t>
  </si>
  <si>
    <t xml:space="preserve">8148 168th Pl 1w </t>
  </si>
  <si>
    <t>Green Acres Blk G Pb 5 Pg 72 Lot 9</t>
  </si>
  <si>
    <t>Ghent</t>
  </si>
  <si>
    <t>Gladys Arias</t>
  </si>
  <si>
    <t>33908-3042</t>
  </si>
  <si>
    <t xml:space="preserve">7550 N Fortville Pike </t>
  </si>
  <si>
    <t xml:space="preserve">6519 Rose Wine Way  Knoxville, TN 37931-8004 </t>
  </si>
  <si>
    <t xml:space="preserve">9326 215th Pl  Queens Village, NY 11428-1712 </t>
  </si>
  <si>
    <t>Ernest &amp; Cathy Freeman</t>
  </si>
  <si>
    <t>John &amp; Linda Mount</t>
  </si>
  <si>
    <t>Portico Phase I As Desc In Instr #2006-411756 Tract Lk-B2</t>
  </si>
  <si>
    <t xml:space="preserve">3721 NE 11th Pl  Cape Coral, FL 33909 </t>
  </si>
  <si>
    <t>18-43-24-c1-05728.0170</t>
  </si>
  <si>
    <t>Brompton</t>
  </si>
  <si>
    <t>46140-8692</t>
  </si>
  <si>
    <t>NM</t>
  </si>
  <si>
    <t>Nakamine</t>
  </si>
  <si>
    <t xml:space="preserve">E8829 Erickson Rd  Westby, WI 54667-8135 </t>
  </si>
  <si>
    <t>36-43-23-c2-02539.0300</t>
  </si>
  <si>
    <t xml:space="preserve">1169 E Rodney French Blvd </t>
  </si>
  <si>
    <t>63367-4038</t>
  </si>
  <si>
    <t>Kenneth &amp; Sharon Hicks</t>
  </si>
  <si>
    <t xml:space="preserve">1289 Karth Lake Cir  Saint Paul, MN 55112-5782 </t>
  </si>
  <si>
    <t>18-43-24-c2-05733.0630</t>
  </si>
  <si>
    <t xml:space="preserve">320 NE 31st St  Cape Coral, FL 33909 </t>
  </si>
  <si>
    <t>11040-2015</t>
  </si>
  <si>
    <t>Claudia</t>
  </si>
  <si>
    <t xml:space="preserve">38 Clubhouse Dr </t>
  </si>
  <si>
    <t>Cypress Trail Rv Resort Phase 4-A As Desc In Inst# 20160000135610 Lot 335</t>
  </si>
  <si>
    <t xml:space="preserve">401 NE 23rd Ter  Cape Coral, FL 33909 </t>
  </si>
  <si>
    <t>01453-6339</t>
  </si>
  <si>
    <t>11-44-25-l1-13000.3150</t>
  </si>
  <si>
    <t xml:space="preserve">303 N Avenue B  Midland, TX 79705 </t>
  </si>
  <si>
    <t>Dominador &amp; Deidad Saqueton</t>
  </si>
  <si>
    <t xml:space="preserve">5951 Brightwood Dr  Fort Myers, FL 33905 </t>
  </si>
  <si>
    <t>Cape Coral Unit 88 Blk 5797 Pb 24 Pg 131 Lots 65 Thru 67</t>
  </si>
  <si>
    <t>Cape Coral Unit 84 Blk 5589 Pb 24 Pg 44 Lots 30 + 31</t>
  </si>
  <si>
    <t xml:space="preserve">10202 Yellowtop Trl  Fort Myers, FL 33905 </t>
  </si>
  <si>
    <t xml:space="preserve">2180 Poinciana Blvd  Fort Myers, FL 33905 </t>
  </si>
  <si>
    <t>33909-4550</t>
  </si>
  <si>
    <t>32-43-24-c1-02191.0070</t>
  </si>
  <si>
    <t>11358-1113</t>
  </si>
  <si>
    <t>Brandi</t>
  </si>
  <si>
    <t>Cape Coral Unit 36 Blk 2316 Pb 16 Pg 123 Lots 3 + 4</t>
  </si>
  <si>
    <t>36-43-23-c1-02520.0360</t>
  </si>
  <si>
    <t xml:space="preserve">10066 Parkwood Dr </t>
  </si>
  <si>
    <t xml:space="preserve">4009 NE 23rd Pl </t>
  </si>
  <si>
    <t>Stillwells Corner</t>
  </si>
  <si>
    <t xml:space="preserve">332 NE 9th St  Cape Coral, FL 33909 </t>
  </si>
  <si>
    <t>Cape Coral Unit 32 Blk.2128 Pb 16 Pg 10 Lots 30 + 31</t>
  </si>
  <si>
    <t>Darren</t>
  </si>
  <si>
    <t xml:space="preserve">27082 SW 140th Psge  Homestead, FL 33032-8851 </t>
  </si>
  <si>
    <t xml:space="preserve">2312 Andalusia Blvd </t>
  </si>
  <si>
    <t xml:space="preserve">156 Charles St </t>
  </si>
  <si>
    <t>Haldibrook</t>
  </si>
  <si>
    <t>31-43-24-c4-02103.0490</t>
  </si>
  <si>
    <t>La Perry</t>
  </si>
  <si>
    <t>Elmwood</t>
  </si>
  <si>
    <t>Cape Coral Unit 33 Blk 2226 Pb 16 Pg 46 Lots 3 + 4</t>
  </si>
  <si>
    <t>Cape Coral Unit 32 Blk 2153 Pb 16 Pg 13 Lots 17 + 18</t>
  </si>
  <si>
    <t xml:space="preserve">6111 Humboldt Ave  Fort Myers, FL 33905 </t>
  </si>
  <si>
    <t xml:space="preserve">6540 Pine St </t>
  </si>
  <si>
    <t>78th</t>
  </si>
  <si>
    <t xml:space="preserve">3830 E Gator Cir </t>
  </si>
  <si>
    <t>18-43-24-c4-05701.0490</t>
  </si>
  <si>
    <t>55449-6861</t>
  </si>
  <si>
    <t xml:space="preserve">1113 NE 10th Ln  Cape Coral, FL 33909 </t>
  </si>
  <si>
    <t>Cape Coral Unit 84 Blk 5595 Pb 24 Pg 41 Lots 2 + 3</t>
  </si>
  <si>
    <t xml:space="preserve">4715 Middle Pike  West Jefferson, OH 43162-9540 </t>
  </si>
  <si>
    <t>Osborne</t>
  </si>
  <si>
    <t>Cape Coral Unit 33 Blk 2268 Pb 16 Pg 61 Lots 3 + 4</t>
  </si>
  <si>
    <t xml:space="preserve">2129 NE 17th Ter  Cape Coral, FL 33909 </t>
  </si>
  <si>
    <t>19-43-24-c2-05604.0590</t>
  </si>
  <si>
    <t xml:space="preserve">16102 Emerald Estates Dr #306 </t>
  </si>
  <si>
    <t>33018-7375</t>
  </si>
  <si>
    <t xml:space="preserve">1030 Clinton St  Carrollton, TX 75007-4891 </t>
  </si>
  <si>
    <t>Lazzara</t>
  </si>
  <si>
    <t>Old Orchard Beach</t>
  </si>
  <si>
    <t>Cape Coral Unit 87 Blk 5695 Pb 24 Pg 81 Lots 29 + 30</t>
  </si>
  <si>
    <t xml:space="preserve">4763 Bluefeather Lane  Mississauga, ON L5r 0C8 </t>
  </si>
  <si>
    <t>Aurora Amores &amp; Sandra Navas</t>
  </si>
  <si>
    <t xml:space="preserve">15061 Stadler Rd </t>
  </si>
  <si>
    <t>Cape Coral Unit 84 Blk 5563 Pb 24 Pg 37 Lots 57 + 58</t>
  </si>
  <si>
    <t>33909-5234</t>
  </si>
  <si>
    <t>Kates</t>
  </si>
  <si>
    <t>Cape Coral Unit 36 Blk 2355 Pb 16 Pg 120 Lots 50 + 51</t>
  </si>
  <si>
    <t>10549-2605</t>
  </si>
  <si>
    <t xml:space="preserve">2147 W Tobago Cir </t>
  </si>
  <si>
    <t>Maywood</t>
  </si>
  <si>
    <t xml:space="preserve">2246 NE 13th Ln </t>
  </si>
  <si>
    <t xml:space="preserve">5020 24th St W A </t>
  </si>
  <si>
    <t>Sofjola</t>
  </si>
  <si>
    <t xml:space="preserve">10926 Edgewood Ave N </t>
  </si>
  <si>
    <t>Cape Coral Unit 36 Blk 2340 Pb 16 Pg 124 Lots 1 + 2</t>
  </si>
  <si>
    <t xml:space="preserve">818 NE 41st Ln </t>
  </si>
  <si>
    <t>33054-4603</t>
  </si>
  <si>
    <t xml:space="preserve">2104 NE 14th Pl </t>
  </si>
  <si>
    <t>Marta</t>
  </si>
  <si>
    <t>Erich &amp; For Heins</t>
  </si>
  <si>
    <t>Andreas</t>
  </si>
  <si>
    <t xml:space="preserve">2108 NE 27th Ter  Cape Coral, FL 33909 </t>
  </si>
  <si>
    <t xml:space="preserve">13660 Marquette Blvd  Fort Myers, FL 33905 </t>
  </si>
  <si>
    <t>Francis &amp; Evelyn Loyon</t>
  </si>
  <si>
    <t>06-45-24-c3-00541.0420</t>
  </si>
  <si>
    <t xml:space="preserve">216 Magruder Pl SE  Leesburg, VA 20175-4407 </t>
  </si>
  <si>
    <t>Frazier</t>
  </si>
  <si>
    <t xml:space="preserve">26 Kerkstraat  Wagenborgen, NL 994 5 </t>
  </si>
  <si>
    <t>Lucena</t>
  </si>
  <si>
    <t>Richmond West</t>
  </si>
  <si>
    <t>03-44-26-11-00058.0150</t>
  </si>
  <si>
    <t>For Patricia Sligh Powell Trust</t>
  </si>
  <si>
    <t>Grimes</t>
  </si>
  <si>
    <t>10-44-24-00-01044.0000</t>
  </si>
  <si>
    <t xml:space="preserve">9820 Belinder Rd  Leawood, KS 66206-2451 </t>
  </si>
  <si>
    <t>Mike &amp; Barb Piper</t>
  </si>
  <si>
    <t>Cypress Woods Rv Resort Un 3 Desc In Pb 72 Pgs 92-95 Blk C Lot 104</t>
  </si>
  <si>
    <t>John &amp; Lauon Knies</t>
  </si>
  <si>
    <t>25-43-23-c3-02313.0530</t>
  </si>
  <si>
    <t>33909-6207</t>
  </si>
  <si>
    <t xml:space="preserve">2132 White Farm Ln  High Point, NC 27265-9715 </t>
  </si>
  <si>
    <t>Beeton</t>
  </si>
  <si>
    <t xml:space="preserve">2100 NE 1st Ave  Cape Coral, FL 33909 </t>
  </si>
  <si>
    <t>Eichendorff</t>
  </si>
  <si>
    <t>Borbas</t>
  </si>
  <si>
    <t>Hewes</t>
  </si>
  <si>
    <t xml:space="preserve">3940 Jonquil Pl </t>
  </si>
  <si>
    <t xml:space="preserve">2526 Barcelona Ave  Fort Myers, FL 33905 </t>
  </si>
  <si>
    <t>C059</t>
  </si>
  <si>
    <t xml:space="preserve">2119 NE 17th St </t>
  </si>
  <si>
    <t>Cape Coral Unit 35 Blk 2371 Pb 16 Pg 101 Lots 5 + 6</t>
  </si>
  <si>
    <t>11-44-25-05-0000c.0090</t>
  </si>
  <si>
    <t>Sofia Georgiadis</t>
  </si>
  <si>
    <t>Stonebrook</t>
  </si>
  <si>
    <t>Cape Coral Unit 87 Blk 5692 Pb 24 Pg 85 Lots 37 + 38</t>
  </si>
  <si>
    <t xml:space="preserve">464 NE 3rd Pl </t>
  </si>
  <si>
    <t>Hieu Vo</t>
  </si>
  <si>
    <t>Cape Coral Unit 19 Blk 1219 Pb 13 Pg 133 Lots 67 + 68</t>
  </si>
  <si>
    <t xml:space="preserve">1319 White Oak Bottom Rd </t>
  </si>
  <si>
    <t xml:space="preserve">1236 NE 41st St  Cape Coral, FL 33909 </t>
  </si>
  <si>
    <t xml:space="preserve">1719 NE 13th Ter </t>
  </si>
  <si>
    <t xml:space="preserve">2205 NE 4th Pl </t>
  </si>
  <si>
    <t xml:space="preserve">1808 NE 6th Ave </t>
  </si>
  <si>
    <t>33184-1257</t>
  </si>
  <si>
    <t>98107-5250</t>
  </si>
  <si>
    <t xml:space="preserve">220 NW 195th Ave  Pembroke Pines, FL 33029-3266 </t>
  </si>
  <si>
    <t>William &amp; Beverly Weidemann</t>
  </si>
  <si>
    <t xml:space="preserve">41 Rockledge Dr  Livingston, NJ 07039-1901 </t>
  </si>
  <si>
    <t>Munson</t>
  </si>
  <si>
    <t>33909-1245</t>
  </si>
  <si>
    <t>Jerry</t>
  </si>
  <si>
    <t>David &amp; Alan Byrd</t>
  </si>
  <si>
    <t>48313-5651</t>
  </si>
  <si>
    <t xml:space="preserve">10457 Nightwood Dr  Fort Myers, FL 33905 </t>
  </si>
  <si>
    <t>Paladino</t>
  </si>
  <si>
    <t>Michael Atkerson &amp; Margo Seastrom</t>
  </si>
  <si>
    <t>11-44-25-l1-12000.2880</t>
  </si>
  <si>
    <t xml:space="preserve">3845 Heyburn St </t>
  </si>
  <si>
    <t xml:space="preserve">6755 SW 54th St </t>
  </si>
  <si>
    <t>Billings</t>
  </si>
  <si>
    <t>America Outdoors Camper Resort 1 Condo Blk B Or 1673 Pg 2487 Unit 51</t>
  </si>
  <si>
    <t>Angela Brannan</t>
  </si>
  <si>
    <t>James &amp; For Wood</t>
  </si>
  <si>
    <t>33904-2728</t>
  </si>
  <si>
    <t>Anthony Misiewicz</t>
  </si>
  <si>
    <t>32935-6006</t>
  </si>
  <si>
    <t xml:space="preserve">Marie-Curie-Str15  Asheville, NC 28816 </t>
  </si>
  <si>
    <t xml:space="preserve">24 Konrad-Adenauer-Str  Portland, OR 97230 </t>
  </si>
  <si>
    <t xml:space="preserve">6322 Desert Peace Ave  Land O Lakes, FL 34639-2779 </t>
  </si>
  <si>
    <t>Joe &amp; Audrey Wright</t>
  </si>
  <si>
    <t>Cape Coral Unit 33 Blk 2199 Pb 16 Pg 45 Lots 56 + 57</t>
  </si>
  <si>
    <t xml:space="preserve">4125 13th Ave SW  Naples, FL 34116-5229 </t>
  </si>
  <si>
    <t xml:space="preserve">6152 Stonehaven Ct  Cypress, CA 90630-3969 </t>
  </si>
  <si>
    <t>Cape Coral Unit 31 Blk 2083 Pb 14 Pg 164 Lots 48 + 49</t>
  </si>
  <si>
    <t xml:space="preserve">3717 NE 17th Ave </t>
  </si>
  <si>
    <t>For Dorothy Wright Hall Trust</t>
  </si>
  <si>
    <t xml:space="preserve">1810 SW 5th Ave </t>
  </si>
  <si>
    <t>Cape Coral Unit 36 Blk 2355 Pb 16 Pg 121 Lots 76 + 77</t>
  </si>
  <si>
    <t>Surendra</t>
  </si>
  <si>
    <t xml:space="preserve">60-62 Elmwood Ave #2, Montclair, NJ 07042-4540 </t>
  </si>
  <si>
    <t xml:space="preserve">3610 NE 18th Ave  Cape Coral, FL 33909 </t>
  </si>
  <si>
    <t xml:space="preserve">1623 NE 34th St  Cape Coral, FL 33909 </t>
  </si>
  <si>
    <t xml:space="preserve">1313 Peters Dr  Leesburg, FL 34748-4040 </t>
  </si>
  <si>
    <t>Termine</t>
  </si>
  <si>
    <t>36-43-23-c4-02510.0590</t>
  </si>
  <si>
    <t>Zahra</t>
  </si>
  <si>
    <t>Abbate</t>
  </si>
  <si>
    <t>03-44-26-04-00019.0190</t>
  </si>
  <si>
    <t>54311-5972</t>
  </si>
  <si>
    <t>Ilowant</t>
  </si>
  <si>
    <t>N7A 3Y2</t>
  </si>
  <si>
    <t>Harrasserstrasse</t>
  </si>
  <si>
    <t>18-43-24-c1-05725.0030</t>
  </si>
  <si>
    <t>Josette Manera</t>
  </si>
  <si>
    <t xml:space="preserve">10 Millway </t>
  </si>
  <si>
    <t>36-43-23-c2-02543.0530</t>
  </si>
  <si>
    <t>Margaret &amp; For Ehemann</t>
  </si>
  <si>
    <t xml:space="preserve">2726 Manteno Ct </t>
  </si>
  <si>
    <t>N0P 1J0</t>
  </si>
  <si>
    <t>Cape Coral Unit 36 Pt 1 Blk 2510 Pb 23 Pg 89 Lots 49 + 50</t>
  </si>
  <si>
    <t>19-43-24-c2-05600.0650</t>
  </si>
  <si>
    <t xml:space="preserve">73 Wiltwyck Ave </t>
  </si>
  <si>
    <t>Sonora</t>
  </si>
  <si>
    <t>Fieldston</t>
  </si>
  <si>
    <t xml:space="preserve">2801 SE 18th Ct  Cape Coral, FL 33904 </t>
  </si>
  <si>
    <t>Cape Coral Unit 87 Blk 5699 Pb 24 Pg 75 Lots 17 + 18</t>
  </si>
  <si>
    <t>Cypress Woods Rv Resort Desc In Inst#2006-358211 Lot 152</t>
  </si>
  <si>
    <t>Armindo Esteve</t>
  </si>
  <si>
    <t xml:space="preserve">303 SE 29th Ter </t>
  </si>
  <si>
    <t>Delaware Avenue</t>
  </si>
  <si>
    <t>17-43-24-c1-05819.0650</t>
  </si>
  <si>
    <t>M1J 1C2</t>
  </si>
  <si>
    <t>Osvaldo Barrios</t>
  </si>
  <si>
    <t>Prasad Yalamanchilli</t>
  </si>
  <si>
    <t>Victorero</t>
  </si>
  <si>
    <t>05-44-24-c1-03522.0110</t>
  </si>
  <si>
    <t>Raven</t>
  </si>
  <si>
    <t xml:space="preserve">28 Rue St Fargeau </t>
  </si>
  <si>
    <t>PO Box 730852</t>
  </si>
  <si>
    <t>Hauser</t>
  </si>
  <si>
    <t>Cape Coral Unit 33 Blk 2253 Pb 16 Pg 57 Lots 1 Thru 3</t>
  </si>
  <si>
    <t>Cape Coral Unit 88 Blk 5821 Pb 24 Pg 141 Lots 27 + 28</t>
  </si>
  <si>
    <t>Salles</t>
  </si>
  <si>
    <t xml:space="preserve">1201 NE 12th St  Cape Coral, FL 33909 </t>
  </si>
  <si>
    <t>Calhoun</t>
  </si>
  <si>
    <t xml:space="preserve">118 SE 41st St  Cape Coral, FL 33904 </t>
  </si>
  <si>
    <t>Brimley</t>
  </si>
  <si>
    <t>Adelsberg</t>
  </si>
  <si>
    <t xml:space="preserve">5357 Majestic Ct  Cape Coral, FL 33904 </t>
  </si>
  <si>
    <t xml:space="preserve">61 Upper Canada Dr  Port Rowan, ON N0e 1M0 </t>
  </si>
  <si>
    <t xml:space="preserve">62 Penn St  Port Jefferson Station, NY 11776-3716 </t>
  </si>
  <si>
    <t>Cape Coral Unit 36 Blk 2316 Pb 16 Pg 126 Lots 63 + 64</t>
  </si>
  <si>
    <t>Old Olga</t>
  </si>
  <si>
    <t xml:space="preserve">925 NE 5th Pl </t>
  </si>
  <si>
    <t>11228-2911</t>
  </si>
  <si>
    <t>Gillis</t>
  </si>
  <si>
    <t xml:space="preserve">19681 Summerlin Rd #540 </t>
  </si>
  <si>
    <t>91740-5540</t>
  </si>
  <si>
    <t xml:space="preserve">5927 Brightwood Dr  Fort Myers, FL 33905 </t>
  </si>
  <si>
    <t>33071-4062</t>
  </si>
  <si>
    <t>Kitchen</t>
  </si>
  <si>
    <t xml:space="preserve">3016 SE 5th Ct  Cape Coral, FL 33904 </t>
  </si>
  <si>
    <t>30127-8614</t>
  </si>
  <si>
    <t xml:space="preserve">6189 Turning Leaf Way </t>
  </si>
  <si>
    <t>Virgil</t>
  </si>
  <si>
    <t>03-44-26-14-00079.0050</t>
  </si>
  <si>
    <t>Cape Coral Unit 87 Blk 5727 Pb 24 Pg 85 Lots 11 Thru 13</t>
  </si>
  <si>
    <t xml:space="preserve">2703 NE 5th Pl </t>
  </si>
  <si>
    <t>Yolanda Santos &amp; Leonardo Villanueva</t>
  </si>
  <si>
    <t>Lutzelmath Weg</t>
  </si>
  <si>
    <t>32503-5833</t>
  </si>
  <si>
    <t>05-44-24-c4-03541.0410</t>
  </si>
  <si>
    <t xml:space="preserve">14060 Barkwood St  Fort Myers, FL 33905 </t>
  </si>
  <si>
    <t>R311</t>
  </si>
  <si>
    <t xml:space="preserve">1107 9th Ave S  Myrtle Beach, SC 29577-5309 </t>
  </si>
  <si>
    <t xml:space="preserve">4504 SW 24th St </t>
  </si>
  <si>
    <t>36-43-23-c2-02544.0330</t>
  </si>
  <si>
    <t>Urbano</t>
  </si>
  <si>
    <t>32-43-24-c4-02224.0550</t>
  </si>
  <si>
    <t>Cape Coral Unit 36 Blk 2352 Pb 16 Pg 124 Lots 5 + 6</t>
  </si>
  <si>
    <t xml:space="preserve">4231 W 10th Ave </t>
  </si>
  <si>
    <t>Urb Idamaris</t>
  </si>
  <si>
    <t>River Forest</t>
  </si>
  <si>
    <t>C005</t>
  </si>
  <si>
    <t>Cape Coral Unit 33 Blk.2283 Pb 16 Pg 60 Lots 9 + 10</t>
  </si>
  <si>
    <t>33334-1613</t>
  </si>
  <si>
    <t xml:space="preserve">601 Kent Ave  West Lafayette, IN 47906-1544 </t>
  </si>
  <si>
    <t>Ilyse</t>
  </si>
  <si>
    <t xml:space="preserve">4580 Broadway 1u </t>
  </si>
  <si>
    <t>Cape Coral Unit 84 Blk 5546 Pb 24 Pg 47 Lots 13 + 14</t>
  </si>
  <si>
    <t>92064-6043</t>
  </si>
  <si>
    <t>60108-8835</t>
  </si>
  <si>
    <t xml:space="preserve">9644 Bergamont Ct </t>
  </si>
  <si>
    <t>Mcculloch</t>
  </si>
  <si>
    <t>Jhonny</t>
  </si>
  <si>
    <t xml:space="preserve">3415 Watersedge Dr </t>
  </si>
  <si>
    <t>Cape Coral Unit 36 Blk 2322 Pb 16 Pg 126 Lots 29 + 30</t>
  </si>
  <si>
    <t xml:space="preserve">10076 Windtree Ln N </t>
  </si>
  <si>
    <t xml:space="preserve">5753 Highway 85 N  Crestview, FL 32536-9365 </t>
  </si>
  <si>
    <t xml:space="preserve">4231 Colden St #163, Flushing, NY 11355-3991 </t>
  </si>
  <si>
    <t>V</t>
  </si>
  <si>
    <t>06-46-24-03-0000b.0480</t>
  </si>
  <si>
    <t>Kyle &amp; Tamara Boltz</t>
  </si>
  <si>
    <t xml:space="preserve">111 3rd Ave 11f, New York, NY 10003-5521 </t>
  </si>
  <si>
    <t>Osborn</t>
  </si>
  <si>
    <t>Munoz</t>
  </si>
  <si>
    <t>Flatlands 8th</t>
  </si>
  <si>
    <t xml:space="preserve">2807 Jake St </t>
  </si>
  <si>
    <t>Sweeney</t>
  </si>
  <si>
    <t>00926-2103</t>
  </si>
  <si>
    <t xml:space="preserve">3767 Kittyhawk Dr  Fort Myers, FL 33905 </t>
  </si>
  <si>
    <t>31-43-24-c2-02135.0140</t>
  </si>
  <si>
    <t xml:space="preserve">3325 Andalusia Blvd </t>
  </si>
  <si>
    <t>19-43-24-c2-05589.0370</t>
  </si>
  <si>
    <t xml:space="preserve">1714 N 45th Ave  Hollywood, FL 33021-4102 </t>
  </si>
  <si>
    <t>MAIL CITY</t>
  </si>
  <si>
    <t>33904-3440</t>
  </si>
  <si>
    <t>68122-1949</t>
  </si>
  <si>
    <t>Cape Coral Unit 32 Blk 2120 Pb 16 Pg 4 Lots 45 + 46</t>
  </si>
  <si>
    <t xml:space="preserve">8106 W Point Dr </t>
  </si>
  <si>
    <t>33055-2060</t>
  </si>
  <si>
    <t>Reinders</t>
  </si>
  <si>
    <t xml:space="preserve">2011 NE 2nd St </t>
  </si>
  <si>
    <t>03-44-26-11-00055.0010</t>
  </si>
  <si>
    <t>Cape Coral Unit 88 Blk 5818 Pb 24 Pg 140 Lots 24 + 25</t>
  </si>
  <si>
    <t>30622-1688</t>
  </si>
  <si>
    <t>Kim-Cuong Nguyen &amp; Tri-Dung Lam</t>
  </si>
  <si>
    <t>Mobilehaven Estates Unrec. Blk A Lots Pt 29 + All 30</t>
  </si>
  <si>
    <t>Astrid</t>
  </si>
  <si>
    <t>33909-1583</t>
  </si>
  <si>
    <t xml:space="preserve">11 Waters Ave </t>
  </si>
  <si>
    <t>Jason Renner</t>
  </si>
  <si>
    <t xml:space="preserve">14550 English Rd  Miami Lakes, FL 33014-2718 </t>
  </si>
  <si>
    <t>David &amp; Jennifer Canal Family</t>
  </si>
  <si>
    <t xml:space="preserve">811 W Oriole Way  Chandler, AZ 85286-4472 </t>
  </si>
  <si>
    <t>33908-4859</t>
  </si>
  <si>
    <t>Cape Coral Unit 85 Blk 5649 Pb 24 Pg 57 Lots 41 + 42</t>
  </si>
  <si>
    <t>36-43-23-c3-02501.0190</t>
  </si>
  <si>
    <t>20-43-24-c1-05650.0610</t>
  </si>
  <si>
    <t xml:space="preserve">265 Stockton St  North Fort Myers, FL 33903 </t>
  </si>
  <si>
    <t xml:space="preserve">2616 NE 5th Ave  Cape Coral, FL 33909 </t>
  </si>
  <si>
    <t>Todd Climie &amp; Marlene Hanses</t>
  </si>
  <si>
    <t xml:space="preserve">780 S Sapodilla Ave #204, West Palm Beach, FL 33401-4160 </t>
  </si>
  <si>
    <t>19-43-24-c2-05588.0320</t>
  </si>
  <si>
    <t>Cape Coral Unit 36 Blk 2349 Pb 16 Pg 125 Lots 7 + 8</t>
  </si>
  <si>
    <t>Old Hickory</t>
  </si>
  <si>
    <t xml:space="preserve">291 Valencia Dr  Fort Myers, FL 33905 </t>
  </si>
  <si>
    <t>33909-5322</t>
  </si>
  <si>
    <t>00794-9227</t>
  </si>
  <si>
    <t>31-43-24-c1-02161.0130</t>
  </si>
  <si>
    <t xml:space="preserve">317 SE 32nd Ter </t>
  </si>
  <si>
    <t>01-44-23-c4-02466.0830</t>
  </si>
  <si>
    <t xml:space="preserve">15696 225th St </t>
  </si>
  <si>
    <t xml:space="preserve">921 NE 11th Ter </t>
  </si>
  <si>
    <t>33-44-24-c1-01231.0430</t>
  </si>
  <si>
    <t>James Rawls</t>
  </si>
  <si>
    <t>Mccurdy Family</t>
  </si>
  <si>
    <t>Revollo</t>
  </si>
  <si>
    <t xml:space="preserve">2016 NE 39th Ter  Cape Coral, FL 33909 </t>
  </si>
  <si>
    <t>20-43-24-c2-05663.0460</t>
  </si>
  <si>
    <t xml:space="preserve">3833 NE 19th Ave  Cape Coral, FL 33909 </t>
  </si>
  <si>
    <t xml:space="preserve">1134 NE Juanita Pl  Cape Coral, FL 33909 </t>
  </si>
  <si>
    <t xml:space="preserve">537 Beverly Dr </t>
  </si>
  <si>
    <t xml:space="preserve">1218 NE 14th Pl  Cape Coral, FL 33909 </t>
  </si>
  <si>
    <t xml:space="preserve">5540 Cypress Woods Resort Dr  Fort Myers, FL 33905 </t>
  </si>
  <si>
    <t>16-44-25-p1-0090b.0080</t>
  </si>
  <si>
    <t>60142-7477</t>
  </si>
  <si>
    <t xml:space="preserve">1910 NE 20th St </t>
  </si>
  <si>
    <t xml:space="preserve">26032 Wexford Dr  Warren, MI 48091-1033 </t>
  </si>
  <si>
    <t xml:space="preserve">116 Larry Uteck Blvd #208, Halifax, NS B3m 4Y1 </t>
  </si>
  <si>
    <t xml:space="preserve">4200 Woodcreek Dr </t>
  </si>
  <si>
    <t>Lozano</t>
  </si>
  <si>
    <t>Donrene</t>
  </si>
  <si>
    <t>Rigg</t>
  </si>
  <si>
    <t xml:space="preserve">3710 River Point Dr </t>
  </si>
  <si>
    <t>Savona</t>
  </si>
  <si>
    <t xml:space="preserve">7 Rue Valery Chasson </t>
  </si>
  <si>
    <t xml:space="preserve">8699 Nathans Cove Ct </t>
  </si>
  <si>
    <t>25-43-23-c1-02326.0370</t>
  </si>
  <si>
    <t xml:space="preserve">39 Stonecutter Rd </t>
  </si>
  <si>
    <t xml:space="preserve">411 Walnut St #11318 </t>
  </si>
  <si>
    <t xml:space="preserve">12506 Temple Blvd </t>
  </si>
  <si>
    <t xml:space="preserve">1810 NE 23rd Ave </t>
  </si>
  <si>
    <t>Paulson</t>
  </si>
  <si>
    <t>Lorenzo</t>
  </si>
  <si>
    <t>Cape Coral Unit 84 Blk 5579 Pb 24 Pg 46 Lots 58 + 59</t>
  </si>
  <si>
    <t>03-44-26-13-00075.0170</t>
  </si>
  <si>
    <t>06-44-24-c2-02075.0280</t>
  </si>
  <si>
    <t xml:space="preserve">3620 SE 18th Ave  Cape Coral, FL 33904 </t>
  </si>
  <si>
    <t>Sousa</t>
  </si>
  <si>
    <t>Cape Coral Unit 87 Blk 5753 Pb 24 Pg 68 Lots 8 + 9</t>
  </si>
  <si>
    <t>Raj-Singh</t>
  </si>
  <si>
    <t xml:space="preserve">1506 NE 6th Pl  Cape Coral, FL 33909 </t>
  </si>
  <si>
    <t>Blackstock</t>
  </si>
  <si>
    <t xml:space="preserve">1520 NE 36th Ter </t>
  </si>
  <si>
    <t>Muminovic</t>
  </si>
  <si>
    <t>06-46-24-15-00000.2350</t>
  </si>
  <si>
    <t>30521-4418</t>
  </si>
  <si>
    <t>Hatidza &amp; Husein Mujakic</t>
  </si>
  <si>
    <t>Malagon</t>
  </si>
  <si>
    <t xml:space="preserve">122 NE 24th Ter  Cape Coral, FL 33909 </t>
  </si>
  <si>
    <t xml:space="preserve">346/348 State St </t>
  </si>
  <si>
    <t xml:space="preserve">17276 Kaison Cir </t>
  </si>
  <si>
    <t>Pierre &amp; Mona Telfort</t>
  </si>
  <si>
    <t>33909-4659</t>
  </si>
  <si>
    <t>11432-3312</t>
  </si>
  <si>
    <t>Cabana City Pb 8 Pg 61 Blks K + L Lots 15 Thru 29+ 15 Ft Vac Ccmb 10/258</t>
  </si>
  <si>
    <t>05-44-24-c4-03543.0010</t>
  </si>
  <si>
    <t>08-44-24-c1-01535.0040</t>
  </si>
  <si>
    <t>05-44-24-c2-03514.0610</t>
  </si>
  <si>
    <t xml:space="preserve">22704 Roderick Dr </t>
  </si>
  <si>
    <t xml:space="preserve">1231 NE 16th Pl  Cape Coral, FL 33909 </t>
  </si>
  <si>
    <t>R164</t>
  </si>
  <si>
    <t xml:space="preserve">2222 NE 20th Ave  Cape Coral, FL 33909 </t>
  </si>
  <si>
    <t>33020-4935</t>
  </si>
  <si>
    <t xml:space="preserve">585 Albany Ave #357, Amityville, NY 11701-1172 </t>
  </si>
  <si>
    <t>Margaret &amp; For Hirozawa</t>
  </si>
  <si>
    <t>Cape Coral Unit 36 Blk 2304 Pb 16 Pg 119 Lots 1 + 2</t>
  </si>
  <si>
    <t xml:space="preserve">6251 130th Ave NE </t>
  </si>
  <si>
    <t xml:space="preserve">409 Myrtle Ave  Garwood, NJ 07027-1213 </t>
  </si>
  <si>
    <t>Brett Cox &amp; For Carey</t>
  </si>
  <si>
    <t>11-44-25-07-00000.1700</t>
  </si>
  <si>
    <t xml:space="preserve">800 Willis Ave #212 </t>
  </si>
  <si>
    <t>Francia Andrade</t>
  </si>
  <si>
    <t>Pherai-Bogeajis</t>
  </si>
  <si>
    <t>18-43-24-c1-05689.0150</t>
  </si>
  <si>
    <t>Stratford</t>
  </si>
  <si>
    <t xml:space="preserve">8618 Nottingham Pkwy  Louisville, KY 40222-5330 </t>
  </si>
  <si>
    <t xml:space="preserve">10429 Nightwood Dr </t>
  </si>
  <si>
    <t>Rama</t>
  </si>
  <si>
    <t>33908-4609</t>
  </si>
  <si>
    <t xml:space="preserve">3805 Kemper St  Fort Myers, FL 33905 </t>
  </si>
  <si>
    <t>Cape Coral Unit 85 Blk 5630 Pb 24 Pg 50 Lots 25 Thru 27</t>
  </si>
  <si>
    <t>Blanchett</t>
  </si>
  <si>
    <t>08059-1607</t>
  </si>
  <si>
    <t>Cheryle</t>
  </si>
  <si>
    <t>Rossetti</t>
  </si>
  <si>
    <t>Thomai</t>
  </si>
  <si>
    <t>Lehigh Acres Unit 10 Blk 50 Pb 26 Pg 13 Lot 8</t>
  </si>
  <si>
    <t>Cocoa</t>
  </si>
  <si>
    <t>44122-4502</t>
  </si>
  <si>
    <t>Sookraj-Mohamed</t>
  </si>
  <si>
    <t>For Jane E Heins Trust</t>
  </si>
  <si>
    <t xml:space="preserve">4023 Trail Ridge Dr  Franklin, TN 37067-4055 </t>
  </si>
  <si>
    <t>Cape Coral Unit 84 Blk 5617 Pb 24 Pg 35 Lot 6</t>
  </si>
  <si>
    <t xml:space="preserve">226 Little Sandy Pond Rd  Plymouth, MA 02360-2239 </t>
  </si>
  <si>
    <t>Chuanning</t>
  </si>
  <si>
    <t xml:space="preserve">6038 Houston Ave </t>
  </si>
  <si>
    <t xml:space="preserve">3624 Unique Cir  Fort Myers, FL 33908 </t>
  </si>
  <si>
    <t>Cape Coral Unit 33 Blk 2284 Pb 16 Pg 59 Lots 18 + 19</t>
  </si>
  <si>
    <t>11967-4205</t>
  </si>
  <si>
    <t>Michele Irmen</t>
  </si>
  <si>
    <t xml:space="preserve">5191 Cypress Trail Resort Cir </t>
  </si>
  <si>
    <t>33909-6202</t>
  </si>
  <si>
    <t>Telc</t>
  </si>
  <si>
    <t>Isabel Oliva</t>
  </si>
  <si>
    <t>Morkos</t>
  </si>
  <si>
    <t>Mahoning</t>
  </si>
  <si>
    <t>Surdo</t>
  </si>
  <si>
    <t>20-43-24-c3-05671.0570</t>
  </si>
  <si>
    <t>Abdul</t>
  </si>
  <si>
    <t xml:space="preserve">5314 NE Holly Brooke Ln </t>
  </si>
  <si>
    <t>Donald &amp; Wanda Berger</t>
  </si>
  <si>
    <t>160th</t>
  </si>
  <si>
    <t>Cape Coral Unit 35 Blk 2396 Pb 16 Pg 103 Lots 10 + 11</t>
  </si>
  <si>
    <t xml:space="preserve">4341 Ironwood Ave </t>
  </si>
  <si>
    <t>Par Located In Nw 1/4 Desc In Or 4599 Pg 811</t>
  </si>
  <si>
    <t>Cape Coral Unit 35 Blk 2409 Pb 16 Pg 110 Lots 13 + 14</t>
  </si>
  <si>
    <t>Cape Coral Unit 31 Blk 2064 Pb 14 Pg 165 Lots 8 + 9</t>
  </si>
  <si>
    <t xml:space="preserve">1481 Shawhan Rd </t>
  </si>
  <si>
    <t>Brosnan</t>
  </si>
  <si>
    <t>Partridge</t>
  </si>
  <si>
    <t>Lehigh Acres W 1/2 Unit 10 Blk 48 Pb 26 Pg 12 Lot 19</t>
  </si>
  <si>
    <t>John Carpinello</t>
  </si>
  <si>
    <t>Daryl &amp; Barbara Grote</t>
  </si>
  <si>
    <t>Cape Coral Unit 31 Blk 2070 Pb 14 Pg 160 Lots 73 + 74</t>
  </si>
  <si>
    <t>20723-1820</t>
  </si>
  <si>
    <t>Cape Coral Unit 87 Blk 5684 Pb 24 Pg 74 Lots 57 + 58</t>
  </si>
  <si>
    <t>Jorge &amp; Margot Hernandez</t>
  </si>
  <si>
    <t xml:space="preserve">PO Box 201  Capac, MI 48014 </t>
  </si>
  <si>
    <t>Tsou</t>
  </si>
  <si>
    <t>Pinto Richard A Tr</t>
  </si>
  <si>
    <t xml:space="preserve">2084 Harrison St </t>
  </si>
  <si>
    <t xml:space="preserve">1223 Shelby Pkwy </t>
  </si>
  <si>
    <t xml:space="preserve">428 NE 8th Ter  Cape Coral, FL 33909 </t>
  </si>
  <si>
    <t>David T Renko Ira</t>
  </si>
  <si>
    <t>Falk Joseph Tr</t>
  </si>
  <si>
    <t>19-43-24-c4-05565.0700</t>
  </si>
  <si>
    <t>Diener</t>
  </si>
  <si>
    <t>33909-1240</t>
  </si>
  <si>
    <t>33904-9424</t>
  </si>
  <si>
    <t>Cape Coral Unit 32 Blk 2155 Pb 16 Pg 12 Lots 61 + 62</t>
  </si>
  <si>
    <t>33180-2628</t>
  </si>
  <si>
    <t>Abdul Mustafa</t>
  </si>
  <si>
    <t>Cape Coral Unit 36 Blk 2515 Pb 16 Pg 113 Lots 21 + 22</t>
  </si>
  <si>
    <t>Boulevard Andalusia</t>
  </si>
  <si>
    <t xml:space="preserve">4138 NE 20th Pl  Cape Coral, FL 33909 </t>
  </si>
  <si>
    <t xml:space="preserve">2101 NE 7th Ave  Cape Coral, FL 33909 </t>
  </si>
  <si>
    <t>Cape Coral Unit 32 Blk 2153 Pb 16 Pg 13 Lots 15 + 16</t>
  </si>
  <si>
    <t xml:space="preserve">15991 Cemetery Rd </t>
  </si>
  <si>
    <t>17-43-24-c3-05781.0310</t>
  </si>
  <si>
    <t>Manach Le</t>
  </si>
  <si>
    <t>Salome</t>
  </si>
  <si>
    <t xml:space="preserve">3521 Sun Maiden Way </t>
  </si>
  <si>
    <t>Ridgefield Park</t>
  </si>
  <si>
    <t xml:space="preserve">6129 Hershey Ave  Fort Myers, FL 33905 </t>
  </si>
  <si>
    <t>Reuven</t>
  </si>
  <si>
    <t>John &amp; Peggy Wells</t>
  </si>
  <si>
    <t>34746-2013</t>
  </si>
  <si>
    <t xml:space="preserve">10460 SW 56th St </t>
  </si>
  <si>
    <t>Hart</t>
  </si>
  <si>
    <t xml:space="preserve">10425 195th St #411 </t>
  </si>
  <si>
    <t>18-43-24-c4-05683.0130</t>
  </si>
  <si>
    <t>25-43-23-c3-02341.0790</t>
  </si>
  <si>
    <t>Rhoan &amp; Althea Lugg</t>
  </si>
  <si>
    <t>Yechiel Katzovitz</t>
  </si>
  <si>
    <t xml:space="preserve">2062 E 22nd St </t>
  </si>
  <si>
    <t>36-43-23-c2-02543.0040</t>
  </si>
  <si>
    <t>33069-5538</t>
  </si>
  <si>
    <t xml:space="preserve">1600 Wolford Rd  Schwenksville, PA 19473-3103 </t>
  </si>
  <si>
    <t xml:space="preserve">2027 NE 9th Ave  Cape Coral, FL 33909 </t>
  </si>
  <si>
    <t xml:space="preserve">3522 NE 12th Ct  Cape Coral, FL 33909 </t>
  </si>
  <si>
    <t>Forbang</t>
  </si>
  <si>
    <t>Josefina</t>
  </si>
  <si>
    <t>Country Walk</t>
  </si>
  <si>
    <t>Carlos Soto &amp; Christian Roseto</t>
  </si>
  <si>
    <t>Cape Coral Unit 84 Blk 5563 Pb 24 Pg 37 Lots 55 + 56</t>
  </si>
  <si>
    <t xml:space="preserve">11071 Sunburst Ln  Fort Myers, FL 33908 </t>
  </si>
  <si>
    <t>55374-9712</t>
  </si>
  <si>
    <t xml:space="preserve">89 Schooner Ct </t>
  </si>
  <si>
    <t>Bruce &amp; Cheryle Champagne</t>
  </si>
  <si>
    <t xml:space="preserve">10341 Prairie Iris Dr </t>
  </si>
  <si>
    <t>Elliott</t>
  </si>
  <si>
    <t xml:space="preserve">1905 NE 34th Ln  Cape Coral, FL 33909 </t>
  </si>
  <si>
    <t>33024-2935</t>
  </si>
  <si>
    <t xml:space="preserve">1419 NE 17th Ter </t>
  </si>
  <si>
    <t>29528-1464</t>
  </si>
  <si>
    <t>Cape Coral Unit 36 Blk 2305 Pb 16 Pg 120 Lots 63 + 64</t>
  </si>
  <si>
    <t>33905-2038</t>
  </si>
  <si>
    <t>33909-5371</t>
  </si>
  <si>
    <t>30165-8742</t>
  </si>
  <si>
    <t>Ridgemoor</t>
  </si>
  <si>
    <t>Edgardo &amp; Victoria Admana</t>
  </si>
  <si>
    <t>Tacoma</t>
  </si>
  <si>
    <t>Kerkstraat</t>
  </si>
  <si>
    <t>65355-4027</t>
  </si>
  <si>
    <t xml:space="preserve">23476 SW 112th Pl </t>
  </si>
  <si>
    <t xml:space="preserve">6300 NW 9th St  Margate, FL 33063-3502 </t>
  </si>
  <si>
    <t>06415-1622</t>
  </si>
  <si>
    <t>16-44-26-08-00029.0100</t>
  </si>
  <si>
    <t>Whitesboro</t>
  </si>
  <si>
    <t xml:space="preserve">11 Utica St </t>
  </si>
  <si>
    <t>33909-4605</t>
  </si>
  <si>
    <t xml:space="preserve">3335 NE 13th Ave  Cape Coral, FL 33909 </t>
  </si>
  <si>
    <t xml:space="preserve">5187 Cypress Trail Resort Cir </t>
  </si>
  <si>
    <t xml:space="preserve">5593 Brightwood Dr </t>
  </si>
  <si>
    <t>Clairton</t>
  </si>
  <si>
    <t xml:space="preserve">226 Hearthstone Rd </t>
  </si>
  <si>
    <t>Cypress Woods Rv Resort Ut 1 Pb 65 Pg 85 + 86 Blk A Lot 57</t>
  </si>
  <si>
    <t>Julio Mathews</t>
  </si>
  <si>
    <t xml:space="preserve">6130 Springer Way  San Jose, CA 95123-5127 </t>
  </si>
  <si>
    <t>Cape Coral Unit 34 Blk 2444 Pb 16 Pg 78 Lots 36 + 37</t>
  </si>
  <si>
    <t xml:space="preserve">1935 Kismet Pkwy E  Cape Coral, FL 33909 </t>
  </si>
  <si>
    <t xml:space="preserve">2544 Shelby Pkwy  Cape Coral, FL 33904 </t>
  </si>
  <si>
    <t>R110</t>
  </si>
  <si>
    <t xml:space="preserve">15463 SW 143rd St  Miami, FL 33196-6030 </t>
  </si>
  <si>
    <t>Eyota</t>
  </si>
  <si>
    <t>11234-4937</t>
  </si>
  <si>
    <t xml:space="preserve">371 Northshore Dr </t>
  </si>
  <si>
    <t xml:space="preserve">122 Maybrook Rd  Springfield, MA 01129-1713 </t>
  </si>
  <si>
    <t xml:space="preserve">Kerisnel  Columbia, SC 29250 </t>
  </si>
  <si>
    <t>Cape Coral Unit 35 Blk 2405 Pb 16 Pg 109 Lots 28 + 29</t>
  </si>
  <si>
    <t>Camille Bova &amp; Mary Bova-Silva</t>
  </si>
  <si>
    <t xml:space="preserve">5370 Ragusa Loop B, Saint Cloud, FL 34771-8044 </t>
  </si>
  <si>
    <t>19-43-24-c4-05554.0090</t>
  </si>
  <si>
    <t>Cape Coral Unit 34 Blk 2460 Pb 16 Pg 86 Lots 61 + 62</t>
  </si>
  <si>
    <t xml:space="preserve">1438 NE 1st Pl  Cape Coral, FL 33909 </t>
  </si>
  <si>
    <t>29-43-24-c3-02272.0100</t>
  </si>
  <si>
    <t xml:space="preserve">121 SE 43rd St  Cape Coral, FL 33904 </t>
  </si>
  <si>
    <t>25-43-23-c3-02342.0590</t>
  </si>
  <si>
    <t>01-44-23-c1-02448.0090</t>
  </si>
  <si>
    <t xml:space="preserve">222 NE 20th St  Cape Coral, FL 33909 </t>
  </si>
  <si>
    <t>Cape Coral Unit 33 Blk 2278 Pb 16 Pg 60 Lots 21 + 22</t>
  </si>
  <si>
    <t>Cape Coral Unit 47 Pt 2 Blk 3527 Pb 23 Pg 122 Lots 25 + 26</t>
  </si>
  <si>
    <t>Daisuke &amp; Yuri Nakamine</t>
  </si>
  <si>
    <t>33021-5615</t>
  </si>
  <si>
    <t xml:space="preserve">305 NE 13th St </t>
  </si>
  <si>
    <t>Delray</t>
  </si>
  <si>
    <t xml:space="preserve">508 NE 31st Ter  Cape Coral, FL 33909 </t>
  </si>
  <si>
    <t>Buress</t>
  </si>
  <si>
    <t>Thonon</t>
  </si>
  <si>
    <t>08844-4380</t>
  </si>
  <si>
    <t xml:space="preserve">2312 NE 33rd Ln </t>
  </si>
  <si>
    <t>Lauderdale Lakes</t>
  </si>
  <si>
    <t>33909-3289</t>
  </si>
  <si>
    <t xml:space="preserve">3223 NE 13th Pl  Cape Coral, FL 33909 </t>
  </si>
  <si>
    <t>64152-3825</t>
  </si>
  <si>
    <t>20-43-24-c2-05662.0170</t>
  </si>
  <si>
    <t xml:space="preserve">1120 NE 36th Ln  Cape Coral, FL 33909 </t>
  </si>
  <si>
    <t>05-44-24-c2-03517.0010</t>
  </si>
  <si>
    <t xml:space="preserve">13205 Coronado Dr  North Miami, FL 33181-2178 </t>
  </si>
  <si>
    <t>Ilio Toledo</t>
  </si>
  <si>
    <t>Knaap</t>
  </si>
  <si>
    <t>Waipahu</t>
  </si>
  <si>
    <t>07-44-24-c3-03607.0410</t>
  </si>
  <si>
    <t xml:space="preserve">4116 NE 12th Ct  Cape Coral, FL 33909 </t>
  </si>
  <si>
    <t xml:space="preserve">1017 NE 13th Pl  Cape Coral, FL 33909 </t>
  </si>
  <si>
    <t>Saenz</t>
  </si>
  <si>
    <t xml:space="preserve">756 Belvidere Ave  Plainfield, NJ 07062-2058 </t>
  </si>
  <si>
    <t xml:space="preserve">6046 Langdon Ave  Fort Myers, FL 33905 </t>
  </si>
  <si>
    <t>Taute</t>
  </si>
  <si>
    <t xml:space="preserve">4719 SW 46th Way  Davie, FL 33314-4609 </t>
  </si>
  <si>
    <t>Ramsdell</t>
  </si>
  <si>
    <t xml:space="preserve">2410 SW 10th Ave </t>
  </si>
  <si>
    <t xml:space="preserve">5531 Winter Brook Dr  Valley City, OH 44280-9360 </t>
  </si>
  <si>
    <t>Ibanez</t>
  </si>
  <si>
    <t>John Trojan</t>
  </si>
  <si>
    <t xml:space="preserve">3849 Heyburn St </t>
  </si>
  <si>
    <t>Giacomo Gattuso Trust</t>
  </si>
  <si>
    <t xml:space="preserve">619 King St #609 </t>
  </si>
  <si>
    <t>25-43-23-c3-02355.0800</t>
  </si>
  <si>
    <t xml:space="preserve">3830 SW 145th Pl  Miami, FL 33175-7827 </t>
  </si>
  <si>
    <t xml:space="preserve">1730 NE 24th Ave </t>
  </si>
  <si>
    <t>Cape Coral Unit 31 Blk 2083 Pb 14 Pg 164 Lots 46 + 47</t>
  </si>
  <si>
    <t>11-44-25-11-00000.2140</t>
  </si>
  <si>
    <t>06611-5011</t>
  </si>
  <si>
    <t>Cape Coral Unit 84 Blk 5610 Pb24 Pg41 Lots 29 + 30</t>
  </si>
  <si>
    <t>Mnr</t>
  </si>
  <si>
    <t>Frei</t>
  </si>
  <si>
    <t>33178-2532</t>
  </si>
  <si>
    <t xml:space="preserve">269 Lake Francis Rd  Mountain Top, PA 18707-2383 </t>
  </si>
  <si>
    <t>Cape Coral Unit 31 Blk 2065 Pb 14 Pg 161 Lots 7 + 8</t>
  </si>
  <si>
    <t>Mc Intosh</t>
  </si>
  <si>
    <t>Cape Coral Unit 33 Blk.2188 Pb 16 Pg 51 Lots 27 + 28</t>
  </si>
  <si>
    <t xml:space="preserve">1928 NE 33rd Ter </t>
  </si>
  <si>
    <t>36-43-23-c4-02492.0230</t>
  </si>
  <si>
    <t xml:space="preserve">3927 NE 22nd Pl  Cape Coral, FL 33909 </t>
  </si>
  <si>
    <t>James</t>
  </si>
  <si>
    <t>Jos</t>
  </si>
  <si>
    <t>Andrew Les</t>
  </si>
  <si>
    <t>Emmons</t>
  </si>
  <si>
    <t xml:space="preserve">237 SE 31st St </t>
  </si>
  <si>
    <t>Davenport</t>
  </si>
  <si>
    <t>03-44-26-14-00081.0190</t>
  </si>
  <si>
    <t>Hooded Crow</t>
  </si>
  <si>
    <t xml:space="preserve">201 NE 23rd St  Cape Coral, FL 33909 </t>
  </si>
  <si>
    <t>03-44-26-06-00031.0220</t>
  </si>
  <si>
    <t>Wyandotte</t>
  </si>
  <si>
    <t xml:space="preserve">46790 Kramer Dr </t>
  </si>
  <si>
    <t>Gregory</t>
  </si>
  <si>
    <t xml:space="preserve">2002 NE 6th Pl </t>
  </si>
  <si>
    <t>Carleton As Desc In Inst# 2017000007118 Lot 9</t>
  </si>
  <si>
    <t>Pbg Realty Trust</t>
  </si>
  <si>
    <t>Sheldon Bhurasingh</t>
  </si>
  <si>
    <t xml:space="preserve">15049 Sixes Rd  Emmitsburg, MD 21727-7803 </t>
  </si>
  <si>
    <t xml:space="preserve">3743 Kenyon St </t>
  </si>
  <si>
    <t>Faivre</t>
  </si>
  <si>
    <t>Queisser</t>
  </si>
  <si>
    <t xml:space="preserve">212 NE 18th St  Cape Coral, FL 33909 </t>
  </si>
  <si>
    <t>33196-6619</t>
  </si>
  <si>
    <t>Cummins</t>
  </si>
  <si>
    <t xml:space="preserve">3729 N Odell Ave  Chicago, IL 60634-3404 </t>
  </si>
  <si>
    <t>33909-4458</t>
  </si>
  <si>
    <t>03-44-26-04-00021.0080</t>
  </si>
  <si>
    <t>Cape Coral Unit 88 Blk 5821 Pb 24 Pg 141 Lots 25 + 26</t>
  </si>
  <si>
    <t>Richard &amp; Ryan Munson</t>
  </si>
  <si>
    <t>Mariamma</t>
  </si>
  <si>
    <t>Wille</t>
  </si>
  <si>
    <t xml:space="preserve">4 Glykonos St </t>
  </si>
  <si>
    <t>Santa Venetia</t>
  </si>
  <si>
    <t>Binh &amp; Phuong Ho</t>
  </si>
  <si>
    <t>33909-2551</t>
  </si>
  <si>
    <t>Ivan</t>
  </si>
  <si>
    <t>19-43-24-c3-05623.0330</t>
  </si>
  <si>
    <t xml:space="preserve">11535 117th St  South Ozone Park, NY 11420-2330 </t>
  </si>
  <si>
    <t>Cape Coral Unit 36 Blk 2517 Pb 16 Pg 116 Lots 20 Thru 22</t>
  </si>
  <si>
    <t xml:space="preserve">15381 Cemetery Rd </t>
  </si>
  <si>
    <t>Cape Coral Unit 31 Blk 2056 Pb 14 Pg 158 Lots 16 + 17</t>
  </si>
  <si>
    <t xml:space="preserve">231 Lake Dora Dr </t>
  </si>
  <si>
    <t>Anniston</t>
  </si>
  <si>
    <t>Dolecki</t>
  </si>
  <si>
    <t>Redwing</t>
  </si>
  <si>
    <t>Neyra</t>
  </si>
  <si>
    <t>01-44-23-c2-02455.0150</t>
  </si>
  <si>
    <t>18-43-24-c2-05723.0360</t>
  </si>
  <si>
    <t xml:space="preserve">3224 NE 13th Pl </t>
  </si>
  <si>
    <t xml:space="preserve">2028 NE 34th Ter  Cape Coral, FL 33909 </t>
  </si>
  <si>
    <t>Jennifer Wlodarek</t>
  </si>
  <si>
    <t>03-44-26-07-00033.0010</t>
  </si>
  <si>
    <t>Jaye-Gene</t>
  </si>
  <si>
    <t xml:space="preserve">456 Rue Paul Cwzanne  Powder Springs, GA 30127 </t>
  </si>
  <si>
    <t xml:space="preserve">432 NE 9th St  Cape Coral, FL 33909 </t>
  </si>
  <si>
    <t xml:space="preserve">14225 SW 37th St </t>
  </si>
  <si>
    <t>07-44-24-c3-01495.0220</t>
  </si>
  <si>
    <t>Cypress Woods Rv Resort Unit 4 Pb 79 Pgs 68-71 Blk D Lot 38</t>
  </si>
  <si>
    <t>Hung Trinh</t>
  </si>
  <si>
    <t>Cypress Trail Rv Resort Phase 2-A As Desc In Inst# 2014000026506 Lot 8</t>
  </si>
  <si>
    <t xml:space="preserve">3821 NE 17th Ave </t>
  </si>
  <si>
    <t>18-43-24-c1-05690.0490</t>
  </si>
  <si>
    <t>33909-3235</t>
  </si>
  <si>
    <t xml:space="preserve">1010 NE 7th Ave  Cape Coral, FL 33909 </t>
  </si>
  <si>
    <t>Cape Coral Unit 33 Blk.2236 Pb 16 Pg 48 Lots 42 + 43</t>
  </si>
  <si>
    <t>19115-2701</t>
  </si>
  <si>
    <t>60107-4502</t>
  </si>
  <si>
    <t xml:space="preserve">1366 Corona Vis  Bonita, CA 91902-2572 </t>
  </si>
  <si>
    <t xml:space="preserve">11250 Rainbow Hwy  West Salem, OH 44287-9342 </t>
  </si>
  <si>
    <t>05641-3948</t>
  </si>
  <si>
    <t xml:space="preserve">1733 NE 21st St  Cape Coral, FL 33909 </t>
  </si>
  <si>
    <t>34210-1429</t>
  </si>
  <si>
    <t>Cape Coral Unit 87 Blk 5685 Pb 24 Pg 82 Lots 29 + 30</t>
  </si>
  <si>
    <t xml:space="preserve">56 Muell St #7, Woburn, MA 01801 </t>
  </si>
  <si>
    <t>Cape Coral Unit 84 Blk 5553 Pb 24 Pg 38 Lots 57 + 58</t>
  </si>
  <si>
    <t>Mederios</t>
  </si>
  <si>
    <t xml:space="preserve">1135 Dunad Ave </t>
  </si>
  <si>
    <t xml:space="preserve">6012 Stratton Rd  Fort Myers, FL 33905 </t>
  </si>
  <si>
    <t xml:space="preserve">2725 NE 2nd Pl  Cape Coral, FL 33909 </t>
  </si>
  <si>
    <t>33980-2210</t>
  </si>
  <si>
    <t>Lorraine &amp; Lumir Potuzak</t>
  </si>
  <si>
    <t>Araceli Arezoto</t>
  </si>
  <si>
    <t>Dutan</t>
  </si>
  <si>
    <t xml:space="preserve">1551 Defense Hwy </t>
  </si>
  <si>
    <t>20-43-24-c1-05770.0250</t>
  </si>
  <si>
    <t>19-43-24-c4-05565.0210</t>
  </si>
  <si>
    <t>Min</t>
  </si>
  <si>
    <t>33909-7366</t>
  </si>
  <si>
    <t>Summit Argo</t>
  </si>
  <si>
    <t>Ruben &amp; Erlinda Ilagan</t>
  </si>
  <si>
    <t xml:space="preserve">2990 Snow Dr  Deltona, FL 32738-1546 </t>
  </si>
  <si>
    <t xml:space="preserve">919 NE 23rd Ter  Cape Coral, FL 33909 </t>
  </si>
  <si>
    <t xml:space="preserve">114 NE 7th Pl </t>
  </si>
  <si>
    <t xml:space="preserve">5147 Cypress Trail Resort Cir  Fort Myers, FL 33905 </t>
  </si>
  <si>
    <t xml:space="preserve">10341 Nightwood Dr </t>
  </si>
  <si>
    <t>18-43-24-c1-05691.0290</t>
  </si>
  <si>
    <t xml:space="preserve">1813 NE 33rd Ter </t>
  </si>
  <si>
    <t xml:space="preserve">1908 NE 18th Pl </t>
  </si>
  <si>
    <t>33909-2012</t>
  </si>
  <si>
    <t>Crooked Stick</t>
  </si>
  <si>
    <t>Rick Johanneck</t>
  </si>
  <si>
    <t xml:space="preserve">7346 Cinnamon Tea Ln </t>
  </si>
  <si>
    <t>92203-2709</t>
  </si>
  <si>
    <t xml:space="preserve">345 Holly Tree Dr  Crossville, TN 38555 </t>
  </si>
  <si>
    <t xml:space="preserve">2602 NE 19th Pl  Cape Coral, FL 33909 </t>
  </si>
  <si>
    <t>55316-3844</t>
  </si>
  <si>
    <t>Yuriy</t>
  </si>
  <si>
    <t>Buckingham Pk Re Blk B U-5 Blk 30 Pb 27 Pg 193 Lot 16</t>
  </si>
  <si>
    <t>Zigmund</t>
  </si>
  <si>
    <t>40th</t>
  </si>
  <si>
    <t>Meyers</t>
  </si>
  <si>
    <t>Dampier Charles Allen Tr</t>
  </si>
  <si>
    <t xml:space="preserve">4162 Worlington Ter  Fort Pierce, FL 34947-1335 </t>
  </si>
  <si>
    <t>Christine Modica &amp; Maria Sommo</t>
  </si>
  <si>
    <t xml:space="preserve">3081 Robertson Bridge Rd </t>
  </si>
  <si>
    <t>Cape Coral Unit 87 Blk 5710 Pb 24 Pg 75 Lots 8 + 9</t>
  </si>
  <si>
    <t xml:space="preserve">350 W 37th St 14j, New York, NY 10018-2583 </t>
  </si>
  <si>
    <t xml:space="preserve">309 Lakewood Ct  Coppell, TX 75019-5828 </t>
  </si>
  <si>
    <t>41011-5816</t>
  </si>
  <si>
    <t>79766-1105</t>
  </si>
  <si>
    <t>Cape Coral Unit 34 Blk.2448 Pb 16 Pg 81 Lots 17 + 18</t>
  </si>
  <si>
    <t xml:space="preserve">3828 NE 9th Pl  Cape Coral, FL 33909 </t>
  </si>
  <si>
    <t>33905-7676</t>
  </si>
  <si>
    <t>Walden</t>
  </si>
  <si>
    <t>Henderson</t>
  </si>
  <si>
    <t xml:space="preserve">2265 SE 28th St  Cape Coral, FL 33904 </t>
  </si>
  <si>
    <t xml:space="preserve">9918 Courtney Palms Blvd #303 </t>
  </si>
  <si>
    <t>Karcher</t>
  </si>
  <si>
    <t>Hong</t>
  </si>
  <si>
    <t>37315-1297</t>
  </si>
  <si>
    <t>08-44-24-c2-01532.0570</t>
  </si>
  <si>
    <t xml:space="preserve">6882 Ashburn Rd  Lake Worth, FL 33467-7323 </t>
  </si>
  <si>
    <t>Isidora</t>
  </si>
  <si>
    <t>Rue Des Charentes</t>
  </si>
  <si>
    <t>Stephen &amp; Dawn Ingemi</t>
  </si>
  <si>
    <t>Theodore &amp; Judith Holmberg</t>
  </si>
  <si>
    <t xml:space="preserve">19681 Summerlin Rd #539 </t>
  </si>
  <si>
    <t>33909-4796</t>
  </si>
  <si>
    <t xml:space="preserve">46 Fox Blvd </t>
  </si>
  <si>
    <t>Nickolloff</t>
  </si>
  <si>
    <t>19-43-24-c4-05566.0010</t>
  </si>
  <si>
    <t>Cape Coral Unit 88 Blk 5780 Pb 24 Pg 135 Lots 37 + 38</t>
  </si>
  <si>
    <t xml:space="preserve">2035 NE 25th Ter  Cape Coral, FL 33909 </t>
  </si>
  <si>
    <t xml:space="preserve">1515 NE 34th Ln </t>
  </si>
  <si>
    <t>Borrani</t>
  </si>
  <si>
    <t xml:space="preserve">203 Paxton St </t>
  </si>
  <si>
    <t>33909-1349</t>
  </si>
  <si>
    <t xml:space="preserve">148 SE 25th Ter  Cape Coral, FL 33904 </t>
  </si>
  <si>
    <t xml:space="preserve">7176 N Plum Tree  Punta Gorda, FL 33955-1164 </t>
  </si>
  <si>
    <t xml:space="preserve">1217 NE 23rd Ter </t>
  </si>
  <si>
    <t xml:space="preserve">445 Lake Ave </t>
  </si>
  <si>
    <t>Cape Coral Unit 32 Blk 2102 Pb 16 Pg 2 Lots 17 + 18</t>
  </si>
  <si>
    <t>Cape Coral Unit 85 Blk 5648 Pb 24 Pg 56 Lots 54 + 55</t>
  </si>
  <si>
    <t xml:space="preserve">240 Hampden Pl  Winter Park, FL 32789-5739 </t>
  </si>
  <si>
    <t>Oscar Zaldana &amp; Stacie Porter</t>
  </si>
  <si>
    <t>18-43-24-c1-05692.0090</t>
  </si>
  <si>
    <t>33905-8649</t>
  </si>
  <si>
    <t xml:space="preserve">8009 Karl Rd </t>
  </si>
  <si>
    <t>Cape Coral Unit 36 Blk 2300 Pb 16 Pg 125 Lot 55</t>
  </si>
  <si>
    <t>Cape Coral Unit 33 Bl2.2234 Pb 16 Pg 55 Lots 66 + 67</t>
  </si>
  <si>
    <t>Octavio Sanchez &amp; Bethzaida Solis</t>
  </si>
  <si>
    <t xml:space="preserve">327 Diplomat Pkwy E  Cape Coral, FL 33909 </t>
  </si>
  <si>
    <t xml:space="preserve">11523 Hardisty Rd  Fort Wayne, IN 46845-8206 </t>
  </si>
  <si>
    <t>Juana Flores</t>
  </si>
  <si>
    <t>18-43-24-c4-05705.0230</t>
  </si>
  <si>
    <t>Southbay</t>
  </si>
  <si>
    <t>25-43-23-c2-02317.0330</t>
  </si>
  <si>
    <t xml:space="preserve">2741 Garnet Ridge Dr B, Leander, TX 78641-4961 </t>
  </si>
  <si>
    <t>Bear Run</t>
  </si>
  <si>
    <t xml:space="preserve">747 E Gratiot County Line Rt 2  Wheeler, MI 48662 </t>
  </si>
  <si>
    <t xml:space="preserve">4121 NE 19th Pl </t>
  </si>
  <si>
    <t xml:space="preserve">2106 NE 17th Pl  Cape Coral, FL 33909 </t>
  </si>
  <si>
    <t xml:space="preserve">13 Ivory St  Ivoryton, CT 06442-1214 </t>
  </si>
  <si>
    <t xml:space="preserve">5967 Brightwood Dr  Fort Myers, FL 33905 </t>
  </si>
  <si>
    <t xml:space="preserve">405 Board St </t>
  </si>
  <si>
    <t>Guenther Mayer &amp; Edith Lang-Mayer</t>
  </si>
  <si>
    <t xml:space="preserve">5612 Clanranald Ave </t>
  </si>
  <si>
    <t>Omar Garcia</t>
  </si>
  <si>
    <t>Naples Park</t>
  </si>
  <si>
    <t xml:space="preserve">1529 Southeast Dr </t>
  </si>
  <si>
    <t>Hanches</t>
  </si>
  <si>
    <t>Piscitelli</t>
  </si>
  <si>
    <t>Douglas &amp; Kathy Talkington</t>
  </si>
  <si>
    <t>Emanuel</t>
  </si>
  <si>
    <t>Millgrove</t>
  </si>
  <si>
    <t>Cape Coral Unit 47 Pt 2 Blk 2211A Pb 23 Pg 125 Lots 10 Thru 12</t>
  </si>
  <si>
    <t>Adolph &amp; Ida Brand</t>
  </si>
  <si>
    <t xml:space="preserve">543 Tropicana Pkwy E  Cape Coral, FL 33909 </t>
  </si>
  <si>
    <t>32931-2410</t>
  </si>
  <si>
    <t>50046-8598</t>
  </si>
  <si>
    <t xml:space="preserve">2311 NE 35th Ln  Cape Coral, FL 33909 </t>
  </si>
  <si>
    <t>Cape Coral Unit 36 Blk 2322 Pb 16 Pg 126 Lots 39 &amp; 40</t>
  </si>
  <si>
    <t xml:space="preserve">270 Main St #3 </t>
  </si>
  <si>
    <t xml:space="preserve">5558 Palm Beach Blvd #419, Fort Myers, FL 33905 </t>
  </si>
  <si>
    <t xml:space="preserve">11084 Stardust Dr  Fort Myers, FL 33908 </t>
  </si>
  <si>
    <t>Darlyne</t>
  </si>
  <si>
    <t xml:space="preserve">6451 Buckingham Rd </t>
  </si>
  <si>
    <t>River Vale</t>
  </si>
  <si>
    <t>Paranal Roberto Z Tr</t>
  </si>
  <si>
    <t>South Fulton</t>
  </si>
  <si>
    <t>Iris Fields</t>
  </si>
  <si>
    <t>Ahern</t>
  </si>
  <si>
    <t xml:space="preserve">2722 SE 24th Pl  Cape Coral, FL 33904 </t>
  </si>
  <si>
    <t>Dean Larson</t>
  </si>
  <si>
    <t xml:space="preserve">1121 Labelle Vista Dr  Fort Myers, FL 33905 </t>
  </si>
  <si>
    <t>33905-1780</t>
  </si>
  <si>
    <t>Cape Coral Unit 84 Blk 5608 Pb 24 Pg 35 Lots 65 + 66</t>
  </si>
  <si>
    <t xml:space="preserve">159 Oakland Ave  Jersey City, NJ 07306-1016 </t>
  </si>
  <si>
    <t>Brenda Wonderly-Smith &amp; Estate American</t>
  </si>
  <si>
    <t>Cypress Woods Rv Resort Unit 4 Pb 79 Pgs 68-71 Blk D Lot 106</t>
  </si>
  <si>
    <t xml:space="preserve">2725 SE 24th Ct  Cape Coral, FL 33904 </t>
  </si>
  <si>
    <t>33461-2253</t>
  </si>
  <si>
    <t xml:space="preserve">1302 W Main St </t>
  </si>
  <si>
    <t>33909-3284</t>
  </si>
  <si>
    <t>Homero Gonzalez-Garza</t>
  </si>
  <si>
    <t>Cape Coral Unit 88 Blk 5760 Pb 24 Pg 128 Lots 8 + 9</t>
  </si>
  <si>
    <t xml:space="preserve">2340 Carta Way #1053, Herndon, VA 20171-6409 </t>
  </si>
  <si>
    <t>36-43-23-c3-02508.0070</t>
  </si>
  <si>
    <t xml:space="preserve">65 Huntingdale Blvd #905, Toronto, ON M1w 2P1 </t>
  </si>
  <si>
    <t xml:space="preserve">6143 Higgins Ave </t>
  </si>
  <si>
    <t xml:space="preserve">124 Utica Ave  Haddon Township, NJ 08108-2436 </t>
  </si>
  <si>
    <t xml:space="preserve">26 NE 24th Ter </t>
  </si>
  <si>
    <t>33909-7312</t>
  </si>
  <si>
    <t>Manzi</t>
  </si>
  <si>
    <t>Cliffgard</t>
  </si>
  <si>
    <t>Ft Myers Shores Unit 4 Blk B Pb 11 Pg 28 Lot 20</t>
  </si>
  <si>
    <t xml:space="preserve">4005 NE 23rd Pl  Cape Coral, FL 33909 </t>
  </si>
  <si>
    <t xml:space="preserve"># 3-33  Bogota Dc, CO </t>
  </si>
  <si>
    <t xml:space="preserve">10108 Lindenwood Trl  Denton, TX 76207-8724 </t>
  </si>
  <si>
    <t>Saintiljoan</t>
  </si>
  <si>
    <t>Belki</t>
  </si>
  <si>
    <t>Lehigh Acres Unit 3 Blk 13 Pb 26 Pg 5 Lot 23</t>
  </si>
  <si>
    <t>Geer</t>
  </si>
  <si>
    <t>Botwinski</t>
  </si>
  <si>
    <t>Lehigh Acres Unit 5 Blk 25 Pb 26 Pg 32 Lot 11</t>
  </si>
  <si>
    <t xml:space="preserve">245 NE 9th Ct </t>
  </si>
  <si>
    <t>Mcelroy</t>
  </si>
  <si>
    <t>18-43-24-c3-05747.0330</t>
  </si>
  <si>
    <t>Demarfio-Izzett</t>
  </si>
  <si>
    <t xml:space="preserve">6 Freiligrathstr  Bads Soden, DE 65812 </t>
  </si>
  <si>
    <t>Severin Schreibergasse 3</t>
  </si>
  <si>
    <t>33909-4257</t>
  </si>
  <si>
    <t xml:space="preserve">1016 NE 32nd Ln </t>
  </si>
  <si>
    <t>Cape Coral Unit 84 Blk 5563 Pb 24 Pg 37 Lots 53 + 54</t>
  </si>
  <si>
    <t xml:space="preserve">1420 NE 37th St  Cape Coral, FL 33909 </t>
  </si>
  <si>
    <t>J A J &amp; Nancy Chambers</t>
  </si>
  <si>
    <t>Bonanza</t>
  </si>
  <si>
    <t xml:space="preserve">4414 Berrymore Ct  Terre Haute, IN 47803-2085 </t>
  </si>
  <si>
    <t>Lehigh Acres Unit 9 Blk 45 Pb 26 Pg 11 Lot 18</t>
  </si>
  <si>
    <t>31-43-24-c2-02130.0390</t>
  </si>
  <si>
    <t>33325-5132</t>
  </si>
  <si>
    <t>Cape Coral Unit 84 Blk 5582 Pb 24 Pg 48 Lot 7</t>
  </si>
  <si>
    <t>05-45-24-c2-00587.0130</t>
  </si>
  <si>
    <t>16-44-26-01-00029.0140</t>
  </si>
  <si>
    <t>Loon Nest</t>
  </si>
  <si>
    <t xml:space="preserve">14719 SW 11th Ct </t>
  </si>
  <si>
    <t>11-44-25-04-0000b.0150</t>
  </si>
  <si>
    <t>Treto</t>
  </si>
  <si>
    <t>01-45-23-c1-00858.0370</t>
  </si>
  <si>
    <t xml:space="preserve">313 NE 14th Ter </t>
  </si>
  <si>
    <t>Lititz</t>
  </si>
  <si>
    <t>Marie Joseph &amp; Pertulane Monclerc</t>
  </si>
  <si>
    <t>Wisconsin</t>
  </si>
  <si>
    <t>Denny Lehman</t>
  </si>
  <si>
    <t>Lazizkhon Inogamov</t>
  </si>
  <si>
    <t>17-43-24-c1-05762.0190</t>
  </si>
  <si>
    <t xml:space="preserve">5459 Cypress Trail Resort Cir  Fort Myers, FL 33905 </t>
  </si>
  <si>
    <t>Sparta</t>
  </si>
  <si>
    <t>Palmetto Palms R V Resort Condo Ph 1 Or 1530 Pg 1466 Res Unit 9</t>
  </si>
  <si>
    <t xml:space="preserve">2 Spencer Path Dr  Saint Peters, MO 63376-2560 </t>
  </si>
  <si>
    <t>19006-1228</t>
  </si>
  <si>
    <t>95123-5127</t>
  </si>
  <si>
    <t>10552-1916</t>
  </si>
  <si>
    <t xml:space="preserve">3115 Mckinley Rd  China, MI 48054-1106 </t>
  </si>
  <si>
    <t xml:space="preserve">405 Board St  Independence, MO 64050 </t>
  </si>
  <si>
    <t>Zhang</t>
  </si>
  <si>
    <t>Christine Baker &amp; Dolores Cohen</t>
  </si>
  <si>
    <t>18-43-24-c2-05716.0470</t>
  </si>
  <si>
    <t>11-44-25-07-00000.1690</t>
  </si>
  <si>
    <t>Santa Margarita</t>
  </si>
  <si>
    <t xml:space="preserve">2462 S Lewis Ln  Lakewood, CO 80227-2718 </t>
  </si>
  <si>
    <t>Lehigh Acres Unit 3 Blk 11 Pb 26 Pg 5 Lot 6</t>
  </si>
  <si>
    <t>Highway 10</t>
  </si>
  <si>
    <t xml:space="preserve">1116 NE 18th Ave </t>
  </si>
  <si>
    <t>Joseph Mesias</t>
  </si>
  <si>
    <t xml:space="preserve">1033 NE 18th Ter </t>
  </si>
  <si>
    <t xml:space="preserve">5609 Red Bird Ln </t>
  </si>
  <si>
    <t>Rancho Eighty Unrec Or 891 Pg 305 Tract 15 S 1/2</t>
  </si>
  <si>
    <t xml:space="preserve">2415 Long Pond Rd </t>
  </si>
  <si>
    <t xml:space="preserve">1600 Tredegar Ave </t>
  </si>
  <si>
    <t>94566-2128</t>
  </si>
  <si>
    <t>Dellolio</t>
  </si>
  <si>
    <t>Rs-5</t>
  </si>
  <si>
    <t>Cape Coral Unit 33 Blk.2266 Pb 16 Pg 61 Lots 37 + 38</t>
  </si>
  <si>
    <t xml:space="preserve">105 SE 7th St #42, Sublimity, OR 97385-9592 </t>
  </si>
  <si>
    <t>Ku</t>
  </si>
  <si>
    <t>Cape Coral Unit 32 Blk 2114 Pb 16 Pg 6 Lots 23 + 24</t>
  </si>
  <si>
    <t xml:space="preserve">2605 NE 1st Pl  Cape Coral, FL 33909 </t>
  </si>
  <si>
    <t>Beard</t>
  </si>
  <si>
    <t xml:space="preserve">5148 Cypress Trail Resort Cir </t>
  </si>
  <si>
    <t>Cape Coral Unit 7 Blk 366 Pb 12 Pg 104 Lots 31 + 32</t>
  </si>
  <si>
    <t>19-43-24-c3-05612.0750</t>
  </si>
  <si>
    <t>33324-2027</t>
  </si>
  <si>
    <t xml:space="preserve">1514 Andalusia Blvd  Cape Coral, FL 33909 </t>
  </si>
  <si>
    <t>33015-6405</t>
  </si>
  <si>
    <t>Cape Coral Unit 36 Blk 2332 Pb 16 Pg 130 Lots 5 6 + 7</t>
  </si>
  <si>
    <t>Yelena Karpenko</t>
  </si>
  <si>
    <t>29-43-24-c4-02264.0110</t>
  </si>
  <si>
    <t>Mark &amp; Rosa Sacco</t>
  </si>
  <si>
    <t>Cumento</t>
  </si>
  <si>
    <t>11-44-25-l1-1400a.1400</t>
  </si>
  <si>
    <t>33909-8873</t>
  </si>
  <si>
    <t xml:space="preserve">20532 SW 122nd Ave  Miami, FL 33177-5609 </t>
  </si>
  <si>
    <t xml:space="preserve">2108 NE 25th Ter  Cape Coral, FL 33909 </t>
  </si>
  <si>
    <t>60706-4312</t>
  </si>
  <si>
    <t>Gaudry</t>
  </si>
  <si>
    <t xml:space="preserve">20 Alsop Rd  Pittsburgh, PA 15215-1014 </t>
  </si>
  <si>
    <t xml:space="preserve">3817 NE 23rd Ave  Cape Coral, FL 33909 </t>
  </si>
  <si>
    <t xml:space="preserve">36571 Blyth Rd </t>
  </si>
  <si>
    <t xml:space="preserve">59 Brienner St </t>
  </si>
  <si>
    <t>Cypress Trail Rv Resort Phase 2-A As Desc In Inst# 2014000026506 Lot 25</t>
  </si>
  <si>
    <t>Maria Miranda</t>
  </si>
  <si>
    <t>Trupenny Turn</t>
  </si>
  <si>
    <t xml:space="preserve">1720 Kismet Pkwy E </t>
  </si>
  <si>
    <t>Aspen Lake</t>
  </si>
  <si>
    <t xml:space="preserve">5697 Brightwood Dr </t>
  </si>
  <si>
    <t>Chugh</t>
  </si>
  <si>
    <t>Campisa Bloque P</t>
  </si>
  <si>
    <t xml:space="preserve">538 Bloomville Hill Rd </t>
  </si>
  <si>
    <t xml:space="preserve">3208 NE 15th Pl  Cape Coral, FL 33909 </t>
  </si>
  <si>
    <t>Breton</t>
  </si>
  <si>
    <t>Robert &amp; Karyn Dillon</t>
  </si>
  <si>
    <t>46385-8061</t>
  </si>
  <si>
    <t>01-44-23-c2-02099.0310</t>
  </si>
  <si>
    <t>Bozeman</t>
  </si>
  <si>
    <t>Kim</t>
  </si>
  <si>
    <t xml:space="preserve">927 NE 19th St </t>
  </si>
  <si>
    <t xml:space="preserve">Po Box 469 </t>
  </si>
  <si>
    <t>Bonvue</t>
  </si>
  <si>
    <t>Cape Coral Unit 34 Blk 2450 Pb 16 Pg 84 Lots 9 + 10</t>
  </si>
  <si>
    <t>Mayer</t>
  </si>
  <si>
    <t xml:space="preserve">603 NE 19th Ter </t>
  </si>
  <si>
    <t>Peltonen</t>
  </si>
  <si>
    <t xml:space="preserve">3843 Insdale St </t>
  </si>
  <si>
    <t>33909-3230</t>
  </si>
  <si>
    <t xml:space="preserve">60-07 Calle 160 #8 </t>
  </si>
  <si>
    <t>08869-1019</t>
  </si>
  <si>
    <t>Meadow View</t>
  </si>
  <si>
    <t xml:space="preserve">3008 SE 11th Pl  Cape Coral, FL 33904 </t>
  </si>
  <si>
    <t xml:space="preserve">33 NE 20th Ct  Cape Coral, FL 33909 </t>
  </si>
  <si>
    <t>Cape Coral Unit 33 Blk.2188 Pb 16 Pg 51 Lots 25 + 26</t>
  </si>
  <si>
    <t xml:space="preserve">4143 NE 9th Ave </t>
  </si>
  <si>
    <t>Lehigh Acres Unit 9 Blk 40 Pb 26 Pg 11 Lot 8</t>
  </si>
  <si>
    <t xml:space="preserve">76 Fox Fire Estates Dr  Middletown, NY 10940-6180 </t>
  </si>
  <si>
    <t>Tartaglia</t>
  </si>
  <si>
    <t xml:space="preserve">2106 NE 24th Ave </t>
  </si>
  <si>
    <t xml:space="preserve">10440 Nightwood Dr  Fort Myers, FL 33905 </t>
  </si>
  <si>
    <t xml:space="preserve">2721 NE 4th Ave </t>
  </si>
  <si>
    <t>Sam Vuletich</t>
  </si>
  <si>
    <t>25-43-23-c3-02353.0220</t>
  </si>
  <si>
    <t>Cypress Trail Rv Resort Phase 2-A As Desc In Inst# 2014000026506 Lot 280</t>
  </si>
  <si>
    <t>33165-2666</t>
  </si>
  <si>
    <t xml:space="preserve">1064 Timber Trl  Grafton, OH 44044-1069 </t>
  </si>
  <si>
    <t xml:space="preserve">618 De Saint-Jovite Rue  Mont-Tremblant, QC J8e 2Z9 </t>
  </si>
  <si>
    <t xml:space="preserve">1509 NE 13th Ave  Cape Coral, FL 33909 </t>
  </si>
  <si>
    <t>Hemenway</t>
  </si>
  <si>
    <t xml:space="preserve">385 E Janet Dr </t>
  </si>
  <si>
    <t>Cape Coral Unit 31 Blk 2062 Pb 14 Pg 162 Lots 40 + 41</t>
  </si>
  <si>
    <t>Skyline View</t>
  </si>
  <si>
    <t>Cape Coral Unit 84 Blk 5608 Pb 24 Pg 36 Lots 31 Thru 33</t>
  </si>
  <si>
    <t>R Bill R &amp; Anne Mummert</t>
  </si>
  <si>
    <t>11756-5115</t>
  </si>
  <si>
    <t>Clarinda</t>
  </si>
  <si>
    <t xml:space="preserve">947 Hutchinson River Pkwy </t>
  </si>
  <si>
    <t>Volker</t>
  </si>
  <si>
    <t xml:space="preserve">42937 Minnie Lake Dr  Emily, MN 56447-3119 </t>
  </si>
  <si>
    <t xml:space="preserve">331 NE 31st St </t>
  </si>
  <si>
    <t>33445-2104</t>
  </si>
  <si>
    <t xml:space="preserve">725 Wakefield St  Bowling Green, KY 42103-1552 </t>
  </si>
  <si>
    <t>Wilbur</t>
  </si>
  <si>
    <t>33909-4203</t>
  </si>
  <si>
    <t>18104-7702</t>
  </si>
  <si>
    <t>Cypress Trail Rv Resort Phase 4-C Block A Lot 124 As Desc In Inst 2019000042424</t>
  </si>
  <si>
    <t>01-44-23-c1-02434.0370</t>
  </si>
  <si>
    <t xml:space="preserve">2122 E Venice Rd  Moravia, NY 13118-3459 </t>
  </si>
  <si>
    <t xml:space="preserve">20233 Naglee Rd  Tracy, CA 95304-9447 </t>
  </si>
  <si>
    <t xml:space="preserve">1860 Haring St </t>
  </si>
  <si>
    <t>33909-7361</t>
  </si>
  <si>
    <t>32-43-24-c3-02223.0610</t>
  </si>
  <si>
    <t>10002-2374</t>
  </si>
  <si>
    <t>Paul Reddish</t>
  </si>
  <si>
    <t xml:space="preserve">4151 Hawks Bill Ct </t>
  </si>
  <si>
    <t>Sujatha</t>
  </si>
  <si>
    <t>16-44-26-08-00029.0090</t>
  </si>
  <si>
    <t xml:space="preserve">6027 Jadestone Ave  Fort Myers, FL 33905 </t>
  </si>
  <si>
    <t xml:space="preserve">606 Coral Dr </t>
  </si>
  <si>
    <t>Bronx River</t>
  </si>
  <si>
    <t>Correa</t>
  </si>
  <si>
    <t>Baldwin Prairie</t>
  </si>
  <si>
    <t>Cortlandt Manor</t>
  </si>
  <si>
    <t>36-43-23-c2-02525.0570</t>
  </si>
  <si>
    <t>01-44-23-c3-02386.0450</t>
  </si>
  <si>
    <t>Cape Coral Unit 32 Blk 2168 Pb 16 Pg 8 Lots 27 + 28</t>
  </si>
  <si>
    <t>Prieto Family Revocable Trust</t>
  </si>
  <si>
    <t>Cape Coral Unit 84 Blk 5593 Pb 24 Pg 41 Lot 87</t>
  </si>
  <si>
    <t xml:space="preserve">304 NE 16th Ter </t>
  </si>
  <si>
    <t>Bryan Harris</t>
  </si>
  <si>
    <t>Rider</t>
  </si>
  <si>
    <t>Savatri</t>
  </si>
  <si>
    <t>60154-4964</t>
  </si>
  <si>
    <t>Jake</t>
  </si>
  <si>
    <t>Cypress Trail Rv Resort Phase 4-C Block B Lot 463 As Desc In Inst 2019000042424</t>
  </si>
  <si>
    <t>60020-1754</t>
  </si>
  <si>
    <t>52310-7852</t>
  </si>
  <si>
    <t>33909-1922</t>
  </si>
  <si>
    <t>Willie</t>
  </si>
  <si>
    <t>Cape Coral Unit 33 Blk.2234 Pb 16 Pg 54 Lots 10 + 11</t>
  </si>
  <si>
    <t>23513-3557</t>
  </si>
  <si>
    <t xml:space="preserve">1328 NE 18th St </t>
  </si>
  <si>
    <t>Scobey</t>
  </si>
  <si>
    <t>Galaxy</t>
  </si>
  <si>
    <t>Cape Coral Unit 36 Blk 2534 Pb 16 Pg 117 Lots 28 + 29</t>
  </si>
  <si>
    <t>Blue Spring</t>
  </si>
  <si>
    <t>Yanetsy</t>
  </si>
  <si>
    <t>11-44-25-10-00000.4190</t>
  </si>
  <si>
    <t xml:space="preserve">PO Box 1111  West New York, NJ 07093 </t>
  </si>
  <si>
    <t>33909-1633</t>
  </si>
  <si>
    <t>11-44-25-11-00000.0680</t>
  </si>
  <si>
    <t>Morton Appleton</t>
  </si>
  <si>
    <t xml:space="preserve">3614 SE 17th Pl  Cape Coral, FL 33904 </t>
  </si>
  <si>
    <t xml:space="preserve">2218 NE 44th St </t>
  </si>
  <si>
    <t>36-43-23-c4-02512.0240</t>
  </si>
  <si>
    <t xml:space="preserve">1908 NE 1st Pl </t>
  </si>
  <si>
    <t xml:space="preserve">6145 Bathey Ln  Naples, FL 34116-7537 </t>
  </si>
  <si>
    <t xml:space="preserve">3916 NE 16th Pl  Cape Coral, FL 33909 </t>
  </si>
  <si>
    <t xml:space="preserve">701 Koehler Ave #6, Ronkonkoma, NY 11779-7403 </t>
  </si>
  <si>
    <t>Pfefferkorn</t>
  </si>
  <si>
    <t>Roald</t>
  </si>
  <si>
    <t xml:space="preserve">3619 52nd ane N  St Petersburg, FL 33714 </t>
  </si>
  <si>
    <t xml:space="preserve">3609 W Gator Cir  Cape Coral, FL 33909 </t>
  </si>
  <si>
    <t>80645-8728</t>
  </si>
  <si>
    <t>33909-3372</t>
  </si>
  <si>
    <t>Cape Coral Unit 32 Blk 2120 Pb 16 Pg 4 Lots 41 + 42</t>
  </si>
  <si>
    <t xml:space="preserve">3829 Kittyhawk Dr </t>
  </si>
  <si>
    <t>Cotter</t>
  </si>
  <si>
    <t>11901-5207</t>
  </si>
  <si>
    <t xml:space="preserve">1716 Kismet Pkwy E  Cape Coral, FL 33909 </t>
  </si>
  <si>
    <t>Melody</t>
  </si>
  <si>
    <t>R018</t>
  </si>
  <si>
    <t xml:space="preserve">826 NE 10th St </t>
  </si>
  <si>
    <t>Spencer Edna In Trust</t>
  </si>
  <si>
    <t>3v</t>
  </si>
  <si>
    <t>33909-2606</t>
  </si>
  <si>
    <t>33905-5878</t>
  </si>
  <si>
    <t>55433-5937</t>
  </si>
  <si>
    <t>20-43-24-c2-05663.0510</t>
  </si>
  <si>
    <t>Maria Collazo</t>
  </si>
  <si>
    <t xml:space="preserve">210 Jacaranda Pkwy E  Cape Coral, FL 33909 </t>
  </si>
  <si>
    <t xml:space="preserve">210 14th Ave N  Saint Petersburg, FL 33701-1128 </t>
  </si>
  <si>
    <t xml:space="preserve">154 NE 4th St </t>
  </si>
  <si>
    <t>33904-4855</t>
  </si>
  <si>
    <t xml:space="preserve">4168 NE 8th Pl  Cape Coral, FL 33909 </t>
  </si>
  <si>
    <t>Hoang</t>
  </si>
  <si>
    <t>Cape Coral Unit 31 Blk 2075 Pb 14 Pg 161 Lots 28 + 29</t>
  </si>
  <si>
    <t>Gene</t>
  </si>
  <si>
    <t xml:space="preserve">6 Little Harbor Way </t>
  </si>
  <si>
    <t xml:space="preserve">2029 NE 25th St  Cape Coral, FL 33909 </t>
  </si>
  <si>
    <t xml:space="preserve">1140 Walnut Ln  Northbrook, IL 60062-3528 </t>
  </si>
  <si>
    <t xml:space="preserve">4558 SE 6th Ct </t>
  </si>
  <si>
    <t>19707-9572</t>
  </si>
  <si>
    <t xml:space="preserve">PO Box 149020  Coral Gables, FL 33114-9020 </t>
  </si>
  <si>
    <t>Joners</t>
  </si>
  <si>
    <t xml:space="preserve">3437 NE 9th Pl  Cape Coral, FL 33909 </t>
  </si>
  <si>
    <t>Kroshus</t>
  </si>
  <si>
    <t xml:space="preserve">13 Bridle Ct </t>
  </si>
  <si>
    <t xml:space="preserve">10782 Timber Ridge St </t>
  </si>
  <si>
    <t>Audenis</t>
  </si>
  <si>
    <t xml:space="preserve">Po Box 187 </t>
  </si>
  <si>
    <t>Evan Doscher</t>
  </si>
  <si>
    <t xml:space="preserve">2213 NE 13th Ave </t>
  </si>
  <si>
    <t xml:space="preserve">1360 W Choctaw Dr </t>
  </si>
  <si>
    <t xml:space="preserve">1125 Webster Ln  Des Plaines, IL 60016-6346 </t>
  </si>
  <si>
    <t xml:space="preserve">346 NE 25th Ter  Cape Coral, FL 33909 </t>
  </si>
  <si>
    <t xml:space="preserve">1711 Beach Pkwy </t>
  </si>
  <si>
    <t>12-44-23-c2-02383.0070</t>
  </si>
  <si>
    <t>Chockalingam</t>
  </si>
  <si>
    <t>Cape Coral Unit 84 Blk 5602 Pb24 Pg43 Lots 29 + 30</t>
  </si>
  <si>
    <t>Guinette</t>
  </si>
  <si>
    <t>Rudolf</t>
  </si>
  <si>
    <t>Schoenherr-Warnez Florence Tr</t>
  </si>
  <si>
    <t xml:space="preserve">511 SE 32nd St  Cape Coral, FL 33904 </t>
  </si>
  <si>
    <t xml:space="preserve">414 Monterey St </t>
  </si>
  <si>
    <t>11420-3241</t>
  </si>
  <si>
    <t>Isusi</t>
  </si>
  <si>
    <t xml:space="preserve">4111 NE 16th Ave  Cape Coral, FL 33909 </t>
  </si>
  <si>
    <t>Lelia</t>
  </si>
  <si>
    <t>33905-7710</t>
  </si>
  <si>
    <t>Efren</t>
  </si>
  <si>
    <t>MN</t>
  </si>
  <si>
    <t>Erwin</t>
  </si>
  <si>
    <t>03-44-26-01-00003.0120</t>
  </si>
  <si>
    <t>Lehigh Acres Unit 13 E 1/2 Blk 71 Pb 26 Pg 17 Lot 11</t>
  </si>
  <si>
    <t>For Betty-Jane Maguire Trust</t>
  </si>
  <si>
    <t xml:space="preserve">9526 S Muskegon Ave </t>
  </si>
  <si>
    <t>Pondview</t>
  </si>
  <si>
    <t>Bishop</t>
  </si>
  <si>
    <t xml:space="preserve">4968 N Galaxy Dr  Fort Myers, FL 33905 </t>
  </si>
  <si>
    <t>Auburndale</t>
  </si>
  <si>
    <t xml:space="preserve">13539 230th St </t>
  </si>
  <si>
    <t xml:space="preserve">440 E 79th St 16g </t>
  </si>
  <si>
    <t>Mark &amp; Charlyn Praxmarer</t>
  </si>
  <si>
    <t>33909-6448</t>
  </si>
  <si>
    <t>01915-2355</t>
  </si>
  <si>
    <t xml:space="preserve">1002 NE 15th Ln </t>
  </si>
  <si>
    <t xml:space="preserve">3487 Celestial Way  North Fort Myers, FL 33903 </t>
  </si>
  <si>
    <t>Cape Coral Unit 84 Blk 5622 Pb 24 Pg 33 Lots 15 + 16</t>
  </si>
  <si>
    <t>Souderton</t>
  </si>
  <si>
    <t xml:space="preserve">4039 191st St  Flushing, NY 11358-2863 </t>
  </si>
  <si>
    <t>126th</t>
  </si>
  <si>
    <t>20-43-24-c2-05664.0310</t>
  </si>
  <si>
    <t>Pico</t>
  </si>
  <si>
    <t>Zaldivar</t>
  </si>
  <si>
    <t xml:space="preserve">1545 NW Market St  Seattle, WA 98107-5250 </t>
  </si>
  <si>
    <t>Magsipoc</t>
  </si>
  <si>
    <t>01540-2210</t>
  </si>
  <si>
    <t>Carrera</t>
  </si>
  <si>
    <t>33909-4541</t>
  </si>
  <si>
    <t>Olga Tanney</t>
  </si>
  <si>
    <t xml:space="preserve">305 Bamboo Ln </t>
  </si>
  <si>
    <t>Alexandria</t>
  </si>
  <si>
    <t>Michael &amp; Annette Tesmer</t>
  </si>
  <si>
    <t>Aachen</t>
  </si>
  <si>
    <t>Wojcechowskyj Lillian H Tr</t>
  </si>
  <si>
    <t>91356-6540</t>
  </si>
  <si>
    <t>Judith</t>
  </si>
  <si>
    <t xml:space="preserve">339 NE 25th Ter  Cape Coral, FL 33909 </t>
  </si>
  <si>
    <t>33909-4252</t>
  </si>
  <si>
    <t>America Outdoors Camper Resort 1 Condo Blk W Or 1673 Pg 2487 Unit 101</t>
  </si>
  <si>
    <t>11746-1258</t>
  </si>
  <si>
    <t xml:space="preserve">3731 Kelsey St </t>
  </si>
  <si>
    <t xml:space="preserve">1000 Gore St W  Thunder Bay, ON P7e 3T1 </t>
  </si>
  <si>
    <t xml:space="preserve">2101 NE 16th Ter </t>
  </si>
  <si>
    <t>33909-1486</t>
  </si>
  <si>
    <t>Richard Weber</t>
  </si>
  <si>
    <t>Chamorro</t>
  </si>
  <si>
    <t>Mary &amp; For Padalino</t>
  </si>
  <si>
    <t xml:space="preserve">621 NE 2nd Pl  Hialeah, FL 33010-5001 </t>
  </si>
  <si>
    <t>29-43-24-c4-02283.0400</t>
  </si>
  <si>
    <t>Mazzamuto</t>
  </si>
  <si>
    <t>33470-2964</t>
  </si>
  <si>
    <t>Chamberlain</t>
  </si>
  <si>
    <t>06-45-24-c1-00497.0050</t>
  </si>
  <si>
    <t>Sweet Water</t>
  </si>
  <si>
    <t>Riaao</t>
  </si>
  <si>
    <t>Michael Shaw</t>
  </si>
  <si>
    <t xml:space="preserve">3635 NE 9th Ave  Cape Coral, FL 33909 </t>
  </si>
  <si>
    <t>20-43-24-c4-05632.0170</t>
  </si>
  <si>
    <t>Henley</t>
  </si>
  <si>
    <t>Holiday Travel Park Rv Condo Ph 1 Or 1557 Pg 1583 Unit 41</t>
  </si>
  <si>
    <t>Sniegowski</t>
  </si>
  <si>
    <t>Eduardo &amp; Margarita Villavicencio</t>
  </si>
  <si>
    <t>Cape Coral Unit 33 Blk 2284 Pb 16 Pg 59 Lots 14 + 15</t>
  </si>
  <si>
    <t>De Ponce &amp; Bernal Riveros</t>
  </si>
  <si>
    <t xml:space="preserve">10078 Parkwood Dr  Fort Myers, FL 33905 </t>
  </si>
  <si>
    <t>02139-1907</t>
  </si>
  <si>
    <t xml:space="preserve">Po Box 127892 </t>
  </si>
  <si>
    <t>33909-5225</t>
  </si>
  <si>
    <t>Blue Wing</t>
  </si>
  <si>
    <t>Maylin Cespedes &amp; Jorge Carvajal</t>
  </si>
  <si>
    <t>06-46-24-18-00s00.0010</t>
  </si>
  <si>
    <t>33-43-26-l1-02000.0108</t>
  </si>
  <si>
    <t>Australian</t>
  </si>
  <si>
    <t xml:space="preserve"># 7  Duesseldorf, DE 40549 </t>
  </si>
  <si>
    <t>33076-3566</t>
  </si>
  <si>
    <t xml:space="preserve">75 Northridge Ave </t>
  </si>
  <si>
    <t xml:space="preserve">20803 Biscayne Blvd #301 </t>
  </si>
  <si>
    <t>28-44-23-c1-06010.0150</t>
  </si>
  <si>
    <t>Centeno</t>
  </si>
  <si>
    <t>25-43-23-c3-02309.0340</t>
  </si>
  <si>
    <t>32-43-24-c1-02182.0140</t>
  </si>
  <si>
    <t>01-44-23-c4-02418.0030</t>
  </si>
  <si>
    <t xml:space="preserve">310 Leonard Bridge Rd </t>
  </si>
  <si>
    <t>19-43-24-c2-05753.0100</t>
  </si>
  <si>
    <t>River Forest Island Or 836 Pg 662 Lot 38</t>
  </si>
  <si>
    <t xml:space="preserve">5520/5522 Seventh Ave </t>
  </si>
  <si>
    <t>Cape Coral Unit 36 Blk 2519 Pb 16 Pg 116 Lots 14 + 15</t>
  </si>
  <si>
    <t>NY</t>
  </si>
  <si>
    <t>Cape Coral Unit 84 Blk 5610 Pb 24 Pg 41 Lots 33 + 34</t>
  </si>
  <si>
    <t>Cape Coral Unit 87 Blk 5701 Pb 24 Pg 81 Lots 63 + 64</t>
  </si>
  <si>
    <t>Mendez</t>
  </si>
  <si>
    <t>Cape Coral Unit 84 Blk 5608 Pb 24 Pg 35 Lots 63 + 64</t>
  </si>
  <si>
    <t xml:space="preserve">35 NE 31st Ter  Cape Coral, FL 33909 </t>
  </si>
  <si>
    <t>Lizarazo</t>
  </si>
  <si>
    <t xml:space="preserve">2008 NE 34th Ln </t>
  </si>
  <si>
    <t xml:space="preserve">1808 NE 6th Ave  Cape Coral, FL 33909 </t>
  </si>
  <si>
    <t>17-43-24-c3-05793.0220</t>
  </si>
  <si>
    <t>Cape Coral Unit 88 Blk 5795 Pb 24 Pg 130 Lots 59 + 60</t>
  </si>
  <si>
    <t>Roberta Mowry</t>
  </si>
  <si>
    <t>Malek Family Trust</t>
  </si>
  <si>
    <t xml:space="preserve">203 Harvest Dr  Vacaville, CA 95687-7221 </t>
  </si>
  <si>
    <t>Aspach Le Haut</t>
  </si>
  <si>
    <t xml:space="preserve">420 12th St </t>
  </si>
  <si>
    <t xml:space="preserve">1411 NE 19th Ave  Cape Coral, FL 33909 </t>
  </si>
  <si>
    <t>46614-1524</t>
  </si>
  <si>
    <t>85250-5723</t>
  </si>
  <si>
    <t xml:space="preserve">2173 1st St </t>
  </si>
  <si>
    <t>11-44-25-06-0000d.0360</t>
  </si>
  <si>
    <t>Heike</t>
  </si>
  <si>
    <t>Cape Coral Unit 36 Blk 2355 Pb 16 Pg 120 Lots 38 &amp; 39</t>
  </si>
  <si>
    <t>Carol Walden</t>
  </si>
  <si>
    <t xml:space="preserve">3632 NE 20th Pl </t>
  </si>
  <si>
    <t xml:space="preserve">801 Vogiantzis Pkwy </t>
  </si>
  <si>
    <t>Kaneohe</t>
  </si>
  <si>
    <t>29-43-24-c4-02284.0200</t>
  </si>
  <si>
    <t>Cortese</t>
  </si>
  <si>
    <t xml:space="preserve">3 the Falls Dr  Vestavia Hills, AL 35216-3110 </t>
  </si>
  <si>
    <t>Cape Coral Unit 32 Blk 2161 Pb 16 Pg 11 Lots 10 Thru 12</t>
  </si>
  <si>
    <t xml:space="preserve">4012 NE 10th Pl  Cape Coral, FL 33909 </t>
  </si>
  <si>
    <t>Viet Quang Nguyen Revocable Trust</t>
  </si>
  <si>
    <t xml:space="preserve">1809 NE 17th St  Cape Coral, FL 33909 </t>
  </si>
  <si>
    <t>32814-6405</t>
  </si>
  <si>
    <t>John Hernandez</t>
  </si>
  <si>
    <t>Cape Coral Unit 84 Blk 5610 Pb 24 Pg 36 Lots 17 + 18</t>
  </si>
  <si>
    <t>Joseph &amp; Barbara Goetz</t>
  </si>
  <si>
    <t xml:space="preserve">2030 NE 33rd Ln </t>
  </si>
  <si>
    <t>Leclair</t>
  </si>
  <si>
    <t>Dykyj</t>
  </si>
  <si>
    <t>For Iris Hairston Alsop Trust</t>
  </si>
  <si>
    <t xml:space="preserve">5204 Pineland Daisy Trl </t>
  </si>
  <si>
    <t xml:space="preserve">3725 Trent St </t>
  </si>
  <si>
    <t xml:space="preserve">3736 Tareco St </t>
  </si>
  <si>
    <t>R067</t>
  </si>
  <si>
    <t xml:space="preserve">310 NE 25th Ter </t>
  </si>
  <si>
    <t>Guarnuere &amp; Donna Kline Family</t>
  </si>
  <si>
    <t>Francesco &amp; Connie Cacciola</t>
  </si>
  <si>
    <t>Rienas</t>
  </si>
  <si>
    <t xml:space="preserve">33 Elm St </t>
  </si>
  <si>
    <t>Mandie Devries</t>
  </si>
  <si>
    <t xml:space="preserve">5401 SW 42nd St  Davie, FL 33314-3720 </t>
  </si>
  <si>
    <t xml:space="preserve">2808 NE 7th Ave </t>
  </si>
  <si>
    <t xml:space="preserve">5113 Cypress Trail Resort Cir </t>
  </si>
  <si>
    <t xml:space="preserve">1117 NE 10th Pl </t>
  </si>
  <si>
    <t>179th</t>
  </si>
  <si>
    <t>94501-4044</t>
  </si>
  <si>
    <t xml:space="preserve">PO Box 4  Sheyenne, ND 58374 </t>
  </si>
  <si>
    <t xml:space="preserve">2061 River Park Blvd </t>
  </si>
  <si>
    <t xml:space="preserve">2006 NE 13th Pl  Cape Coral, FL 33909 </t>
  </si>
  <si>
    <t xml:space="preserve">2214 NE 1st Pl  Cape Coral, FL 33909 </t>
  </si>
  <si>
    <t>Ziyue</t>
  </si>
  <si>
    <t xml:space="preserve">1010 NE 34th Ln </t>
  </si>
  <si>
    <t>Cape Coral Unit 36 Pt 1 Blk 2513 Pb 23 Pg 91 Lots 34 + 35</t>
  </si>
  <si>
    <t>For Daisy K Garcia Revocable Trust</t>
  </si>
  <si>
    <t>Westbury</t>
  </si>
  <si>
    <t>33157-8650</t>
  </si>
  <si>
    <t xml:space="preserve">19 Seedhouse Rd </t>
  </si>
  <si>
    <t>Cape Coral Unit 31 Blk 2095 Pb 14 Pg 164 Lots 43 + 44</t>
  </si>
  <si>
    <t xml:space="preserve">1521 NE 36th St </t>
  </si>
  <si>
    <t xml:space="preserve">129 Chesapeake St SW </t>
  </si>
  <si>
    <t>For Peter A Grimm Trust</t>
  </si>
  <si>
    <t>10-44-25-09-00000.0287</t>
  </si>
  <si>
    <t xml:space="preserve">2450 Barker Ave  Bronx, NY 10467-7602 </t>
  </si>
  <si>
    <t>Kerry</t>
  </si>
  <si>
    <t xml:space="preserve">639 Tropicana Pkwy E </t>
  </si>
  <si>
    <t xml:space="preserve">312 NE 21st St </t>
  </si>
  <si>
    <t>Wiliam J Seefeldt Trust</t>
  </si>
  <si>
    <t>Cape Coral Unit 36 Blk 2311 Pb 16 Pg 124 Lots 45 + 46</t>
  </si>
  <si>
    <t xml:space="preserve">1417 NE 7th Ave </t>
  </si>
  <si>
    <t xml:space="preserve">2206 NE 16th Pl  Cape Coral, FL 33909 </t>
  </si>
  <si>
    <t>08723-5811</t>
  </si>
  <si>
    <t>Jablonski Michael T Tr</t>
  </si>
  <si>
    <t>Neil</t>
  </si>
  <si>
    <t>62249-3425</t>
  </si>
  <si>
    <t>Carlm</t>
  </si>
  <si>
    <t xml:space="preserve">3532 NE 18th Ave  Cape Coral, FL 33909 </t>
  </si>
  <si>
    <t xml:space="preserve">1312 Diplomat Pkwy E  Cape Coral, FL 33909 </t>
  </si>
  <si>
    <t>33909-3339</t>
  </si>
  <si>
    <t>33908-2997</t>
  </si>
  <si>
    <t>Gentry</t>
  </si>
  <si>
    <t>18-43-24-c3-05706.0630</t>
  </si>
  <si>
    <t>Ramirez Yasmin Tr</t>
  </si>
  <si>
    <t>R A R &amp; Margaret Ries</t>
  </si>
  <si>
    <t xml:space="preserve">20 Apt 304 #6, Pereira, CO </t>
  </si>
  <si>
    <t>Glenwood</t>
  </si>
  <si>
    <t xml:space="preserve">426 Walnut St  Roselle, NJ 07203-2055 </t>
  </si>
  <si>
    <t>31-43-24-c2-02128.0300</t>
  </si>
  <si>
    <t>Allen-Voll</t>
  </si>
  <si>
    <t xml:space="preserve">1777 Everett Bay Rd </t>
  </si>
  <si>
    <t xml:space="preserve">17 Manta Ct </t>
  </si>
  <si>
    <t xml:space="preserve">5833 SW 50th Ter </t>
  </si>
  <si>
    <t>Inogamov</t>
  </si>
  <si>
    <t xml:space="preserve">1307 NE 23rd St </t>
  </si>
  <si>
    <t>Doyle David Tr</t>
  </si>
  <si>
    <t>Cypress Trail Rv Resort Phase 4-A As Desc In Inst# 20160000135610 Lot 375</t>
  </si>
  <si>
    <t xml:space="preserve">1001 NE 44th St </t>
  </si>
  <si>
    <t xml:space="preserve">913 NE Juanita Pl  Cape Coral, FL 33909 </t>
  </si>
  <si>
    <t>Roberta Lohiser &amp; Michael Moseley</t>
  </si>
  <si>
    <t>Cape Coral Unit 36 Pt 1 Blk 2506 Pb 23 Pg 91 Lots 3 + 4</t>
  </si>
  <si>
    <t xml:space="preserve">732 Young Forest Dr  Wake Forest, NC 27587-9040 </t>
  </si>
  <si>
    <t xml:space="preserve">2825 NE 2nd Pl  Cape Coral, FL 33909 </t>
  </si>
  <si>
    <t>P1L 0A1</t>
  </si>
  <si>
    <t>Leisure</t>
  </si>
  <si>
    <t xml:space="preserve">11090 Sunglow Ln  Fort Myers, FL 33908 </t>
  </si>
  <si>
    <t>08-44-24-c3-01525.0130</t>
  </si>
  <si>
    <t>Rue Dalsale</t>
  </si>
  <si>
    <t>05-44-24-c4-03542.0740</t>
  </si>
  <si>
    <t xml:space="preserve">4799 Duncliffe Rd </t>
  </si>
  <si>
    <t>Darrin</t>
  </si>
  <si>
    <t>Salgueiro Martinez</t>
  </si>
  <si>
    <t xml:space="preserve">424 NE 17th Pl  Cape Coral, FL 33909 </t>
  </si>
  <si>
    <t xml:space="preserve">8 Hiawatha Pky  Mississauga, ON L5g 3R7 </t>
  </si>
  <si>
    <t>Ismael &amp; Benjamin Divinagracia</t>
  </si>
  <si>
    <t>King Meadow</t>
  </si>
  <si>
    <t>Belvidere</t>
  </si>
  <si>
    <t>Alex &amp; Kathleen Zenick</t>
  </si>
  <si>
    <t xml:space="preserve">4136 NE 21st Ave  Cape Coral, FL 33909 </t>
  </si>
  <si>
    <t>Alicia Tosca-Beade &amp; Alain Beade</t>
  </si>
  <si>
    <t>Shawn Ray &amp; Groll Jayne</t>
  </si>
  <si>
    <t>Cape Coral Unit 36 Blk 2540 Pb 16 Pg 115 Lots 10 + 11</t>
  </si>
  <si>
    <t>Blair</t>
  </si>
  <si>
    <t xml:space="preserve">7952 W 30th Ln </t>
  </si>
  <si>
    <t xml:space="preserve">15 Brower Ln  Hempstead, NY 11550-5301 </t>
  </si>
  <si>
    <t xml:space="preserve">12104 Platano Dr  Punta Gorda, FL 33955-2270 </t>
  </si>
  <si>
    <t xml:space="preserve">2630 Spurlock Way  the Villages, FL 32163-5470 </t>
  </si>
  <si>
    <t xml:space="preserve">8955 Winding Creek Way  Pickerington, OH 43147-8179 </t>
  </si>
  <si>
    <t xml:space="preserve">5761 Cypress Woods Resort Dr </t>
  </si>
  <si>
    <t>Antivilo</t>
  </si>
  <si>
    <t>Kevin Nessa</t>
  </si>
  <si>
    <t>29-43-24-c4-02255.0130</t>
  </si>
  <si>
    <t xml:space="preserve">9865 Vine St </t>
  </si>
  <si>
    <t>Cape Coral Unit 84 Blk 5613 Pb 24 Pg 35 Lots 66 Thru 68</t>
  </si>
  <si>
    <t xml:space="preserve">1859 Monitor Dr </t>
  </si>
  <si>
    <t>Cape Coral Unit 36 Blk 2518 Pb 16 Pg 116 Lots 3 + 4</t>
  </si>
  <si>
    <t xml:space="preserve">4 Ikiaweg </t>
  </si>
  <si>
    <t>00926-1410</t>
  </si>
  <si>
    <t>Chelsea</t>
  </si>
  <si>
    <t xml:space="preserve">19835 Canterbury St  Stilwell, KS 66085-4504 </t>
  </si>
  <si>
    <t xml:space="preserve">1505 NE 23rd Ter  Cape Coral, FL 33909 </t>
  </si>
  <si>
    <t>25-43-23-c1-02319.0530</t>
  </si>
  <si>
    <t>Powder Springs</t>
  </si>
  <si>
    <t>10038-1155</t>
  </si>
  <si>
    <t>96817-1079</t>
  </si>
  <si>
    <t>Lehigh Acres Unit 7 Blk 33 Pb 26 Pg 9 Lot 16</t>
  </si>
  <si>
    <t xml:space="preserve">606 NE 12th St  Cape Coral, FL 33909 </t>
  </si>
  <si>
    <t>18-43-24-c2-05734.0470</t>
  </si>
  <si>
    <t xml:space="preserve">13514 Caribbean Blvd  Fort Myers, FL 33905 </t>
  </si>
  <si>
    <t>05491-7502</t>
  </si>
  <si>
    <t xml:space="preserve">1316 NE 1st Pl  Cape Coral, FL 33909 </t>
  </si>
  <si>
    <t>Clubhouse</t>
  </si>
  <si>
    <t xml:space="preserve">1317 SE 32nd Ter </t>
  </si>
  <si>
    <t>Hanses</t>
  </si>
  <si>
    <t>For Thomas J &amp; Robin L Beck 2020 Trust</t>
  </si>
  <si>
    <t>Joel &amp; Heidi Nicholson</t>
  </si>
  <si>
    <t>R302</t>
  </si>
  <si>
    <t xml:space="preserve">Po Box 138 </t>
  </si>
  <si>
    <t xml:space="preserve">702 Pilot Knob Ave </t>
  </si>
  <si>
    <t xml:space="preserve">563 San Bernardino St </t>
  </si>
  <si>
    <t>VA</t>
  </si>
  <si>
    <t xml:space="preserve">2727 Bartels Dr </t>
  </si>
  <si>
    <t>Reina</t>
  </si>
  <si>
    <t>Armstrong</t>
  </si>
  <si>
    <t>Robert &amp; Mary Bucek</t>
  </si>
  <si>
    <t>Hameraj</t>
  </si>
  <si>
    <t>David &amp; Peter Miller</t>
  </si>
  <si>
    <t>Reiko Herrera &amp; June Yamada</t>
  </si>
  <si>
    <t>Hackensack</t>
  </si>
  <si>
    <t>Turk</t>
  </si>
  <si>
    <t>Tzahi Binderman</t>
  </si>
  <si>
    <t xml:space="preserve">13175 Orange Ct  Chino, CA 91710-3896 </t>
  </si>
  <si>
    <t>15632-1171</t>
  </si>
  <si>
    <t>R013</t>
  </si>
  <si>
    <t>04-44-26-06-00000.0180</t>
  </si>
  <si>
    <t>06488-3802</t>
  </si>
  <si>
    <t>Carlos Zamora</t>
  </si>
  <si>
    <t>16415-3806</t>
  </si>
  <si>
    <t xml:space="preserve">13628 SW 286th Ter  Homestead, FL 33033-1910 </t>
  </si>
  <si>
    <t>33909-6247</t>
  </si>
  <si>
    <t>Cape Coral Unit 9 Blk 253 Pb 13 Pg 16 Lots 13 + 14</t>
  </si>
  <si>
    <t xml:space="preserve">21253 Mulholland Dr </t>
  </si>
  <si>
    <t xml:space="preserve">Rte Des Monts-Delauaux 70  Lacroix, CH 00000 </t>
  </si>
  <si>
    <t>Cape Coral Unit 33 Blk.2228 Pb 16 Pg 47 Lots 42 + 43</t>
  </si>
  <si>
    <t>Curras</t>
  </si>
  <si>
    <t>Kroppach</t>
  </si>
  <si>
    <t xml:space="preserve">6202 E B St  Tacoma, WA 98404-1209 </t>
  </si>
  <si>
    <t>C099</t>
  </si>
  <si>
    <t xml:space="preserve">21 Providence Ct </t>
  </si>
  <si>
    <t>33909-4340</t>
  </si>
  <si>
    <t>Saranac</t>
  </si>
  <si>
    <t>98003-4053</t>
  </si>
  <si>
    <t xml:space="preserve">1510 NE 37th St </t>
  </si>
  <si>
    <t xml:space="preserve">756 Belvidere Ave </t>
  </si>
  <si>
    <t>Daniel Mauck &amp; Mary Trimp</t>
  </si>
  <si>
    <t xml:space="preserve">4003 Whispering Hills Dr </t>
  </si>
  <si>
    <t xml:space="preserve">1306 NE 1st Ave  Cape Coral, FL 33909 </t>
  </si>
  <si>
    <t>Chang Lin &amp; Yu Gao</t>
  </si>
  <si>
    <t xml:space="preserve">5330 Peninsula Dr NW  Canton, OH 44718-1632 </t>
  </si>
  <si>
    <t xml:space="preserve">28 NE 23rd Ter </t>
  </si>
  <si>
    <t>03060-5224</t>
  </si>
  <si>
    <t xml:space="preserve">1024 NE 34th St  Cape Coral, FL 33909 </t>
  </si>
  <si>
    <t>Thomas Wentz</t>
  </si>
  <si>
    <t xml:space="preserve">80 86th St </t>
  </si>
  <si>
    <t xml:space="preserve">707 Fulmer Ave </t>
  </si>
  <si>
    <t xml:space="preserve">4013 E Gator Cir </t>
  </si>
  <si>
    <t xml:space="preserve">7755 Yardley Dr D415, Fort Lauderdale, FL 33321-9584 </t>
  </si>
  <si>
    <t>Markham</t>
  </si>
  <si>
    <t xml:space="preserve">PO Box 571  Gloucester Point, VA 23062 </t>
  </si>
  <si>
    <t xml:space="preserve">5838 Burrwood Ct  Fort Myers, FL 33905 </t>
  </si>
  <si>
    <t>MI</t>
  </si>
  <si>
    <t>Cape Coral Unit 88 Blk.5809 Pb 24 Pg 138 Lots 1 + 2</t>
  </si>
  <si>
    <t xml:space="preserve">1417 NE 1st Ave </t>
  </si>
  <si>
    <t xml:space="preserve">5185 Cypress Trail Resort Cir  Fort Myers, FL 33905 </t>
  </si>
  <si>
    <t>Algonquin</t>
  </si>
  <si>
    <t>Setnan Jack G Tr</t>
  </si>
  <si>
    <t xml:space="preserve">2910 NE 10th Ave </t>
  </si>
  <si>
    <t xml:space="preserve">5245 White Sky Cir  Fort Myers, FL 33908 </t>
  </si>
  <si>
    <t>Sarver</t>
  </si>
  <si>
    <t xml:space="preserve">3538 NE 15th Ave  Cape Coral, FL 33909 </t>
  </si>
  <si>
    <t>Cape Coral Unit 32 Blk 2137 Pb 16 Pg 13 Lots 19 + 20</t>
  </si>
  <si>
    <t>Cutler Bay</t>
  </si>
  <si>
    <t>Lancaster</t>
  </si>
  <si>
    <t xml:space="preserve">Theodor-Heuss Street A  Spicer, MN 56288 </t>
  </si>
  <si>
    <t>Barrington</t>
  </si>
  <si>
    <t xml:space="preserve">2909 Garibaldi Ave  San Luis Obispo, CA 93401-5732 </t>
  </si>
  <si>
    <t xml:space="preserve">3705 Teakwood St  Fort Myers, FL 33905 </t>
  </si>
  <si>
    <t>Cape Coral Unit 26 Blk.866 Pb 14 Pg 129 Lots 88 + 89</t>
  </si>
  <si>
    <t>Cypress Woods Rv Resort Ut 1 Pb 65 Pg 85 + 86 Blk B Lot 88</t>
  </si>
  <si>
    <t>19-43-24-c1-05579.0450</t>
  </si>
  <si>
    <t xml:space="preserve">17602 Silver Dollar Ct </t>
  </si>
  <si>
    <t xml:space="preserve">150 W 96th St 7g </t>
  </si>
  <si>
    <t>25-43-23-c3-02345.0040</t>
  </si>
  <si>
    <t xml:space="preserve">1723 NE 33rd St </t>
  </si>
  <si>
    <t>Langford</t>
  </si>
  <si>
    <t xml:space="preserve">127 NE 23rd St  Cape Coral, FL 33909 </t>
  </si>
  <si>
    <t>Gary &amp; Margaret Clouser</t>
  </si>
  <si>
    <t>18-43-24-c3-05742.0580</t>
  </si>
  <si>
    <t>20-43-24-c1-05602.0290</t>
  </si>
  <si>
    <t>Ricardo</t>
  </si>
  <si>
    <t>Cape Coral Unit 32 Blk.2145 Pb 16 Pg 5 Lots 1 Thru 3</t>
  </si>
  <si>
    <t>Hunterdon</t>
  </si>
  <si>
    <t xml:space="preserve">1440 Park St #3, Atlantic Beach, NY 11509-1626 </t>
  </si>
  <si>
    <t>Egg Harbor Township</t>
  </si>
  <si>
    <t xml:space="preserve">2103 NE 8th Pl  Cape Coral, FL 33909 </t>
  </si>
  <si>
    <t>Braden Collins</t>
  </si>
  <si>
    <t>Lehigh Acres Unit 11 Blk 58 Pb 26 Pg 14 Lot 14</t>
  </si>
  <si>
    <t>Enzo &amp; Nicole Cecchini</t>
  </si>
  <si>
    <t xml:space="preserve">3844 Hopevale St  Fort Myers, FL 33905 </t>
  </si>
  <si>
    <t xml:space="preserve">3508 NE 17th Pl  Cape Coral, FL 33909 </t>
  </si>
  <si>
    <t>11-44-25-08-00000.3620</t>
  </si>
  <si>
    <t>Edward &amp; Nancy Prusz</t>
  </si>
  <si>
    <t>Pansy</t>
  </si>
  <si>
    <t>12550-2217</t>
  </si>
  <si>
    <t xml:space="preserve">1805 NE 27th St  Cape Coral, FL 33909 </t>
  </si>
  <si>
    <t xml:space="preserve">8472 S Newcombe Way  Littleton, CO 80127-4261 </t>
  </si>
  <si>
    <t>Farshi</t>
  </si>
  <si>
    <t>Cape Coral Unit 47 Pt 2 Blk 3516 Pb 23 Pg 122 Lots 33 + 34</t>
  </si>
  <si>
    <t>Cape Coral Unit 33 Blk 2285 Pb 16 Pg 55 Lots 12 + 13</t>
  </si>
  <si>
    <t>18-43-24-c1-05725.0070</t>
  </si>
  <si>
    <t>Dung</t>
  </si>
  <si>
    <t>36-43-23-c2-02543.0570</t>
  </si>
  <si>
    <t xml:space="preserve">2618 Paterson Plank Rd #2, North Bergen, NJ 07047-2238 </t>
  </si>
  <si>
    <t xml:space="preserve">225 Burns Rd  Elyria, OH 44035-1512 </t>
  </si>
  <si>
    <t xml:space="preserve">2510 NE 6th Ave  Cape Coral, FL 33909 </t>
  </si>
  <si>
    <t xml:space="preserve">4011 NE 20th Ct  Cape Coral, FL 33909 </t>
  </si>
  <si>
    <t>For Kimberly Ann Doti Trust</t>
  </si>
  <si>
    <t>Tim &amp; Nancy Shaw</t>
  </si>
  <si>
    <t>Mallard</t>
  </si>
  <si>
    <t xml:space="preserve">33 Elm St  Westerly, RI 02891-2123 </t>
  </si>
  <si>
    <t xml:space="preserve">Parq Del Rio  Trujillo Alto, PR 00976 </t>
  </si>
  <si>
    <t xml:space="preserve">4211 NE 15th Pl  Cape Coral, FL 33909 </t>
  </si>
  <si>
    <t>18-43-24-c2-05730.0530</t>
  </si>
  <si>
    <t>Tarbell</t>
  </si>
  <si>
    <t xml:space="preserve">13425/431 Pine Needle Ln  Fort Myers, FL 33908 </t>
  </si>
  <si>
    <t>Jacinta</t>
  </si>
  <si>
    <t>Nagaraju Bikkamalla &amp; Sujatha Navubothu</t>
  </si>
  <si>
    <t>17-43-24-c1-05819.0690</t>
  </si>
  <si>
    <t xml:space="preserve">277 Charles St  Sunnyvale, CA 94086-6064 </t>
  </si>
  <si>
    <t>47501-7471</t>
  </si>
  <si>
    <t>Canton</t>
  </si>
  <si>
    <t>Carara Beulah C Tr</t>
  </si>
  <si>
    <t xml:space="preserve">2005 NE 15th Pl  Cape Coral, FL 33909 </t>
  </si>
  <si>
    <t>Johnny</t>
  </si>
  <si>
    <t xml:space="preserve">1544 E 13th St 3a </t>
  </si>
  <si>
    <t xml:space="preserve">5743 Burrwood Ct </t>
  </si>
  <si>
    <t>Fassel</t>
  </si>
  <si>
    <t>H007</t>
  </si>
  <si>
    <t>Cape Coral Unit 87 Blk 5686 Pb 24 Pg 82 Lot 14</t>
  </si>
  <si>
    <t>05-44-24-c1-03536.0410</t>
  </si>
  <si>
    <t>Pascal &amp; William Groll</t>
  </si>
  <si>
    <t xml:space="preserve">PO Box 208  Sunderland, MD 20689 </t>
  </si>
  <si>
    <t xml:space="preserve">917 NE 2nd Pl </t>
  </si>
  <si>
    <t xml:space="preserve">713 Lynkaylee Dr </t>
  </si>
  <si>
    <t xml:space="preserve">9428 S 41st St  Franklin, WI 53132-9195 </t>
  </si>
  <si>
    <t>Charlie Vu</t>
  </si>
  <si>
    <t>E E &amp; Esperanza Fernandez</t>
  </si>
  <si>
    <t xml:space="preserve">11510 Basye St  El Monte, CA 91732-2165 </t>
  </si>
  <si>
    <t xml:space="preserve">85 Coolidge Ave  Stamford, CT 06906-2405 </t>
  </si>
  <si>
    <t>James &amp; Kerri Confer</t>
  </si>
  <si>
    <t>33904-8731</t>
  </si>
  <si>
    <t xml:space="preserve">Po Box 1249 </t>
  </si>
  <si>
    <t>Cesar</t>
  </si>
  <si>
    <t xml:space="preserve">2107 NE 10th Pl  Cape Coral, FL 33909 </t>
  </si>
  <si>
    <t xml:space="preserve">Agence Immobiliere  Crans Montana, CH 03963 </t>
  </si>
  <si>
    <t>Cape Coral Unit 84 Blk 5545 Pb 24 Pg 46 Lots 22 + 23</t>
  </si>
  <si>
    <t>Reesman</t>
  </si>
  <si>
    <t>Cape Coral Unit 87 Blk 5702 Pb 24 Pg 72 Lots 45 + 46</t>
  </si>
  <si>
    <t xml:space="preserve">661 Nursery Rd </t>
  </si>
  <si>
    <t xml:space="preserve">1108 NE 34th Ter </t>
  </si>
  <si>
    <t>63111-2733</t>
  </si>
  <si>
    <t xml:space="preserve">1313 NE 33rd Ln </t>
  </si>
  <si>
    <t xml:space="preserve">4313 NE 11th Ave </t>
  </si>
  <si>
    <t>Cape Coral Unit 32 Blk 2119 Pb 16 Pg 4 Lots 55 + 56</t>
  </si>
  <si>
    <t>03-44-26-14-00079.0090</t>
  </si>
  <si>
    <t>33015-4117</t>
  </si>
  <si>
    <t>05-44-24-c4-03541.0450</t>
  </si>
  <si>
    <t>Cape Coral Unit 31 Blk 2067 Pb 14 Pg 164 Lots 31 + 32</t>
  </si>
  <si>
    <t xml:space="preserve">2705 NE 1st Pl  Cape Coral, FL 33909 </t>
  </si>
  <si>
    <t>19-43-24-c3-05574.0290</t>
  </si>
  <si>
    <t>33904-5676</t>
  </si>
  <si>
    <t>Dat</t>
  </si>
  <si>
    <t>C045</t>
  </si>
  <si>
    <t>33016-6680</t>
  </si>
  <si>
    <t>54904-9388</t>
  </si>
  <si>
    <t>32-43-24-c2-02243.0270</t>
  </si>
  <si>
    <t xml:space="preserve">24064 Merriman Rd </t>
  </si>
  <si>
    <t>07095-2826</t>
  </si>
  <si>
    <t>John &amp; Frances Mulligan</t>
  </si>
  <si>
    <t>Yimnel</t>
  </si>
  <si>
    <t>Elias Beirouti</t>
  </si>
  <si>
    <t>Manapouri &amp; Juergon Goelz</t>
  </si>
  <si>
    <t>Domenico</t>
  </si>
  <si>
    <t xml:space="preserve">1205 NE 8th Pl  Cape Coral, FL 33909 </t>
  </si>
  <si>
    <t xml:space="preserve">15348 Aquila Ave </t>
  </si>
  <si>
    <t>Van Nuys</t>
  </si>
  <si>
    <t>Cape Coral Unit 88 Blk 5780 Pb 24 Pg 135 Lots 33 + 34</t>
  </si>
  <si>
    <t xml:space="preserve">Po Box 201 </t>
  </si>
  <si>
    <t xml:space="preserve">1413 NE 2nd St </t>
  </si>
  <si>
    <t>Rue Joseph Henot</t>
  </si>
  <si>
    <t>Albert &amp; Glenda Frady</t>
  </si>
  <si>
    <t xml:space="preserve">3010 Country Club Blvd  Cape Coral, FL 33904 </t>
  </si>
  <si>
    <t>Theresa M Lesko Trust</t>
  </si>
  <si>
    <t>Braidwood</t>
  </si>
  <si>
    <t xml:space="preserve">11037 SW 78th Ct </t>
  </si>
  <si>
    <t>33909-1231</t>
  </si>
  <si>
    <t>Golladay</t>
  </si>
  <si>
    <t xml:space="preserve">19681 Summerlin Rd #34 </t>
  </si>
  <si>
    <t xml:space="preserve">N5497 Evenson Rd </t>
  </si>
  <si>
    <t>92675-1831</t>
  </si>
  <si>
    <t xml:space="preserve">1810 NE 33rd St </t>
  </si>
  <si>
    <t xml:space="preserve">3504 Stockwood St  Mechanicsburg, PA 17050-2256 </t>
  </si>
  <si>
    <t xml:space="preserve">PO Box 172  Blackstock, ON L0b 1B0 </t>
  </si>
  <si>
    <t xml:space="preserve">5438/5440 Fourth Ave </t>
  </si>
  <si>
    <t xml:space="preserve">3746 NE 13th Ave </t>
  </si>
  <si>
    <t xml:space="preserve">15 E Colorado Blvd #4, Arcadia, CA 91006-2817 </t>
  </si>
  <si>
    <t>Munith</t>
  </si>
  <si>
    <t>68943-4237</t>
  </si>
  <si>
    <t>Hermitage</t>
  </si>
  <si>
    <t>03-44-26-11-00055.0050</t>
  </si>
  <si>
    <t>Sarmiento</t>
  </si>
  <si>
    <t>Lamas</t>
  </si>
  <si>
    <t>Elisio &amp; Theresa Pereira</t>
  </si>
  <si>
    <t>Kenyon</t>
  </si>
  <si>
    <t>33904-2714</t>
  </si>
  <si>
    <t>Terence Morey</t>
  </si>
  <si>
    <t>07016-3426</t>
  </si>
  <si>
    <t>Cypress Woods Rv Resort Ut 1 Pb 65 Pg 85 + 86 Blk B Lot 34</t>
  </si>
  <si>
    <t>Cape Coral Unit 88 Blk 5796 Pb 24 Pg 131 Lot 2</t>
  </si>
  <si>
    <t>Mcpherson</t>
  </si>
  <si>
    <t>Segundo</t>
  </si>
  <si>
    <t>11706-3608</t>
  </si>
  <si>
    <t xml:space="preserve">2818 NE 1st Pl </t>
  </si>
  <si>
    <t>Cape Coral Unit 33 Blk 2284 Pb 16 Pg 59 Lots 12 + 13</t>
  </si>
  <si>
    <t xml:space="preserve">1428 NE 33rd St  Cape Coral, FL 33909 </t>
  </si>
  <si>
    <t xml:space="preserve">10265 Meadow Beauty Trl  Fort Myers, FL 33905 </t>
  </si>
  <si>
    <t>Jon Trent</t>
  </si>
  <si>
    <t xml:space="preserve">315 SE 29th St  Cape Coral, FL 33904 </t>
  </si>
  <si>
    <t xml:space="preserve">7516 Beechtree Dr </t>
  </si>
  <si>
    <t xml:space="preserve">1327 NE 20th Ave </t>
  </si>
  <si>
    <t>Cape Coral Unit 47 Pt 2 Blk 3513 Pb 23 Pg 123 Lots 9 + 10</t>
  </si>
  <si>
    <t>20-43-24-c1-05650.0650</t>
  </si>
  <si>
    <t xml:space="preserve">4551 73rd St NE </t>
  </si>
  <si>
    <t xml:space="preserve">31575 Pinto Dr  Warren, MI 48093-7626 </t>
  </si>
  <si>
    <t>21-43-26-03-00005.0000</t>
  </si>
  <si>
    <t>20019-2713</t>
  </si>
  <si>
    <t>11-45-24-05-00021.0190</t>
  </si>
  <si>
    <t>11-44-25-09-00000.2440</t>
  </si>
  <si>
    <t xml:space="preserve">215 NE 15th Ter </t>
  </si>
  <si>
    <t xml:space="preserve">6052 Joplin Ave </t>
  </si>
  <si>
    <t xml:space="preserve">10341 Fire Flag Trl  Fort Myers, FL 33905 </t>
  </si>
  <si>
    <t>33909-5362</t>
  </si>
  <si>
    <t>Suffern</t>
  </si>
  <si>
    <t>For Sheryl E Wilkie Trust</t>
  </si>
  <si>
    <t>17-43-24-c3-05785.0290</t>
  </si>
  <si>
    <t xml:space="preserve">1823 NE 17th Pl  Cape Coral, FL 33909 </t>
  </si>
  <si>
    <t>De Sousa</t>
  </si>
  <si>
    <t>Swist</t>
  </si>
  <si>
    <t>Cape Coral Unit 87 Blk 5701 Pb 24 Pg 81 Lots 61 + 62</t>
  </si>
  <si>
    <t xml:space="preserve">808 Mary Meadows Ln  Saint Louis, MO 63141-7601 </t>
  </si>
  <si>
    <t>Karen Petroff</t>
  </si>
  <si>
    <t>Cape Coral Unit 34 Blk 2437 Pb 16 Pg 81 Lots 9 + 10</t>
  </si>
  <si>
    <t>Althelia</t>
  </si>
  <si>
    <t>11-44-25-l1-12000.3550</t>
  </si>
  <si>
    <t>Farley</t>
  </si>
  <si>
    <t>Cape Coral Unit 88 Blk 5797 Pb 24 Pg 137 Lots 37 + 38</t>
  </si>
  <si>
    <t>Alon</t>
  </si>
  <si>
    <t xml:space="preserve">814 NE 39th St  Cape Coral, FL 33909 </t>
  </si>
  <si>
    <t xml:space="preserve">2507 NE 7th Pl </t>
  </si>
  <si>
    <t xml:space="preserve">6542 Pine Stake Rd  Culpeper, VA 22701-8944 </t>
  </si>
  <si>
    <t>Peterson</t>
  </si>
  <si>
    <t>Edwin</t>
  </si>
  <si>
    <t>33401-4160</t>
  </si>
  <si>
    <t>Cypress Woods Rv Resort Ut 1 Pb 65 Pg 85 + 86 Blk A Lot 48</t>
  </si>
  <si>
    <t>R101</t>
  </si>
  <si>
    <t xml:space="preserve">10627 Rutledge St  Parker, CO 80134-3781 </t>
  </si>
  <si>
    <t>Galleria</t>
  </si>
  <si>
    <t>Carmen</t>
  </si>
  <si>
    <t xml:space="preserve">623 NE 7th Ter </t>
  </si>
  <si>
    <t>33909-4307</t>
  </si>
  <si>
    <t xml:space="preserve">1003 New York St  Edgewater, FL 32132-2373 </t>
  </si>
  <si>
    <t xml:space="preserve">1042e E Radiant Ridge Dr  Meridian, ID 83642-4013 </t>
  </si>
  <si>
    <t>Cape Coral Unit 34 Blk 2430 Pb 16 Pg 83 Lots 53 + 54</t>
  </si>
  <si>
    <t>Mario Fernandez &amp; Vanessa Turner-Fernandez</t>
  </si>
  <si>
    <t>Ninoslav &amp; Mary Silic</t>
  </si>
  <si>
    <t xml:space="preserve">904 NE 20th St  Cape Coral, FL 33909 </t>
  </si>
  <si>
    <t xml:space="preserve">2306 Victoria Gardens Ln  Tampa, FL 33609-4174 </t>
  </si>
  <si>
    <t xml:space="preserve">4723 Matilda Ave </t>
  </si>
  <si>
    <t>Chateau Thierry</t>
  </si>
  <si>
    <t>Duane &amp; Mary Stout</t>
  </si>
  <si>
    <t xml:space="preserve">16764 SW 10th St  Pembroke Pines, FL 33027-1407 </t>
  </si>
  <si>
    <t xml:space="preserve">1705 NE 2nd Pl  Cape Coral, FL 33909 </t>
  </si>
  <si>
    <t>Coulthard</t>
  </si>
  <si>
    <t>33909-4699</t>
  </si>
  <si>
    <t xml:space="preserve">2215 NE 21st Pl  Cape Coral, FL 33909 </t>
  </si>
  <si>
    <t xml:space="preserve">4317 Richardson Ave #1 </t>
  </si>
  <si>
    <t>Belleville</t>
  </si>
  <si>
    <t>Zosimo &amp; Edna Urquico</t>
  </si>
  <si>
    <t>Scott Thomas</t>
  </si>
  <si>
    <t xml:space="preserve">74 Parkside Dr  Suffern, NY 10901-7826 </t>
  </si>
  <si>
    <t>33458-6631</t>
  </si>
  <si>
    <t>Agustin</t>
  </si>
  <si>
    <t xml:space="preserve">41 Dawn Dr  Port Reading, NJ 07064-1429 </t>
  </si>
  <si>
    <t xml:space="preserve">14100 Chancellor St  Fort Myers, FL 33905 </t>
  </si>
  <si>
    <t xml:space="preserve">522 Jacaranda Pkwy E  Cape Coral, FL 33909 </t>
  </si>
  <si>
    <t>Camuza</t>
  </si>
  <si>
    <t>Calle 137</t>
  </si>
  <si>
    <t xml:space="preserve">1020 NE 44th St  Cape Coral, FL 33909 </t>
  </si>
  <si>
    <t xml:space="preserve">1407 NE 33rd Ter </t>
  </si>
  <si>
    <t>New Haven</t>
  </si>
  <si>
    <t>Cape Coral Unit 88 Blk 5760 Pb 24 Pg 133 Lots 52 + 53</t>
  </si>
  <si>
    <t xml:space="preserve">480 Whittemore St  Leicester, MA 01524-1836 </t>
  </si>
  <si>
    <t xml:space="preserve">10 Langstrasse </t>
  </si>
  <si>
    <t>17-43-24-c2-05801.0430</t>
  </si>
  <si>
    <t xml:space="preserve">515 NW San Remo Cir </t>
  </si>
  <si>
    <t xml:space="preserve">10338 Fire Flag Trl </t>
  </si>
  <si>
    <t>19-43-24-c1-05578.0160</t>
  </si>
  <si>
    <t>Cape Coral Unit 33 Blk.2191 Pb 16 Pg 50 Lots 37 + 38</t>
  </si>
  <si>
    <t>Cape Coral Unit 17 Blk.1480 Pb 14 Pg 24 Lot 37 Thru 39</t>
  </si>
  <si>
    <t>60061-2668</t>
  </si>
  <si>
    <t>48624-8213</t>
  </si>
  <si>
    <t>17-43-24-c3-05786.0090</t>
  </si>
  <si>
    <t>Zwanziger</t>
  </si>
  <si>
    <t>11-44-25-07-00000.1740</t>
  </si>
  <si>
    <t>William Brian Warren Living Trust</t>
  </si>
  <si>
    <t>75248-3455</t>
  </si>
  <si>
    <t xml:space="preserve">7439 7 mile Rd  Freeland, MI 48623-8907 </t>
  </si>
  <si>
    <t>Equity</t>
  </si>
  <si>
    <t>Brussels</t>
  </si>
  <si>
    <t xml:space="preserve">206 NE 23rd Ave  Cape Coral, FL 33909 </t>
  </si>
  <si>
    <t xml:space="preserve">PO Box 1117  Hewitt, NJ 07421-5117 </t>
  </si>
  <si>
    <t>33909-6531</t>
  </si>
  <si>
    <t>Centerville</t>
  </si>
  <si>
    <t>Selhurst</t>
  </si>
  <si>
    <t>Joshua Berisford &amp; Ulrike Faidt-Berisford</t>
  </si>
  <si>
    <t>Diamanti</t>
  </si>
  <si>
    <t>31-43-24-c3-02142.0240</t>
  </si>
  <si>
    <t>Phoenix</t>
  </si>
  <si>
    <t>Lapadula</t>
  </si>
  <si>
    <t xml:space="preserve">1026 Anclote Dr </t>
  </si>
  <si>
    <t>Bld De La Meuse</t>
  </si>
  <si>
    <t>03-44-26-06-00027.0030</t>
  </si>
  <si>
    <t xml:space="preserve">144 Sweet Water Cres  Richmond Hill, ON L4s 2B4 </t>
  </si>
  <si>
    <t>Rosita Butchey</t>
  </si>
  <si>
    <t>Cape Coral Unit 88 Blk 5763 Pb 24 Pg 133 Lots 3 + 4</t>
  </si>
  <si>
    <t>Kings</t>
  </si>
  <si>
    <t>Shores</t>
  </si>
  <si>
    <t xml:space="preserve">620 Pine St  Jackson, NJ 08527-4746 </t>
  </si>
  <si>
    <t xml:space="preserve">3015 NE 1st Ave  Cape Coral, FL 33909 </t>
  </si>
  <si>
    <t>Squitieri</t>
  </si>
  <si>
    <t>Lehigh Acres Unit 9 Blk 46 Pb 26 Pg 11 Lot 8</t>
  </si>
  <si>
    <t>Dominguez</t>
  </si>
  <si>
    <t>01-44-23-c2-02461.0030</t>
  </si>
  <si>
    <t>34108-1828</t>
  </si>
  <si>
    <t xml:space="preserve">3900 NE 8th Pl </t>
  </si>
  <si>
    <t>Antonio &amp; Lucia Flores</t>
  </si>
  <si>
    <t xml:space="preserve">1715 NE 44th Ter  Cape Coral, FL 33909 </t>
  </si>
  <si>
    <t xml:space="preserve">18813 N State Road 13  Elwood, IN 46036-8748 </t>
  </si>
  <si>
    <t>Grossi Ezio Tr</t>
  </si>
  <si>
    <t>Langston</t>
  </si>
  <si>
    <t xml:space="preserve">6511 Cedarwood Ave  Fort Myers, FL 33905 </t>
  </si>
  <si>
    <t xml:space="preserve">5 Curtis Rd  Saugus, MA 01906-3058 </t>
  </si>
  <si>
    <t>Daniel &amp; Lucie Larochelle</t>
  </si>
  <si>
    <t xml:space="preserve">10223 Meadow Beauty Trl  Fort Myers, FL 33905 </t>
  </si>
  <si>
    <t xml:space="preserve">6146 Hughes Ave  Fort Myers, FL 33905 </t>
  </si>
  <si>
    <t>Cape Coral Unit 31 Blk 2057 Pb 14 Pg 158 Lots 24 + 25</t>
  </si>
  <si>
    <t>Cape Coral Unit 87 Blk 5696 Pb 24 Pg 81 Lots 9 Thru 11</t>
  </si>
  <si>
    <t xml:space="preserve">4221 Green Shanty Rd  Ooltewah, TN 37363-8443 </t>
  </si>
  <si>
    <t xml:space="preserve">333 Pearl St 18h </t>
  </si>
  <si>
    <t xml:space="preserve">322 NE 17th St  Cape Coral, FL 33909 </t>
  </si>
  <si>
    <t xml:space="preserve">9615 Windgate Dr  Bloomington, IL 61705-5513 </t>
  </si>
  <si>
    <t>Covertito</t>
  </si>
  <si>
    <t>Yanicky</t>
  </si>
  <si>
    <t xml:space="preserve">3428 NE 21st Pl  Cape Coral, FL 33909 </t>
  </si>
  <si>
    <t>40004-1425</t>
  </si>
  <si>
    <t xml:space="preserve">927 NE 33rd Ln </t>
  </si>
  <si>
    <t>Cape Coral Unit 87 Blk 5739 Pb 24 Pg 78 Lots 33 Thru 35</t>
  </si>
  <si>
    <t xml:space="preserve">3014 SE 6th Ave  Cape Coral, FL 33904 </t>
  </si>
  <si>
    <t>Cape Coral Unit 84 Blk 5579 Pb 24 Pg 46 Lots 51 + 52</t>
  </si>
  <si>
    <t>98683-3441</t>
  </si>
  <si>
    <t xml:space="preserve">1209 NE 14th Ave  Cape Coral, FL 33909 </t>
  </si>
  <si>
    <t xml:space="preserve">418 Old Country Rd </t>
  </si>
  <si>
    <t xml:space="preserve">Agence Immobiliere </t>
  </si>
  <si>
    <t>33909-0803</t>
  </si>
  <si>
    <t xml:space="preserve">8220 Cascade Oaks Dr  Orlando, FL 32822-7772 </t>
  </si>
  <si>
    <t xml:space="preserve">PO Box 580215  Bronx, NY 10458 </t>
  </si>
  <si>
    <t>Mario &amp; For Mascali</t>
  </si>
  <si>
    <t>Robert &amp; Carol Konken</t>
  </si>
  <si>
    <t>33573-6786</t>
  </si>
  <si>
    <t xml:space="preserve">1809 NE 21st Ave  Cape Coral, FL 33909 </t>
  </si>
  <si>
    <t xml:space="preserve">7301 Santa Fe Pkwy </t>
  </si>
  <si>
    <t>Savocchi</t>
  </si>
  <si>
    <t xml:space="preserve">4128 NE 15th Ave </t>
  </si>
  <si>
    <t>Cape Coral Unit 36 Blk 2351 Pb 16 Pg 124 Lots 54 + 55</t>
  </si>
  <si>
    <t xml:space="preserve">1212 NE 20th Ave </t>
  </si>
  <si>
    <t>N2026</t>
  </si>
  <si>
    <t xml:space="preserve">220 NW 195th Ave </t>
  </si>
  <si>
    <t>Cape Coral Unit 87 Blk.5719 Pb 24 Pg 79 All Of Undiv.Blk.5719</t>
  </si>
  <si>
    <t xml:space="preserve">922 NE 5th Ave </t>
  </si>
  <si>
    <t>60523-1890</t>
  </si>
  <si>
    <t>20-43-24-c4-05633.0510</t>
  </si>
  <si>
    <t>Old Schoolhouse</t>
  </si>
  <si>
    <t>10304-3319</t>
  </si>
  <si>
    <t xml:space="preserve">4005 NE 10th Ave </t>
  </si>
  <si>
    <t>33904-4110</t>
  </si>
  <si>
    <t>Martha Castillo</t>
  </si>
  <si>
    <t>Vitex</t>
  </si>
  <si>
    <t>Cape Coral Unit 36 Blk 2313 Pb 16 Pg 123 Lots 53 + 54</t>
  </si>
  <si>
    <t>36-43-23-c2-02543.0080</t>
  </si>
  <si>
    <t>34-43-25-03-00001.0420</t>
  </si>
  <si>
    <t>36-43-23-c3-02482.0310</t>
  </si>
  <si>
    <t>32-43-24-c3-02236.0570</t>
  </si>
  <si>
    <t xml:space="preserve">10211 Yellowtop Trl </t>
  </si>
  <si>
    <t>60481-9478</t>
  </si>
  <si>
    <t xml:space="preserve">1317 NE 35th St </t>
  </si>
  <si>
    <t xml:space="preserve">1520 Berkshire Dr SE </t>
  </si>
  <si>
    <t>59101-6444</t>
  </si>
  <si>
    <t xml:space="preserve">1413 NE Juanita Pl </t>
  </si>
  <si>
    <t xml:space="preserve">3605 NE 14th Pl </t>
  </si>
  <si>
    <t>20601-2902</t>
  </si>
  <si>
    <t xml:space="preserve">3767 NE 14th Ave  Cape Coral, FL 33909 </t>
  </si>
  <si>
    <t>40215-2647</t>
  </si>
  <si>
    <t xml:space="preserve">1226 Susquehanna Ave </t>
  </si>
  <si>
    <t>Nicole Roy</t>
  </si>
  <si>
    <t>Hobson</t>
  </si>
  <si>
    <t>10457-3405</t>
  </si>
  <si>
    <t>Cape Coral Unit 6 Pt 3 Blk 71 Pb 11 Pg 74 Lots 32 + 33</t>
  </si>
  <si>
    <t xml:space="preserve">2013 NE 6th Ave  Cape Coral, FL 33909 </t>
  </si>
  <si>
    <t>Chilliwack</t>
  </si>
  <si>
    <t xml:space="preserve">126 Dana Ln </t>
  </si>
  <si>
    <t>90631-7723</t>
  </si>
  <si>
    <t>08753-4616</t>
  </si>
  <si>
    <t>Hassfurder</t>
  </si>
  <si>
    <t>Antonio Ibarra &amp; Maria Dedezarate</t>
  </si>
  <si>
    <t>Cypress Woods Rv Resort Unit 4 Pb 79 Pgs 68-71 Blk D Lot 29</t>
  </si>
  <si>
    <t>Calabasas</t>
  </si>
  <si>
    <t>33905-2852</t>
  </si>
  <si>
    <t>06-44-24-c1-02079.0130</t>
  </si>
  <si>
    <t xml:space="preserve">2410 SW 10th Ave  Cape Coral, FL 33991-3387 </t>
  </si>
  <si>
    <t>Danny &amp; Tamara Giles</t>
  </si>
  <si>
    <t>Gloria &amp; Anne Gilrace</t>
  </si>
  <si>
    <t>Cape Coral Unit 36 Blk 2311 Pb 16 Pg 121 Lots 49 + 50</t>
  </si>
  <si>
    <t>R150</t>
  </si>
  <si>
    <t>Allan Lee</t>
  </si>
  <si>
    <t xml:space="preserve">2501 Haddow Ave </t>
  </si>
  <si>
    <t xml:space="preserve">10210 Meadow Beauty Trl </t>
  </si>
  <si>
    <t>Juan Fernandez</t>
  </si>
  <si>
    <t>07850-1712</t>
  </si>
  <si>
    <t>Pablo &amp; Maria Rodriguez</t>
  </si>
  <si>
    <t>Robert &amp; Christiane Dedieu</t>
  </si>
  <si>
    <t xml:space="preserve">18911 N Fruitport Rd  Spring Lake, MI 49456-1162 </t>
  </si>
  <si>
    <t>20-43-24-c4-05634.0310</t>
  </si>
  <si>
    <t>29-43-24-c3-02272.0140</t>
  </si>
  <si>
    <t>08831-4025</t>
  </si>
  <si>
    <t xml:space="preserve">1404 N Millstream Dr  Mchenry, IL 60050-4322 </t>
  </si>
  <si>
    <t xml:space="preserve">2650 Colonade Ln  North Port, FL 34286-5042 </t>
  </si>
  <si>
    <t xml:space="preserve">150 Knollwood Dr </t>
  </si>
  <si>
    <t>Cape Coral Unit 34 Blk 2099 Pb 16 Pg 83 Lots 40 + 41</t>
  </si>
  <si>
    <t>25-43-23-c1-02323.0270</t>
  </si>
  <si>
    <t>19-43-24-c2-05587.0070</t>
  </si>
  <si>
    <t>Cape Coral Unit 88 Blk 5828 Pb 24 Pg 142 Lots 33 + 34</t>
  </si>
  <si>
    <t>Thuhien</t>
  </si>
  <si>
    <t>Saint Roberts</t>
  </si>
  <si>
    <t>Alstead</t>
  </si>
  <si>
    <t>Angelina &amp; Ramona Acevedo</t>
  </si>
  <si>
    <t>Cape Coral Unit 85 Blk 5665 Pb 24 Pg 54 Lots 12 + 13</t>
  </si>
  <si>
    <t>Anicio Gallo</t>
  </si>
  <si>
    <t>33909-1030</t>
  </si>
  <si>
    <t xml:space="preserve">10317 Fire Flag Trl  Fort Myers, FL 33905 </t>
  </si>
  <si>
    <t>Pollak</t>
  </si>
  <si>
    <t>For Wayne &amp; Marilyn Bartlett Trust</t>
  </si>
  <si>
    <t xml:space="preserve">4753 Meadow Lark Dr  Lorain, OH 44053-1482 </t>
  </si>
  <si>
    <t>Rosebud</t>
  </si>
  <si>
    <t xml:space="preserve">966 Pine Valley Cir  Mississauga, ON L5w 1Z1 </t>
  </si>
  <si>
    <t>33196-1555</t>
  </si>
  <si>
    <t>Jasmin &amp; Justin Paulson</t>
  </si>
  <si>
    <t xml:space="preserve">14120 Carlos St </t>
  </si>
  <si>
    <t xml:space="preserve">3601 E Gator Cir  Cape Coral, FL 33909 </t>
  </si>
  <si>
    <t xml:space="preserve">25 Patricia Dr </t>
  </si>
  <si>
    <t xml:space="preserve">1231 Everest Pkwy  Cape Coral, FL 33904 </t>
  </si>
  <si>
    <t xml:space="preserve">5260 Cypress Trail Resort Cir  Fort Myers, FL 33905 </t>
  </si>
  <si>
    <t>Big Top</t>
  </si>
  <si>
    <t>Balkissoon</t>
  </si>
  <si>
    <t>Phillip Rickermann</t>
  </si>
  <si>
    <t>Helen C Brisson Revocable Trust</t>
  </si>
  <si>
    <t xml:space="preserve">240 Warren Ave </t>
  </si>
  <si>
    <t>Chamberlain James L Tr For Chamberlain Trust</t>
  </si>
  <si>
    <t xml:space="preserve">37 Rue Joseph Henot </t>
  </si>
  <si>
    <t>Addison</t>
  </si>
  <si>
    <t>Bofill</t>
  </si>
  <si>
    <t xml:space="preserve">548 Henry St #2, Brooklyn, NY 11231-2859 </t>
  </si>
  <si>
    <t>33909-3422</t>
  </si>
  <si>
    <t xml:space="preserve">2816 State Road 13  Saint Johns, FL 32259-9264 </t>
  </si>
  <si>
    <t>Pilgrim</t>
  </si>
  <si>
    <t>Cape Coral Unit 31 Blk 2060 Pb 14 Pg 159 Lots 26 + 27</t>
  </si>
  <si>
    <t xml:space="preserve">3303 NE 13th Ave </t>
  </si>
  <si>
    <t>Tomasz</t>
  </si>
  <si>
    <t>Scott &amp; Katherine Mcafee</t>
  </si>
  <si>
    <t>Bogota Cund</t>
  </si>
  <si>
    <t xml:space="preserve">215 NE 15th St </t>
  </si>
  <si>
    <t xml:space="preserve">610 Palio Ct  Ocoee, FL 34761-5034 </t>
  </si>
  <si>
    <t xml:space="preserve">1009 NE 36th St  Cape Coral, FL 33909 </t>
  </si>
  <si>
    <t>Birmingham</t>
  </si>
  <si>
    <t>20650-4566</t>
  </si>
  <si>
    <t>Abigail &amp; Katrina Tuano</t>
  </si>
  <si>
    <t>05-44-24-c2-2211a.0030</t>
  </si>
  <si>
    <t>Stephen W and Teresa M Teresa M Jenkins Family Trust</t>
  </si>
  <si>
    <t>Jasper</t>
  </si>
  <si>
    <t xml:space="preserve">3646 N Albany Ave </t>
  </si>
  <si>
    <t>11-44-25-11-00000.2180</t>
  </si>
  <si>
    <t xml:space="preserve">9017 185th St  Hollis, NY 11423-2422 </t>
  </si>
  <si>
    <t xml:space="preserve">Camanchile Dr Balingbing </t>
  </si>
  <si>
    <t xml:space="preserve">7946 Brooke Vista Ln </t>
  </si>
  <si>
    <t>Cape Coral Unit 36 Blk 2543 Pb 16 Pg 115 Lots 4 + 5</t>
  </si>
  <si>
    <t>Rebeca Roberts</t>
  </si>
  <si>
    <t>Zeng</t>
  </si>
  <si>
    <t xml:space="preserve">634 NE 8th St  Cape Coral, FL 33909 </t>
  </si>
  <si>
    <t>Pinnick</t>
  </si>
  <si>
    <t xml:space="preserve">901 NE Juanita Pl </t>
  </si>
  <si>
    <t>Cypress Trail Rv Resort Phase 2-A As Desc In Inst# 2014000026506 Lot 183</t>
  </si>
  <si>
    <t xml:space="preserve">4017 NE 8th Pl  Cape Coral, FL 33909 </t>
  </si>
  <si>
    <t>13212-1008</t>
  </si>
  <si>
    <t>08-44-24-c3-01512.0210</t>
  </si>
  <si>
    <t>Bryan &amp; Shea Hilliard</t>
  </si>
  <si>
    <t xml:space="preserve">2664 Grand Concourse 5g </t>
  </si>
  <si>
    <t>11-44-25-l1-1400b.4550</t>
  </si>
  <si>
    <t>Lake Elmo</t>
  </si>
  <si>
    <t xml:space="preserve">5766 Burrwood Ct  Fort Myers, FL 33905 </t>
  </si>
  <si>
    <t xml:space="preserve">5711 Cypress Woods Resort Dr  Fort Myers, FL 33905 </t>
  </si>
  <si>
    <t xml:space="preserve">106 Chapin Lake Trl  Marshall, MI 49068-9451 </t>
  </si>
  <si>
    <t xml:space="preserve">227 Amy Dr </t>
  </si>
  <si>
    <t>Greenlawn</t>
  </si>
  <si>
    <t>Kingston Terrace Blk C Pb 6 Pg 55 Lot 12</t>
  </si>
  <si>
    <t xml:space="preserve">5212 Cypress Trail Resort Cir </t>
  </si>
  <si>
    <t>10031-8021</t>
  </si>
  <si>
    <t>30024-3316</t>
  </si>
  <si>
    <t xml:space="preserve">3841 Knowlton St </t>
  </si>
  <si>
    <t>Medrano</t>
  </si>
  <si>
    <t>Cape Coral Unit 84 Blk 5556 Pb 24 Pg 32 Lots 51 + 52</t>
  </si>
  <si>
    <t>Phillip Johnson</t>
  </si>
  <si>
    <t>Henrique Morata</t>
  </si>
  <si>
    <t xml:space="preserve">4838 Colfax Ave S  Minneapolis, MN 55419-5320 </t>
  </si>
  <si>
    <t xml:space="preserve">104 Rich Dr  Palm Springs, FL 33406-6513 </t>
  </si>
  <si>
    <t xml:space="preserve">18401 SW 119th Ave </t>
  </si>
  <si>
    <t xml:space="preserve">443 Beach 47th St  Far Rockaway, NY 11691-1118 </t>
  </si>
  <si>
    <t xml:space="preserve">11790 SW Denney Rd </t>
  </si>
  <si>
    <t xml:space="preserve">3705 Stagg Ct  Fort Myers, FL 33905 </t>
  </si>
  <si>
    <t xml:space="preserve">2036 NE 34th Ln  Cape Coral, FL 33909 </t>
  </si>
  <si>
    <t>Citrus Springs</t>
  </si>
  <si>
    <t xml:space="preserve">6005 Amherst Ave  Springfield, VA 22150-3228 </t>
  </si>
  <si>
    <t>46143-6737</t>
  </si>
  <si>
    <t xml:space="preserve">3532 NE 17th Pl  Cape Coral, FL 33909 </t>
  </si>
  <si>
    <t>Kukli</t>
  </si>
  <si>
    <t>11-44-25-04-0000b.0680</t>
  </si>
  <si>
    <t>33909-4498</t>
  </si>
  <si>
    <t xml:space="preserve">3753 NE 15th Ave  Cape Coral, FL 33909 </t>
  </si>
  <si>
    <t>Tel Aviv</t>
  </si>
  <si>
    <t xml:space="preserve">3604 NE 9th Ave </t>
  </si>
  <si>
    <t>65809-4680</t>
  </si>
  <si>
    <t xml:space="preserve">2205 NE 2nd Ave </t>
  </si>
  <si>
    <t xml:space="preserve">8 Dana Dr  Pleasant Valley, NY 12569-5303 </t>
  </si>
  <si>
    <t xml:space="preserve">10194 E Atherton Rd  Davison, MI 48423-8704 </t>
  </si>
  <si>
    <t>Yuger</t>
  </si>
  <si>
    <t>Indarjit</t>
  </si>
  <si>
    <t>Cheryll</t>
  </si>
  <si>
    <t xml:space="preserve">950 E 28th St </t>
  </si>
  <si>
    <t xml:space="preserve">313 NE 29th St </t>
  </si>
  <si>
    <t>PO Box 127892</t>
  </si>
  <si>
    <t>Richard &amp; Karen Reeves</t>
  </si>
  <si>
    <t xml:space="preserve">5446/5448 Fifth Ave </t>
  </si>
  <si>
    <t xml:space="preserve">2009 NE 44th Ter  Cape Coral, FL 33909 </t>
  </si>
  <si>
    <t>Nollan</t>
  </si>
  <si>
    <t xml:space="preserve">6221 82nd Pl  Middle Village, NY 11379-1430 </t>
  </si>
  <si>
    <t xml:space="preserve">3857 Hoffman St </t>
  </si>
  <si>
    <t>Cape Coral Unit 34 Blk 2460 Pb 16 Pg 86 Lots 35 + 36</t>
  </si>
  <si>
    <t>Jagannathan</t>
  </si>
  <si>
    <t>Loc Vanphan</t>
  </si>
  <si>
    <t>Ted &amp; Rhonda Freiburger</t>
  </si>
  <si>
    <t>Leopoldo &amp; Leticia Domingo</t>
  </si>
  <si>
    <t>17-43-24-c3-05798.0010</t>
  </si>
  <si>
    <t>Tamiami</t>
  </si>
  <si>
    <t xml:space="preserve">7421 Meridian St </t>
  </si>
  <si>
    <t>Minooka</t>
  </si>
  <si>
    <t>Celeska</t>
  </si>
  <si>
    <t>Marshfield Hills</t>
  </si>
  <si>
    <t xml:space="preserve">12576 SW 259th St  Homestead, FL 33032-1205 </t>
  </si>
  <si>
    <t>Carrasco</t>
  </si>
  <si>
    <t>Leroy &amp; Phyllis Oeding</t>
  </si>
  <si>
    <t xml:space="preserve">14225 SW 37th St  Miami, FL 33175-7410 </t>
  </si>
  <si>
    <t xml:space="preserve">3709 Statham Dr </t>
  </si>
  <si>
    <t>Barbara Kirschner</t>
  </si>
  <si>
    <t>11021-4638</t>
  </si>
  <si>
    <t>33026-1352</t>
  </si>
  <si>
    <t>Menen</t>
  </si>
  <si>
    <t xml:space="preserve">600 S State St #100 </t>
  </si>
  <si>
    <t>Derochers</t>
  </si>
  <si>
    <t>Castle Mountain</t>
  </si>
  <si>
    <t xml:space="preserve">103 NE 16th Ter  Cape Coral, FL 33909 </t>
  </si>
  <si>
    <t>Robinson</t>
  </si>
  <si>
    <t>Cape Coral Unit 35 Blk 2053 Pb 16 Pg 111 Lots 83 + 84</t>
  </si>
  <si>
    <t xml:space="preserve">102 Essex Dr  Longwood, FL 32779-5717 </t>
  </si>
  <si>
    <t xml:space="preserve">1317 NE 33rd Ln </t>
  </si>
  <si>
    <t>03-44-26-09-00045.0040</t>
  </si>
  <si>
    <t xml:space="preserve">1349 Lexington Ave 4b, New York, NY 10128-1514 </t>
  </si>
  <si>
    <t>44060-2945</t>
  </si>
  <si>
    <t>11-44-24-01-000p0.0540</t>
  </si>
  <si>
    <t>Evelyn Planas</t>
  </si>
  <si>
    <t xml:space="preserve">1305 NE 36th Ln  Cape Coral, FL 33909 </t>
  </si>
  <si>
    <t>25-43-23-c4-02300.a380</t>
  </si>
  <si>
    <t xml:space="preserve">1341 NE 32nd Ln </t>
  </si>
  <si>
    <t>Vitollo</t>
  </si>
  <si>
    <t>Cape Coral Unit 88 Blk 5780 Pb 24 Pg 135 Lots 31 + 32</t>
  </si>
  <si>
    <t>Cape Coral Unit 88 Blk 5814 Pb 24 Pg 139 Lots 31 + 32</t>
  </si>
  <si>
    <t>Thanh</t>
  </si>
  <si>
    <t xml:space="preserve">3845 Knowlton St  Fort Myers, FL 33905 </t>
  </si>
  <si>
    <t>33909-3275</t>
  </si>
  <si>
    <t>25-43-23-c4-02306.0130</t>
  </si>
  <si>
    <t>05-44-24-c1-03540.0150</t>
  </si>
  <si>
    <t>Cape Coral Unit 33 Blk 2203 Pb 16 Pg 45 Lots 39 + 40</t>
  </si>
  <si>
    <t>Lehigh Acres Unit 1 Blk 2 Pb 26 Pg 22 Lot 3</t>
  </si>
  <si>
    <t>Cape Coral Unit 31 Blk 2100 Pb 14 Pg 163 Lots 24 Thru 27</t>
  </si>
  <si>
    <t>Palmona Park Unit 1 Blk 46 Pb 7 Pg 54 Lots 1 + 2</t>
  </si>
  <si>
    <t xml:space="preserve">19 Royal Crest Rd  Horseheads, NY 14845-1388 </t>
  </si>
  <si>
    <t xml:space="preserve">1902 NE 34th St  Cape Coral, FL 33909 </t>
  </si>
  <si>
    <t xml:space="preserve">28312 Katie Rd  Chesterfield, MI 48047-6406 </t>
  </si>
  <si>
    <t>Cape Coral Unit 34 Blk 2453 Pb 16 Pg 86 Lots 23 + 24</t>
  </si>
  <si>
    <t xml:space="preserve">6009 Jonathan Ave </t>
  </si>
  <si>
    <t>Winslowe</t>
  </si>
  <si>
    <t>Lakeshore</t>
  </si>
  <si>
    <t>C26</t>
  </si>
  <si>
    <t>Wolcott</t>
  </si>
  <si>
    <t>Odalis</t>
  </si>
  <si>
    <t>08232-3008</t>
  </si>
  <si>
    <t>Cape Coral Unit 33 Blk 2284 Pb 16 Pg 59 Lots 10 + 11</t>
  </si>
  <si>
    <t>Cape Coral Unit 17 Blk 1537 Pb 14 Pg 31 Lots 57 Thru 59</t>
  </si>
  <si>
    <t>Matteo</t>
  </si>
  <si>
    <t>For Froehlich Trust</t>
  </si>
  <si>
    <t>32-43-24-c1-02194.0050</t>
  </si>
  <si>
    <t xml:space="preserve">279 Edinboro Rd  Staten Island, NY 10306-1204 </t>
  </si>
  <si>
    <t xml:space="preserve"># 31  Neunkirchen Seelscheid, DE 53819 </t>
  </si>
  <si>
    <t>Loffa</t>
  </si>
  <si>
    <t xml:space="preserve">2219 Church Rd  Toms River, NJ 08753-8105 </t>
  </si>
  <si>
    <t>36-43-23-c1-02523.0340</t>
  </si>
  <si>
    <t>Cape Coral Unit 84 Blk 5593 Pb 24 Pg 41 Lots 78 + 79</t>
  </si>
  <si>
    <t>11-44-25-05-0000c.0420</t>
  </si>
  <si>
    <t>Deseixas</t>
  </si>
  <si>
    <t xml:space="preserve">5318 Cypress Trail Resort Cir </t>
  </si>
  <si>
    <t>Daniel Renollett</t>
  </si>
  <si>
    <t>For Marcel A Guionnaud Trust</t>
  </si>
  <si>
    <t>Glenna</t>
  </si>
  <si>
    <t xml:space="preserve">4767 New Broad St </t>
  </si>
  <si>
    <t xml:space="preserve">15 E Colorado Blvd #4 </t>
  </si>
  <si>
    <t>05-44-24-c2-03521.0280</t>
  </si>
  <si>
    <t>11423-1148</t>
  </si>
  <si>
    <t xml:space="preserve">1413 Everest Pkwy  Cape Coral, FL 33904 </t>
  </si>
  <si>
    <t>Ridgeway</t>
  </si>
  <si>
    <t xml:space="preserve">61 Birch Grov  Upper Tantallon, NS B3z 1L1 </t>
  </si>
  <si>
    <t xml:space="preserve">415 Sacramento St </t>
  </si>
  <si>
    <t>Nicola Niemisto</t>
  </si>
  <si>
    <t xml:space="preserve">18a-40 Calle 105 #202, Bogota, CO </t>
  </si>
  <si>
    <t xml:space="preserve">260 E Reliance Rd  Souderton, PA 18964-1345 </t>
  </si>
  <si>
    <t xml:space="preserve">2704 Croquet Cir  High Point, NC 27262-5017 </t>
  </si>
  <si>
    <t>Patricia Sciullo</t>
  </si>
  <si>
    <t>Yvonne Winston</t>
  </si>
  <si>
    <t>Donald &amp; Robert Mcgregor</t>
  </si>
  <si>
    <t xml:space="preserve">439 NE 1st Ave </t>
  </si>
  <si>
    <t>Hall</t>
  </si>
  <si>
    <t>33909-4733</t>
  </si>
  <si>
    <t>01-44-23-c3-02425.0260</t>
  </si>
  <si>
    <t xml:space="preserve">11 N Main St  Boonton, NJ 07005-8734 </t>
  </si>
  <si>
    <t>Cape Coral Unit 85 Blk 5667 Pb 24 Pg 53 Lots 38 + 39</t>
  </si>
  <si>
    <t>Paul Gold &amp; Richard Scheibel</t>
  </si>
  <si>
    <t>Andrius &amp; Ramune Dudaitis</t>
  </si>
  <si>
    <t>33905-4558</t>
  </si>
  <si>
    <t>Rivas</t>
  </si>
  <si>
    <t xml:space="preserve">4004 NE 17th Ave </t>
  </si>
  <si>
    <t xml:space="preserve">1821 NE 23rd Ave </t>
  </si>
  <si>
    <t>33909-4444</t>
  </si>
  <si>
    <t xml:space="preserve">1908 NE 21st Pl  Cape Coral, FL 33909 </t>
  </si>
  <si>
    <t>Reightneour</t>
  </si>
  <si>
    <t xml:space="preserve">10246 Meadow Beauty Trl  Fort Myers, FL 33905 </t>
  </si>
  <si>
    <t xml:space="preserve">11500 Arbor Lakes Pkwy N #3141 </t>
  </si>
  <si>
    <t>L A &amp; Raphael Farkas</t>
  </si>
  <si>
    <t>Nick</t>
  </si>
  <si>
    <t>33351-4761</t>
  </si>
  <si>
    <t xml:space="preserve">20023 State Highway 91 </t>
  </si>
  <si>
    <t>Waterfront</t>
  </si>
  <si>
    <t xml:space="preserve">12224 NW 306 </t>
  </si>
  <si>
    <t>Germansville</t>
  </si>
  <si>
    <t>Munchen</t>
  </si>
  <si>
    <t xml:space="preserve">7040 E Highland Rd </t>
  </si>
  <si>
    <t>19-43-24-c4-05566.0050</t>
  </si>
  <si>
    <t>Amanda Mae</t>
  </si>
  <si>
    <t>02891-5827</t>
  </si>
  <si>
    <t>Merriman</t>
  </si>
  <si>
    <t xml:space="preserve">435 Cedar Run Dock Rd  West Creek, NJ 08092-3141 </t>
  </si>
  <si>
    <t>Shady Acres Sub Pb 33 Pg 99 Lot 29</t>
  </si>
  <si>
    <t>33909-1389</t>
  </si>
  <si>
    <t>Cape Coral Unit 33 Blk.2191 Pb 16 Pg 50 Lots 35 + 36</t>
  </si>
  <si>
    <t>North New Hyde Park</t>
  </si>
  <si>
    <t>America Outdoors Camper Resort 1 Condo Blk R Or 1673 Pg 2487 Unit 62</t>
  </si>
  <si>
    <t>John Olson</t>
  </si>
  <si>
    <t>PO Box 287</t>
  </si>
  <si>
    <t>Gibbstown</t>
  </si>
  <si>
    <t>194th</t>
  </si>
  <si>
    <t>Yailin Machado</t>
  </si>
  <si>
    <t>Susan Reuter</t>
  </si>
  <si>
    <t>Cape Coral Unit 36 Pt 1 Blk 2513 Pb 23 Pg 91 Lots 30 + 31</t>
  </si>
  <si>
    <t xml:space="preserve">9511 Poplar Creek Pl  Leo, IN 46765-9588 </t>
  </si>
  <si>
    <t>Miami Beach</t>
  </si>
  <si>
    <t>06-44-24-c4-02065.0420</t>
  </si>
  <si>
    <t>33909-5417</t>
  </si>
  <si>
    <t>Yates</t>
  </si>
  <si>
    <t>Horace &amp; Doris Rabbi</t>
  </si>
  <si>
    <t xml:space="preserve">1421 NE 6th Pl </t>
  </si>
  <si>
    <t xml:space="preserve">404 SE 33rd St  Cape Coral, FL 33904 </t>
  </si>
  <si>
    <t>33905-8689</t>
  </si>
  <si>
    <t>Cypress Trail Rv Resort Phase 2-A As Desc In Inst# 2014000026506 Lot 16</t>
  </si>
  <si>
    <t xml:space="preserve">121 NE 31st Ter  Cape Coral, FL 33909 </t>
  </si>
  <si>
    <t>01-44-23-c2-02465.0510</t>
  </si>
  <si>
    <t>Ty</t>
  </si>
  <si>
    <t>G G &amp; Catherine Saketos</t>
  </si>
  <si>
    <t>03-44-26-09-00041.0100</t>
  </si>
  <si>
    <t>12-44-23-c2-02361.0170</t>
  </si>
  <si>
    <t xml:space="preserve">260 Shelton Cir </t>
  </si>
  <si>
    <t>Gareau</t>
  </si>
  <si>
    <t>Flemington</t>
  </si>
  <si>
    <t xml:space="preserve">5850 Witzel Rd SE  Salem, OR 97317-9558 </t>
  </si>
  <si>
    <t xml:space="preserve">929 NE Juanita Pl  Cape Coral, FL 33909 </t>
  </si>
  <si>
    <t>Cape Coral Unit 36 Blk 2305 Pb 16 Pg 120 Lots 36 + 37</t>
  </si>
  <si>
    <t xml:space="preserve">6145 Hester Ave </t>
  </si>
  <si>
    <t xml:space="preserve">264 W Ridgewood Ave </t>
  </si>
  <si>
    <t>Solina</t>
  </si>
  <si>
    <t xml:space="preserve">2610 NE 20th Pl  Cape Coral, FL 33909 </t>
  </si>
  <si>
    <t>Douvas</t>
  </si>
  <si>
    <t>04-44-25-03-00015.5990</t>
  </si>
  <si>
    <t>Cape Coral Unit 87 Blk 5715 Pb 24 Pg 76 Lots 17 + 18</t>
  </si>
  <si>
    <t>33184-3233</t>
  </si>
  <si>
    <t>Cypress Woods Rv Resort Unit 4 Pb 79 Pgs 68-71 Blk D Lot 24</t>
  </si>
  <si>
    <t xml:space="preserve">2009 NE 42nd St  Cape Coral, FL 33909 </t>
  </si>
  <si>
    <t>06-44-24-c1-02068.0550</t>
  </si>
  <si>
    <t>Louisville</t>
  </si>
  <si>
    <t>07009-1307</t>
  </si>
  <si>
    <t>Eleventh</t>
  </si>
  <si>
    <t>06-44-24-c1-02099.0220</t>
  </si>
  <si>
    <t>Anneliese</t>
  </si>
  <si>
    <t xml:space="preserve">332 Jacaranda Pkwy E  Cape Coral, FL 33909 </t>
  </si>
  <si>
    <t>Carillet</t>
  </si>
  <si>
    <t>Verandah Unit Twelve Desc In Inst#2005-156524 Blk C Lot 30</t>
  </si>
  <si>
    <t>31-44-24-c2-00640.0270</t>
  </si>
  <si>
    <t xml:space="preserve">3530 NE 18th Pl </t>
  </si>
  <si>
    <t>Countrywood</t>
  </si>
  <si>
    <t xml:space="preserve">4041 NE 19th Ave </t>
  </si>
  <si>
    <t xml:space="preserve">73747 130th St  Zearing, IA 50278-8614 </t>
  </si>
  <si>
    <t>Ronald &amp; Florence Grieser</t>
  </si>
  <si>
    <t xml:space="preserve">5651 Maplewood Ct </t>
  </si>
  <si>
    <t>Il Route 176</t>
  </si>
  <si>
    <t xml:space="preserve">4129 NE 20th Pl </t>
  </si>
  <si>
    <t>Dieter Huebl</t>
  </si>
  <si>
    <t xml:space="preserve">238 W 106th St 3e, New York, NY 10025-3527 </t>
  </si>
  <si>
    <t>Woodland Park</t>
  </si>
  <si>
    <t>Cape Coral Unit 33 Blk.2224 Pb 16 Pg 41 Lots 57 + 58</t>
  </si>
  <si>
    <t xml:space="preserve">90 County Rd </t>
  </si>
  <si>
    <t>Cape Coral Unit 32 Blk 2109 Pb 16 Pg 2 Lots 41 + 42</t>
  </si>
  <si>
    <t>C-2</t>
  </si>
  <si>
    <t xml:space="preserve">1010 NE 9th Ter </t>
  </si>
  <si>
    <t xml:space="preserve">1517 NE 35th Ln  Cape Coral, FL 33909 </t>
  </si>
  <si>
    <t>22407-9221</t>
  </si>
  <si>
    <t>33966-4725</t>
  </si>
  <si>
    <t>Staples</t>
  </si>
  <si>
    <t>19-43-24-c3-05608.0310</t>
  </si>
  <si>
    <t>Veal</t>
  </si>
  <si>
    <t>33908-8236</t>
  </si>
  <si>
    <t>Bennet</t>
  </si>
  <si>
    <t>Derby</t>
  </si>
  <si>
    <t>Avenida Primavera</t>
  </si>
  <si>
    <t>Cape Coral Unit 17 Blk.1509 Pb 14 Pg 27 Lots 102 + 103</t>
  </si>
  <si>
    <t>Angel</t>
  </si>
  <si>
    <t>Greenaire</t>
  </si>
  <si>
    <t>Fatma</t>
  </si>
  <si>
    <t>Melissa Jones</t>
  </si>
  <si>
    <t>Mildreth</t>
  </si>
  <si>
    <t>Cape Coral Unit 84 Blk 5612 Pb 24 Pg 36 Lots 75 + 76</t>
  </si>
  <si>
    <t xml:space="preserve">1307 NE 7th Pl  Cape Coral, FL 33909 </t>
  </si>
  <si>
    <t>Mount</t>
  </si>
  <si>
    <t>Ricca Frances Tr</t>
  </si>
  <si>
    <t>Matyasik</t>
  </si>
  <si>
    <t xml:space="preserve">PO Box 2060  CR </t>
  </si>
  <si>
    <t>20129-1840</t>
  </si>
  <si>
    <t xml:space="preserve">11 Canal St </t>
  </si>
  <si>
    <t>Cape Coral Unit 85 Blk 5671 Pb 24 Pg 52 Lots 11 + 12</t>
  </si>
  <si>
    <t>18-43-24-c3-05747.0370</t>
  </si>
  <si>
    <t xml:space="preserve">2 Rue Les Chenevieres </t>
  </si>
  <si>
    <t xml:space="preserve">2825 NE 5th Ave  Cape Coral, FL 33909 </t>
  </si>
  <si>
    <t xml:space="preserve">2117 NE 10th Pl  Cape Coral, FL 33909 </t>
  </si>
  <si>
    <t>Cape Coral Unit 36 Blk 2353 Pb 16 Pg 121 Lots 1 + 2</t>
  </si>
  <si>
    <t xml:space="preserve">6320 SW 138th Ct #108, Miami, FL 33183-2029 </t>
  </si>
  <si>
    <t>Yuleisy</t>
  </si>
  <si>
    <t xml:space="preserve">101 SE Ocean Blvd #302, Stuart, FL 34994-2164 </t>
  </si>
  <si>
    <t>Ashira Mohammed</t>
  </si>
  <si>
    <t xml:space="preserve">4560 Sandfort Rd </t>
  </si>
  <si>
    <t>Cape Coral Unit 84 Blk 5603 Pb 24 Pg 42 Lots 43 + 44</t>
  </si>
  <si>
    <t xml:space="preserve">4337 Governors Hill St </t>
  </si>
  <si>
    <t>19-43-24-c3-05621.0030</t>
  </si>
  <si>
    <t>Judith Duhaney</t>
  </si>
  <si>
    <t xml:space="preserve">Po Box 45 </t>
  </si>
  <si>
    <t xml:space="preserve">1005 NE 5th Pl </t>
  </si>
  <si>
    <t>Elfie</t>
  </si>
  <si>
    <t>Bucyrus</t>
  </si>
  <si>
    <t>Talkington</t>
  </si>
  <si>
    <t>Mari Salinas</t>
  </si>
  <si>
    <t xml:space="preserve">1301 Sweetwater Ave  Clewiston, FL 33440-5835 </t>
  </si>
  <si>
    <t xml:space="preserve">18 Blue Water Dr  Key West, FL 33040-6103 </t>
  </si>
  <si>
    <t>36-43-23-c2-02291.0260</t>
  </si>
  <si>
    <t>12-44-23-c1-02405.0280</t>
  </si>
  <si>
    <t>Drongen</t>
  </si>
  <si>
    <t>Cape Coral Unit 36 Blk 2521 Pb 16 Pg 113 Lots 62 Thru 64</t>
  </si>
  <si>
    <t>David Villavicencio</t>
  </si>
  <si>
    <t xml:space="preserve">1324 NE 15th Ter </t>
  </si>
  <si>
    <t xml:space="preserve">16800 NW 74th Ave </t>
  </si>
  <si>
    <t xml:space="preserve">3300 NE 191st St #1610 </t>
  </si>
  <si>
    <t xml:space="preserve">29429 Pembroke Lndg </t>
  </si>
  <si>
    <t xml:space="preserve"># 3-33 </t>
  </si>
  <si>
    <t>Todd Lawicki &amp; Alice Potts</t>
  </si>
  <si>
    <t>Sandra</t>
  </si>
  <si>
    <t xml:space="preserve">3238 NE 16th Ave  Cape Coral, FL 33909 </t>
  </si>
  <si>
    <t>Failor</t>
  </si>
  <si>
    <t>Center Valley</t>
  </si>
  <si>
    <t>Zosimo</t>
  </si>
  <si>
    <t>Cuong</t>
  </si>
  <si>
    <t xml:space="preserve">10218 Meadow Beauty Trl </t>
  </si>
  <si>
    <t xml:space="preserve">1610 NE 35th Ln </t>
  </si>
  <si>
    <t xml:space="preserve">10678 Mileblock Rd  North Collins, NY 14111-9602 </t>
  </si>
  <si>
    <t xml:space="preserve">471 NE 5th Ave  Cape Coral, FL 33909 </t>
  </si>
  <si>
    <t>60035-2739</t>
  </si>
  <si>
    <t>33909-4782</t>
  </si>
  <si>
    <t xml:space="preserve">2483 W 16th St 11e </t>
  </si>
  <si>
    <t>Cape Coral Unit 19 Blk.1210 Pb 13 Pg 126 Lots 41 + 42</t>
  </si>
  <si>
    <t xml:space="preserve">3862 Highlight St </t>
  </si>
  <si>
    <t xml:space="preserve">417 Broadway  Pompton Lakes, NJ 07442-1239 </t>
  </si>
  <si>
    <t>20-43-24-c2-05666.0690</t>
  </si>
  <si>
    <t>46140-7869</t>
  </si>
  <si>
    <t>Bernie &amp; Sandra Mckinney</t>
  </si>
  <si>
    <t>Madeline Schiraldi &amp; Hoang Nguyen</t>
  </si>
  <si>
    <t xml:space="preserve">41614 Revival Dr  Ashburn, VA 20148-1764 </t>
  </si>
  <si>
    <t>End</t>
  </si>
  <si>
    <t>33909-1335</t>
  </si>
  <si>
    <t>77080-5233</t>
  </si>
  <si>
    <t xml:space="preserve">109 Holly Tree Dr </t>
  </si>
  <si>
    <t>31-43-24-c4-02103.0330</t>
  </si>
  <si>
    <t xml:space="preserve">11601 Papershell Dr  Fort Myers, FL 33908 </t>
  </si>
  <si>
    <t>Nicholas Tilden</t>
  </si>
  <si>
    <t>Buckingham</t>
  </si>
  <si>
    <t xml:space="preserve">8621 Drumwood Rd  Towson, MD 21286-5908 </t>
  </si>
  <si>
    <t>36-43-23-c1-02522.0050</t>
  </si>
  <si>
    <t xml:space="preserve">N8368 State Road 57 </t>
  </si>
  <si>
    <t>33905-8635</t>
  </si>
  <si>
    <t xml:space="preserve">329 NE 29th Ter </t>
  </si>
  <si>
    <t>60048-1034</t>
  </si>
  <si>
    <t>17-43-24-c1-05761.0180</t>
  </si>
  <si>
    <t xml:space="preserve">Urb Villa Blanca  Trujillo Alto, PR 00976 </t>
  </si>
  <si>
    <t xml:space="preserve">63 Castle Mountain Rd  Castleton, VA 22716-2722 </t>
  </si>
  <si>
    <t xml:space="preserve">868 Dinosaur Dr </t>
  </si>
  <si>
    <t>For 2013 Ruixia Tang Trust</t>
  </si>
  <si>
    <t>Blanck</t>
  </si>
  <si>
    <t xml:space="preserve">1505 NE 35th Ter </t>
  </si>
  <si>
    <t>06-44-24-c3-02062.0340</t>
  </si>
  <si>
    <t>Hoekstra</t>
  </si>
  <si>
    <t>Cwiertniewicz</t>
  </si>
  <si>
    <t xml:space="preserve">122 NE 11th Ter  Cape Coral, FL 33909 </t>
  </si>
  <si>
    <t xml:space="preserve">711 Kismet Pkwy E  Cape Coral, FL 33909 </t>
  </si>
  <si>
    <t>Kemper</t>
  </si>
  <si>
    <t>Equity Trust Company</t>
  </si>
  <si>
    <t>33908-4732</t>
  </si>
  <si>
    <t>N5A 6S2</t>
  </si>
  <si>
    <t>10314-2318</t>
  </si>
  <si>
    <t xml:space="preserve">10210 Nicaragua Dr  Cutler Bay, FL 33189-2341 </t>
  </si>
  <si>
    <t>Eagle Falls</t>
  </si>
  <si>
    <t xml:space="preserve">2720 7th Pl NE  Center Point, AL 35215-2716 </t>
  </si>
  <si>
    <t xml:space="preserve">2104 NE 16th Pl  Cape Coral, FL 33909 </t>
  </si>
  <si>
    <t xml:space="preserve">2 Robert-Koch-Str  Delavan, WI 53115 </t>
  </si>
  <si>
    <t xml:space="preserve">13520 Sherrill Point Ct </t>
  </si>
  <si>
    <t xml:space="preserve">10250 Meadow Beauty Trl  Fort Myers, FL 33905 </t>
  </si>
  <si>
    <t>33908-4443</t>
  </si>
  <si>
    <t xml:space="preserve">16178 Brigham Ln </t>
  </si>
  <si>
    <t xml:space="preserve">6017 Thrush Ave  Fort Myers, FL 33905 </t>
  </si>
  <si>
    <t>Jenkins</t>
  </si>
  <si>
    <t>33909-2019</t>
  </si>
  <si>
    <t>Nada</t>
  </si>
  <si>
    <t>15025-3677</t>
  </si>
  <si>
    <t>Cape Coral Unit 31 Blk 2060 Pb 14 Pg 159 Lots 24 + 25</t>
  </si>
  <si>
    <t>Astengo</t>
  </si>
  <si>
    <t>Aihua Chen &amp; Guang Li</t>
  </si>
  <si>
    <t>Saint Petersburg</t>
  </si>
  <si>
    <t>Xin Lu</t>
  </si>
  <si>
    <t>Dix Hills</t>
  </si>
  <si>
    <t>12-44-23-c1-02400.0540</t>
  </si>
  <si>
    <t>Chambers</t>
  </si>
  <si>
    <t>Developement</t>
  </si>
  <si>
    <t>Jauregui</t>
  </si>
  <si>
    <t>Bowie</t>
  </si>
  <si>
    <t>Dorothy</t>
  </si>
  <si>
    <t xml:space="preserve">Po Box 20 </t>
  </si>
  <si>
    <t xml:space="preserve">10091 Stonewood Dr  Fort Myers, FL 33905 </t>
  </si>
  <si>
    <t>02124-4604</t>
  </si>
  <si>
    <t xml:space="preserve">4722 33rd St W </t>
  </si>
  <si>
    <t xml:space="preserve">1103 NE 18th Ave  Cape Coral, FL 33909 </t>
  </si>
  <si>
    <t xml:space="preserve">8955 Winding Creek Way </t>
  </si>
  <si>
    <t>90254-4825</t>
  </si>
  <si>
    <t>Cape Coral Unit 88 Blk 5786 Pb 24 Pg 131 Lots 35 + 36</t>
  </si>
  <si>
    <t>Nunnally</t>
  </si>
  <si>
    <t>May Way</t>
  </si>
  <si>
    <t>33126-8344</t>
  </si>
  <si>
    <t>Katheria Lee</t>
  </si>
  <si>
    <t>33909-3270</t>
  </si>
  <si>
    <t>Palmona Park Unit 1 Blk 42 Pb 7 Pg 54 Lot 8</t>
  </si>
  <si>
    <t>Carmenza</t>
  </si>
  <si>
    <t xml:space="preserve">926 NE 34th St  Cape Coral, FL 33909 </t>
  </si>
  <si>
    <t xml:space="preserve">St Martinstr #16, Munchen, DE 81541 </t>
  </si>
  <si>
    <t>Giurovici</t>
  </si>
  <si>
    <t xml:space="preserve">3705 Kittyhawk Dr </t>
  </si>
  <si>
    <t>33909-6439</t>
  </si>
  <si>
    <t xml:space="preserve">1405 NE 34th St  Cape Coral, FL 33909 </t>
  </si>
  <si>
    <t>Cholet</t>
  </si>
  <si>
    <t xml:space="preserve">711 NE 6th Ter  Cape Coral, FL 33909 </t>
  </si>
  <si>
    <t xml:space="preserve">1219 NE 40th Ter  Cape Coral, FL 33909 </t>
  </si>
  <si>
    <t>Joseph &amp; Gangani Singh</t>
  </si>
  <si>
    <t>Lina &amp; Sandra Duque</t>
  </si>
  <si>
    <t xml:space="preserve">1902 NE 10th Pl </t>
  </si>
  <si>
    <t>Patricia Prieto &amp; Edgar Beltran</t>
  </si>
  <si>
    <t xml:space="preserve">13154 SW 25th Pl </t>
  </si>
  <si>
    <t>31-43-24-c1-02164.0110</t>
  </si>
  <si>
    <t xml:space="preserve">3693 Heron Ridge Ln  Weston, FL 33331-3711 </t>
  </si>
  <si>
    <t>Cape Coral Unit 21 Blk 621 Pb 13 Pg 151 Lots 25 + 26</t>
  </si>
  <si>
    <t>Jaime Coutinho</t>
  </si>
  <si>
    <t xml:space="preserve">1911 NE 27th Ter </t>
  </si>
  <si>
    <t xml:space="preserve">800 N State St #402 </t>
  </si>
  <si>
    <t xml:space="preserve">1890 Country Club Rd </t>
  </si>
  <si>
    <t xml:space="preserve">1480 Washington Rd </t>
  </si>
  <si>
    <t>19-43-24-c3-05606.0220</t>
  </si>
  <si>
    <t xml:space="preserve">2218 NE 20th Ave  Cape Coral, FL 33909 </t>
  </si>
  <si>
    <t>20-43-24-c1-05641.0180</t>
  </si>
  <si>
    <t>Francisco &amp; Waleska Santos</t>
  </si>
  <si>
    <t xml:space="preserve">317 SE 32nd Ter  Cape Coral, FL 33904 </t>
  </si>
  <si>
    <t xml:space="preserve">5593 Brightwood Dr  Fort Myers, FL 33905 </t>
  </si>
  <si>
    <t>Cape Coral Unit 34 Blk 2445 Pb 16 Pg 75 Lots 43 + 44</t>
  </si>
  <si>
    <t xml:space="preserve">1232 Grand Junction Way  Roseville, CA 95747-9285 </t>
  </si>
  <si>
    <t xml:space="preserve">1729 NE 34th Ln  Cape Coral, FL 33909 </t>
  </si>
  <si>
    <t>Karin Kueper</t>
  </si>
  <si>
    <t>20-43-24-c1-05655.0440</t>
  </si>
  <si>
    <t xml:space="preserve">311 NE 25th Ter  Cape Coral, FL 33909 </t>
  </si>
  <si>
    <t>Cape Coral Unit 31 Blk 2099 Pb 14 Pg 160 Lots 1 + 2</t>
  </si>
  <si>
    <t xml:space="preserve">2310 NE 7th Ave  Cape Coral, FL 33909 </t>
  </si>
  <si>
    <t xml:space="preserve">4009 NE 22nd Ave </t>
  </si>
  <si>
    <t>33909-4243</t>
  </si>
  <si>
    <t>Gene &amp; Lorraine Giliotti</t>
  </si>
  <si>
    <t>Megan</t>
  </si>
  <si>
    <t xml:space="preserve">448 Waterleaf Ct  Marco Island, FL 34145-2704 </t>
  </si>
  <si>
    <t>Laredo</t>
  </si>
  <si>
    <t xml:space="preserve">3102 NE 6th Pl </t>
  </si>
  <si>
    <t xml:space="preserve">1223 NE 1st Pl  Cape Coral, FL 33909 </t>
  </si>
  <si>
    <t>Monte Florea</t>
  </si>
  <si>
    <t>Gmbh</t>
  </si>
  <si>
    <t xml:space="preserve">10043 Rambelwood Ct  Fort Myers, FL 33905 </t>
  </si>
  <si>
    <t>Lyudmila</t>
  </si>
  <si>
    <t xml:space="preserve">1828 NE 20th Ter  Cape Coral, FL 33909 </t>
  </si>
  <si>
    <t xml:space="preserve">6437 Beret Dr  Orlando, FL 32809-6501 </t>
  </si>
  <si>
    <t>Eugenia Reed</t>
  </si>
  <si>
    <t xml:space="preserve">6279 Bellerive Ave  Naples, FL 34119-4715 </t>
  </si>
  <si>
    <t xml:space="preserve">3805 Johnson St  Hollywood, FL 33021-6032 </t>
  </si>
  <si>
    <t xml:space="preserve">2888 Aspen Lake Dr NE #300 </t>
  </si>
  <si>
    <t>Arthur Bramanis</t>
  </si>
  <si>
    <t>Van</t>
  </si>
  <si>
    <t>R B R &amp; Gertrude Price</t>
  </si>
  <si>
    <t>Applegate</t>
  </si>
  <si>
    <t>Cape Coral Unit 36 Blk 2319 Pb 16 Pg 129 Lots 17 + 18</t>
  </si>
  <si>
    <t>Del Valle</t>
  </si>
  <si>
    <t xml:space="preserve">1632 NE 176th St </t>
  </si>
  <si>
    <t>Debra</t>
  </si>
  <si>
    <t xml:space="preserve">3522 E Gator Cir  Cape Coral, FL 33909 </t>
  </si>
  <si>
    <t>Shear Hill</t>
  </si>
  <si>
    <t xml:space="preserve">84 Crane Ave </t>
  </si>
  <si>
    <t>Richard Caldwell</t>
  </si>
  <si>
    <t>36-43-23-c4-02510.0430</t>
  </si>
  <si>
    <t xml:space="preserve">1150 Hillsborough Mile #702 </t>
  </si>
  <si>
    <t>Forest City</t>
  </si>
  <si>
    <t>32-43-24-c3-02218.0130</t>
  </si>
  <si>
    <t>03-44-26-02-00007.0040</t>
  </si>
  <si>
    <t xml:space="preserve">3511 NE 17th Ave  Cape Coral, FL 33909 </t>
  </si>
  <si>
    <t>Jair Sanchez</t>
  </si>
  <si>
    <t>Gloria</t>
  </si>
  <si>
    <t xml:space="preserve">8953 Charing Cross Rd  Woodridge, IL 60517-7514 </t>
  </si>
  <si>
    <t>33909-1962</t>
  </si>
  <si>
    <t>01-44-23-c1-02464.0030</t>
  </si>
  <si>
    <t xml:space="preserve">2911 NE Cherry Rd  Vancouver, WA 98663-3713 </t>
  </si>
  <si>
    <t xml:space="preserve">2117 Canal St </t>
  </si>
  <si>
    <t xml:space="preserve">2704 Sterling Ct  Elgin, IL 60124-5505 </t>
  </si>
  <si>
    <t xml:space="preserve">1316 NE 34th Ln  Cape Coral, FL 33909 </t>
  </si>
  <si>
    <t>Parl In Sw 1/4 Of Se 1/4 Sec 20 Twp 46 R 25 Desc In Or 895 P 480</t>
  </si>
  <si>
    <t>03-44-26-12-00066.0100</t>
  </si>
  <si>
    <t xml:space="preserve">4410 NE 22nd Ave </t>
  </si>
  <si>
    <t>33063-4413</t>
  </si>
  <si>
    <t>Cupelli</t>
  </si>
  <si>
    <t>Denovellis</t>
  </si>
  <si>
    <t>Stockton</t>
  </si>
  <si>
    <t>Southview</t>
  </si>
  <si>
    <t>Addie</t>
  </si>
  <si>
    <t>33901-5929</t>
  </si>
  <si>
    <t>33909-1673</t>
  </si>
  <si>
    <t xml:space="preserve">313 NE 13th Ter </t>
  </si>
  <si>
    <t>Olivas Brigida B Tr For Ernesto &amp; Brigida Olivas Trust</t>
  </si>
  <si>
    <t>Nicoli Dorren Tr</t>
  </si>
  <si>
    <t>Bazoff</t>
  </si>
  <si>
    <t xml:space="preserve">415 Kismet Pkwy E  Cape Coral, FL 33909 </t>
  </si>
  <si>
    <t>Hulton</t>
  </si>
  <si>
    <t>Osorio</t>
  </si>
  <si>
    <t xml:space="preserve">5052 White Sky Cir </t>
  </si>
  <si>
    <t xml:space="preserve">2022 NE 4th Ter  Cape Coral, FL 33909 </t>
  </si>
  <si>
    <t>PO Box 571</t>
  </si>
  <si>
    <t xml:space="preserve">2002 NE 17th Ave </t>
  </si>
  <si>
    <t xml:space="preserve">2220 NE 2nd Pl </t>
  </si>
  <si>
    <t xml:space="preserve">3327 SE 22nd Ave </t>
  </si>
  <si>
    <t xml:space="preserve">3902 NE 19th Pl  Cape Coral, FL 33909 </t>
  </si>
  <si>
    <t>Sukarno</t>
  </si>
  <si>
    <t>Calle</t>
  </si>
  <si>
    <t>Shelter Pines Mobile Ho Vl Blk 1 Or 493 Pg 607 Lot 2</t>
  </si>
  <si>
    <t>33909-7319</t>
  </si>
  <si>
    <t xml:space="preserve">7352 Flamingo St  Clay, MI 48001-4132 </t>
  </si>
  <si>
    <t>25-43-23-c3-02353.0010</t>
  </si>
  <si>
    <t>28715-8839</t>
  </si>
  <si>
    <t>Lastraglio</t>
  </si>
  <si>
    <t xml:space="preserve">10269 Meadow Beauty Trl  Fort Myers, FL 33905 </t>
  </si>
  <si>
    <t xml:space="preserve">13610 Shoveler Dr </t>
  </si>
  <si>
    <t xml:space="preserve">6014 Thorpe Ave </t>
  </si>
  <si>
    <t>Dixit</t>
  </si>
  <si>
    <t xml:space="preserve">1022 NE 5th Pl </t>
  </si>
  <si>
    <t>Brea</t>
  </si>
  <si>
    <t>PO Box 282</t>
  </si>
  <si>
    <t>Sahakian</t>
  </si>
  <si>
    <t xml:space="preserve">512 NW 8th Ave </t>
  </si>
  <si>
    <t>48430-9039</t>
  </si>
  <si>
    <t xml:space="preserve">6521 Buckingham Rd  Fort Myers, FL 33905 </t>
  </si>
  <si>
    <t>Zane</t>
  </si>
  <si>
    <t xml:space="preserve">3315 SE 19th Ave  Cape Coral, FL 33904 </t>
  </si>
  <si>
    <t>Cypress Trail Rv Resort Phase 2-A As Desc In Inst# 2014000026506 Lot 11</t>
  </si>
  <si>
    <t>R058</t>
  </si>
  <si>
    <t>Stahnke</t>
  </si>
  <si>
    <t xml:space="preserve">10110 Shadowood Ct </t>
  </si>
  <si>
    <t xml:space="preserve">628 103rd Ave N </t>
  </si>
  <si>
    <t xml:space="preserve">1309 Ridge St  Naples, FL 34103-4209 </t>
  </si>
  <si>
    <t xml:space="preserve">4401 NW 109th Ct </t>
  </si>
  <si>
    <t>20-43-24-c2-05663.0550</t>
  </si>
  <si>
    <t xml:space="preserve">4144 NE 19th Pl </t>
  </si>
  <si>
    <t>31-43-24-c1-02173.0080</t>
  </si>
  <si>
    <t>Magaly Gonzalez</t>
  </si>
  <si>
    <t xml:space="preserve">4223 NE 17th Ave </t>
  </si>
  <si>
    <t>Cape Coral Unit 88 Blk 5761 Pb 24 Pg 133 Lots 4 + 5</t>
  </si>
  <si>
    <t xml:space="preserve">74 Stillwells Corner Rd </t>
  </si>
  <si>
    <t>Kendy Leon &amp; Cecilia Oliva</t>
  </si>
  <si>
    <t>Sushilla</t>
  </si>
  <si>
    <t xml:space="preserve">32 Laroche Ave </t>
  </si>
  <si>
    <t>Wamsley</t>
  </si>
  <si>
    <t>12-44-23-c1-02370.0260</t>
  </si>
  <si>
    <t xml:space="preserve">6946 Carrington Cir E  West Bloomfield, MI 48322-2973 </t>
  </si>
  <si>
    <t>Laurier</t>
  </si>
  <si>
    <t>18-43-24-c3-05745.0030</t>
  </si>
  <si>
    <t>36-43-23-c3-02500.0230</t>
  </si>
  <si>
    <t xml:space="preserve">834 NE 11th St </t>
  </si>
  <si>
    <t>Shelter Pines Mobile Ho Vl Blk 3 Or 493 Pg 607 Lot 1</t>
  </si>
  <si>
    <t>Jorge &amp; Marcia Rodriguez</t>
  </si>
  <si>
    <t>Ctr</t>
  </si>
  <si>
    <t>Agence Immobiliere</t>
  </si>
  <si>
    <t xml:space="preserve">300 Diplomat Pkwy #806 </t>
  </si>
  <si>
    <t>03-44-26-03-00013.0300</t>
  </si>
  <si>
    <t xml:space="preserve">15224 SW 168th St </t>
  </si>
  <si>
    <t xml:space="preserve">4 the Kingsway #402, Etobicoke, ON M8x 2T1 </t>
  </si>
  <si>
    <t>Dawn Cowrie</t>
  </si>
  <si>
    <t>Roseberry</t>
  </si>
  <si>
    <t>Michael &amp; Stephanie Wollman</t>
  </si>
  <si>
    <t>Stone Ridge</t>
  </si>
  <si>
    <t>33012-6305</t>
  </si>
  <si>
    <t>36-43-23-c4-02513.0080</t>
  </si>
  <si>
    <t>Cape Coral Unit 32 Blk 2149 Pb 16 Pg 11 Lots 6 + 7</t>
  </si>
  <si>
    <t>Jacks</t>
  </si>
  <si>
    <t>19-43-24-c4-05556.0270</t>
  </si>
  <si>
    <t>11-45-24-04-00021.0050</t>
  </si>
  <si>
    <t xml:space="preserve">15 Rue Georges Damboise </t>
  </si>
  <si>
    <t>Branchville</t>
  </si>
  <si>
    <t xml:space="preserve">3270 NE Irving St  Portland, OR 97232-2537 </t>
  </si>
  <si>
    <t>Alexander Klein</t>
  </si>
  <si>
    <t>Flamingo</t>
  </si>
  <si>
    <t>Phyllis &amp; For Lye</t>
  </si>
  <si>
    <t>33903-7322</t>
  </si>
  <si>
    <t>25-43-23-c1-02325.0410</t>
  </si>
  <si>
    <t>Cape Coral Unit 25 Blk 900 Pb 14 Pg 94 Lots 3 + 4</t>
  </si>
  <si>
    <t>A F A &amp; Barbara Gallonio</t>
  </si>
  <si>
    <t>47108-6326</t>
  </si>
  <si>
    <t>Arturo Nava</t>
  </si>
  <si>
    <t>Ne</t>
  </si>
  <si>
    <t>John Madden</t>
  </si>
  <si>
    <t>Cape Coral Unit 32 Blk 2129 Pb 16 Pg 10 Lots 26 + 27</t>
  </si>
  <si>
    <t>31-43-26-12-0000b.0130</t>
  </si>
  <si>
    <t>33909-6488</t>
  </si>
  <si>
    <t xml:space="preserve">6n702 Brookhaven Ln  Saint Charles, IL 60175-5465 </t>
  </si>
  <si>
    <t>37th</t>
  </si>
  <si>
    <t xml:space="preserve">2302 NE 24th Ter  Cape Coral, FL 33909 </t>
  </si>
  <si>
    <t xml:space="preserve">2123 NE 20th St  Cape Coral, FL 33909 </t>
  </si>
  <si>
    <t>Short Hills</t>
  </si>
  <si>
    <t>01331-9205</t>
  </si>
  <si>
    <t xml:space="preserve">5362 White Sky Cir  Fort Myers, FL 33908 </t>
  </si>
  <si>
    <t>11434-4803</t>
  </si>
  <si>
    <t>Decristofaro</t>
  </si>
  <si>
    <t xml:space="preserve">331 E Houston St  New York, NY 10002-1195 </t>
  </si>
  <si>
    <t xml:space="preserve">4418 NE 21st Ave </t>
  </si>
  <si>
    <t xml:space="preserve">5990 Main St  Stratford, CT 06614-1620 </t>
  </si>
  <si>
    <t xml:space="preserve">2129 NE 25th Ter </t>
  </si>
  <si>
    <t>Zeitlarn Laub</t>
  </si>
  <si>
    <t>Cape Coral Unit 85 Blk 5645 Pb 24 Pg 56 Lots 15 + 16</t>
  </si>
  <si>
    <t xml:space="preserve">72d-30 Calle 1  Bogota, CO </t>
  </si>
  <si>
    <t xml:space="preserve">10803 37th Ave 3r, Corona, NY 11368-5215 </t>
  </si>
  <si>
    <t>19406-2201</t>
  </si>
  <si>
    <t>Cape Coral Unit 33 Blk.2238 Pb 16 Pg 52 Lots 57 + 58</t>
  </si>
  <si>
    <t>Cape Coral Unit 32 Blk.2146 Pb 16 Pg 5 Lot 1 Thru 3</t>
  </si>
  <si>
    <t xml:space="preserve">520 Chatham Dr </t>
  </si>
  <si>
    <t>Kofi Campbell</t>
  </si>
  <si>
    <t>Nghi</t>
  </si>
  <si>
    <t xml:space="preserve">1625 NE 34th Ln </t>
  </si>
  <si>
    <t xml:space="preserve">927 NE 32nd St </t>
  </si>
  <si>
    <t xml:space="preserve">1119 NE 44th Ln </t>
  </si>
  <si>
    <t>Hoboken</t>
  </si>
  <si>
    <t>Happy Valley</t>
  </si>
  <si>
    <t>19-43-24-c4-05557.0070</t>
  </si>
  <si>
    <t xml:space="preserve">Po Box 1117 </t>
  </si>
  <si>
    <t>Cape Coral Unit 33 Blk 2208 Pb 16 Pg 41 Lots 57 + 58</t>
  </si>
  <si>
    <t xml:space="preserve">3706 Garden Blvd </t>
  </si>
  <si>
    <t>B014</t>
  </si>
  <si>
    <t xml:space="preserve">1003 NE 1st Ave </t>
  </si>
  <si>
    <t>Chris &amp; Joseph Tavormina</t>
  </si>
  <si>
    <t>David Schneckenberg</t>
  </si>
  <si>
    <t>Ronda</t>
  </si>
  <si>
    <t xml:space="preserve">1633 NE 27th St  Cape Coral, FL 33909 </t>
  </si>
  <si>
    <t>PO Box 2114</t>
  </si>
  <si>
    <t xml:space="preserve">7171 Saint Luc Cote #208 </t>
  </si>
  <si>
    <t xml:space="preserve">25053 Cavalry Crossing Ln </t>
  </si>
  <si>
    <t xml:space="preserve">57 Ridge Cv </t>
  </si>
  <si>
    <t>33904-7122</t>
  </si>
  <si>
    <t>03077-1822</t>
  </si>
  <si>
    <t xml:space="preserve">1836 NE 22nd Ter </t>
  </si>
  <si>
    <t xml:space="preserve">109 NE 25th St  Cape Coral, FL 33909 </t>
  </si>
  <si>
    <t>11701-1172</t>
  </si>
  <si>
    <t>Russell Park Annex Blk 28 Pb 7 Pg 8 Lot 901</t>
  </si>
  <si>
    <t>16-44-26-01-00022.0100</t>
  </si>
  <si>
    <t xml:space="preserve">3225 Andalusia Blvd </t>
  </si>
  <si>
    <t>Elgin</t>
  </si>
  <si>
    <t>Farmington</t>
  </si>
  <si>
    <t xml:space="preserve">29 Mudersbach </t>
  </si>
  <si>
    <t>Cape Coral Unit 87 Blk 5748 Pb 24 Pg 69 Lots 18 + 19</t>
  </si>
  <si>
    <t>Fontaine</t>
  </si>
  <si>
    <t xml:space="preserve">4136 NE 21st Ave </t>
  </si>
  <si>
    <t>Philip &amp; Kathleen Dodd</t>
  </si>
  <si>
    <t xml:space="preserve">3344 Junction Blvd 3v </t>
  </si>
  <si>
    <t>28307-3481</t>
  </si>
  <si>
    <t>Cypress Woods Rv Resort Un 3 Desc In Pb 72 Pgs 92-95 Blk C Lot 94</t>
  </si>
  <si>
    <t>Yoo</t>
  </si>
  <si>
    <t xml:space="preserve">PO Box 2114  Key West, FL 33045-2114 </t>
  </si>
  <si>
    <t xml:space="preserve">25318 Pepper Sage Ln  Katy, TX 77494-3180 </t>
  </si>
  <si>
    <t xml:space="preserve">63 Baur St </t>
  </si>
  <si>
    <t xml:space="preserve">301 Durata </t>
  </si>
  <si>
    <t xml:space="preserve">6437 Beret Dr </t>
  </si>
  <si>
    <t>Cape Coral Unit 36 Blk 2340 Pb 16 Pg 124 Lots 63 + 64</t>
  </si>
  <si>
    <t>Carly</t>
  </si>
  <si>
    <t xml:space="preserve">2193 River Rd  Fort Myers, FL 33905 </t>
  </si>
  <si>
    <t xml:space="preserve">345 Berenger Walk </t>
  </si>
  <si>
    <t>01247-2264</t>
  </si>
  <si>
    <t>Trinity</t>
  </si>
  <si>
    <t>Schoonaert</t>
  </si>
  <si>
    <t>Moria</t>
  </si>
  <si>
    <t xml:space="preserve">7810 34th Ave 3a, Jackson Heights, NY 11372-2409 </t>
  </si>
  <si>
    <t>Cape Coral Unit 33 Blk.2224 Pb 16 Pg 41 Lots 55 + 56</t>
  </si>
  <si>
    <t>Ayu</t>
  </si>
  <si>
    <t>R004</t>
  </si>
  <si>
    <t>Carolee</t>
  </si>
  <si>
    <t xml:space="preserve">2275 Hyatts Rd </t>
  </si>
  <si>
    <t>2r</t>
  </si>
  <si>
    <t>Marcin</t>
  </si>
  <si>
    <t xml:space="preserve">5206 Cypress Trail Resort Cir  Fort Myers, FL 33905 </t>
  </si>
  <si>
    <t>Arcarola</t>
  </si>
  <si>
    <t>Arnaldo</t>
  </si>
  <si>
    <t xml:space="preserve">1417 NE 5th Pl  Cape Coral, FL 33909 </t>
  </si>
  <si>
    <t>Gema</t>
  </si>
  <si>
    <t xml:space="preserve">2110 NE 26th St  Cape Coral, FL 33909 </t>
  </si>
  <si>
    <t>Cape Coral Unit 36 Blk 2518 Pb 16 Pg 116 Lots 9 + 10</t>
  </si>
  <si>
    <t>Lonnie</t>
  </si>
  <si>
    <t>Siruk</t>
  </si>
  <si>
    <t>29-43-24-c4-02284.0240</t>
  </si>
  <si>
    <t>41701-5334</t>
  </si>
  <si>
    <t xml:space="preserve">1908 NE 18th Pl  Cape Coral, FL 33909 </t>
  </si>
  <si>
    <t xml:space="preserve">312 Mccleary Rd  Hookstown, PA 15050-1701 </t>
  </si>
  <si>
    <t>17-43-24-c4-05768.0070</t>
  </si>
  <si>
    <t>36-43-23-c4-02495.0210</t>
  </si>
  <si>
    <t>Fahy</t>
  </si>
  <si>
    <t xml:space="preserve">330 W Lockwood Ave #302 </t>
  </si>
  <si>
    <t>06-44-24-c4-02057.0240</t>
  </si>
  <si>
    <t xml:space="preserve">3339 NE 23rd Pl </t>
  </si>
  <si>
    <t xml:space="preserve">13500 Torrey Way </t>
  </si>
  <si>
    <t>Tuscan</t>
  </si>
  <si>
    <t>94520-1417</t>
  </si>
  <si>
    <t>Yolanda Santos</t>
  </si>
  <si>
    <t>Mokena</t>
  </si>
  <si>
    <t xml:space="preserve">9967 NW 7th St  Plantation, FL 33324-4908 </t>
  </si>
  <si>
    <t xml:space="preserve">5620 Commons Ln  Alpharetta, GA 30005-7277 </t>
  </si>
  <si>
    <t>33904-5814</t>
  </si>
  <si>
    <t>Cape Coral Unit 36 Pt 1 Blk 2477 Pb 23 Pg 89 Lots 53 Thru 56</t>
  </si>
  <si>
    <t>01-44-23-c1-02446.0330</t>
  </si>
  <si>
    <t>18-43-24-c3-05586.0130</t>
  </si>
  <si>
    <t>36-43-25-00-00008.0000</t>
  </si>
  <si>
    <t>34953-8233</t>
  </si>
  <si>
    <t>West Long Branch</t>
  </si>
  <si>
    <t>Maria Masser</t>
  </si>
  <si>
    <t>John Cartier &amp; Kaycie Ament</t>
  </si>
  <si>
    <t>33054-3411</t>
  </si>
  <si>
    <t xml:space="preserve">27 Founders Way </t>
  </si>
  <si>
    <t xml:space="preserve">10273 Meadow Beauty Trl  Fort Myers, FL 33905 </t>
  </si>
  <si>
    <t xml:space="preserve">La Calera Sopo #4, Cundinamrea, CO </t>
  </si>
  <si>
    <t>Michael Kuchera</t>
  </si>
  <si>
    <t xml:space="preserve">5229 Pineland Daisy Trl </t>
  </si>
  <si>
    <t>Frank &amp; Barbara Destefano</t>
  </si>
  <si>
    <t>25-43-23-c4-02353.0680</t>
  </si>
  <si>
    <t xml:space="preserve">3 Hintergasse  Reidstadt, DE 64560 </t>
  </si>
  <si>
    <t>Cape Coral Unit 84 Blk.5569 Pb 24 Pg 39 Lots 23 + 24</t>
  </si>
  <si>
    <t xml:space="preserve">1727 Lake Pl  Venice, FL 34293-1920 </t>
  </si>
  <si>
    <t xml:space="preserve">140 Cotton Top Rd </t>
  </si>
  <si>
    <t>Narain</t>
  </si>
  <si>
    <t>19-43-24-c3-05612.0050</t>
  </si>
  <si>
    <t>Mussey</t>
  </si>
  <si>
    <t xml:space="preserve">197 Providence Pike </t>
  </si>
  <si>
    <t xml:space="preserve">Po Box 254 </t>
  </si>
  <si>
    <t>Vasconez</t>
  </si>
  <si>
    <t>01-44-23-c2-02432.0010</t>
  </si>
  <si>
    <t>Farmingville</t>
  </si>
  <si>
    <t xml:space="preserve">5321 Silk Oak Ave </t>
  </si>
  <si>
    <t>Gaizka</t>
  </si>
  <si>
    <t>Kendale</t>
  </si>
  <si>
    <t>Cape Coral Unit 36 Blk 2526 Pb 16 Pg 114 Lots 5 + 6</t>
  </si>
  <si>
    <t>33909-1761</t>
  </si>
  <si>
    <t>136th street</t>
  </si>
  <si>
    <t xml:space="preserve">8961 SW 94th Ter  Miami, FL 33176-9504 </t>
  </si>
  <si>
    <t xml:space="preserve">2013 NE 18th Ave </t>
  </si>
  <si>
    <t xml:space="preserve">1918 NE 18th St  Cape Coral, FL 33909 </t>
  </si>
  <si>
    <t>36-43-23-c3-02478.0610</t>
  </si>
  <si>
    <t>Cape Coral Unit 84 Blk 5598 Pb 24 Pg 42 Lot 42</t>
  </si>
  <si>
    <t xml:space="preserve">2014 NE 25th Ter </t>
  </si>
  <si>
    <t>Cape Coral Unit 33 Blk 2236 Pb 16 Pg 52 Lots 9 + 10</t>
  </si>
  <si>
    <t>Boonen</t>
  </si>
  <si>
    <t xml:space="preserve">1289 Karth Lake Cir </t>
  </si>
  <si>
    <t>Cape Coral Unit 25 Blk 884 Pb 14 Pg 92 Lots 19 + 20</t>
  </si>
  <si>
    <t>47320-9578</t>
  </si>
  <si>
    <t xml:space="preserve">PO Box 30007  Albuquerque, NM 87190 </t>
  </si>
  <si>
    <t>25-43-23-c3-02341.0630</t>
  </si>
  <si>
    <t xml:space="preserve">6008 Stratton Rd  Fort Myers, FL 33905 </t>
  </si>
  <si>
    <t>Point Of Rocks</t>
  </si>
  <si>
    <t>Robert &amp; For Tabor</t>
  </si>
  <si>
    <t>Cape Coral Unit 33 Blk 2200 Pb 16 Pg 49 Lots 44 + 45</t>
  </si>
  <si>
    <t xml:space="preserve">923 Huron Rd </t>
  </si>
  <si>
    <t>33909-5500</t>
  </si>
  <si>
    <t xml:space="preserve">6 Maynard Cir </t>
  </si>
  <si>
    <t>Agivieszka</t>
  </si>
  <si>
    <t>Heipp</t>
  </si>
  <si>
    <t>08-44-24-c3-01525.0170</t>
  </si>
  <si>
    <t>Karr</t>
  </si>
  <si>
    <t>Cape Coral Unit 84 Blk 5619 Pb 24 Pg 33 Lot 29</t>
  </si>
  <si>
    <t xml:space="preserve">592 Van Buren St </t>
  </si>
  <si>
    <t>CR</t>
  </si>
  <si>
    <t>04928-3410</t>
  </si>
  <si>
    <t xml:space="preserve">19 Chilehalde  Rain, CH 00000 </t>
  </si>
  <si>
    <t xml:space="preserve">207 NE 15th St  Cape Coral, FL 33909 </t>
  </si>
  <si>
    <t>Phillip &amp; Nancy Lewien</t>
  </si>
  <si>
    <t>Cape Coral Unit 35 Blk 2382 Pb 16 Pg 106 Lots 21 + 22</t>
  </si>
  <si>
    <t>Chang</t>
  </si>
  <si>
    <t xml:space="preserve">3839 Knowlton St  Fort Myers, FL 33905 </t>
  </si>
  <si>
    <t>Anil</t>
  </si>
  <si>
    <t>Joyce Adolewski-Haas</t>
  </si>
  <si>
    <t>Hartwig</t>
  </si>
  <si>
    <t>Kingdom Trust Co</t>
  </si>
  <si>
    <t xml:space="preserve">1410 NE 12th Pl  Cape Coral, FL 33909 </t>
  </si>
  <si>
    <t>Cypress Woods Rv Resort Un 3 Desc In Pb 72 Pgs 92-95 Blk C Lot 40</t>
  </si>
  <si>
    <t xml:space="preserve">8780 Saddleback Rd  Park City, UT 84098-4737 </t>
  </si>
  <si>
    <t>44224-4320</t>
  </si>
  <si>
    <t>Cape Coral Unit 33 Blk 2223 Pb 16 Pg 44 Lots 3 + 4</t>
  </si>
  <si>
    <t xml:space="preserve">8909 Southbay Dr  Tampa, FL 33615-2771 </t>
  </si>
  <si>
    <t>Glenmont</t>
  </si>
  <si>
    <t>Cape Coral Unit 31 Blk 2060 Pb 14 Pg 159 Lots 22 + 23</t>
  </si>
  <si>
    <t>B063</t>
  </si>
  <si>
    <t xml:space="preserve">2305 NE 34th St </t>
  </si>
  <si>
    <t>Hilton</t>
  </si>
  <si>
    <t xml:space="preserve">3753 Kilarney St </t>
  </si>
  <si>
    <t>Ancier</t>
  </si>
  <si>
    <t xml:space="preserve">4175 NE 8th Pl  Cape Coral, FL 33909 </t>
  </si>
  <si>
    <t xml:space="preserve">5753 Highway 85 N #3191, Crestview, FL 32536-9365 </t>
  </si>
  <si>
    <t xml:space="preserve">5544 NW 85th Ave  Coral Springs, FL 33067-2886 </t>
  </si>
  <si>
    <t xml:space="preserve">78 Lewry Cres </t>
  </si>
  <si>
    <t>05-44-24-c2-03525.0270</t>
  </si>
  <si>
    <t xml:space="preserve">4418 NE 21st Ave  Cape Coral, FL 33909 </t>
  </si>
  <si>
    <t>Moreno Zamudio &amp; Quispe Paitan</t>
  </si>
  <si>
    <t>Carlos &amp; Guillermina Ricardo</t>
  </si>
  <si>
    <t>Ackerstrasse</t>
  </si>
  <si>
    <t xml:space="preserve">1134 73rd St  Brooklyn, NY 11228-2013 </t>
  </si>
  <si>
    <t>Port Labelle</t>
  </si>
  <si>
    <t>17-43-24-c2-05812.0050</t>
  </si>
  <si>
    <t xml:space="preserve">44 Gladney Ave </t>
  </si>
  <si>
    <t>Prieto &amp; John Prieto</t>
  </si>
  <si>
    <t xml:space="preserve">3405 NE 19th Pl  Cape Coral, FL 33909 </t>
  </si>
  <si>
    <t>Lehigh Acres Unit 2 Blk 10 Pb 26 Pg 4 Lot 3</t>
  </si>
  <si>
    <t>Cape Coral Unit 87 Blk 5682 Pb 24 Pg 74 Lot 39</t>
  </si>
  <si>
    <t>Cape Coral Unit 88 Blk 5786 Pb 24 Pg 131 Lots 33 + 34</t>
  </si>
  <si>
    <t>Walter &amp; Terra Cook</t>
  </si>
  <si>
    <t xml:space="preserve">42 Greenfield Ave  Kettering L, GB 00000 </t>
  </si>
  <si>
    <t xml:space="preserve">2800 Rippling Brook Pl  Ontario, CA 91761 </t>
  </si>
  <si>
    <t>Carta</t>
  </si>
  <si>
    <t>Bohorquez</t>
  </si>
  <si>
    <t xml:space="preserve">2445 83rd St  East Elmhurst, NY 11370-1632 </t>
  </si>
  <si>
    <t>Carleton</t>
  </si>
  <si>
    <t>19-43-24-c2-05594.0240</t>
  </si>
  <si>
    <t xml:space="preserve">3052 Dafoe Ter </t>
  </si>
  <si>
    <t xml:space="preserve">5236 Pineland Daisy Trl  Fort Myers, FL 33905 </t>
  </si>
  <si>
    <t xml:space="preserve">2313 NE 43rd Ln </t>
  </si>
  <si>
    <t>C036</t>
  </si>
  <si>
    <t xml:space="preserve">1902 NE 42nd Ter </t>
  </si>
  <si>
    <t>Cape Coral Unit 32 Blk 2161 Pb 16 Pg 11 Lots 58 + 59</t>
  </si>
  <si>
    <t xml:space="preserve">9630 Firenze Cir </t>
  </si>
  <si>
    <t xml:space="preserve">6139 Laurelwood Dr </t>
  </si>
  <si>
    <t>Cape Coral Unit 7 Blk.364 Pb 12 Pg 114 Lots 26 + 27</t>
  </si>
  <si>
    <t>David Pulley</t>
  </si>
  <si>
    <t>Gregory &amp; Christina Fuchs</t>
  </si>
  <si>
    <t>Cape Coral Unit 84 Blk 5579 Pb 24 Pg 48 Lots 19 + 20</t>
  </si>
  <si>
    <t xml:space="preserve">12233 Berlin Rd </t>
  </si>
  <si>
    <t>Orchid</t>
  </si>
  <si>
    <t>31-43-24-c4-02109.0410</t>
  </si>
  <si>
    <t>Ariza</t>
  </si>
  <si>
    <t xml:space="preserve">10231 Meadow Beauty Trl  Fort Myers, FL 33905 </t>
  </si>
  <si>
    <t>Romano</t>
  </si>
  <si>
    <t xml:space="preserve">2039 NE 20th St  Cape Coral, FL 33909 </t>
  </si>
  <si>
    <t>Ibis</t>
  </si>
  <si>
    <t>33909-6287</t>
  </si>
  <si>
    <t>19-43-24-c2-05596.0090</t>
  </si>
  <si>
    <t>Cape Coral Unit 84 Blk 5583 Pb 24 Pg 48 Lots 19 + 20</t>
  </si>
  <si>
    <t xml:space="preserve">318 NE 6th St  Cape Coral, FL 33909 </t>
  </si>
  <si>
    <t>33172-3794</t>
  </si>
  <si>
    <t xml:space="preserve">4138 NE 20th Ct </t>
  </si>
  <si>
    <t xml:space="preserve">2325 NE 17th St  Cape Coral, FL 33909 </t>
  </si>
  <si>
    <t xml:space="preserve">1936 NE 19th Ave </t>
  </si>
  <si>
    <t>Jakubic</t>
  </si>
  <si>
    <t>33904-3471</t>
  </si>
  <si>
    <t xml:space="preserve">119 Dehaven Dr #236 </t>
  </si>
  <si>
    <t>Truong Vu</t>
  </si>
  <si>
    <t xml:space="preserve">8361 Buckingham Rd </t>
  </si>
  <si>
    <t>Cape Coral Unit 88 Blk 5805 Pb 24 Pg 137 Lots 15 + 16</t>
  </si>
  <si>
    <t>33909-4380</t>
  </si>
  <si>
    <t xml:space="preserve">1600 Riverview Dr </t>
  </si>
  <si>
    <t xml:space="preserve">2003 Sorrento Ln  Lewisville, TX 75077-3349 </t>
  </si>
  <si>
    <t>19-43-24-c1-05551.0520</t>
  </si>
  <si>
    <t>05-44-24-c2-03526.0070</t>
  </si>
  <si>
    <t>Aleman Pupo</t>
  </si>
  <si>
    <t xml:space="preserve">6 Winthrop Ave </t>
  </si>
  <si>
    <t>Valerie</t>
  </si>
  <si>
    <t xml:space="preserve">3934 Garden Blvd  Cape Coral, FL 33909 </t>
  </si>
  <si>
    <t>33904-2705</t>
  </si>
  <si>
    <t>Boca Raton</t>
  </si>
  <si>
    <t>17-43-24-c1-05826.0120</t>
  </si>
  <si>
    <t>11-44-25-06-0000d.1030</t>
  </si>
  <si>
    <t xml:space="preserve">6420 Arbor Ave  Fort Myers, FL 33905 </t>
  </si>
  <si>
    <t xml:space="preserve">241 Amos Ave  Oceanside, NY 11572-2304 </t>
  </si>
  <si>
    <t xml:space="preserve">116 Bayway Ave </t>
  </si>
  <si>
    <t xml:space="preserve">PO Box 4129  Palmer, AK 99645-4129 </t>
  </si>
  <si>
    <t>Alina</t>
  </si>
  <si>
    <t xml:space="preserve">3411 SE 15th Pl  Cape Coral, FL 33904 </t>
  </si>
  <si>
    <t>Chet</t>
  </si>
  <si>
    <t>60152-8256</t>
  </si>
  <si>
    <t xml:space="preserve">10731 Upton Ave S  Minneapolis, MN 55431-3727 </t>
  </si>
  <si>
    <t xml:space="preserve">332 NE 19th Ter </t>
  </si>
  <si>
    <t xml:space="preserve">3513 NE 19th Ave  Cape Coral, FL 33909 </t>
  </si>
  <si>
    <t xml:space="preserve">8615 Kenton Rd  Wesley Chapel, FL 33545-2204 </t>
  </si>
  <si>
    <t xml:space="preserve">37 Lee Ave  Yonkers, NY 10705-4725 </t>
  </si>
  <si>
    <t xml:space="preserve">1209 NE 19th St  Cape Coral, FL 33909 </t>
  </si>
  <si>
    <t>68025-3912</t>
  </si>
  <si>
    <t xml:space="preserve">3707 Kilarney St </t>
  </si>
  <si>
    <t>11428-1712</t>
  </si>
  <si>
    <t xml:space="preserve">1409 NE 6th Pl  Cape Coral, FL 33909 </t>
  </si>
  <si>
    <t xml:space="preserve">15346 Myrtle St </t>
  </si>
  <si>
    <t xml:space="preserve">662 Des Epinettes Plac  Casselman, ON K0a 1M0 </t>
  </si>
  <si>
    <t>33909-3325</t>
  </si>
  <si>
    <t>Ambrosio</t>
  </si>
  <si>
    <t xml:space="preserve">1300 Mt Pleasant Rd  Woodbine, NJ 08270-3201 </t>
  </si>
  <si>
    <t>03-44-26-14-00081.0030</t>
  </si>
  <si>
    <t xml:space="preserve">1732 NE 18th Pl </t>
  </si>
  <si>
    <t>07666-2705</t>
  </si>
  <si>
    <t>Fausto Izurieta</t>
  </si>
  <si>
    <t>Donkel-Thoman</t>
  </si>
  <si>
    <t xml:space="preserve">15361/371 Cemetery Rd </t>
  </si>
  <si>
    <t xml:space="preserve">500 Three Islands Blvd L27 </t>
  </si>
  <si>
    <t>Frederick Hange &amp; Patricia Dickerson</t>
  </si>
  <si>
    <t>19-43-24-c1-05579.0490</t>
  </si>
  <si>
    <t xml:space="preserve">913 NE 15th St </t>
  </si>
  <si>
    <t>Chow</t>
  </si>
  <si>
    <t xml:space="preserve">623 NE 7th Ter  Cape Coral, FL 33909 </t>
  </si>
  <si>
    <t xml:space="preserve">506 Gale Ct </t>
  </si>
  <si>
    <t>Tirado</t>
  </si>
  <si>
    <t>Riolan Marbun</t>
  </si>
  <si>
    <t xml:space="preserve">14180 Chancellor St  Fort Myers, FL 33905 </t>
  </si>
  <si>
    <t>John &amp; Alice Connaughton</t>
  </si>
  <si>
    <t xml:space="preserve">1405 NE 17th Ave  Cape Coral, FL 33909 </t>
  </si>
  <si>
    <t>33487-2125</t>
  </si>
  <si>
    <t xml:space="preserve">402 NE 31st Ter  Cape Coral, FL 33909 </t>
  </si>
  <si>
    <t>Elsie &amp; William Rivera</t>
  </si>
  <si>
    <t>12-44-23-c2-02413.0930</t>
  </si>
  <si>
    <t>Cape Coral Unit 36 Blk 2312 Pb 16 Pg 124 Lots 51 + 52</t>
  </si>
  <si>
    <t>Raffino Family Trust</t>
  </si>
  <si>
    <t xml:space="preserve">1024 NE 32nd Ter </t>
  </si>
  <si>
    <t>Santana</t>
  </si>
  <si>
    <t>Fonda</t>
  </si>
  <si>
    <t>Hafeez</t>
  </si>
  <si>
    <t>36-43-23-c4-02489.0370</t>
  </si>
  <si>
    <t xml:space="preserve">3709 Statham Dr  Apopka, FL 32712-5844 </t>
  </si>
  <si>
    <t>92163-2777</t>
  </si>
  <si>
    <t xml:space="preserve">4004 NE 23rd Ave  Cape Coral, FL 33909 </t>
  </si>
  <si>
    <t>Budlong</t>
  </si>
  <si>
    <t>33172-4963</t>
  </si>
  <si>
    <t>Telephone</t>
  </si>
  <si>
    <t>Middleboro</t>
  </si>
  <si>
    <t>Cdd Mirada</t>
  </si>
  <si>
    <t xml:space="preserve">1131 NE 2nd Ave  Cape Coral, FL 33909 </t>
  </si>
  <si>
    <t xml:space="preserve">204 Trackers Rd </t>
  </si>
  <si>
    <t>Cape Coral Unit 32 Blk 2143 Pb 16 Pg 3 Lots 6 + 7</t>
  </si>
  <si>
    <t>Mohammad Nwilati</t>
  </si>
  <si>
    <t>Luis &amp; Luz Colon</t>
  </si>
  <si>
    <t>Emrit</t>
  </si>
  <si>
    <t>William &amp; Ling Cave</t>
  </si>
  <si>
    <t xml:space="preserve">3354 SE 16th Pl </t>
  </si>
  <si>
    <t>West Orange</t>
  </si>
  <si>
    <t>Manuela</t>
  </si>
  <si>
    <t>Cape Coral Unit 31 Blk.2068 Pb 14 Pg 163 Lots 39 + 40</t>
  </si>
  <si>
    <t>Higgins</t>
  </si>
  <si>
    <t>Felix</t>
  </si>
  <si>
    <t xml:space="preserve">15241 Cemetery Rd  Fort Myers, FL 33905 </t>
  </si>
  <si>
    <t>Juan Vichot</t>
  </si>
  <si>
    <t>M D M &amp; Helen Faircloth</t>
  </si>
  <si>
    <t xml:space="preserve">20 Westview St  Hoffman Estates, IL 60169-3052 </t>
  </si>
  <si>
    <t xml:space="preserve">9510 NE 124th St  Kirkland, WA 98034-6219 </t>
  </si>
  <si>
    <t>Chih</t>
  </si>
  <si>
    <t>Cape Coral Unit 88 Blk 5821 Pb 24 Pg 143 Lots 57 + 58</t>
  </si>
  <si>
    <t>Mccain</t>
  </si>
  <si>
    <t>36-43-23-c4-02488.0320</t>
  </si>
  <si>
    <t xml:space="preserve">2731 SE 8th Ave </t>
  </si>
  <si>
    <t>Cape Coral Unit 84 Blk 5572 Pb 24 Pg 40 Lot 27</t>
  </si>
  <si>
    <t>H047</t>
  </si>
  <si>
    <t xml:space="preserve">12724 Maryvale Ct </t>
  </si>
  <si>
    <t xml:space="preserve">5510 Cypress Woods Resort Dr </t>
  </si>
  <si>
    <t xml:space="preserve">1264 Route 206 </t>
  </si>
  <si>
    <t xml:space="preserve">1900 Greengage Rd  Windsor Mill, MD 21244-1723 </t>
  </si>
  <si>
    <t xml:space="preserve">5820 Pathwood Ct </t>
  </si>
  <si>
    <t>33909-6522</t>
  </si>
  <si>
    <t>Diego Sologuren &amp; Stefany Perez</t>
  </si>
  <si>
    <t>01-44-23-c1-02439.0440</t>
  </si>
  <si>
    <t>Kendra Smith</t>
  </si>
  <si>
    <t xml:space="preserve">5641 Cypress Woods Resort Dr  Fort Myers, FL 33905 </t>
  </si>
  <si>
    <t>Tonia Farmer &amp; Casey Pitts</t>
  </si>
  <si>
    <t>Socorro</t>
  </si>
  <si>
    <t xml:space="preserve">1107 NE 39th St  Cape Coral, FL 33909 </t>
  </si>
  <si>
    <t>Jenifer</t>
  </si>
  <si>
    <t>Metedeconk</t>
  </si>
  <si>
    <t xml:space="preserve">17f-3 No 70 Changfeng Rd </t>
  </si>
  <si>
    <t xml:space="preserve">15432 Lake Ave  Grand Haven, MI 49417-8506 </t>
  </si>
  <si>
    <t>33909-6233</t>
  </si>
  <si>
    <t xml:space="preserve">8 Franklin Hill Ave #1, Dorchester Center, MA 02124-1406 </t>
  </si>
  <si>
    <t>Boris Diez</t>
  </si>
  <si>
    <t>Stephanie Grayson</t>
  </si>
  <si>
    <t>Amy Watson &amp; Erie Lingwall</t>
  </si>
  <si>
    <t xml:space="preserve">3230 NE 14th Pl  Cape Coral, FL 33909 </t>
  </si>
  <si>
    <t>Maggi</t>
  </si>
  <si>
    <t xml:space="preserve">1715 SE 43rd St  Cape Coral, FL 33904 </t>
  </si>
  <si>
    <t>05-44-24-c4-03541.0490</t>
  </si>
  <si>
    <t xml:space="preserve">1718 NE 22nd Ter  Cape Coral, FL 33909 </t>
  </si>
  <si>
    <t>33909-8914</t>
  </si>
  <si>
    <t xml:space="preserve">200 4th St </t>
  </si>
  <si>
    <t>C085</t>
  </si>
  <si>
    <t xml:space="preserve">346 Van Name Ave  Staten Island, NY 10303-2520 </t>
  </si>
  <si>
    <t xml:space="preserve">2434 Madison Dr </t>
  </si>
  <si>
    <t>Buckingham Pk Re Blk B U-2 Blk 6 Pb 27 Pg 189 Lot 12</t>
  </si>
  <si>
    <t xml:space="preserve">9195 NW 45th St  Sunrise, FL 33351-5358 </t>
  </si>
  <si>
    <t>Cape Coral Unit 36 Blk 2528 Pb 16 Pg 113 Lots 14 + 15</t>
  </si>
  <si>
    <t xml:space="preserve">63 Centerport Rd </t>
  </si>
  <si>
    <t xml:space="preserve">1165 Everglades Blvd N  Naples, FL 34120-4908 </t>
  </si>
  <si>
    <t>Lehigh Acres Unit 10 Blk 50 Pb 26 Pg 13 Lot 20</t>
  </si>
  <si>
    <t>33909-3178</t>
  </si>
  <si>
    <t>Chantal Mcdonald</t>
  </si>
  <si>
    <t>06-46-24-15-00000.3550</t>
  </si>
  <si>
    <t>11-44-25-10-00000.4770</t>
  </si>
  <si>
    <t>Parkhaven</t>
  </si>
  <si>
    <t xml:space="preserve">916 NE 18th St </t>
  </si>
  <si>
    <t>Thomas &amp; Justin Rodriguez</t>
  </si>
  <si>
    <t xml:space="preserve">14050 Carlotta St </t>
  </si>
  <si>
    <t>Financial &amp; Grimm Paul</t>
  </si>
  <si>
    <t>12-44-23-c2-02409.0210</t>
  </si>
  <si>
    <t xml:space="preserve">7320 SW 31st St </t>
  </si>
  <si>
    <t xml:space="preserve">14600 Ridgemoor Dr  Elm Grove, WI 53122-1132 </t>
  </si>
  <si>
    <t xml:space="preserve">5760 Maplewood Ct </t>
  </si>
  <si>
    <t xml:space="preserve">Po Box 205 </t>
  </si>
  <si>
    <t xml:space="preserve">1904 N Alpine Dr  Glendale Heights, IL 60139-2107 </t>
  </si>
  <si>
    <t>28659-9347</t>
  </si>
  <si>
    <t>James Swigart &amp; Charles Morrison</t>
  </si>
  <si>
    <t>93728-1449</t>
  </si>
  <si>
    <t>Jeffcotts S/D Bl 1 Pb 4 P 19 E 40 Ft Lot 23 + All Lot 24 Desc In Or 304 P 184</t>
  </si>
  <si>
    <t>For Jay L Cutler Trust</t>
  </si>
  <si>
    <t>Marino &amp; Maria Petruzzella</t>
  </si>
  <si>
    <t>33909-1271</t>
  </si>
  <si>
    <t>Cape Coral Unit 36 Blk 2343 Pb 16 Pg 121 Lots 33 + 34</t>
  </si>
  <si>
    <t>Lane</t>
  </si>
  <si>
    <t xml:space="preserve">342 Citadel Ct </t>
  </si>
  <si>
    <t>James &amp; Jill Voglmayr</t>
  </si>
  <si>
    <t xml:space="preserve">4855 W Greenleaf Ave  Lincolnwood, IL 60712-2120 </t>
  </si>
  <si>
    <t>Husain</t>
  </si>
  <si>
    <t xml:space="preserve">457 NE Juanita Pl  Cape Coral, FL 33909 </t>
  </si>
  <si>
    <t>11550-8007</t>
  </si>
  <si>
    <t>Lehigh Acres Unit 1 W Pt Blk 4 Pb 26 Pg 2 Lot 6</t>
  </si>
  <si>
    <t xml:space="preserve">6982 Eagle Dr </t>
  </si>
  <si>
    <t xml:space="preserve">927 NE 12th St  Cape Coral, FL 33909 </t>
  </si>
  <si>
    <t xml:space="preserve">1610 NE 3rd Ave </t>
  </si>
  <si>
    <t>42330-2053</t>
  </si>
  <si>
    <t>Hiram Lopez</t>
  </si>
  <si>
    <t>Cape Coral Unit 84 Blk 5610 Pb 24 Pg 41 Lot 47 + 48</t>
  </si>
  <si>
    <t>Commerce</t>
  </si>
  <si>
    <t>01821-5240</t>
  </si>
  <si>
    <t>Mary Fairchild</t>
  </si>
  <si>
    <t>Gooden</t>
  </si>
  <si>
    <t xml:space="preserve">380 Detroit Ave </t>
  </si>
  <si>
    <t xml:space="preserve">1204 NE 12th St </t>
  </si>
  <si>
    <t>Cape Coral Unit 14 Blk 447 Pb 13 Pg 66 Lot 3</t>
  </si>
  <si>
    <t>33173-3540</t>
  </si>
  <si>
    <t>Cape Coral Unit 35 Blk.2401 Pb 16 Pg 109 Lots 20 + 21</t>
  </si>
  <si>
    <t>01-44-23-c2-02452.0100</t>
  </si>
  <si>
    <t>Punta Rassa</t>
  </si>
  <si>
    <t>Fence</t>
  </si>
  <si>
    <t>Salisbury</t>
  </si>
  <si>
    <t>Cape Coral Unit 84 Blk 5580 Pb 24 Pg 47 Lot 27</t>
  </si>
  <si>
    <t>Peter Beaudry &amp; Kimberly Hansen-Beaudry</t>
  </si>
  <si>
    <t>11-44-25-09-00000.2480</t>
  </si>
  <si>
    <t>Cadwell</t>
  </si>
  <si>
    <t xml:space="preserve">2017 Lomita Blvd </t>
  </si>
  <si>
    <t>Sixto</t>
  </si>
  <si>
    <t>20-43-24-c1-05643.0320</t>
  </si>
  <si>
    <t xml:space="preserve">1909 NE 7th Pl </t>
  </si>
  <si>
    <t>11370-1119</t>
  </si>
  <si>
    <t>Cape Coral Unit 36 Blk 2519 Pb 16 Pg 117 Lots 32 + 33</t>
  </si>
  <si>
    <t xml:space="preserve">3016 NE 5th Ave  Cape Coral, FL 33909 </t>
  </si>
  <si>
    <t xml:space="preserve">540 Artesian Way  Wausau, WI 54401-4704 </t>
  </si>
  <si>
    <t xml:space="preserve">2422 NW 40th Cir  Boca Raton, FL 33431-5416 </t>
  </si>
  <si>
    <t xml:space="preserve">875 Brompton Ct </t>
  </si>
  <si>
    <t xml:space="preserve">3740 NE 16th Ave  Pompano Beach, FL 33064-6622 </t>
  </si>
  <si>
    <t xml:space="preserve">3001 S Ocean Dr </t>
  </si>
  <si>
    <t xml:space="preserve">412 SE 29th St </t>
  </si>
  <si>
    <t>48042-4855</t>
  </si>
  <si>
    <t xml:space="preserve">PO Box 279  Chillicothe, IL 61523 </t>
  </si>
  <si>
    <t>20-43-24-c4-05637.0490</t>
  </si>
  <si>
    <t xml:space="preserve">2124 NE 40th Ter </t>
  </si>
  <si>
    <t>Tin Shui Wai N T</t>
  </si>
  <si>
    <t>33909-4636</t>
  </si>
  <si>
    <t>33055-2347</t>
  </si>
  <si>
    <t>Gwendolyn Shahan</t>
  </si>
  <si>
    <t>80421-2375</t>
  </si>
  <si>
    <t>Montreal</t>
  </si>
  <si>
    <t xml:space="preserve">8957 SW 21st Ct A, Boca Raton, FL 33433-7394 </t>
  </si>
  <si>
    <t>34-43-25-09-00000.2910</t>
  </si>
  <si>
    <t>Ida Morkos</t>
  </si>
  <si>
    <t>Cape Coral Unit 31 Blk 2100 Pb 14 Pg 163 Lots 19 Thru 21</t>
  </si>
  <si>
    <t xml:space="preserve">1803 NE 26th St  Cape Coral, FL 33909 </t>
  </si>
  <si>
    <t>33185-5111</t>
  </si>
  <si>
    <t xml:space="preserve">7797 Golf Circle Dr #304 </t>
  </si>
  <si>
    <t>Shanda</t>
  </si>
  <si>
    <t>33904-3438</t>
  </si>
  <si>
    <t xml:space="preserve">2236 Nicholas Ct  Seymour, IN 47274-7557 </t>
  </si>
  <si>
    <t>R141</t>
  </si>
  <si>
    <t xml:space="preserve">4312 NE 20th Ct </t>
  </si>
  <si>
    <t xml:space="preserve">1804 Andalusia Blvd </t>
  </si>
  <si>
    <t>Joseph &amp; Betty Doyle</t>
  </si>
  <si>
    <t>33909-4347</t>
  </si>
  <si>
    <t xml:space="preserve">5548 Northwood Dr  Center Valley, PA 18034-8814 </t>
  </si>
  <si>
    <t>Elda Miranda</t>
  </si>
  <si>
    <t>11-44-25-l1-13000.1040</t>
  </si>
  <si>
    <t>PO Box 13519</t>
  </si>
  <si>
    <t xml:space="preserve">10208 Meadow Beauty Trl  Fort Myers, FL 33905 </t>
  </si>
  <si>
    <t xml:space="preserve">2034 NE 25th St </t>
  </si>
  <si>
    <t>Gavin</t>
  </si>
  <si>
    <t>01-44-23-c2-02460.0270</t>
  </si>
  <si>
    <t>35-45-24-00-00019.0090</t>
  </si>
  <si>
    <t>Johns</t>
  </si>
  <si>
    <t>Rahamans Estates A Replat Of Lots 3 4 9 and 10 Blk 1 Of Terry Tice + Vandawalkers As Desc In Inst #2021000291430 Lot 1</t>
  </si>
  <si>
    <t xml:space="preserve">6306 Pierce Arrow Dr </t>
  </si>
  <si>
    <t xml:space="preserve">2003 NE 27th Ter  Cape Coral, FL 33909 </t>
  </si>
  <si>
    <t xml:space="preserve">910 El Dorado Pkwy E </t>
  </si>
  <si>
    <t xml:space="preserve">3726 NE 13th Ave </t>
  </si>
  <si>
    <t>Reiner Family Trust</t>
  </si>
  <si>
    <t>42368-6136</t>
  </si>
  <si>
    <t xml:space="preserve">5200 Marsh Mallow Trl </t>
  </si>
  <si>
    <t>17-43-24-c2-05801.0470</t>
  </si>
  <si>
    <t>Coral Lake</t>
  </si>
  <si>
    <t xml:space="preserve">8950 NE 8th Ave #308 </t>
  </si>
  <si>
    <t>Stephen &amp; Susan Davis</t>
  </si>
  <si>
    <t>Hansen Trust 1932</t>
  </si>
  <si>
    <t xml:space="preserve">1807 N Gator Cir </t>
  </si>
  <si>
    <t>Cape Coral Unit 34 Blk 2466 Pb 16 Pg 76 Lots 61 + 62</t>
  </si>
  <si>
    <t>49464-6831</t>
  </si>
  <si>
    <t>Hoa &amp; Angelica Nguyen</t>
  </si>
  <si>
    <t xml:space="preserve">7009 Saint Annes Ave </t>
  </si>
  <si>
    <t xml:space="preserve">1119 River Rd </t>
  </si>
  <si>
    <t>55118-4710</t>
  </si>
  <si>
    <t>Nantucket</t>
  </si>
  <si>
    <t xml:space="preserve">1631 NE 36th St </t>
  </si>
  <si>
    <t>Ghulam</t>
  </si>
  <si>
    <t>60074-6450</t>
  </si>
  <si>
    <t>Cape Coral Unit 17 Blk 1495 Pb 14 Pg 29 Lots 18 + 19</t>
  </si>
  <si>
    <t>Australia Palmers</t>
  </si>
  <si>
    <t>01-44-23-c3-02389.0430</t>
  </si>
  <si>
    <t>04-44-25-20-00002.0280</t>
  </si>
  <si>
    <t>Chemin De La Tille</t>
  </si>
  <si>
    <t>Jordyn</t>
  </si>
  <si>
    <t>03-44-26-08-00039.0060</t>
  </si>
  <si>
    <t>08836-2355</t>
  </si>
  <si>
    <t>Cape Coral Unit 36 Blk 2516 Pb 16 Pg 116 Lots 40 Thru 42</t>
  </si>
  <si>
    <t>Hrenchuk</t>
  </si>
  <si>
    <t>Freeman</t>
  </si>
  <si>
    <t>American Estate &amp; Trust Tr</t>
  </si>
  <si>
    <t>44718-1632</t>
  </si>
  <si>
    <t>11-44-25-l1-12000.3340</t>
  </si>
  <si>
    <t>19-43-24-c3-05617.0330</t>
  </si>
  <si>
    <t>Maria</t>
  </si>
  <si>
    <t>American &amp; Beverly Lee</t>
  </si>
  <si>
    <t>Cassata</t>
  </si>
  <si>
    <t>Chestnut Hill</t>
  </si>
  <si>
    <t xml:space="preserve">3408 NE 21st Pl </t>
  </si>
  <si>
    <t>Romina Damore</t>
  </si>
  <si>
    <t>New Vienna</t>
  </si>
  <si>
    <t>17-43-24-c2-05802.0270</t>
  </si>
  <si>
    <t>Johane</t>
  </si>
  <si>
    <t>Eagle Eye</t>
  </si>
  <si>
    <t xml:space="preserve">2346 NE 19th Pl </t>
  </si>
  <si>
    <t xml:space="preserve">31 Island Ave  Madison, CT 06443-3012 </t>
  </si>
  <si>
    <t xml:space="preserve">2985 Seagull Dr  Duluth, GA 30096-3960 </t>
  </si>
  <si>
    <t xml:space="preserve">121 Granada St  Royal Palm Beach, FL 33411-1308 </t>
  </si>
  <si>
    <t>11-44-25-05-0000c.0950</t>
  </si>
  <si>
    <t>Lake Leann</t>
  </si>
  <si>
    <t>Roy E Neufeldt Revocable Trust</t>
  </si>
  <si>
    <t xml:space="preserve">2330 SW 125th Ave </t>
  </si>
  <si>
    <t xml:space="preserve">2515 NE 5th Pl </t>
  </si>
  <si>
    <t>Abarbanel</t>
  </si>
  <si>
    <t xml:space="preserve">234 NE 15th St </t>
  </si>
  <si>
    <t>34-43-24-01-00039.0120</t>
  </si>
  <si>
    <t xml:space="preserve">102 NE 12th Ter  Cape Coral, FL 33909 </t>
  </si>
  <si>
    <t>Cape Coral Unit 33 Blk.2277 Pb 16 Pg 58 Lots 35 + 36</t>
  </si>
  <si>
    <t xml:space="preserve">6144 Holt Ct  Fort Myers, FL 33905 </t>
  </si>
  <si>
    <t>35243-4705</t>
  </si>
  <si>
    <t>Horas</t>
  </si>
  <si>
    <t>Barth</t>
  </si>
  <si>
    <t xml:space="preserve">40 Melbourne Rd  Great Neck, NY 11021-4638 </t>
  </si>
  <si>
    <t>20-43-24-c4-05633.0550</t>
  </si>
  <si>
    <t xml:space="preserve">1709 SE 46th St  Cape Coral, FL 33904 </t>
  </si>
  <si>
    <t>Cape Coral Unit 33 Blk 2244 Pg 16 Pg 54 Lots 13 + 14</t>
  </si>
  <si>
    <t xml:space="preserve">5918 Brightwood Dr  Fort Myers, FL 33905 </t>
  </si>
  <si>
    <t>Cape Coral Unit 34 Blk 2450 Pb 16 Pg 84 Lots 39 + 40</t>
  </si>
  <si>
    <t xml:space="preserve">7108 Chestnut St NW </t>
  </si>
  <si>
    <t xml:space="preserve">3826 Highlight St </t>
  </si>
  <si>
    <t>Hatem</t>
  </si>
  <si>
    <t xml:space="preserve">2163 Lima Loop </t>
  </si>
  <si>
    <t xml:space="preserve">3855 Hoffman St  Fort Myers, FL 33905 </t>
  </si>
  <si>
    <t xml:space="preserve">231 NE 15th St  Cape Coral, FL 33909 </t>
  </si>
  <si>
    <t>01-44-23-c4-02443.0190</t>
  </si>
  <si>
    <t xml:space="preserve">3601 NE 14th Pl  Cape Coral, FL 33909 </t>
  </si>
  <si>
    <t>Cape Coral Unit 31 Blk 2079 Pb 14 Pg 164 Lots 15 + 16</t>
  </si>
  <si>
    <t>A2</t>
  </si>
  <si>
    <t xml:space="preserve">3826 Honey Ct  Fort Myers, FL 33905 </t>
  </si>
  <si>
    <t xml:space="preserve">1861 NE 23rd St  Cape Coral, FL 33909 </t>
  </si>
  <si>
    <t>19-43-24-c3-05618.0130</t>
  </si>
  <si>
    <t>33027-5132</t>
  </si>
  <si>
    <t xml:space="preserve">2719 NE 7th Ave  Cape Coral, FL 33909 </t>
  </si>
  <si>
    <t>92028-9244</t>
  </si>
  <si>
    <t>Praxmarer</t>
  </si>
  <si>
    <t>06-44-24-c1-02077.0320</t>
  </si>
  <si>
    <t>Stokes</t>
  </si>
  <si>
    <t>Urban Honolulu</t>
  </si>
  <si>
    <t>Maximiano</t>
  </si>
  <si>
    <t xml:space="preserve">1305 NE 11th Ter  Cape Coral, FL 33909 </t>
  </si>
  <si>
    <t>Cape Coral Unit 33 Blk.2188 Pb 16 Pg 52 Lots 31 + 32</t>
  </si>
  <si>
    <t>Rue De La Carmerie</t>
  </si>
  <si>
    <t xml:space="preserve">2621 N Old Dixie Hwy </t>
  </si>
  <si>
    <t xml:space="preserve">3765 NE 14th Pl  Cape Coral, FL 33909 </t>
  </si>
  <si>
    <t xml:space="preserve">4017 NE 9th Pl </t>
  </si>
  <si>
    <t xml:space="preserve">10059 Rambelwood Ct  Fort Myers, FL 33905 </t>
  </si>
  <si>
    <t xml:space="preserve">1018 NE 6th Pl  Cape Coral, FL 33909 </t>
  </si>
  <si>
    <t xml:space="preserve">34 Blackberry Ln  Brewster, MA 02631-2404 </t>
  </si>
  <si>
    <t>24630-8528</t>
  </si>
  <si>
    <t xml:space="preserve">1701 NE 33rd Ter  Cape Coral, FL 33909 </t>
  </si>
  <si>
    <t>18a-40</t>
  </si>
  <si>
    <t>Mina</t>
  </si>
  <si>
    <t xml:space="preserve">129 W 19th St </t>
  </si>
  <si>
    <t xml:space="preserve">705 Village Green Way #310 </t>
  </si>
  <si>
    <t xml:space="preserve">2105 NE 23rd Ave  Cape Coral, FL 33909 </t>
  </si>
  <si>
    <t>Thomas Naguy &amp; Thomas For</t>
  </si>
  <si>
    <t>For Eric Woelbing Trust</t>
  </si>
  <si>
    <t>12-44-23-c2-02414.0240</t>
  </si>
  <si>
    <t>48854-9716</t>
  </si>
  <si>
    <t>Walsforf</t>
  </si>
  <si>
    <t>Leslie Williams</t>
  </si>
  <si>
    <t xml:space="preserve">15946 Overview Rd  Poway, CA 92064-2128 </t>
  </si>
  <si>
    <t xml:space="preserve">1223 NE 19th Pl  Cape Coral, FL 33909 </t>
  </si>
  <si>
    <t>Cape Coral Unit 36 Blk 2311 Pb 16 Pg 124 Lots 17 + 18</t>
  </si>
  <si>
    <t>Cape Coral Unit 84 Blk 5612 Pb 24 Pg 36 Lots 5 + 6</t>
  </si>
  <si>
    <t xml:space="preserve">545 Persimmon Dr </t>
  </si>
  <si>
    <t>Cape Coral Unit 33 Blk 2267 Pb 16 Pg 61 Lots 53 + 54</t>
  </si>
  <si>
    <t xml:space="preserve">1213 Chinkapin Pl </t>
  </si>
  <si>
    <t xml:space="preserve">1004 NE 23rd Ter </t>
  </si>
  <si>
    <t>James &amp; Selena Ramangkoun</t>
  </si>
  <si>
    <t>01-44-23-c1-02433.0410</t>
  </si>
  <si>
    <t>Eisingen</t>
  </si>
  <si>
    <t>Dunedin</t>
  </si>
  <si>
    <t>05-44-24-c1-03542.0280</t>
  </si>
  <si>
    <t>Drennen</t>
  </si>
  <si>
    <t>92653-4605</t>
  </si>
  <si>
    <t>Richard &amp; Jean Almstead</t>
  </si>
  <si>
    <t>Humphreys</t>
  </si>
  <si>
    <t>Yell &amp; Annie Low</t>
  </si>
  <si>
    <t>Cape Coral Unit 34 Blk 2448 Pb 16 Pg 84 Lots 27 Thru 30</t>
  </si>
  <si>
    <t xml:space="preserve">1407 NE 33rd Ter  Cape Coral, FL 33909 </t>
  </si>
  <si>
    <t>St Charles Harbour Ph-1 Blk 3 Pb 41 Pg 97 Lot 4</t>
  </si>
  <si>
    <t xml:space="preserve">1022 Andalusia Blvd  Cape Coral, FL 33909 </t>
  </si>
  <si>
    <t xml:space="preserve">133 Calle Andes </t>
  </si>
  <si>
    <t>03-44-26-08-00035.0120</t>
  </si>
  <si>
    <t>PO Box 621</t>
  </si>
  <si>
    <t>Pearcy</t>
  </si>
  <si>
    <t xml:space="preserve">658 W Packwood Ct  Visalia, CA 93277-6565 </t>
  </si>
  <si>
    <t>Arvada</t>
  </si>
  <si>
    <t>E E E &amp; Catherine Hemenway</t>
  </si>
  <si>
    <t xml:space="preserve">170 Manton Ave </t>
  </si>
  <si>
    <t>Belmas Dale E &amp; Kathleen Tr</t>
  </si>
  <si>
    <t xml:space="preserve">3924 NE 15th Pl  Cape Coral, FL 33909 </t>
  </si>
  <si>
    <t>Drumwood</t>
  </si>
  <si>
    <t>Cypress Trail Rv Resort As Desc In Inst# 2013000212499 Lot 270</t>
  </si>
  <si>
    <t xml:space="preserve">7 Schwalbenweg  Ritterhud, DE 27721 </t>
  </si>
  <si>
    <t>07747-1963</t>
  </si>
  <si>
    <t xml:space="preserve">1912 NE 21st Pl </t>
  </si>
  <si>
    <t>36-43-23-c2-02526.0460</t>
  </si>
  <si>
    <t>Steward</t>
  </si>
  <si>
    <t>25-43-23-c3-02355.0880</t>
  </si>
  <si>
    <t>Beg 148.4Ft N Of Se Cor Nw 1/4 Of Sw1/4 Of Nw1/4 N240ft W200ft S240 E 200 Ft To Pob Less R/W Or2516/335</t>
  </si>
  <si>
    <t>Chappaqua</t>
  </si>
  <si>
    <t>08090-1309</t>
  </si>
  <si>
    <t>08-44-25-p3-04800.3000</t>
  </si>
  <si>
    <t>Soper</t>
  </si>
  <si>
    <t>Pedro Pinto</t>
  </si>
  <si>
    <t>Cypress Trail Rv Resort Ph 4-B As Desc In Inst# 2017000057565 Lot 306</t>
  </si>
  <si>
    <t>Gene Stanley</t>
  </si>
  <si>
    <t xml:space="preserve">427 NE 23rd Ter </t>
  </si>
  <si>
    <t>34119-7716</t>
  </si>
  <si>
    <t>Michael Flynn</t>
  </si>
  <si>
    <t xml:space="preserve">N6417 Delaney Rd  Delavan, WI 53115-2464 </t>
  </si>
  <si>
    <t xml:space="preserve">8732 Birchwood Dr </t>
  </si>
  <si>
    <t>39047-8767</t>
  </si>
  <si>
    <t xml:space="preserve">1802 NE 28th St  Cape Coral, FL 33909 </t>
  </si>
  <si>
    <t xml:space="preserve">2225 NE 35th Ter  Cape Coral, FL 33909 </t>
  </si>
  <si>
    <t>Bardstown</t>
  </si>
  <si>
    <t>Gouverneur</t>
  </si>
  <si>
    <t xml:space="preserve">15026 Crystal Beach Ln </t>
  </si>
  <si>
    <t>33904-3526</t>
  </si>
  <si>
    <t xml:space="preserve">13525 SW 49th Ct </t>
  </si>
  <si>
    <t>29-43-24-c3-02249.0200</t>
  </si>
  <si>
    <t>Cape Coral Unit 34 Blk 2418 Pb 16 Pg 78 Lots 5 + 6</t>
  </si>
  <si>
    <t xml:space="preserve">10207 SW 77th Ct  Miami, FL 33156-2671 </t>
  </si>
  <si>
    <t xml:space="preserve">3826 Honey Ct </t>
  </si>
  <si>
    <t xml:space="preserve">229 Serenade Ct </t>
  </si>
  <si>
    <t>Anthony Debellis</t>
  </si>
  <si>
    <t>Cape Coral Unit 87 Blk 5735 Pb 24 Pg 77 Lots 23 Thru 25</t>
  </si>
  <si>
    <t>33909-4435</t>
  </si>
  <si>
    <t xml:space="preserve">169 Las Nueces  Urb Previ Callao Lima, PE </t>
  </si>
  <si>
    <t>11-44-25-l1-1400b.4590</t>
  </si>
  <si>
    <t>89120-2560</t>
  </si>
  <si>
    <t xml:space="preserve">Po Box 196 </t>
  </si>
  <si>
    <t>Mistletoe</t>
  </si>
  <si>
    <t xml:space="preserve">1822 NE 22nd Ave  Cape Coral, FL 33909 </t>
  </si>
  <si>
    <t xml:space="preserve">2302 Oak St </t>
  </si>
  <si>
    <t xml:space="preserve">3635 Andalusia Blvd  Cape Coral, FL 33909 </t>
  </si>
  <si>
    <t>36-43-23-c3-02498.0210</t>
  </si>
  <si>
    <t>Millan</t>
  </si>
  <si>
    <t xml:space="preserve">22607 SW 94th Path </t>
  </si>
  <si>
    <t>20601-2114</t>
  </si>
  <si>
    <t xml:space="preserve">4729 Starbuck Ave </t>
  </si>
  <si>
    <t xml:space="preserve">640 NE 2nd Pl </t>
  </si>
  <si>
    <t xml:space="preserve">6670 School Ln </t>
  </si>
  <si>
    <t>Hoffman Living Trust</t>
  </si>
  <si>
    <t>Pastora</t>
  </si>
  <si>
    <t xml:space="preserve">9112 Spring Acres Rd </t>
  </si>
  <si>
    <t>Cape Coral Unit 88 Blk 5780 Pb 24 Pg 135 Lots 5 + 6</t>
  </si>
  <si>
    <t>LEGAL DESCRIPTION</t>
  </si>
  <si>
    <t>Lehigh Acres Unit 8 Blk 39 Pb 26 Pg 10 Lot 12</t>
  </si>
  <si>
    <t>Cypress Woods Rv Resort Un 3 Desc In Pb 72 Pgs 92-95 Blk C Lot 7</t>
  </si>
  <si>
    <t>Cape Coral Unit 36 Part 1 Blk 2487 Pb 23 Pg 88 Lots 22 + 23</t>
  </si>
  <si>
    <t>Materesita &amp; Terry Gasataya</t>
  </si>
  <si>
    <t>Cape Coral Unit 88 Blk 5799 Pb 24 Pg 136 Lots 9 + 10</t>
  </si>
  <si>
    <t>Biggio</t>
  </si>
  <si>
    <t>Valeska Daley</t>
  </si>
  <si>
    <t xml:space="preserve">2603 W Saint Conrad St  Tampa, FL 33607-2918 </t>
  </si>
  <si>
    <t xml:space="preserve">13411 SW 14th Pl </t>
  </si>
  <si>
    <t xml:space="preserve">8521 2nd Ave  North Bergen, NJ 07047-5118 </t>
  </si>
  <si>
    <t xml:space="preserve">56 Meadowbrook Rd </t>
  </si>
  <si>
    <t xml:space="preserve">Po Box 98 </t>
  </si>
  <si>
    <t xml:space="preserve">6306 Pierce Arrow Dr  Arlington, TX 76001-7864 </t>
  </si>
  <si>
    <t>Andrew</t>
  </si>
  <si>
    <t xml:space="preserve">2148 NE 39th Ter  Cape Coral, FL 33909 </t>
  </si>
  <si>
    <t xml:space="preserve">1715 NE 44th Ter </t>
  </si>
  <si>
    <t>Cortez</t>
  </si>
  <si>
    <t>Tamara Kisner</t>
  </si>
  <si>
    <t>Montville</t>
  </si>
  <si>
    <t>Harts</t>
  </si>
  <si>
    <t xml:space="preserve">4236 NE 18th Ave  Cape Coral, FL 33909 </t>
  </si>
  <si>
    <t>Kirwyn Caberos</t>
  </si>
  <si>
    <t>11-44-25-l1-13000.3520</t>
  </si>
  <si>
    <t>44077-3819</t>
  </si>
  <si>
    <t>Palmona Park Unit 1 Blk 39 Pb 7 Pg 54 Lot 17</t>
  </si>
  <si>
    <t>Cape Coral Unit 88 Blk 5821 Pb 24 Pg 143 Lots 55 + 56</t>
  </si>
  <si>
    <t>19403-1677</t>
  </si>
  <si>
    <t xml:space="preserve">5213 Marsh Mallow Trl  Fort Myers, FL 33905 </t>
  </si>
  <si>
    <t xml:space="preserve">20 NE 9th Pl </t>
  </si>
  <si>
    <t>33442-8463</t>
  </si>
  <si>
    <t>Thomas &amp; Julie Rea</t>
  </si>
  <si>
    <t xml:space="preserve">239 Sylvia St </t>
  </si>
  <si>
    <t>Eliecer</t>
  </si>
  <si>
    <t>Langley</t>
  </si>
  <si>
    <t>11-44-25-11-00000.0520</t>
  </si>
  <si>
    <t xml:space="preserve">1234 NE 14th Ave </t>
  </si>
  <si>
    <t xml:space="preserve">6110 Holt Ct </t>
  </si>
  <si>
    <t xml:space="preserve">15 Du Domaine-De-L'escapade Ch  Saint-Donat-De-Montcalm, QC J0t 2C0 </t>
  </si>
  <si>
    <t>32703-7847</t>
  </si>
  <si>
    <t>25-43-23-c2-02338.0310</t>
  </si>
  <si>
    <t>Agas</t>
  </si>
  <si>
    <t>Taylor</t>
  </si>
  <si>
    <t>11783-3420</t>
  </si>
  <si>
    <t>03-44-26-09-00043.0230</t>
  </si>
  <si>
    <t xml:space="preserve">13303 Wild Basin Way  Broomfield, CO 80020-8122 </t>
  </si>
  <si>
    <t>Charlottesville</t>
  </si>
  <si>
    <t xml:space="preserve">1528 NE 17th Pl </t>
  </si>
  <si>
    <t>North Olmsted</t>
  </si>
  <si>
    <t>Gutierrez</t>
  </si>
  <si>
    <t>Cypress Woods Rv Resort Unit 4 Pb 79 Pgs 68-71 Blk D Lot 15</t>
  </si>
  <si>
    <t>Cape Coral Unit 31 Blk 2068 Pb 14 Pg 164 Lots 27 + 28</t>
  </si>
  <si>
    <t>Overlook</t>
  </si>
  <si>
    <t>33180-1431</t>
  </si>
  <si>
    <t>Guenter</t>
  </si>
  <si>
    <t xml:space="preserve">37922 Marina Rd #73 </t>
  </si>
  <si>
    <t>Cape Coral Unit 84 Blk 5594 Pb 24 Pg 41 Lots 11 + 12</t>
  </si>
  <si>
    <t xml:space="preserve">28 Le Vanto </t>
  </si>
  <si>
    <t>Doerrstein</t>
  </si>
  <si>
    <t xml:space="preserve">2201 NE Juanita Pl  Cape Coral, FL 33909 </t>
  </si>
  <si>
    <t xml:space="preserve">1709 Jersey St </t>
  </si>
  <si>
    <t xml:space="preserve">15481 Cemetery Rd </t>
  </si>
  <si>
    <t>Doverbrook</t>
  </si>
  <si>
    <t>George &amp; Lorna Weinstock</t>
  </si>
  <si>
    <t xml:space="preserve">1025 NE 5th Ave </t>
  </si>
  <si>
    <t xml:space="preserve">316 Main St </t>
  </si>
  <si>
    <t xml:space="preserve">5356 Bayside Ct  Cape Coral, FL 33904 </t>
  </si>
  <si>
    <t>Fulbio</t>
  </si>
  <si>
    <t xml:space="preserve">2821 NE 4th Ave  Cape Coral, FL 33909 </t>
  </si>
  <si>
    <t>36-43-23-c1-02515.0210</t>
  </si>
  <si>
    <t>Lambros Koutsouras</t>
  </si>
  <si>
    <t>33905-5718</t>
  </si>
  <si>
    <t>Frank &amp; Jill Colandrea</t>
  </si>
  <si>
    <t>PO Box 474</t>
  </si>
  <si>
    <t xml:space="preserve">3358 NE 13th Pl  Cape Coral, FL 33909 </t>
  </si>
  <si>
    <t>Cape Coral Unit 87 Blk 5704 Pb 24 Pg 72 Lots 5 + 6</t>
  </si>
  <si>
    <t>Old Gate</t>
  </si>
  <si>
    <t>Tavenner</t>
  </si>
  <si>
    <t xml:space="preserve">5244 Cypress Trail Resort Cir  Fort Myers, FL 33905 </t>
  </si>
  <si>
    <t>33909-5604</t>
  </si>
  <si>
    <t xml:space="preserve">11614 2nd St </t>
  </si>
  <si>
    <t>Ocean Park</t>
  </si>
  <si>
    <t xml:space="preserve">2747 NE 6th Ave  Cape Coral, FL 33909 </t>
  </si>
  <si>
    <t>Cape Coral Unit 47 Pt 2 Blk 3511 Pb 23 Pg 123 Lots 37 Thru 39</t>
  </si>
  <si>
    <t xml:space="preserve">1350 Forest Bay Dr  Waterford, MI 48328-4294 </t>
  </si>
  <si>
    <t xml:space="preserve">1513 Andalusia Blvd </t>
  </si>
  <si>
    <t xml:space="preserve">1420 NE 12th Pl  Cape Coral, FL 33909 </t>
  </si>
  <si>
    <t xml:space="preserve">1614 NE 1st Ave </t>
  </si>
  <si>
    <t xml:space="preserve">1742 NE 10th Ln </t>
  </si>
  <si>
    <t xml:space="preserve">132 Lucille Ave </t>
  </si>
  <si>
    <t xml:space="preserve">4401 NW 109th Ct  Doral, FL 33178-4220 </t>
  </si>
  <si>
    <t>P2A 2X3</t>
  </si>
  <si>
    <t>Cape Coral Unit 36 Blk 2343 Pb 16 Pg 121 Lots 31 + 32</t>
  </si>
  <si>
    <t>Ashton-Sandy Spring</t>
  </si>
  <si>
    <t xml:space="preserve">344 NE 25th St </t>
  </si>
  <si>
    <t>Tall Oaks</t>
  </si>
  <si>
    <t xml:space="preserve">625 Mahoning Ave NW  Warren, OH 44483-4607 </t>
  </si>
  <si>
    <t>46765-9588</t>
  </si>
  <si>
    <t xml:space="preserve">3841 Insdale St  Fort Myers, FL 33905 </t>
  </si>
  <si>
    <t>Est</t>
  </si>
  <si>
    <t xml:space="preserve">287 Valencia Dr </t>
  </si>
  <si>
    <t>03-44-26-07-00032.0040</t>
  </si>
  <si>
    <t xml:space="preserve">1202 Andalusia Blvd  Cape Coral, FL 33909 </t>
  </si>
  <si>
    <t>Cape Coral Unit 36 Blk 2339 Pb 16 Pg 127 Lots 43 + 44</t>
  </si>
  <si>
    <t xml:space="preserve">4034 NE 9th Pl </t>
  </si>
  <si>
    <t>18h</t>
  </si>
  <si>
    <t xml:space="preserve">5826 Deep Creek Dr </t>
  </si>
  <si>
    <t>Brown Rebecca</t>
  </si>
  <si>
    <t>Lehigh Acres Unit 14 Blk 78 Pb 26 Pg 20 Lot 9</t>
  </si>
  <si>
    <t>Cape Coral Unit 84 Blk 5607 Pb 24 Pg 35 Lots 5 + 6</t>
  </si>
  <si>
    <t>Bosque Del Rio</t>
  </si>
  <si>
    <t>14624-2761</t>
  </si>
  <si>
    <t>Aslim</t>
  </si>
  <si>
    <t>68845-2436</t>
  </si>
  <si>
    <t xml:space="preserve">5551 Cypress Woods Resort Dr  Fort Myers, FL 33905 </t>
  </si>
  <si>
    <t>11-44-25-05-0000c.0460</t>
  </si>
  <si>
    <t xml:space="preserve">1707 NE 10th Ave </t>
  </si>
  <si>
    <t>60634-3404</t>
  </si>
  <si>
    <t>Lavaque</t>
  </si>
  <si>
    <t xml:space="preserve">11 Australian Dr </t>
  </si>
  <si>
    <t>Stanbury</t>
  </si>
  <si>
    <t>Cotopaxi</t>
  </si>
  <si>
    <t>Cape Coral Unit 1 Part 2 Blk 14 Pb 11 Pg 36 Lots 31 + 32 + Or1899/4115</t>
  </si>
  <si>
    <t xml:space="preserve">1232 E 56th St  Brooklyn, NY 11234-3330 </t>
  </si>
  <si>
    <t>Ronald Mazzacane</t>
  </si>
  <si>
    <t xml:space="preserve">1208 NE 12th St </t>
  </si>
  <si>
    <t xml:space="preserve">Po Box 19000 </t>
  </si>
  <si>
    <t xml:space="preserve">PO Box 897  Grifton, NC 28530 </t>
  </si>
  <si>
    <t>Mori</t>
  </si>
  <si>
    <t>Luis Nieto &amp; Diana Diaz</t>
  </si>
  <si>
    <t>06-44-24-c2-02083.0340</t>
  </si>
  <si>
    <t xml:space="preserve">78 Sun Cir </t>
  </si>
  <si>
    <t>33909-2092</t>
  </si>
  <si>
    <t>36-43-23-c4-02476.0450</t>
  </si>
  <si>
    <t xml:space="preserve">1926 NE 20th Ave  Cape Coral, FL 33909 </t>
  </si>
  <si>
    <t xml:space="preserve">1006 Vogiantzis Pkwy  Cape Coral, FL 33909 </t>
  </si>
  <si>
    <t xml:space="preserve">8509 Kokosing Rd  Hale, MI 48739-8708 </t>
  </si>
  <si>
    <t>33909-1326</t>
  </si>
  <si>
    <t>Kaller</t>
  </si>
  <si>
    <t xml:space="preserve">502 Winston Dr  Endicott, NY 13760-2428 </t>
  </si>
  <si>
    <t xml:space="preserve">511 SW Squire Johns Ln </t>
  </si>
  <si>
    <t xml:space="preserve">10 Marc Rd  Danbury, CT 06810-8262 </t>
  </si>
  <si>
    <t xml:space="preserve">3734 NE 16th Ave  Cape Coral, FL 33909 </t>
  </si>
  <si>
    <t>Duong</t>
  </si>
  <si>
    <t>Palmona Park Unit 1 Blk 21 Pb 7 Pg 54 Lot 21</t>
  </si>
  <si>
    <t>Millstadt</t>
  </si>
  <si>
    <t xml:space="preserve">31 Duck Ln </t>
  </si>
  <si>
    <t xml:space="preserve">1841 NE 2nd St  Cape Coral, FL 33909 </t>
  </si>
  <si>
    <t xml:space="preserve">622 Greenwich St 5a, New York, NY 10014-3305 </t>
  </si>
  <si>
    <t xml:space="preserve">2432 Pinefield Rd  Waldorf, MD 20601-3239 </t>
  </si>
  <si>
    <t>31-44-24-c4-00825.0210</t>
  </si>
  <si>
    <t>25-43-23-c4-02300.a170</t>
  </si>
  <si>
    <t>63435-2042</t>
  </si>
  <si>
    <t>Cape Coral Unit 84 Blk 5609 Pb 24 Pg 41 Lots 15 + 16</t>
  </si>
  <si>
    <t xml:space="preserve">13945 SW 24th St  Miami, FL 33175-7042 </t>
  </si>
  <si>
    <t>94010-3513</t>
  </si>
  <si>
    <t>O A O &amp; Gilda Ciraco</t>
  </si>
  <si>
    <t xml:space="preserve">1102 NE 14th Ave  Cape Coral, FL 33909 </t>
  </si>
  <si>
    <t xml:space="preserve">207 Piney St  Islip Terrace, NY 11752-3009 </t>
  </si>
  <si>
    <t>Ricardo &amp; Fatima Berovides</t>
  </si>
  <si>
    <t>Cape Coral Unit 84 Blk 5562 Pb 24 Pg 36 Lots 37 + 38</t>
  </si>
  <si>
    <t xml:space="preserve">2233 Green Springs Dr </t>
  </si>
  <si>
    <t xml:space="preserve">108 Twin Lakes Rd B7, Port Deposit, MD 21904-1311 </t>
  </si>
  <si>
    <t>North Lauderdale</t>
  </si>
  <si>
    <t>Silverio</t>
  </si>
  <si>
    <t>Highway 145</t>
  </si>
  <si>
    <t xml:space="preserve">5035 N Kolmar Ave </t>
  </si>
  <si>
    <t>20-46-25-00-00016.1060</t>
  </si>
  <si>
    <t xml:space="preserve">3722 SW Wycoff St </t>
  </si>
  <si>
    <t>19-43-24-c2-05599.0030</t>
  </si>
  <si>
    <t xml:space="preserve">1801 NE 13th Ter  Cape Coral, FL 33909 </t>
  </si>
  <si>
    <t xml:space="preserve">1058 E 216th St </t>
  </si>
  <si>
    <t xml:space="preserve">1710 NE 27th Ter  Cape Coral, FL 33909 </t>
  </si>
  <si>
    <t>06-44-24-c4-02065.0460</t>
  </si>
  <si>
    <t>Mary Coppola &amp; Donna Dibenedetto</t>
  </si>
  <si>
    <t>33909-5457</t>
  </si>
  <si>
    <t xml:space="preserve">204 Mooring Dr </t>
  </si>
  <si>
    <t>Diana Tran</t>
  </si>
  <si>
    <t>92122-2734</t>
  </si>
  <si>
    <t xml:space="preserve">6065 Lacota Ave  Fort Myers, FL 33905 </t>
  </si>
  <si>
    <t xml:space="preserve">4104 Villa Flora St  Las Vegas, NV 89130-2633 </t>
  </si>
  <si>
    <t xml:space="preserve">3127 NE 14th Ave </t>
  </si>
  <si>
    <t>20743-4021</t>
  </si>
  <si>
    <t>Cape Coral Unit 84 Blk 5584 Pb 24 Pg 48 Lots 25 + 26</t>
  </si>
  <si>
    <t>Emmanuel Deperio</t>
  </si>
  <si>
    <t>Robert &amp; Dorothy Erickson</t>
  </si>
  <si>
    <t xml:space="preserve">1733 NE 35th St </t>
  </si>
  <si>
    <t xml:space="preserve">4301 NE 8th Ct </t>
  </si>
  <si>
    <t>33487-2518</t>
  </si>
  <si>
    <t>Boodrham</t>
  </si>
  <si>
    <t>Raymondi</t>
  </si>
  <si>
    <t>Dariana Infanzon</t>
  </si>
  <si>
    <t xml:space="preserve">3453 NE 11th Pl  Cape Coral, FL 33909 </t>
  </si>
  <si>
    <t xml:space="preserve">Po Box 404 </t>
  </si>
  <si>
    <t xml:space="preserve">11128 Hannaway Dr </t>
  </si>
  <si>
    <t xml:space="preserve">1531 NE 36th Ln </t>
  </si>
  <si>
    <t xml:space="preserve">3 Pauline Dr  Natick, MA 01760-3621 </t>
  </si>
  <si>
    <t>19-43-24-c1-05580.0090</t>
  </si>
  <si>
    <t xml:space="preserve">6142 Hendley Ct </t>
  </si>
  <si>
    <t>11-44-25-06-0000d.0200</t>
  </si>
  <si>
    <t>06-44-24-c1-02068.0590</t>
  </si>
  <si>
    <t>33909-3261</t>
  </si>
  <si>
    <t>Cape Coral Unit 88 Blk 5798 Pb 24 Pg 138 Lots 68 + 69</t>
  </si>
  <si>
    <t>Potter</t>
  </si>
  <si>
    <t>12304-1616</t>
  </si>
  <si>
    <t xml:space="preserve">5690 Cypress Woods Resort Dr  Fort Myers, FL 33905 </t>
  </si>
  <si>
    <t>08902-2330</t>
  </si>
  <si>
    <t>25-43-23-c4-02354.0530</t>
  </si>
  <si>
    <t>Highlight</t>
  </si>
  <si>
    <t xml:space="preserve">1505 NE 23rd Ter </t>
  </si>
  <si>
    <t xml:space="preserve">1718 NE 28th St  Cape Coral, FL 33909 </t>
  </si>
  <si>
    <t xml:space="preserve">1641 Linstead Dr </t>
  </si>
  <si>
    <t>Theresa Persing</t>
  </si>
  <si>
    <t>Cypress Trail Rv Resort Ph 4-B As Desc In Inst# 2017000057565 Lot 105</t>
  </si>
  <si>
    <t xml:space="preserve">913 Fernhill Rd  Glenside, PA 19038-3844 </t>
  </si>
  <si>
    <t xml:space="preserve">523 Richmond St #2, Elizabeth, NJ 07202-2805 </t>
  </si>
  <si>
    <t>Saintil</t>
  </si>
  <si>
    <t>Georgian Heights</t>
  </si>
  <si>
    <t xml:space="preserve">2608 Somerton Ct </t>
  </si>
  <si>
    <t xml:space="preserve">3713 Andalusia Blvd  Cape Coral, FL 33909 </t>
  </si>
  <si>
    <t xml:space="preserve">2525 Everest Pkwy  Cape Coral, FL 33904 </t>
  </si>
  <si>
    <t>12603-4703</t>
  </si>
  <si>
    <t xml:space="preserve">3339 NE 21st Ave </t>
  </si>
  <si>
    <t xml:space="preserve">16 Deer Ln </t>
  </si>
  <si>
    <t>Lasata</t>
  </si>
  <si>
    <t xml:space="preserve">5354 SW 134th Ave  Miramar, FL 33027-5448 </t>
  </si>
  <si>
    <t>Kefergasse</t>
  </si>
  <si>
    <t>01-44-23-c1-02441.0090</t>
  </si>
  <si>
    <t>Santi &amp; Virginia Delli</t>
  </si>
  <si>
    <t>Cape Coral Unit 84 Blk 5559 Pb 24 Pg 32 Lots 36 + 37</t>
  </si>
  <si>
    <t xml:space="preserve">24830 Willowbrook  Novi, MI 48375-3579 </t>
  </si>
  <si>
    <t>Harbor Pointe</t>
  </si>
  <si>
    <t>32-43-24-c3-02230.0330</t>
  </si>
  <si>
    <t>07202-2805</t>
  </si>
  <si>
    <t xml:space="preserve">103 Smith St #8 </t>
  </si>
  <si>
    <t xml:space="preserve">3747 NE 13th Ave  Cape Coral, FL 33909 </t>
  </si>
  <si>
    <t>Dumfries</t>
  </si>
  <si>
    <t>33909-7392</t>
  </si>
  <si>
    <t>Cape Coral Unit 34 Blk 2432 Pb 16 Pg 82 Lots 71 + 72</t>
  </si>
  <si>
    <t>King Of Prussia</t>
  </si>
  <si>
    <t>Minneola</t>
  </si>
  <si>
    <t xml:space="preserve">4015 NE 19th Ave  Cape Coral, FL 33909 </t>
  </si>
  <si>
    <t>36-43-23-c4-02506.0240</t>
  </si>
  <si>
    <t xml:space="preserve">52 Druid Ln </t>
  </si>
  <si>
    <t xml:space="preserve">3444 E Gator Cir  Cape Coral, FL 33909 </t>
  </si>
  <si>
    <t>02476-7008</t>
  </si>
  <si>
    <t>Waianae</t>
  </si>
  <si>
    <t xml:space="preserve">2301 NE 19th Pl </t>
  </si>
  <si>
    <t>Tenney</t>
  </si>
  <si>
    <t>09-43-24-02-00000.0190</t>
  </si>
  <si>
    <t>Vanvo</t>
  </si>
  <si>
    <t>Richard &amp; Donna Yunkus</t>
  </si>
  <si>
    <t xml:space="preserve">14 Alpine Cir </t>
  </si>
  <si>
    <t>Cape Coral Unit 31 Blk 2079 Pb 14 Pg 164 Lots 13 + 14</t>
  </si>
  <si>
    <t>Hickory Flat</t>
  </si>
  <si>
    <t xml:space="preserve">109 Cottage St  Pawtucket, RI 02860-2298 </t>
  </si>
  <si>
    <t xml:space="preserve">5770 Pathwood Ct  Fort Myers, FL 33905 </t>
  </si>
  <si>
    <t>19-43-24-c2-05603.0670</t>
  </si>
  <si>
    <t>Cape Coral Unit 36 Blk 2301 Pb 16 Pg 122 Lots 1 + 2</t>
  </si>
  <si>
    <t>91st</t>
  </si>
  <si>
    <t xml:space="preserve">1719 NE 22nd Ter  Cape Coral, FL 33909 </t>
  </si>
  <si>
    <t>Cape Coral Unit 84 Blk 5617 Pb 24 Pg 34 Lot 45</t>
  </si>
  <si>
    <t>Cesar Alza</t>
  </si>
  <si>
    <t xml:space="preserve">19856 Bristol Rd  Fort Myers, FL 33908 </t>
  </si>
  <si>
    <t>19-43-24-c3-05621.0070</t>
  </si>
  <si>
    <t xml:space="preserve">2113 NE 10th Pl </t>
  </si>
  <si>
    <t>12309-1302</t>
  </si>
  <si>
    <t>33175-4614</t>
  </si>
  <si>
    <t>Alpine</t>
  </si>
  <si>
    <t xml:space="preserve">6147 Hershey Ave </t>
  </si>
  <si>
    <t>Manon</t>
  </si>
  <si>
    <t xml:space="preserve">Po Box 589 </t>
  </si>
  <si>
    <t>Mcneal</t>
  </si>
  <si>
    <t>11-44-25-l1-13000.3030</t>
  </si>
  <si>
    <t>Parl In Sw 1/4 Of Ne 1/4 Sec 10 Twp 46 R 23 Desc In Inst#2008000223020</t>
  </si>
  <si>
    <t xml:space="preserve">6021 Tabor Ave  Fort Myers, FL 33905 </t>
  </si>
  <si>
    <t>Patricia Smith</t>
  </si>
  <si>
    <t>20155-6679</t>
  </si>
  <si>
    <t xml:space="preserve">3440 NE 17th Pl  Cape Coral, FL 33909 </t>
  </si>
  <si>
    <t xml:space="preserve">1010 NE 9th Ter  Cape Coral, FL 33909 </t>
  </si>
  <si>
    <t>98229-7600</t>
  </si>
  <si>
    <t>Aguinaldo &amp; Imelda Tan</t>
  </si>
  <si>
    <t>Khattat</t>
  </si>
  <si>
    <t xml:space="preserve">21 Halsey Dr  Brick, NJ 08723-7510 </t>
  </si>
  <si>
    <t xml:space="preserve">2011 NE 18th St  Cape Coral, FL 33909 </t>
  </si>
  <si>
    <t>33909-1664</t>
  </si>
  <si>
    <t>36-43-23-c1-02520.0240</t>
  </si>
  <si>
    <t>Perla Salonga</t>
  </si>
  <si>
    <t xml:space="preserve">27005 Jones Loop Rd #112, Punta Gorda, FL 33982-2344 </t>
  </si>
  <si>
    <t>Lehigh Acres Unit 12 E Pt Blk 66 Pb 26 Pg 15 Lot 2</t>
  </si>
  <si>
    <t xml:space="preserve">1105 N Gator Cir  Cape Coral, FL 33909 </t>
  </si>
  <si>
    <t xml:space="preserve">251 Ohio St #104 </t>
  </si>
  <si>
    <t xml:space="preserve">4243 E Gator Cir </t>
  </si>
  <si>
    <t>Joseph Montenegro</t>
  </si>
  <si>
    <t xml:space="preserve">2743 NE 7th Ave  Cape Coral, FL 33909 </t>
  </si>
  <si>
    <t xml:space="preserve">4140 NE 21st Pl </t>
  </si>
  <si>
    <t xml:space="preserve">569 Peter Paul Dr </t>
  </si>
  <si>
    <t>10038-3180</t>
  </si>
  <si>
    <t>Monterroso</t>
  </si>
  <si>
    <t xml:space="preserve">519 NE 16th Ter </t>
  </si>
  <si>
    <t xml:space="preserve">3627 NE 9th Ave </t>
  </si>
  <si>
    <t>Jose &amp; Pamela Gomez</t>
  </si>
  <si>
    <t>74014-7894</t>
  </si>
  <si>
    <t>33909-8850</t>
  </si>
  <si>
    <t>Elmgrove</t>
  </si>
  <si>
    <t>Shiu Ho</t>
  </si>
  <si>
    <t xml:space="preserve">82 Crestwood Dr </t>
  </si>
  <si>
    <t>Norbert Widmer-Kurmann</t>
  </si>
  <si>
    <t>Su</t>
  </si>
  <si>
    <t>Burchstone</t>
  </si>
  <si>
    <t>31-43-24-c1-02163.0350</t>
  </si>
  <si>
    <t>Maria &amp; Juan Mesa</t>
  </si>
  <si>
    <t xml:space="preserve">1870 NW 16th St  Miami, FL 33125-2204 </t>
  </si>
  <si>
    <t xml:space="preserve">10122 Nedra Dr  Great Falls, VA 22066-2835 </t>
  </si>
  <si>
    <t>18-43-24-c2-05734.0310</t>
  </si>
  <si>
    <t>Scott &amp; Zoya Biller</t>
  </si>
  <si>
    <t>33905-7909</t>
  </si>
  <si>
    <t xml:space="preserve">12791 Spencer St </t>
  </si>
  <si>
    <t>07109-1382</t>
  </si>
  <si>
    <t>Cape Coral Unit 36 Blk 2353 Pb 16 Pg 119 Lots 66 + 67</t>
  </si>
  <si>
    <t>20-43-24-c2-05658.0310</t>
  </si>
  <si>
    <t xml:space="preserve">339 NE 17th St </t>
  </si>
  <si>
    <t xml:space="preserve">13132 SW 57th Ter 3a, Miami, FL 33183-1223 </t>
  </si>
  <si>
    <t xml:space="preserve">Po Box 122 </t>
  </si>
  <si>
    <t xml:space="preserve">1905 NE 17th Ter </t>
  </si>
  <si>
    <t xml:space="preserve">1213 Doughty Blvd </t>
  </si>
  <si>
    <t>Cape Coral Unit 84 Blk 5600 Pb 24 Pg 43 Lots 41 + 42</t>
  </si>
  <si>
    <t>Cc</t>
  </si>
  <si>
    <t>Gaitree</t>
  </si>
  <si>
    <t>Vaz</t>
  </si>
  <si>
    <t>Clouse</t>
  </si>
  <si>
    <t xml:space="preserve">2324 NE 26th St </t>
  </si>
  <si>
    <t>Coppens Marina B Tr</t>
  </si>
  <si>
    <t>33909-2059</t>
  </si>
  <si>
    <t>Estates</t>
  </si>
  <si>
    <t>02302-1926</t>
  </si>
  <si>
    <t>Cape Coral Unit 36 Blk 2348 Pb 16 Pg 129 Lots 35 + 36</t>
  </si>
  <si>
    <t>33903-2808</t>
  </si>
  <si>
    <t xml:space="preserve">26 Lark Pl </t>
  </si>
  <si>
    <t>Laurie A Webber Trust</t>
  </si>
  <si>
    <t xml:space="preserve">304 Ernest Ct  East Meadow, NY 11554-3509 </t>
  </si>
  <si>
    <t>Wallingford</t>
  </si>
  <si>
    <t>Peter Plathan</t>
  </si>
  <si>
    <t>Cape Coral Unit 36 Blk 2346 Pb 16 Pg 124 Lots 13 + 14</t>
  </si>
  <si>
    <t>Cape Coral Unit 34 Blk 2441 Pb 16 Pg 81 Lots 39 + 40</t>
  </si>
  <si>
    <t>32-43-24-c1-02234.0200</t>
  </si>
  <si>
    <t>Coventry</t>
  </si>
  <si>
    <t>33903-7313</t>
  </si>
  <si>
    <t>Cape Coral Unit 36 Blk 2354 Pb 16 Pg 119 Lots 19 + 20</t>
  </si>
  <si>
    <t>33909-2833</t>
  </si>
  <si>
    <t>Danny &amp; Bonnie Johnson</t>
  </si>
  <si>
    <t xml:space="preserve">4316 NE 23rd Pl </t>
  </si>
  <si>
    <t>33908-8222</t>
  </si>
  <si>
    <t xml:space="preserve">4525 29th Ave SW </t>
  </si>
  <si>
    <t>Bluefeather</t>
  </si>
  <si>
    <t>33909-6479</t>
  </si>
  <si>
    <t>Michael &amp; Nadja Scheiwiller</t>
  </si>
  <si>
    <t>Jose Hernandez</t>
  </si>
  <si>
    <t>31-43-24-c2-02137.0110</t>
  </si>
  <si>
    <t xml:space="preserve">1515 NE 34th Ln  Cape Coral, FL 33909 </t>
  </si>
  <si>
    <t>Pitrelli</t>
  </si>
  <si>
    <t xml:space="preserve">1226 NE 11th Ter  Cape Coral, FL 33909 </t>
  </si>
  <si>
    <t>E E &amp; Mary Fee</t>
  </si>
  <si>
    <t>Cape Coral Unit 84 Blk 5564 Pb 24 Pg 37 Lots 5 + 6</t>
  </si>
  <si>
    <t xml:space="preserve">7 Meadowlark Ln </t>
  </si>
  <si>
    <t>Haugen</t>
  </si>
  <si>
    <t>Lovejoy Park Blk E Pb 5 Pg 26 Lots 1 + 2</t>
  </si>
  <si>
    <t>14120-1647</t>
  </si>
  <si>
    <t xml:space="preserve">9028 SW 112th Pl </t>
  </si>
  <si>
    <t xml:space="preserve">4600 NW Townline Rd  Marcellus, NY 13108-9747 </t>
  </si>
  <si>
    <t>Cape Coral Unit 36 Pt 1 Blk 2479 Pb 23 Pg 93 Lots 19 + 20</t>
  </si>
  <si>
    <t xml:space="preserve">1202 NE Juanita Pl  Cape Coral, FL 33909 </t>
  </si>
  <si>
    <t>Leandra</t>
  </si>
  <si>
    <t xml:space="preserve">612 Jefferson St </t>
  </si>
  <si>
    <t xml:space="preserve">1140 NE 44th Ln  Cape Coral, FL 33909 </t>
  </si>
  <si>
    <t>Merry</t>
  </si>
  <si>
    <t>19-43-24-c3-05606.0260</t>
  </si>
  <si>
    <t xml:space="preserve">3860 Highlight St </t>
  </si>
  <si>
    <t>Cape Coral Unit 88 Blk 5823 Pb 24 Pg 141 Lots 28 + 29</t>
  </si>
  <si>
    <t>Canfield</t>
  </si>
  <si>
    <t>Peter &amp; Darlene Demarmels</t>
  </si>
  <si>
    <t>Cape Coral Unit 87 Blk 5680 Pb 24 Pg 73 Lots 26 + 27</t>
  </si>
  <si>
    <t xml:space="preserve">2018 NE 14th Pl </t>
  </si>
  <si>
    <t>32220-1263</t>
  </si>
  <si>
    <t>39560-3820</t>
  </si>
  <si>
    <t>Knox</t>
  </si>
  <si>
    <t>Golf Circle</t>
  </si>
  <si>
    <t>14075-3105</t>
  </si>
  <si>
    <t xml:space="preserve">19 Dutchtown Zion Rd </t>
  </si>
  <si>
    <t>Brooks</t>
  </si>
  <si>
    <t xml:space="preserve">2206 NE 24th Ave </t>
  </si>
  <si>
    <t>Gerfried</t>
  </si>
  <si>
    <t>192nd</t>
  </si>
  <si>
    <t xml:space="preserve">6550 NW Oaklawn Way </t>
  </si>
  <si>
    <t>Damaso &amp; Rosa Hernandez</t>
  </si>
  <si>
    <t>33909-4283</t>
  </si>
  <si>
    <t>Widmer-Kurmann</t>
  </si>
  <si>
    <t xml:space="preserve">121 Hamilton Ave  Warwick, RI 02886-9611 </t>
  </si>
  <si>
    <t xml:space="preserve">4002 Country Club Blvd  Cape Coral, FL 33904 </t>
  </si>
  <si>
    <t>80227-2718</t>
  </si>
  <si>
    <t>Cape Coral Unit 88 Blk 5821 Pb 24 Pg 143 Lots 53 + 54</t>
  </si>
  <si>
    <t xml:space="preserve">5958 Brightwood Dr  Fort Myers, FL 33905 </t>
  </si>
  <si>
    <t xml:space="preserve">826 NE 10th St  Cape Coral, FL 33909 </t>
  </si>
  <si>
    <t xml:space="preserve">725 Rue Pricipale </t>
  </si>
  <si>
    <t>Springfield Gardens</t>
  </si>
  <si>
    <t xml:space="preserve">10209 Yellowtop Trl  Fort Myers, FL 33905 </t>
  </si>
  <si>
    <t xml:space="preserve">16333 Division St  Lakeland, MN 55043-9556 </t>
  </si>
  <si>
    <t>Bredebro</t>
  </si>
  <si>
    <t>Cape Coral Unit 31 Blk 2097 Pb 14 Pg 163 Lots 24 25 + 26</t>
  </si>
  <si>
    <t>Constance</t>
  </si>
  <si>
    <t>33909-3517</t>
  </si>
  <si>
    <t>Cape Coral Unit 36 Blk 2290 Pb 16 Pg 116 Lots 58 + 59</t>
  </si>
  <si>
    <t xml:space="preserve">18813 N State Road 13 </t>
  </si>
  <si>
    <t xml:space="preserve">24152 State Highway 96 </t>
  </si>
  <si>
    <t xml:space="preserve">11028 Beacon Pt  Jerome, MI 49249-9571 </t>
  </si>
  <si>
    <t>Suanino</t>
  </si>
  <si>
    <t>39042-2063</t>
  </si>
  <si>
    <t xml:space="preserve">1609 Caffrey Ave </t>
  </si>
  <si>
    <t>Bell</t>
  </si>
  <si>
    <t xml:space="preserve">2016 NE 6th Pl  Cape Coral, FL 33909 </t>
  </si>
  <si>
    <t>Anthony &amp; Nicole Franzoso</t>
  </si>
  <si>
    <t>Nguyet</t>
  </si>
  <si>
    <t xml:space="preserve">161 Rue Antoine Breart </t>
  </si>
  <si>
    <t xml:space="preserve">1135 NE 5th Ave  Cape Coral, FL 33909 </t>
  </si>
  <si>
    <t>29-43-24-c4-02285.0570</t>
  </si>
  <si>
    <t>33909-1610</t>
  </si>
  <si>
    <t>Anteby</t>
  </si>
  <si>
    <t>30809-8232</t>
  </si>
  <si>
    <t>Jamesville</t>
  </si>
  <si>
    <t xml:space="preserve">11751 Dawn Cowrie Dr </t>
  </si>
  <si>
    <t>Kim &amp; Sonia Veneracion</t>
  </si>
  <si>
    <t>Cape Coral Unit 31 Blk 2068 Pb 14 Pg 164 Lots 25 + 26</t>
  </si>
  <si>
    <t xml:space="preserve">421 NE 19th Ter </t>
  </si>
  <si>
    <t>92618-3978</t>
  </si>
  <si>
    <t xml:space="preserve">80 86th St  Brooklyn, NY 11209-4212 </t>
  </si>
  <si>
    <t xml:space="preserve">2107 Unity Ave </t>
  </si>
  <si>
    <t xml:space="preserve">130 SE 29th St </t>
  </si>
  <si>
    <t xml:space="preserve">202 E Stuart Ave </t>
  </si>
  <si>
    <t>Cypress Trail Rv Resort Phase 2-A As Desc In Inst# 2014000026506 Lot 278</t>
  </si>
  <si>
    <t xml:space="preserve">201 Kingbird Dr  Vonore, TN 37885-5338 </t>
  </si>
  <si>
    <t>Oliveros</t>
  </si>
  <si>
    <t>01-44-23-c1-02464.0070</t>
  </si>
  <si>
    <t xml:space="preserve">4949 Seville Ct </t>
  </si>
  <si>
    <t xml:space="preserve">55 Rockdale St  Mattapan, MA 02126-2009 </t>
  </si>
  <si>
    <t>Cape Coral Unit 85 Blk 5657 Pb 24 Pg 54 Lots 33 + 34</t>
  </si>
  <si>
    <t xml:space="preserve">2127 Andalusia Blvd  Cape Coral, FL 33909 </t>
  </si>
  <si>
    <t>Flagstaff</t>
  </si>
  <si>
    <t xml:space="preserve">1350 Ute St </t>
  </si>
  <si>
    <t>Clara Madrid &amp; Manuela Gallego</t>
  </si>
  <si>
    <t>Severo Ararat</t>
  </si>
  <si>
    <t>34207-1619</t>
  </si>
  <si>
    <t xml:space="preserve">3415 Watersedge Dr  Sugar Land, TX 77478-4428 </t>
  </si>
  <si>
    <t>Berisford</t>
  </si>
  <si>
    <t>19-43-24-c2-05600.0530</t>
  </si>
  <si>
    <t>Krishna</t>
  </si>
  <si>
    <t>Sutcliffe</t>
  </si>
  <si>
    <t>33905-8621</t>
  </si>
  <si>
    <t>90630-4909</t>
  </si>
  <si>
    <t>138th</t>
  </si>
  <si>
    <t>1s</t>
  </si>
  <si>
    <t>Cape Coral Unit 34 Blk 2428 Pb 16 Pg 77 Lots 54 + 55</t>
  </si>
  <si>
    <t>For Papousek Living Trust</t>
  </si>
  <si>
    <t>28173-6811</t>
  </si>
  <si>
    <t xml:space="preserve">40 Sable Ridge Ln </t>
  </si>
  <si>
    <t xml:space="preserve">230 Moonachie Rd  Moonachie, NJ 07074-1301 </t>
  </si>
  <si>
    <t xml:space="preserve">1022 NE 1st Ave </t>
  </si>
  <si>
    <t xml:space="preserve">1702 NE 10th Pl </t>
  </si>
  <si>
    <t xml:space="preserve">9713 31st Ave </t>
  </si>
  <si>
    <t xml:space="preserve">528 Fairview Ave  Cedar Grove, NJ 07009-1307 </t>
  </si>
  <si>
    <t>Lebanon</t>
  </si>
  <si>
    <t xml:space="preserve">5107 Calusa Ct </t>
  </si>
  <si>
    <t>County Road 308</t>
  </si>
  <si>
    <t>Cape Coral Unit 33 Blk 2208 Pb 16 Pg 41 Lots 51 + 52</t>
  </si>
  <si>
    <t>Avalon</t>
  </si>
  <si>
    <t>Cape Coral Unit 33 Blk 2231 Pb 16 Pg 54 Lots 54 + 55</t>
  </si>
  <si>
    <t xml:space="preserve">6132 Hellman Ave </t>
  </si>
  <si>
    <t>33803-3049</t>
  </si>
  <si>
    <t>Wayne Cusano</t>
  </si>
  <si>
    <t xml:space="preserve">50 Amphibian Rd  East Falmouth, MA 02536-7202 </t>
  </si>
  <si>
    <t xml:space="preserve">1113 NE 32nd Ter </t>
  </si>
  <si>
    <t>Toro</t>
  </si>
  <si>
    <t xml:space="preserve">2415 NW 16th street Rd #104 </t>
  </si>
  <si>
    <t>Emilio Rodriquez</t>
  </si>
  <si>
    <t>Cape Coral Unit 1 Pt.1 Amd Blk.1 Pb 11 Pg 43 Lots 64+65 + Or2028 Pg0794 + Port Between Lot + Canal As Desc In Or 965 Pg 495 Ex B</t>
  </si>
  <si>
    <t>R098</t>
  </si>
  <si>
    <t>Vurlee</t>
  </si>
  <si>
    <t>Voglbachlweg</t>
  </si>
  <si>
    <t>Himwanti</t>
  </si>
  <si>
    <t>Andy</t>
  </si>
  <si>
    <t>98229-2409</t>
  </si>
  <si>
    <t xml:space="preserve">1709 NE 13th Ave </t>
  </si>
  <si>
    <t>Cape Coral Unit 12 Blk.587 Pb 13 Pg 51 Lots 13 + 14</t>
  </si>
  <si>
    <t xml:space="preserve">5550 Tyshire Pkwy  Providence Forge, VA 23140-4427 </t>
  </si>
  <si>
    <t>Cape Coral Unit 35 Blk.2369 Pb 16 Pg 101 Lots 22 + 23</t>
  </si>
  <si>
    <t>25-43-23-c4-02294.0130</t>
  </si>
  <si>
    <t xml:space="preserve">5206 Marsh Mallow Trl </t>
  </si>
  <si>
    <t>Dogwood</t>
  </si>
  <si>
    <t>31-43-24-c1-02149.0340</t>
  </si>
  <si>
    <t>Lehigh Acres Unit 11 Blk 57 Pb 26 Pg 14 Lot 5</t>
  </si>
  <si>
    <t>Cape Coral Unit 36 Pt 1 Blk 2478 Pb 23 Pg 90 Lots 61 + 62</t>
  </si>
  <si>
    <t>Willowbrook</t>
  </si>
  <si>
    <t>Ft Myers Shores Unit 5 Blk 86 Pb 16 Pg 68 Lot 5 + S 1/2 Of 6</t>
  </si>
  <si>
    <t xml:space="preserve">7575 Pelican Bay Blvd #603 </t>
  </si>
  <si>
    <t>Welsch</t>
  </si>
  <si>
    <t>Elias &amp; Patricia Dehoyos</t>
  </si>
  <si>
    <t xml:space="preserve">3728 NE 15th Pl  Cape Coral, FL 33909 </t>
  </si>
  <si>
    <t>Thai &amp; Kieuoanh Tran</t>
  </si>
  <si>
    <t xml:space="preserve">2118 NE 3rd Ave  Cape Coral, FL 33909 </t>
  </si>
  <si>
    <t>Lang-Mayer</t>
  </si>
  <si>
    <t>Minh Troy</t>
  </si>
  <si>
    <t xml:space="preserve">5627 8th St N </t>
  </si>
  <si>
    <t xml:space="preserve">2106 NE 23rd Ave  Cape Coral, FL 33909 </t>
  </si>
  <si>
    <t xml:space="preserve">1194 Route De Delphingue  St Georges, FR </t>
  </si>
  <si>
    <t>Township Road 1275</t>
  </si>
  <si>
    <t>Busch John Tr</t>
  </si>
  <si>
    <t>33904-5227</t>
  </si>
  <si>
    <t>Belia</t>
  </si>
  <si>
    <t>Manriquez</t>
  </si>
  <si>
    <t xml:space="preserve">112 W Wooster St </t>
  </si>
  <si>
    <t>Schnabel</t>
  </si>
  <si>
    <t>33909-6136</t>
  </si>
  <si>
    <t>33033-1910</t>
  </si>
  <si>
    <t>Eggenstein</t>
  </si>
  <si>
    <t xml:space="preserve">2203 NE 1st Ave  Cape Coral, FL 33909 </t>
  </si>
  <si>
    <t xml:space="preserve">2135 Franklin St  Fort Myers, FL 33901 </t>
  </si>
  <si>
    <t>Buckingham Park N.E.Sec. Blk.19 Pb 9 Pg 59 Lot 4</t>
  </si>
  <si>
    <t>Cypress Trail Rv Resort As Desc In Inst# 2013000212499 Lot 178</t>
  </si>
  <si>
    <t xml:space="preserve">106 Haachtsebaan  Keerbergen, BE </t>
  </si>
  <si>
    <t xml:space="preserve">1022 NE 13th St  Cape Coral, FL 33909 </t>
  </si>
  <si>
    <t>84065-4346</t>
  </si>
  <si>
    <t>33908-2347</t>
  </si>
  <si>
    <t xml:space="preserve">6240 Astoria Ave  Fort Myers, FL 33905 </t>
  </si>
  <si>
    <t>Cape Coral Unit 88 Blk 5820 Pb 24 Pg 143 Lots 9 + 10</t>
  </si>
  <si>
    <t>Emnora</t>
  </si>
  <si>
    <t>Coram</t>
  </si>
  <si>
    <t>Manual</t>
  </si>
  <si>
    <t>5g</t>
  </si>
  <si>
    <t>Cedar Creek</t>
  </si>
  <si>
    <t xml:space="preserve">Remanso #117 </t>
  </si>
  <si>
    <t xml:space="preserve">15327 T C Jester Blvd  Houston, TX 77068-3000 </t>
  </si>
  <si>
    <t xml:space="preserve">379 Drake Dr  North Tonawanda, NY 14120-1647 </t>
  </si>
  <si>
    <t>Druid Hills</t>
  </si>
  <si>
    <t>33909-1463</t>
  </si>
  <si>
    <t>Roseli Barbosa</t>
  </si>
  <si>
    <t xml:space="preserve">5990 Maplewood Ct  Fort Myers, FL 33905 </t>
  </si>
  <si>
    <t>Flushing</t>
  </si>
  <si>
    <t xml:space="preserve">1516 NE 15th Ter  Cape Coral, FL 33909 </t>
  </si>
  <si>
    <t xml:space="preserve">487 N Quarry View Pl  Boise, ID 83712-7584 </t>
  </si>
  <si>
    <t>55042-9516</t>
  </si>
  <si>
    <t>Nate Hiatt</t>
  </si>
  <si>
    <t>Kurtz</t>
  </si>
  <si>
    <t>Norwich</t>
  </si>
  <si>
    <t xml:space="preserve">5824 N Campbell Ave #2 </t>
  </si>
  <si>
    <t xml:space="preserve">409 Ainsworth Cir </t>
  </si>
  <si>
    <t>BS</t>
  </si>
  <si>
    <t>03-44-26-03-00014.0140</t>
  </si>
  <si>
    <t xml:space="preserve">7 Lombardi Pl  Plainview, NY 11803-6316 </t>
  </si>
  <si>
    <t>03-44-26-05-00026.0130</t>
  </si>
  <si>
    <t>Giang Pham</t>
  </si>
  <si>
    <t>Cape Coral Unit 5 Blk 119 Pb 11 Pg 84 Lots 31 + 32</t>
  </si>
  <si>
    <t>06-44-24-c3-02060.0040</t>
  </si>
  <si>
    <t>31-43-24-c1-02161.0010</t>
  </si>
  <si>
    <t>Cambria Heights</t>
  </si>
  <si>
    <t>19-43-24-c3-05610.0490</t>
  </si>
  <si>
    <t xml:space="preserve">3474 Pacific Dr #34119, Naples, FL 34119-8670 </t>
  </si>
  <si>
    <t>01-44-23-c4-02466.0710</t>
  </si>
  <si>
    <t>03-44-26-06-00027.0120</t>
  </si>
  <si>
    <t xml:space="preserve">9526 Sauterne Way  Elk Grove, CA 95624-4644 </t>
  </si>
  <si>
    <t xml:space="preserve">1724 NE 41st St  Cape Coral, FL 33909 </t>
  </si>
  <si>
    <t>03-44-26-08-00039.0110</t>
  </si>
  <si>
    <t>Paul &amp; Lorrice Burke</t>
  </si>
  <si>
    <t>55378-2346</t>
  </si>
  <si>
    <t>Silk Oak</t>
  </si>
  <si>
    <t>Trzpis Agnieszka Tr For Stanislaw &amp; Agnieszka Trzpis Trust</t>
  </si>
  <si>
    <t>Jana</t>
  </si>
  <si>
    <t>Patrick Henry</t>
  </si>
  <si>
    <t>Cape Coral Unit 87 Blk 5698 Pb 24 Pg 75 Lots 31 + 32</t>
  </si>
  <si>
    <t xml:space="preserve">223 Maplewood Trce  Nashville, TN 37207-3020 </t>
  </si>
  <si>
    <t xml:space="preserve">412 SE 29th St  Cape Coral, FL 33904 </t>
  </si>
  <si>
    <t>Eric &amp; For Woelbing</t>
  </si>
  <si>
    <t>B054</t>
  </si>
  <si>
    <t xml:space="preserve">4121 NE 22nd Pl </t>
  </si>
  <si>
    <t>Cape Coral Unit 88 Blk 5799 Pb 24 Pg 137 Lots 63 + 64</t>
  </si>
  <si>
    <t>Caldarone</t>
  </si>
  <si>
    <t>Juan German</t>
  </si>
  <si>
    <t xml:space="preserve">3515 NE 18th Pl  Cape Coral, FL 33909 </t>
  </si>
  <si>
    <t>Cape Coral Unit 87 Blk 5689 Pb 24 Pg 83 Lots 61 + 62</t>
  </si>
  <si>
    <t>Priyanka</t>
  </si>
  <si>
    <t>33905-7708</t>
  </si>
  <si>
    <t xml:space="preserve">2014 NE 10th Ave </t>
  </si>
  <si>
    <t>33904-3919</t>
  </si>
  <si>
    <t>Guia</t>
  </si>
  <si>
    <t>20603-5701</t>
  </si>
  <si>
    <t xml:space="preserve">5597 W Indian Camp Rd </t>
  </si>
  <si>
    <t xml:space="preserve">36571 Blyth Rd  Goderich, ON N7a 3Y2 </t>
  </si>
  <si>
    <t>Cape Coral Unit 34 Blk.2434 Pb 16 Pg 82 Lots 35 + 36</t>
  </si>
  <si>
    <t xml:space="preserve">46 Highview Rd  East Brunswick, NJ 08816-3023 </t>
  </si>
  <si>
    <t xml:space="preserve">3404 NE 9th Pl </t>
  </si>
  <si>
    <t>Konker</t>
  </si>
  <si>
    <t>Anderson</t>
  </si>
  <si>
    <t xml:space="preserve">278 Caswell Ave  Staten Island, NY 10314-1947 </t>
  </si>
  <si>
    <t xml:space="preserve">183 Easy St </t>
  </si>
  <si>
    <t>Vendola</t>
  </si>
  <si>
    <t>33909-4539</t>
  </si>
  <si>
    <t>Cape Coral Unit 33 Blk.2234 Pb 16 Pg 51 Lots 54 + 55</t>
  </si>
  <si>
    <t>Bates</t>
  </si>
  <si>
    <t xml:space="preserve">13964 Old Cutler Rd  Palmetto Bay, FL 33158-1341 </t>
  </si>
  <si>
    <t>Chris &amp; Stephanie Schneider</t>
  </si>
  <si>
    <t>32-43-24-c4-02226.0030</t>
  </si>
  <si>
    <t>Zorbini</t>
  </si>
  <si>
    <t>R044</t>
  </si>
  <si>
    <t xml:space="preserve">1804 NE 33rd Ter </t>
  </si>
  <si>
    <t>Cape Coral Unit 32 Blk.2161 Pb 16 Pg 11 Lots 1 + 2</t>
  </si>
  <si>
    <t>Daniel &amp; Elaine Topping</t>
  </si>
  <si>
    <t>33909-2632</t>
  </si>
  <si>
    <t>12569-5303</t>
  </si>
  <si>
    <t>Iona</t>
  </si>
  <si>
    <t>Izet &amp; Ilora Hew</t>
  </si>
  <si>
    <t>Jing Zhao</t>
  </si>
  <si>
    <t xml:space="preserve">6018 Jadestone Ave  Fort Myers, FL 33905 </t>
  </si>
  <si>
    <t>Dejesus</t>
  </si>
  <si>
    <t xml:space="preserve">3749 NE 15th Ave  Cape Coral, FL 33909 </t>
  </si>
  <si>
    <t>06-44-24-c1-02070.0480</t>
  </si>
  <si>
    <t>Manhasset</t>
  </si>
  <si>
    <t xml:space="preserve">120 SE 34th Ln  Cape Coral, FL 33904 </t>
  </si>
  <si>
    <t>00985-5561</t>
  </si>
  <si>
    <t xml:space="preserve">141 S Orange Ave </t>
  </si>
  <si>
    <t xml:space="preserve">8714 E Edward Ave  Scottsdale, AZ 85250-5723 </t>
  </si>
  <si>
    <t xml:space="preserve">2212 NE 19th Pl  Cape Coral, FL 33909 </t>
  </si>
  <si>
    <t xml:space="preserve">2208 NE 6th Ave  Cape Coral, FL 33909 </t>
  </si>
  <si>
    <t xml:space="preserve">1018 NE 6th Pl </t>
  </si>
  <si>
    <t>Cape Coral Unit 84 Blk 5567 Pb 24 Pg 39 Lots 32 + 33</t>
  </si>
  <si>
    <t>Gioacchino Graci &amp; Wandria Pinto</t>
  </si>
  <si>
    <t>West Falls Church</t>
  </si>
  <si>
    <t>Cape Coral Unit 87 Blk 5684 Pb 24 Pg 74 Lots 21 + 22</t>
  </si>
  <si>
    <t>29-43-24-c4-02284.0280</t>
  </si>
  <si>
    <t>30907-3765</t>
  </si>
  <si>
    <t xml:space="preserve">415 Sacramento St  North Fort Myers, FL 33903 </t>
  </si>
  <si>
    <t>92336-1127</t>
  </si>
  <si>
    <t>Naegele</t>
  </si>
  <si>
    <t>Somala</t>
  </si>
  <si>
    <t>Montgomery</t>
  </si>
  <si>
    <t>Town</t>
  </si>
  <si>
    <t>Mesa Verde</t>
  </si>
  <si>
    <t xml:space="preserve">4108 NE 9th Pl </t>
  </si>
  <si>
    <t xml:space="preserve">1010 NE 14th Ave </t>
  </si>
  <si>
    <t>Sandra Bay</t>
  </si>
  <si>
    <t>19-43-24-c4-05552.0370</t>
  </si>
  <si>
    <t>Louisville/Jefferson County Metro Government (Balance)</t>
  </si>
  <si>
    <t xml:space="preserve">12 Bennet Rd </t>
  </si>
  <si>
    <t xml:space="preserve">218 Jacaranda Pkwy E </t>
  </si>
  <si>
    <t xml:space="preserve">403 NE 18th Pl </t>
  </si>
  <si>
    <t xml:space="preserve">879 329th Ave NW  Cambridge, MN 55008-7648 </t>
  </si>
  <si>
    <t xml:space="preserve">11 Spencer Rd  Medford, MA 02155-5401 </t>
  </si>
  <si>
    <t>14132-9230</t>
  </si>
  <si>
    <t>Bathey</t>
  </si>
  <si>
    <t>For Seidenberg Living Trust</t>
  </si>
  <si>
    <t>Palm Lake</t>
  </si>
  <si>
    <t xml:space="preserve">1072 Coney Island Ave  Brooklyn, NY 11230-2303 </t>
  </si>
  <si>
    <t xml:space="preserve">5800 Brightwood Dr  Fort Myers, FL 33905 </t>
  </si>
  <si>
    <t>29-43-26-05-00090.0070</t>
  </si>
  <si>
    <t xml:space="preserve">1719 Andalusia Blvd  Cape Coral, FL 33909 </t>
  </si>
  <si>
    <t xml:space="preserve">615 NE 11th Ter </t>
  </si>
  <si>
    <t>Phomphakdy</t>
  </si>
  <si>
    <t>71004-3808</t>
  </si>
  <si>
    <t>33909-3316</t>
  </si>
  <si>
    <t>20-43-24-c3-05671.0450</t>
  </si>
  <si>
    <t>Giang</t>
  </si>
  <si>
    <t xml:space="preserve">1018 NE 34th Ln  Cape Coral, FL 33909 </t>
  </si>
  <si>
    <t xml:space="preserve">10327 Prairie Iris Dr  Fort Myers, FL 33905 </t>
  </si>
  <si>
    <t>Theodore Dzierzawski</t>
  </si>
  <si>
    <t>Zegarra</t>
  </si>
  <si>
    <t>36-43-23-c2-02537.0570</t>
  </si>
  <si>
    <t>Gustafson</t>
  </si>
  <si>
    <t xml:space="preserve">842 Lilly Ln </t>
  </si>
  <si>
    <t>33909-6474</t>
  </si>
  <si>
    <t>Swenson</t>
  </si>
  <si>
    <t xml:space="preserve">9800 Vesper Ave #90 </t>
  </si>
  <si>
    <t xml:space="preserve">1915/1917 NE 15th Ln  Cape Coral, FL 33909 </t>
  </si>
  <si>
    <t xml:space="preserve">2436 Walton Ave #1, Bronx, NY 10468-6407 </t>
  </si>
  <si>
    <t xml:space="preserve">339 NE 31st St  Cape Coral, FL 33909 </t>
  </si>
  <si>
    <t xml:space="preserve">1701 NE 26th St  Cape Coral, FL 33909 </t>
  </si>
  <si>
    <t>Richmond &amp; Donna Coffey</t>
  </si>
  <si>
    <t>55734-4034</t>
  </si>
  <si>
    <t xml:space="preserve">5950 Park Rd </t>
  </si>
  <si>
    <t>19-43-24-c3-05612.0090</t>
  </si>
  <si>
    <t>For James Frederick Korth Trust</t>
  </si>
  <si>
    <t>18-43-24-c3-05711.0260</t>
  </si>
  <si>
    <t xml:space="preserve">PO Box 13519  Arlington, TX 76094 </t>
  </si>
  <si>
    <t xml:space="preserve">409 Grand Augusta Ln  Las Vegas, NV 89144-4300 </t>
  </si>
  <si>
    <t>Russell Park Blk 8 Pb 8 Pg 25 Lot 327</t>
  </si>
  <si>
    <t>Jannette</t>
  </si>
  <si>
    <t>For Harding Trust</t>
  </si>
  <si>
    <t xml:space="preserve">2817 SE 8th Ave </t>
  </si>
  <si>
    <t xml:space="preserve">Po Box 258 </t>
  </si>
  <si>
    <t>Zentai</t>
  </si>
  <si>
    <t xml:space="preserve">312 Av St Zacharie Temps  Trets, FR </t>
  </si>
  <si>
    <t>Rosemary</t>
  </si>
  <si>
    <t xml:space="preserve">14 Granite Hill Dr </t>
  </si>
  <si>
    <t>60422-1944</t>
  </si>
  <si>
    <t xml:space="preserve">1435 Troy Ave  Brooklyn, NY 11203-6509 </t>
  </si>
  <si>
    <t>Curti &amp; Francesco Curti</t>
  </si>
  <si>
    <t>Matthew Hueber</t>
  </si>
  <si>
    <t>Sergio</t>
  </si>
  <si>
    <t xml:space="preserve">3243 Andalusia Blvd </t>
  </si>
  <si>
    <t>33909-1120</t>
  </si>
  <si>
    <t>Justin</t>
  </si>
  <si>
    <t xml:space="preserve">1023 NE 33rd Ln  Cape Coral, FL 33909 </t>
  </si>
  <si>
    <t>38018-2839</t>
  </si>
  <si>
    <t xml:space="preserve">14190 Carberry St  Fort Myers, FL 33905 </t>
  </si>
  <si>
    <t>18-43-24-c1-05725.0390</t>
  </si>
  <si>
    <t xml:space="preserve">101 Cultural Park Blvd N  Cape Coral, FL 33909 </t>
  </si>
  <si>
    <t>Chapman</t>
  </si>
  <si>
    <t>Ngo</t>
  </si>
  <si>
    <t>James &amp; David Wills</t>
  </si>
  <si>
    <t>33909-7447</t>
  </si>
  <si>
    <t>Marie Ruiz</t>
  </si>
  <si>
    <t>Kokosing</t>
  </si>
  <si>
    <t>Ghislaine</t>
  </si>
  <si>
    <t>Beaupre</t>
  </si>
  <si>
    <t>Double J Acres</t>
  </si>
  <si>
    <t>Hugo</t>
  </si>
  <si>
    <t>18-43-24-c4-05683.0010</t>
  </si>
  <si>
    <t xml:space="preserve">2611 NE 22nd Ave  Cape Coral, FL 33909 </t>
  </si>
  <si>
    <t xml:space="preserve">319 SE 29th Ter  Cape Coral, FL 33904 </t>
  </si>
  <si>
    <t xml:space="preserve">3806 Kittyhawk Dr  Fort Myers, FL 33905 </t>
  </si>
  <si>
    <t>Cape Coral Unit 36 Part 1 Blk 2542 Pb 23 Pg 94 Lots 13 + 14</t>
  </si>
  <si>
    <t>01906-3237</t>
  </si>
  <si>
    <t xml:space="preserve">2014 Everest Pkwy  Cape Coral, FL 33904 </t>
  </si>
  <si>
    <t>03-44-26-03-00012.0050</t>
  </si>
  <si>
    <t>72nd</t>
  </si>
  <si>
    <t>33909-5540</t>
  </si>
  <si>
    <t>03-44-26-13-00071.0110</t>
  </si>
  <si>
    <t>GR</t>
  </si>
  <si>
    <t xml:space="preserve">4120 Garden Blvd  Cape Coral, FL 33909 </t>
  </si>
  <si>
    <t xml:space="preserve">3312 Ryan Dr </t>
  </si>
  <si>
    <t>For Craig A Fischer Revocable Trust</t>
  </si>
  <si>
    <t xml:space="preserve">8655 the 5th Grn  Atlanta, GA 30350-1624 </t>
  </si>
  <si>
    <t xml:space="preserve">14022 Schultz Rd </t>
  </si>
  <si>
    <t>Yunkus</t>
  </si>
  <si>
    <t>48170-3301</t>
  </si>
  <si>
    <t>23608-9322</t>
  </si>
  <si>
    <t>Ann</t>
  </si>
  <si>
    <t xml:space="preserve">365 Aley Hill Rd </t>
  </si>
  <si>
    <t>Kouimelis</t>
  </si>
  <si>
    <t>Goose Creek</t>
  </si>
  <si>
    <t xml:space="preserve">5089 Manor Ridge Ln </t>
  </si>
  <si>
    <t xml:space="preserve">Isla Seymour N41-225 Y  Quito, EC </t>
  </si>
  <si>
    <t>18-43-24-c1-05686.0140</t>
  </si>
  <si>
    <t>Etobicoke</t>
  </si>
  <si>
    <t>Murphysboro</t>
  </si>
  <si>
    <t>Cutler Jay L Tr</t>
  </si>
  <si>
    <t>Cutler Trust</t>
  </si>
  <si>
    <t>Merle</t>
  </si>
  <si>
    <t>90805-6403</t>
  </si>
  <si>
    <t xml:space="preserve">10420 Clark Rd  Crown Point, IN 46307-8860 </t>
  </si>
  <si>
    <t>Cheryl</t>
  </si>
  <si>
    <t xml:space="preserve">1287 Matias Crt  Kingston, ON K7p 0C2 </t>
  </si>
  <si>
    <t>Cape Coral Unit 33 Blk 2284 Pb 16 Pg 59 Lots 4 + 5</t>
  </si>
  <si>
    <t xml:space="preserve">9320 NW 32nd Mnr  Sunrise, FL 33351-7111 </t>
  </si>
  <si>
    <t xml:space="preserve">11688 NW 90th Ave  Hialeah, FL 33018-4156 </t>
  </si>
  <si>
    <t xml:space="preserve">440 Wyandot Rd </t>
  </si>
  <si>
    <t>Sarah Braun &amp; John Braum</t>
  </si>
  <si>
    <t xml:space="preserve">4323 NE 8th Ct  Cape Coral, FL 33909 </t>
  </si>
  <si>
    <t>33155-6313</t>
  </si>
  <si>
    <t>Roseann Haggerty</t>
  </si>
  <si>
    <t>Bettie</t>
  </si>
  <si>
    <t xml:space="preserve">174 Collins Rd  Ashaway, RI 02804-2509 </t>
  </si>
  <si>
    <t>11385-7437</t>
  </si>
  <si>
    <t>Matthew Solomon</t>
  </si>
  <si>
    <t>07-46-25-02-0000a.0030</t>
  </si>
  <si>
    <t xml:space="preserve">14309 Oviedo Pl </t>
  </si>
  <si>
    <t>Eliashiv &amp; Gitit Vardi</t>
  </si>
  <si>
    <t>Bethpage</t>
  </si>
  <si>
    <t>17-43-24-c2-05812.0090</t>
  </si>
  <si>
    <t>Leavitt</t>
  </si>
  <si>
    <t xml:space="preserve">28834 Highway H  Canton, MO 63435-2042 </t>
  </si>
  <si>
    <t>Carolino</t>
  </si>
  <si>
    <t>PO Box 83</t>
  </si>
  <si>
    <t xml:space="preserve">16530 Hartsook St </t>
  </si>
  <si>
    <t>Cape Coral Unit 33 Blk.2271 Pb 16 Pg 61 Lots 1 + 2</t>
  </si>
  <si>
    <t>33909-6224</t>
  </si>
  <si>
    <t xml:space="preserve">536 Tropicana Pkwy E </t>
  </si>
  <si>
    <t xml:space="preserve">24-2-16 Kefergasse </t>
  </si>
  <si>
    <t xml:space="preserve">3329 202nd St  Bayside, NY 11361-1143 </t>
  </si>
  <si>
    <t>Cape Coral Unit 84 Blk 5608 Pb 24 Pg 42 Lots 19 + 20</t>
  </si>
  <si>
    <t>25-43-23-c3-02342.0470</t>
  </si>
  <si>
    <t>Rajah Gayle &amp; Christine Marcus-Johnson</t>
  </si>
  <si>
    <t>Rock Valley</t>
  </si>
  <si>
    <t>R382</t>
  </si>
  <si>
    <t>Verhaaren</t>
  </si>
  <si>
    <t>33909-8905</t>
  </si>
  <si>
    <t>Lisett Zaldivar</t>
  </si>
  <si>
    <t xml:space="preserve">28 Hall St </t>
  </si>
  <si>
    <t>C076</t>
  </si>
  <si>
    <t>Jack &amp; For Setnan</t>
  </si>
  <si>
    <t xml:space="preserve">5282 Cypress Trail Resort Cir  Fort Myers, FL 33905 </t>
  </si>
  <si>
    <t>18th</t>
  </si>
  <si>
    <t>Cape Coral Unit 84 Blk 5603 Pb 24 Pg 42 Lots 15 + 16</t>
  </si>
  <si>
    <t>Cape Coral Unit 88 Blk.5821 Pb 24 Pg 141 Lot 16</t>
  </si>
  <si>
    <t>Flores</t>
  </si>
  <si>
    <t xml:space="preserve">2163 Lima Loop  Laredo, TX 78045-6420 </t>
  </si>
  <si>
    <t xml:space="preserve">301 NE 10th St  Cape Coral, FL 33909 </t>
  </si>
  <si>
    <t>For Sharabi Trust</t>
  </si>
  <si>
    <t>Pixler</t>
  </si>
  <si>
    <t xml:space="preserve">4936 Bay Park Dr </t>
  </si>
  <si>
    <t>Cape Coral Unit 87 Blk 5680 Pb 24 Pg 73 Lots 24 + 25</t>
  </si>
  <si>
    <t xml:space="preserve">1908 NE 1st Pl  Cape Coral, FL 33909 </t>
  </si>
  <si>
    <t>Thatcher</t>
  </si>
  <si>
    <t>9th</t>
  </si>
  <si>
    <t xml:space="preserve">3325 Crown Dr </t>
  </si>
  <si>
    <t>Flight Eagle &amp; For Fourth</t>
  </si>
  <si>
    <t>33905-6823</t>
  </si>
  <si>
    <t xml:space="preserve">2207 Sunny Slope Rd  Bridgewater, NJ 08807-3608 </t>
  </si>
  <si>
    <t xml:space="preserve">3527 NE 12th Ct </t>
  </si>
  <si>
    <t>Brandy Station</t>
  </si>
  <si>
    <t xml:space="preserve">6075 Lacota Ave  Fort Myers, FL 33905 </t>
  </si>
  <si>
    <t>60617-4903</t>
  </si>
  <si>
    <t xml:space="preserve">1 C  Drongen, BE </t>
  </si>
  <si>
    <t xml:space="preserve">4107 NE 105th Ave  Portland, OR 97220-3443 </t>
  </si>
  <si>
    <t xml:space="preserve">3715 14th St W #317 </t>
  </si>
  <si>
    <t>Cape Coral Unit 87 Blk 5691 Pb 24 Pg 84 Lots 14 + 15</t>
  </si>
  <si>
    <t>60193-2302</t>
  </si>
  <si>
    <t xml:space="preserve">4507 Valmonte Dr  Sacramento, CA 95864-3149 </t>
  </si>
  <si>
    <t xml:space="preserve">1809 NE 23rd St </t>
  </si>
  <si>
    <t>01-44-23-c4-02467.0270</t>
  </si>
  <si>
    <t>William &amp; Phyllis Cousino</t>
  </si>
  <si>
    <t>Mount Vernon Church</t>
  </si>
  <si>
    <t xml:space="preserve">3700 NE 13th Ave </t>
  </si>
  <si>
    <t>Cape Coral Unit 36 Blk 2290 Pb 16 Pg 116 Lots 56 + 57</t>
  </si>
  <si>
    <t>33136-3252</t>
  </si>
  <si>
    <t xml:space="preserve">4521 SW 136th Pl </t>
  </si>
  <si>
    <t xml:space="preserve">422 Wallis Farm Way </t>
  </si>
  <si>
    <t>Cape Coral Unit 47 Part 2 Blk.3513 Pb 23 Pg 123 Lots 1 + 2</t>
  </si>
  <si>
    <t>Elizabeth Bernardo</t>
  </si>
  <si>
    <t>33909-6420</t>
  </si>
  <si>
    <t>Almasi</t>
  </si>
  <si>
    <t>Lehigh Acres Unit 6 Blk 27 Pb 26 Pg 8 Lot 12</t>
  </si>
  <si>
    <t xml:space="preserve">2617 NE 7th Ave  Cape Coral, FL 33909 </t>
  </si>
  <si>
    <t>07-44-24-c4-03586.0410</t>
  </si>
  <si>
    <t>Keyport</t>
  </si>
  <si>
    <t>32-44-24-c2-01213.0420</t>
  </si>
  <si>
    <t xml:space="preserve">1216 Pondella Cir </t>
  </si>
  <si>
    <t>Henry &amp; Violet Dolan</t>
  </si>
  <si>
    <t xml:space="preserve">10345 Prairie Iris Dr  Fort Myers, FL 33905 </t>
  </si>
  <si>
    <t>18-43-24-c1-05693.0260</t>
  </si>
  <si>
    <t>Cape Coral Unit 85 Blk 5658 Pb 24 Pg 54 Lot 40</t>
  </si>
  <si>
    <t>Terry Tice + Vandawalker Blk 1 Pb 1 Pg 46 Pt Lot 29 Desc In Or 746 Pg 205</t>
  </si>
  <si>
    <t>Mohani Dindial &amp; Lisa Mangal</t>
  </si>
  <si>
    <t>24-44-24-p4-0160e.0010</t>
  </si>
  <si>
    <t>33174-2526</t>
  </si>
  <si>
    <t>19-43-24-c3-05622.0410</t>
  </si>
  <si>
    <t>Bernardo Duarte &amp; Giovanna Aguilar</t>
  </si>
  <si>
    <t>25-43-23-c3-02343.0270</t>
  </si>
  <si>
    <t>For 2016 Manapouri Trust</t>
  </si>
  <si>
    <t>Gurdon</t>
  </si>
  <si>
    <t>37664-3403</t>
  </si>
  <si>
    <t xml:space="preserve">6901 32nd Ave N </t>
  </si>
  <si>
    <t xml:space="preserve">1716 Kismet Pkwy E </t>
  </si>
  <si>
    <t>Joseph &amp; Kathleen Kozar</t>
  </si>
  <si>
    <t>11362-1817</t>
  </si>
  <si>
    <t>Asher</t>
  </si>
  <si>
    <t xml:space="preserve">2914 NE 6th Ave </t>
  </si>
  <si>
    <t xml:space="preserve"># 95-63  Bogota, CO </t>
  </si>
  <si>
    <t xml:space="preserve">3021 NE Juanita Pl  Cape Coral, FL 33909 </t>
  </si>
  <si>
    <t>Jorge &amp; Gloria Nario</t>
  </si>
  <si>
    <t>Cape Coral Unit 36 Blk 2515 Pb 16 Pg 113 Lots 79 + 80</t>
  </si>
  <si>
    <t>03-44-26-06-00031.0100</t>
  </si>
  <si>
    <t xml:space="preserve">184 Fairview Cir </t>
  </si>
  <si>
    <t>Cape Coral Unit 33 Blk 2225 Pb 16 Pg 45 Lots 24 + 25</t>
  </si>
  <si>
    <t>John &amp; Amanda Dean</t>
  </si>
  <si>
    <t>Tores</t>
  </si>
  <si>
    <t xml:space="preserve">2858 SW 177th Ave </t>
  </si>
  <si>
    <t xml:space="preserve">280 S Summit Ave C-2 </t>
  </si>
  <si>
    <t>Ruano</t>
  </si>
  <si>
    <t xml:space="preserve">2621 NE 5th Ave  Cape Coral, FL 33909 </t>
  </si>
  <si>
    <t xml:space="preserve">78 Lewry Cres  Moose Jaw, SK S6j 1J9 </t>
  </si>
  <si>
    <t>Merriatte Fraser</t>
  </si>
  <si>
    <t>60634-4220</t>
  </si>
  <si>
    <t xml:space="preserve">2039 NE 20th Ln </t>
  </si>
  <si>
    <t xml:space="preserve">1336 S Gator Cir  Cape Coral, FL 33909 </t>
  </si>
  <si>
    <t>33904-3429</t>
  </si>
  <si>
    <t xml:space="preserve">18401 Country Club Dr </t>
  </si>
  <si>
    <t>Princess Anne</t>
  </si>
  <si>
    <t>30-43-26-02-00019.0390</t>
  </si>
  <si>
    <t>33909-4338</t>
  </si>
  <si>
    <t xml:space="preserve">2502 Country Club Blvd  Cape Coral, FL 33904 </t>
  </si>
  <si>
    <t xml:space="preserve">10944 111th St </t>
  </si>
  <si>
    <t>25-43-23-c4-02297.a350</t>
  </si>
  <si>
    <t>Todd &amp; Denelle Hawkins</t>
  </si>
  <si>
    <t>For 4790 Trust</t>
  </si>
  <si>
    <t>Cape Coral Unit 33 Blk 2231 Pb 16 Pg 54 Lots 52 + 53</t>
  </si>
  <si>
    <t>57104-7048</t>
  </si>
  <si>
    <t xml:space="preserve">1 Via Samborondon Km </t>
  </si>
  <si>
    <t xml:space="preserve">1223 NE 14th Pl  Cape Coral, FL 33909 </t>
  </si>
  <si>
    <t xml:space="preserve">4144 NE 22nd Ave  Cape Coral, FL 33909 </t>
  </si>
  <si>
    <t>47553-9366</t>
  </si>
  <si>
    <t>Strassbuck 85134 Stammham Ge</t>
  </si>
  <si>
    <t xml:space="preserve">7215 Wethersfield Dr </t>
  </si>
  <si>
    <t xml:space="preserve">11200 Long Rd  Fort Myers, FL 33905 </t>
  </si>
  <si>
    <t xml:space="preserve">Av Principal Colinas De Valle  Northampton, MA 01060 </t>
  </si>
  <si>
    <t xml:space="preserve">322 Diplomat Pkwy E  Cape Coral, FL 33909 </t>
  </si>
  <si>
    <t xml:space="preserve">4444 NE 10th Ct </t>
  </si>
  <si>
    <t xml:space="preserve">2451 E 74th St </t>
  </si>
  <si>
    <t xml:space="preserve">3613 NE 8th Pl </t>
  </si>
  <si>
    <t xml:space="preserve">1411 14th St </t>
  </si>
  <si>
    <t xml:space="preserve">13713 SW 38th St </t>
  </si>
  <si>
    <t xml:space="preserve">1619 NE 37th St </t>
  </si>
  <si>
    <t xml:space="preserve">392 Miramar Rd  Fort Myers, FL 33905 </t>
  </si>
  <si>
    <t xml:space="preserve">12104 Platano Dr </t>
  </si>
  <si>
    <t xml:space="preserve">2570 Liberty Rd  Dallas, OR 97338-9403 </t>
  </si>
  <si>
    <t>48423-2434</t>
  </si>
  <si>
    <t>32-43-24-c2-02235.0180</t>
  </si>
  <si>
    <t>Cape Coral Unit 19 Blk 1236 Pb 13 Pg 129 Lots 23 Thru 25</t>
  </si>
  <si>
    <t xml:space="preserve">10 Saddle Ln </t>
  </si>
  <si>
    <t>29536-3656</t>
  </si>
  <si>
    <t xml:space="preserve">2310 NE 24th Ave </t>
  </si>
  <si>
    <t xml:space="preserve">535 NE 6th Ter  Cape Coral, FL 33909 </t>
  </si>
  <si>
    <t>Doris Reyes</t>
  </si>
  <si>
    <t xml:space="preserve">1331 SW 104th Psge #204 </t>
  </si>
  <si>
    <t xml:space="preserve">608 NE 24th Ter  Cape Coral, FL 33909 </t>
  </si>
  <si>
    <t xml:space="preserve">2302 NE 36th St </t>
  </si>
  <si>
    <t xml:space="preserve">1142 NE Juanita Pl </t>
  </si>
  <si>
    <t xml:space="preserve">6 Fernanne Dr </t>
  </si>
  <si>
    <t>Lynn</t>
  </si>
  <si>
    <t>Tat</t>
  </si>
  <si>
    <t>Shija &amp; Senad Muminovic</t>
  </si>
  <si>
    <t xml:space="preserve">216 SE 29th Ter </t>
  </si>
  <si>
    <t xml:space="preserve">715 S Garden Ave  Roselle, IL 60172-2800 </t>
  </si>
  <si>
    <t>La Mulonniere</t>
  </si>
  <si>
    <t xml:space="preserve">14714 Ducktan Loop </t>
  </si>
  <si>
    <t>For Willis J &amp; Kimberly A Cooan Trust</t>
  </si>
  <si>
    <t>De Montes</t>
  </si>
  <si>
    <t>33012-3324</t>
  </si>
  <si>
    <t>C022</t>
  </si>
  <si>
    <t>11947-1023</t>
  </si>
  <si>
    <t>05-44-24-c1-03529.0120</t>
  </si>
  <si>
    <t xml:space="preserve">10220 Meadow Beauty Trl  Fort Myers, FL 33905 </t>
  </si>
  <si>
    <t>Eliezer</t>
  </si>
  <si>
    <t xml:space="preserve">114 W Broadway St </t>
  </si>
  <si>
    <t>Susannah</t>
  </si>
  <si>
    <t>05-44-24-c2-03520.0320</t>
  </si>
  <si>
    <t>Milagros &amp; Zenaida Herson</t>
  </si>
  <si>
    <t>Cape Coral Unit 33 Blk 2286 Pb 16 Pg 60 Lots 9 + 10</t>
  </si>
  <si>
    <t>25-43-23-c4-02299.0410</t>
  </si>
  <si>
    <t>Vevaykanand Subick &amp; For Vevaykanand</t>
  </si>
  <si>
    <t xml:space="preserve">2062 Barbados Ave </t>
  </si>
  <si>
    <t>Sanda</t>
  </si>
  <si>
    <t>Cape Coral Unit 36 Blk 2314 Pb 16 Pg 123 Lots 9 + 10</t>
  </si>
  <si>
    <t>Provident Trust Group Llc</t>
  </si>
  <si>
    <t xml:space="preserve">5310 Cypress Trail Resort Cir  Fort Myers, FL 33905 </t>
  </si>
  <si>
    <t>Mitchell Manor</t>
  </si>
  <si>
    <t>33909-6273</t>
  </si>
  <si>
    <t xml:space="preserve">4225 NE 22nd Pl  Cape Coral, FL 33909 </t>
  </si>
  <si>
    <t>Cape Coral Unit 88 Blk 5777 Pb 24 Pg 135 Lots 25 + 26</t>
  </si>
  <si>
    <t>Rios</t>
  </si>
  <si>
    <t xml:space="preserve">10500 Mack Ave </t>
  </si>
  <si>
    <t>Royal Poinciana</t>
  </si>
  <si>
    <t>33909-8954</t>
  </si>
  <si>
    <t xml:space="preserve">1918 NE 13th Pl  Cape Coral, FL 33909 </t>
  </si>
  <si>
    <t xml:space="preserve">1720 NE 6th St  Cape Coral, FL 33909 </t>
  </si>
  <si>
    <t>11691-2431</t>
  </si>
  <si>
    <t xml:space="preserve">3752 NE 15th Pl  Cape Coral, FL 33909 </t>
  </si>
  <si>
    <t>33165-5028</t>
  </si>
  <si>
    <t>33909-5507</t>
  </si>
  <si>
    <t>Danilo &amp; Francisca Espinosa</t>
  </si>
  <si>
    <t>Cape Coral Unit 47 Pt 2 Blk 3544 Pb 23 Pg 118 Lots 31 + 32</t>
  </si>
  <si>
    <t>Links</t>
  </si>
  <si>
    <t>David &amp; Diane Quester</t>
  </si>
  <si>
    <t xml:space="preserve">3138 NE 13th Pl </t>
  </si>
  <si>
    <t xml:space="preserve">1804 Tall Oaks Rd </t>
  </si>
  <si>
    <t>43130-3165</t>
  </si>
  <si>
    <t>Cape Coral Uit 36 Part 1 Blk 2478 Pb 23 Pg 90 Lots 11 + 12</t>
  </si>
  <si>
    <t xml:space="preserve">703 E 800 w Rd </t>
  </si>
  <si>
    <t xml:space="preserve">3155 Gosheff Ln </t>
  </si>
  <si>
    <t xml:space="preserve">4474 Weston Rd #189, Davie, FL 33331-3195 </t>
  </si>
  <si>
    <t>19-43-24-c2-05591.0140</t>
  </si>
  <si>
    <t>Cape Coral Unit 84 Blk 5576 Pb 24 Pg 46 Lots 3 + 4</t>
  </si>
  <si>
    <t>Cape Coral Unit 31 Blk 2064 Pb 14 Pg 162 Lots 42 + 43</t>
  </si>
  <si>
    <t>Jber</t>
  </si>
  <si>
    <t>Rockford</t>
  </si>
  <si>
    <t>Cape Coral Unit 34 Blk 2429 Pb 16 Pg 83 Lots 33 + 34</t>
  </si>
  <si>
    <t>Temchuk</t>
  </si>
  <si>
    <t>Pearline Williams</t>
  </si>
  <si>
    <t xml:space="preserve">6370 Maytree Cir </t>
  </si>
  <si>
    <t>05-44-24-c4-03540.0480</t>
  </si>
  <si>
    <t xml:space="preserve">500 E Riley Rd  Owosso, MI 48867-8825 </t>
  </si>
  <si>
    <t>Mcpeek</t>
  </si>
  <si>
    <t>Vinton</t>
  </si>
  <si>
    <t>20-43-24-c4-05640.0230</t>
  </si>
  <si>
    <t>Country Club Estates Pb 9 Pg 51 Lot 24A</t>
  </si>
  <si>
    <t>Hodge</t>
  </si>
  <si>
    <t>Dumitru</t>
  </si>
  <si>
    <t xml:space="preserve">922 NE 32nd Ter </t>
  </si>
  <si>
    <t>Charles Crawford &amp; Lisa Johnson</t>
  </si>
  <si>
    <t>Breezewood Unit 1 Pb 12 Pg 95 Lot 11</t>
  </si>
  <si>
    <t>Joseph &amp; Martine Chery</t>
  </si>
  <si>
    <t xml:space="preserve">7311 W 29th Way  Hialeah, FL 33018-5337 </t>
  </si>
  <si>
    <t>Mullen</t>
  </si>
  <si>
    <t>Ambuehl</t>
  </si>
  <si>
    <t xml:space="preserve">3453 NE 8th Pl  Cape Coral, FL 33909 </t>
  </si>
  <si>
    <t xml:space="preserve">331 E Houston St </t>
  </si>
  <si>
    <t xml:space="preserve">913 NE 15th St  Cape Coral, FL 33909 </t>
  </si>
  <si>
    <t>12-44-23-c2-02408.0200</t>
  </si>
  <si>
    <t>Cape Coral Unit 34 Blk 2465 Pb 16 Pg 80 Lots 68 Thru 70</t>
  </si>
  <si>
    <t>Shaul-Hamelech Bv</t>
  </si>
  <si>
    <t>Cape Coral Unit 31 Blk 2086 Pb 14 Pg 165 Lots 1 + 2</t>
  </si>
  <si>
    <t>Eric Baker</t>
  </si>
  <si>
    <t>Cypress Woods Rv Resort Ut 1 Pb 65 Pg 85 + 86 Blk A Lot 25</t>
  </si>
  <si>
    <t>Cape Coral Unit 33 Blk.2263 Pb 16 Pg 59 Lots 3 + 4</t>
  </si>
  <si>
    <t>Luis Fajardo</t>
  </si>
  <si>
    <t>Selvarajah</t>
  </si>
  <si>
    <t>Rosanne</t>
  </si>
  <si>
    <t>Presky</t>
  </si>
  <si>
    <t xml:space="preserve">1525 NE 34th Ln  Cape Coral, FL 33909 </t>
  </si>
  <si>
    <t>Lisa Proffitt</t>
  </si>
  <si>
    <t xml:space="preserve">6040 Langdon Ave </t>
  </si>
  <si>
    <t xml:space="preserve">302 Grape St </t>
  </si>
  <si>
    <t xml:space="preserve">313 Windy Oaks Cir  Richmond, KY 40475-7980 </t>
  </si>
  <si>
    <t>Gutnickstr</t>
  </si>
  <si>
    <t>Cape Coral Unit 34 Blk.2434 Pb 16 Pg 82 Lots 33 + 34</t>
  </si>
  <si>
    <t>Cape Coral Unit 36 Blk 2330 Pb 16 Pg 129 Lots 57 + 58</t>
  </si>
  <si>
    <t xml:space="preserve">2305 NE 39th St </t>
  </si>
  <si>
    <t xml:space="preserve">1028 NE 43rd Ter  Cape Coral, FL 33909 </t>
  </si>
  <si>
    <t>Myrtle R Odlum Trust</t>
  </si>
  <si>
    <t xml:space="preserve">630 NE Juanita Pl </t>
  </si>
  <si>
    <t xml:space="preserve">203 Silverwood Dr </t>
  </si>
  <si>
    <t>T2A 7B2</t>
  </si>
  <si>
    <t>West Fargo</t>
  </si>
  <si>
    <t xml:space="preserve">4108 Garden Blvd </t>
  </si>
  <si>
    <t xml:space="preserve">2115 Poplar Park Dr </t>
  </si>
  <si>
    <t>Hallett</t>
  </si>
  <si>
    <t xml:space="preserve">401 NE 23rd Ter </t>
  </si>
  <si>
    <t xml:space="preserve">10140 Sunnywood Ct  Fort Myers, FL 33905 </t>
  </si>
  <si>
    <t>Cape Coral Unit 33 Blk.2234 Pb 16 Pg 51 Lots 52 + 53</t>
  </si>
  <si>
    <t xml:space="preserve">1427 NE 20th Ave </t>
  </si>
  <si>
    <t>Blackmar</t>
  </si>
  <si>
    <t>Cecelia Southall</t>
  </si>
  <si>
    <t>T C Jester</t>
  </si>
  <si>
    <t xml:space="preserve">7719 Ridgepark Ct </t>
  </si>
  <si>
    <t>Lehigh Acres Unit 6 Blk 31 Pb 26 Pg 8 Lot 10</t>
  </si>
  <si>
    <t>25-43-23-c3-02340.0130</t>
  </si>
  <si>
    <t>Menegigian</t>
  </si>
  <si>
    <t>01-44-23-c1-02436.0590</t>
  </si>
  <si>
    <t xml:space="preserve">2303 NE 15th Ln </t>
  </si>
  <si>
    <t>Schaghticoke</t>
  </si>
  <si>
    <t>80134-6635</t>
  </si>
  <si>
    <t xml:space="preserve">11024 Greenaire Dr </t>
  </si>
  <si>
    <t xml:space="preserve">757 Washington St S  Twin Falls, ID 83301-5532 </t>
  </si>
  <si>
    <t>Rimkute</t>
  </si>
  <si>
    <t xml:space="preserve">3779 NE 14th Pl </t>
  </si>
  <si>
    <t>17-43-24-c4-05783.0460</t>
  </si>
  <si>
    <t>Lawrence &amp; Joy Burton</t>
  </si>
  <si>
    <t xml:space="preserve">323 Seven Springs Way #208, Brentwood, TN 37027-1513 </t>
  </si>
  <si>
    <t xml:space="preserve">922 NE 5th Pl  Cape Coral, FL 33909 </t>
  </si>
  <si>
    <t>33909-4387</t>
  </si>
  <si>
    <t xml:space="preserve">3710 Tracy St  Fort Myers, FL 33905 </t>
  </si>
  <si>
    <t>20-43-24-c1-05642.0310</t>
  </si>
  <si>
    <t>Cape Coral Unit 36 Blk 2331 Pb 16 Pg 130 Lots 9-10 + 11</t>
  </si>
  <si>
    <t>11-44-25-l1-13000.1080</t>
  </si>
  <si>
    <t xml:space="preserve">18a-40 Calle 105 #202 </t>
  </si>
  <si>
    <t>Columbia</t>
  </si>
  <si>
    <t xml:space="preserve">1941 NE 15th St  Cape Coral, FL 33909 </t>
  </si>
  <si>
    <t>Methuen</t>
  </si>
  <si>
    <t>Thomas Ball</t>
  </si>
  <si>
    <t>Revillo</t>
  </si>
  <si>
    <t>Mauro</t>
  </si>
  <si>
    <t>33909-8415</t>
  </si>
  <si>
    <t>25-43-23-c2-02317.0210</t>
  </si>
  <si>
    <t>Herman</t>
  </si>
  <si>
    <t>Malou Sedigh</t>
  </si>
  <si>
    <t>Cypress Trail Rv Resort Phase 2-B As Desc In Inst# 2015000013050 Lot 434</t>
  </si>
  <si>
    <t>Cape Coral Unit 84 Blk 5572 Pb 24 Pg 40 Lot 13</t>
  </si>
  <si>
    <t xml:space="preserve">6 Alexandria Way  Basking Ridge, NJ 07920-2754 </t>
  </si>
  <si>
    <t xml:space="preserve">6027 Jessica St  Fort Myers, FL 33905 </t>
  </si>
  <si>
    <t xml:space="preserve">4225 NE 19th Ave </t>
  </si>
  <si>
    <t xml:space="preserve">12822 Meadowbrook Ln  Waldorf, MD 20601-2114 </t>
  </si>
  <si>
    <t>01-45-23-c2-00421.0470</t>
  </si>
  <si>
    <t>Serafin &amp; Maritza Blanco</t>
  </si>
  <si>
    <t>33404-5898</t>
  </si>
  <si>
    <t xml:space="preserve">4148 NE 9th Pl </t>
  </si>
  <si>
    <t xml:space="preserve">3507 NE 17th Ave  Cape Coral, FL 33909 </t>
  </si>
  <si>
    <t>Federal</t>
  </si>
  <si>
    <t xml:space="preserve">12020 NW 24th St  Plantation, FL 33323-1930 </t>
  </si>
  <si>
    <t xml:space="preserve">414 Willow Glen Cir </t>
  </si>
  <si>
    <t>Cape Coral Unit 31 Blk 2071 Pb 14 Pg 160 Lots 7 + 8</t>
  </si>
  <si>
    <t>Nelson &amp; Norma Rasse</t>
  </si>
  <si>
    <t xml:space="preserve">1434 E Mowry Dr #106 </t>
  </si>
  <si>
    <t xml:space="preserve">1905 NE 4th Ave  Cape Coral, FL 33909 </t>
  </si>
  <si>
    <t xml:space="preserve">68 Gresham Ln </t>
  </si>
  <si>
    <t>Maniel Pautz</t>
  </si>
  <si>
    <t>Cape Coral Unit 36 Blk 2174 Pb 16 Pg 121 Lots 25 + 26</t>
  </si>
  <si>
    <t>Cypress Trail Rv Resort As Desc In Inst# 2013000212499 Lot 261</t>
  </si>
  <si>
    <t>Waltraud</t>
  </si>
  <si>
    <t>Old Seward</t>
  </si>
  <si>
    <t>Chanthamontry</t>
  </si>
  <si>
    <t>11-44-25-04-0000a.0230</t>
  </si>
  <si>
    <t>34112-7136</t>
  </si>
  <si>
    <t>33908-2430</t>
  </si>
  <si>
    <t>Andrei Dorochenko &amp; Alexander Chudnovsky</t>
  </si>
  <si>
    <t>Brewster</t>
  </si>
  <si>
    <t xml:space="preserve">25 Tropicana Pkwy E </t>
  </si>
  <si>
    <t>Khreis</t>
  </si>
  <si>
    <t>Cape Coral Unit 87 Blk.5711 Pb 24 Pg 76 Lot 1</t>
  </si>
  <si>
    <t>Marcelina</t>
  </si>
  <si>
    <t>Espino</t>
  </si>
  <si>
    <t>Limestall Roy J &amp; Mae M Tr</t>
  </si>
  <si>
    <t>Rosalie</t>
  </si>
  <si>
    <t xml:space="preserve">2529 NE 2nd Ave  Cape Coral, FL 33909 </t>
  </si>
  <si>
    <t>Resler &amp; Billy Resler</t>
  </si>
  <si>
    <t>Lwfm2</t>
  </si>
  <si>
    <t xml:space="preserve">1480 N Delno Ave  Fresno, CA 93728-1449 </t>
  </si>
  <si>
    <t>Norman &amp; Ariane Boehe</t>
  </si>
  <si>
    <t>33162-1438</t>
  </si>
  <si>
    <t>33905-7306</t>
  </si>
  <si>
    <t>36-44-23-c1-00923.0390</t>
  </si>
  <si>
    <t xml:space="preserve">11407 Andy Dr </t>
  </si>
  <si>
    <t xml:space="preserve">1494 Rebecca St  Oakville, ON L6l 1Z7 </t>
  </si>
  <si>
    <t>21104-1480</t>
  </si>
  <si>
    <t>25-43-23-c2-02318.0010</t>
  </si>
  <si>
    <t>Mirror Lake</t>
  </si>
  <si>
    <t>Walk</t>
  </si>
  <si>
    <t>Arne Kaaresen</t>
  </si>
  <si>
    <t>19-43-24-c3-05617.0370</t>
  </si>
  <si>
    <t>Loredo</t>
  </si>
  <si>
    <t xml:space="preserve">2784 Digby Rd SE </t>
  </si>
  <si>
    <t xml:space="preserve">106 Haachtsebaan </t>
  </si>
  <si>
    <t xml:space="preserve">5113 Cypress Trail Resort Cir  Fort Myers, FL 33905 </t>
  </si>
  <si>
    <t>18-43-24-c3-05747.0210</t>
  </si>
  <si>
    <t>Plainwell</t>
  </si>
  <si>
    <t>Quach</t>
  </si>
  <si>
    <t>Lehigh Acres Unit 14 E Pt Blk 80 Pb 26 Pg 19 Lot 12</t>
  </si>
  <si>
    <t xml:space="preserve">3809 NE 10th Pl </t>
  </si>
  <si>
    <t>America Outdoors Camper Resort 1 Condo Blk W Or 1673 Pg 2487 Unit 24A</t>
  </si>
  <si>
    <t>Cape Coral Unit 36 Blk 2303 Pb 16 Pg 122 Lots 31 + 32</t>
  </si>
  <si>
    <t xml:space="preserve">29 Rue Florian  Tours, FR </t>
  </si>
  <si>
    <t>Robert &amp; For Sieban</t>
  </si>
  <si>
    <t>43147-8179</t>
  </si>
  <si>
    <t>Tice Heights Blk C Pb 5 Pg 32 Lt 29 + S 1/2 Lot 28</t>
  </si>
  <si>
    <t xml:space="preserve">50380 State Highway 68 </t>
  </si>
  <si>
    <t xml:space="preserve">3630 NE 9th Ave  Cape Coral, FL 33909 </t>
  </si>
  <si>
    <t>Cypress Woods Rv Resort Ut 1 Pb 65 Pg 85 + 86 Blk B Lot 60</t>
  </si>
  <si>
    <t>Cape Coral Unit 36 Blk 2340 Pb 16 Pg 124 Lots 35 + 36</t>
  </si>
  <si>
    <t xml:space="preserve">2120 NE 39th Ter  Cape Coral, FL 33909 </t>
  </si>
  <si>
    <t xml:space="preserve">13400 Bird Rd </t>
  </si>
  <si>
    <t xml:space="preserve">1202 NE 5th Pl  Cape Coral, FL 33909 </t>
  </si>
  <si>
    <t>11-44-25-05-0000c.0990</t>
  </si>
  <si>
    <t xml:space="preserve">1656 Chemin De La Seyne </t>
  </si>
  <si>
    <t>33909-6818</t>
  </si>
  <si>
    <t xml:space="preserve">9961 NW 27th St  Doral, FL 33172-1306 </t>
  </si>
  <si>
    <t xml:space="preserve">2606 NE 19th Pl </t>
  </si>
  <si>
    <t>Cape Coral Unit 88 Blk 5801 Pb 24 Pg 136 Lots 53 + 54</t>
  </si>
  <si>
    <t>Cape Coral Unit 32 Blk 2171 Pb 16 Pg 8 Lots 7 + 8</t>
  </si>
  <si>
    <t>Woodpointe</t>
  </si>
  <si>
    <t>31-43-24-c4-02104.0220</t>
  </si>
  <si>
    <t>Reeds Spring</t>
  </si>
  <si>
    <t xml:space="preserve">1424 NE 9th Ave  Cape Coral, FL 33909 </t>
  </si>
  <si>
    <t>Cape Coral Unit 33 Blk.2224 Pb 16 Pg 41 Lots 27 + 28</t>
  </si>
  <si>
    <t>Minnette</t>
  </si>
  <si>
    <t>American &amp; Leonard Mckinnon</t>
  </si>
  <si>
    <t>For Antola Trust</t>
  </si>
  <si>
    <t>Wellman</t>
  </si>
  <si>
    <t xml:space="preserve">1400 Durden Pkwy  Cape Coral, FL 33909 </t>
  </si>
  <si>
    <t>Brienner</t>
  </si>
  <si>
    <t>100th</t>
  </si>
  <si>
    <t xml:space="preserve">832 NE 15th Ln </t>
  </si>
  <si>
    <t xml:space="preserve">14140 Cedardale St  Fort Myers, FL 33905 </t>
  </si>
  <si>
    <t xml:space="preserve">6119 Higgins Ave </t>
  </si>
  <si>
    <t>Hores</t>
  </si>
  <si>
    <t>Jess</t>
  </si>
  <si>
    <t>32-43-24-c1-02181.0710</t>
  </si>
  <si>
    <t xml:space="preserve">13343 121st St  South Ozone Park, NY 11420-3241 </t>
  </si>
  <si>
    <t xml:space="preserve">1827 NE 17th Ter </t>
  </si>
  <si>
    <t>11787-5204</t>
  </si>
  <si>
    <t>Cape Coral Unit 31 Blk.2057 Pb 14 Pg 155 Lots 10 + 11</t>
  </si>
  <si>
    <t>Oswego</t>
  </si>
  <si>
    <t xml:space="preserve">7060 Glenridge Dr </t>
  </si>
  <si>
    <t>01-44-23-c1-02463.0320</t>
  </si>
  <si>
    <t>96741-1248</t>
  </si>
  <si>
    <t xml:space="preserve">5726 Burrwood Ct  Fort Myers, FL 33905 </t>
  </si>
  <si>
    <t>Sonia Sanchez</t>
  </si>
  <si>
    <t xml:space="preserve">8529 SW 136th Loop </t>
  </si>
  <si>
    <t>06-44-24-c3-02037.0050</t>
  </si>
  <si>
    <t>Cape Coral Unit 33 Blk 2284 Pb 16 Pg 56 Lots 56 + 57</t>
  </si>
  <si>
    <t xml:space="preserve">9 Crone Ln </t>
  </si>
  <si>
    <t xml:space="preserve">571 SW 141st Ave 402n, Pembroke Pines, FL 33027-1513 </t>
  </si>
  <si>
    <t xml:space="preserve">1027 NE 10th Pl </t>
  </si>
  <si>
    <t>Isip</t>
  </si>
  <si>
    <t xml:space="preserve">1312 NE 23rd Ter </t>
  </si>
  <si>
    <t xml:space="preserve">1615 NE 174th St  North Miami Beach, FL 33162-1438 </t>
  </si>
  <si>
    <t>11717-1416</t>
  </si>
  <si>
    <t>37615-5233</t>
  </si>
  <si>
    <t>Cape Coral Unit 14 Blk.541 Pb 13 Pg 65 Lots 26 + 27</t>
  </si>
  <si>
    <t xml:space="preserve">13515 Scenic Glade Dr  Houston, TX 77059-2810 </t>
  </si>
  <si>
    <t>the S 100 Ft Of N 250 Ft Of W 108 Ft Of E 399 Ft Of Ne 1/4 Of Se 1/4 Of Nw 1/4</t>
  </si>
  <si>
    <t>J J &amp; Marie Azzi</t>
  </si>
  <si>
    <t>18-43-24-c3-05748.0010</t>
  </si>
  <si>
    <t>Basava</t>
  </si>
  <si>
    <t xml:space="preserve">1800 Forest Run Dr </t>
  </si>
  <si>
    <t xml:space="preserve">1485 Ohio Ave </t>
  </si>
  <si>
    <t xml:space="preserve">10212 Yellowtop Trl </t>
  </si>
  <si>
    <t xml:space="preserve">2317 NE 35th St </t>
  </si>
  <si>
    <t xml:space="preserve">3902 NE 10th Ave </t>
  </si>
  <si>
    <t>Bart</t>
  </si>
  <si>
    <t>33905-5709</t>
  </si>
  <si>
    <t>Cypress Trail Rv Resort Ph 3 As Desc In Inst# 2015000085552 Lot 225</t>
  </si>
  <si>
    <t>PO Box 465</t>
  </si>
  <si>
    <t xml:space="preserve">1024 NE 34th St </t>
  </si>
  <si>
    <t xml:space="preserve">3312 NE 13th Pl </t>
  </si>
  <si>
    <t>31-43-24-c2-02131.0070</t>
  </si>
  <si>
    <t>31-43-24-c4-02143.0060</t>
  </si>
  <si>
    <t>20-43-24-c1-05640.0220</t>
  </si>
  <si>
    <t>Mira</t>
  </si>
  <si>
    <t>Calle 163</t>
  </si>
  <si>
    <t>Samuel &amp; Mary Smith</t>
  </si>
  <si>
    <t>Tesmer</t>
  </si>
  <si>
    <t>Bradley &amp; Susan Duncan</t>
  </si>
  <si>
    <t>PO Box 176</t>
  </si>
  <si>
    <t xml:space="preserve">4129 NE 20th Pl  Cape Coral, FL 33909 </t>
  </si>
  <si>
    <t xml:space="preserve">3525 86th St 1fl </t>
  </si>
  <si>
    <t xml:space="preserve">3219 SE 6th Ave  Cape Coral, FL 33904 </t>
  </si>
  <si>
    <t xml:space="preserve">17105 Oakmont Dr </t>
  </si>
  <si>
    <t>Cape Coral Unit 88 Blk 5824 Pb 24 Pg 143 Lots 39 + 40</t>
  </si>
  <si>
    <t>33909-5306</t>
  </si>
  <si>
    <t>Chaudry</t>
  </si>
  <si>
    <t xml:space="preserve">4410 SE 20th Ave </t>
  </si>
  <si>
    <t xml:space="preserve">539 S 302nd St </t>
  </si>
  <si>
    <t xml:space="preserve">5154 Cypress Trail Resort Cir </t>
  </si>
  <si>
    <t>Pk 8500</t>
  </si>
  <si>
    <t>08-45-24-c4-00372.0750</t>
  </si>
  <si>
    <t xml:space="preserve">4558 SE 6th Ct  Cape Coral, FL 33904 </t>
  </si>
  <si>
    <t xml:space="preserve">10082 Rambelwood Ct </t>
  </si>
  <si>
    <t xml:space="preserve">2319 NE 7th Pl </t>
  </si>
  <si>
    <t>Inmuebles</t>
  </si>
  <si>
    <t xml:space="preserve">10332 Fire Flag Trl  Fort Myers, FL 33905 </t>
  </si>
  <si>
    <t xml:space="preserve">12072 90th Ave N  Maple Grove, MN 55369-3981 </t>
  </si>
  <si>
    <t xml:space="preserve">228 NE 21st Ave  Cape Coral, FL 33909 </t>
  </si>
  <si>
    <t>Fombell</t>
  </si>
  <si>
    <t>11-44-25-06-0000d.0730</t>
  </si>
  <si>
    <t>25-43-23-c3-02294.0240</t>
  </si>
  <si>
    <t xml:space="preserve">1955/1957 Pine Dr N </t>
  </si>
  <si>
    <t xml:space="preserve">14376 Cemetery Rd  Fort Myers, FL 33905 </t>
  </si>
  <si>
    <t xml:space="preserve">1524 NE 36th Ln  Cape Coral, FL 33909 </t>
  </si>
  <si>
    <t>33323-1761</t>
  </si>
  <si>
    <t>Kielar</t>
  </si>
  <si>
    <t xml:space="preserve">10083 Parkwood Dr </t>
  </si>
  <si>
    <t xml:space="preserve">3020 NE 5th Ave </t>
  </si>
  <si>
    <t>Cape Coral Unit 7 Blk.336 Pb 12 Pg 126 Lots 6 + 7</t>
  </si>
  <si>
    <t xml:space="preserve"> Salisbury, GB 00000 </t>
  </si>
  <si>
    <t xml:space="preserve">343 NE 19th Ter </t>
  </si>
  <si>
    <t>Cypress Trail Rv Resort Phase 2-A As Desc In Inst# 2014000026506 Lot 160</t>
  </si>
  <si>
    <t xml:space="preserve">5170 Cypress Trail Resort Cir </t>
  </si>
  <si>
    <t>01-44-23-c3-02054.0200</t>
  </si>
  <si>
    <t xml:space="preserve">1901 NE 33rd Ln  Cape Coral, FL 33909 </t>
  </si>
  <si>
    <t xml:space="preserve">12830 W Burleigh Rd  Brookfield, WI 53005-3148 </t>
  </si>
  <si>
    <t>Bonne Terre</t>
  </si>
  <si>
    <t>Waterloo</t>
  </si>
  <si>
    <t>70070-3095</t>
  </si>
  <si>
    <t>John &amp; Emma Kephart</t>
  </si>
  <si>
    <t>08-44-25-p3-04800.3040</t>
  </si>
  <si>
    <t>Cape Coral Unit 31 Blk 2070 Pb 14 Pg 160 Lots 15 + 16</t>
  </si>
  <si>
    <t xml:space="preserve">38 Parker St </t>
  </si>
  <si>
    <t xml:space="preserve">2148 NE 43rd Ln  Cape Coral, FL 33909 </t>
  </si>
  <si>
    <t>Cypress Trail Rv Resort Ph 4-B As Desc In Inst# 2017000057565 Lot 346</t>
  </si>
  <si>
    <t>Gary &amp; Linda Soleau</t>
  </si>
  <si>
    <t>Henry Cerruti</t>
  </si>
  <si>
    <t>North Kingstown</t>
  </si>
  <si>
    <t>63119-2302</t>
  </si>
  <si>
    <t>Lehigh Acres Unit 2 Blk 8 Pb 26 Pg 4 Lot 10</t>
  </si>
  <si>
    <t xml:space="preserve">Po Box 802 </t>
  </si>
  <si>
    <t xml:space="preserve">4113 NE 22nd Pl  Cape Coral, FL 33909 </t>
  </si>
  <si>
    <t>Nancy Schwartzmiller</t>
  </si>
  <si>
    <t>Bucek</t>
  </si>
  <si>
    <t xml:space="preserve">2020 NE 35th St  Cape Coral, FL 33909 </t>
  </si>
  <si>
    <t>34110-1607</t>
  </si>
  <si>
    <t xml:space="preserve">5100 Fable St </t>
  </si>
  <si>
    <t>Cape Coral Unit 36 Pt 1 Blk 2500 Pb 23 Pg 93 Lots 17 + 18</t>
  </si>
  <si>
    <t xml:space="preserve">163 Heritage Cir #313 </t>
  </si>
  <si>
    <t xml:space="preserve">308 Kismet Pkwy E  Cape Coral, FL 33909 </t>
  </si>
  <si>
    <t>Shatterly</t>
  </si>
  <si>
    <t>James &amp; Margaret Moore</t>
  </si>
  <si>
    <t>Cape Coral Unit 33 Blk 2231 Pb 16 Pg 54 Lots 50 + 51</t>
  </si>
  <si>
    <t>20-43-24-c2-05668.0130</t>
  </si>
  <si>
    <t xml:space="preserve">427 N Elena Ave #1, Redondo Beach, CA 90277-2823 </t>
  </si>
  <si>
    <t>53901-9639</t>
  </si>
  <si>
    <t>Betty Haung</t>
  </si>
  <si>
    <t>02-46-23-l4-27000.0070</t>
  </si>
  <si>
    <t>Yamada</t>
  </si>
  <si>
    <t xml:space="preserve">142 Jerry Moore Rd  Jonesborough, TN 37659-7238 </t>
  </si>
  <si>
    <t>Celine</t>
  </si>
  <si>
    <t>West Hartford</t>
  </si>
  <si>
    <t xml:space="preserve">902 NE Juanita Pl </t>
  </si>
  <si>
    <t>Matthew</t>
  </si>
  <si>
    <t xml:space="preserve">1929 Kismet Pkwy E </t>
  </si>
  <si>
    <t>Pelikanhaugen</t>
  </si>
  <si>
    <t xml:space="preserve">11638 Bannister Ct  Shelby Township, MI 48315-5117 </t>
  </si>
  <si>
    <t xml:space="preserve">1423 NE 13th Pl </t>
  </si>
  <si>
    <t xml:space="preserve">3953 Lavaque Rd </t>
  </si>
  <si>
    <t xml:space="preserve">429 Eldridge Ave W  Saint Paul, MN 55113-6638 </t>
  </si>
  <si>
    <t>Woolsey</t>
  </si>
  <si>
    <t>60656-3825</t>
  </si>
  <si>
    <t>Cape Coral Unit 6 Part 3 Blk 75 Pb 11 Pg 71 Lots 24 + 25</t>
  </si>
  <si>
    <t>Starvish</t>
  </si>
  <si>
    <t xml:space="preserve">192 Blue Gill Dr  Lake Lure, NC 28746 </t>
  </si>
  <si>
    <t>Mc Cormick</t>
  </si>
  <si>
    <t>17-43-24-c3-05796.0240</t>
  </si>
  <si>
    <t xml:space="preserve">3334 Lewis Seifert Rd  Hubbard, OH 44425-1035 </t>
  </si>
  <si>
    <t>Cypress Woods Rv Resort Ut 1 Pb 65 Pg 85 + 86 Blk A Lot 20</t>
  </si>
  <si>
    <t xml:space="preserve">10213 Butterweed Trl  Fort Myers, FL 33905 </t>
  </si>
  <si>
    <t xml:space="preserve">205 W Hickory Grove Rd  Hartford City, IN 47348-1066 </t>
  </si>
  <si>
    <t>07735-1119</t>
  </si>
  <si>
    <t xml:space="preserve">155 Cort Ln </t>
  </si>
  <si>
    <t xml:space="preserve">1219 NE 15th Ln  Cape Coral, FL 33909 </t>
  </si>
  <si>
    <t xml:space="preserve">1420 NE 37th St </t>
  </si>
  <si>
    <t>Genaro Olguin</t>
  </si>
  <si>
    <t>33437-3767</t>
  </si>
  <si>
    <t>Stacey Cassell</t>
  </si>
  <si>
    <t xml:space="preserve"> Fergus, ON N1m 2W4 </t>
  </si>
  <si>
    <t xml:space="preserve">902 NE 23rd Ter </t>
  </si>
  <si>
    <t>11-44-25-10-00000.4070</t>
  </si>
  <si>
    <t>33909-1513</t>
  </si>
  <si>
    <t>Lizeth</t>
  </si>
  <si>
    <t>Sunsine</t>
  </si>
  <si>
    <t xml:space="preserve">3616 NE 9th Ave  Cape Coral, FL 33909 </t>
  </si>
  <si>
    <t>Knoll Landing</t>
  </si>
  <si>
    <t xml:space="preserve">1049 Essex Dr  Bensalem, PA 19020-4264 </t>
  </si>
  <si>
    <t>Potuzak</t>
  </si>
  <si>
    <t>Fogel</t>
  </si>
  <si>
    <t xml:space="preserve">6121 Hershey Ave </t>
  </si>
  <si>
    <t xml:space="preserve">3851 Hopevale St </t>
  </si>
  <si>
    <t xml:space="preserve">6673 Cherry Grove Cir </t>
  </si>
  <si>
    <t xml:space="preserve">1147 Hinchey Rd </t>
  </si>
  <si>
    <t>Dickins</t>
  </si>
  <si>
    <t xml:space="preserve">11387 Cline Ave </t>
  </si>
  <si>
    <t xml:space="preserve">3618 NE 12th Ct </t>
  </si>
  <si>
    <t>Cypress Woods Rv Resort Unit 4 Pb 79 Pgs 68-71 Blk D Lot 55</t>
  </si>
  <si>
    <t>Hidalgo</t>
  </si>
  <si>
    <t>25-43-23-c3-02343.0810</t>
  </si>
  <si>
    <t xml:space="preserve">2129 Meredith Way  Bear, DE 19701-4313 </t>
  </si>
  <si>
    <t xml:space="preserve">960 E 4th St  Hialeah, FL 33010-5154 </t>
  </si>
  <si>
    <t>Quijano</t>
  </si>
  <si>
    <t>PO Box 122</t>
  </si>
  <si>
    <t xml:space="preserve">1966 Knox St </t>
  </si>
  <si>
    <t xml:space="preserve">2120 NE 43rd Ln  Cape Coral, FL 33909 </t>
  </si>
  <si>
    <t>Targee</t>
  </si>
  <si>
    <t>Aguiar Manuel A Tr</t>
  </si>
  <si>
    <t>Craftsman Park</t>
  </si>
  <si>
    <t xml:space="preserve">211 Mccrae Ln A </t>
  </si>
  <si>
    <t>Cape Coral Unit 31 Blk 2066 Pb 14 Pg 160 Lots 15 + 16</t>
  </si>
  <si>
    <t xml:space="preserve">4021 NE 10th Pl </t>
  </si>
  <si>
    <t>Hattie Gaymon</t>
  </si>
  <si>
    <t>MAIL STREET NAME SUFFIX</t>
  </si>
  <si>
    <t>64113-2054</t>
  </si>
  <si>
    <t>Antola</t>
  </si>
  <si>
    <t>Scottdale</t>
  </si>
  <si>
    <t>Indarjit Maaraj &amp; Seema Maharaj</t>
  </si>
  <si>
    <t xml:space="preserve">199 E Lindon Way  Salt Lake City, UT 84107-6149 </t>
  </si>
  <si>
    <t xml:space="preserve">Po Box 1126 </t>
  </si>
  <si>
    <t>Michael Byars</t>
  </si>
  <si>
    <t xml:space="preserve">1221 NE 18th Pl  Cape Coral, FL 33909 </t>
  </si>
  <si>
    <t xml:space="preserve">2532 NE 20th Ave </t>
  </si>
  <si>
    <t>32-43-24-c2-02239.0410</t>
  </si>
  <si>
    <t xml:space="preserve">15 Marie Curie St </t>
  </si>
  <si>
    <t>75209-6010</t>
  </si>
  <si>
    <t>Wilma &amp; For Nye</t>
  </si>
  <si>
    <t>Margate</t>
  </si>
  <si>
    <t xml:space="preserve">10150 Shadowood Ct  Fort Myers, FL 33905 </t>
  </si>
  <si>
    <t>Waters Edge Iii At Pepper Tree Pte Lot 15 Desc Or2597/3444+Cpb 21/73-82</t>
  </si>
  <si>
    <t xml:space="preserve">6010 Jonathan Ave  Fort Myers, FL 33905 </t>
  </si>
  <si>
    <t xml:space="preserve">313 NE 14th Ter  Cape Coral, FL 33909 </t>
  </si>
  <si>
    <t>Miron</t>
  </si>
  <si>
    <t>Christian Gottselig</t>
  </si>
  <si>
    <t>Reaves</t>
  </si>
  <si>
    <t xml:space="preserve">801 Peyton Way </t>
  </si>
  <si>
    <t xml:space="preserve">29 Manners Ave </t>
  </si>
  <si>
    <t>Rawls</t>
  </si>
  <si>
    <t>16-44-26-08-00026.0080</t>
  </si>
  <si>
    <t xml:space="preserve">11651 Blue Warbler Dr </t>
  </si>
  <si>
    <t>S 100 Ft Of N 150 Ft Of W 108 Ft Of E 399 Ft Of Ne 1/4 Of Se 1/4 Of Nw 1/4 Aka Lts 16 + 17 Blk B Iona Village Ur</t>
  </si>
  <si>
    <t>33901-5023</t>
  </si>
  <si>
    <t>Barkhaus Family Trust</t>
  </si>
  <si>
    <t>Milord</t>
  </si>
  <si>
    <t xml:space="preserve">1735 Beacon St  Waban, MA 02468-1401 </t>
  </si>
  <si>
    <t>Lehigh Acres Unit 8 Blk 36 Pb 26 Pg 10 Lot 30</t>
  </si>
  <si>
    <t>25-43-23-c2-02339.0150</t>
  </si>
  <si>
    <t>Cooper City</t>
  </si>
  <si>
    <t xml:space="preserve">3350 NE 13th Pl  Cape Coral, FL 33909 </t>
  </si>
  <si>
    <t>Pleasant Plains</t>
  </si>
  <si>
    <t>32162-5330</t>
  </si>
  <si>
    <t xml:space="preserve">1418 NE 19th St  Cape Coral, FL 33909 </t>
  </si>
  <si>
    <t xml:space="preserve">531 NE 5th Pl  Cape Coral, FL 33909 </t>
  </si>
  <si>
    <t>Hodgins</t>
  </si>
  <si>
    <t>Cape Coral Unit 85 Blk 5633 Pb 24 Pg 50 Lots 3 + 4</t>
  </si>
  <si>
    <t xml:space="preserve">1100 NE 34th Ter  Cape Coral, FL 33909 </t>
  </si>
  <si>
    <t>Cape Coral Unit 87 Blk 5751 Pb 24 Pg 68 Lots 23 + 24</t>
  </si>
  <si>
    <t>Lisa &amp; For Fink</t>
  </si>
  <si>
    <t xml:space="preserve">236 Hillside Ave #1, Hillside, NJ 07205-1856 </t>
  </si>
  <si>
    <t>For Duvpera Trust</t>
  </si>
  <si>
    <t xml:space="preserve">352 NE 26th St </t>
  </si>
  <si>
    <t>20854-1602</t>
  </si>
  <si>
    <t xml:space="preserve">2120 NE 6th Ave  Cape Coral, FL 33909 </t>
  </si>
  <si>
    <t>Hattie</t>
  </si>
  <si>
    <t>Edison Park Blk 23 Pb 7 Pg 28 Lt 29 Less Ely 10 Ft + Ely 10 Of Lot 30</t>
  </si>
  <si>
    <t>Levittown</t>
  </si>
  <si>
    <t>61265-6977</t>
  </si>
  <si>
    <t>Cape Coral Unit 33 Blk 2267 Pb 16 Pg 60 Lots 3 + 4</t>
  </si>
  <si>
    <t>Cape Coral Unit 36 Blk 2330 Pb 16 Pg 129 Lots 55 + 56</t>
  </si>
  <si>
    <t>06-45-24-c3-00536.0310</t>
  </si>
  <si>
    <t>Nevada</t>
  </si>
  <si>
    <t xml:space="preserve">4010 NE 23rd Pl  Cape Coral, FL 33909 </t>
  </si>
  <si>
    <t xml:space="preserve">14422 NW 88th Pl </t>
  </si>
  <si>
    <t xml:space="preserve">315 Tropicana Pkwy E </t>
  </si>
  <si>
    <t>Cape Coral Unit 85 Blk 5666 Pb 24 Pg 53 Lots 67 + 68</t>
  </si>
  <si>
    <t>33177-7510</t>
  </si>
  <si>
    <t xml:space="preserve">1510 NE 13th Pl </t>
  </si>
  <si>
    <t>75424-2908</t>
  </si>
  <si>
    <t>Timothy &amp; Lori Sarki</t>
  </si>
  <si>
    <t xml:space="preserve">27 First St Oreta Subdivsion  Manila, PH </t>
  </si>
  <si>
    <t>Kunibertusplatz</t>
  </si>
  <si>
    <t>20187-4194</t>
  </si>
  <si>
    <t>Burr Ridge</t>
  </si>
  <si>
    <t>Cincinnati</t>
  </si>
  <si>
    <t>Minh</t>
  </si>
  <si>
    <t>33905-7693</t>
  </si>
  <si>
    <t xml:space="preserve">7539 192nd St </t>
  </si>
  <si>
    <t>For Barillaro Family Trust</t>
  </si>
  <si>
    <t>Rilinger</t>
  </si>
  <si>
    <t>Cape Coral Unit 32 Blk 2169 Pb 16 Pg 8 Lots 9 + 10</t>
  </si>
  <si>
    <t>33904-3223</t>
  </si>
  <si>
    <t xml:space="preserve">650 N Shore Dr </t>
  </si>
  <si>
    <t>Fernando Machado</t>
  </si>
  <si>
    <t>Edisley Martinez</t>
  </si>
  <si>
    <t xml:space="preserve">14090 Campus St </t>
  </si>
  <si>
    <t>Dotan</t>
  </si>
  <si>
    <t xml:space="preserve">1156 Palm Ave </t>
  </si>
  <si>
    <t xml:space="preserve">1314 N Gator Cir  Cape Coral, FL 33909 </t>
  </si>
  <si>
    <t xml:space="preserve">111 Hubbard Ln  Milton, KY 40045-8336 </t>
  </si>
  <si>
    <t>Hawkins James F Tr</t>
  </si>
  <si>
    <t>Cape Coral Unit 31 Blk 2032 Pb 14 Pg 159 Lots 3 + 4</t>
  </si>
  <si>
    <t>17-43-24-c2-05815.0030</t>
  </si>
  <si>
    <t>Desrochersas</t>
  </si>
  <si>
    <t>33909-1366</t>
  </si>
  <si>
    <t>17-43-24-c1-05828.0300</t>
  </si>
  <si>
    <t>34711-5349</t>
  </si>
  <si>
    <t xml:space="preserve">4523 SE 11th Pl </t>
  </si>
  <si>
    <t>Cape Coral Unit 36 Pt 1 Blk 2477 Pb 23 Pg 89 Lots 41 + 42</t>
  </si>
  <si>
    <t>Timothy Pettis</t>
  </si>
  <si>
    <t>Ararat</t>
  </si>
  <si>
    <t>03878-1609</t>
  </si>
  <si>
    <t>Cape Coral Unit 85 Blk 5655 Pb 24 Pg 57 Lots 44 + 45</t>
  </si>
  <si>
    <t xml:space="preserve">818 NE 17th St </t>
  </si>
  <si>
    <t>Debra Razzo &amp; Donna Rocks</t>
  </si>
  <si>
    <t xml:space="preserve">212 Henley Rd  Richmond, IN 47374-5945 </t>
  </si>
  <si>
    <t>Promotion Developement</t>
  </si>
  <si>
    <t>Gonzalez-Garza</t>
  </si>
  <si>
    <t>Rene Vivo &amp; Jr Rene Vivo</t>
  </si>
  <si>
    <t>State Road 78</t>
  </si>
  <si>
    <t>Macquesten</t>
  </si>
  <si>
    <t xml:space="preserve">4392 W 117th Way </t>
  </si>
  <si>
    <t>19-43-24-c2-05597.0220</t>
  </si>
  <si>
    <t>David &amp; Diane Gooden</t>
  </si>
  <si>
    <t xml:space="preserve">1202 NW 141st Ave </t>
  </si>
  <si>
    <t>33905-8666</t>
  </si>
  <si>
    <t>Rv</t>
  </si>
  <si>
    <t>Cape Coral Unit 36 Blk 2515 Pb 16 Pg 113 Lots 1 + 2</t>
  </si>
  <si>
    <t xml:space="preserve">260 E Reliance Rd </t>
  </si>
  <si>
    <t>Lananh</t>
  </si>
  <si>
    <t>Louis &amp; Philomena Fernandes</t>
  </si>
  <si>
    <t>Morris Plains</t>
  </si>
  <si>
    <t>Palacio Carlos</t>
  </si>
  <si>
    <t>Cape Coral Unit 85 Blk 5641 Pb 24 Pg 54 Lot 22</t>
  </si>
  <si>
    <t xml:space="preserve">1722 Deerhaven Dr  Crystal Lake, IL 60014-1927 </t>
  </si>
  <si>
    <t>Cape Coral Unit 85 Blk 5668 Pb 24 Pg 53 Lots 59 + 60</t>
  </si>
  <si>
    <t>Cape Coral Unit 84 Blk 5605 Pb 24 Pg 42 Lots 1 + 2</t>
  </si>
  <si>
    <t>Blue Jay</t>
  </si>
  <si>
    <t>11001-1411</t>
  </si>
  <si>
    <t xml:space="preserve">23 Rock Valley Rd </t>
  </si>
  <si>
    <t xml:space="preserve">231 Palmacea Rd </t>
  </si>
  <si>
    <t>84107-6149</t>
  </si>
  <si>
    <t>Throma</t>
  </si>
  <si>
    <t>Cape Coral Unit 11 Blk.565 Pb 13 Pg 44 Lots 3 + 4</t>
  </si>
  <si>
    <t xml:space="preserve">56 Brooks Rd  Harwich Port, MA 02646-2005 </t>
  </si>
  <si>
    <t>33905-3023</t>
  </si>
  <si>
    <t xml:space="preserve">2101 NE 1st Ave  Cape Coral, FL 33909 </t>
  </si>
  <si>
    <t>Buckhead</t>
  </si>
  <si>
    <t>Bong</t>
  </si>
  <si>
    <t>Katrina</t>
  </si>
  <si>
    <t>Rocky</t>
  </si>
  <si>
    <t xml:space="preserve">5527 Turtle Crossing Loop </t>
  </si>
  <si>
    <t>Cape Coral Unit 32 Blk 2101 Pb 16 Pg 2 Lots 19 + 20</t>
  </si>
  <si>
    <t xml:space="preserve">1414 NE 3rd Ave </t>
  </si>
  <si>
    <t xml:space="preserve">1504 NE 19th Ave </t>
  </si>
  <si>
    <t xml:space="preserve">231 Palmacea Rd  Fort Myers, FL 33905 </t>
  </si>
  <si>
    <t xml:space="preserve">Po Box 408 </t>
  </si>
  <si>
    <t>Marriott</t>
  </si>
  <si>
    <t>11-44-25-06-0000d.0240</t>
  </si>
  <si>
    <t>Cape Coral Unit 47 Pt 2 Blk 3535 Pb 23 Pg 120 Lots 3 + 4</t>
  </si>
  <si>
    <t>L0E 1N0</t>
  </si>
  <si>
    <t xml:space="preserve">1008 NE 12th St </t>
  </si>
  <si>
    <t>33909-9236</t>
  </si>
  <si>
    <t xml:space="preserve">1882 Hickory Point Rd </t>
  </si>
  <si>
    <t>Poddubny</t>
  </si>
  <si>
    <t xml:space="preserve">10027 Rambelwood Ct </t>
  </si>
  <si>
    <t>Gerald &amp; Frances Martin</t>
  </si>
  <si>
    <t>Sapronetti</t>
  </si>
  <si>
    <t>Cape Coral Unit 36 Pt.1 Blk.2493 Pb 23 Pg 91 Lots 1 + 2</t>
  </si>
  <si>
    <t>Raul &amp; Hortencia Barba</t>
  </si>
  <si>
    <t>1650th</t>
  </si>
  <si>
    <t>Stuart</t>
  </si>
  <si>
    <t xml:space="preserve">395 Devon Chase Hl #402, Gallatin, TN 37066-6691 </t>
  </si>
  <si>
    <t>Lucelly Granados</t>
  </si>
  <si>
    <t>Doryl</t>
  </si>
  <si>
    <t xml:space="preserve">2609 NE 20th Pl  Cape Coral, FL 33909 </t>
  </si>
  <si>
    <t xml:space="preserve">215 Fieldstone Dr  Chesterton, IN 46304-3538 </t>
  </si>
  <si>
    <t>Lynn &amp; E Boza</t>
  </si>
  <si>
    <t xml:space="preserve">335 Beach 39th St  Far Rockaway, NY 11691-1433 </t>
  </si>
  <si>
    <t>Heribert</t>
  </si>
  <si>
    <t>18-43-24-c1-05698.0050</t>
  </si>
  <si>
    <t>11-44-24-00-00014.0000</t>
  </si>
  <si>
    <t xml:space="preserve">412 NE 25th St  Cape Coral, FL 33909 </t>
  </si>
  <si>
    <t>Cape Coral Unit 36 Blk 2340 Pb 16 Pg 124 Lots 33 + 34</t>
  </si>
  <si>
    <t>Peggy Thompson</t>
  </si>
  <si>
    <t>19-43-24-c3-05608.0390</t>
  </si>
  <si>
    <t>Cape Coral Unit 36 Blk 2353 Pb 16 Pg 119 Lots 60 + 61</t>
  </si>
  <si>
    <t>Ramon &amp; For Lim</t>
  </si>
  <si>
    <t xml:space="preserve">4 Rue Port De Careme  Ocala, FL 34470 </t>
  </si>
  <si>
    <t xml:space="preserve">310 SE 29th St  Cape Coral, FL 33904 </t>
  </si>
  <si>
    <t xml:space="preserve">32 Grand Rue  Aspach Le Haut, FR </t>
  </si>
  <si>
    <t xml:space="preserve">1721 NE 41st St </t>
  </si>
  <si>
    <t xml:space="preserve">5661 Maplewood Ct </t>
  </si>
  <si>
    <t>48214-2139</t>
  </si>
  <si>
    <t>Cape Coral Unit 32 Blk 2141 Pb 16 Pg 7 Lots 25 + 26</t>
  </si>
  <si>
    <t>Lilys Nest</t>
  </si>
  <si>
    <t>Fagot</t>
  </si>
  <si>
    <t xml:space="preserve">4907 64th Dr W  Bradenton, FL 34210-4052 </t>
  </si>
  <si>
    <t xml:space="preserve">Po Box 545998 </t>
  </si>
  <si>
    <t>K1V 8N8</t>
  </si>
  <si>
    <t>Medellin</t>
  </si>
  <si>
    <t>Rene &amp; Maria Fernandez</t>
  </si>
  <si>
    <t>33909-3508</t>
  </si>
  <si>
    <t>11230-7197</t>
  </si>
  <si>
    <t>Cape Coral Unit 21 Blk 612 Pb 13 Pg 154 Lot 15 + 16</t>
  </si>
  <si>
    <t>Arnancourt</t>
  </si>
  <si>
    <t>02886-9611</t>
  </si>
  <si>
    <t>Olmsted</t>
  </si>
  <si>
    <t>Sibi</t>
  </si>
  <si>
    <t>60534-1012</t>
  </si>
  <si>
    <t>Buckingham Pk Re Blk B U-3 Blk 13 Pb 27 Pg 190 Lot 13</t>
  </si>
  <si>
    <t>Matagi</t>
  </si>
  <si>
    <t>33174-3920</t>
  </si>
  <si>
    <t>East Deville</t>
  </si>
  <si>
    <t>Hongzhen</t>
  </si>
  <si>
    <t>18-43-24-c4-05679.0310</t>
  </si>
  <si>
    <t>Robert &amp; Diane Wojan</t>
  </si>
  <si>
    <t>33909-3219</t>
  </si>
  <si>
    <t>Cape Coral Unit 87 Blk 5715 Pb 24 Pg 76 Lots 3 + 4</t>
  </si>
  <si>
    <t>Cape Coral Unit 33 Blk 2284 Pb 16 Pg 56 Lots 54 + 55</t>
  </si>
  <si>
    <t>Sunye</t>
  </si>
  <si>
    <t>35-43-23-c3-02722.0990</t>
  </si>
  <si>
    <t xml:space="preserve">1150 Eastbourne Ave  Lasalle, ON N9h 1B7 </t>
  </si>
  <si>
    <t>33165-3803</t>
  </si>
  <si>
    <t>Coolidge</t>
  </si>
  <si>
    <t>Frederick</t>
  </si>
  <si>
    <t xml:space="preserve">74 Stillwells Corner Rd  Freehold, NJ 07728-3304 </t>
  </si>
  <si>
    <t>Sameer Malik &amp; Soniya Suri</t>
  </si>
  <si>
    <t xml:space="preserve">11691 Fox Sparrow Dr </t>
  </si>
  <si>
    <t xml:space="preserve">2206 NE 27th Ter  Cape Coral, FL 33909 </t>
  </si>
  <si>
    <t xml:space="preserve">11601 Papershell Dr </t>
  </si>
  <si>
    <t>Metz</t>
  </si>
  <si>
    <t xml:space="preserve">4042 NE 10th Ave </t>
  </si>
  <si>
    <t>Floyd</t>
  </si>
  <si>
    <t>11-44-25-l1-13000.3070</t>
  </si>
  <si>
    <t>01-44-23-c3-02466.0330</t>
  </si>
  <si>
    <t xml:space="preserve">1024 Dolphin Dr </t>
  </si>
  <si>
    <t xml:space="preserve">38 Greenwood St </t>
  </si>
  <si>
    <t>Thomas Demulling</t>
  </si>
  <si>
    <t xml:space="preserve">348 Greylock Pkwy  Belleville, NJ 07109-2353 </t>
  </si>
  <si>
    <t>33909-4470</t>
  </si>
  <si>
    <t>Lusk</t>
  </si>
  <si>
    <t>Lake Geneva</t>
  </si>
  <si>
    <t>Cape Coral Unit 36 Blk 2346 Pb 16 Pg 130 Lots 52 &amp; 53</t>
  </si>
  <si>
    <t>18-43-24-c4-05685.0630</t>
  </si>
  <si>
    <t xml:space="preserve">91 Timberwood Ln  Collinsville, IL 62234-6865 </t>
  </si>
  <si>
    <t>Mr</t>
  </si>
  <si>
    <t>Cape Coral Unit 33 Blk 2223 Pb 16 Pg 43 Lots 70 + 71</t>
  </si>
  <si>
    <t xml:space="preserve">52755 Garfield Rd  Wakeman, OH 44889-9555 </t>
  </si>
  <si>
    <t>Baerwalde</t>
  </si>
  <si>
    <t>Cape Coral Unit 34 Blk 2466 Pb 16 Pg 76 Lots 33 + 34</t>
  </si>
  <si>
    <t xml:space="preserve">2603 W Saint Conrad St </t>
  </si>
  <si>
    <t>Naffa</t>
  </si>
  <si>
    <t>Cape Coral Unit 80 Blk 5133 Pb 22 Pg 141 Lots 30 Thru 32</t>
  </si>
  <si>
    <t>Ervin and Valerie Van Wyk Revocable Trust</t>
  </si>
  <si>
    <t xml:space="preserve">2365 NE 214th St </t>
  </si>
  <si>
    <t>Baylon-Sino</t>
  </si>
  <si>
    <t>Nada Matich</t>
  </si>
  <si>
    <t>Mwangi</t>
  </si>
  <si>
    <t xml:space="preserve">5661 Cypress Woods Resort Dr </t>
  </si>
  <si>
    <t xml:space="preserve">10010 Parkwood Dr  Fort Myers, FL 33905 </t>
  </si>
  <si>
    <t>33909-8890</t>
  </si>
  <si>
    <t>Ken Caryl</t>
  </si>
  <si>
    <t xml:space="preserve">31534 Glen View Ln </t>
  </si>
  <si>
    <t>29-43-24-c4-02255.0010</t>
  </si>
  <si>
    <t>11-44-25-l1-12000.3920</t>
  </si>
  <si>
    <t xml:space="preserve">118 Diplomat Pkwy E </t>
  </si>
  <si>
    <t xml:space="preserve">1807 NE 23rd Ave  Cape Coral, FL 33909 </t>
  </si>
  <si>
    <t>33175-3720</t>
  </si>
  <si>
    <t>06424-1811</t>
  </si>
  <si>
    <t>Meadow</t>
  </si>
  <si>
    <t>Wu</t>
  </si>
  <si>
    <t xml:space="preserve">443 NE 8th Ter  Cape Coral, FL 33909 </t>
  </si>
  <si>
    <t xml:space="preserve">1402 NE 15th St  Cape Coral, FL 33909 </t>
  </si>
  <si>
    <t>Julianna Corsi &amp; Larry Herodek</t>
  </si>
  <si>
    <t>Cape Coral Unit 36 Blk 2522 Pb 16 Pg 113 Lots 30 + 31</t>
  </si>
  <si>
    <t>Pedro Valdes</t>
  </si>
  <si>
    <t xml:space="preserve">290 NW 123rd Ave </t>
  </si>
  <si>
    <t xml:space="preserve">411 Walnut St #13857 </t>
  </si>
  <si>
    <t>Daysi</t>
  </si>
  <si>
    <t xml:space="preserve">4223 NE 17th Ave  Cape Coral, FL 33909 </t>
  </si>
  <si>
    <t>Port Jefferson Station</t>
  </si>
  <si>
    <t xml:space="preserve">6741 Buckingham Rd </t>
  </si>
  <si>
    <t xml:space="preserve">620 E Laverne Dr </t>
  </si>
  <si>
    <t>R M R &amp; Elizabeth Whiting</t>
  </si>
  <si>
    <t>Cape Coral Unit 85 Blk 5634 Pb 24 Pg 50 Lots 10 + 11</t>
  </si>
  <si>
    <t xml:space="preserve">1311 NE 20th Pl </t>
  </si>
  <si>
    <t>Julie Nguyen</t>
  </si>
  <si>
    <t>20-43-24-c2-05658.0350</t>
  </si>
  <si>
    <t>Corsi</t>
  </si>
  <si>
    <t xml:space="preserve">28 Hall St  West Islip, NY 11795-4217 </t>
  </si>
  <si>
    <t xml:space="preserve">41 La Fonda Ln </t>
  </si>
  <si>
    <t xml:space="preserve">720 8th St NE </t>
  </si>
  <si>
    <t>Labrador</t>
  </si>
  <si>
    <t>Cape Coral Unit 85 Blk 5669 Pb 24 Pg 52 Lots 51 + 52</t>
  </si>
  <si>
    <t xml:space="preserve">5115 Cypress Trail Resort Cir </t>
  </si>
  <si>
    <t xml:space="preserve">23436 Waskawood Rd  Glenwood, MN 56334-5103 </t>
  </si>
  <si>
    <t>Popal</t>
  </si>
  <si>
    <t>Bruna</t>
  </si>
  <si>
    <t>33178-3827</t>
  </si>
  <si>
    <t>Feliberto Gonzalo</t>
  </si>
  <si>
    <t>Military</t>
  </si>
  <si>
    <t xml:space="preserve">2034 NE 25th St  Cape Coral, FL 33909 </t>
  </si>
  <si>
    <t>PO Box Li30010</t>
  </si>
  <si>
    <t>32168-6976</t>
  </si>
  <si>
    <t>Pasquale &amp; Agnes Sperduto</t>
  </si>
  <si>
    <t>Frost</t>
  </si>
  <si>
    <t>Kalamazoo</t>
  </si>
  <si>
    <t>32-43-24-c1-02234.0240</t>
  </si>
  <si>
    <t xml:space="preserve">1730 N Capri Dr </t>
  </si>
  <si>
    <t>33909-8808</t>
  </si>
  <si>
    <t>Williamson</t>
  </si>
  <si>
    <t>33909-2873</t>
  </si>
  <si>
    <t xml:space="preserve">1322 Old State Route 74 </t>
  </si>
  <si>
    <t>Villarin</t>
  </si>
  <si>
    <t>Ruby &amp; For Stewart</t>
  </si>
  <si>
    <t>33161-6536</t>
  </si>
  <si>
    <t>33909-4220</t>
  </si>
  <si>
    <t xml:space="preserve">48 Linmar Homes </t>
  </si>
  <si>
    <t>31-43-24-c2-02137.0150</t>
  </si>
  <si>
    <t>Celia</t>
  </si>
  <si>
    <t>North Fort Myers</t>
  </si>
  <si>
    <t>Cape Coral Unit 34 Blk 2423 Pb 16 Pg 76 Lots 32 Thru 34</t>
  </si>
  <si>
    <t xml:space="preserve">6139 Stratton Rd  Fort Myers, FL 33905 </t>
  </si>
  <si>
    <t>Buckingham Pk Re Blk B U-5 Blk 24 Pb 27 Pg 193 Lot 25</t>
  </si>
  <si>
    <t>33909-6901</t>
  </si>
  <si>
    <t>11-44-25-09-00000.1690</t>
  </si>
  <si>
    <t xml:space="preserve">9254 NW 18th St </t>
  </si>
  <si>
    <t>Roswell</t>
  </si>
  <si>
    <t>Langdon</t>
  </si>
  <si>
    <t>18-43-24-c2-05735.0150</t>
  </si>
  <si>
    <t>11367-1945</t>
  </si>
  <si>
    <t xml:space="preserve">4315 NE 13th Pl  Cape Coral, FL 33909 </t>
  </si>
  <si>
    <t xml:space="preserve">1313 NE 15th Ln  Cape Coral, FL 33909 </t>
  </si>
  <si>
    <t>33904-5703</t>
  </si>
  <si>
    <t xml:space="preserve">1701 NE 4th Pl </t>
  </si>
  <si>
    <t xml:space="preserve">1808 NE 44th St </t>
  </si>
  <si>
    <t>33445-4513</t>
  </si>
  <si>
    <t>Carvajal</t>
  </si>
  <si>
    <t>Charles-Harris</t>
  </si>
  <si>
    <t>33037-1890</t>
  </si>
  <si>
    <t xml:space="preserve">5935 NW 55th Ln </t>
  </si>
  <si>
    <t>Cape Coral Unit 6 Part 3 Blk 75 Pb 11 Pg 71 Lots 22 + 23</t>
  </si>
  <si>
    <t>Asencio</t>
  </si>
  <si>
    <t>Mcclain</t>
  </si>
  <si>
    <t>Bridgette</t>
  </si>
  <si>
    <t>Stanley &amp; Nancy Kielar</t>
  </si>
  <si>
    <t xml:space="preserve">1824 Kismet Pkwy E  Cape Coral, FL 33909 </t>
  </si>
  <si>
    <t>36-44-23-c3-00878.0660</t>
  </si>
  <si>
    <t>Flanagan</t>
  </si>
  <si>
    <t xml:space="preserve">4446 New York Ave  Fort Myers, FL 33905 </t>
  </si>
  <si>
    <t xml:space="preserve">1904 NE 33rd Ter  Cape Coral, FL 33909 </t>
  </si>
  <si>
    <t>Cape Coral Unit 87 Blk 5679 Pb 24 Pg 73 Lots 31 + 32</t>
  </si>
  <si>
    <t>Sargent</t>
  </si>
  <si>
    <t xml:space="preserve">2311 Santa Barbara Blvd #111, Cape Coral, FL 33991-4394 </t>
  </si>
  <si>
    <t xml:space="preserve">PO Box 570854  Dallas, TX 75357 </t>
  </si>
  <si>
    <t xml:space="preserve">542 NE 5th Pl </t>
  </si>
  <si>
    <t xml:space="preserve">827 NE 19th St  Cape Coral, FL 33909 </t>
  </si>
  <si>
    <t xml:space="preserve">1329 NE 9th St  Cape Coral, FL 33909 </t>
  </si>
  <si>
    <t xml:space="preserve">543 Garden St </t>
  </si>
  <si>
    <t>07039-3737</t>
  </si>
  <si>
    <t xml:space="preserve">24 Bluegrass Ln </t>
  </si>
  <si>
    <t>Lovejoy Park Blk H Pb 5 Pg 26 Lot 10</t>
  </si>
  <si>
    <t>Kingwood</t>
  </si>
  <si>
    <t>Shapiro James A Tr</t>
  </si>
  <si>
    <t xml:space="preserve">1712 NE 7th Pl  Cape Coral, FL 33909 </t>
  </si>
  <si>
    <t>Alvaro</t>
  </si>
  <si>
    <t>Raymond &amp; Flavian Starvish</t>
  </si>
  <si>
    <t>Cartago</t>
  </si>
  <si>
    <t>18-43-24-c3-05742.0460</t>
  </si>
  <si>
    <t>Joann</t>
  </si>
  <si>
    <t>33905-1764</t>
  </si>
  <si>
    <t>For Jnr Trust</t>
  </si>
  <si>
    <t xml:space="preserve">1310 NE 3rd Ave  Cape Coral, FL 33909 </t>
  </si>
  <si>
    <t xml:space="preserve">1457 Appling Dr </t>
  </si>
  <si>
    <t xml:space="preserve">5275 Cypress Trail Resort Cir  Fort Myers, FL 33905 </t>
  </si>
  <si>
    <t>Mary &amp; For Arguello</t>
  </si>
  <si>
    <t>33909-1650</t>
  </si>
  <si>
    <t xml:space="preserve">1424 NE 37th St </t>
  </si>
  <si>
    <t>Moradi</t>
  </si>
  <si>
    <t>Dr &amp; Fatma Dowlut</t>
  </si>
  <si>
    <t>Cape Coral Unit 84 Blk 5572 Pb 24 Pg 40 Lots 23 + 24</t>
  </si>
  <si>
    <t>Morton</t>
  </si>
  <si>
    <t>Cape Coral Unit 87 Blk 5695 Pb 24 Pg 81 Lots 37 + 38</t>
  </si>
  <si>
    <t>John Mcneely</t>
  </si>
  <si>
    <t>Pardun</t>
  </si>
  <si>
    <t>Laird</t>
  </si>
  <si>
    <t xml:space="preserve">110 Shore Ct #311 </t>
  </si>
  <si>
    <t>Victoria Gardens</t>
  </si>
  <si>
    <t>Rick &amp; Suzanne Lavigne</t>
  </si>
  <si>
    <t xml:space="preserve">19681 Summerlin Rd #47 </t>
  </si>
  <si>
    <t xml:space="preserve">35 Rue Antoine Baron </t>
  </si>
  <si>
    <t xml:space="preserve">2033 NE 4th Pl  Cape Coral, FL 33909 </t>
  </si>
  <si>
    <t>Yalamanchilli</t>
  </si>
  <si>
    <t xml:space="preserve">1519 290th Ave </t>
  </si>
  <si>
    <t xml:space="preserve">3716 Kelsey St </t>
  </si>
  <si>
    <t>32-43-24-c4-02223.0670</t>
  </si>
  <si>
    <t>Lehigh Acres Unit 8 Blk 35 Pb 26 Pg 10 Lot 2</t>
  </si>
  <si>
    <t>19-43-24-c2-05600.0570</t>
  </si>
  <si>
    <t xml:space="preserve">1425 NE 5th Pl </t>
  </si>
  <si>
    <t>33032-8851</t>
  </si>
  <si>
    <t xml:space="preserve">1231 W River Ln </t>
  </si>
  <si>
    <t>R035</t>
  </si>
  <si>
    <t xml:space="preserve">125 NE 15th St </t>
  </si>
  <si>
    <t>Trottenstrasse</t>
  </si>
  <si>
    <t>49th</t>
  </si>
  <si>
    <t xml:space="preserve">Po Box 1092 </t>
  </si>
  <si>
    <t>18-43-24-c2-05730.0410</t>
  </si>
  <si>
    <t>33905-5895</t>
  </si>
  <si>
    <t xml:space="preserve">1701 NE 23rd St </t>
  </si>
  <si>
    <t xml:space="preserve">6026 Jessica St </t>
  </si>
  <si>
    <t xml:space="preserve">18539 SW 12th St  Pembroke Pines, FL 33029-6017 </t>
  </si>
  <si>
    <t xml:space="preserve">14 Clearview Ave  West Hartford, CT 06119-2201 </t>
  </si>
  <si>
    <t xml:space="preserve">2630 NE 19th Pl </t>
  </si>
  <si>
    <t xml:space="preserve">3857/3859 Hollycrest St </t>
  </si>
  <si>
    <t>Norma</t>
  </si>
  <si>
    <t>Cape Coral Unit 87 Blk 5725 Pb 24 Pg 81 Lots 13 + 14</t>
  </si>
  <si>
    <t xml:space="preserve">PO Box 1  Salisbury Mills, NY 12577 </t>
  </si>
  <si>
    <t xml:space="preserve">3302 NE 8th Pl  Cape Coral, FL 33909 </t>
  </si>
  <si>
    <t xml:space="preserve">3523 Old Niles Ferry Rd  Maryville, TN 37803 </t>
  </si>
  <si>
    <t>31-43-24-c2-02134.0260</t>
  </si>
  <si>
    <t>For Thomas E Huckle Trust</t>
  </si>
  <si>
    <t>Box Elder</t>
  </si>
  <si>
    <t>Co-Lon</t>
  </si>
  <si>
    <t>Estate Smith</t>
  </si>
  <si>
    <t>03-44-26-l1-00003.0460</t>
  </si>
  <si>
    <t>Pawel</t>
  </si>
  <si>
    <t xml:space="preserve">2226 NE 15th Ter  Cape Coral, FL 33909 </t>
  </si>
  <si>
    <t xml:space="preserve">7519 Somerset Bay D, Indianapolis, IN 46240-3446 </t>
  </si>
  <si>
    <t xml:space="preserve">1525 Balmy Beach Dr </t>
  </si>
  <si>
    <t xml:space="preserve">6640 SW 70th Ter  Miami, FL 33143-3262 </t>
  </si>
  <si>
    <t>For Larry R &amp; Ruth B Ernest Trust</t>
  </si>
  <si>
    <t>03-44-26-11-00054.0130</t>
  </si>
  <si>
    <t>34120-2056</t>
  </si>
  <si>
    <t xml:space="preserve">9111 Freedom Way NE  Albuquerque, NM 87109-6306 </t>
  </si>
  <si>
    <t>Carolyn Rackmill</t>
  </si>
  <si>
    <t>19002-2866</t>
  </si>
  <si>
    <t>Conroy</t>
  </si>
  <si>
    <t>Briggs Terry Lee Tr</t>
  </si>
  <si>
    <t xml:space="preserve">1001 NE 44th St  Cape Coral, FL 33909 </t>
  </si>
  <si>
    <t>Andrew Kerrigan</t>
  </si>
  <si>
    <t xml:space="preserve">13 NE 19th Ter </t>
  </si>
  <si>
    <t xml:space="preserve">11 Nutgrove St </t>
  </si>
  <si>
    <t xml:space="preserve">2304 Icarus Dr </t>
  </si>
  <si>
    <t>31-43-24-c1-02149.0380</t>
  </si>
  <si>
    <t>Manuel &amp; Lourdes Perez</t>
  </si>
  <si>
    <t xml:space="preserve">12596 Achasta Blvd  Hudson, FL 34669-8521 </t>
  </si>
  <si>
    <t>OK</t>
  </si>
  <si>
    <t>Cape Coral Unit 87 Blk 5689 Pb 24 Pg 83 Lots 36 + 37</t>
  </si>
  <si>
    <t>Borsten</t>
  </si>
  <si>
    <t xml:space="preserve">7662 Thistle Ridge Rd </t>
  </si>
  <si>
    <t>Wantagh</t>
  </si>
  <si>
    <t>33909-9231</t>
  </si>
  <si>
    <t>33010-6246</t>
  </si>
  <si>
    <t>32-43-24-c4-02224.0470</t>
  </si>
  <si>
    <t xml:space="preserve">Italia N31-112Y Vancouver </t>
  </si>
  <si>
    <t>32-43-24-c2-02243.0150</t>
  </si>
  <si>
    <t xml:space="preserve">308 NE 16th Ter  Cape Coral, FL 33909 </t>
  </si>
  <si>
    <t>33909-6465</t>
  </si>
  <si>
    <t>46254-2155</t>
  </si>
  <si>
    <t>Huong Tran</t>
  </si>
  <si>
    <t>William &amp; Louise Mixon</t>
  </si>
  <si>
    <t>Luis Davila &amp; Haydee Martinez</t>
  </si>
  <si>
    <t xml:space="preserve">62 Penn St </t>
  </si>
  <si>
    <t>Cape Coral Unit 84 Blk 5622 Pb 24 Pg 33 Lots 1 + 2</t>
  </si>
  <si>
    <t>31-44-24-c1-00823.0150</t>
  </si>
  <si>
    <t>Mulholland</t>
  </si>
  <si>
    <t>33909-3018</t>
  </si>
  <si>
    <t xml:space="preserve">Louisiana #2882, Guadalajara, MX 44520 </t>
  </si>
  <si>
    <t>Buch</t>
  </si>
  <si>
    <t>Albert &amp; Anne Baumgart</t>
  </si>
  <si>
    <t xml:space="preserve">1034 NE 40th Ter  Cape Coral, FL 33909 </t>
  </si>
  <si>
    <t>Nelkenweg</t>
  </si>
  <si>
    <t>Sikkema</t>
  </si>
  <si>
    <t xml:space="preserve">1508 NE 18th Pl  Cape Coral, FL 33909 </t>
  </si>
  <si>
    <t>01835-8302</t>
  </si>
  <si>
    <t xml:space="preserve">213 W Yale Loop </t>
  </si>
  <si>
    <t>33904-7948</t>
  </si>
  <si>
    <t>Berry</t>
  </si>
  <si>
    <t xml:space="preserve">1076 Remsen Ave </t>
  </si>
  <si>
    <t xml:space="preserve">10421 Nightwood Dr  Fort Myers, FL 33905 </t>
  </si>
  <si>
    <t>33909-1111</t>
  </si>
  <si>
    <t xml:space="preserve">4424 New York Ave </t>
  </si>
  <si>
    <t xml:space="preserve">1024 NE 32nd Ter  Cape Coral, FL 33909 </t>
  </si>
  <si>
    <t xml:space="preserve">105 Bleecker St #1, Jersey City, NJ 07307-3405 </t>
  </si>
  <si>
    <t>Belinder</t>
  </si>
  <si>
    <t xml:space="preserve">19681 Summerlin Rd #22 </t>
  </si>
  <si>
    <t>Ziad</t>
  </si>
  <si>
    <t>Portney</t>
  </si>
  <si>
    <t>Manuel</t>
  </si>
  <si>
    <t xml:space="preserve">230 W 123rd Ave </t>
  </si>
  <si>
    <t>33176-9504</t>
  </si>
  <si>
    <t>For Susan Lorraine Hummel Trust</t>
  </si>
  <si>
    <t>48178-1232</t>
  </si>
  <si>
    <t>9g</t>
  </si>
  <si>
    <t xml:space="preserve">13525 SW 49th Ct  Miramar, FL 33027-5930 </t>
  </si>
  <si>
    <t xml:space="preserve">5151 Cypress Trail Resort Cir  Fort Myers, FL 33905 </t>
  </si>
  <si>
    <t>Virginia &amp; For Shaller</t>
  </si>
  <si>
    <t>Reinert</t>
  </si>
  <si>
    <t>Hagaman</t>
  </si>
  <si>
    <t>17-43-24-c2-05799.0490</t>
  </si>
  <si>
    <t>Cape Coral Unit 33 Blk.2179 Pb 16 Pg 53 Lots 5 + 6</t>
  </si>
  <si>
    <t>Cape Coral Unit 21 Blk.551 Pb 13 Pg 155 Lots 6 + 7</t>
  </si>
  <si>
    <t>County Route 515</t>
  </si>
  <si>
    <t>Alirio Villalba &amp; Maria Olaya</t>
  </si>
  <si>
    <t>Fry</t>
  </si>
  <si>
    <t>Reuven &amp; Rinat Pollak</t>
  </si>
  <si>
    <t>Tinglin</t>
  </si>
  <si>
    <t>33909-3503</t>
  </si>
  <si>
    <t>Schaller</t>
  </si>
  <si>
    <t xml:space="preserve">10217 Butterweed Trl  Fort Myers, FL 33905 </t>
  </si>
  <si>
    <t>Anoka</t>
  </si>
  <si>
    <t xml:space="preserve">19830 NW 77th Ct  Hialeah, FL 33015-6405 </t>
  </si>
  <si>
    <t>36-43-23-c2-02545.0050</t>
  </si>
  <si>
    <t xml:space="preserve">2907 NE 5th Pl  Cape Coral, FL 33909 </t>
  </si>
  <si>
    <t xml:space="preserve">17618 Martha Ave </t>
  </si>
  <si>
    <t>Muscogee</t>
  </si>
  <si>
    <t>Ferndell Acres</t>
  </si>
  <si>
    <t>03-44-26-05-00026.0170</t>
  </si>
  <si>
    <t xml:space="preserve">9391 Mokihana Dr  Huntington Beach, CA 92646-7948 </t>
  </si>
  <si>
    <t xml:space="preserve">2113 NE 27th St </t>
  </si>
  <si>
    <t>Schiraldi</t>
  </si>
  <si>
    <t>06-44-24-c3-02060.0080</t>
  </si>
  <si>
    <t>Dale &amp; Karla Voge</t>
  </si>
  <si>
    <t>Blodgett</t>
  </si>
  <si>
    <t xml:space="preserve">5303 Cypress Trail Resort Cir  Fort Myers, FL 33905 </t>
  </si>
  <si>
    <t>01-44-23-c4-02466.0750</t>
  </si>
  <si>
    <t>18-43-24-c2-05732.0010</t>
  </si>
  <si>
    <t>Cape Coral Unit 36 Blk 2174 Pb 16 Pg 121 Lots 21 + 22</t>
  </si>
  <si>
    <t>Romeo Cumento</t>
  </si>
  <si>
    <t>Sebastion &amp; Robert Laval</t>
  </si>
  <si>
    <t>Champlin</t>
  </si>
  <si>
    <t xml:space="preserve">1208 NE 10th St </t>
  </si>
  <si>
    <t>Claudia Marett</t>
  </si>
  <si>
    <t>07438-9739</t>
  </si>
  <si>
    <t xml:space="preserve">2002 NE 44th Ter </t>
  </si>
  <si>
    <t>10-44-25-04-00000.1000</t>
  </si>
  <si>
    <t>Oummadi</t>
  </si>
  <si>
    <t xml:space="preserve">2715 NE 22nd Pl  Cape Coral, FL 33909 </t>
  </si>
  <si>
    <t>20-43-24-c2-05656.0010</t>
  </si>
  <si>
    <t>Indian Head Park</t>
  </si>
  <si>
    <t>Osbahr</t>
  </si>
  <si>
    <t>Palmetto Palms Rv Resort Condo Ph 2 Or 1530 Pg 1466 Res Unit 587</t>
  </si>
  <si>
    <t>62305-6036</t>
  </si>
  <si>
    <t>Gauthier</t>
  </si>
  <si>
    <t>25-43-23-c1-02326.0290</t>
  </si>
  <si>
    <t>Yolando</t>
  </si>
  <si>
    <t>Orange</t>
  </si>
  <si>
    <t>Manning &amp; Siu Kong</t>
  </si>
  <si>
    <t xml:space="preserve">60 Brown River Rd </t>
  </si>
  <si>
    <t>33905-3160</t>
  </si>
  <si>
    <t xml:space="preserve">3138 NE 14th Ave </t>
  </si>
  <si>
    <t>Cape Coral Unit 32 Blk 2161 Pb 16 Pg 11 Lots 27 + 28</t>
  </si>
  <si>
    <t>Domke</t>
  </si>
  <si>
    <t>Cypress Woods Rv Resort Un 3 Desc In Pb 72 Pgs 92-95 Blk C Lot 112</t>
  </si>
  <si>
    <t>Clifford Township</t>
  </si>
  <si>
    <t>John &amp; Janet Pomann</t>
  </si>
  <si>
    <t>Ihor Kucheynyk</t>
  </si>
  <si>
    <t>Cape Coral Unit 36 Blk 2339 Pb 16 Pg 127 Lots 15 + 16</t>
  </si>
  <si>
    <t>Brackett</t>
  </si>
  <si>
    <t>Via Palermo</t>
  </si>
  <si>
    <t>Leutenegger</t>
  </si>
  <si>
    <t>17-43-24-c4-05740.0180</t>
  </si>
  <si>
    <t>36-45-23-25-00000.0360</t>
  </si>
  <si>
    <t>Bocciardi</t>
  </si>
  <si>
    <t>Cape Coral Unit 88 Blk 5799 Pb 24 Pg 136 Lots 11 + 12</t>
  </si>
  <si>
    <t>Newport East</t>
  </si>
  <si>
    <t>Amadio</t>
  </si>
  <si>
    <t xml:space="preserve">108 4th St </t>
  </si>
  <si>
    <t>33909-4579</t>
  </si>
  <si>
    <t>Cimino</t>
  </si>
  <si>
    <t>17-43-24-c2-05780.0490</t>
  </si>
  <si>
    <t xml:space="preserve">15749 E Linvale Pl  Aurora, CO 80013-1656 </t>
  </si>
  <si>
    <t>Gandersheimer Weg</t>
  </si>
  <si>
    <t>Cobble</t>
  </si>
  <si>
    <t>Grayling</t>
  </si>
  <si>
    <t>Teuschler</t>
  </si>
  <si>
    <t>Curtis &amp; Rebecca Nice</t>
  </si>
  <si>
    <t xml:space="preserve">21 2nd St  Somerset, MA 02726-3124 </t>
  </si>
  <si>
    <t>Ricky Wernik &amp; Martin Gauthier</t>
  </si>
  <si>
    <t>Ernesto Delgado</t>
  </si>
  <si>
    <t xml:space="preserve">1231 Everest Pkwy </t>
  </si>
  <si>
    <t>Guerrero</t>
  </si>
  <si>
    <t>Milford</t>
  </si>
  <si>
    <t>Rolling Ridge</t>
  </si>
  <si>
    <t>R084</t>
  </si>
  <si>
    <t>Cedano</t>
  </si>
  <si>
    <t>33909-2672</t>
  </si>
  <si>
    <t>Gene &amp; Adeline Tompkins</t>
  </si>
  <si>
    <t xml:space="preserve">6801 Blackmar Rd  Bridgeport, MI 48722-9709 </t>
  </si>
  <si>
    <t>25-43-23-c4-02290.0230</t>
  </si>
  <si>
    <t>40258-2204</t>
  </si>
  <si>
    <t>Fountain View</t>
  </si>
  <si>
    <t>Cape Coral Unit 47 Pt 2 Blk 3511 Pb 23 Pg 122 Lots 5 + 6</t>
  </si>
  <si>
    <t>Glen Oak</t>
  </si>
  <si>
    <t>Haseley</t>
  </si>
  <si>
    <t>11-44-25-07-00000.1620</t>
  </si>
  <si>
    <t xml:space="preserve">3854 Hoffman St </t>
  </si>
  <si>
    <t>David &amp; Susan Lafortune</t>
  </si>
  <si>
    <t>Cape Coral Unit 87 Blk 5700 Pb 24 Pg 75 Lots 24 + 25</t>
  </si>
  <si>
    <t>Les Parroucots</t>
  </si>
  <si>
    <t xml:space="preserve">1410 NE 17th Ter  Cape Coral, FL 33909 </t>
  </si>
  <si>
    <t>Thomas Tower</t>
  </si>
  <si>
    <t>Regine</t>
  </si>
  <si>
    <t>Palm City</t>
  </si>
  <si>
    <t>Verdes Family Living Trust</t>
  </si>
  <si>
    <t xml:space="preserve">29 Moritzstrasse  Wiesbaden, DE 65185 </t>
  </si>
  <si>
    <t>78641-4961</t>
  </si>
  <si>
    <t xml:space="preserve">2633 NE 20th Pl  Cape Coral, FL 33909 </t>
  </si>
  <si>
    <t>Cape Coral Unit 85 Blk.5665 Pb 24 Pg 54 Lots 1 + 2</t>
  </si>
  <si>
    <t>Ana Santiago &amp; Jose Quirico</t>
  </si>
  <si>
    <t>Cape Coral Unit 32 Blk 2169 Pb 16 Pg 8 Lots 3 + 4</t>
  </si>
  <si>
    <t>Camp Belle Air</t>
  </si>
  <si>
    <t>33909-6411</t>
  </si>
  <si>
    <t xml:space="preserve">2313 NE 17th St </t>
  </si>
  <si>
    <t>Rosales Dej &amp; Martha Lituma</t>
  </si>
  <si>
    <t>05-44-24-c1-03540.0520</t>
  </si>
  <si>
    <t>Monique Nimphius &amp; Michell Christofferson</t>
  </si>
  <si>
    <t>Allegany</t>
  </si>
  <si>
    <t>Cape Coral Unit 36 Blk 2340 Pb 16 Pg 127 Lots 49 + 50</t>
  </si>
  <si>
    <t xml:space="preserve">1816 W Jetton Ave  Tampa, FL 33606-3029 </t>
  </si>
  <si>
    <t>Cape Coral Unit 31 Blk 2065 Pb 14 Pg 161 Lots 15 + 16</t>
  </si>
  <si>
    <t>33909-6122</t>
  </si>
  <si>
    <t>49201-8617</t>
  </si>
  <si>
    <t xml:space="preserve">106 W Calendar Ave #133, La Grange, IL 60525-2325 </t>
  </si>
  <si>
    <t>06074-3909</t>
  </si>
  <si>
    <t>PO Box 3363</t>
  </si>
  <si>
    <t>77459-7285</t>
  </si>
  <si>
    <t xml:space="preserve">1733 SE 39th St  Cape Coral, FL 33904 </t>
  </si>
  <si>
    <t xml:space="preserve">9041 Highland Dr </t>
  </si>
  <si>
    <t>Ildiko</t>
  </si>
  <si>
    <t>33909-3356</t>
  </si>
  <si>
    <t xml:space="preserve">1226 NE 3rd Ave  Cape Coral, FL 33909 </t>
  </si>
  <si>
    <t>07005-2415</t>
  </si>
  <si>
    <t xml:space="preserve">3034 E 143rd Dr  Thornton, CO 80602-8866 </t>
  </si>
  <si>
    <t xml:space="preserve">701 NW 57th Ave #220 </t>
  </si>
  <si>
    <t xml:space="preserve">Po Box 1300 </t>
  </si>
  <si>
    <t>Fontalvo</t>
  </si>
  <si>
    <t>4c</t>
  </si>
  <si>
    <t>Luz Lopez</t>
  </si>
  <si>
    <t xml:space="preserve">6145 Stratton Rd </t>
  </si>
  <si>
    <t xml:space="preserve">845 NE 6th Pl  Cape Coral, FL 33909 </t>
  </si>
  <si>
    <t>05-45-24-c1-00596.0090</t>
  </si>
  <si>
    <t>Zahi</t>
  </si>
  <si>
    <t>Cape Coral Unit 84 Blk 5546 Pb 24 Pg 46 Lots 19 + 20</t>
  </si>
  <si>
    <t>Cypress Trail Rv Resort Phase 4-A As Desc In Inst# 20160000135610 Lot 392</t>
  </si>
  <si>
    <t>19-43-24-c1-05548.0170</t>
  </si>
  <si>
    <t>Cesar &amp; Ligia Castro</t>
  </si>
  <si>
    <t>17-43-24-c2-05802.0110</t>
  </si>
  <si>
    <t>Acurana</t>
  </si>
  <si>
    <t>Old Weston</t>
  </si>
  <si>
    <t>Gerald</t>
  </si>
  <si>
    <t>Gil &amp; For Balaoing</t>
  </si>
  <si>
    <t xml:space="preserve">14754 Kennebec St </t>
  </si>
  <si>
    <t>Sheila Lustfield</t>
  </si>
  <si>
    <t>Mariscal</t>
  </si>
  <si>
    <t>Omaha</t>
  </si>
  <si>
    <t>Cape Coral Unit 36 Pt 1 Blk 2508 Pb 23 Pg 93 Lots 29 + 30</t>
  </si>
  <si>
    <t>20190-4968</t>
  </si>
  <si>
    <t xml:space="preserve">1404 NE 9th Pl </t>
  </si>
  <si>
    <t>Kapo</t>
  </si>
  <si>
    <t xml:space="preserve">537 SE 36th St </t>
  </si>
  <si>
    <t xml:space="preserve">2819 NE 5th Pl </t>
  </si>
  <si>
    <t>Cape Coral Unit 36 Pt 1 Blk 2503 Pb 23 Pg 93 Lots 25 + 26</t>
  </si>
  <si>
    <t>Cape Coral Unit 85 Blk 5639 Pb 24 Pg 54 Lots 32 + 33</t>
  </si>
  <si>
    <t xml:space="preserve">27 Manilla Cir </t>
  </si>
  <si>
    <t xml:space="preserve">30 Walnut St  Oxford, MA 01540-2210 </t>
  </si>
  <si>
    <t>Stokelin</t>
  </si>
  <si>
    <t>Village Of Lakewood</t>
  </si>
  <si>
    <t>Dull Knife</t>
  </si>
  <si>
    <t>Daryl</t>
  </si>
  <si>
    <t xml:space="preserve">N3618 State Road 15  New London, WI 54961-9637 </t>
  </si>
  <si>
    <t>Cape Coral Unit 36 Blk 2350 Pb 16 Pg 128 Lots 39 + 40</t>
  </si>
  <si>
    <t>William Waters</t>
  </si>
  <si>
    <t xml:space="preserve">2126 NW 159th Ln </t>
  </si>
  <si>
    <t>19-43-24-c3-05559.0110</t>
  </si>
  <si>
    <t>D J D &amp; Marisa Spadaro</t>
  </si>
  <si>
    <t>Lehang</t>
  </si>
  <si>
    <t>12790-2068</t>
  </si>
  <si>
    <t>Tracy Dixon</t>
  </si>
  <si>
    <t>Lehigh Acres Unit 12 Blk 66 Pb 26 Pg 15 Lot 6</t>
  </si>
  <si>
    <t xml:space="preserve">14051 Carlos St  Fort Myers, FL 33905 </t>
  </si>
  <si>
    <t>Cape Coral Unit 26 Blk.881 Pb 14 Pg 129 Lots 18 + 19</t>
  </si>
  <si>
    <t>01-44-23-c4-02443.0030</t>
  </si>
  <si>
    <t>03-44-26-13-00071.0150</t>
  </si>
  <si>
    <t>KR</t>
  </si>
  <si>
    <t>Colonia</t>
  </si>
  <si>
    <t>28747-7793</t>
  </si>
  <si>
    <t>07054-2629</t>
  </si>
  <si>
    <t>10703-1310</t>
  </si>
  <si>
    <t>Susan &amp; Michael Tinlin</t>
  </si>
  <si>
    <t xml:space="preserve">20334 NW 53rd Ct  Miami Gardens, FL 33055-4738 </t>
  </si>
  <si>
    <t>Mariana</t>
  </si>
  <si>
    <t xml:space="preserve">3517 NE 21st Ave </t>
  </si>
  <si>
    <t>PO Box 557151</t>
  </si>
  <si>
    <t>33909-4814</t>
  </si>
  <si>
    <t>Reed</t>
  </si>
  <si>
    <t>PO Box 20</t>
  </si>
  <si>
    <t>Bradley Adamson &amp; Nikica Miskovic</t>
  </si>
  <si>
    <t>For 471 Ne 5Th Land Trust</t>
  </si>
  <si>
    <t>07734-3108</t>
  </si>
  <si>
    <t>Pape</t>
  </si>
  <si>
    <t>Johns Lake Overlook</t>
  </si>
  <si>
    <t xml:space="preserve">411 NE 7th St </t>
  </si>
  <si>
    <t>Paech</t>
  </si>
  <si>
    <t>Cape Coral Unit 36 Blk 2535 Pb 16 Pg 118 Lots 28 + 29</t>
  </si>
  <si>
    <t xml:space="preserve">207 Piney St </t>
  </si>
  <si>
    <t>19-43-24-c2-05592.0470</t>
  </si>
  <si>
    <t xml:space="preserve">2079 E 10180 S </t>
  </si>
  <si>
    <t>Lehigh Acres Unit 9 Blk 44 Pb 26 Pg 11 Lot 23</t>
  </si>
  <si>
    <t>33909-4525</t>
  </si>
  <si>
    <t>35801-2719</t>
  </si>
  <si>
    <t xml:space="preserve">5205 Pineland Daisy Trl </t>
  </si>
  <si>
    <t>C013</t>
  </si>
  <si>
    <t>41240-8908</t>
  </si>
  <si>
    <t xml:space="preserve">6048 Latimer Ave  Fort Myers, FL 33905 </t>
  </si>
  <si>
    <t>80228-2842</t>
  </si>
  <si>
    <t>Cape Coral Unit 31 Blk 2070 Pb 14 Pg 160 Lots 11 + 12</t>
  </si>
  <si>
    <t>Iris</t>
  </si>
  <si>
    <t>06-44-24-c1-02079.0010</t>
  </si>
  <si>
    <t xml:space="preserve">5106 Cypress Trail Resort Cir  Fort Myers, FL 33905 </t>
  </si>
  <si>
    <t>Daytona Beach</t>
  </si>
  <si>
    <t>R030</t>
  </si>
  <si>
    <t>Catherine</t>
  </si>
  <si>
    <t>33193-5627</t>
  </si>
  <si>
    <t>County Road 632</t>
  </si>
  <si>
    <t>Gerald Fisher</t>
  </si>
  <si>
    <t>Cape Coral Unit 87 Blk 5684 Pb 24 Pg 82 Lots 29 + 30</t>
  </si>
  <si>
    <t>15301-8893</t>
  </si>
  <si>
    <t>33909-6264</t>
  </si>
  <si>
    <t xml:space="preserve">111 S Suffolk Ave  Ventnor City, NJ 08406-2851 </t>
  </si>
  <si>
    <t>Lee Nelson &amp; For Ho</t>
  </si>
  <si>
    <t xml:space="preserve">1401 NE 23rd Ter </t>
  </si>
  <si>
    <t>For Lt Trust</t>
  </si>
  <si>
    <t>Ameircan Estate and Trust</t>
  </si>
  <si>
    <t xml:space="preserve">2824 NE 3rd Ave  Cape Coral, FL 33909 </t>
  </si>
  <si>
    <t>Lesteiro</t>
  </si>
  <si>
    <t>EC</t>
  </si>
  <si>
    <t>Desir</t>
  </si>
  <si>
    <t xml:space="preserve">1401 NE 33rd Ln </t>
  </si>
  <si>
    <t>Daniel</t>
  </si>
  <si>
    <t>31-44-24-c2-00646.0180</t>
  </si>
  <si>
    <t>Veneracion</t>
  </si>
  <si>
    <t>Napoleon</t>
  </si>
  <si>
    <t>H7P 5B6</t>
  </si>
  <si>
    <t xml:space="preserve">1221 NE 19th Ave  Cape Coral, FL 33909 </t>
  </si>
  <si>
    <t>Cape Coral Unit 84 Blk 5590 Pb 24 Pg 41 Lots 31 + 32</t>
  </si>
  <si>
    <t>BZ</t>
  </si>
  <si>
    <t xml:space="preserve">46790 Kramer Dr  Shelby Township, MI 48315-5142 </t>
  </si>
  <si>
    <t>11-44-25-11-00000.0610</t>
  </si>
  <si>
    <t>Dominic</t>
  </si>
  <si>
    <t>Rajesh Konda</t>
  </si>
  <si>
    <t xml:space="preserve">223 N Church Rd  Bensenville, IL 60106-1909 </t>
  </si>
  <si>
    <t xml:space="preserve">13 Bahnhofstrasse  South Strafford, VT 05070 </t>
  </si>
  <si>
    <t xml:space="preserve">1520 NE 35th Ln </t>
  </si>
  <si>
    <t xml:space="preserve">3825 NE 23rd Pl  Cape Coral, FL 33909 </t>
  </si>
  <si>
    <t>Aloisia</t>
  </si>
  <si>
    <t>Virginia Spink</t>
  </si>
  <si>
    <t>Eddy</t>
  </si>
  <si>
    <t xml:space="preserve">14080 Carlos St  Fort Myers, FL 33905 </t>
  </si>
  <si>
    <t>Lehigh Acres W Pt Ut 12 Blk 68 Pb 26 Pg 16 Lots 15 + 16</t>
  </si>
  <si>
    <t xml:space="preserve">4411 Diamond Cir N  Sarasota, FL 34233-2037 </t>
  </si>
  <si>
    <t>11530-1820</t>
  </si>
  <si>
    <t>12-44-23-c4-02368.0010</t>
  </si>
  <si>
    <t>Le Vanto</t>
  </si>
  <si>
    <t>44425-1035</t>
  </si>
  <si>
    <t>Beaufort</t>
  </si>
  <si>
    <t>Bouch</t>
  </si>
  <si>
    <t>Craig</t>
  </si>
  <si>
    <t>Kita Yamata Tsuzuki-Ku Yokoham</t>
  </si>
  <si>
    <t xml:space="preserve">1 Tannenweg </t>
  </si>
  <si>
    <t>Riviera Vista</t>
  </si>
  <si>
    <t xml:space="preserve">569 S Bayview Ave  Freeport, NY 11520-6002 </t>
  </si>
  <si>
    <t>36-43-23-c2-02526.0300</t>
  </si>
  <si>
    <t>06-44-24-c4-02052.0330</t>
  </si>
  <si>
    <t xml:space="preserve">9305 Old Frederick Rd  Ellicott City, MD 21042-1720 </t>
  </si>
  <si>
    <t>19-43-24-c1-05582.0270</t>
  </si>
  <si>
    <t xml:space="preserve">6154 Hughes Ave </t>
  </si>
  <si>
    <t xml:space="preserve">PO Box 701534  Saint Cloud, FL 34770-1534 </t>
  </si>
  <si>
    <t>Stanley &amp; Sean Persaud</t>
  </si>
  <si>
    <t>Vainshtein</t>
  </si>
  <si>
    <t xml:space="preserve">6030 Stratton Rd </t>
  </si>
  <si>
    <t xml:space="preserve">824 NE 23rd Ter </t>
  </si>
  <si>
    <t>Houston</t>
  </si>
  <si>
    <t xml:space="preserve">2141 NE 20th Ln  Cape Coral, FL 33909 </t>
  </si>
  <si>
    <t xml:space="preserve">1033 NE 15th Ter </t>
  </si>
  <si>
    <t>Krajcer</t>
  </si>
  <si>
    <t xml:space="preserve">10267 Meadow Beauty Trl </t>
  </si>
  <si>
    <t xml:space="preserve">1000 NE 43rd Ter  Cape Coral, FL 33909 </t>
  </si>
  <si>
    <t>Matthew Rose-Innes</t>
  </si>
  <si>
    <t>Lehigh Acres Unit 14 E Pt Blk 81 Pb 26 Pg 19 Lot 4</t>
  </si>
  <si>
    <t>Peter Yanicky</t>
  </si>
  <si>
    <t xml:space="preserve">3867 Anza Way </t>
  </si>
  <si>
    <t>La Quinta</t>
  </si>
  <si>
    <t xml:space="preserve">3739 Kelsey St  Fort Myers, FL 33905 </t>
  </si>
  <si>
    <t>Oak Bluff</t>
  </si>
  <si>
    <t>11-44-25-l1-1400b.4430</t>
  </si>
  <si>
    <t xml:space="preserve">5202 Cypress Trail Resort Cir </t>
  </si>
  <si>
    <t>94568-3508</t>
  </si>
  <si>
    <t>Talos</t>
  </si>
  <si>
    <t>J8H 4N4</t>
  </si>
  <si>
    <t>Violeta</t>
  </si>
  <si>
    <t>Largo</t>
  </si>
  <si>
    <t xml:space="preserve">1108 Embassy Ct </t>
  </si>
  <si>
    <t>36-43-23-c1-02521.0620</t>
  </si>
  <si>
    <t xml:space="preserve">817 Waksman Pl  North Brunswick, NJ 08902-2330 </t>
  </si>
  <si>
    <t>Cape Coral Unit 84 Blk 5561 Pb 24 Pg 32 Lots 49 + 50</t>
  </si>
  <si>
    <t>Poechmann</t>
  </si>
  <si>
    <t>St-Raymond</t>
  </si>
  <si>
    <t xml:space="preserve">5920 W Henderson St </t>
  </si>
  <si>
    <t>03-44-26-07-00032.0130</t>
  </si>
  <si>
    <t>Charles &amp; Susan Nesley</t>
  </si>
  <si>
    <t xml:space="preserve">223 NE 19th Ter  Cape Coral, FL 33909 </t>
  </si>
  <si>
    <t xml:space="preserve">3028 Keebler Rd </t>
  </si>
  <si>
    <t xml:space="preserve">1122 NE 15th Ter  Cape Coral, FL 33909 </t>
  </si>
  <si>
    <t>River By Pb 11 Pg 16 Lot 18 + Pt Lot 17 Desc In</t>
  </si>
  <si>
    <t>Cape Coral Unit 85 Blk 5650 Pb 24 Pg 54 Lots 43 + 44</t>
  </si>
  <si>
    <t>Nevarez</t>
  </si>
  <si>
    <t xml:space="preserve">2533 NE 19th Pl  Cape Coral, FL 33909 </t>
  </si>
  <si>
    <t xml:space="preserve">1157 Central Park Ave #31 </t>
  </si>
  <si>
    <t>For Maurie &amp; Ianne Peterson Trust</t>
  </si>
  <si>
    <t xml:space="preserve">4410 Ohio Ave </t>
  </si>
  <si>
    <t>11-44-25-04-0000b.0560</t>
  </si>
  <si>
    <t xml:space="preserve">3928 NE 23rd Pl </t>
  </si>
  <si>
    <t>33909-4378</t>
  </si>
  <si>
    <t>41011-5109</t>
  </si>
  <si>
    <t>Cape Coral Unit 87 Blk 5725 Pb 24 Pg 81 Lots 11 + 12</t>
  </si>
  <si>
    <t xml:space="preserve">30 Ekkehardstrasse  Mettmann, DE 40822 </t>
  </si>
  <si>
    <t xml:space="preserve">2114 NE 2nd Pl </t>
  </si>
  <si>
    <t xml:space="preserve">3806 SE 12th Ave </t>
  </si>
  <si>
    <t>Jermaine &amp; Hope Topping</t>
  </si>
  <si>
    <t>Flint Hill</t>
  </si>
  <si>
    <t>03-44-26-14-00080.0060</t>
  </si>
  <si>
    <t xml:space="preserve">1055 Fayette St  Uniondale, NY 11553-1611 </t>
  </si>
  <si>
    <t xml:space="preserve">2522 SE 23rd Pl  Cape Coral, FL 33904 </t>
  </si>
  <si>
    <t>32-43-24-c2-02247.0630</t>
  </si>
  <si>
    <t>Nathan Cutler</t>
  </si>
  <si>
    <t>H024</t>
  </si>
  <si>
    <t xml:space="preserve">5770 Sunset Maple Dr </t>
  </si>
  <si>
    <t xml:space="preserve">1902 NE 27th Ter </t>
  </si>
  <si>
    <t>Lunenburg</t>
  </si>
  <si>
    <t xml:space="preserve">1556 Bentley Cir  Bel Air, MD 21015-5732 </t>
  </si>
  <si>
    <t>Lehigh Acres Unit 12 Blk 65 Pb 26 Pg 15 Lot 21</t>
  </si>
  <si>
    <t xml:space="preserve">2914 NE 6th Ave  Cape Coral, FL 33909 </t>
  </si>
  <si>
    <t>Oleander</t>
  </si>
  <si>
    <t>Richard &amp; Adele Solimine</t>
  </si>
  <si>
    <t>08527-2633</t>
  </si>
  <si>
    <t>Flointina</t>
  </si>
  <si>
    <t>Cape Coral Unit 31 Blk.2061 Pb 14 Pg 159 Lots 1 + 2</t>
  </si>
  <si>
    <t>Paul Halder &amp; Christine Reicks</t>
  </si>
  <si>
    <t xml:space="preserve">186 N Seine Dr  Buffalo, NY 14227-3114 </t>
  </si>
  <si>
    <t xml:space="preserve">41 Marshmallow Dr  Commack, NY 11725-1024 </t>
  </si>
  <si>
    <t xml:space="preserve">PO Box 2150  Naples, FL 34106-2150 </t>
  </si>
  <si>
    <t xml:space="preserve">1116 NE 36th Ln </t>
  </si>
  <si>
    <t>Palmetto Palms Rv Resort Condo Ph 3 Or 1530 Pg 1466 Res Unit 539</t>
  </si>
  <si>
    <t>Sylvere</t>
  </si>
  <si>
    <t>Bradley &amp; Cynthia Cochran</t>
  </si>
  <si>
    <t xml:space="preserve">2715 NE 22nd Pl </t>
  </si>
  <si>
    <t>19-43-24-c4-05564.0330</t>
  </si>
  <si>
    <t>Sauquoit</t>
  </si>
  <si>
    <t>Cape Coral Unit 87 Blk 5727 Pb 24 Pg 85 Lots 23 + 24</t>
  </si>
  <si>
    <t xml:space="preserve">300 Hillcrest Rd  Watchung, NJ 07069-5417 </t>
  </si>
  <si>
    <t>Buckingham Pk Re Blk B U-2 Blk 7 Pb 27 Pg 189 Lot 26</t>
  </si>
  <si>
    <t xml:space="preserve">4016 W Gator Cir </t>
  </si>
  <si>
    <t>Randy</t>
  </si>
  <si>
    <t>Buster</t>
  </si>
  <si>
    <t>Big Coppitt Key</t>
  </si>
  <si>
    <t>Lehigh Acres E Pt Unit 14 Blk 80 Pb 26 Pg 19 Lot 11</t>
  </si>
  <si>
    <t>C062</t>
  </si>
  <si>
    <t xml:space="preserve">13641 River Forest Dr  Fort Myers, FL 33905 </t>
  </si>
  <si>
    <t>25-43-23-c4-02300.a260</t>
  </si>
  <si>
    <t>Jeffrey &amp; Sarah Johnson</t>
  </si>
  <si>
    <t>33905-8716</t>
  </si>
  <si>
    <t>Arlys</t>
  </si>
  <si>
    <t>Migliaccio</t>
  </si>
  <si>
    <t>97351-9671</t>
  </si>
  <si>
    <t xml:space="preserve">1280 Hall Rd  North Fort Myers, FL 33903 </t>
  </si>
  <si>
    <t>Burke</t>
  </si>
  <si>
    <t>Cape Coral Unit 36 Blk 2543 Pb 16 Pg 118 Lots 49 + 50</t>
  </si>
  <si>
    <t>Cornwallis</t>
  </si>
  <si>
    <t xml:space="preserve">1120 8th Ave </t>
  </si>
  <si>
    <t>01-44-23-c1-02450.0390</t>
  </si>
  <si>
    <t>Richard Kivell</t>
  </si>
  <si>
    <t>33908-4813</t>
  </si>
  <si>
    <t>Palmona Park Unit 1 Blk 38 Pb 7 Pg 54 Lot 17</t>
  </si>
  <si>
    <t xml:space="preserve">4301 NE 8th Ct  Cape Coral, FL 33909 </t>
  </si>
  <si>
    <t xml:space="preserve">1231 NE 16th Pl </t>
  </si>
  <si>
    <t>94578-4109</t>
  </si>
  <si>
    <t>Elisabeth Masser</t>
  </si>
  <si>
    <t xml:space="preserve">24844 Litwiller Rd </t>
  </si>
  <si>
    <t>184th</t>
  </si>
  <si>
    <t>Kilfinan</t>
  </si>
  <si>
    <t xml:space="preserve">16595 De La  Mirabel, QC J7n 0R5 </t>
  </si>
  <si>
    <t xml:space="preserve">1939 SE 37th Ter  Cape Coral, FL 33904 </t>
  </si>
  <si>
    <t>Cape Coral Unit 87 Blk 5723 Pb 24 Pg 85 Lots 1 + 2</t>
  </si>
  <si>
    <t>David Luci</t>
  </si>
  <si>
    <t xml:space="preserve">1419 NE 18th Ter  Cape Coral, FL 33909 </t>
  </si>
  <si>
    <t>11414-2908</t>
  </si>
  <si>
    <t>Cape Coral Unit 87 Blk 5714 Pb 24 Pg 71 Lots 47 + 48</t>
  </si>
  <si>
    <t>Dimarzio</t>
  </si>
  <si>
    <t xml:space="preserve">2133 NE 25th Ter  Cape Coral, FL 33909 </t>
  </si>
  <si>
    <t xml:space="preserve">2008 NE 33rd Ln  Cape Coral, FL 33909 </t>
  </si>
  <si>
    <t>33908-1758</t>
  </si>
  <si>
    <t>33904-2731</t>
  </si>
  <si>
    <t>Ronak Tolia</t>
  </si>
  <si>
    <t>05-45-24-c4-00544.0340</t>
  </si>
  <si>
    <t>Erlene</t>
  </si>
  <si>
    <t>12-44-23-c2-02409.0290</t>
  </si>
  <si>
    <t>36-43-23-c1-02530.0590</t>
  </si>
  <si>
    <t xml:space="preserve">514 NE 18th St  Cape Coral, FL 33909 </t>
  </si>
  <si>
    <t xml:space="preserve">463 NE 5th Ave </t>
  </si>
  <si>
    <t xml:space="preserve">3725 Andalusia Blvd </t>
  </si>
  <si>
    <t>18-43-24-c3-05749.0340</t>
  </si>
  <si>
    <t>Kramer Jeanette Tr</t>
  </si>
  <si>
    <t>06032-3325</t>
  </si>
  <si>
    <t xml:space="preserve">5214 Cypress Trail Resort Cir </t>
  </si>
  <si>
    <t>08-44-24-c4-01536.0310</t>
  </si>
  <si>
    <t>11-44-25-05-0000c.0300</t>
  </si>
  <si>
    <t>02050-5934</t>
  </si>
  <si>
    <t>36-44-23-c1-00912.0610</t>
  </si>
  <si>
    <t>30736-2675</t>
  </si>
  <si>
    <t xml:space="preserve">5709 44th Ave S </t>
  </si>
  <si>
    <t>Paniura</t>
  </si>
  <si>
    <t xml:space="preserve">2610 NE 1st Ave </t>
  </si>
  <si>
    <t>Gregory Jenco</t>
  </si>
  <si>
    <t>11934-2807</t>
  </si>
  <si>
    <t>First</t>
  </si>
  <si>
    <t>Franklin</t>
  </si>
  <si>
    <t>12-45-23-c4-00222.0240</t>
  </si>
  <si>
    <t>Francisco Recio</t>
  </si>
  <si>
    <t>Luling</t>
  </si>
  <si>
    <t>Conchita</t>
  </si>
  <si>
    <t xml:space="preserve">1117 NE 7th Pl  Cape Coral, FL 33909 </t>
  </si>
  <si>
    <t>Diego Romero</t>
  </si>
  <si>
    <t>33905-2046</t>
  </si>
  <si>
    <t>Whiting</t>
  </si>
  <si>
    <t>Vernal</t>
  </si>
  <si>
    <t>Phetudone</t>
  </si>
  <si>
    <t xml:space="preserve">336 Lakeside Blvd </t>
  </si>
  <si>
    <t xml:space="preserve">8423 101st St  Richmond Hill, NY 11418-1110 </t>
  </si>
  <si>
    <t>70065-3002</t>
  </si>
  <si>
    <t>D</t>
  </si>
  <si>
    <t>18-43-24-c4-05704.0350</t>
  </si>
  <si>
    <t>33596-7815</t>
  </si>
  <si>
    <t>Arteaga</t>
  </si>
  <si>
    <t>Farzad &amp; Lisa Farshi</t>
  </si>
  <si>
    <t>36-44-23-c1-00914.0460</t>
  </si>
  <si>
    <t xml:space="preserve">314 NE 4th St </t>
  </si>
  <si>
    <t>Cape Coral Unit 31 Blk 2045 Pb 14 Pg 154 Lots 17 + 18</t>
  </si>
  <si>
    <t xml:space="preserve">3735 Kenyon St  Fort Myers, FL 33905 </t>
  </si>
  <si>
    <t>33909-4613</t>
  </si>
  <si>
    <t>Cape Coral Unit 32 Blk 2161 Pb 16 Pg 11 Lots 25 + 26</t>
  </si>
  <si>
    <t>200th</t>
  </si>
  <si>
    <t xml:space="preserve">78 Sun Cir  Fort Myers, FL 33905 </t>
  </si>
  <si>
    <t>Rampersad</t>
  </si>
  <si>
    <t xml:space="preserve">451 Beach 125th St  Rockaway Park, NY 11694-1705 </t>
  </si>
  <si>
    <t>55436-1360</t>
  </si>
  <si>
    <t xml:space="preserve">10380 Center Hwy </t>
  </si>
  <si>
    <t>29-45-24-00-00003.0150</t>
  </si>
  <si>
    <t xml:space="preserve">12824 Buckhorn Creek St </t>
  </si>
  <si>
    <t>33909-4324</t>
  </si>
  <si>
    <t>Leicesie</t>
  </si>
  <si>
    <t>Gala John Tr</t>
  </si>
  <si>
    <t xml:space="preserve">2610 NE 3rd Ave </t>
  </si>
  <si>
    <t xml:space="preserve">5340 Beaufort Ave </t>
  </si>
  <si>
    <t xml:space="preserve">1618 NE 5th Pl  Cape Coral, FL 33909 </t>
  </si>
  <si>
    <t>33909-1558</t>
  </si>
  <si>
    <t xml:space="preserve">612 Vendola Dr </t>
  </si>
  <si>
    <t>94520-3438</t>
  </si>
  <si>
    <t>Cape Coral Unit 84 Blk 5566 Pb 24 Pg 38 Lots 5 + 6</t>
  </si>
  <si>
    <t>07305-2046</t>
  </si>
  <si>
    <t>Alfred</t>
  </si>
  <si>
    <t>Cape Coral Unit 26 Blk 866 Pb 14 Pg 131 Lots 45 + 46</t>
  </si>
  <si>
    <t xml:space="preserve">1214 Princeton Ln </t>
  </si>
  <si>
    <t>Marigold</t>
  </si>
  <si>
    <t>33909-1269</t>
  </si>
  <si>
    <t>01760-3621</t>
  </si>
  <si>
    <t>32-43-24-c2-02231.0280</t>
  </si>
  <si>
    <t>David Blatt</t>
  </si>
  <si>
    <t xml:space="preserve">195 State Route 79 N  Marlboro, NJ 07746-1034 </t>
  </si>
  <si>
    <t>Fountain View R V Resort Or 1627 Pg 0179 Lot 87</t>
  </si>
  <si>
    <t>Cape Coral Unit 36 Blk 2302 Pb 16 Pg 125 Lot 29 + 30</t>
  </si>
  <si>
    <t xml:space="preserve">Alvesser 4 St  Memphis, TN 38159 </t>
  </si>
  <si>
    <t xml:space="preserve">455 NE 5th Ave D, Delray Beach, FL 33483-5661 </t>
  </si>
  <si>
    <t>Lehigh Acres W1/2 Unit 10 Blk 48Pb 26 Pg 12 Lot 17</t>
  </si>
  <si>
    <t>18-43-24-c4-05705.0150</t>
  </si>
  <si>
    <t xml:space="preserve">PO Box 181  Ceiba, PR 00735 </t>
  </si>
  <si>
    <t xml:space="preserve">1218 NE 11th St  Cape Coral, FL 33909 </t>
  </si>
  <si>
    <t xml:space="preserve">6811 Barrett St  Downers Grove, IL 60516-3338 </t>
  </si>
  <si>
    <t>Drummer</t>
  </si>
  <si>
    <t xml:space="preserve">34 Garden Way  Drumheller, AB T0j 0Y5 </t>
  </si>
  <si>
    <t xml:space="preserve">6069 Laurelwood Dr  Fort Myers, FL 33905 </t>
  </si>
  <si>
    <t>60124-4338</t>
  </si>
  <si>
    <t xml:space="preserve">4505 Yackley Ave  Lisle, IL 60532-1551 </t>
  </si>
  <si>
    <t>Chemin De La Pepiniere</t>
  </si>
  <si>
    <t>Cypress Trail Rv Resort Phase 2-B As Desc In Inst# 2015000013050 Lot 474</t>
  </si>
  <si>
    <t xml:space="preserve">2217 NE 33rd St </t>
  </si>
  <si>
    <t>Sable Ridge</t>
  </si>
  <si>
    <t xml:space="preserve">3737 NE 12th Pl  Cape Coral, FL 33909 </t>
  </si>
  <si>
    <t>Gema Gallo-Cifuentes</t>
  </si>
  <si>
    <t xml:space="preserve">57 Jones Dr  Highland Mills, NY 10930-2715 </t>
  </si>
  <si>
    <t>01-44-23-c3-02392.0210</t>
  </si>
  <si>
    <t>Promotion</t>
  </si>
  <si>
    <t>Jolene &amp; Cutler Oberg</t>
  </si>
  <si>
    <t xml:space="preserve">3313 Catalina Ranch Rd  Leander, TX 78641-3377 </t>
  </si>
  <si>
    <t>Cape Coral Unit 33 Blk 2284 Pb 16 Pg 56 Lots 50 + 51</t>
  </si>
  <si>
    <t xml:space="preserve">275 George St  Gravenhurst, ON P1p 1E8 </t>
  </si>
  <si>
    <t>06-44-24-c1-02068.0430</t>
  </si>
  <si>
    <t>Limansky</t>
  </si>
  <si>
    <t>Firmin &amp; Maria Vanthienen</t>
  </si>
  <si>
    <t xml:space="preserve">2628 Vintage Dr  Alpharetta, GA 30009-2457 </t>
  </si>
  <si>
    <t xml:space="preserve">2317 NE 35th St  Cape Coral, FL 33909 </t>
  </si>
  <si>
    <t xml:space="preserve">208 NE 25th Ter </t>
  </si>
  <si>
    <t>Renate</t>
  </si>
  <si>
    <t xml:space="preserve">1907 NE 20th Ct </t>
  </si>
  <si>
    <t xml:space="preserve">6014 Thorpe Ave  Fort Myers, FL 33905 </t>
  </si>
  <si>
    <t>Diawara</t>
  </si>
  <si>
    <t>Pintal</t>
  </si>
  <si>
    <t xml:space="preserve">400 Mistletoe Hollow Rd </t>
  </si>
  <si>
    <t>Amanda Wilson</t>
  </si>
  <si>
    <t xml:space="preserve">2131 NE 2nd Pl </t>
  </si>
  <si>
    <t>11-44-25-04-0000a.0270</t>
  </si>
  <si>
    <t>36-43-23-c2-02533.0180</t>
  </si>
  <si>
    <t>36-43-23-c4-02507.0130</t>
  </si>
  <si>
    <t>33909-8940</t>
  </si>
  <si>
    <t xml:space="preserve">14171 Chancellor St  Fort Myers, FL 33905 </t>
  </si>
  <si>
    <t>Rasombath</t>
  </si>
  <si>
    <t xml:space="preserve">5510 Cypress Woods Resort Dr  Fort Myers, FL 33905 </t>
  </si>
  <si>
    <t>02121-3768</t>
  </si>
  <si>
    <t xml:space="preserve">55 Hamilton Ave </t>
  </si>
  <si>
    <t xml:space="preserve">11031 SW 25th St #1207 </t>
  </si>
  <si>
    <t xml:space="preserve">428 NE 8th Ter </t>
  </si>
  <si>
    <t>Rosemarie Speulveda</t>
  </si>
  <si>
    <t>Cypress Woods Rv Resort Desc In Inst#2006-358211 Lot 176</t>
  </si>
  <si>
    <t>Rehovot</t>
  </si>
  <si>
    <t>Christian Sbrilli</t>
  </si>
  <si>
    <t>18-43-24-c4-05699.0390</t>
  </si>
  <si>
    <t>18-45-24-c2-00071.0320</t>
  </si>
  <si>
    <t xml:space="preserve">665 SW Lake Charles Cir  Port Saint Lucie, FL 34986-3428 </t>
  </si>
  <si>
    <t>Moorpark</t>
  </si>
  <si>
    <t xml:space="preserve">19331 Pacifica Pl </t>
  </si>
  <si>
    <t xml:space="preserve">3850 Sedgwick Ave 5b, Bronx, NY 10463-4408 </t>
  </si>
  <si>
    <t>Thiel</t>
  </si>
  <si>
    <t>Calilap</t>
  </si>
  <si>
    <t>45248-1452</t>
  </si>
  <si>
    <t>Seeleys Bay</t>
  </si>
  <si>
    <t xml:space="preserve">4329 NE 9th Ct </t>
  </si>
  <si>
    <t>18-43-24-c3-05747.0250</t>
  </si>
  <si>
    <t xml:space="preserve">3727 Tallman St  Fort Myers, FL 33905 </t>
  </si>
  <si>
    <t>Barre</t>
  </si>
  <si>
    <t>Gwendolyn</t>
  </si>
  <si>
    <t xml:space="preserve">9872 Cattail Ct </t>
  </si>
  <si>
    <t xml:space="preserve">303 NE 17th Pl  Cape Coral, FL 33909 </t>
  </si>
  <si>
    <t>Cape Coral Unit 26 Blk.881 Pb 14 Pg 129 Lots 16 + 17</t>
  </si>
  <si>
    <t>Christopher Parcel</t>
  </si>
  <si>
    <t xml:space="preserve">2516 W Douglas St  Tampa, FL 33607-6808 </t>
  </si>
  <si>
    <t xml:space="preserve">Wildwood Ln  Fort Myers, FL 33905 </t>
  </si>
  <si>
    <t>Cape Coral Unit 88 Blk 5778 Pb 24 Pg 135 Lots 31 + 32</t>
  </si>
  <si>
    <t xml:space="preserve">4592 Clearwater Ct  Dumfries, VA 22025-1424 </t>
  </si>
  <si>
    <t xml:space="preserve">1047 Mahuron Rd  Westminster, MD 21157-7001 </t>
  </si>
  <si>
    <t>Cape Coral Unit 34 Blk 2452 Pb 16 Pg 86 Lots 19 Thru 22</t>
  </si>
  <si>
    <t xml:space="preserve">2208 NE 14th Pl  Cape Coral, FL 33909 </t>
  </si>
  <si>
    <t>Landings East Paradise Sh Lot A Pb 25 Pg 80 Less A.001 Thru A.0160</t>
  </si>
  <si>
    <t>Kim &amp; Sandra Lockhart</t>
  </si>
  <si>
    <t xml:space="preserve">501 SE Main St #108 </t>
  </si>
  <si>
    <t xml:space="preserve">625 Waltham Ave </t>
  </si>
  <si>
    <t xml:space="preserve">519 Holly Crest Dr </t>
  </si>
  <si>
    <t xml:space="preserve">270 Redwood Dr SW </t>
  </si>
  <si>
    <t>Estrabao</t>
  </si>
  <si>
    <t xml:space="preserve">9715 64th Ave E  Bradenton, FL 34202-9357 </t>
  </si>
  <si>
    <t>11th</t>
  </si>
  <si>
    <t xml:space="preserve">3305 Welwyn Muse  Virginia Beach, VA 23452-6213 </t>
  </si>
  <si>
    <t>18-43-24-c1-05689.0610</t>
  </si>
  <si>
    <t>Monteith</t>
  </si>
  <si>
    <t xml:space="preserve">3449 NE 8th Pl  Cape Coral, FL 33909 </t>
  </si>
  <si>
    <t>32-43-24-c1-02181.0750</t>
  </si>
  <si>
    <t>Santa Barbara</t>
  </si>
  <si>
    <t>92606-8806</t>
  </si>
  <si>
    <t>33909-1504</t>
  </si>
  <si>
    <t>Holly Brooke</t>
  </si>
  <si>
    <t xml:space="preserve">5225 Marsh Mallow Trl  Fort Myers, FL 33905 </t>
  </si>
  <si>
    <t xml:space="preserve">12919 78th Ave W  Taylor Ridge, IL 61284-9670 </t>
  </si>
  <si>
    <t xml:space="preserve">2842 Bellarosa Cir  West Palm Beach, FL 33411-1462 </t>
  </si>
  <si>
    <t xml:space="preserve">2506 NE 7th Pl  Cape Coral, FL 33909 </t>
  </si>
  <si>
    <t>Mc Lean</t>
  </si>
  <si>
    <t>Cape Coral Unit 85 Blk 5637 Pb 24 Pg 51 Lots 44 + 45</t>
  </si>
  <si>
    <t>Alexandrina</t>
  </si>
  <si>
    <t>33909-4662</t>
  </si>
  <si>
    <t xml:space="preserve">10061 Willowood Dr </t>
  </si>
  <si>
    <t xml:space="preserve">1401 E Nelson Rd F106 </t>
  </si>
  <si>
    <t>33323-2632</t>
  </si>
  <si>
    <t>33909-1215</t>
  </si>
  <si>
    <t>Robert &amp; Margaret Ries</t>
  </si>
  <si>
    <t xml:space="preserve">2136 NE 43rd Ln </t>
  </si>
  <si>
    <t>Diyanno</t>
  </si>
  <si>
    <t xml:space="preserve">205 NE 8th Ter  Cape Coral, FL 33909 </t>
  </si>
  <si>
    <t xml:space="preserve">3914 Wasp St  Panama City, FL 32408-5342 </t>
  </si>
  <si>
    <t>36-43-23-c3-02503.0250</t>
  </si>
  <si>
    <t xml:space="preserve">5371 Colony Ct </t>
  </si>
  <si>
    <t>Cape Coral Unit 87 Blk 5714 Pb 24 Pg 76 Lots 31 + 32</t>
  </si>
  <si>
    <t xml:space="preserve">3811 Jenifer St NW  Washington, DC 20015-1917 </t>
  </si>
  <si>
    <t xml:space="preserve">5700 SW 127th Ave #1112, Miami, FL 33183-1436 </t>
  </si>
  <si>
    <t xml:space="preserve">10074 Rambelwood Ct  Fort Myers, FL 33905 </t>
  </si>
  <si>
    <t>Cape Coral Unit 36 Blk 2539 Pb 16 Pg 115 Lots 30 + 31</t>
  </si>
  <si>
    <t xml:space="preserve">3847 Huntley St  Fort Myers, FL 33905 </t>
  </si>
  <si>
    <t xml:space="preserve">3925 NE 19th Ave  Cape Coral, FL 33909 </t>
  </si>
  <si>
    <t>Partha &amp; Somlika Datta</t>
  </si>
  <si>
    <t>Poughkeepsie</t>
  </si>
  <si>
    <t xml:space="preserve">1042 Twilight Dr  Reynoldsburg, OH 43068-1745 </t>
  </si>
  <si>
    <t>33905-5749</t>
  </si>
  <si>
    <t>33909-8401</t>
  </si>
  <si>
    <t>Cypress Trail Rv Resort Phase 2-B As Desc In Inst# 2015000013050 Lot 420</t>
  </si>
  <si>
    <t xml:space="preserve">2117 NE 20th St </t>
  </si>
  <si>
    <t>01-44-23-c3-02053.0440</t>
  </si>
  <si>
    <t>Shannon &amp; Charles Miller</t>
  </si>
  <si>
    <t>20-43-24-c2-05665.0520</t>
  </si>
  <si>
    <t xml:space="preserve">3036 Bathurst St #518 </t>
  </si>
  <si>
    <t>Iona Gardens Blk A Pb 17 Pg 72 Lots 12 + 13</t>
  </si>
  <si>
    <t>Angelo</t>
  </si>
  <si>
    <t>De Valdivielso</t>
  </si>
  <si>
    <t xml:space="preserve">4307 NE 23rd Pl  Cape Coral, FL 33909 </t>
  </si>
  <si>
    <t>Nicole Fortin</t>
  </si>
  <si>
    <t>Obando</t>
  </si>
  <si>
    <t>03-44-26-01-00006.0180</t>
  </si>
  <si>
    <t xml:space="preserve">817 NE 36th Ln </t>
  </si>
  <si>
    <t>Khanh</t>
  </si>
  <si>
    <t>Cape Coral Unit 85 Blk 5659 Pb 24 Pg 58 Lots 16 + 17</t>
  </si>
  <si>
    <t>04-44-26-00-00005.0320</t>
  </si>
  <si>
    <t>Cape Coral Unit 84 Blk 5578 Pb 24 Pg 39 Lot 2</t>
  </si>
  <si>
    <t>Lenora</t>
  </si>
  <si>
    <t>For Schaefer Trust</t>
  </si>
  <si>
    <t>Debra Krumpack</t>
  </si>
  <si>
    <t>Cape Coral Unit 26 Blk 925 Pb 14 Pg 136 Lots 21 + 22</t>
  </si>
  <si>
    <t>Am Wiesenhof</t>
  </si>
  <si>
    <t>12-44-23-c1-02400.0420</t>
  </si>
  <si>
    <t>Montgomery &amp; For Anderson</t>
  </si>
  <si>
    <t>Aubrey</t>
  </si>
  <si>
    <t xml:space="preserve">1401 SE 29th Ter  Cape Coral, FL 33904 </t>
  </si>
  <si>
    <t xml:space="preserve">Terrazas De Guaynabo </t>
  </si>
  <si>
    <t>PO Box 990</t>
  </si>
  <si>
    <t xml:space="preserve">2802 NE 6th Ave  Cape Coral, FL 33909 </t>
  </si>
  <si>
    <t xml:space="preserve">432 Cross St  North Fort Myers, FL 33903 </t>
  </si>
  <si>
    <t>11-44-25-06-0000d.0770</t>
  </si>
  <si>
    <t xml:space="preserve">20870 N River Ridge Dr </t>
  </si>
  <si>
    <t xml:space="preserve">D1b Alee </t>
  </si>
  <si>
    <t>Dziatlik</t>
  </si>
  <si>
    <t>Gerald &amp; Judith Gombas Tru</t>
  </si>
  <si>
    <t>33062-2101</t>
  </si>
  <si>
    <t>Seaford</t>
  </si>
  <si>
    <t>19152-2121</t>
  </si>
  <si>
    <t>Cape Coral Unit 87 Blk 5695 Pb 24 Pg 81 Lots 33 + 34</t>
  </si>
  <si>
    <t xml:space="preserve">446 NE 7th Pl  Cape Coral, FL 33909 </t>
  </si>
  <si>
    <t xml:space="preserve">1804 NE 8th Pl  Cape Coral, FL 33909 </t>
  </si>
  <si>
    <t>19-43-24-c1-05549.0510</t>
  </si>
  <si>
    <t>25-43-23-c3-02353.0140</t>
  </si>
  <si>
    <t>Theodor</t>
  </si>
  <si>
    <t>Apple Tree</t>
  </si>
  <si>
    <t>Cape Coral Unit 36 Blk 2353 Pb 16 Pg 119 Lots 36 + 37</t>
  </si>
  <si>
    <t xml:space="preserve">729 Old White Plains Rd #4, Mamaroneck, NY 10543-1863 </t>
  </si>
  <si>
    <t>20-43-24-c2-05666.0320</t>
  </si>
  <si>
    <t xml:space="preserve">7320 SW 31st St  Miami, FL 33155-2758 </t>
  </si>
  <si>
    <t>33905-7684</t>
  </si>
  <si>
    <t xml:space="preserve">11117 Van Wyck Expy  Jamaica, NY 11435-5815 </t>
  </si>
  <si>
    <t xml:space="preserve">1234 172nd Ave A </t>
  </si>
  <si>
    <t>Michael &amp; Monica Mcnaughton</t>
  </si>
  <si>
    <t>Cape Coral Unit 84 Blk 5600 Pb 24 Pg 43 Lots 11 + 12</t>
  </si>
  <si>
    <t>Lynda Svana</t>
  </si>
  <si>
    <t>Joshua J Basso &amp; Joshua Basso</t>
  </si>
  <si>
    <t>St. Paul</t>
  </si>
  <si>
    <t>Chona</t>
  </si>
  <si>
    <t>Alejandro Rojas</t>
  </si>
  <si>
    <t>Nansemond</t>
  </si>
  <si>
    <t>25-43-23-c1-02329.0230</t>
  </si>
  <si>
    <t>64th</t>
  </si>
  <si>
    <t xml:space="preserve">14520 SW 123rd Pl  Miami, FL 33186-7416 </t>
  </si>
  <si>
    <t xml:space="preserve">1040 Hilliard Rome Rd </t>
  </si>
  <si>
    <t xml:space="preserve">16 Brannon Ct </t>
  </si>
  <si>
    <t xml:space="preserve">4466 Big Bluff Ct  Douglasville, GA 30135-8212 </t>
  </si>
  <si>
    <t>Kerry Degroot</t>
  </si>
  <si>
    <t>Cape Coral Unit 34 Blk 2452 Pb 16 Pg 86 Lots 27 + 28</t>
  </si>
  <si>
    <t xml:space="preserve">13731 NW 13th st pembrooke Pnes </t>
  </si>
  <si>
    <t xml:space="preserve">5790 Burrwood Ct  Fort Myers, FL 33905 </t>
  </si>
  <si>
    <t>Keith White</t>
  </si>
  <si>
    <t xml:space="preserve">814 Coolidge Ave  Woodbridge, NJ 07095-3214 </t>
  </si>
  <si>
    <t xml:space="preserve">1251 NW 20th St #209, Miami, FL 33142-7711 </t>
  </si>
  <si>
    <t>Mcnally</t>
  </si>
  <si>
    <t>33909-6804</t>
  </si>
  <si>
    <t xml:space="preserve">3625 Sharpley Ave </t>
  </si>
  <si>
    <t xml:space="preserve">3020 NE 2nd Pl  Cape Coral, FL 33909 </t>
  </si>
  <si>
    <t>Patchogue</t>
  </si>
  <si>
    <t>Miami</t>
  </si>
  <si>
    <t>Cape Coral Unit 34 Blk 2392 Pb 16 Pg 77 Lots 25 + 26</t>
  </si>
  <si>
    <t xml:space="preserve">13617 Granada Mist Way </t>
  </si>
  <si>
    <t xml:space="preserve">2612 NE 17th Ave  Cape Coral, FL 33909 </t>
  </si>
  <si>
    <t xml:space="preserve">60 Ambleside Rd  Des Plaines, IL 60016-2803 </t>
  </si>
  <si>
    <t xml:space="preserve">1316 NE 34th Ln </t>
  </si>
  <si>
    <t>12-45-23-c1-00239.0140</t>
  </si>
  <si>
    <t>Dachino</t>
  </si>
  <si>
    <t>For Mc K Trust</t>
  </si>
  <si>
    <t>33009-6921</t>
  </si>
  <si>
    <t>2850 north</t>
  </si>
  <si>
    <t>Mcomber Judith A Tr</t>
  </si>
  <si>
    <t xml:space="preserve">4125 NE 8th Pl  Cape Coral, FL 33909 </t>
  </si>
  <si>
    <t>Noreaster Cove</t>
  </si>
  <si>
    <t>Shellie</t>
  </si>
  <si>
    <t>92118-2584</t>
  </si>
  <si>
    <t>33905-4722</t>
  </si>
  <si>
    <t>Dackenheim</t>
  </si>
  <si>
    <t>Robert &amp; Jacqueline Boyd</t>
  </si>
  <si>
    <t xml:space="preserve">2741 NE 4th Ave </t>
  </si>
  <si>
    <t>Hutton</t>
  </si>
  <si>
    <t>Lehigh Acres Unit 3 Blk 15 Pb 26 Pg 5 Lot 10</t>
  </si>
  <si>
    <t>37330-3453</t>
  </si>
  <si>
    <t>Devergie</t>
  </si>
  <si>
    <t>Chambersburg</t>
  </si>
  <si>
    <t>Cape Coral Unit 84 Blk 5574 Pb 24 Pg 36 Lots 5 + 6</t>
  </si>
  <si>
    <t xml:space="preserve">3824 Heyburn St </t>
  </si>
  <si>
    <t>32-43-24-c3-02218.0010</t>
  </si>
  <si>
    <t xml:space="preserve">10220 Meadow Beauty Trl </t>
  </si>
  <si>
    <t>29-43-24-c3-02248.0230</t>
  </si>
  <si>
    <t>Connor</t>
  </si>
  <si>
    <t>Cape Coral Unit 87 Blk 5727 Pb 24 Pg 85 Lots 21 + 22</t>
  </si>
  <si>
    <t>D Vt &amp; Grenier For</t>
  </si>
  <si>
    <t>Cape Coral Unit 87 Blk 5727 Pb 24 Pg 85 Lots 7 + 8</t>
  </si>
  <si>
    <t xml:space="preserve">1807 NE 41st St </t>
  </si>
  <si>
    <t>John Larue</t>
  </si>
  <si>
    <t>Billups</t>
  </si>
  <si>
    <t>Flora &amp; Jhonny Sinchi</t>
  </si>
  <si>
    <t xml:space="preserve">499 Broadway #387 </t>
  </si>
  <si>
    <t>33909-1553</t>
  </si>
  <si>
    <t>Whilhemina Gabriel &amp; Wilhelmina Gabriel</t>
  </si>
  <si>
    <t xml:space="preserve">903 NE 32nd St  Cape Coral, FL 33909 </t>
  </si>
  <si>
    <t xml:space="preserve">2763 NE 96th Pl  Ankeny, IA 50021-9600 </t>
  </si>
  <si>
    <t>Buckingham Pk Re Blk B U-3 Blk 12 Pb 27 Pg 190 Lot 7</t>
  </si>
  <si>
    <t>Schwalbenweg</t>
  </si>
  <si>
    <t>Apollo Beach</t>
  </si>
  <si>
    <t>Brad &amp; Lynne Bach</t>
  </si>
  <si>
    <t>01-44-23-c1-02435.0090</t>
  </si>
  <si>
    <t>13-45-23-c4-00101.0430</t>
  </si>
  <si>
    <t>33166-6125</t>
  </si>
  <si>
    <t>Lobaton</t>
  </si>
  <si>
    <t>07-46-25-04-00w00.0460</t>
  </si>
  <si>
    <t xml:space="preserve">80710 Cryderman Rd </t>
  </si>
  <si>
    <t xml:space="preserve">1701 NW 126th Dr </t>
  </si>
  <si>
    <t xml:space="preserve">323 NE 19th Ter </t>
  </si>
  <si>
    <t xml:space="preserve">555 Kappock St 9p </t>
  </si>
  <si>
    <t>Verona</t>
  </si>
  <si>
    <t>Bruce Dickie</t>
  </si>
  <si>
    <t>Cypress Woods Rv Resort Unit 4 Pb 79 Pgs 68-71 Blk D Lot 95</t>
  </si>
  <si>
    <t>Cypress Woods Rv Resort Unit 4 Pb 79 Pgs 68-71 Blk D Lot 114</t>
  </si>
  <si>
    <t xml:space="preserve">539 Waldrop Rd </t>
  </si>
  <si>
    <t>44460-9649</t>
  </si>
  <si>
    <t>33909-3292</t>
  </si>
  <si>
    <t xml:space="preserve">5341 Silk Oak Ave  Fort Myers, FL 33905 </t>
  </si>
  <si>
    <t>31-43-24-c2-02180.030a</t>
  </si>
  <si>
    <t xml:space="preserve">50 Rue De La Foret-Macherin </t>
  </si>
  <si>
    <t>Liermo</t>
  </si>
  <si>
    <t xml:space="preserve">829 Setter Ln </t>
  </si>
  <si>
    <t>Craig &amp; Jerilyn Brenner</t>
  </si>
  <si>
    <t>29-43-24-c4-02286.0210</t>
  </si>
  <si>
    <t>Grimm Peter A Tr</t>
  </si>
  <si>
    <t>Xiuqi</t>
  </si>
  <si>
    <t>36-43-23-c1-02515.0290</t>
  </si>
  <si>
    <t xml:space="preserve">1911 NW North River Dr 216b </t>
  </si>
  <si>
    <t>05-44-24-c1-03531.0050</t>
  </si>
  <si>
    <t>33909-2526</t>
  </si>
  <si>
    <t>16-44-26-08-00024.0270</t>
  </si>
  <si>
    <t xml:space="preserve">10231 Surfwood Ct  Fort Myers, FL 33905 </t>
  </si>
  <si>
    <t>33904-4775</t>
  </si>
  <si>
    <t>Hoepfner</t>
  </si>
  <si>
    <t xml:space="preserve">1406 NE 6th Pl </t>
  </si>
  <si>
    <t xml:space="preserve">740 Loretta Dr </t>
  </si>
  <si>
    <t>16-44-25-p1-0090b.0050</t>
  </si>
  <si>
    <t>Holyoke</t>
  </si>
  <si>
    <t>18-43-24-c2-05734.0880</t>
  </si>
  <si>
    <t xml:space="preserve">1048 W Spruce Ct </t>
  </si>
  <si>
    <t>19-43-24-c3-05615.0070</t>
  </si>
  <si>
    <t>Cape Coral Unit 84 Blk 5622 Pb 24 Pg 33 Lots 9 + 10</t>
  </si>
  <si>
    <t xml:space="preserve">462 Capitol St </t>
  </si>
  <si>
    <t>Rillera</t>
  </si>
  <si>
    <t>Bisdorff</t>
  </si>
  <si>
    <t>07465-2219</t>
  </si>
  <si>
    <t>Jurij &amp; Elizabeth Drahosz</t>
  </si>
  <si>
    <t xml:space="preserve">2495 E 3rd St  Brooklyn, NY 11223-6002 </t>
  </si>
  <si>
    <t>34-43-24-01-00035.0010</t>
  </si>
  <si>
    <t>Cruse</t>
  </si>
  <si>
    <t>Pleasanton</t>
  </si>
  <si>
    <t>37686-3928</t>
  </si>
  <si>
    <t>11050-1616</t>
  </si>
  <si>
    <t>Helen Mcgill</t>
  </si>
  <si>
    <t xml:space="preserve">17322 Whetmore Ln </t>
  </si>
  <si>
    <t>Spitzenberger</t>
  </si>
  <si>
    <t xml:space="preserve">1717 NE 20th Ter  Cape Coral, FL 33909 </t>
  </si>
  <si>
    <t>Delay</t>
  </si>
  <si>
    <t>PO Box 34389</t>
  </si>
  <si>
    <t xml:space="preserve">4774 SW 72nd Ave  Miami, FL 33155-4518 </t>
  </si>
  <si>
    <t xml:space="preserve">1209 NE 11th Ter </t>
  </si>
  <si>
    <t xml:space="preserve">5268 Cypress Trail Resort Cir  Fort Myers, FL 33905 </t>
  </si>
  <si>
    <t>Cape Coral Unit 31 Blk 2082 Pb 14 Pg 161 Lots 35 + 36</t>
  </si>
  <si>
    <t xml:space="preserve">1136 Stockleybridge Dr  Chesapeake, VA 23322-9173 </t>
  </si>
  <si>
    <t xml:space="preserve">3714 NE 13th Ave  Cape Coral, FL 33909 </t>
  </si>
  <si>
    <t>Wheatland</t>
  </si>
  <si>
    <t xml:space="preserve">2040 N Humboldt Blvd  Chicago, IL 60647-3805 </t>
  </si>
  <si>
    <t>07003-6054</t>
  </si>
  <si>
    <t xml:space="preserve">144 Roosevelt Blvd </t>
  </si>
  <si>
    <t>Marianne Hirsch Revocable Trust</t>
  </si>
  <si>
    <t>Neustal</t>
  </si>
  <si>
    <t>10523-3619</t>
  </si>
  <si>
    <t>Bill &amp; Beverly Gaumer</t>
  </si>
  <si>
    <t xml:space="preserve">1925 NE 14th St  Cape Coral, FL 33909 </t>
  </si>
  <si>
    <t xml:space="preserve">814 NE 32nd Ln  Cape Coral, FL 33909 </t>
  </si>
  <si>
    <t>07058-9805</t>
  </si>
  <si>
    <t>18-43-24-c3-05751.0230</t>
  </si>
  <si>
    <t>Calle Del Paz</t>
  </si>
  <si>
    <t>Banyan Boulevard</t>
  </si>
  <si>
    <t>32-43-24-c4-02226.0120</t>
  </si>
  <si>
    <t>Morganton</t>
  </si>
  <si>
    <t xml:space="preserve">18 Overlook Cir  Hudson, NH 03051-6406 </t>
  </si>
  <si>
    <t>20-43-24-c4-05631.0290</t>
  </si>
  <si>
    <t>32043-3443</t>
  </si>
  <si>
    <t>Elamparo</t>
  </si>
  <si>
    <t xml:space="preserve">8014 Tauren Ct </t>
  </si>
  <si>
    <t>Cape Coral Unit 14 Blk 541 Pb 13 Pg 64 Lots 42 + 43</t>
  </si>
  <si>
    <t xml:space="preserve">1910 Bexley Ln  Chesapeake, VA 23322-4443 </t>
  </si>
  <si>
    <t>33903-4436</t>
  </si>
  <si>
    <t>Petrozelli</t>
  </si>
  <si>
    <t xml:space="preserve"> Gilbert Plains, MB R0l 0X0 </t>
  </si>
  <si>
    <t>Gallonio</t>
  </si>
  <si>
    <t>Mohammed &amp; Parveen Hafeez</t>
  </si>
  <si>
    <t>Cape Coral Unit 36 Blk 2300A Pb 16 Pg 125 Lots 65 + 66</t>
  </si>
  <si>
    <t xml:space="preserve">625 Mahoning Ave NW </t>
  </si>
  <si>
    <t>16-44-26-08-00025.0070</t>
  </si>
  <si>
    <t xml:space="preserve">1029 NE 2nd Ave </t>
  </si>
  <si>
    <t>Muchugu</t>
  </si>
  <si>
    <t>33909-1303</t>
  </si>
  <si>
    <t>Cape Coral Unit 35 Blk 2383 Pb 16 Pg 108 Lots 71 + 72</t>
  </si>
  <si>
    <t xml:space="preserve">817 NE 36th Ln  Cape Coral, FL 33909 </t>
  </si>
  <si>
    <t>27-43-24-00-00002.001b</t>
  </si>
  <si>
    <t>98422-1129</t>
  </si>
  <si>
    <t xml:space="preserve">1330 NE 19th Pl  Cape Coral, FL 33909 </t>
  </si>
  <si>
    <t xml:space="preserve">6051 Langdon Ave </t>
  </si>
  <si>
    <t xml:space="preserve">306 NE 11th St </t>
  </si>
  <si>
    <t>Annette Argese</t>
  </si>
  <si>
    <t xml:space="preserve">121 SE 43rd St </t>
  </si>
  <si>
    <t>Cape Coral Unit 87 Blk 5711 Pb 24 Pg 71 Lots 33 + 34</t>
  </si>
  <si>
    <t>Clarissa</t>
  </si>
  <si>
    <t>Cape Coral Unit 84 Blk 5594 Pb 24 Pg 41 Lots 9 + 10</t>
  </si>
  <si>
    <t>07104-2308</t>
  </si>
  <si>
    <t>State Road 15</t>
  </si>
  <si>
    <t xml:space="preserve">316 Bell Blvd  Weirton, WV 26062-3300 </t>
  </si>
  <si>
    <t>33909-1014</t>
  </si>
  <si>
    <t xml:space="preserve">7 Auf Jaegert </t>
  </si>
  <si>
    <t>Cape Coral Unit 85 Blk 5663 Pb 24 Pg 58 Lots 15 + 16</t>
  </si>
  <si>
    <t>Narindra</t>
  </si>
  <si>
    <t xml:space="preserve">6103 Hendley Ct  Fort Myers, FL 33905 </t>
  </si>
  <si>
    <t xml:space="preserve">5205 Marsh Mallow Trl </t>
  </si>
  <si>
    <t>33165-3216</t>
  </si>
  <si>
    <t>Arthur &amp; Joan Arneaud</t>
  </si>
  <si>
    <t>Cape Coral Unit 32 Blk 2173 Pb 16 Pg 8 Lots 3 + 4</t>
  </si>
  <si>
    <t xml:space="preserve">345 Holly Tree Dr </t>
  </si>
  <si>
    <t>Cape Coral Unit 36 Pt 1 Blk 2482 Pb 23 Pg 90 Lots 31 + 32</t>
  </si>
  <si>
    <t xml:space="preserve">5760 Cypress Woods Resort Dr </t>
  </si>
  <si>
    <t xml:space="preserve">1410 NE 17th Ter </t>
  </si>
  <si>
    <t>Barbara Hurd &amp; Bruce Boody</t>
  </si>
  <si>
    <t>Roger Garcia &amp; Maria Pastora</t>
  </si>
  <si>
    <t xml:space="preserve">1701 N Tamiami Trl  North Fort Myers, FL 33903 </t>
  </si>
  <si>
    <t xml:space="preserve">2032 NE 5th Ave  Cape Coral, FL 33909 </t>
  </si>
  <si>
    <t>Cypress Trail Rv Resort Ph 4-B As Desc In Inst# 2017000057565 Lot 77</t>
  </si>
  <si>
    <t>Cape Coral Unit 36 Blk 2310 Pb 16 Pg 123 Lots 29 + 30</t>
  </si>
  <si>
    <t>Ernest</t>
  </si>
  <si>
    <t xml:space="preserve">650 N Shore Dr  Miami Beach, FL 33141-2434 </t>
  </si>
  <si>
    <t>Patricia &amp; Cheryl Carnes</t>
  </si>
  <si>
    <t xml:space="preserve">152 Fombell Rd  Fombell, PA 16123-2212 </t>
  </si>
  <si>
    <t>Frankie</t>
  </si>
  <si>
    <t xml:space="preserve">1521 NE 36th St  Cape Coral, FL 33909 </t>
  </si>
  <si>
    <t>Cape Coral Unit 9 Blk 289 Pb 13 Pg 12 Lots 10 Thru 13</t>
  </si>
  <si>
    <t>Cape Coral Unit 34 Blk 2462 Pb 16 Pg 84 Lots 5 + 6</t>
  </si>
  <si>
    <t>11-44-25-l1-13000.0780</t>
  </si>
  <si>
    <t xml:space="preserve">9644 Bergamont Ct  Waldorf, MD 20603-5701 </t>
  </si>
  <si>
    <t xml:space="preserve">1426 NE 20th St  Cape Coral, FL 33909 </t>
  </si>
  <si>
    <t xml:space="preserve">68397 Eagle Lake Rd </t>
  </si>
  <si>
    <t>Cape Coral Unit 6 Part 2 Blk 41B Pb 11 Pg 60 Lots 30 + 31</t>
  </si>
  <si>
    <t xml:space="preserve">200 High St  Mullica Hill, NJ 08062-9590 </t>
  </si>
  <si>
    <t>Schmit</t>
  </si>
  <si>
    <t>Sean Bacon</t>
  </si>
  <si>
    <t>PO Box 60324</t>
  </si>
  <si>
    <t xml:space="preserve">2805 NE 6th Ave </t>
  </si>
  <si>
    <t xml:space="preserve">1022 NE 15th Ln </t>
  </si>
  <si>
    <t>19-43-24-c4-05551.0410</t>
  </si>
  <si>
    <t xml:space="preserve">3730 Teakwood St  Fort Myers, FL 33905 </t>
  </si>
  <si>
    <t xml:space="preserve">826 NE 18th St </t>
  </si>
  <si>
    <t>19312-1442</t>
  </si>
  <si>
    <t>Cape Coral Unit 31 Blk 2065 Pb 14 Pg 161 Lots 11 + 12</t>
  </si>
  <si>
    <t xml:space="preserve">43 A </t>
  </si>
  <si>
    <t xml:space="preserve">2127 NE 34th Ter  Cape Coral, FL 33909 </t>
  </si>
  <si>
    <t>Martin Martinez</t>
  </si>
  <si>
    <t xml:space="preserve">2611 SE 23rd Ave </t>
  </si>
  <si>
    <t>07028-1815</t>
  </si>
  <si>
    <t>Sheldon West</t>
  </si>
  <si>
    <t>62684-9570</t>
  </si>
  <si>
    <t>Alioskar</t>
  </si>
  <si>
    <t>33175-6580</t>
  </si>
  <si>
    <t>Alex Min</t>
  </si>
  <si>
    <t xml:space="preserve">3802 Golden Shores Dr  Missouri City, TX 77459-7616 </t>
  </si>
  <si>
    <t xml:space="preserve">1207 Towlston Rd </t>
  </si>
  <si>
    <t xml:space="preserve">10161 Sunnywood Ct  Fort Myers, FL 33905 </t>
  </si>
  <si>
    <t>De Venise</t>
  </si>
  <si>
    <t>Cape Coral Unit 36 Blk 2309 Pb 16 Pg 119 Lots 24 + 25</t>
  </si>
  <si>
    <t>77650-1300</t>
  </si>
  <si>
    <t>For Elizabeth Joan Skaarup Trust</t>
  </si>
  <si>
    <t>Beharrie</t>
  </si>
  <si>
    <t>Juergon</t>
  </si>
  <si>
    <t xml:space="preserve">1320 N Abalone Ter </t>
  </si>
  <si>
    <t>Arbor Lakes</t>
  </si>
  <si>
    <t xml:space="preserve">5028 45th St W </t>
  </si>
  <si>
    <t xml:space="preserve">1914 SE 32nd St </t>
  </si>
  <si>
    <t>Darrell Miller &amp; Jane Hanger</t>
  </si>
  <si>
    <t xml:space="preserve">373 Newbury St </t>
  </si>
  <si>
    <t>17-43-24-c3-05793.0140</t>
  </si>
  <si>
    <t>Muenchner</t>
  </si>
  <si>
    <t>Elm</t>
  </si>
  <si>
    <t>Crown Point</t>
  </si>
  <si>
    <t>20910-1901</t>
  </si>
  <si>
    <t xml:space="preserve">612 93rd Ave N </t>
  </si>
  <si>
    <t xml:space="preserve">4409 Ramsey Blvd  Cape Coral, FL 33909 </t>
  </si>
  <si>
    <t>Cypress Trail Rv Resort Phase 4-C Block B Lot 439 As Desc In Inst 2019000042424</t>
  </si>
  <si>
    <t>11a</t>
  </si>
  <si>
    <t>L4Z 1N3</t>
  </si>
  <si>
    <t>Jae</t>
  </si>
  <si>
    <t>Charles &amp; Debra Kaylor</t>
  </si>
  <si>
    <t>Vanda Trindade</t>
  </si>
  <si>
    <t>29-43-24-c4-02284.0120</t>
  </si>
  <si>
    <t>02536-3930</t>
  </si>
  <si>
    <t xml:space="preserve">10 Collyer Pl </t>
  </si>
  <si>
    <t xml:space="preserve">6053 NW 56th Cir </t>
  </si>
  <si>
    <t xml:space="preserve">1440 NE 34th St </t>
  </si>
  <si>
    <t>Richard &amp; Allan Osseck</t>
  </si>
  <si>
    <t>33904-8078</t>
  </si>
  <si>
    <t xml:space="preserve">14080 Carlos St </t>
  </si>
  <si>
    <t>Colts Neck</t>
  </si>
  <si>
    <t>Cape Coral Unit 84 Blk 5604 Pb 24 Pg 42 Lots 39 + 40</t>
  </si>
  <si>
    <t>01201-7322</t>
  </si>
  <si>
    <t>03-44-26-14-00084.0050</t>
  </si>
  <si>
    <t>Adams</t>
  </si>
  <si>
    <t xml:space="preserve">2900 NE 2nd Ave </t>
  </si>
  <si>
    <t xml:space="preserve">871 San Pedro Ave  Coral Gables, FL 33156-6338 </t>
  </si>
  <si>
    <t>18-43-24-c3-05586.0010</t>
  </si>
  <si>
    <t xml:space="preserve">1934 NE 15th Ter  Cape Coral, FL 33909 </t>
  </si>
  <si>
    <t xml:space="preserve">25 Little Ln  Wharton, NJ 07885-1039 </t>
  </si>
  <si>
    <t>Kerry &amp; Marilyn Maris</t>
  </si>
  <si>
    <t>Delia</t>
  </si>
  <si>
    <t>33909-6603</t>
  </si>
  <si>
    <t>Cape Coral Unit 34 Blk 2446 Pb 16 Pg 78 Lots 33 + 34</t>
  </si>
  <si>
    <t>Oconnell</t>
  </si>
  <si>
    <t>Jagroop</t>
  </si>
  <si>
    <t>David Mcgehee &amp; Sharon Magat</t>
  </si>
  <si>
    <t>Michael Jones</t>
  </si>
  <si>
    <t>Robert Orton</t>
  </si>
  <si>
    <t>10583-6605</t>
  </si>
  <si>
    <t xml:space="preserve">21 E Sheppard Ln  Chelmsford, MA 01824-2214 </t>
  </si>
  <si>
    <t>56501-7268</t>
  </si>
  <si>
    <t>Huynh Nguyen</t>
  </si>
  <si>
    <t>Nervy</t>
  </si>
  <si>
    <t xml:space="preserve">2812 NE 6th Pl  Cape Coral, FL 33909 </t>
  </si>
  <si>
    <t>Cape Coral Unit 84 Blk 5617 Pb 24 Pg 34 Lot 22</t>
  </si>
  <si>
    <t>Delavega</t>
  </si>
  <si>
    <t>Galena</t>
  </si>
  <si>
    <t xml:space="preserve">28 Rue St Fargeau  Denison, TX 75020 </t>
  </si>
  <si>
    <t>Lawrence Silverberg</t>
  </si>
  <si>
    <t xml:space="preserve">1 Rusten Ln </t>
  </si>
  <si>
    <t xml:space="preserve">3867 Mcelroy Rd  Atlanta, GA 30340-2328 </t>
  </si>
  <si>
    <t>34266-7367</t>
  </si>
  <si>
    <t xml:space="preserve">4021 NE 22nd Pl  Cape Coral, FL 33909 </t>
  </si>
  <si>
    <t>48047-4676</t>
  </si>
  <si>
    <t>County Route 14</t>
  </si>
  <si>
    <t>Dunns Corner</t>
  </si>
  <si>
    <t>83642-4013</t>
  </si>
  <si>
    <t xml:space="preserve">5543/5545 Ninth Ave  Fort Myers, FL 33907 </t>
  </si>
  <si>
    <t xml:space="preserve">2601 NE 20th Pl  Cape Coral, FL 33909 </t>
  </si>
  <si>
    <t>12-45-23-c4-00211.0170</t>
  </si>
  <si>
    <t>Bryant</t>
  </si>
  <si>
    <t>Labrie</t>
  </si>
  <si>
    <t>Elwood</t>
  </si>
  <si>
    <t>Cape Coral Unit 85 Blk 5637 Pb 24 Pg 51 Lots 42 + 43</t>
  </si>
  <si>
    <t>Pedraza</t>
  </si>
  <si>
    <t xml:space="preserve">10627 Rutledge St </t>
  </si>
  <si>
    <t>33909-1641</t>
  </si>
  <si>
    <t>Caswell</t>
  </si>
  <si>
    <t>Barry Blanchard &amp; Karin Ohara</t>
  </si>
  <si>
    <t xml:space="preserve">PO Box 1464  Conway, SC 29528-1464 </t>
  </si>
  <si>
    <t>Cape Coral Unit 88 Blk 5787 Pb 24 Pg 132 Lots 37 + 38</t>
  </si>
  <si>
    <t>06-44-24-c4-02065.0290</t>
  </si>
  <si>
    <t xml:space="preserve">19630 Muncaster Rd </t>
  </si>
  <si>
    <t>20706-3487</t>
  </si>
  <si>
    <t>Cape Coral Unit 88 Blk 5825 Pb 24 Pg 141 Lots 8 + 9</t>
  </si>
  <si>
    <t>Canon</t>
  </si>
  <si>
    <t xml:space="preserve">18958 NW 80th Ct </t>
  </si>
  <si>
    <t>Cape Coral Unit 87 Blk 5735 Pb 24 Pg 76 Lots 15 + 16</t>
  </si>
  <si>
    <t>Jah Revocable Trust</t>
  </si>
  <si>
    <t>55112-5782</t>
  </si>
  <si>
    <t xml:space="preserve">254 SW Petunia Pl </t>
  </si>
  <si>
    <t xml:space="preserve">4004 Garden Blvd </t>
  </si>
  <si>
    <t>Cypress Trail Rv Resort Phase 4-A As Desc In Inst# 20160000135610 Lot 295</t>
  </si>
  <si>
    <t>01-44-23-c2-02458.0010</t>
  </si>
  <si>
    <t>Dino</t>
  </si>
  <si>
    <t xml:space="preserve">208 N King St </t>
  </si>
  <si>
    <t>Old Niles Ferry</t>
  </si>
  <si>
    <t>Carstens</t>
  </si>
  <si>
    <t>01-44-23-c3-02428.0330</t>
  </si>
  <si>
    <t>Sharon &amp; Adi Merari</t>
  </si>
  <si>
    <t xml:space="preserve">8680 Lake Jane Trl N  Lake Elmo, MN 55042-9516 </t>
  </si>
  <si>
    <t xml:space="preserve">2828 NE 7th Ave </t>
  </si>
  <si>
    <t>Cocheset</t>
  </si>
  <si>
    <t>Jagtar</t>
  </si>
  <si>
    <t>Buckingham Pk Re Blk B U-2 Blk 8 Pb 27 Pg 189 Lot 6</t>
  </si>
  <si>
    <t>Claude Mitchell</t>
  </si>
  <si>
    <t>Rupp</t>
  </si>
  <si>
    <t>Navajo</t>
  </si>
  <si>
    <t>Gamble</t>
  </si>
  <si>
    <t>33905-8652</t>
  </si>
  <si>
    <t xml:space="preserve">PO Box 152  Gypsum, CO 81637 </t>
  </si>
  <si>
    <t xml:space="preserve">4900 Biscayne Dr #7 </t>
  </si>
  <si>
    <t>Daniel Ramirez</t>
  </si>
  <si>
    <t xml:space="preserve">15762 Claire Ct </t>
  </si>
  <si>
    <t>Peter &amp; Regine Bellm</t>
  </si>
  <si>
    <t>H3X 2S8</t>
  </si>
  <si>
    <t>R Sweeney</t>
  </si>
  <si>
    <t xml:space="preserve">1501 NE 6th Ave </t>
  </si>
  <si>
    <t>48154-4101</t>
  </si>
  <si>
    <t xml:space="preserve">14181 Chancellor St </t>
  </si>
  <si>
    <t>24-45-23-c2-00135.0350</t>
  </si>
  <si>
    <t>Owosso</t>
  </si>
  <si>
    <t>31-43-24-c1-02161.0580</t>
  </si>
  <si>
    <t xml:space="preserve">1114 NE 10th Ter </t>
  </si>
  <si>
    <t>Cape Coral Unit 84 Blk 5585 Pb 24 Pg 48 Lots 6 + 7</t>
  </si>
  <si>
    <t>Knollwood</t>
  </si>
  <si>
    <t xml:space="preserve">2023 Berrien Dr </t>
  </si>
  <si>
    <t>Emerald Estates</t>
  </si>
  <si>
    <t xml:space="preserve">13411 SW 14th Pl  Davie, FL 33325-5726 </t>
  </si>
  <si>
    <t>Long Lake</t>
  </si>
  <si>
    <t>Dawn Kobe</t>
  </si>
  <si>
    <t>06032-1522</t>
  </si>
  <si>
    <t>Romulo Naranjo &amp; Maria Dalmau</t>
  </si>
  <si>
    <t xml:space="preserve">2108 NE 10th Pl  Cape Coral, FL 33909 </t>
  </si>
  <si>
    <t xml:space="preserve">1733 NE 35th St  Cape Coral, FL 33909 </t>
  </si>
  <si>
    <t>Cape Coral Unit 33 Blk 2234 Pb 16 Pg 55 Lots 70 + 71</t>
  </si>
  <si>
    <t>33909-5483</t>
  </si>
  <si>
    <t>Carlos &amp; Betty Vargas</t>
  </si>
  <si>
    <t>53597-2104</t>
  </si>
  <si>
    <t>33909-2036</t>
  </si>
  <si>
    <t xml:space="preserve">480 Whittemore St </t>
  </si>
  <si>
    <t xml:space="preserve">1327 NE 23rd St </t>
  </si>
  <si>
    <t xml:space="preserve">4218 NE 17th Ave  Cape Coral, FL 33909 </t>
  </si>
  <si>
    <t xml:space="preserve">955 Mount Whitney Ct  Chula Vista, CA 91913-2882 </t>
  </si>
  <si>
    <t>James Fraley &amp; Rhonda Smith</t>
  </si>
  <si>
    <t>33029-3667</t>
  </si>
  <si>
    <t>34-43-24-02-00029.0110</t>
  </si>
  <si>
    <t>Prakash Hegde</t>
  </si>
  <si>
    <t xml:space="preserve">752 Pine Vale Dr </t>
  </si>
  <si>
    <t>Penelope</t>
  </si>
  <si>
    <t>Lehigh Acres Unit 5 Blk 25 Pb 26 Pg 7 Lot 2</t>
  </si>
  <si>
    <t>Venkata Kalluri</t>
  </si>
  <si>
    <t xml:space="preserve">1203 NE 2nd Ave </t>
  </si>
  <si>
    <t xml:space="preserve">1615 NE 5th Pl </t>
  </si>
  <si>
    <t>Algie &amp; Barbara Hicks</t>
  </si>
  <si>
    <t>Cape Coral Unit 21 Blk 826 Pb 13 Pg 150 Lots 59 + 60</t>
  </si>
  <si>
    <t xml:space="preserve">216 Barnstable Dr  Wyckoff, NJ 07481-2146 </t>
  </si>
  <si>
    <t xml:space="preserve">165 Sunrise Ave  Satellite Beach, FL 32937-2558 </t>
  </si>
  <si>
    <t xml:space="preserve">811 Rambler Ave  Runnemede, NJ 08078-1027 </t>
  </si>
  <si>
    <t>Cape Coral Unit 47 Pt 2 Blk 3525 Pb 23 Pg 116 Lots 45 + 46</t>
  </si>
  <si>
    <t xml:space="preserve">3943 Flora Pl </t>
  </si>
  <si>
    <t>Yesenia</t>
  </si>
  <si>
    <t xml:space="preserve">101 Vail Ln </t>
  </si>
  <si>
    <t>Doheny</t>
  </si>
  <si>
    <t xml:space="preserve">7 Ernest Ave </t>
  </si>
  <si>
    <t>33433-6236</t>
  </si>
  <si>
    <t>03-44-26-14-00080.0110</t>
  </si>
  <si>
    <t>Gronberger</t>
  </si>
  <si>
    <t>Paul Demaria</t>
  </si>
  <si>
    <t>05-44-24-c1-03520.0470</t>
  </si>
  <si>
    <t xml:space="preserve">162 Pilgrim Dr </t>
  </si>
  <si>
    <t xml:space="preserve">1807 NE 41st St  Cape Coral, FL 33909 </t>
  </si>
  <si>
    <t xml:space="preserve">4425 N Gulf Cir </t>
  </si>
  <si>
    <t>Ramdath</t>
  </si>
  <si>
    <t xml:space="preserve">688 Town Bank Rd A, Cape May, NJ 08204-4413 </t>
  </si>
  <si>
    <t>32-43-24-c1-02234.0280</t>
  </si>
  <si>
    <t>36-43-23-c1-02528.0010</t>
  </si>
  <si>
    <t>Russell Park Blk 6 Pb 6 Pg 12 Lot 218</t>
  </si>
  <si>
    <t>De Castro Palomino</t>
  </si>
  <si>
    <t>Johann Wambach</t>
  </si>
  <si>
    <t>33909-8848</t>
  </si>
  <si>
    <t xml:space="preserve">4101 NE 13th Pl  Cape Coral, FL 33909 </t>
  </si>
  <si>
    <t>Basallo</t>
  </si>
  <si>
    <t>J G J &amp; Guinette Bean</t>
  </si>
  <si>
    <t>L6R 3Z5</t>
  </si>
  <si>
    <t>33909-4260</t>
  </si>
  <si>
    <t>31-43-24-c2-02137.0190</t>
  </si>
  <si>
    <t>Lehigh Acres Unit 5 Blk 26 Pb 26 Pg 7 Lot 13</t>
  </si>
  <si>
    <t>20-43-24-c1-05646.0340</t>
  </si>
  <si>
    <t>13212-3554</t>
  </si>
  <si>
    <t xml:space="preserve">23 NE 8th Ter  Cape Coral, FL 33909 </t>
  </si>
  <si>
    <t xml:space="preserve">1412 NE 19th Pl </t>
  </si>
  <si>
    <t>Summer Hollow</t>
  </si>
  <si>
    <t xml:space="preserve">3225 Andalusia Blvd  Cape Coral, FL 33909 </t>
  </si>
  <si>
    <t>Cape Coral Unit 31 Blk 2069 Pb 14 Pg 160 Lots 67 + 68</t>
  </si>
  <si>
    <t>Fifth</t>
  </si>
  <si>
    <t xml:space="preserve">16789 Peterson Ridge Rd  Bend, OR 97703-9162 </t>
  </si>
  <si>
    <t xml:space="preserve">902 Calle 21 Norte  Cali, CO </t>
  </si>
  <si>
    <t>Lanetown</t>
  </si>
  <si>
    <t xml:space="preserve">637 SW 5th Ave </t>
  </si>
  <si>
    <t>William &amp; Judith Marlett</t>
  </si>
  <si>
    <t xml:space="preserve">1913 NE 2nd Pl  Cape Coral, FL 33909 </t>
  </si>
  <si>
    <t>36-44-23-c3-00883.0250</t>
  </si>
  <si>
    <t xml:space="preserve">1313 NE 7th Pl </t>
  </si>
  <si>
    <t>Jose &amp; Juanita Torres</t>
  </si>
  <si>
    <t>Jigok-Dong Giheung-Gu</t>
  </si>
  <si>
    <t xml:space="preserve">10228 Meadow Beauty Trl </t>
  </si>
  <si>
    <t>Lake Lorelei</t>
  </si>
  <si>
    <t>Richard &amp; For Hallas</t>
  </si>
  <si>
    <t xml:space="preserve">1475 Bimni Dr </t>
  </si>
  <si>
    <t>33182-1852</t>
  </si>
  <si>
    <t xml:space="preserve">6613 Buckby Rd  Lake Geneva, WI 53147-3667 </t>
  </si>
  <si>
    <t>33909-3205</t>
  </si>
  <si>
    <t>Irshaad Mohammed</t>
  </si>
  <si>
    <t xml:space="preserve">10224 Yellowtop Trl  Fort Myers, FL 33905 </t>
  </si>
  <si>
    <t>Sutton Park</t>
  </si>
  <si>
    <t>Jeannette</t>
  </si>
  <si>
    <t xml:space="preserve">1814 NE 33rd St  Cape Coral, FL 33909 </t>
  </si>
  <si>
    <t>Terrance Sheltra &amp; Mona Low</t>
  </si>
  <si>
    <t>Chilelli</t>
  </si>
  <si>
    <t>Silver Springs</t>
  </si>
  <si>
    <t>PO Box 10088</t>
  </si>
  <si>
    <t xml:space="preserve">683 Wade Rd SE </t>
  </si>
  <si>
    <t>33905-7739</t>
  </si>
  <si>
    <t>John &amp; Ruby Rhoades</t>
  </si>
  <si>
    <t>Elvia Laguna</t>
  </si>
  <si>
    <t xml:space="preserve">20900 NE 30th Ave #809 </t>
  </si>
  <si>
    <t xml:space="preserve">3412 NE 12th Ave  Cape Coral, FL 33909 </t>
  </si>
  <si>
    <t xml:space="preserve">1906 1st St NE  Auburn, WA 98002-5138 </t>
  </si>
  <si>
    <t>Ln</t>
  </si>
  <si>
    <t>Carlos &amp; Maria Cueto</t>
  </si>
  <si>
    <t>Cape Coral Unit 34 Blk 2463 Pb 16 Pg 81 Lots 2 + 3</t>
  </si>
  <si>
    <t>01-45-23-c2-00424.0450</t>
  </si>
  <si>
    <t>08-44-24-c1-00004.0150</t>
  </si>
  <si>
    <t>Montclair</t>
  </si>
  <si>
    <t xml:space="preserve">20 Apt 304 #6 </t>
  </si>
  <si>
    <t xml:space="preserve">1122 NE 15th Ter </t>
  </si>
  <si>
    <t xml:space="preserve">2 Twilley Rd  Brampton, ON L6y 6J7 </t>
  </si>
  <si>
    <t>M9M 1E2</t>
  </si>
  <si>
    <t>Lehigh Acres Unit 1 Blk 4 Pb 26 Pg 2 Lot 1</t>
  </si>
  <si>
    <t>33909-7336</t>
  </si>
  <si>
    <t xml:space="preserve">1234 NE 14th Ave  Cape Coral, FL 33909 </t>
  </si>
  <si>
    <t>36-43-23-c4-02489.0250</t>
  </si>
  <si>
    <t>56329-9294</t>
  </si>
  <si>
    <t>Lehigh Acres W 1/2 Unit 10 Blk 47 Pb 26 Pg 12 Lot 10</t>
  </si>
  <si>
    <t xml:space="preserve">3737 Tallman St  Fort Myers, FL 33905 </t>
  </si>
  <si>
    <t>Charles Chester</t>
  </si>
  <si>
    <t>Lucore</t>
  </si>
  <si>
    <t xml:space="preserve">2608 NE 6th Pl  Cape Coral, FL 33909 </t>
  </si>
  <si>
    <t xml:space="preserve">519 NE 6th Pl  Cape Coral, FL 33909 </t>
  </si>
  <si>
    <t xml:space="preserve">20 Loewenburgstr </t>
  </si>
  <si>
    <t>36-43-23-c2-02543.0490</t>
  </si>
  <si>
    <t>Glen Abbey</t>
  </si>
  <si>
    <t xml:space="preserve">13315 Whispering Oaks Dr  Fort Myers, FL 33905 </t>
  </si>
  <si>
    <t xml:space="preserve">3917 NE 8th Pl </t>
  </si>
  <si>
    <t xml:space="preserve">244 Laurier St  L'ile-Bizard, QC H9c 3A5 </t>
  </si>
  <si>
    <t>Cape Coral Unit 36 Blk 2345 Pb 16 Pg 121 Lots 34 + 35</t>
  </si>
  <si>
    <t xml:space="preserve">922 NE 33rd St  Cape Coral, FL 33909 </t>
  </si>
  <si>
    <t xml:space="preserve">1437 NE 1st Ave </t>
  </si>
  <si>
    <t xml:space="preserve">231 NE 15th St </t>
  </si>
  <si>
    <t>R075</t>
  </si>
  <si>
    <t>Teeple</t>
  </si>
  <si>
    <t>07306-1016</t>
  </si>
  <si>
    <t xml:space="preserve">698 Macalester St  Saint Paul, MN 55116-1463 </t>
  </si>
  <si>
    <t>Alatabeh</t>
  </si>
  <si>
    <t>32-43-24-c2-02235.0020</t>
  </si>
  <si>
    <t>Rookery</t>
  </si>
  <si>
    <t>06-44-24-c2-02064.0420</t>
  </si>
  <si>
    <t xml:space="preserve">15419 W Western Reserve Rd  Berlin Center, OH 44401-9703 </t>
  </si>
  <si>
    <t xml:space="preserve">3757 NE 14th Pl </t>
  </si>
  <si>
    <t>Cape Coral Unit 35 Blk 2385 Pb 16 Pg 111 Lots 60 + 61</t>
  </si>
  <si>
    <t>Prieto</t>
  </si>
  <si>
    <t xml:space="preserve">9 Jaegerstr  Clyo, GA 31303 </t>
  </si>
  <si>
    <t>Cape Coral Unit 84 Blk 5547 Pb 24 Pg 46 Lots 23 + 24</t>
  </si>
  <si>
    <t xml:space="preserve">1213 Doughty Blvd  Lawrence, NY 11559-1343 </t>
  </si>
  <si>
    <t>Borghese</t>
  </si>
  <si>
    <t xml:space="preserve">33 Virginia Dr </t>
  </si>
  <si>
    <t xml:space="preserve">230 Cherokee St  Miami Springs, FL 33166-5115 </t>
  </si>
  <si>
    <t xml:space="preserve">10371 SW 9th Ln  Pembroke Pines, FL 33025-3585 </t>
  </si>
  <si>
    <t>Marion &amp; For Alberts</t>
  </si>
  <si>
    <t xml:space="preserve">1603 W Harmony Lake Cir  Davie, FL 33324-7117 </t>
  </si>
  <si>
    <t>33909-8309</t>
  </si>
  <si>
    <t>Francis &amp; Debra Brindley</t>
  </si>
  <si>
    <t>Scenic Lakes</t>
  </si>
  <si>
    <t xml:space="preserve">1401 N Gator Cir </t>
  </si>
  <si>
    <t>Bryn Mawr</t>
  </si>
  <si>
    <t>91748-4310</t>
  </si>
  <si>
    <t>Lake Francis</t>
  </si>
  <si>
    <t xml:space="preserve">276 Littleford St  Pickering, ON L1v 5R4 </t>
  </si>
  <si>
    <t>Tremberth</t>
  </si>
  <si>
    <t xml:space="preserve">9435 Cumberland Hills Rd </t>
  </si>
  <si>
    <t>34-43-24-01-00026.0030</t>
  </si>
  <si>
    <t>Cape Coral Unit 26 Blk 466 Pb 14 Pg 120 Lots 64 + 65</t>
  </si>
  <si>
    <t>Jonquil</t>
  </si>
  <si>
    <t>03-44-26-11-00054.0170</t>
  </si>
  <si>
    <t xml:space="preserve">503 NE 17th Ter  Cape Coral, FL 33909 </t>
  </si>
  <si>
    <t>33909-1608</t>
  </si>
  <si>
    <t>Cv</t>
  </si>
  <si>
    <t>89139-7603</t>
  </si>
  <si>
    <t xml:space="preserve">17 Silver Spring Rd  East Hanover, NJ 07936-2508 </t>
  </si>
  <si>
    <t xml:space="preserve">7310 SW 170th Ter </t>
  </si>
  <si>
    <t>Secretariat</t>
  </si>
  <si>
    <t>Cape Coral Unit 31 Blk 2045 Pb 14 Pg 154 Lots 13 + 14</t>
  </si>
  <si>
    <t xml:space="preserve">825 Miramar Ct </t>
  </si>
  <si>
    <t xml:space="preserve">1733 NE 36th Ln  Cape Coral, FL 33909 </t>
  </si>
  <si>
    <t>Cypress Woods Rv Resort Unit 4 Pb 79 Pgs 68-71 Blk D Lot 8</t>
  </si>
  <si>
    <t>Cape Coral Unit 32 Blk 2125 Pb 16 Pg 10 Lots 18 + 19</t>
  </si>
  <si>
    <t>33064-6622</t>
  </si>
  <si>
    <t>33909-6113</t>
  </si>
  <si>
    <t xml:space="preserve">147 Ashbury Ave </t>
  </si>
  <si>
    <t xml:space="preserve">88 Highway 87  Eldon, MO 65026-4224 </t>
  </si>
  <si>
    <t>Hilary Whilby</t>
  </si>
  <si>
    <t>De Almeida</t>
  </si>
  <si>
    <t>32124-2020</t>
  </si>
  <si>
    <t>62864-6419</t>
  </si>
  <si>
    <t>Meadow Beauty</t>
  </si>
  <si>
    <t>SK</t>
  </si>
  <si>
    <t>05-44-24-c4-03541.0370</t>
  </si>
  <si>
    <t xml:space="preserve">9101 W Sunrise Blvd </t>
  </si>
  <si>
    <t xml:space="preserve">5500 Harborage Dr  Fort Myers, FL 33908 </t>
  </si>
  <si>
    <t xml:space="preserve">501 SE Main St #108, Minneapolis, MN 55414-2966 </t>
  </si>
  <si>
    <t>19-43-24-c2-05587.0480</t>
  </si>
  <si>
    <t xml:space="preserve">468 NE 3rd Pl  Cape Coral, FL 33909 </t>
  </si>
  <si>
    <t>Cape Coral Unit 36 Pt 1 Blk 2146 Pb 23 Pg 92 Lots 67 + 68</t>
  </si>
  <si>
    <t>Petersburg</t>
  </si>
  <si>
    <t>32-43-24-c2-02243.0190</t>
  </si>
  <si>
    <t>Cape Coral Unit 36 Blk 2544 Pb 16 Pg 115 Lots 7 + 8</t>
  </si>
  <si>
    <t xml:space="preserve">628 SE 30th Ln  Cape Coral, FL 33904 </t>
  </si>
  <si>
    <t>31-43-23-c3-04294.0050</t>
  </si>
  <si>
    <t>Cypress Trail Rv Resort Phase 4-A As Desc In Inst# 20160000135610 Lot 383</t>
  </si>
  <si>
    <t xml:space="preserve">3135 Sandhill Dr </t>
  </si>
  <si>
    <t>Anthony &amp; Dawn Montagno</t>
  </si>
  <si>
    <t>18-43-24-c2-05731.0250</t>
  </si>
  <si>
    <t>Cape Coral Unit 36 Pt 1 Blk 2505 Pb 23 Pg 91 Lots 20 + 21</t>
  </si>
  <si>
    <t>33909-3058</t>
  </si>
  <si>
    <t>Kochar</t>
  </si>
  <si>
    <t xml:space="preserve">1004 7th St  Hermosa Beach, CA 90254-4825 </t>
  </si>
  <si>
    <t>06-46-24-15-00000.3430</t>
  </si>
  <si>
    <t>Cape Coral Unit 85 Blk 5663 Pb 24 Pg 58 Lots 13 + 14</t>
  </si>
  <si>
    <t>Cape Coral Unit 47 Pt 2 Blk 2220A Pb 23 Pg 124 Lots 7 + 8 + Vac Alley Desc In Inst# 2008000165570</t>
  </si>
  <si>
    <t>Maho Karalic</t>
  </si>
  <si>
    <t>Cape Coral Ut 87 Blk 5745 Pb 24 Pg 70 Lots 3 + 4</t>
  </si>
  <si>
    <t xml:space="preserve">126 Diplomat Pkwy E </t>
  </si>
  <si>
    <t xml:space="preserve">84314 Rodine Ave  Indio, CA 92203-2709 </t>
  </si>
  <si>
    <t xml:space="preserve">1140 NE 44th Ln </t>
  </si>
  <si>
    <t>29-43-24-c3-02267.0030</t>
  </si>
  <si>
    <t xml:space="preserve">10171 Shadowood Ct  Fort Myers, FL 33905 </t>
  </si>
  <si>
    <t xml:space="preserve">6031 Jonathan Ave  Fort Myers, FL 33905 </t>
  </si>
  <si>
    <t xml:space="preserve">216 NE 31st Ter </t>
  </si>
  <si>
    <t xml:space="preserve">528 NE 31st Ter  Cape Coral, FL 33909 </t>
  </si>
  <si>
    <t>East Northport</t>
  </si>
  <si>
    <t xml:space="preserve">3600 Seagrape Ave  Naples, FL 34104-9003 </t>
  </si>
  <si>
    <t>33905-3946</t>
  </si>
  <si>
    <t>Erica</t>
  </si>
  <si>
    <t>33904-2923</t>
  </si>
  <si>
    <t xml:space="preserve">1127 NE 37th Ter </t>
  </si>
  <si>
    <t>33909-8897</t>
  </si>
  <si>
    <t>Michael Schiavello &amp; Jennifer Cuzzo</t>
  </si>
  <si>
    <t xml:space="preserve">1229 NE 7th Pl </t>
  </si>
  <si>
    <t>For Evaline P Williams Trust</t>
  </si>
  <si>
    <t>Lehigh Acres Unit 7 Blk 33 Pb 26 Pg 9 Lot 1</t>
  </si>
  <si>
    <t xml:space="preserve">4547 SE 11th Pl  Cape Coral, FL 33904 </t>
  </si>
  <si>
    <t xml:space="preserve">484 E 44th St  Hialeah, FL 33013-1858 </t>
  </si>
  <si>
    <t>Cape Coral Unit 36 Blk 2547 Pb 16 Pg 113 Lots 38 + 39</t>
  </si>
  <si>
    <t xml:space="preserve">3097 Turcotte Ln  North Bend, OH 45052 </t>
  </si>
  <si>
    <t>Denise Nelson</t>
  </si>
  <si>
    <t>Cape Coral Unit 14 Blk.528 Pb 13 Pg 66 Lots 20 Thru 22</t>
  </si>
  <si>
    <t>PO Box 4038</t>
  </si>
  <si>
    <t xml:space="preserve">1217 NE 13th Pl  Cape Coral, FL 33909 </t>
  </si>
  <si>
    <t>Cypress Trail Rv Resort Phase 2-A As Desc In Inst# 2014000026506 Lot 201</t>
  </si>
  <si>
    <t xml:space="preserve">3107 NE 1st Ave </t>
  </si>
  <si>
    <t>Cape Coral Unit 87 Blk 5685 Pb 24 Pg 82 Lots 33 + 34</t>
  </si>
  <si>
    <t>Hester</t>
  </si>
  <si>
    <t>03060-4716</t>
  </si>
  <si>
    <t>Huntingdon Valley</t>
  </si>
  <si>
    <t>B031</t>
  </si>
  <si>
    <t>Franz &amp; Klaus Huegel</t>
  </si>
  <si>
    <t>Matthew &amp; Donato Guaglione</t>
  </si>
  <si>
    <t xml:space="preserve">6202 Maplewood Rd </t>
  </si>
  <si>
    <t xml:space="preserve">214 Diplomat Pkwy E  Cape Coral, FL 33909 </t>
  </si>
  <si>
    <t>32908-3362</t>
  </si>
  <si>
    <t>Cape Coral Unit 35 Blk 2394 Pb 16 Pg 108 Lots 37 + 38</t>
  </si>
  <si>
    <t>Tuano</t>
  </si>
  <si>
    <t>Cariaga</t>
  </si>
  <si>
    <t xml:space="preserve">108 Oakland Ave </t>
  </si>
  <si>
    <t>Sevieri</t>
  </si>
  <si>
    <t xml:space="preserve">2501 NE 22nd Pl  Cape Coral, FL 33909 </t>
  </si>
  <si>
    <t>Weuve</t>
  </si>
  <si>
    <t>Wembley</t>
  </si>
  <si>
    <t xml:space="preserve">229 NE 14th Ter  Cape Coral, FL 33909 </t>
  </si>
  <si>
    <t>Horizon West</t>
  </si>
  <si>
    <t>Joanna</t>
  </si>
  <si>
    <t>Cape Coral Unit 33 Blk 2239 Pb 16 Pg 52 Lots 3 + 4</t>
  </si>
  <si>
    <t>Michael Mueller</t>
  </si>
  <si>
    <t xml:space="preserve">2101 NE 21st Pl </t>
  </si>
  <si>
    <t>Nashua</t>
  </si>
  <si>
    <t>Cape Coral Unit 34 Blk.2460 Pb 16 Pg 83 Lots 7 + 8</t>
  </si>
  <si>
    <t xml:space="preserve">65 Myrtle St  Wrentham, MA 02093-1117 </t>
  </si>
  <si>
    <t>29627-1022</t>
  </si>
  <si>
    <t xml:space="preserve">425 Monterey Ave </t>
  </si>
  <si>
    <t>Cerritos</t>
  </si>
  <si>
    <t xml:space="preserve">534 Retunda Pkwy W </t>
  </si>
  <si>
    <t xml:space="preserve">24 Lundigan Dr  Keswick, ON L4p 0C2 </t>
  </si>
  <si>
    <t xml:space="preserve">416 Tropicana Pkwy E </t>
  </si>
  <si>
    <t>H069</t>
  </si>
  <si>
    <t>98057-2276</t>
  </si>
  <si>
    <t xml:space="preserve">6020 Latimer Ave  Fort Myers, FL 33905 </t>
  </si>
  <si>
    <t>33909-4516</t>
  </si>
  <si>
    <t xml:space="preserve">1824 NE 23rd Ter </t>
  </si>
  <si>
    <t>Lin Zhong Zhong Lin</t>
  </si>
  <si>
    <t xml:space="preserve">242 Palmacea Rd </t>
  </si>
  <si>
    <t>11762-1039</t>
  </si>
  <si>
    <t>Blue Gill</t>
  </si>
  <si>
    <t>Cape Coral Unit 84 Blk 5613 Pb 24 Pg 36 Lots 69 + 70</t>
  </si>
  <si>
    <t>Jose Dasilva &amp; For Realty</t>
  </si>
  <si>
    <t>R021</t>
  </si>
  <si>
    <t>Sonja Kummer</t>
  </si>
  <si>
    <t xml:space="preserve">5530 Cypress Woods Resort Dr </t>
  </si>
  <si>
    <t>48335-3028</t>
  </si>
  <si>
    <t>West Yarmouth</t>
  </si>
  <si>
    <t xml:space="preserve">5401 26th Pl SW </t>
  </si>
  <si>
    <t>33909-4227</t>
  </si>
  <si>
    <t xml:space="preserve">2111 NE 4th Pl </t>
  </si>
  <si>
    <t xml:space="preserve">655 W 15th St  Hialeah, FL 33010-2827 </t>
  </si>
  <si>
    <t>Ngan</t>
  </si>
  <si>
    <t>John &amp; Cindy Bouley</t>
  </si>
  <si>
    <t>Tropicaire</t>
  </si>
  <si>
    <t xml:space="preserve">12059 Boldrey Dr  Fenton, MI 48430-9653 </t>
  </si>
  <si>
    <t xml:space="preserve">5370 Del Monte Ct  Cape Coral, FL 33904 </t>
  </si>
  <si>
    <t>Joys</t>
  </si>
  <si>
    <t>43068-1745</t>
  </si>
  <si>
    <t>03-44-26-08-00038.0140</t>
  </si>
  <si>
    <t>36-43-23-c1-02547.0300</t>
  </si>
  <si>
    <t>Odise &amp; Sofjola Thomai</t>
  </si>
  <si>
    <t>Cochran</t>
  </si>
  <si>
    <t xml:space="preserve">Po Box 432565 </t>
  </si>
  <si>
    <t xml:space="preserve">5225 Pineland Daisy Trl  Fort Myers, FL 33905 </t>
  </si>
  <si>
    <t>Coffey</t>
  </si>
  <si>
    <t>Ruth &amp; For Bean</t>
  </si>
  <si>
    <t>Cape Coral Unit 36 Blk 2330 Pb 16 Pg 129 Lots 27 + 28</t>
  </si>
  <si>
    <t xml:space="preserve">1911 NE 10th Ave </t>
  </si>
  <si>
    <t xml:space="preserve">1719 NE 13th Ter  Cape Coral, FL 33909 </t>
  </si>
  <si>
    <t xml:space="preserve">3515 NE 19th Pl </t>
  </si>
  <si>
    <t>Cape Coral Unit 31 Blk 2056 Pb 14 Pg 158 Lots 4 + 5</t>
  </si>
  <si>
    <t>Rodney &amp; Margaret Wheeler</t>
  </si>
  <si>
    <t xml:space="preserve">16333 Division St </t>
  </si>
  <si>
    <t>Battle Creek</t>
  </si>
  <si>
    <t>Cape Coral Unit 31 Blk 2081 Pb 14 Pg 161 Lots 3 + 4</t>
  </si>
  <si>
    <t>Kerns</t>
  </si>
  <si>
    <t xml:space="preserve">3412 NE 9th Ave  Cape Coral, FL 33909 </t>
  </si>
  <si>
    <t>25-43-23-c4-02290.0270</t>
  </si>
  <si>
    <t xml:space="preserve">3854 Skyview Dr </t>
  </si>
  <si>
    <t>19-43-24-c1-05578.0080</t>
  </si>
  <si>
    <t xml:space="preserve">2225 NW 64th Pl  Kansas City, MO 64151-2273 </t>
  </si>
  <si>
    <t>Laura Bolanos</t>
  </si>
  <si>
    <t>Rpud</t>
  </si>
  <si>
    <t xml:space="preserve">10080 Stonewood Dr  Fort Myers, FL 33905 </t>
  </si>
  <si>
    <t>11-44-25-07-00000.1660</t>
  </si>
  <si>
    <t>Tammy Rahn</t>
  </si>
  <si>
    <t xml:space="preserve">1216 NE 4th Pl </t>
  </si>
  <si>
    <t xml:space="preserve">8223 Champion Ct </t>
  </si>
  <si>
    <t xml:space="preserve">1915 NE 27th Ter  Cape Coral, FL 33909 </t>
  </si>
  <si>
    <t xml:space="preserve">2904 NE 2nd Ave </t>
  </si>
  <si>
    <t>Beatrice Kleiman</t>
  </si>
  <si>
    <t>33909-1946</t>
  </si>
  <si>
    <t xml:space="preserve">9744 168th Ave </t>
  </si>
  <si>
    <t>Larrabee &amp; Alan Larrabee Family</t>
  </si>
  <si>
    <t>Terrie</t>
  </si>
  <si>
    <t>Blueberry</t>
  </si>
  <si>
    <t xml:space="preserve">300 Pine Forest Dr  Belton, SC 29627-1022 </t>
  </si>
  <si>
    <t>Cape Coral Unit 33 Blk.2268 Pb 16 Pg 61 Lots 34 + 35</t>
  </si>
  <si>
    <t>Hannum</t>
  </si>
  <si>
    <t xml:space="preserve">220 NE 4th St  Cape Coral, FL 33909 </t>
  </si>
  <si>
    <t>33909-6451</t>
  </si>
  <si>
    <t xml:space="preserve">868 Dinosaur Dr  Erie, CO 80516-6575 </t>
  </si>
  <si>
    <t>Walter &amp; Leslie Kohler</t>
  </si>
  <si>
    <t>Guetsy Fabregas Revocable Trust</t>
  </si>
  <si>
    <t xml:space="preserve">3705 NE 12th Pl  Cape Coral, FL 33909 </t>
  </si>
  <si>
    <t>Maria Faus</t>
  </si>
  <si>
    <t>Keppler</t>
  </si>
  <si>
    <t xml:space="preserve">1609 Caffrey Ave  Far Rockaway, NY 11691-4425 </t>
  </si>
  <si>
    <t xml:space="preserve">3000 Gulf Breeze Pkwy #2 </t>
  </si>
  <si>
    <t>L4G 5V4</t>
  </si>
  <si>
    <t>Holly Grove</t>
  </si>
  <si>
    <t xml:space="preserve">318 NE 30th St </t>
  </si>
  <si>
    <t>05-44-24-c1-03540.0560</t>
  </si>
  <si>
    <t xml:space="preserve">6116 Kramer Ave  Fort Myers, FL 33905 </t>
  </si>
  <si>
    <t>Samira El-Kouri</t>
  </si>
  <si>
    <t>19-43-24-c1-05577.0030</t>
  </si>
  <si>
    <t>Cape Coral Unit 88 Blk 5787 Pb 24 Pg 132 Lots 35 + 36</t>
  </si>
  <si>
    <t xml:space="preserve">1929 NE 17th Ter  Cape Coral, FL 33909 </t>
  </si>
  <si>
    <t>01-44-23-c4-02442.0270</t>
  </si>
  <si>
    <t xml:space="preserve">5709 44th Ave S  Minneapolis, MN 55417-3014 </t>
  </si>
  <si>
    <t>96707-2838</t>
  </si>
  <si>
    <t>33909-3396</t>
  </si>
  <si>
    <t>Cape Coral Unit 34 Blk 2468 Pb 16 Pg 78 Lot 1 + Lot 37 Blk 2467</t>
  </si>
  <si>
    <t xml:space="preserve">621 23rd St NW  Naples, FL 34120-1827 </t>
  </si>
  <si>
    <t xml:space="preserve">163 Leyden St  East Boston, MA 02128-4919 </t>
  </si>
  <si>
    <t xml:space="preserve">3905 NE 15th Pl  Cape Coral, FL 33909 </t>
  </si>
  <si>
    <t>06-44-24-c2-02063.0130</t>
  </si>
  <si>
    <t>Alforque</t>
  </si>
  <si>
    <t>Linda &amp; John Gasparini</t>
  </si>
  <si>
    <t xml:space="preserve">10176 Mills Creek Rd  Havana, AR 72842-8847 </t>
  </si>
  <si>
    <t>17-43-24-c2-05802.0150</t>
  </si>
  <si>
    <t>Halder</t>
  </si>
  <si>
    <t>25-43-23-c4-02291.0070</t>
  </si>
  <si>
    <t>92064-2128</t>
  </si>
  <si>
    <t>01841-1133</t>
  </si>
  <si>
    <t>33624-4881</t>
  </si>
  <si>
    <t>Cape Coral Unit 17 Blk 1536 Pb 14 Pg 31 Lots 13 + 14</t>
  </si>
  <si>
    <t xml:space="preserve">5613 N Dublin Ranch Dr </t>
  </si>
  <si>
    <t>11-44-25-05-0000c.0830</t>
  </si>
  <si>
    <t>Lannoye</t>
  </si>
  <si>
    <t>07024-3919</t>
  </si>
  <si>
    <t>Drapkin</t>
  </si>
  <si>
    <t>Tournon</t>
  </si>
  <si>
    <t xml:space="preserve">14720 Southwarke Pl  Centreville, VA 20120-1858 </t>
  </si>
  <si>
    <t>Howard &amp; Ruth Starr</t>
  </si>
  <si>
    <t>Stacie</t>
  </si>
  <si>
    <t xml:space="preserve">215 NE 15th Ter  Cape Coral, FL 33909 </t>
  </si>
  <si>
    <t xml:space="preserve">3632 NE 20th Pl  Cape Coral, FL 33909 </t>
  </si>
  <si>
    <t xml:space="preserve">14071 Binghampton Dr  Fort Myers, FL 33905 </t>
  </si>
  <si>
    <t xml:space="preserve">19681 Summerlin Rd #22, Fort Myers, FL 33908 </t>
  </si>
  <si>
    <t xml:space="preserve">1051 Grove Trail Pass </t>
  </si>
  <si>
    <t>17-43-24-c3-05781.0270</t>
  </si>
  <si>
    <t xml:space="preserve">4875 Teak Wood Dr #7303, Naples, FL 34119-2501 </t>
  </si>
  <si>
    <t>Raffino Family</t>
  </si>
  <si>
    <t xml:space="preserve">4156 NE 10th Ave  Cape Coral, FL 33909 </t>
  </si>
  <si>
    <t xml:space="preserve">1532 NE 35th Ln  Cape Coral, FL 33909 </t>
  </si>
  <si>
    <t>Rajendra</t>
  </si>
  <si>
    <t>Dominio</t>
  </si>
  <si>
    <t>29-43-24-c3-02271.0260</t>
  </si>
  <si>
    <t>20-43-24-c4-05633.0430</t>
  </si>
  <si>
    <t>00976-3535</t>
  </si>
  <si>
    <t>Kim &amp; Linda Cotnoir</t>
  </si>
  <si>
    <t xml:space="preserve">904 NE 43rd Ter  Cape Coral, FL 33909 </t>
  </si>
  <si>
    <t xml:space="preserve">922 NE 34th St </t>
  </si>
  <si>
    <t xml:space="preserve">502 NE 15th Ter  Cape Coral, FL 33909 </t>
  </si>
  <si>
    <t>Cavalry Crossing</t>
  </si>
  <si>
    <t>Harald</t>
  </si>
  <si>
    <t xml:space="preserve">5201 Skylark Ct  Cape Coral, FL 33904 </t>
  </si>
  <si>
    <t>25-43-23-c1-02322.0390</t>
  </si>
  <si>
    <t xml:space="preserve">4035 NE 9th Ave </t>
  </si>
  <si>
    <t xml:space="preserve">2345 W Main St </t>
  </si>
  <si>
    <t>16-44-26-04-00003.0230</t>
  </si>
  <si>
    <t>Benito Perez</t>
  </si>
  <si>
    <t>33145-1122</t>
  </si>
  <si>
    <t>33905-7734</t>
  </si>
  <si>
    <t xml:space="preserve">3810 Kittyhawk Dr  Fort Myers, FL 33905 </t>
  </si>
  <si>
    <t>Soniya</t>
  </si>
  <si>
    <t>OR</t>
  </si>
  <si>
    <t>Patrick &amp; Larisa Bavaro</t>
  </si>
  <si>
    <t xml:space="preserve">1205 NE 12th St </t>
  </si>
  <si>
    <t>Faithann</t>
  </si>
  <si>
    <t xml:space="preserve">8581 SW 29th St </t>
  </si>
  <si>
    <t>08724-4902</t>
  </si>
  <si>
    <t xml:space="preserve">3409 NE 13th Pl  Cape Coral, FL 33909 </t>
  </si>
  <si>
    <t>32-43-24-c1-02183.0400</t>
  </si>
  <si>
    <t>05-44-24-c2-03516.0170</t>
  </si>
  <si>
    <t xml:space="preserve">7370 Spartan Blvd E B </t>
  </si>
  <si>
    <t>Callie</t>
  </si>
  <si>
    <t>Reid</t>
  </si>
  <si>
    <t xml:space="preserve">149 Morse Point Pl  Oakland, ME 04963-4708 </t>
  </si>
  <si>
    <t>Bremser</t>
  </si>
  <si>
    <t>Cape Coral Unit 33 Blk 2286 Pb 16 Pg 60 Lots 3 + 4</t>
  </si>
  <si>
    <t xml:space="preserve">PO Box 1363  Whitefish, MT 59937-1363 </t>
  </si>
  <si>
    <t>33909-1407</t>
  </si>
  <si>
    <t>Jakubowicz</t>
  </si>
  <si>
    <t xml:space="preserve">287 Route De Lagnes </t>
  </si>
  <si>
    <t>Legall</t>
  </si>
  <si>
    <t xml:space="preserve">2210 NE 23rd Pl </t>
  </si>
  <si>
    <t>33909-4565</t>
  </si>
  <si>
    <t>Humberto Suarez &amp; Maria Castellanos</t>
  </si>
  <si>
    <t>C053</t>
  </si>
  <si>
    <t>Mccloskey</t>
  </si>
  <si>
    <t xml:space="preserve">4445 County Road 25 </t>
  </si>
  <si>
    <t xml:space="preserve">1400 NE 19th Ave </t>
  </si>
  <si>
    <t>34-43-24-01-00047.0170</t>
  </si>
  <si>
    <t>33905-8707</t>
  </si>
  <si>
    <t>33909-1799</t>
  </si>
  <si>
    <t>Henness</t>
  </si>
  <si>
    <t xml:space="preserve">190 Cape Shores Cir 5h </t>
  </si>
  <si>
    <t xml:space="preserve">137 Summit Ridge Dr  Brandon, MS 39042-2063 </t>
  </si>
  <si>
    <t>Meadow Run</t>
  </si>
  <si>
    <t xml:space="preserve">2610 NE 3rd Ave  Cape Coral, FL 33909 </t>
  </si>
  <si>
    <t>R070</t>
  </si>
  <si>
    <t>33172-5037</t>
  </si>
  <si>
    <t>Uturoa Tahiti</t>
  </si>
  <si>
    <t>Joseph &amp; Reem Tarantino</t>
  </si>
  <si>
    <t>Acs</t>
  </si>
  <si>
    <t>Sandy</t>
  </si>
  <si>
    <t xml:space="preserve">5 Russell Ave  Portland, CT 06480-1434 </t>
  </si>
  <si>
    <t xml:space="preserve">1106 NE 5th Pl </t>
  </si>
  <si>
    <t>29-43-24-c3-02272.0060</t>
  </si>
  <si>
    <t>20-43-24-c4-05634.0230</t>
  </si>
  <si>
    <t>Egypt Lake-Leto</t>
  </si>
  <si>
    <t>12144-9611</t>
  </si>
  <si>
    <t xml:space="preserve">338 NE 20th St  Cape Coral, FL 33909 </t>
  </si>
  <si>
    <t xml:space="preserve">12601 River Rd </t>
  </si>
  <si>
    <t>18-43-24-c3-05711.0090</t>
  </si>
  <si>
    <t>33909-8304</t>
  </si>
  <si>
    <t>Cape Coral Unit 84 Blk 5612 Pb 24 Pg 36 Lots 15 + 16</t>
  </si>
  <si>
    <t xml:space="preserve">1784 Vidalia Ct </t>
  </si>
  <si>
    <t>Holmes</t>
  </si>
  <si>
    <t>Jarrin</t>
  </si>
  <si>
    <t>36-43-23-c1-02519.0030</t>
  </si>
  <si>
    <t>Jeffrey &amp; Erika Covely</t>
  </si>
  <si>
    <t>Gary Kirk</t>
  </si>
  <si>
    <t>33909-5538</t>
  </si>
  <si>
    <t>Mathew</t>
  </si>
  <si>
    <t>Garvey</t>
  </si>
  <si>
    <t>Cape Coral Unit 31 Blk 2069 Pb 14 Pg 160 Lots 65 + 66</t>
  </si>
  <si>
    <t>06-44-24-c4-02046.0050</t>
  </si>
  <si>
    <t xml:space="preserve">1412 Powell Ave  Erie, PA 16505-3336 </t>
  </si>
  <si>
    <t xml:space="preserve">9518 Community Centre Rd  Baltimore, ON K0k 1C0 </t>
  </si>
  <si>
    <t>33904-2722</t>
  </si>
  <si>
    <t>Occhipinti</t>
  </si>
  <si>
    <t>11-44-25-11-00000.0650</t>
  </si>
  <si>
    <t>Katia</t>
  </si>
  <si>
    <t>Cape Coral Unit 47 Pt 2 Blk 3540 Pb 23 Pg 117 Lots 46 + 47</t>
  </si>
  <si>
    <t>Rodez</t>
  </si>
  <si>
    <t>Albert &amp; For Urick</t>
  </si>
  <si>
    <t xml:space="preserve">3127 NE 14th Ave  Cape Coral, FL 33909 </t>
  </si>
  <si>
    <t>Cypress Woods Rv Resort Un 3 Desc In Pb 72 Pgs 92-95 Blk C Lot 78</t>
  </si>
  <si>
    <t>Alimario</t>
  </si>
  <si>
    <t>77459-7271</t>
  </si>
  <si>
    <t>Soundview</t>
  </si>
  <si>
    <t>Diego Cedeno</t>
  </si>
  <si>
    <t>David &amp; Debra Decenzo</t>
  </si>
  <si>
    <t>33909-3342</t>
  </si>
  <si>
    <t>30096-6190</t>
  </si>
  <si>
    <t xml:space="preserve">18321 SW 135th Ave </t>
  </si>
  <si>
    <t>Grand River</t>
  </si>
  <si>
    <t>16-44-25-03-0000c.0250</t>
  </si>
  <si>
    <t>Orwigsburg</t>
  </si>
  <si>
    <t>Fattler &amp; Fattier Wolfgang</t>
  </si>
  <si>
    <t>25-43-23-c3-02355.0760</t>
  </si>
  <si>
    <t>Richard &amp; Christine Damerow</t>
  </si>
  <si>
    <t>Hung Vanvannguyen &amp; Thi Ha</t>
  </si>
  <si>
    <t>Paul Carlin</t>
  </si>
  <si>
    <t>Thi</t>
  </si>
  <si>
    <t>Cape Coral Unit 47 Part 2 Blk.3511 Pb 23 Pg 122 Lots 1 + 2</t>
  </si>
  <si>
    <t>Cypress Woods Rv Resort Un 3 Desc In Pb 72 Pgs 92-95 Blk C Lot 119</t>
  </si>
  <si>
    <t>Strub</t>
  </si>
  <si>
    <t>PO Box 160941</t>
  </si>
  <si>
    <t>Im Fasanengarten</t>
  </si>
  <si>
    <t>Mabel Thorson</t>
  </si>
  <si>
    <t>Warsaw</t>
  </si>
  <si>
    <t xml:space="preserve">600 Kismet Pkwy E  Cape Coral, FL 33909 </t>
  </si>
  <si>
    <t>Rawlins</t>
  </si>
  <si>
    <t xml:space="preserve">3724 Teakwood St  Fort Myers, FL 33905 </t>
  </si>
  <si>
    <t>Stanley &amp; Etelka Jakubowicz</t>
  </si>
  <si>
    <t>Cape Coral Unit 33 Blk 2287 Pb 16 Pg 57 Lots 7 + 8</t>
  </si>
  <si>
    <t xml:space="preserve">331 Wolcott Ave </t>
  </si>
  <si>
    <t>33909-4315</t>
  </si>
  <si>
    <t>Octavio Romero</t>
  </si>
  <si>
    <t xml:space="preserve">4221 Lazy Acres Rd </t>
  </si>
  <si>
    <t>11-44-25-l1-1400b.4470</t>
  </si>
  <si>
    <t xml:space="preserve">Po Box 5006 </t>
  </si>
  <si>
    <t>Sebouh</t>
  </si>
  <si>
    <t>Vivas</t>
  </si>
  <si>
    <t xml:space="preserve">3337 NE 18th Ave  Cape Coral, FL 33909 </t>
  </si>
  <si>
    <t>Trl</t>
  </si>
  <si>
    <t>03-44-26-06-00031.0180</t>
  </si>
  <si>
    <t>Stanton</t>
  </si>
  <si>
    <t xml:space="preserve">1247 NE 40th St </t>
  </si>
  <si>
    <t>Cape Coral Unit 33 Blk.2223 Pb 16 Pg 43 Lots 49 + 50</t>
  </si>
  <si>
    <t xml:space="preserve">2236 Nicholas Ct </t>
  </si>
  <si>
    <t>De Garcia</t>
  </si>
  <si>
    <t xml:space="preserve">3581 NE 9th Pl  Cape Coral, FL 33909 </t>
  </si>
  <si>
    <t>Pamplin</t>
  </si>
  <si>
    <t>33908-3003</t>
  </si>
  <si>
    <t>44240-5622</t>
  </si>
  <si>
    <t>Ronnie &amp; Fayrene Gibson</t>
  </si>
  <si>
    <t xml:space="preserve">3036 Bathurst St #518, Toronto, ON M6b 4K1 </t>
  </si>
  <si>
    <t>Law</t>
  </si>
  <si>
    <t xml:space="preserve">3725 SE 13th Ave  Cape Coral, FL 33904 </t>
  </si>
  <si>
    <t xml:space="preserve">Po Box 86 </t>
  </si>
  <si>
    <t>55309-8935</t>
  </si>
  <si>
    <t>Renollett</t>
  </si>
  <si>
    <t>Turnbull</t>
  </si>
  <si>
    <t xml:space="preserve">3856 Heyburn St  Fort Myers, FL 33905 </t>
  </si>
  <si>
    <t xml:space="preserve">PO Box 6802  Harrisburg, PA 17112 </t>
  </si>
  <si>
    <t xml:space="preserve">7135 Falls Rd E </t>
  </si>
  <si>
    <t>07631-1943</t>
  </si>
  <si>
    <t xml:space="preserve">842 Lilly Ln  Trenton, NJ 08638-2000 </t>
  </si>
  <si>
    <t>M4C 3Z1</t>
  </si>
  <si>
    <t>Cape Coral Unit 84 Blk 5554 Pb 24 Pg 31 Lots 9 + 10</t>
  </si>
  <si>
    <t xml:space="preserve">25 Old Somerset Rd </t>
  </si>
  <si>
    <t>Deerfield Beach</t>
  </si>
  <si>
    <t xml:space="preserve">Jan Van Puyenbroecklaan #57, Schoten, BE </t>
  </si>
  <si>
    <t xml:space="preserve">4226 NE 23rd Pl </t>
  </si>
  <si>
    <t xml:space="preserve">22102 Gault St </t>
  </si>
  <si>
    <t>Flaviano</t>
  </si>
  <si>
    <t>Jaime Villalobos</t>
  </si>
  <si>
    <t xml:space="preserve">2523 NE 6th Ave </t>
  </si>
  <si>
    <t>Cape Coral Unit 34 Blk 2444 Pb 16 Pg 75 Lots 44 + 45</t>
  </si>
  <si>
    <t>PO Box 5006</t>
  </si>
  <si>
    <t>Cape Coral Unit 31 Blk 2089 Pb 14 Pg 162 Lots 45 + 46</t>
  </si>
  <si>
    <t>Gailliard</t>
  </si>
  <si>
    <t>19-43-24-c3-05623.0290</t>
  </si>
  <si>
    <t xml:space="preserve">1423 SE 32nd Ter </t>
  </si>
  <si>
    <t>H064</t>
  </si>
  <si>
    <t xml:space="preserve">1302 NE 9th Ave </t>
  </si>
  <si>
    <t>Nottingham</t>
  </si>
  <si>
    <t xml:space="preserve">8731 254th St </t>
  </si>
  <si>
    <t>Cape Coral Unit 31 Blk 2045 Pb 14 Pg 154 Lots 11 + 12</t>
  </si>
  <si>
    <t xml:space="preserve">10010 Chestnut Wood Ln </t>
  </si>
  <si>
    <t xml:space="preserve">3604 SE Santa Barbara Pl  Cape Coral, FL 33904 </t>
  </si>
  <si>
    <t xml:space="preserve">3712 NE 14th Pl </t>
  </si>
  <si>
    <t xml:space="preserve">9326 215th Pl </t>
  </si>
  <si>
    <t>Barrelwood</t>
  </si>
  <si>
    <t xml:space="preserve">8751 Lakefront Ct  Fort Myers, FL 33908 </t>
  </si>
  <si>
    <t xml:space="preserve">94 Skyline Dr </t>
  </si>
  <si>
    <t>33021-5810</t>
  </si>
  <si>
    <t>Waxhaw</t>
  </si>
  <si>
    <t>Masaitis</t>
  </si>
  <si>
    <t>Anna Ogden</t>
  </si>
  <si>
    <t xml:space="preserve">5506 Cypress Trail Resort Cir </t>
  </si>
  <si>
    <t>Helms</t>
  </si>
  <si>
    <t>P</t>
  </si>
  <si>
    <t xml:space="preserve">21 NE 23rd Ter  Cape Coral, FL 33909 </t>
  </si>
  <si>
    <t>33909-6250</t>
  </si>
  <si>
    <t>Stacy Brown</t>
  </si>
  <si>
    <t xml:space="preserve">620 Boston Post Rd  Old Saybrook, CT 06475-1571 </t>
  </si>
  <si>
    <t>31-43-24-c3-02123.0410</t>
  </si>
  <si>
    <t>Cape Coral Unit 36 Pt 1 Blk 2146 Pb 23 Pg 92 Lots 65 + 66</t>
  </si>
  <si>
    <t>91711-5436</t>
  </si>
  <si>
    <t xml:space="preserve">5182 Cypress Trail Resort Cir  Fort Myers, FL 33905 </t>
  </si>
  <si>
    <t xml:space="preserve">191 Saint Nicholas Ave 7d, New York, NY 10026-1239 </t>
  </si>
  <si>
    <t>Schwenksville</t>
  </si>
  <si>
    <t xml:space="preserve">14838 Cranoke St  Centreville, VA 20120-1527 </t>
  </si>
  <si>
    <t xml:space="preserve">9501 SW 66th St </t>
  </si>
  <si>
    <t xml:space="preserve">Po Box 1110 </t>
  </si>
  <si>
    <t>Cape Coral Unit 36 Blk 2517 Pb 16 Pg 116 Lots 77 + 78</t>
  </si>
  <si>
    <t>33909-8931</t>
  </si>
  <si>
    <t xml:space="preserve">19 Hemlock St </t>
  </si>
  <si>
    <t>Craig &amp; Amanda Schrader</t>
  </si>
  <si>
    <t>Cape Coral Unit 33 Blk.2229 Pb 16 Pg 47 Lots 3 + 4</t>
  </si>
  <si>
    <t xml:space="preserve">2911 NE 2nd Pl  Cape Coral, FL 33909 </t>
  </si>
  <si>
    <t xml:space="preserve">2916 NE 6th Pl </t>
  </si>
  <si>
    <t xml:space="preserve">3624 NE 9th Ave </t>
  </si>
  <si>
    <t>North Tonawanda</t>
  </si>
  <si>
    <t>07-44-24-c3-01495.0180</t>
  </si>
  <si>
    <t>Schertler</t>
  </si>
  <si>
    <t>33909-2718</t>
  </si>
  <si>
    <t>Cypress Woods Rv Resort Desc In Inst#2006-358211 Lot 167</t>
  </si>
  <si>
    <t xml:space="preserve">1910 NE 8th Pl </t>
  </si>
  <si>
    <t>25-43-23-c4-02306.0050</t>
  </si>
  <si>
    <t xml:space="preserve">333 NE 29th St </t>
  </si>
  <si>
    <t xml:space="preserve">4265 80th St 2e </t>
  </si>
  <si>
    <t xml:space="preserve">6121 Gallegos Dr  West Lafayette, IN 47906-5798 </t>
  </si>
  <si>
    <t>Cape Coral Unit 31 Blk 2046 Pb 14 Pg 154 Lots 34 Thru 36</t>
  </si>
  <si>
    <t xml:space="preserve">903 SW 124th St </t>
  </si>
  <si>
    <t xml:space="preserve">10006 Parkwood Dr  Fort Myers, FL 33905 </t>
  </si>
  <si>
    <t xml:space="preserve">69 Mcpherson Cir </t>
  </si>
  <si>
    <t>Dan Oleary &amp; Martin Roman</t>
  </si>
  <si>
    <t>Capistrano Beach</t>
  </si>
  <si>
    <t>26330-1347</t>
  </si>
  <si>
    <t>06-45-24-c2-00602.0440</t>
  </si>
  <si>
    <t>Cape Coral Unit 36 Blk 2536 Pb 16 Pg 118 Lots 34 + 35</t>
  </si>
  <si>
    <t>Dekeyser</t>
  </si>
  <si>
    <t>Fong Yen &amp; Mu May</t>
  </si>
  <si>
    <t>Vickson</t>
  </si>
  <si>
    <t>18-43-24-c2-05736.0530</t>
  </si>
  <si>
    <t>Reed Carol B Tr</t>
  </si>
  <si>
    <t xml:space="preserve">11284 Barnsley Way </t>
  </si>
  <si>
    <t xml:space="preserve">2307 NE 16th Ter </t>
  </si>
  <si>
    <t>NB</t>
  </si>
  <si>
    <t>Carey</t>
  </si>
  <si>
    <t xml:space="preserve">3852 Ivy Ct </t>
  </si>
  <si>
    <t>Marlin</t>
  </si>
  <si>
    <t>Lewis Seifert</t>
  </si>
  <si>
    <t>Arverne</t>
  </si>
  <si>
    <t>Frese</t>
  </si>
  <si>
    <t>44056-1461</t>
  </si>
  <si>
    <t xml:space="preserve">3300 NE 9th Ave  Cape Coral, FL 33909 </t>
  </si>
  <si>
    <t>Madelaine</t>
  </si>
  <si>
    <t>Hector Castaneda &amp; Dina Estevez</t>
  </si>
  <si>
    <t>48043-1475</t>
  </si>
  <si>
    <t>Cypress Woods Rv Resort Ut 1 Pb 65 Pg 85 + 86 Blk B Lot 91</t>
  </si>
  <si>
    <t>02536-5234</t>
  </si>
  <si>
    <t>Nelson &amp; Aurora Sanchez</t>
  </si>
  <si>
    <t>Huntingdale</t>
  </si>
  <si>
    <t>Wildecroft</t>
  </si>
  <si>
    <t xml:space="preserve">10011 Rambelwood Ct </t>
  </si>
  <si>
    <t xml:space="preserve">6503 N Military Trl #3505, Boca Raton, FL 33496-2615 </t>
  </si>
  <si>
    <t xml:space="preserve">1402 NE 1st Pl  Cape Coral, FL 33909 </t>
  </si>
  <si>
    <t>For Berenice Trust</t>
  </si>
  <si>
    <t xml:space="preserve">2324 NE 39th Ter  Cape Coral, FL 33909 </t>
  </si>
  <si>
    <t>Grace Viado</t>
  </si>
  <si>
    <t>American &amp; Tamara Pinnick</t>
  </si>
  <si>
    <t xml:space="preserve">2119 Kismet Pkwy E </t>
  </si>
  <si>
    <t xml:space="preserve">135 Donrene Rd </t>
  </si>
  <si>
    <t>33908-8303</t>
  </si>
  <si>
    <t xml:space="preserve">245 Great Kills Rd </t>
  </si>
  <si>
    <t xml:space="preserve">1760 Bruckner Blvd 14b, Bronx, NY 10473-3711 </t>
  </si>
  <si>
    <t>Kingdom &amp; Kevin Johnson</t>
  </si>
  <si>
    <t>Aili</t>
  </si>
  <si>
    <t>Holcomb</t>
  </si>
  <si>
    <t xml:space="preserve">1805 NW 89th Ter 109-4, Miami, FL 33147-3646 </t>
  </si>
  <si>
    <t xml:space="preserve">3701 NE 4th St </t>
  </si>
  <si>
    <t xml:space="preserve">1819 NE 22nd St  Cape Coral, FL 33909 </t>
  </si>
  <si>
    <t>Cape Coral Unit 87 Blk 5748 Pb 24 Pg 71 Lot 37</t>
  </si>
  <si>
    <t>25-43-23-c2-02316.0490</t>
  </si>
  <si>
    <t>Rowel</t>
  </si>
  <si>
    <t>33909-4653</t>
  </si>
  <si>
    <t>01-44-23-c3-02425.0180</t>
  </si>
  <si>
    <t xml:space="preserve">719 Thrush Ave </t>
  </si>
  <si>
    <t>02840-3590</t>
  </si>
  <si>
    <t xml:space="preserve">5805 W 13th Ct  Hialeah, FL 33012-6305 </t>
  </si>
  <si>
    <t xml:space="preserve">1529 NE 13th Ave  Cape Coral, FL 33909 </t>
  </si>
  <si>
    <t>10704-1406</t>
  </si>
  <si>
    <t>Cape Coral Unit 36 Pt 1 Blk 2484 Pb 23 Pg 89 Lots 23 + 24</t>
  </si>
  <si>
    <t>33909-1206</t>
  </si>
  <si>
    <t>Cypress Woods Rv Resort Ut 1 Pb 65 Pg 85 + 86 Blk B Lot 9</t>
  </si>
  <si>
    <t>April</t>
  </si>
  <si>
    <t xml:space="preserve">9822 SW 145th Pl </t>
  </si>
  <si>
    <t>36-43-23-c2-02523.0200</t>
  </si>
  <si>
    <t xml:space="preserve">6320 Arbor Ave </t>
  </si>
  <si>
    <t xml:space="preserve">12 Idrettsvegen  Bristol, CT 06011 </t>
  </si>
  <si>
    <t>33909-4364</t>
  </si>
  <si>
    <t xml:space="preserve">11666 NW 91st Ave </t>
  </si>
  <si>
    <t xml:space="preserve">3318 NE 9th Ave </t>
  </si>
  <si>
    <t xml:space="preserve">W71n360 Foxpointe Ave  Cedarburg, WI 53012-2229 </t>
  </si>
  <si>
    <t>Georgia Brown</t>
  </si>
  <si>
    <t>Acosta</t>
  </si>
  <si>
    <t xml:space="preserve">1607 NE 36th Ln  Cape Coral, FL 33909 </t>
  </si>
  <si>
    <t xml:space="preserve">1329 NE 39th St </t>
  </si>
  <si>
    <t>Koshy Thomas &amp; Sheeba Koshy</t>
  </si>
  <si>
    <t xml:space="preserve">1823 NE 21st Ave </t>
  </si>
  <si>
    <t>Twyla</t>
  </si>
  <si>
    <t xml:space="preserve">1627 NE 16th Ter  Cape Coral, FL 33909 </t>
  </si>
  <si>
    <t xml:space="preserve">500 NE 20th Ter  Cape Coral, FL 33909 </t>
  </si>
  <si>
    <t xml:space="preserve">137 Lakend Rd  Newfoundland, NJ 07435 </t>
  </si>
  <si>
    <t xml:space="preserve">1422 Weeping Willow Ct  Cape Coral, FL 33909 </t>
  </si>
  <si>
    <t>Riedstadt</t>
  </si>
  <si>
    <t>Cypress Trail Rv Resort Phase 2-B As Desc In Inst# 2015000013050 Lot 411</t>
  </si>
  <si>
    <t>Alonso</t>
  </si>
  <si>
    <t>40165-7335</t>
  </si>
  <si>
    <t>H010</t>
  </si>
  <si>
    <t>33905-1805</t>
  </si>
  <si>
    <t>Pine Castle</t>
  </si>
  <si>
    <t>Stewart-Thomas</t>
  </si>
  <si>
    <t xml:space="preserve">2305 NE 20th Ter </t>
  </si>
  <si>
    <t>Ora</t>
  </si>
  <si>
    <t xml:space="preserve">19 Via Socrate Sardelli </t>
  </si>
  <si>
    <t xml:space="preserve">920 NE 11th Ave  Cape Coral, FL 33909 </t>
  </si>
  <si>
    <t xml:space="preserve">2208 NE Juanita Pl  Cape Coral, FL 33909 </t>
  </si>
  <si>
    <t xml:space="preserve">506 NE 19th Ct </t>
  </si>
  <si>
    <t xml:space="preserve">2305 NE 19th Pl  Cape Coral, FL 33909 </t>
  </si>
  <si>
    <t>33905-6310</t>
  </si>
  <si>
    <t>Maria T Teeple &amp; Michael Teeple</t>
  </si>
  <si>
    <t>16-44-26-01-00031.0000</t>
  </si>
  <si>
    <t>17-44-25-p2-02103.0050</t>
  </si>
  <si>
    <t xml:space="preserve">22937 185th St NW  Big Lake, MN 55309-8935 </t>
  </si>
  <si>
    <t xml:space="preserve">1234 Capra Way  Fallbrook, CA 92028-9244 </t>
  </si>
  <si>
    <t>Rochester Hills</t>
  </si>
  <si>
    <t xml:space="preserve">43 Douglas Ave </t>
  </si>
  <si>
    <t>25-43-23-c2-02317.0290</t>
  </si>
  <si>
    <t>Cape Coral Unit 34 Blk 2438 Pb 16 Pg 81 Lots 13 + 14</t>
  </si>
  <si>
    <t>25-43-23-c1-02300.b410</t>
  </si>
  <si>
    <t xml:space="preserve">Psc 819 Box 1893R  Fpo, AE 09645 </t>
  </si>
  <si>
    <t>Cape Coral Ut 87 Blk 5698 Pb 24 Pg 75 Lots 49 + 50</t>
  </si>
  <si>
    <t xml:space="preserve">9806 Emnora Ln  Houston, TX 77080-5233 </t>
  </si>
  <si>
    <t xml:space="preserve">3413 NE 12th Ave  Cape Coral, FL 33909 </t>
  </si>
  <si>
    <t>Lehigh Acres Unit 4 Blk 18 Pb 26 Pg 6 Lot 15</t>
  </si>
  <si>
    <t>33018-2124</t>
  </si>
  <si>
    <t>Cape Coral Unit 85 Blk 5638 Pb 24 Pg 50 Lots 1 + 2</t>
  </si>
  <si>
    <t>33040-4157</t>
  </si>
  <si>
    <t>Lehigh Acres Ut 14 E Pt Blk 81 Pb 26 Pg 19 Lot 20</t>
  </si>
  <si>
    <t>Candace</t>
  </si>
  <si>
    <t xml:space="preserve">1019 Avenida Guardia Civil  San Isidro Lima, PE </t>
  </si>
  <si>
    <t>Cape Coral Unit 31 Blk 2097 Pb 14 Pg 163 Lots 51 52 + 53</t>
  </si>
  <si>
    <t>33905-6021</t>
  </si>
  <si>
    <t xml:space="preserve">6239 Lavery Crt </t>
  </si>
  <si>
    <t>State Route 121</t>
  </si>
  <si>
    <t xml:space="preserve">1822 NE 22nd Ter  Cape Coral, FL 33909 </t>
  </si>
  <si>
    <t xml:space="preserve">711 NE 6th Ter </t>
  </si>
  <si>
    <t>112th</t>
  </si>
  <si>
    <t>01-44-23-c3-02392.0250</t>
  </si>
  <si>
    <t>Winch</t>
  </si>
  <si>
    <t>Running Pine</t>
  </si>
  <si>
    <t>Shea</t>
  </si>
  <si>
    <t xml:space="preserve">8352 Talbot St 1h </t>
  </si>
  <si>
    <t>Diana</t>
  </si>
  <si>
    <t xml:space="preserve">224 Solitude Ln  Murphy, NC 28906-2040 </t>
  </si>
  <si>
    <t>Bohnert</t>
  </si>
  <si>
    <t>33708-3658</t>
  </si>
  <si>
    <t xml:space="preserve">9503 Pine Rd  Philadelphia, PA 19115-2701 </t>
  </si>
  <si>
    <t>19-43-24-c3-05620.0150</t>
  </si>
  <si>
    <t>Bruce Roylance</t>
  </si>
  <si>
    <t xml:space="preserve">124 NE 25th St  Cape Coral, FL 33909 </t>
  </si>
  <si>
    <t xml:space="preserve">40 Wildwood Dr  Needham, MA 02492-2736 </t>
  </si>
  <si>
    <t>04-44-24-00-00023.0020</t>
  </si>
  <si>
    <t>Mitchell &amp; Jacquline Hobbs</t>
  </si>
  <si>
    <t>Cecilia Sanchez</t>
  </si>
  <si>
    <t xml:space="preserve">445 Lake Ave  Saint Paul, MN 55110-1629 </t>
  </si>
  <si>
    <t>Oleary</t>
  </si>
  <si>
    <t xml:space="preserve">4 Hiawatha Dr  Westfield, NJ 07090-2912 </t>
  </si>
  <si>
    <t>R179</t>
  </si>
  <si>
    <t xml:space="preserve">1569 Fairview Beach Rd </t>
  </si>
  <si>
    <t xml:space="preserve">500 Layne Blvd #15 </t>
  </si>
  <si>
    <t>Satya</t>
  </si>
  <si>
    <t>Stonecrest</t>
  </si>
  <si>
    <t>Bancroft</t>
  </si>
  <si>
    <t xml:space="preserve">10000 NW 80th Ct #2125 </t>
  </si>
  <si>
    <t>30-43-26-02-00029.0540</t>
  </si>
  <si>
    <t xml:space="preserve">605 SW 47th Ter </t>
  </si>
  <si>
    <t>Gur</t>
  </si>
  <si>
    <t>33175-4009</t>
  </si>
  <si>
    <t xml:space="preserve">16 Classmannstr  Cairo, MO 65239 </t>
  </si>
  <si>
    <t>PO Box 6802</t>
  </si>
  <si>
    <t>32-43-24-c3-02230.0210</t>
  </si>
  <si>
    <t xml:space="preserve">172 High Clear Dr </t>
  </si>
  <si>
    <t xml:space="preserve">1618 NE 1st Ave  Cape Coral, FL 33909 </t>
  </si>
  <si>
    <t xml:space="preserve">1324 NE 20th St  Cape Coral, FL 33909 </t>
  </si>
  <si>
    <t>Oakville</t>
  </si>
  <si>
    <t xml:space="preserve">1620 NE 17th Ter  Cape Coral, FL 33909 </t>
  </si>
  <si>
    <t>Garry Watkins</t>
  </si>
  <si>
    <t xml:space="preserve">6152 Stonehaven Ct </t>
  </si>
  <si>
    <t xml:space="preserve">1336 NE 34th St  Cape Coral, FL 33909 </t>
  </si>
  <si>
    <t xml:space="preserve">1306 NE 16th Ter </t>
  </si>
  <si>
    <t>Gamalier Concepcion</t>
  </si>
  <si>
    <t xml:space="preserve">2699 Ocean Ave </t>
  </si>
  <si>
    <t xml:space="preserve">11551 Bubble Shell Dr  Fort Myers, FL 33908 </t>
  </si>
  <si>
    <t xml:space="preserve">Karl Marx Damm #89 </t>
  </si>
  <si>
    <t>Nelson Lancashire</t>
  </si>
  <si>
    <t xml:space="preserve">1801 NE Juanita Pl  Cape Coral, FL 33909 </t>
  </si>
  <si>
    <t>Cape Coral Unit 36 Pt 1 Blk 2513 Pb 23 Pg 88 Lots 14 + 15</t>
  </si>
  <si>
    <t xml:space="preserve">3251 NE 9th Ave </t>
  </si>
  <si>
    <t>Cape Coral Unit 87 Blk 5691 Pb 24 Pg 83 Lots 49 + 50</t>
  </si>
  <si>
    <t>33909-6506</t>
  </si>
  <si>
    <t>Cape Coral Unit 36 Blk 2300A Pb 16 Pg 125 Lot 56</t>
  </si>
  <si>
    <t>Cape Coral Unit 33 Blk.2251 Pb 16 Pg 58 Lots 1 + 2</t>
  </si>
  <si>
    <t>Joseph Deshane</t>
  </si>
  <si>
    <t>PO Box 398748</t>
  </si>
  <si>
    <t>Buckingham Pk Re Blk B U-4 Blk 22 Pb 27 Pg 192 Lot 5</t>
  </si>
  <si>
    <t>Cape Coral Unit 84 Blk 5566 Pb 24 Pg 38 Lots 13 + 14</t>
  </si>
  <si>
    <t>01-44-23-c1-02461.0550</t>
  </si>
  <si>
    <t>George Adamson</t>
  </si>
  <si>
    <t xml:space="preserve">13514 Caribbean Blvd </t>
  </si>
  <si>
    <t>Cypress Trail Rv Resort As Desc In Inst# 2013000212499 Lot 259</t>
  </si>
  <si>
    <t>Andrew &amp; Esther Meleky</t>
  </si>
  <si>
    <t>Neufeldt</t>
  </si>
  <si>
    <t xml:space="preserve">5241 SW 88th Ter  Cooper City, FL 33328-5106 </t>
  </si>
  <si>
    <t>33904-3401</t>
  </si>
  <si>
    <t xml:space="preserve">2004 NE 15th Pl </t>
  </si>
  <si>
    <t>Millbrook</t>
  </si>
  <si>
    <t>Cape Coral Unit 21 Blk 616 Pb 13 Pg 150 Lots 9 + 10</t>
  </si>
  <si>
    <t xml:space="preserve">3829 Hyde Park Dr </t>
  </si>
  <si>
    <t xml:space="preserve">39 Pilot Ln  Staten Island, NY 10309-2847 </t>
  </si>
  <si>
    <t>33909-4310</t>
  </si>
  <si>
    <t>Knies</t>
  </si>
  <si>
    <t xml:space="preserve">2014 NE 9th Ave </t>
  </si>
  <si>
    <t>28409-9177</t>
  </si>
  <si>
    <t>12-44-23-c3-03598.0530</t>
  </si>
  <si>
    <t>Stangle</t>
  </si>
  <si>
    <t xml:space="preserve">2734 NE 4th Pl </t>
  </si>
  <si>
    <t>33610-1229</t>
  </si>
  <si>
    <t xml:space="preserve">6111 Holt Ct  Fort Myers, FL 33905 </t>
  </si>
  <si>
    <t>Myra</t>
  </si>
  <si>
    <t>Eddie</t>
  </si>
  <si>
    <t>For Eleanor M Brown Trust</t>
  </si>
  <si>
    <t>Kathleen</t>
  </si>
  <si>
    <t xml:space="preserve">354 Harbor Rd  Staten Island, NY 10303-1820 </t>
  </si>
  <si>
    <t>Esposito</t>
  </si>
  <si>
    <t>10305-1437</t>
  </si>
  <si>
    <t xml:space="preserve">305 E Maitland Ln </t>
  </si>
  <si>
    <t>Cypress Woods Rv Resort Unit 4 Pb 79 Pgs 68-71 Blk D Lot 86</t>
  </si>
  <si>
    <t>33909-1255</t>
  </si>
  <si>
    <t>20-43-24-c1-05600.0410</t>
  </si>
  <si>
    <t>11-44-25-04-0000a.0060</t>
  </si>
  <si>
    <t>Wheatstone</t>
  </si>
  <si>
    <t xml:space="preserve">523 Clinton Ave E  Big Stone Gap, VA 24219-2984 </t>
  </si>
  <si>
    <t xml:space="preserve">401 NE 25th Ter </t>
  </si>
  <si>
    <t>36-43-23-c3-02503.0290</t>
  </si>
  <si>
    <t xml:space="preserve">1641 NW 26th Ave #5 </t>
  </si>
  <si>
    <t xml:space="preserve">6042 Houston Ave  Fort Myers, FL 33905 </t>
  </si>
  <si>
    <t>Almond</t>
  </si>
  <si>
    <t xml:space="preserve">918 NE 8th Pl </t>
  </si>
  <si>
    <t>49684-9555</t>
  </si>
  <si>
    <t>05-44-24-c4-03544.0310</t>
  </si>
  <si>
    <t>165th</t>
  </si>
  <si>
    <t>06801-2315</t>
  </si>
  <si>
    <t>Cape Coral Unit 32 Blk.2167 Pb 16 Pg 8 Lots 20 + 21</t>
  </si>
  <si>
    <t>Mccormick</t>
  </si>
  <si>
    <t>Katzovitz</t>
  </si>
  <si>
    <t xml:space="preserve">327 Racey Trai  Milton, ON L9t 0B2 </t>
  </si>
  <si>
    <t xml:space="preserve">2523 NE 5th Pl  Cape Coral, FL 33909 </t>
  </si>
  <si>
    <t>25-43-23-c1-02326.0620</t>
  </si>
  <si>
    <t>Francisco Guerra &amp; Doris Ruiz</t>
  </si>
  <si>
    <t>Perminus</t>
  </si>
  <si>
    <t xml:space="preserve">3419 S Ocean Blvd C </t>
  </si>
  <si>
    <t>Cypress Woods Rv Resort Ut 1 Pb 65 Pg 85 + 86 Blk B Lot 58</t>
  </si>
  <si>
    <t xml:space="preserve">PO Box 267  Athens, IL 62613 </t>
  </si>
  <si>
    <t>33904-4766</t>
  </si>
  <si>
    <t>33950-5900</t>
  </si>
  <si>
    <t>From Se Cor Govt Lot 4 Run N 561 Ft Th Due W To A Pt On Nw R/W Mcgregor Blvd Th</t>
  </si>
  <si>
    <t>Rich</t>
  </si>
  <si>
    <t xml:space="preserve">4801 Bartletts Vision Dr </t>
  </si>
  <si>
    <t>Holiday Travel Park Rv Condo Ph 1 Or 1557 Pg 1583 Unit 305</t>
  </si>
  <si>
    <t>17-43-24-c3-05787.0350</t>
  </si>
  <si>
    <t xml:space="preserve">1714 NE 28th St </t>
  </si>
  <si>
    <t>Monroe</t>
  </si>
  <si>
    <t>Cape Coral Unit 36 Blk 2530 Pb 16 Pg 117 Lots 42 + 43</t>
  </si>
  <si>
    <t>Robbinsville</t>
  </si>
  <si>
    <t>11-44-25-l1-1400a.1360</t>
  </si>
  <si>
    <t xml:space="preserve">13343 121st St </t>
  </si>
  <si>
    <t xml:space="preserve">153 SE 27th St </t>
  </si>
  <si>
    <t>Cape Coral Unit 33 Blk.2239 Pb 16 Pg 55 Lots 43 + 44</t>
  </si>
  <si>
    <t>Schwichtenberg</t>
  </si>
  <si>
    <t>46544-4624</t>
  </si>
  <si>
    <t xml:space="preserve">341 NE 14th Ter </t>
  </si>
  <si>
    <t xml:space="preserve">14200 Callan St </t>
  </si>
  <si>
    <t>01-44-23-c4-02418.0480</t>
  </si>
  <si>
    <t>Cape Coral Unit 85 Blk 5633 Pb 24 Pg 50 Lots 41 + 42</t>
  </si>
  <si>
    <t xml:space="preserve">7525 150th St NW  Clearwater, MN 55320-2195 </t>
  </si>
  <si>
    <t>08-44-24-c4-01534.0010</t>
  </si>
  <si>
    <t>K</t>
  </si>
  <si>
    <t xml:space="preserve">14545 Forest Hill Rd  Grand Ledge, MI 48837-9226 </t>
  </si>
  <si>
    <t>Januz &amp; Dorota Korzinski</t>
  </si>
  <si>
    <t xml:space="preserve">826 Violet St  Norristown, PA 19401-4021 </t>
  </si>
  <si>
    <t>34113-7708</t>
  </si>
  <si>
    <t>Jermaine</t>
  </si>
  <si>
    <t xml:space="preserve">4033 Andalusia Blvd </t>
  </si>
  <si>
    <t>Zwicker</t>
  </si>
  <si>
    <t>25-43-23-c1-02301.0300</t>
  </si>
  <si>
    <t>C108</t>
  </si>
  <si>
    <t xml:space="preserve">67 Mahalas Ln </t>
  </si>
  <si>
    <t>Everett &amp; Cynthia Noble</t>
  </si>
  <si>
    <t>33186-6118</t>
  </si>
  <si>
    <t>Gina</t>
  </si>
  <si>
    <t>James &amp; Anita Talon</t>
  </si>
  <si>
    <t>33317-2102</t>
  </si>
  <si>
    <t>R125</t>
  </si>
  <si>
    <t>Jerry Moore</t>
  </si>
  <si>
    <t>Candida Guia</t>
  </si>
  <si>
    <t>Cape Coral Unit 36 Blk 2337 Pb 16 Pg 124 Lots 1 + 2</t>
  </si>
  <si>
    <t>Cypress Trail Rv Resort Ph 4-B As Desc In Inst# 2017000057565 Lot 323</t>
  </si>
  <si>
    <t xml:space="preserve">2891 Route 22  Patterson, NY 12563-2228 </t>
  </si>
  <si>
    <t xml:space="preserve">2119 NE 17th Ave </t>
  </si>
  <si>
    <t>Cypress Woods Rv Resort Desc In Inst#2006-358211 Lot 162</t>
  </si>
  <si>
    <t>Stonewall Ridge</t>
  </si>
  <si>
    <t>20-43-26-00-00006.0370</t>
  </si>
  <si>
    <t xml:space="preserve">1108 NE 15th Ln </t>
  </si>
  <si>
    <t>20015-1917</t>
  </si>
  <si>
    <t xml:space="preserve">2600 Island Blvd #2804, Aventura, FL 33160-5273 </t>
  </si>
  <si>
    <t>Perry</t>
  </si>
  <si>
    <t xml:space="preserve">114 Meadow View Cir  Shohola, PA 18458-3445 </t>
  </si>
  <si>
    <t>C T C &amp; Judith Hempel</t>
  </si>
  <si>
    <t>Julieta</t>
  </si>
  <si>
    <t xml:space="preserve">1213 W Byron Ave </t>
  </si>
  <si>
    <t xml:space="preserve">913 NE 19th Ter </t>
  </si>
  <si>
    <t xml:space="preserve">2324 153rd Ln NW  Andover, MN 55304-2546 </t>
  </si>
  <si>
    <t>Sarki</t>
  </si>
  <si>
    <t xml:space="preserve">1025 NE 15th Ln  Cape Coral, FL 33909 </t>
  </si>
  <si>
    <t xml:space="preserve">4318 Garden Blvd  Cape Coral, FL 33909 </t>
  </si>
  <si>
    <t>Alluvial</t>
  </si>
  <si>
    <t xml:space="preserve">1837 Waterloo Rd </t>
  </si>
  <si>
    <t>03-44-26-04-00018.0150</t>
  </si>
  <si>
    <t>Lauren</t>
  </si>
  <si>
    <t>Cape Coral Unit 36 Blk 2345 Pb 16 Pg 121 Lots 30 + 31</t>
  </si>
  <si>
    <t>03-44-26-14-00077.0210</t>
  </si>
  <si>
    <t>George Ariz</t>
  </si>
  <si>
    <t xml:space="preserve">2462 S Lewis Ln </t>
  </si>
  <si>
    <t xml:space="preserve">2416 NE 24th Ave </t>
  </si>
  <si>
    <t xml:space="preserve">23 Meadow Ridge Rd  Temple, PA 19560-9706 </t>
  </si>
  <si>
    <t>33185-5198</t>
  </si>
  <si>
    <t xml:space="preserve">1615 SE 40th St  Cape Coral, FL 33904 </t>
  </si>
  <si>
    <t>33909-1005</t>
  </si>
  <si>
    <t>Arthur</t>
  </si>
  <si>
    <t>Shohalee</t>
  </si>
  <si>
    <t>Joaquin Bofill</t>
  </si>
  <si>
    <t>49684-7958</t>
  </si>
  <si>
    <t>25-43-23-c1-02329.0270</t>
  </si>
  <si>
    <t xml:space="preserve">1631 NE 35th St  Cape Coral, FL 33909 </t>
  </si>
  <si>
    <t>Steamboat Springs</t>
  </si>
  <si>
    <t>Erik</t>
  </si>
  <si>
    <t xml:space="preserve">1821 NE 6th Pl  Cape Coral, FL 33909 </t>
  </si>
  <si>
    <t xml:space="preserve">1801 NE 16th Pl </t>
  </si>
  <si>
    <t>Shane &amp; Brenda Sikkema</t>
  </si>
  <si>
    <t xml:space="preserve">3315 SE 19th Ave </t>
  </si>
  <si>
    <t>33909-6844</t>
  </si>
  <si>
    <t>Lakeview</t>
  </si>
  <si>
    <t>31-43-24-c1-02170.0350</t>
  </si>
  <si>
    <t xml:space="preserve">633 NE 1st Ave </t>
  </si>
  <si>
    <t>151st</t>
  </si>
  <si>
    <t xml:space="preserve">905 NE 5th Pl </t>
  </si>
  <si>
    <t>Jacquelyn Pardun</t>
  </si>
  <si>
    <t>25-43-23-c3-02352.0130</t>
  </si>
  <si>
    <t>Caudill</t>
  </si>
  <si>
    <t>03-44-26-04-00017.0100</t>
  </si>
  <si>
    <t>33904-5646</t>
  </si>
  <si>
    <t>21520-1141</t>
  </si>
  <si>
    <t xml:space="preserve">1806 S Lynnrae St #42 </t>
  </si>
  <si>
    <t>32-43-26-l2-26000.0070</t>
  </si>
  <si>
    <t>18-43-24-c3-05742.0300</t>
  </si>
  <si>
    <t xml:space="preserve">43 Shoreline Ct </t>
  </si>
  <si>
    <t xml:space="preserve">1914 NE 18th St </t>
  </si>
  <si>
    <t>Ziqiang</t>
  </si>
  <si>
    <t>Vonda</t>
  </si>
  <si>
    <t>08-44-25-p2-03805.001a</t>
  </si>
  <si>
    <t>Dracut</t>
  </si>
  <si>
    <t>Lorie &amp; Thomas Prior</t>
  </si>
  <si>
    <t xml:space="preserve">3604 NE 22nd Ave  Cape Coral, FL 33909 </t>
  </si>
  <si>
    <t>05-44-24-c1-03530.0290</t>
  </si>
  <si>
    <t>Babwah</t>
  </si>
  <si>
    <t xml:space="preserve">7539 192nd St  Fresh Meadows, NY 11366-1859 </t>
  </si>
  <si>
    <t xml:space="preserve">1029 NE 1st Pl  Cape Coral, FL 33909 </t>
  </si>
  <si>
    <t xml:space="preserve">2307 Fox Hills Dr #302, Los Angeles, CA 90064-2647 </t>
  </si>
  <si>
    <t>05-44-24-c2-03517.0510</t>
  </si>
  <si>
    <t>Lloyd &amp; Karen Woolsey</t>
  </si>
  <si>
    <t>Cape Coral Unit 85 Blk 5649 Pb 24 Pg 54 Lots 27 + 28</t>
  </si>
  <si>
    <t xml:space="preserve">560 Ellis St </t>
  </si>
  <si>
    <t>Bezares</t>
  </si>
  <si>
    <t>Cape Coral Unit 84 Blk 5605 Pb 24 Pg 42 Lots 43 + 44</t>
  </si>
  <si>
    <t>32-43-24-c2-02238.0690</t>
  </si>
  <si>
    <t xml:space="preserve">1416 Lemonville Rd </t>
  </si>
  <si>
    <t>Pinery</t>
  </si>
  <si>
    <t>Cypress Trail Rv Resort Phase 2-A As Desc In Inst# 2014000026506 Lot 158</t>
  </si>
  <si>
    <t xml:space="preserve">4408 NE 22nd Pl </t>
  </si>
  <si>
    <t>Nautical</t>
  </si>
  <si>
    <t>Cypress Woods Rv Resort Unit 4 Pb 79 Pgs 68-71 Blk D Lot 32</t>
  </si>
  <si>
    <t xml:space="preserve">614 NE 16th Ter </t>
  </si>
  <si>
    <t>29-43-24-c3-02248.0270</t>
  </si>
  <si>
    <t>03-44-26-12-00066.0020</t>
  </si>
  <si>
    <t xml:space="preserve">1705 NE 41st St  Cape Coral, FL 33909 </t>
  </si>
  <si>
    <t>21727-8117</t>
  </si>
  <si>
    <t xml:space="preserve">810 10th St NE </t>
  </si>
  <si>
    <t>Theresa</t>
  </si>
  <si>
    <t>Langhaldenstrasse</t>
  </si>
  <si>
    <t xml:space="preserve">4465 Coconut Rd </t>
  </si>
  <si>
    <t xml:space="preserve">455 NE 5th Ave D </t>
  </si>
  <si>
    <t xml:space="preserve">1289 W 500 S </t>
  </si>
  <si>
    <t xml:space="preserve">Psc 450 Box 85  Apo, AP 96206 </t>
  </si>
  <si>
    <t>Dean Droz</t>
  </si>
  <si>
    <t xml:space="preserve">3707 Tracy St  Fort Myers, FL 33905 </t>
  </si>
  <si>
    <t>Hanhofen</t>
  </si>
  <si>
    <t>33901-5849</t>
  </si>
  <si>
    <t>Baslerstrasse</t>
  </si>
  <si>
    <t>02532-4120</t>
  </si>
  <si>
    <t>For 476 Grenier Dr Trust</t>
  </si>
  <si>
    <t xml:space="preserve">2105 NE 41st St </t>
  </si>
  <si>
    <t>James &amp; Susan Widman</t>
  </si>
  <si>
    <t>Cape Coral Unit 84 Blk 5599 Pb 24 Pg 43 Lots 9 + 10</t>
  </si>
  <si>
    <t>33905-5735</t>
  </si>
  <si>
    <t>33186-9026</t>
  </si>
  <si>
    <t>Raymundo</t>
  </si>
  <si>
    <t>Bromley</t>
  </si>
  <si>
    <t xml:space="preserve">2023 208th St SW </t>
  </si>
  <si>
    <t xml:space="preserve">4141 NE 21st Pl </t>
  </si>
  <si>
    <t xml:space="preserve">32421 Lyndon St  Livonia, MI 48154-4101 </t>
  </si>
  <si>
    <t>Jonah &amp; Arcangela Barz</t>
  </si>
  <si>
    <t>Cape Coral Unit 33 Blk 2256 Pb 16 Pg 57 Lots 52 + 53</t>
  </si>
  <si>
    <t>18-43-24-c3-05750.0470</t>
  </si>
  <si>
    <t>Robeydel</t>
  </si>
  <si>
    <t>N5497</t>
  </si>
  <si>
    <t>Cape Coral Unit 36 Blk 2536 Pb 16 Pg 118 Lots 32 + 33</t>
  </si>
  <si>
    <t xml:space="preserve">1317 SE 32nd Ter  Cape Coral, FL 33904 </t>
  </si>
  <si>
    <t xml:space="preserve">3019 NE 5th Pl  Cape Coral, FL 33909 </t>
  </si>
  <si>
    <t>Bisham Rampersad &amp; Dancumarie Rambharose</t>
  </si>
  <si>
    <t xml:space="preserve">503 NE 15th Ter  Cape Coral, FL 33909 </t>
  </si>
  <si>
    <t xml:space="preserve">2225 NE 35th St  Cape Coral, FL 33909 </t>
  </si>
  <si>
    <t>O'fallon</t>
  </si>
  <si>
    <t>33909-5332</t>
  </si>
  <si>
    <t xml:space="preserve">3016 NE 6th Ave </t>
  </si>
  <si>
    <t>Adam &amp; Paula Haybach</t>
  </si>
  <si>
    <t>Nestor Rivera-Santana &amp; Madeline Santiago-Munoz</t>
  </si>
  <si>
    <t>Torino</t>
  </si>
  <si>
    <t>20-43-24-c2-05663.0470</t>
  </si>
  <si>
    <t>F501</t>
  </si>
  <si>
    <t xml:space="preserve">122 Grandview Ave </t>
  </si>
  <si>
    <t>Bernie</t>
  </si>
  <si>
    <t>Hagenthal Le Haut</t>
  </si>
  <si>
    <t xml:space="preserve">2419 NE 20th Ave </t>
  </si>
  <si>
    <t>32-43-24-c2-02239.0490</t>
  </si>
  <si>
    <t>Cape Coral Unit 19 Blk 1243 Pb 13 Pg 135 Lots 59 + 60</t>
  </si>
  <si>
    <t>33935-4485</t>
  </si>
  <si>
    <t>PO Box 1807</t>
  </si>
  <si>
    <t>25-43-23-c4-02294.0010</t>
  </si>
  <si>
    <t>Lehigh Acres Unit 14 W Pt Blk 82 Pb 26 Pg 20 Lot 2</t>
  </si>
  <si>
    <t>16th street</t>
  </si>
  <si>
    <t xml:space="preserve">4237 NE 11th Ave </t>
  </si>
  <si>
    <t>31-43-24-c1-02149.0220</t>
  </si>
  <si>
    <t>East Hanover</t>
  </si>
  <si>
    <t xml:space="preserve">17031 NW 10th Ct </t>
  </si>
  <si>
    <t>Cape Coral Unit 84 Blk 5589 Pb 24 Pg 44 Lots 7 + 8</t>
  </si>
  <si>
    <t>94947-2984</t>
  </si>
  <si>
    <t xml:space="preserve">3600 Seagrape Ave </t>
  </si>
  <si>
    <t xml:space="preserve">2044 NE 18th St  Cape Coral, FL 33909 </t>
  </si>
  <si>
    <t xml:space="preserve">26 Davison Ave </t>
  </si>
  <si>
    <t xml:space="preserve">3832 Hoffman St </t>
  </si>
  <si>
    <t>Emel</t>
  </si>
  <si>
    <t>Mililani</t>
  </si>
  <si>
    <t>William &amp; Patricia Mcanulty</t>
  </si>
  <si>
    <t>Mchugh</t>
  </si>
  <si>
    <t>Gresham</t>
  </si>
  <si>
    <t xml:space="preserve">200 Oak Knoll Rd  Sparta, MO 65753-9482 </t>
  </si>
  <si>
    <t>Arezoto</t>
  </si>
  <si>
    <t xml:space="preserve">414 Stultz Dr </t>
  </si>
  <si>
    <t>Powelton</t>
  </si>
  <si>
    <t>33909-6305</t>
  </si>
  <si>
    <t xml:space="preserve">806 NE 12th St  Cape Coral, FL 33909 </t>
  </si>
  <si>
    <t>Clement Roubaud &amp; Zahra Slimani</t>
  </si>
  <si>
    <t>E5G 1H7</t>
  </si>
  <si>
    <t>Pueonani</t>
  </si>
  <si>
    <t>36-43-23-c1-02514.0280</t>
  </si>
  <si>
    <t xml:space="preserve">1910 NE 24th Ave </t>
  </si>
  <si>
    <t>Mirtha</t>
  </si>
  <si>
    <t>05-44-24-c1-03530.0040</t>
  </si>
  <si>
    <t>29-43-24-c3-02274.0200</t>
  </si>
  <si>
    <t xml:space="preserve">5485 Saddle Club Dr </t>
  </si>
  <si>
    <t xml:space="preserve">135 Pleasant St #604, Brookline, MA 02446-7189 </t>
  </si>
  <si>
    <t xml:space="preserve">4105 NE 22nd Ave  Cape Coral, FL 33909 </t>
  </si>
  <si>
    <t xml:space="preserve">713 NE 19th Ter  Cape Coral, FL 33909 </t>
  </si>
  <si>
    <t>Clyo</t>
  </si>
  <si>
    <t>33905-7670</t>
  </si>
  <si>
    <t>Carrozzi</t>
  </si>
  <si>
    <t>Chris</t>
  </si>
  <si>
    <t>Hastings-On-Hudson</t>
  </si>
  <si>
    <t>92673-6869</t>
  </si>
  <si>
    <t xml:space="preserve">2032 NW 184th Way  Pembroke Pines, FL 33029-3817 </t>
  </si>
  <si>
    <t>Natalie &amp; Audley Atkinson</t>
  </si>
  <si>
    <t>29-43-24-c4-02256.0380</t>
  </si>
  <si>
    <t xml:space="preserve">2307 W 69th St B2 </t>
  </si>
  <si>
    <t>Deprey Mary P Tr</t>
  </si>
  <si>
    <t xml:space="preserve">3711 NE 12th Ave </t>
  </si>
  <si>
    <t>V3A 0K4</t>
  </si>
  <si>
    <t>Pinkerton</t>
  </si>
  <si>
    <t xml:space="preserve">2128 W Nicholas Farm Ln  South Jordan, UT 84095-1219 </t>
  </si>
  <si>
    <t xml:space="preserve">10221 SW 33rd St </t>
  </si>
  <si>
    <t xml:space="preserve">58 Juniper Dr </t>
  </si>
  <si>
    <t xml:space="preserve">13901 Nassau St  Fort Myers, FL 33905 </t>
  </si>
  <si>
    <t>33909-1343</t>
  </si>
  <si>
    <t xml:space="preserve">231 W 230th St G2j, Bronx, NY 10463-5226 </t>
  </si>
  <si>
    <t>Larisa</t>
  </si>
  <si>
    <t xml:space="preserve">10764 114th St  South Richmond Hill, NY 11419-2510 </t>
  </si>
  <si>
    <t xml:space="preserve">2021 84th St 6e </t>
  </si>
  <si>
    <t xml:space="preserve">1122 NE 39th St  Cape Coral, FL 33909 </t>
  </si>
  <si>
    <t>Ely</t>
  </si>
  <si>
    <t>32909-7632</t>
  </si>
  <si>
    <t>55330-1134</t>
  </si>
  <si>
    <t>PO Box 1061</t>
  </si>
  <si>
    <t>Rockleigh</t>
  </si>
  <si>
    <t xml:space="preserve">151 W 33rd St  Hialeah, FL 33012-5223 </t>
  </si>
  <si>
    <t>12-44-23-c2-02396.0240</t>
  </si>
  <si>
    <t>Formosa</t>
  </si>
  <si>
    <t>Daniel Smith</t>
  </si>
  <si>
    <t>Snyder Family Trust</t>
  </si>
  <si>
    <t xml:space="preserve">1504 NE 19th Ave  Cape Coral, FL 33909 </t>
  </si>
  <si>
    <t xml:space="preserve">6425 SW 130th Pl #704, Miami, FL 33183-5607 </t>
  </si>
  <si>
    <t>33317-3124</t>
  </si>
  <si>
    <t>Revollo Castilla &amp; Ramirez Hincapie</t>
  </si>
  <si>
    <t xml:space="preserve">1634 S Sherman St </t>
  </si>
  <si>
    <t xml:space="preserve">17618 Martha Ave  Cerritos, CA 90703-8618 </t>
  </si>
  <si>
    <t xml:space="preserve">6144 Hepner Ave </t>
  </si>
  <si>
    <t>Cape Coral Unit 87 Blk 5699 Pb 24 Pg 75 Lots 29 + 30</t>
  </si>
  <si>
    <t>Elfrieda</t>
  </si>
  <si>
    <t xml:space="preserve">1220 NE 13th Ave  Cape Coral, FL 33909 </t>
  </si>
  <si>
    <t>Tammy Lewis</t>
  </si>
  <si>
    <t>Labelle</t>
  </si>
  <si>
    <t xml:space="preserve">305 NE 31st Ter </t>
  </si>
  <si>
    <t>Cape Coral Unit 36 Blk 2516 Pb 16 Pg 116 Lots 51 + 52</t>
  </si>
  <si>
    <t>Chien-Jen &amp; Ming-Chu Huang</t>
  </si>
  <si>
    <t>Lehigh Acres Unit 8 Blk 36 Pb 26 Pg 10 Lot 28</t>
  </si>
  <si>
    <t xml:space="preserve">10323 Fire Flag Trl  Fort Myers, FL 33905 </t>
  </si>
  <si>
    <t xml:space="preserve">11754 N Freelandville Rd </t>
  </si>
  <si>
    <t xml:space="preserve">3327 SE 22nd Ave  Cape Coral, FL 33904 </t>
  </si>
  <si>
    <t>20-43-24-c3-05671.0580</t>
  </si>
  <si>
    <t>Bogoevski Radmila L Tr</t>
  </si>
  <si>
    <t xml:space="preserve">2148 Bahama Ave  Fort Myers, FL 33905 </t>
  </si>
  <si>
    <t>Cape Coral Unit 33 Blk.2268 Pb 16 Pg 61 Lots 30 + 31</t>
  </si>
  <si>
    <t>17406-3039</t>
  </si>
  <si>
    <t>18-43-24-c3-05714.0030</t>
  </si>
  <si>
    <t>Alfred &amp; Cheryl Diamanti</t>
  </si>
  <si>
    <t xml:space="preserve">4524 Country Club Blvd  Cape Coral, FL 33904 </t>
  </si>
  <si>
    <t>Reinaldo Camejo</t>
  </si>
  <si>
    <t>Allen James M Tr</t>
  </si>
  <si>
    <t>33909-2027</t>
  </si>
  <si>
    <t xml:space="preserve">1126 Akumu St  Kailua, HI 96734-4011 </t>
  </si>
  <si>
    <t>Cita</t>
  </si>
  <si>
    <t>Eric &amp; Richard Beausejour</t>
  </si>
  <si>
    <t>Edmonton</t>
  </si>
  <si>
    <t>19-43-24-c4-05551.0450</t>
  </si>
  <si>
    <t xml:space="preserve">1520 NE 36th Ter  Cape Coral, FL 33909 </t>
  </si>
  <si>
    <t>33909-4708</t>
  </si>
  <si>
    <t xml:space="preserve">1224 E 93rd St  Brooklyn, NY 11236-3929 </t>
  </si>
  <si>
    <t>17-43-24-c4-05740.0020</t>
  </si>
  <si>
    <t xml:space="preserve">2217 NE 33rd Ter </t>
  </si>
  <si>
    <t>Jason &amp; Steven Wykoff</t>
  </si>
  <si>
    <t xml:space="preserve">11296 Moonshine Creek Cir </t>
  </si>
  <si>
    <t>33568-1367</t>
  </si>
  <si>
    <t>Burlingame</t>
  </si>
  <si>
    <t xml:space="preserve">PO Box 2474  Pawleys Island, SC 29585-2474 </t>
  </si>
  <si>
    <t>Cape Coral Unit 32 Blk 2118 Pb 16 Pg 4 Lots 29 + 30</t>
  </si>
  <si>
    <t>17-43-24-c2-05780.0330</t>
  </si>
  <si>
    <t>Cape Coral Unit 85 Blk 5637 Pb 24 Pg 51 Lots 17 + 18</t>
  </si>
  <si>
    <t>33909-4419</t>
  </si>
  <si>
    <t xml:space="preserve">6361 Maytree Cir </t>
  </si>
  <si>
    <t xml:space="preserve">9254 NW 18th St  Plantation, FL 33322-5230 </t>
  </si>
  <si>
    <t>Cape Coral Unit 36 Pt 1 Blk 2488 Pb 23 Pg 88 Lots 32 Thru 34</t>
  </si>
  <si>
    <t xml:space="preserve">119 Trupenny Turn  Middletown, DE 19709-8965 </t>
  </si>
  <si>
    <t>20-43-24-c3-05670.0530</t>
  </si>
  <si>
    <t>Patricia &amp; For Abrams</t>
  </si>
  <si>
    <t>Gasport</t>
  </si>
  <si>
    <t>Lillian Pascoe</t>
  </si>
  <si>
    <t>Wolak</t>
  </si>
  <si>
    <t xml:space="preserve">219 NE 25th Ter </t>
  </si>
  <si>
    <t xml:space="preserve">3013 NE 4th Pl </t>
  </si>
  <si>
    <t xml:space="preserve">4 Fountain St  Woonsocket, RI 02895-4306 </t>
  </si>
  <si>
    <t>Cape Coral Unit 34 Blk.2427 Pb 16 Pg 79 Lots 33 + 34</t>
  </si>
  <si>
    <t>Moultonborough</t>
  </si>
  <si>
    <t xml:space="preserve">60 Distillery Wharf Regatta Ln </t>
  </si>
  <si>
    <t>84081-4174</t>
  </si>
  <si>
    <t>32-43-24-c3-02222.0280</t>
  </si>
  <si>
    <t>32-43-24-c2-02235.0550</t>
  </si>
  <si>
    <t>33901-7245</t>
  </si>
  <si>
    <t>Cape Coral Unit 32 Blk 2111 Pb 16 Pg 3 Lots 7 + 8 + Vac Row 2010000120569</t>
  </si>
  <si>
    <t xml:space="preserve">347 NE 22nd Ter  Cape Coral, FL 33909 </t>
  </si>
  <si>
    <t>Cape Coral Unit 87 Blk 5685 Pb 24 Pg 74 Lots 19 + 20</t>
  </si>
  <si>
    <t>17-43-24-c3-05793.0180</t>
  </si>
  <si>
    <t xml:space="preserve">6380 Castlewood Cir  Fort Myers, FL 33905 </t>
  </si>
  <si>
    <t>Interstate 94</t>
  </si>
  <si>
    <t>Lowville</t>
  </si>
  <si>
    <t>T E T &amp; Indira Koshy</t>
  </si>
  <si>
    <t>15a</t>
  </si>
  <si>
    <t xml:space="preserve">3338 NE 9th Ave  Cape Coral, FL 33909 </t>
  </si>
  <si>
    <t xml:space="preserve">1049 Ridgeview Dr  Inverness, IL 60010-5339 </t>
  </si>
  <si>
    <t xml:space="preserve">4211 NE 20th Ct  Cape Coral, FL 33909 </t>
  </si>
  <si>
    <t xml:space="preserve">2033 NE 5th Pl </t>
  </si>
  <si>
    <t xml:space="preserve">2710 NE 6th Ave  Cape Coral, FL 33909 </t>
  </si>
  <si>
    <t xml:space="preserve">2852 Star Coral Dr  North Fort Myers, FL 33903 </t>
  </si>
  <si>
    <t>Blaise</t>
  </si>
  <si>
    <t xml:space="preserve">924 Durden Pkwy </t>
  </si>
  <si>
    <t>Cape Coral Unit 88 Blk 5799 Pb 24 Pg 138 Lots 43 + 44</t>
  </si>
  <si>
    <t xml:space="preserve">1114 NE 32nd St </t>
  </si>
  <si>
    <t>Cape Coral Unit 34 Blk 2437 Pb 16 Pg 82 Lots 74 Thru 76</t>
  </si>
  <si>
    <t xml:space="preserve">11 A  Baiersdorf, DE 91083 </t>
  </si>
  <si>
    <t xml:space="preserve">6106 Stratton Rd  Fort Myers, FL 33905 </t>
  </si>
  <si>
    <t>Cape Coral Unit 34 Blk.2428 Pb 16 Pg 77 Lots 1 + 2</t>
  </si>
  <si>
    <t xml:space="preserve">13 Bridle Ct  Goshen, NY 10924-1200 </t>
  </si>
  <si>
    <t>Anthony Guyer</t>
  </si>
  <si>
    <t>17078-3066</t>
  </si>
  <si>
    <t>25-43-23-c2-02335.0290</t>
  </si>
  <si>
    <t xml:space="preserve">9-24 Calle 115 #703 </t>
  </si>
  <si>
    <t>Lehigh Acres Unit 9 Blk 45 Pb 26 Pg 11 Lot 12</t>
  </si>
  <si>
    <t>Tom &amp; Rachael Kramer</t>
  </si>
  <si>
    <t>Richard &amp; Linda Rainieri</t>
  </si>
  <si>
    <t>Yorkville</t>
  </si>
  <si>
    <t>33903-4711</t>
  </si>
  <si>
    <t>C103</t>
  </si>
  <si>
    <t>Jiang</t>
  </si>
  <si>
    <t xml:space="preserve">506 NW 87th Ave #305 </t>
  </si>
  <si>
    <t>95608-2011</t>
  </si>
  <si>
    <t>33018-5337</t>
  </si>
  <si>
    <t>Rebeca</t>
  </si>
  <si>
    <t xml:space="preserve">14 Clarendon Rd </t>
  </si>
  <si>
    <t>03-44-26-03-00011.0130</t>
  </si>
  <si>
    <t xml:space="preserve">11209 Monarch St  Spring Hill, FL 34609-2766 </t>
  </si>
  <si>
    <t>Stone Brooke</t>
  </si>
  <si>
    <t xml:space="preserve">119 Aviation Pkwy  Cape Coral, FL 33904 </t>
  </si>
  <si>
    <t>Miga</t>
  </si>
  <si>
    <t xml:space="preserve">1718 NE 13th St </t>
  </si>
  <si>
    <t>Oliva</t>
  </si>
  <si>
    <t>Cape Coral Unit 34 Blk 2467 Pb 16 Pg 75 Lots 19 + 20</t>
  </si>
  <si>
    <t>20-43-24-c3-05671.0330</t>
  </si>
  <si>
    <t xml:space="preserve">8501 Buckingham Rd  Fort Myers, FL 33905 </t>
  </si>
  <si>
    <t>03-44-26-10-00048.0190</t>
  </si>
  <si>
    <t>Cape Coral Unit 36 Pt 1 Blk 2477 Pb 23 Pg 90 Lots 26 Thru 28</t>
  </si>
  <si>
    <t xml:space="preserve">Eschweiler #16, Duesseldorf, DE 40547 </t>
  </si>
  <si>
    <t>20032-1322</t>
  </si>
  <si>
    <t>Carson</t>
  </si>
  <si>
    <t xml:space="preserve">3618 NE 18th Ave  Cape Coral, FL 33909 </t>
  </si>
  <si>
    <t>P Thomas</t>
  </si>
  <si>
    <t xml:space="preserve">1202 Andalusia Blvd </t>
  </si>
  <si>
    <t xml:space="preserve">1382 Shakespeare Ave 8f </t>
  </si>
  <si>
    <t xml:space="preserve">1631 NE 23rd Ter </t>
  </si>
  <si>
    <t>Guy Derochers &amp; Joanne Tremblay</t>
  </si>
  <si>
    <t xml:space="preserve">4177 Sheraton Dr </t>
  </si>
  <si>
    <t>Coons</t>
  </si>
  <si>
    <t>Cape Coral Unit 36 Blk 2334 Pb 16 Pg 127 Lots 53 + 54</t>
  </si>
  <si>
    <t>Chitra Khirodar</t>
  </si>
  <si>
    <t>Roger Matamoros &amp; Olga Chavaria</t>
  </si>
  <si>
    <t>Luxemburg</t>
  </si>
  <si>
    <t>Cape Coral Unit 85 Blk 5656 Pb 24 Pg 57 Lots 3 + 4</t>
  </si>
  <si>
    <t xml:space="preserve">4132 NE 8th Pl  Cape Coral, FL 33909 </t>
  </si>
  <si>
    <t xml:space="preserve">11 Beresford Ave  Toronto, ON M6s 3A9 </t>
  </si>
  <si>
    <t>29745-2913</t>
  </si>
  <si>
    <t xml:space="preserve">Po Box 246 </t>
  </si>
  <si>
    <t xml:space="preserve">1212 NE 20th Ave  Cape Coral, FL 33909 </t>
  </si>
  <si>
    <t>Lehigh Acres Unit 6 Blk 31 Pb 26 Pg 8 Lot 7</t>
  </si>
  <si>
    <t xml:space="preserve">1545 Brown Rd  North Fort Myers, FL 33903 </t>
  </si>
  <si>
    <t xml:space="preserve">106 Gregory Dr </t>
  </si>
  <si>
    <t>Osvaldo &amp; Grizel Nicolas</t>
  </si>
  <si>
    <t xml:space="preserve">1321 NE 9th St </t>
  </si>
  <si>
    <t xml:space="preserve">6015 Laurelwood Dr </t>
  </si>
  <si>
    <t>33909-1681</t>
  </si>
  <si>
    <t>33909-1000</t>
  </si>
  <si>
    <t xml:space="preserve">1100 Azie Morton Rd #1105 </t>
  </si>
  <si>
    <t>Cape Coral Unit 19 Blk.1162 Pb 13 Pg 122 Lots 14 + 15</t>
  </si>
  <si>
    <t>33909-3299</t>
  </si>
  <si>
    <t>Ko</t>
  </si>
  <si>
    <t>Cape Coral Unit 84 Blk 5596 Pb 24 Pg 41 Lots 25 + 26</t>
  </si>
  <si>
    <t xml:space="preserve">5021 Interlachen Blf </t>
  </si>
  <si>
    <t xml:space="preserve">4751 Storkwood Way A </t>
  </si>
  <si>
    <t>20905-5552</t>
  </si>
  <si>
    <t xml:space="preserve">237 Hancock Ave  Bridgewater, NJ 08807-2656 </t>
  </si>
  <si>
    <t>27713-5904</t>
  </si>
  <si>
    <t>Robert H Adams and Cheryl A Adams Joint Living Trust</t>
  </si>
  <si>
    <t>Wharton</t>
  </si>
  <si>
    <t>Hoang Tran &amp; Hanh Lam</t>
  </si>
  <si>
    <t>31-43-24-c2-02128.0260</t>
  </si>
  <si>
    <t>Aydee</t>
  </si>
  <si>
    <t xml:space="preserve">4306 NE 21st Pl  Cape Coral, FL 33909 </t>
  </si>
  <si>
    <t>Rognon</t>
  </si>
  <si>
    <t>33135-3136</t>
  </si>
  <si>
    <t>33909-7327</t>
  </si>
  <si>
    <t>the Hammocks</t>
  </si>
  <si>
    <t xml:space="preserve">31 Via Palermo  Shannon, AL 35142 </t>
  </si>
  <si>
    <t>48166-9616</t>
  </si>
  <si>
    <t xml:space="preserve">2401 Fairview Dr  Manasquan, NJ 08736-1617 </t>
  </si>
  <si>
    <t>32808-2541</t>
  </si>
  <si>
    <t xml:space="preserve">4309 NE 21st Ct  Cape Coral, FL 33909 </t>
  </si>
  <si>
    <t>Cape Coral Unit 36 Blk 2340 Pb 16 Pg 127 Lots 19 + 20</t>
  </si>
  <si>
    <t xml:space="preserve">2106 NE 26th St </t>
  </si>
  <si>
    <t xml:space="preserve">6018 Juliet Ave  Fort Myers, FL 33905 </t>
  </si>
  <si>
    <t xml:space="preserve">3310 NE 9th Ave  Cape Coral, FL 33909 </t>
  </si>
  <si>
    <t xml:space="preserve">618 NE Juanita Pl  Cape Coral, FL 33909 </t>
  </si>
  <si>
    <t xml:space="preserve">3733 Michigan Ave </t>
  </si>
  <si>
    <t>08817-4039</t>
  </si>
  <si>
    <t xml:space="preserve">1821 NE 21st Pl  Cape Coral, FL 33909 </t>
  </si>
  <si>
    <t>Friedlinde</t>
  </si>
  <si>
    <t xml:space="preserve">2214 Seward Ave </t>
  </si>
  <si>
    <t>33909-5420</t>
  </si>
  <si>
    <t>Dinh Dang</t>
  </si>
  <si>
    <t>Appaloosa</t>
  </si>
  <si>
    <t>Ning</t>
  </si>
  <si>
    <t>J0N 1E0</t>
  </si>
  <si>
    <t>173rd arlington</t>
  </si>
  <si>
    <t>Kenneth Nance</t>
  </si>
  <si>
    <t>Las Gaviotas</t>
  </si>
  <si>
    <t xml:space="preserve">6121 Hershey Ave  Fort Myers, FL 33905 </t>
  </si>
  <si>
    <t xml:space="preserve">322 Diplomat Pkwy E </t>
  </si>
  <si>
    <t>08759-7323</t>
  </si>
  <si>
    <t>33172-4545</t>
  </si>
  <si>
    <t>98036-7912</t>
  </si>
  <si>
    <t xml:space="preserve">4624 SW 127th Pl </t>
  </si>
  <si>
    <t>05-44-24-c2-03523.0340</t>
  </si>
  <si>
    <t>Florin Lupse</t>
  </si>
  <si>
    <t>Elmont</t>
  </si>
  <si>
    <t>31st</t>
  </si>
  <si>
    <t>Cape Coral Unit 32 Blk.2127 Pb 16 Pg 10 Lots 17 18 + 19</t>
  </si>
  <si>
    <t xml:space="preserve">124 Jacaranda Pkwy E  Cape Coral, FL 33909 </t>
  </si>
  <si>
    <t>Michael Vantassell</t>
  </si>
  <si>
    <t>Bruschi</t>
  </si>
  <si>
    <t xml:space="preserve">2210 Andalusia Blvd </t>
  </si>
  <si>
    <t>10506-2030</t>
  </si>
  <si>
    <t xml:space="preserve">429 W Holly Ave </t>
  </si>
  <si>
    <t xml:space="preserve">955 W Tropicana Ct </t>
  </si>
  <si>
    <t xml:space="preserve">1706 NE 13th Pl </t>
  </si>
  <si>
    <t>18-43-24-c1-05686.0020</t>
  </si>
  <si>
    <t xml:space="preserve">1418 5th St </t>
  </si>
  <si>
    <t>Richard Polakovics</t>
  </si>
  <si>
    <t>Nea Zoe Peristeri</t>
  </si>
  <si>
    <t>Ronak</t>
  </si>
  <si>
    <t>Cape Coral Unit 31 Blk 2042 Pb 14 Pg 158 Lots 7 + 8</t>
  </si>
  <si>
    <t>Cape Coral Unit 84 Blk 5577 Pb 24 Pg 45 Lots 51 + 52</t>
  </si>
  <si>
    <t xml:space="preserve">3448 NE 9th Pl  Cape Coral, FL 33909 </t>
  </si>
  <si>
    <t xml:space="preserve">20990 N Tamiami Trl </t>
  </si>
  <si>
    <t>N 100 Ft Of S 369 Ft Of E 150 Ft Of W 175 Ft Of E 1/2 Of E 1/2 Of Sw 1/4 Aka Lot 18 Deep Lagoon Heights Unrec</t>
  </si>
  <si>
    <t xml:space="preserve">17681 NW 88th Ave </t>
  </si>
  <si>
    <t>Cedar Forest</t>
  </si>
  <si>
    <t>Cape Coral Unit 87 Blk.5743 Pb 24 Pg 70 Lots 25 + 26</t>
  </si>
  <si>
    <t>10304-1235</t>
  </si>
  <si>
    <t>Yorkshire</t>
  </si>
  <si>
    <t xml:space="preserve">1430 NE 6th Pl  Cape Coral, FL 33909 </t>
  </si>
  <si>
    <t xml:space="preserve">2531 NE 6th Pl </t>
  </si>
  <si>
    <t>36-43-23-c3-02479.0330</t>
  </si>
  <si>
    <t xml:space="preserve">2437 Hardin Ridge Dr </t>
  </si>
  <si>
    <t xml:space="preserve">70 Leo Ln </t>
  </si>
  <si>
    <t xml:space="preserve">222 Aldene Rd  Roselle, NJ 07203-1708 </t>
  </si>
  <si>
    <t>33909-4757</t>
  </si>
  <si>
    <t>Belle Vue Park Blk.G Pb 5 Pg 50 Lot W 25 Ft Lt 8 + Lt 9</t>
  </si>
  <si>
    <t xml:space="preserve">211 Stonehouse Rd </t>
  </si>
  <si>
    <t xml:space="preserve">25 NE 19th Ter  Cape Coral, FL 33909 </t>
  </si>
  <si>
    <t>32408-5342</t>
  </si>
  <si>
    <t>John Cookson</t>
  </si>
  <si>
    <t xml:space="preserve">15132 SE Nia Dr </t>
  </si>
  <si>
    <t>84054-3188</t>
  </si>
  <si>
    <t>Jersey Shore</t>
  </si>
  <si>
    <t>Millersburg</t>
  </si>
  <si>
    <t xml:space="preserve">1817 NE 13th Ave  Cape Coral, FL 33909 </t>
  </si>
  <si>
    <t xml:space="preserve">89 Margaretta Ct  Staten Island, NY 10314-2318 </t>
  </si>
  <si>
    <t>Miguel</t>
  </si>
  <si>
    <t>33903-7330</t>
  </si>
  <si>
    <t xml:space="preserve">3747 Kemper St  Fort Myers, FL 33905 </t>
  </si>
  <si>
    <t>R262</t>
  </si>
  <si>
    <t>PO Box 208</t>
  </si>
  <si>
    <t xml:space="preserve">W3313 County Line Dr </t>
  </si>
  <si>
    <t xml:space="preserve">3848 Kittyhawk Dr  Fort Myers, FL 33905 </t>
  </si>
  <si>
    <t>Anh Nguyen</t>
  </si>
  <si>
    <t xml:space="preserve">3342 NE 9th Ave </t>
  </si>
  <si>
    <t>James &amp; Brigid Marshall</t>
  </si>
  <si>
    <t xml:space="preserve">4236 NE 18th Ave </t>
  </si>
  <si>
    <t>James Harbor</t>
  </si>
  <si>
    <t>Underhill</t>
  </si>
  <si>
    <t>Laxshmi Sookraj-Mohamed</t>
  </si>
  <si>
    <t xml:space="preserve">213 Fox Hollow Dr </t>
  </si>
  <si>
    <t>Wagenborgen</t>
  </si>
  <si>
    <t xml:space="preserve">1014 NE 11th St  Cape Coral, FL 33909 </t>
  </si>
  <si>
    <t>Lehigh Acres Unit 12 Blk 66 Pb 26 Pg 15 Lot 10</t>
  </si>
  <si>
    <t>20910-5244</t>
  </si>
  <si>
    <t xml:space="preserve">10348 Prairie Iris Dr </t>
  </si>
  <si>
    <t xml:space="preserve">10340 Fire Flag Trl </t>
  </si>
  <si>
    <t xml:space="preserve">1819 NE 18th Pl </t>
  </si>
  <si>
    <t xml:space="preserve">4628 Nottoway Dr  Leesburg, FL 34748-7872 </t>
  </si>
  <si>
    <t>07-46-25-04-0000b.0810</t>
  </si>
  <si>
    <t>Beloff</t>
  </si>
  <si>
    <t>Cape Coral Unit 61 Blk 4294 Pb 21 Pg 10 Lots 3 + 4</t>
  </si>
  <si>
    <t>Hooper Delbert Ray Tr</t>
  </si>
  <si>
    <t>Manalapan</t>
  </si>
  <si>
    <t>Winnett</t>
  </si>
  <si>
    <t xml:space="preserve">2004 NE 33rd Ln </t>
  </si>
  <si>
    <t>Cypress Trail Rv Resort Phase 4-C Block A Lot 125 As Desc In Inst 2019000042424</t>
  </si>
  <si>
    <t>Cape Coral Unit 32 Blk 2162 Pb 16 Pg 8 Lots 5 Thru 7</t>
  </si>
  <si>
    <t xml:space="preserve">10208 Yellowtop Trl </t>
  </si>
  <si>
    <t xml:space="preserve">2300 Carrington St NW </t>
  </si>
  <si>
    <t>Reynaldo Mejia</t>
  </si>
  <si>
    <t xml:space="preserve">413 NE 9th St </t>
  </si>
  <si>
    <t xml:space="preserve">345 Camp Belle Air Rd  Sparta, TN 38583-3319 </t>
  </si>
  <si>
    <t xml:space="preserve">1028 NE 6th Pl </t>
  </si>
  <si>
    <t>Stanley &amp; Charlene Engstrand</t>
  </si>
  <si>
    <t>33909-8888</t>
  </si>
  <si>
    <t xml:space="preserve">1831 Andalusia Blvd  Cape Coral, FL 33909 </t>
  </si>
  <si>
    <t>94089-2259</t>
  </si>
  <si>
    <t>Rosa Tenorio &amp; Efren Tumialan</t>
  </si>
  <si>
    <t xml:space="preserve">1013 NE 15th St </t>
  </si>
  <si>
    <t>Van Tang &amp; Huy Nguyen</t>
  </si>
  <si>
    <t>Lee &amp; For Head</t>
  </si>
  <si>
    <t>Holly Schimmel</t>
  </si>
  <si>
    <t>Dsouza</t>
  </si>
  <si>
    <t>Sibyl Tarbell</t>
  </si>
  <si>
    <t xml:space="preserve">1422 Weeping Willow Ct </t>
  </si>
  <si>
    <t>01-44-23-c4-02467.0150</t>
  </si>
  <si>
    <t>23112-4813</t>
  </si>
  <si>
    <t>Cape Coral Unit 31 Blk 2089 Pb 14 Pg 162 Lots 41 + 42</t>
  </si>
  <si>
    <t xml:space="preserve">75 Landshuter Aly </t>
  </si>
  <si>
    <t>Jessie-Jean</t>
  </si>
  <si>
    <t xml:space="preserve">1103 E Capitol Dr  Hartland, WI 53029-2215 </t>
  </si>
  <si>
    <t xml:space="preserve">1111 NE 17th Pl </t>
  </si>
  <si>
    <t xml:space="preserve">449 Kroshus Dr  Dilworth, MN 56529-1636 </t>
  </si>
  <si>
    <t>Lewis Run</t>
  </si>
  <si>
    <t>Cape Coral Unit 36 Pt 1 Blk 2545 Pb 23 Pg 94 Lots 11 + 12</t>
  </si>
  <si>
    <t>Myhann</t>
  </si>
  <si>
    <t xml:space="preserve">1129 Pine St  Glenview, IL 60025-6900 </t>
  </si>
  <si>
    <t>36-44-23-c2-00903.0120</t>
  </si>
  <si>
    <t xml:space="preserve">1753 Bikini Ct </t>
  </si>
  <si>
    <t>Heather Glen</t>
  </si>
  <si>
    <t>Cape Coral Unit 33 Blk 2255 Pb 16 Pg 60 Lots 46 + 47</t>
  </si>
  <si>
    <t>01-44-23-c2-02454.0110</t>
  </si>
  <si>
    <t xml:space="preserve">340 Allister Dr #209 </t>
  </si>
  <si>
    <t>Lorraine Lapadula &amp; Mary Arabain</t>
  </si>
  <si>
    <t>Cape Coral Unit 34 Blk 2436 Pb 16 Pg 85 Lots 71 + 72</t>
  </si>
  <si>
    <t>48866-9555</t>
  </si>
  <si>
    <t>33073-2163</t>
  </si>
  <si>
    <t>33905-7779</t>
  </si>
  <si>
    <t>Durand</t>
  </si>
  <si>
    <t xml:space="preserve">995 April Ln  North Fort Myers, FL 33903 </t>
  </si>
  <si>
    <t>12-44-23-c1-02408.0390</t>
  </si>
  <si>
    <t>Rosebower</t>
  </si>
  <si>
    <t>Schmitz</t>
  </si>
  <si>
    <t>Prado</t>
  </si>
  <si>
    <t>Cape Coral Unit 84 Blk 5588 Pb 24 Pg 45 Lots 13 + 14</t>
  </si>
  <si>
    <t>Moses Lake</t>
  </si>
  <si>
    <t>Cape Coral Unit 85 Blk 5643 Pb 24 Pg 55 Lots 28 + 29</t>
  </si>
  <si>
    <t xml:space="preserve">5950 Laramie Ln  Roseville, CA 95747-9764 </t>
  </si>
  <si>
    <t>Urb Puerto Nuevo</t>
  </si>
  <si>
    <t>Cape Coral Unit 36 Blk 2522 Pb 16 Pg 114 Lots 24 + 25</t>
  </si>
  <si>
    <t>Morali</t>
  </si>
  <si>
    <t>132nd</t>
  </si>
  <si>
    <t xml:space="preserve">1301 Sweetwater Ave </t>
  </si>
  <si>
    <t xml:space="preserve">8493 Jenny Cae Ln  North Fort Myers, FL 33903 </t>
  </si>
  <si>
    <t xml:space="preserve">3225 Mcleod Dr #777, Las Vegas, NV 89121-2257 </t>
  </si>
  <si>
    <t>Cape Coral Unit 36 Blk 2536 Pb 16 Pg 118 Lots 30 + 31</t>
  </si>
  <si>
    <t xml:space="preserve">1413 Jacks Corner Rd  Hopewell, PA 16650-7959 </t>
  </si>
  <si>
    <t xml:space="preserve">12 Stevens Rd  Cranston, RI 02910-4245 </t>
  </si>
  <si>
    <t xml:space="preserve">4160 NE 9th Pl </t>
  </si>
  <si>
    <t xml:space="preserve">104 Rue Du Chat Perche </t>
  </si>
  <si>
    <t>Cape Coral Unit 11 Blk.524 Pb 13 Pg 48 Lots 5 + 6</t>
  </si>
  <si>
    <t xml:space="preserve">43 Beach Rd #2, Buffalo, NY 14225-2724 </t>
  </si>
  <si>
    <t>33909-7376</t>
  </si>
  <si>
    <t>36-43-23-c4-02489.0290</t>
  </si>
  <si>
    <t>Lydia &amp; James Chamberlain</t>
  </si>
  <si>
    <t>Ailsa</t>
  </si>
  <si>
    <t>33909-2311</t>
  </si>
  <si>
    <t>36-44-23-c3-00884.0090</t>
  </si>
  <si>
    <t xml:space="preserve">2221 Santiago Ave  Fort Myers, FL 33905 </t>
  </si>
  <si>
    <t>Forest Run</t>
  </si>
  <si>
    <t xml:space="preserve">1408 San Jose Ave  Alameda, CA 94501-4044 </t>
  </si>
  <si>
    <t>36-43-23-c3-02509.0120</t>
  </si>
  <si>
    <t xml:space="preserve">11218 N Sugar Bluff Rd </t>
  </si>
  <si>
    <t>Cape Coral Unit 85 Blk 5662 Pb 24 Pg 58 Lots 40 Thru 42</t>
  </si>
  <si>
    <t xml:space="preserve">6074 Waterway Bay Dr </t>
  </si>
  <si>
    <t>William &amp; Goodwinmonica Goodwin</t>
  </si>
  <si>
    <t xml:space="preserve">340 Compass Pt  Ninety Six, SC 29666-8787 </t>
  </si>
  <si>
    <t>Bajraktarevic</t>
  </si>
  <si>
    <t>Lenexa</t>
  </si>
  <si>
    <t>Cape Coral Unit 84 Blk 5557 Pb 24 Pg 32 Lots 19 + 20</t>
  </si>
  <si>
    <t>Vergennes</t>
  </si>
  <si>
    <t>George &amp; Lia Salk</t>
  </si>
  <si>
    <t xml:space="preserve">7218 Hc 2  Las Piedras, PR 00771-9787 </t>
  </si>
  <si>
    <t xml:space="preserve">5195 Cypress Trail Resort Cir </t>
  </si>
  <si>
    <t>18-43-24-c2-05730.0490</t>
  </si>
  <si>
    <t>Acuna</t>
  </si>
  <si>
    <t>33905-4817</t>
  </si>
  <si>
    <t>Gina Sarbo &amp; Edward Ammerman</t>
  </si>
  <si>
    <t>06-44-24-c2-02064.0460</t>
  </si>
  <si>
    <t>Vonore</t>
  </si>
  <si>
    <t>06053-2337</t>
  </si>
  <si>
    <t>33909-4703</t>
  </si>
  <si>
    <t>Frank Spitzenberger</t>
  </si>
  <si>
    <t>19-43-24-c2-05590.0220</t>
  </si>
  <si>
    <t xml:space="preserve">34510 Joel St </t>
  </si>
  <si>
    <t>33909-1937</t>
  </si>
  <si>
    <t>Cypress Trail Rv Resort Ph 3 As Desc In Inst# 2015000085552 Lot 58</t>
  </si>
  <si>
    <t xml:space="preserve">2007 NE 27th Ter </t>
  </si>
  <si>
    <t>Pondella</t>
  </si>
  <si>
    <t>10314-1947</t>
  </si>
  <si>
    <t>Mullica Hill</t>
  </si>
  <si>
    <t xml:space="preserve">1101 NE 33rd Ter </t>
  </si>
  <si>
    <t>Lehigh Acres Unit 11 Blk 56 Pb 26 Pg 14 Lot 19</t>
  </si>
  <si>
    <t xml:space="preserve">210 Jacaranda Pkwy E </t>
  </si>
  <si>
    <t>36-43-23-c3-02477.0240</t>
  </si>
  <si>
    <t>06-44-24-c3-02039.0270</t>
  </si>
  <si>
    <t>Yang</t>
  </si>
  <si>
    <t>Vanda</t>
  </si>
  <si>
    <t xml:space="preserve">45 Puritan Ave  Yonkers, NY 10710-3723 </t>
  </si>
  <si>
    <t>81620-9010</t>
  </si>
  <si>
    <t>33909-6442</t>
  </si>
  <si>
    <t xml:space="preserve">5113 Elpine Way </t>
  </si>
  <si>
    <t>Gioacchino</t>
  </si>
  <si>
    <t>33909-1648</t>
  </si>
  <si>
    <t>32-43-24-c2-02241.0380</t>
  </si>
  <si>
    <t xml:space="preserve">23708 Talbot St  Saint Clair Shores, MI 48082-2558 </t>
  </si>
  <si>
    <t>Calvani</t>
  </si>
  <si>
    <t xml:space="preserve">524 NE 31st Ter </t>
  </si>
  <si>
    <t>Borden</t>
  </si>
  <si>
    <t xml:space="preserve">6008 Jessica St  Fort Myers, FL 33905 </t>
  </si>
  <si>
    <t>33014-3343</t>
  </si>
  <si>
    <t>Baltimore Place Blk 2 Pb 7 Pg 37 Lots 28 29 30 + 44</t>
  </si>
  <si>
    <t>11550-7532</t>
  </si>
  <si>
    <t xml:space="preserve">443 Beach 47th St </t>
  </si>
  <si>
    <t>Edward &amp; Marlene Niemiec</t>
  </si>
  <si>
    <t>Orozco</t>
  </si>
  <si>
    <t xml:space="preserve">15410 19th Ave </t>
  </si>
  <si>
    <t>Vincent &amp; Patricia Smith</t>
  </si>
  <si>
    <t xml:space="preserve">PO Box 306  Stone Harbor, NJ 08247 </t>
  </si>
  <si>
    <t xml:space="preserve">495 County Route 515  Vernon, NJ 07462-3002 </t>
  </si>
  <si>
    <t>01-44-23-c1-02450.0230</t>
  </si>
  <si>
    <t xml:space="preserve">4 Bahnhofstrasse </t>
  </si>
  <si>
    <t>Richard J Blommer 2000 Revocable Trust</t>
  </si>
  <si>
    <t>Cape Coral Unit 32 Blk 2161 Pb 16 Pg 12 Lots 31 + 32</t>
  </si>
  <si>
    <t xml:space="preserve">Koenigsteiner #116 </t>
  </si>
  <si>
    <t>Cypress Trail Rv Resort As Desc In Inst# 2013000212499 Lot 195</t>
  </si>
  <si>
    <t>Warren</t>
  </si>
  <si>
    <t>For Kokernak Fort Myers Realty Trust</t>
  </si>
  <si>
    <t xml:space="preserve">3104 E 48th Pl  Tulsa, OK 74105-5316 </t>
  </si>
  <si>
    <t>33909-8834</t>
  </si>
  <si>
    <t xml:space="preserve">307 Yoakum Pkwy #1026 </t>
  </si>
  <si>
    <t>Center</t>
  </si>
  <si>
    <t>31-43-24-c4-02107.0240</t>
  </si>
  <si>
    <t>7d</t>
  </si>
  <si>
    <t>Frieman</t>
  </si>
  <si>
    <t>34266-4822</t>
  </si>
  <si>
    <t>Spokane</t>
  </si>
  <si>
    <t xml:space="preserve">100 NE 23rd Ter  Cape Coral, FL 33909 </t>
  </si>
  <si>
    <t xml:space="preserve">4125 NE 16th Ave  Cape Coral, FL 33909 </t>
  </si>
  <si>
    <t>Severino T Sulit &amp; Karen Sulit</t>
  </si>
  <si>
    <t>Kocher</t>
  </si>
  <si>
    <t>Hongqing Jiang</t>
  </si>
  <si>
    <t>C-1A</t>
  </si>
  <si>
    <t>06-46-24-15-00000.3470</t>
  </si>
  <si>
    <t>Stockwood</t>
  </si>
  <si>
    <t xml:space="preserve">1226 NE 10th St  Cape Coral, FL 33909 </t>
  </si>
  <si>
    <t>25-43-23-c2-02348.0010</t>
  </si>
  <si>
    <t>Ruediger Kastilan</t>
  </si>
  <si>
    <t>Pitts</t>
  </si>
  <si>
    <t>Castorland</t>
  </si>
  <si>
    <t>Ken</t>
  </si>
  <si>
    <t>Cape Coral Unit 84 Blk 5593 Pb 24 Pg 41 Lots 12 + 13</t>
  </si>
  <si>
    <t xml:space="preserve">763 Davis Rd </t>
  </si>
  <si>
    <t>Port Jefferson</t>
  </si>
  <si>
    <t xml:space="preserve">2607 NE 1st Ave  Cape Coral, FL 33909 </t>
  </si>
  <si>
    <t>Selzer</t>
  </si>
  <si>
    <t>60516-3338</t>
  </si>
  <si>
    <t>Eagle Flight Holdings Llc Tr</t>
  </si>
  <si>
    <t>Ramon &amp; Cynthia Nimmer</t>
  </si>
  <si>
    <t>Tarantino</t>
  </si>
  <si>
    <t xml:space="preserve">2022 NE 34th Ter </t>
  </si>
  <si>
    <t>Ramon Vazquez</t>
  </si>
  <si>
    <t>Truxton</t>
  </si>
  <si>
    <t>Goggans</t>
  </si>
  <si>
    <t>Menawatee</t>
  </si>
  <si>
    <t>Shadywood</t>
  </si>
  <si>
    <t>Cape Coral Unit 85 Blk 5637 Pb 24 Pg 51 Lots 19 Thru 21</t>
  </si>
  <si>
    <t xml:space="preserve">265 Ch Des Cruyes </t>
  </si>
  <si>
    <t xml:space="preserve">1054 Blackfield Way  Mountain View, CA 94040-2303 </t>
  </si>
  <si>
    <t xml:space="preserve">5175 Cypress Trail Resort Cir  Fort Myers, FL 33905 </t>
  </si>
  <si>
    <t>Indio</t>
  </si>
  <si>
    <t xml:space="preserve">3844 Hollycrest St  Fort Myers, FL 33905 </t>
  </si>
  <si>
    <t>Helm</t>
  </si>
  <si>
    <t>Levesque</t>
  </si>
  <si>
    <t>NS</t>
  </si>
  <si>
    <t xml:space="preserve">11116 Superior Lndg </t>
  </si>
  <si>
    <t xml:space="preserve">22941 SW 56th Ave </t>
  </si>
  <si>
    <t xml:space="preserve">18290 NW 10th St </t>
  </si>
  <si>
    <t xml:space="preserve">26089 Dull Knife Trl  San Antonio, TX 78255-3419 </t>
  </si>
  <si>
    <t>11357-1804</t>
  </si>
  <si>
    <t>07-44-24-c4-03590.0520</t>
  </si>
  <si>
    <t xml:space="preserve">388 Fox Ave </t>
  </si>
  <si>
    <t>Cape Coral Unit 88 Blk 5761 Pb 24 Pg 134 Lots 24 + 25</t>
  </si>
  <si>
    <t xml:space="preserve">2409 Conway Blvd </t>
  </si>
  <si>
    <t xml:space="preserve">816 Vogiantzis Pkwy  Cape Coral, FL 33909 </t>
  </si>
  <si>
    <t xml:space="preserve">309 Royal Palm Park Rd </t>
  </si>
  <si>
    <t xml:space="preserve">11438 227th St  Cambria Heights, NY 11411-1329 </t>
  </si>
  <si>
    <t>36-44-23-c1-00916.0150</t>
  </si>
  <si>
    <t xml:space="preserve">4423 NE Connection Ave </t>
  </si>
  <si>
    <t xml:space="preserve">43 Tweed Blvd </t>
  </si>
  <si>
    <t>33909-7322</t>
  </si>
  <si>
    <t xml:space="preserve">122 NE 12th Ln  Cape Coral, FL 33909 </t>
  </si>
  <si>
    <t xml:space="preserve">38787 Derby Dr  Sterling Heights, MI 48312-1232 </t>
  </si>
  <si>
    <t>12-44-23-c2-02383.0570</t>
  </si>
  <si>
    <t>25-43-23-c3-02340.0010</t>
  </si>
  <si>
    <t>Stephen &amp; Margaret Asher</t>
  </si>
  <si>
    <t xml:space="preserve">1530 Poinciana Ave  Fort Myers, FL 33901 </t>
  </si>
  <si>
    <t xml:space="preserve">5291 SW 5th Ter </t>
  </si>
  <si>
    <t xml:space="preserve">203 Devon St 2l, Kearny, NJ 07032-2447 </t>
  </si>
  <si>
    <t>Wayne &amp; Joann Thiel</t>
  </si>
  <si>
    <t>Todd &amp; Rick Tighe</t>
  </si>
  <si>
    <t xml:space="preserve">2008 NE 35th St </t>
  </si>
  <si>
    <t xml:space="preserve">235 Martin Hills Dr  Murphy, NC 28906-5425 </t>
  </si>
  <si>
    <t xml:space="preserve">1817 NE Juanita Pl  Cape Coral, FL 33909 </t>
  </si>
  <si>
    <t xml:space="preserve">6120 Humboldt Ave </t>
  </si>
  <si>
    <t>17-43-24-c4-05783.0340</t>
  </si>
  <si>
    <t>Monroe Township</t>
  </si>
  <si>
    <t>Cape Coral Unit 36 Blk 2519 Pb 16 Pg 114 Lots 47 + 48</t>
  </si>
  <si>
    <t>R061</t>
  </si>
  <si>
    <t xml:space="preserve">26 Dahlienweg  Huerth, DE 50354 </t>
  </si>
  <si>
    <t>Claudia Romero</t>
  </si>
  <si>
    <t xml:space="preserve">1111 NE 10th Pl </t>
  </si>
  <si>
    <t xml:space="preserve">1814 NE 11th Ln </t>
  </si>
  <si>
    <t>Fieldcrest</t>
  </si>
  <si>
    <t xml:space="preserve">1240 S 2nd St #1302, Minneapolis, MN 55415-2636 </t>
  </si>
  <si>
    <t>Cape Coral Unit 36 Blk 2525 Pb 16 Pg 118 Lots 42 + 43</t>
  </si>
  <si>
    <t>Cape Coral Unit 31 Blk.2071 Pb 14 Pg 163 Lots 23 + 24</t>
  </si>
  <si>
    <t>Baraga Plains</t>
  </si>
  <si>
    <t>Victoria Johnson</t>
  </si>
  <si>
    <t xml:space="preserve">427 Kismet Pkwy E </t>
  </si>
  <si>
    <t xml:space="preserve">6255 W Temperance Rd </t>
  </si>
  <si>
    <t>Westmoreland</t>
  </si>
  <si>
    <t>Dana</t>
  </si>
  <si>
    <t xml:space="preserve">5021 Interlachen Blf  Minneapolis, MN 55436-1360 </t>
  </si>
  <si>
    <t>Lehigh Acres Unit 1 Blk 1 Pb 26 Pg 2 Lot 3</t>
  </si>
  <si>
    <t>Ronald &amp; Debra Khatchadourian</t>
  </si>
  <si>
    <t xml:space="preserve">Access Undetermined  Fort Myers, FL 33908 </t>
  </si>
  <si>
    <t>33155-3711</t>
  </si>
  <si>
    <t>48375-5247</t>
  </si>
  <si>
    <t>01890-1823</t>
  </si>
  <si>
    <t>Erbland</t>
  </si>
  <si>
    <t xml:space="preserve">2825 NE 4th Pl </t>
  </si>
  <si>
    <t xml:space="preserve">5555 Collins Ave 15c </t>
  </si>
  <si>
    <t>Ryan Bracci</t>
  </si>
  <si>
    <t>57350-4208</t>
  </si>
  <si>
    <t>06483-2363</t>
  </si>
  <si>
    <t>Aileen Tang</t>
  </si>
  <si>
    <t>20-44-26-05-00025.0110</t>
  </si>
  <si>
    <t>Randall &amp; Denise Bartlett</t>
  </si>
  <si>
    <t>11-44-25-09-00000.0700</t>
  </si>
  <si>
    <t>Darrow</t>
  </si>
  <si>
    <t>Portsmouth</t>
  </si>
  <si>
    <t>Morse Point</t>
  </si>
  <si>
    <t>Hurd</t>
  </si>
  <si>
    <t>33903-3308</t>
  </si>
  <si>
    <t xml:space="preserve">71 Coventry Rd  Endicott, NY 13760-4251 </t>
  </si>
  <si>
    <t xml:space="preserve">PO Box 226 Rd, Portland, CT 06480 </t>
  </si>
  <si>
    <t>Palmona Park Unit 1 Blk 49 Pb 7 Pg 54 Lot 1</t>
  </si>
  <si>
    <t>33908-4217</t>
  </si>
  <si>
    <t xml:space="preserve">2716 Mckeon Way </t>
  </si>
  <si>
    <t>Withrow</t>
  </si>
  <si>
    <t>Sheri</t>
  </si>
  <si>
    <t xml:space="preserve">421 New York Dr  Fort Myers, FL 33905 </t>
  </si>
  <si>
    <t>Cypress Woods Rv Resort Un 3 Desc In Pb 72 Pgs 92-95 Blk C Lot 69</t>
  </si>
  <si>
    <t>06-44-24-c3-02037.0180</t>
  </si>
  <si>
    <t>Doerrstein Janine Tr</t>
  </si>
  <si>
    <t>33010-3114</t>
  </si>
  <si>
    <t>33328-2501</t>
  </si>
  <si>
    <t>Berlin Station</t>
  </si>
  <si>
    <t xml:space="preserve">3705 Dornoch Dr </t>
  </si>
  <si>
    <t>33831-1249</t>
  </si>
  <si>
    <t>Curti</t>
  </si>
  <si>
    <t xml:space="preserve">2220 NE 21st Ter </t>
  </si>
  <si>
    <t>33018-2027</t>
  </si>
  <si>
    <t>33909-3333</t>
  </si>
  <si>
    <t xml:space="preserve">57 Huntleigh Woods  Barnhart, MO 63012-1349 </t>
  </si>
  <si>
    <t xml:space="preserve">205 W End Ave  New York, NY 10023-4804 </t>
  </si>
  <si>
    <t>19-43-24-c4-05557.0530</t>
  </si>
  <si>
    <t xml:space="preserve">4122 E Gator Cir  Cape Coral, FL 33909 </t>
  </si>
  <si>
    <t>Cape Coral Unit 36 Blk 2334 Pb 16 Pg 127 Lots 51 + 52</t>
  </si>
  <si>
    <t>C Rue Des Boulangers</t>
  </si>
  <si>
    <t>Frode Aga</t>
  </si>
  <si>
    <t>Novelty</t>
  </si>
  <si>
    <t>Tommy</t>
  </si>
  <si>
    <t>07-44-24-c4-03593.0170</t>
  </si>
  <si>
    <t>33909-6491</t>
  </si>
  <si>
    <t xml:space="preserve">6581 Astoria Ave  Fort Myers, FL 33905 </t>
  </si>
  <si>
    <t>Sebastien Fortin</t>
  </si>
  <si>
    <t>33909-3044</t>
  </si>
  <si>
    <t xml:space="preserve">2609 NE 6th Ave </t>
  </si>
  <si>
    <t>Felipe</t>
  </si>
  <si>
    <t>Agnieszka &amp; Wieslawa Roszkowski</t>
  </si>
  <si>
    <t>Cape Coral Unit 84 Blk 5596 Pb 24 Pg 41 Lots 23 + 24</t>
  </si>
  <si>
    <t xml:space="preserve">4858 28th St S B1, Arlington, VA 22206-1370 </t>
  </si>
  <si>
    <t>Cape Coral Unit 36 Blk 2326 Pb 16 Pg 125 Lots 71 + 72</t>
  </si>
  <si>
    <t>Parma</t>
  </si>
  <si>
    <t>05-44-24-c1-03533.0230</t>
  </si>
  <si>
    <t>Dybvik</t>
  </si>
  <si>
    <t>Sylvia &amp; Carol Webster</t>
  </si>
  <si>
    <t>Elena Nesterenko</t>
  </si>
  <si>
    <t>32-43-24-c3-02228.0360</t>
  </si>
  <si>
    <t>Cape Coral Unit 34 Blk.2428 Pb 16 Pg 77 Lots 7 + 8</t>
  </si>
  <si>
    <t xml:space="preserve">6008 Jonathan Ave  Fort Myers, FL 33905 </t>
  </si>
  <si>
    <t>Cape Coral Unit 35 Blk 2413 Pb 16 Pg 109 Lots 27 + 28</t>
  </si>
  <si>
    <t>Mirtha Rojas</t>
  </si>
  <si>
    <t>A &amp; Barbara Wenzlick</t>
  </si>
  <si>
    <t xml:space="preserve">505 E 41st St #3, Baltimore, MD 21218-1259 </t>
  </si>
  <si>
    <t>19-43-24-c3-05617.0250</t>
  </si>
  <si>
    <t>Cape Coral Unit 32 Blk.2114 Pb 16 Pg 6 Lots 47 + 48</t>
  </si>
  <si>
    <t>04-44-25-04-00028.9010</t>
  </si>
  <si>
    <t xml:space="preserve">1622 NE 36th Ter </t>
  </si>
  <si>
    <t>06-44-24-c2-02063.0170</t>
  </si>
  <si>
    <t xml:space="preserve">112 Watermill Ln  Lebanon, TN 37087-1636 </t>
  </si>
  <si>
    <t>Paul A Latraverse Sr Trust</t>
  </si>
  <si>
    <t xml:space="preserve">3207 Adele Ter </t>
  </si>
  <si>
    <t>Cape Coral Unit 13 Blk.520 Pb 13 Pg 59 Lots 39 + 40</t>
  </si>
  <si>
    <t>Ronnie</t>
  </si>
  <si>
    <t xml:space="preserve">2112 NE 20th Ter </t>
  </si>
  <si>
    <t xml:space="preserve">228 Hill St  Barre, VT 05641-3948 </t>
  </si>
  <si>
    <t>Harvey Heights U 1 Unrec Blk E Db 324 Pg 255 Lot 1 + N 1/2 Lot 2</t>
  </si>
  <si>
    <t>Yellowtop</t>
  </si>
  <si>
    <t>Stone Harbor</t>
  </si>
  <si>
    <t>Broadmeadow</t>
  </si>
  <si>
    <t>11-44-25-05-0000c.0870</t>
  </si>
  <si>
    <t>Cape Coral Unit 87 Blk 5740 Pb 24 Pg 70 Lots 29 + 30</t>
  </si>
  <si>
    <t>Bend</t>
  </si>
  <si>
    <t xml:space="preserve">1528 NE 35th Ter  Cape Coral, FL 33909 </t>
  </si>
  <si>
    <t>Cape Coral Unit 11 Blk.566 Pb 13 Pg 46 Lots 49 + 50</t>
  </si>
  <si>
    <t>Cape Coral Unit 47 Blk 3525 Pb 23 Pg 116 Lots 42 Thru 44</t>
  </si>
  <si>
    <t xml:space="preserve">Im Auchtert #39 </t>
  </si>
  <si>
    <t>85331-2374</t>
  </si>
  <si>
    <t>Henke</t>
  </si>
  <si>
    <t>Cape Coral Unit 35 Blk 2413 Pb 16 Pg 110 Lots 93 + 94</t>
  </si>
  <si>
    <t>33909-6409</t>
  </si>
  <si>
    <t xml:space="preserve">1105 NE 7th Ave </t>
  </si>
  <si>
    <t>20-43-24-c4-05633.0470</t>
  </si>
  <si>
    <t>Glen &amp; Joanne Leib</t>
  </si>
  <si>
    <t>92596-8793</t>
  </si>
  <si>
    <t xml:space="preserve">708 Wesley Rd  Glen Burnie, MD 21061-4662 </t>
  </si>
  <si>
    <t xml:space="preserve">10214 Huffines Dr  Rowlett, TX 75089-8573 </t>
  </si>
  <si>
    <t xml:space="preserve">3841 Insdale St </t>
  </si>
  <si>
    <t>Carlos &amp; Lenia Sardinas</t>
  </si>
  <si>
    <t>Jenkintown</t>
  </si>
  <si>
    <t>Doug</t>
  </si>
  <si>
    <t>36-43-23-c3-02482.0270</t>
  </si>
  <si>
    <t>49112-9548</t>
  </si>
  <si>
    <t>33909-4502</t>
  </si>
  <si>
    <t>05-44-24-c1-03534.0030</t>
  </si>
  <si>
    <t>Tobyhanna</t>
  </si>
  <si>
    <t>Cape Coral Unit 35 Blk 2396 Pb 16 Pg 107 Lots 40 + 41</t>
  </si>
  <si>
    <t>32-43-24-c3-02229.0160</t>
  </si>
  <si>
    <t>49774-9070</t>
  </si>
  <si>
    <t xml:space="preserve">3569 NE 10th Pl </t>
  </si>
  <si>
    <t>PO Box 260443</t>
  </si>
  <si>
    <t>Walcott</t>
  </si>
  <si>
    <t xml:space="preserve">3428 NE 21st Pl </t>
  </si>
  <si>
    <t xml:space="preserve">150 Sunrise Ave  Excelsior, MN 55331-9585 </t>
  </si>
  <si>
    <t xml:space="preserve">2905 SE 8th Pl  Cape Coral, FL 33904 </t>
  </si>
  <si>
    <t>Cape Coral Unit 32 Blk 2123 Pb 16 Pg 7 Lots 27 + 28</t>
  </si>
  <si>
    <t xml:space="preserve">1801 SW 139th Ave </t>
  </si>
  <si>
    <t>Cape Coral Unit 46 Blk 3607 Pb 17 Pg 129 Lots 41 + 42</t>
  </si>
  <si>
    <t>33909-1447</t>
  </si>
  <si>
    <t>Ridgefield</t>
  </si>
  <si>
    <t>33178-3652</t>
  </si>
  <si>
    <t xml:space="preserve">2205 NE 4th Pl  Cape Coral, FL 33909 </t>
  </si>
  <si>
    <t>08-45-24-c4-00366.0310</t>
  </si>
  <si>
    <t xml:space="preserve">460 Abound Cres </t>
  </si>
  <si>
    <t xml:space="preserve">1603 NE 40th St  Cape Coral, FL 33909 </t>
  </si>
  <si>
    <t xml:space="preserve">8341 Buckingham Rd </t>
  </si>
  <si>
    <t>Cynthia Garretson</t>
  </si>
  <si>
    <t xml:space="preserve">1313 NE 2nd Ave </t>
  </si>
  <si>
    <t>C093</t>
  </si>
  <si>
    <t>Panayotis</t>
  </si>
  <si>
    <t>36-43-23-c3-02146.0390</t>
  </si>
  <si>
    <t>Dundas</t>
  </si>
  <si>
    <t xml:space="preserve">326 NE 12th Ct  Cape Coral, FL 33909 </t>
  </si>
  <si>
    <t>Rafael Medina</t>
  </si>
  <si>
    <t>Cape Coral Unit 35 Blk 2406 Pb 16 Pg 110 Lots 24 + 25</t>
  </si>
  <si>
    <t>44089-1718</t>
  </si>
  <si>
    <t>M1E 2R1</t>
  </si>
  <si>
    <t>11239-2007</t>
  </si>
  <si>
    <t>Muse</t>
  </si>
  <si>
    <t xml:space="preserve">275 Beacon Pointe Dr  Ocoee, FL 34761-4413 </t>
  </si>
  <si>
    <t>Gary &amp; Brenda Cox</t>
  </si>
  <si>
    <t>77399-2019</t>
  </si>
  <si>
    <t xml:space="preserve">5864 Baer Rd </t>
  </si>
  <si>
    <t>61820-7809</t>
  </si>
  <si>
    <t>Melissa Negron-Brown</t>
  </si>
  <si>
    <t xml:space="preserve">343 NE 24th Ter </t>
  </si>
  <si>
    <t>03-44-26-01-00006.0020</t>
  </si>
  <si>
    <t>Koopman</t>
  </si>
  <si>
    <t>Cape Coral Unit 36 Blk 2498 Pb 23 Pg 92 Lots 33 + 34</t>
  </si>
  <si>
    <t>20-43-24-c4-05634.0270</t>
  </si>
  <si>
    <t xml:space="preserve">82 Galgal Hamazalot St </t>
  </si>
  <si>
    <t xml:space="preserve">2225 NE 34th Ln </t>
  </si>
  <si>
    <t xml:space="preserve">8 Apple St </t>
  </si>
  <si>
    <t>Cape Coral Unit 84 Blk 5618 Pb 24 Pg 34 Lots 3 + 4</t>
  </si>
  <si>
    <t>12-44-23-c2-02380.0430</t>
  </si>
  <si>
    <t>10606-1408</t>
  </si>
  <si>
    <t xml:space="preserve">2008 NE 33rd Ln </t>
  </si>
  <si>
    <t>Cypress Woods Rv Resort Un 3 Desc In Pb 72 Pgs 92-95 Blk C Lot 15</t>
  </si>
  <si>
    <t xml:space="preserve">4033 NE 10th Ave </t>
  </si>
  <si>
    <t xml:space="preserve">13628 SW 286th Ter </t>
  </si>
  <si>
    <t xml:space="preserve">66 Lochinvar Ct </t>
  </si>
  <si>
    <t>36-43-23-c3-02483.0070</t>
  </si>
  <si>
    <t>Mcvay</t>
  </si>
  <si>
    <t>16-44-26-04-00004.0070</t>
  </si>
  <si>
    <t>B038</t>
  </si>
  <si>
    <t xml:space="preserve">4840 Goebel Rd  Fort Myers, FL 33905 </t>
  </si>
  <si>
    <t xml:space="preserve">1953 Aspen Ln  Glendale Heights, IL 60139-2161 </t>
  </si>
  <si>
    <t xml:space="preserve">6957 NW 107th Ct </t>
  </si>
  <si>
    <t>County Road 12</t>
  </si>
  <si>
    <t xml:space="preserve">10420 Windy Hill Rd  Mc Kean, PA 16426-2148 </t>
  </si>
  <si>
    <t>John Prindiville</t>
  </si>
  <si>
    <t>33016-2226</t>
  </si>
  <si>
    <t>M J M &amp; Theresa Decanio</t>
  </si>
  <si>
    <t>Moon Sanchez</t>
  </si>
  <si>
    <t>LOT ACREAGE</t>
  </si>
  <si>
    <t xml:space="preserve">126 Diplomat Pkwy E  Cape Coral, FL 33909 </t>
  </si>
  <si>
    <t>Ingemi</t>
  </si>
  <si>
    <t xml:space="preserve">544 Highway 33  Trenton, NJ 08619-4406 </t>
  </si>
  <si>
    <t>Lake Charles</t>
  </si>
  <si>
    <t>48134-1820</t>
  </si>
  <si>
    <t xml:space="preserve">15845 Whitewater Canyon Rd </t>
  </si>
  <si>
    <t>Antonio Loffa &amp; Antonio Loffa</t>
  </si>
  <si>
    <t>06-45-24-c2-00520.0390</t>
  </si>
  <si>
    <t>12-44-23-c4-02368.0090</t>
  </si>
  <si>
    <t>Barajas</t>
  </si>
  <si>
    <t>31-43-24-c4-02113.0070</t>
  </si>
  <si>
    <t>Alvesser 4</t>
  </si>
  <si>
    <t>06-45-24-c4-00525.0010</t>
  </si>
  <si>
    <t>Susan Short</t>
  </si>
  <si>
    <t xml:space="preserve">167 Juanita Ave </t>
  </si>
  <si>
    <t>33414-5641</t>
  </si>
  <si>
    <t xml:space="preserve">1306 Thompson St  North Fort Myers, FL 33903 </t>
  </si>
  <si>
    <t xml:space="preserve">2402 Lourdes Rd  Henrico, VA 23228-3018 </t>
  </si>
  <si>
    <t xml:space="preserve">4828 W Belle Plaine Ave B </t>
  </si>
  <si>
    <t xml:space="preserve">3581 NE 8th Pl </t>
  </si>
  <si>
    <t xml:space="preserve">2120 NE 25th Ter </t>
  </si>
  <si>
    <t xml:space="preserve">924 NE 3rd Ave  Cape Coral, FL 33909 </t>
  </si>
  <si>
    <t>El Dorado</t>
  </si>
  <si>
    <t>A104</t>
  </si>
  <si>
    <t>04071-6849</t>
  </si>
  <si>
    <t>Cape Coral Unit 35 Blk 2383 Pb 16 Pg 108 Lots 42 + 43</t>
  </si>
  <si>
    <t>Kathryn &amp; Charles Trice</t>
  </si>
  <si>
    <t>For Roger D &amp; Mary L Carlson Family Trust</t>
  </si>
  <si>
    <t>75077-3209</t>
  </si>
  <si>
    <t>33062-4725</t>
  </si>
  <si>
    <t>36-43-23-c4-02511.0200</t>
  </si>
  <si>
    <t>01523-2903</t>
  </si>
  <si>
    <t xml:space="preserve">2270 38th St </t>
  </si>
  <si>
    <t xml:space="preserve">314 NE 27th Ter </t>
  </si>
  <si>
    <t>Brochero</t>
  </si>
  <si>
    <t>Cape Coral Unit 36 Blk 2547 Pb 16 Pg 113 Lots 30 + 31</t>
  </si>
  <si>
    <t xml:space="preserve">1131 Ortiz Ave </t>
  </si>
  <si>
    <t xml:space="preserve">1040 Wilbur Ave  San Diego, CA 92109-2028 </t>
  </si>
  <si>
    <t>DK</t>
  </si>
  <si>
    <t>20-43-24-c2-05668.0010</t>
  </si>
  <si>
    <t xml:space="preserve">114 Miller Rd </t>
  </si>
  <si>
    <t>Keller</t>
  </si>
  <si>
    <t>33909-4355</t>
  </si>
  <si>
    <t>Cape Coral Unit 26 Blk.875 Pb 14 Pg 132 Lots 46 Thru 48</t>
  </si>
  <si>
    <t xml:space="preserve">2102 NE 17th St  Cape Coral, FL 33909 </t>
  </si>
  <si>
    <t>36-43-23-c3-02498.0130</t>
  </si>
  <si>
    <t xml:space="preserve">10059 Parkwood Dr </t>
  </si>
  <si>
    <t>Tara Pucci &amp; Lauren Cervasio</t>
  </si>
  <si>
    <t>Gunlikson</t>
  </si>
  <si>
    <t>Blank</t>
  </si>
  <si>
    <t>Daylesford</t>
  </si>
  <si>
    <t xml:space="preserve">10678 Mileblock Rd </t>
  </si>
  <si>
    <t xml:space="preserve">909 NE 13th Ave  Cape Coral, FL 33909 </t>
  </si>
  <si>
    <t xml:space="preserve">1510 NE 13th Pl  Cape Coral, FL 33909 </t>
  </si>
  <si>
    <t>H001</t>
  </si>
  <si>
    <t xml:space="preserve">5245 White Sky Cir </t>
  </si>
  <si>
    <t xml:space="preserve">305 E Maitland Ln  New Castle, PA 16105-1309 </t>
  </si>
  <si>
    <t xml:space="preserve">3915 NE 12th Ave </t>
  </si>
  <si>
    <t>Cape Coral Unit 87 Blk 5740 Pb 24 Pg 69 Lots 9 + 10</t>
  </si>
  <si>
    <t xml:space="preserve">480 Pine Bough Ct  Alpharetta, GA 30004-4538 </t>
  </si>
  <si>
    <t>Tatum</t>
  </si>
  <si>
    <t xml:space="preserve">6044 Jonathan Ave  Fort Myers, FL 33905 </t>
  </si>
  <si>
    <t xml:space="preserve">90 Willowbrook Dr  Doylestown, PA 18901-2823 </t>
  </si>
  <si>
    <t>11-44-25-l1-13000.3440</t>
  </si>
  <si>
    <t xml:space="preserve">5720 Brightwood Dr </t>
  </si>
  <si>
    <t>Mousel</t>
  </si>
  <si>
    <t>Avinash</t>
  </si>
  <si>
    <t xml:space="preserve">14190 Callan St </t>
  </si>
  <si>
    <t xml:space="preserve">5100 Dewberry Dr </t>
  </si>
  <si>
    <t>Sunview</t>
  </si>
  <si>
    <t xml:space="preserve">6 Thistle Pl </t>
  </si>
  <si>
    <t>36-43-23-c2-02527.0180</t>
  </si>
  <si>
    <t xml:space="preserve">3331 NE 13th Ave </t>
  </si>
  <si>
    <t xml:space="preserve">5515 Cypress Trail Resort Cir  Fort Myers, FL 33905 </t>
  </si>
  <si>
    <t>Cape Coral Unit 85 Blk 5671 Pb 24 Pg 52 Lots 39 + 40</t>
  </si>
  <si>
    <t xml:space="preserve">1800 NE 1st Pl  Cape Coral, FL 33909 </t>
  </si>
  <si>
    <t xml:space="preserve">5122 SW 159th Ct  Miami, FL 33185-5065 </t>
  </si>
  <si>
    <t>Cypress Trail Rv Resort Phase 4-A As Desc In Inst# 20160000135610 Lot 336</t>
  </si>
  <si>
    <t>06810-7635</t>
  </si>
  <si>
    <t xml:space="preserve">5213 Pineland Daisy Trl </t>
  </si>
  <si>
    <t>11-44-25-11-00000.0440</t>
  </si>
  <si>
    <t>Thomas &amp; Patricia Arra</t>
  </si>
  <si>
    <t>Andrew Geer</t>
  </si>
  <si>
    <t>Linh</t>
  </si>
  <si>
    <t>Martina</t>
  </si>
  <si>
    <t>03-44-26-09-00043.0150</t>
  </si>
  <si>
    <t xml:space="preserve">1216 NE 9th Pl </t>
  </si>
  <si>
    <t xml:space="preserve">5156 Cypress Trail Resort Cir </t>
  </si>
  <si>
    <t xml:space="preserve">1715 N Gondola Ct </t>
  </si>
  <si>
    <t>Benjamin Beverley</t>
  </si>
  <si>
    <t>11-44-25-09-00000.0210</t>
  </si>
  <si>
    <t>Cape Coral Unit 36 Pt 1 Blk 2491 Pb 23 Pg 91 Lots 13 Thru 16</t>
  </si>
  <si>
    <t>85255-5473</t>
  </si>
  <si>
    <t xml:space="preserve">15 Tupelo Ct  Staten Island, NY 10306-1415 </t>
  </si>
  <si>
    <t>Brown</t>
  </si>
  <si>
    <t>Shay</t>
  </si>
  <si>
    <t xml:space="preserve">5249 NW 7th St #112, Miami, FL 33126-3376 </t>
  </si>
  <si>
    <t>Joseph Metz</t>
  </si>
  <si>
    <t xml:space="preserve">2214 NE 35th Ln </t>
  </si>
  <si>
    <t xml:space="preserve">825 Morrison Ave 18b </t>
  </si>
  <si>
    <t>10473-1324</t>
  </si>
  <si>
    <t xml:space="preserve">6367 Ledgewood Dr </t>
  </si>
  <si>
    <t>L5R 3K4</t>
  </si>
  <si>
    <t>212th</t>
  </si>
  <si>
    <t>Steven &amp; Eugene Castelli</t>
  </si>
  <si>
    <t>Handy</t>
  </si>
  <si>
    <t xml:space="preserve">5847 Brightwood Dr  Fort Myers, FL 33905 </t>
  </si>
  <si>
    <t>Vander</t>
  </si>
  <si>
    <t xml:space="preserve">3720 NE 15th Pl </t>
  </si>
  <si>
    <t xml:space="preserve">10339 Fire Flag Trl  Fort Myers, FL 33905 </t>
  </si>
  <si>
    <t xml:space="preserve">3739 NE 14th Ave </t>
  </si>
  <si>
    <t>Embassy</t>
  </si>
  <si>
    <t xml:space="preserve">3711 Kelsey St </t>
  </si>
  <si>
    <t xml:space="preserve">85 Coolidge Ave </t>
  </si>
  <si>
    <t>Cape Coral Unit 84 Blk 5617 Pb 24 Pg 34 Lots 20 + 21</t>
  </si>
  <si>
    <t xml:space="preserve">9722 Holmes Pl #306, Manassas Park, VA 20111-7020 </t>
  </si>
  <si>
    <t>Anonas</t>
  </si>
  <si>
    <t>33189-3679</t>
  </si>
  <si>
    <t xml:space="preserve">56 Hart Dr  West Orange, NJ 07052-1149 </t>
  </si>
  <si>
    <t xml:space="preserve">1400 NE 18th Ave </t>
  </si>
  <si>
    <t xml:space="preserve">1206 NE 20th Ave  Cape Coral, FL 33909 </t>
  </si>
  <si>
    <t xml:space="preserve">Po Box 163 </t>
  </si>
  <si>
    <t>Glenside</t>
  </si>
  <si>
    <t>Michael Pham &amp; Jen Vu</t>
  </si>
  <si>
    <t xml:space="preserve">927 NE 2nd Ave </t>
  </si>
  <si>
    <t>Mercedes &amp; Juan Duran</t>
  </si>
  <si>
    <t>33905-3442</t>
  </si>
  <si>
    <t>Conchita Sarbadhikari</t>
  </si>
  <si>
    <t xml:space="preserve">3400 Malaga Way  Naples, FL 34105-2808 </t>
  </si>
  <si>
    <t>34639-5649</t>
  </si>
  <si>
    <t xml:space="preserve">915 NE 37th Ter  Cape Coral, FL 33909 </t>
  </si>
  <si>
    <t xml:space="preserve">235 Adams St 3a </t>
  </si>
  <si>
    <t>21122-3218</t>
  </si>
  <si>
    <t>Alison</t>
  </si>
  <si>
    <t>33026-7443</t>
  </si>
  <si>
    <t xml:space="preserve">928 Kismet Pkwy E  Cape Coral, FL 33909 </t>
  </si>
  <si>
    <t xml:space="preserve">1213 NE 37th Ter  Cape Coral, FL 33909 </t>
  </si>
  <si>
    <t>33102-5366</t>
  </si>
  <si>
    <t>20-43-24-c4-05631.0130</t>
  </si>
  <si>
    <t>Cape Coral Unit 85 Blk 5646 Pb 24 Pg 55 Lots 37 + 38</t>
  </si>
  <si>
    <t>Elliot Coulter &amp; Lorri Corbett-Coulter</t>
  </si>
  <si>
    <t xml:space="preserve">3602 NE 21st Pl </t>
  </si>
  <si>
    <t>Marino</t>
  </si>
  <si>
    <t>35243-4424</t>
  </si>
  <si>
    <t>33909-6208</t>
  </si>
  <si>
    <t xml:space="preserve">1408 NE 8th Pl </t>
  </si>
  <si>
    <t>18-43-24-c1-05696.0330</t>
  </si>
  <si>
    <t>94941-2013</t>
  </si>
  <si>
    <t xml:space="preserve">5216 Marsh Mallow Trl  Fort Myers, FL 33905 </t>
  </si>
  <si>
    <t>Cape Coral Unit 88 Blk 5784 Pb 24 Pg 131 Lots 24 Thru 26</t>
  </si>
  <si>
    <t>07731-2114</t>
  </si>
  <si>
    <t>Perminder</t>
  </si>
  <si>
    <t>Motley</t>
  </si>
  <si>
    <t>33909-4301</t>
  </si>
  <si>
    <t xml:space="preserve">11671 Fox Sparrow Dr  Fort Myers, FL 33908 </t>
  </si>
  <si>
    <t>Trinh</t>
  </si>
  <si>
    <t>06-44-24-c2-02083.0260</t>
  </si>
  <si>
    <t>33032-4316</t>
  </si>
  <si>
    <t xml:space="preserve">1605 NE 34th St  Cape Coral, FL 33909 </t>
  </si>
  <si>
    <t>Ft Myers Beach Kampground S/D Unit 1 Pb 35 Pg 47 Blk V Lot 10</t>
  </si>
  <si>
    <t>Ortega</t>
  </si>
  <si>
    <t xml:space="preserve">702 SE 2nd Ave #406, Deerfield Beach, FL 33441-5445 </t>
  </si>
  <si>
    <t>Marguerite &amp; For Brown</t>
  </si>
  <si>
    <t xml:space="preserve">1519 NE 40th St  Cape Coral, FL 33909 </t>
  </si>
  <si>
    <t>Doe</t>
  </si>
  <si>
    <t>33909-1246</t>
  </si>
  <si>
    <t>Cape Coral Unit 33 Blk 2285 Pb 16 Pg 59 Lots 46 + 47</t>
  </si>
  <si>
    <t>Carlyle</t>
  </si>
  <si>
    <t>Robert Allan Brus and Dawn Marie Brus Revocable Living Trust</t>
  </si>
  <si>
    <t xml:space="preserve">1303 NE 19th Pl </t>
  </si>
  <si>
    <t xml:space="preserve">616 NE 8th St  Cape Coral, FL 33909 </t>
  </si>
  <si>
    <t>Crack</t>
  </si>
  <si>
    <t>25-43-23-c4-02300.a090</t>
  </si>
  <si>
    <t>Andres Vasallo &amp; Olga Paredes</t>
  </si>
  <si>
    <t>Elite Trust &amp; Escrow Co Llc Tr</t>
  </si>
  <si>
    <t xml:space="preserve">1616 Ridgemont Dr </t>
  </si>
  <si>
    <t>19-43-24-c2-05597.0100</t>
  </si>
  <si>
    <t>Dent</t>
  </si>
  <si>
    <t xml:space="preserve">3577 NE 9th Pl  Cape Coral, FL 33909 </t>
  </si>
  <si>
    <t xml:space="preserve">1818 NE 11th Ln </t>
  </si>
  <si>
    <t>Chiem</t>
  </si>
  <si>
    <t>Cape Coral Unit 89 Blk 5613 Pb 24 Pg 36 Lots 87 + 88</t>
  </si>
  <si>
    <t>33904-2729</t>
  </si>
  <si>
    <t>Cape Coral Unit 85 Blk 5668 Pb 24 Pg 53 Lots 56 Thru 58</t>
  </si>
  <si>
    <t>Bathke</t>
  </si>
  <si>
    <t>Cape Coral Unit 33 Blk 2215 Pb 16 Pg 43 Lots 24 Thru 26</t>
  </si>
  <si>
    <t>Cape Coral Unit84 Blk 5564 Pb 24 Pg 37 Lots 17 Thru 19</t>
  </si>
  <si>
    <t xml:space="preserve">846 Five Oaks Ln </t>
  </si>
  <si>
    <t xml:space="preserve">314 NE 23rd Ter </t>
  </si>
  <si>
    <t xml:space="preserve">2043 NE 17th Ter  Cape Coral, FL 33909 </t>
  </si>
  <si>
    <t xml:space="preserve">71 Sandpiper Dr </t>
  </si>
  <si>
    <t xml:space="preserve">2014 Everest Pkwy </t>
  </si>
  <si>
    <t>34-44-24-p2-00100.024a</t>
  </si>
  <si>
    <t>Bruce Rigg</t>
  </si>
  <si>
    <t>29-43-24-c3-02267.0610</t>
  </si>
  <si>
    <t>20-43-24-c1-05604.0390</t>
  </si>
  <si>
    <t xml:space="preserve">Macarthur Highway Matina Unit </t>
  </si>
  <si>
    <t>05-45-24-c4-00570.0350</t>
  </si>
  <si>
    <t xml:space="preserve">1908 Sapphire Pt  Saint Paul, MN 55122-8802 </t>
  </si>
  <si>
    <t>Jenny Cae</t>
  </si>
  <si>
    <t>Lindenwood</t>
  </si>
  <si>
    <t xml:space="preserve">75 Thayer St 1h, New York, NY 10040-1022 </t>
  </si>
  <si>
    <t>B900</t>
  </si>
  <si>
    <t>Althea</t>
  </si>
  <si>
    <t xml:space="preserve">84 Lakefield Place Ct E </t>
  </si>
  <si>
    <t>William &amp; Tatiana Skiminia</t>
  </si>
  <si>
    <t>19067-7438</t>
  </si>
  <si>
    <t>Aaron Kramer &amp; Estate American</t>
  </si>
  <si>
    <t xml:space="preserve">1906 York Ln </t>
  </si>
  <si>
    <t>Teresa Knowles &amp; Tery Cannon</t>
  </si>
  <si>
    <t>Gowda</t>
  </si>
  <si>
    <t xml:space="preserve">13305 Whispering Oaks Dr </t>
  </si>
  <si>
    <t xml:space="preserve">3531 NE 17th Ave  Cape Coral, FL 33909 </t>
  </si>
  <si>
    <t xml:space="preserve">29481 590th Ave </t>
  </si>
  <si>
    <t>Lehigh Acres Unit 9 Blk 46 Pb 26 Pg 11 Lot 2</t>
  </si>
  <si>
    <t>For Nettie May Reynolds Trust</t>
  </si>
  <si>
    <t xml:space="preserve">3348 Garden Blvd </t>
  </si>
  <si>
    <t>L0R 1V0</t>
  </si>
  <si>
    <t xml:space="preserve">1516 NE 34th Ln  Cape Coral, FL 33909 </t>
  </si>
  <si>
    <t xml:space="preserve">261 Linden Ave  Westbury, NY 11590-3233 </t>
  </si>
  <si>
    <t>Lehigh Acres Unit 8 Blk 37 Pb 26 Pg 10 Lot 8</t>
  </si>
  <si>
    <t>Dumoulin</t>
  </si>
  <si>
    <t>Emerson Mill</t>
  </si>
  <si>
    <t>Sewell</t>
  </si>
  <si>
    <t>Cape Coral Unit 36 Blk 2308 Pb 16 Pg 120 Lots 28 + 29</t>
  </si>
  <si>
    <t>57353-5600</t>
  </si>
  <si>
    <t>Consciencestraat 75</t>
  </si>
  <si>
    <t>33129-2613</t>
  </si>
  <si>
    <t xml:space="preserve">5318 Cypress Trail Resort Cir  Fort Myers, FL 33905 </t>
  </si>
  <si>
    <t>11-44-25-06-0000d.0120</t>
  </si>
  <si>
    <t>Cape Coral Unit 34 Blk 2440 Pb 16 Pg 81 Lots 29 + 30</t>
  </si>
  <si>
    <t>R116</t>
  </si>
  <si>
    <t>William &amp; Carol Beresford</t>
  </si>
  <si>
    <t>Cypress Trail Rv Resort Ph 4-B As Desc In Inst# 2017000057565 Lot 314</t>
  </si>
  <si>
    <t xml:space="preserve">1057 Hillsboro Mile #214, Hillsboro Beach, FL 33062-2101 </t>
  </si>
  <si>
    <t>Cypress Woods Rv Resort Desc In Inst#2006-358211 Lot 153</t>
  </si>
  <si>
    <t xml:space="preserve">1 Via Samborondon Km  Apo, AE 09010 </t>
  </si>
  <si>
    <t>Cape Coral Unit 17 Blk 1501 Pb 14 Pg 29 Lots 4 + 5</t>
  </si>
  <si>
    <t>Cape Coral Unit 34 Blk 2439 Pb 16 Pg 84 Lots 34 + 35</t>
  </si>
  <si>
    <t>Cape Coral Unit 35 Blk 2413 Pb 16 Pg 109 Lots 25 + 26</t>
  </si>
  <si>
    <t>Lehigh Acres Unit 13 E 1/2 Blk 70 Pb 26 Pg 17 Lot 14</t>
  </si>
  <si>
    <t xml:space="preserve">100 Pringle Ave #650, Walnut Creek, CA 94596-7331 </t>
  </si>
  <si>
    <t xml:space="preserve">3530 NE 18th Pl  Cape Coral, FL 33909 </t>
  </si>
  <si>
    <t>Haaft</t>
  </si>
  <si>
    <t>Michael &amp; Laura Ondrejicka</t>
  </si>
  <si>
    <t xml:space="preserve">32 Grossrassbergstr </t>
  </si>
  <si>
    <t xml:space="preserve">6838 Juneberry Ave </t>
  </si>
  <si>
    <t xml:space="preserve">5294 Cypress Trail Resort Cir </t>
  </si>
  <si>
    <t xml:space="preserve">13339 Meadowlark Ln </t>
  </si>
  <si>
    <t xml:space="preserve">913 Andalusia Blvd </t>
  </si>
  <si>
    <t>Sriram</t>
  </si>
  <si>
    <t>61611-4639</t>
  </si>
  <si>
    <t>Cape Coral Unit 84 Blk 5597 Pb 24 Pg 43 Lots 22 + 23</t>
  </si>
  <si>
    <t>Holiday Travel Park Rv Condo Ph 1 Or 1577 Pg 1583 Unit 128</t>
  </si>
  <si>
    <t>34-44-24-p3-00800.0040</t>
  </si>
  <si>
    <t xml:space="preserve">7 Bueno Ct SW  Los Lunas, NM 87031-9042 </t>
  </si>
  <si>
    <t>Phaysanh</t>
  </si>
  <si>
    <t>Dylan</t>
  </si>
  <si>
    <t>Tishomingo</t>
  </si>
  <si>
    <t>Clemente &amp; Luz Coronado Family Trust</t>
  </si>
  <si>
    <t>Anne &amp; Sababa Akili</t>
  </si>
  <si>
    <t>Rameschandra</t>
  </si>
  <si>
    <t>Mila Ong</t>
  </si>
  <si>
    <t xml:space="preserve">687 W Us Highway 19E Byp </t>
  </si>
  <si>
    <t>Lehigh Acres W Pt Unit 1 Blk 3 Pb 26 Pg 2 Lot 28</t>
  </si>
  <si>
    <t>Satyaveer &amp; Umlesh Tyagi</t>
  </si>
  <si>
    <t>01-44-23-c1-02448.0870</t>
  </si>
  <si>
    <t xml:space="preserve">1216 NE 12th Pl </t>
  </si>
  <si>
    <t xml:space="preserve">730 E 33rd St  Hialeah, FL 33013-3355 </t>
  </si>
  <si>
    <t>East Kingston</t>
  </si>
  <si>
    <t>Gerald &amp; Christine Shute</t>
  </si>
  <si>
    <t xml:space="preserve">2316 Mesa Verde  Fullerton, CA 92833-1341 </t>
  </si>
  <si>
    <t>25-43-23-c4-02353.0400</t>
  </si>
  <si>
    <t>33909-6835</t>
  </si>
  <si>
    <t>Wayne &amp; Brenda Hancock</t>
  </si>
  <si>
    <t xml:space="preserve">1040 Darrow Rd  Duanesburg, NY 12056-4110 </t>
  </si>
  <si>
    <t xml:space="preserve">3755 Kenyon St </t>
  </si>
  <si>
    <t>Cape Coral Unit 36 Pt 1 Blk 2503 Pb 23 Pg 93 Lots 7 + 8</t>
  </si>
  <si>
    <t xml:space="preserve">10018 Williams Field Dr  Houston, TX 77064-5185 </t>
  </si>
  <si>
    <t xml:space="preserve">718 Johnson St NW </t>
  </si>
  <si>
    <t xml:space="preserve">2112 NE 20th Ter  Cape Coral, FL 33909 </t>
  </si>
  <si>
    <t>Langstrasse</t>
  </si>
  <si>
    <t>Bombacino</t>
  </si>
  <si>
    <t xml:space="preserve">3405 SE 15th Ave  Cape Coral, FL 33904 </t>
  </si>
  <si>
    <t>Settle</t>
  </si>
  <si>
    <t>Janine Doerrstein &amp; For Kiwi</t>
  </si>
  <si>
    <t>Gandolfo</t>
  </si>
  <si>
    <t xml:space="preserve">635 Everdell Ave  West Islip, NY 11795-3322 </t>
  </si>
  <si>
    <t>David &amp; Norma Lumpkin</t>
  </si>
  <si>
    <t xml:space="preserve">1 Concord Rd  Danbury, CT 06810-6305 </t>
  </si>
  <si>
    <t>E J E &amp; Antoinette Pedana</t>
  </si>
  <si>
    <t>W</t>
  </si>
  <si>
    <t>98837-8425</t>
  </si>
  <si>
    <t>Wilford</t>
  </si>
  <si>
    <t xml:space="preserve">4113 NE 23rd Pl  Cape Coral, FL 33909 </t>
  </si>
  <si>
    <t xml:space="preserve">13121 Cromie Dr </t>
  </si>
  <si>
    <t>Bressette</t>
  </si>
  <si>
    <t>Cape Coral Unit 84 Blk 5619 Pb 24 Pg 33 Lots 46 + 47</t>
  </si>
  <si>
    <t xml:space="preserve">60 Rathbun Ave </t>
  </si>
  <si>
    <t>49093-8557</t>
  </si>
  <si>
    <t>Mendocino</t>
  </si>
  <si>
    <t>Roux</t>
  </si>
  <si>
    <t xml:space="preserve">357 W 55th St 5j, New York, NY 10019-4527 </t>
  </si>
  <si>
    <t xml:space="preserve">34 Rue De La Matelotte  Salt Lake City, UT 84130 </t>
  </si>
  <si>
    <t xml:space="preserve">4110 220th St SE </t>
  </si>
  <si>
    <t>Joy</t>
  </si>
  <si>
    <t>Pattison</t>
  </si>
  <si>
    <t>Cesaroni</t>
  </si>
  <si>
    <t xml:space="preserve">708 NE 2nd Ave </t>
  </si>
  <si>
    <t>Tammy</t>
  </si>
  <si>
    <t xml:space="preserve">21039 Hooded Crow Dr </t>
  </si>
  <si>
    <t xml:space="preserve">338 NE 23rd Ter  Cape Coral, FL 33909 </t>
  </si>
  <si>
    <t xml:space="preserve">2837 Rushland Dr  Dayton, OH 45419-2135 </t>
  </si>
  <si>
    <t xml:space="preserve">99 Boniface Dr 1e, Pine Bush, NY 12566-7031 </t>
  </si>
  <si>
    <t>11-44-25-05-0000c.1010</t>
  </si>
  <si>
    <t xml:space="preserve">5425 Park Central Ct  Naples, FL 34109-5934 </t>
  </si>
  <si>
    <t>33909-1584</t>
  </si>
  <si>
    <t xml:space="preserve">101 Pleasant Hill Rd  Harrisonburg, VA 22801-5733 </t>
  </si>
  <si>
    <t>31-43-26-04-00lk6.0000</t>
  </si>
  <si>
    <t>05-44-24-c4-03542.0500</t>
  </si>
  <si>
    <t>Ramat Gan</t>
  </si>
  <si>
    <t>Lukauskas</t>
  </si>
  <si>
    <t>Cape Coral Unit 84 Blk 5611 Pb 24 Pg 35 Lots 22 + 23</t>
  </si>
  <si>
    <t xml:space="preserve">1013 NE 13th Pl  Cape Coral, FL 33909 </t>
  </si>
  <si>
    <t xml:space="preserve">1037 Daffodil Dr </t>
  </si>
  <si>
    <t xml:space="preserve">10203 Meadow Beauty Trl </t>
  </si>
  <si>
    <t>Cypress Trail Rv Resort Ph 3 As Desc In Inst# 2015000085552 Lot 242</t>
  </si>
  <si>
    <t xml:space="preserve">204 Trackers Rd  Cary, NC 27513-4845 </t>
  </si>
  <si>
    <t>Cape Coral Unit 35 Blk 2411 Pb 16 Pg 110 Lots 35 + 36</t>
  </si>
  <si>
    <t>03-44-26-13-00069.0140</t>
  </si>
  <si>
    <t>Cape Coral Unit 47 Pt 2 Blk 3521 Pb 23 Pg 126 Lots 9 + 10</t>
  </si>
  <si>
    <t>PO Box 7237</t>
  </si>
  <si>
    <t>Angulo</t>
  </si>
  <si>
    <t xml:space="preserve">8917 Melrose Ln </t>
  </si>
  <si>
    <t>Cape Coral Unit 33 Blk 2235 Pb 16 Pg 55 Lot 1 + Lt 80 Blk 2234</t>
  </si>
  <si>
    <t>34669-5029</t>
  </si>
  <si>
    <t>32-43-24-c1-02233.0320</t>
  </si>
  <si>
    <t xml:space="preserve">10 Georgetown Ct </t>
  </si>
  <si>
    <t>Lehigh Acres Ut 14 W Pt Blk 82 Pb 26 Pg 20 Lot 6</t>
  </si>
  <si>
    <t>19-43-24-c2-05595.0010</t>
  </si>
  <si>
    <t>31-43-24-c4-02103.0290</t>
  </si>
  <si>
    <t xml:space="preserve">3849 Hillandale St  Fort Myers, FL 33905 </t>
  </si>
  <si>
    <t>Chicca &amp; Christopher Chicca Family</t>
  </si>
  <si>
    <t>Rain</t>
  </si>
  <si>
    <t>33904-4414</t>
  </si>
  <si>
    <t xml:space="preserve">6642 Vermont Ave  Saint Louis, MO 63111-2733 </t>
  </si>
  <si>
    <t xml:space="preserve">2321 NE 19th Pl </t>
  </si>
  <si>
    <t>Guarin</t>
  </si>
  <si>
    <t>76th</t>
  </si>
  <si>
    <t>29323-9318</t>
  </si>
  <si>
    <t>33909-5323</t>
  </si>
  <si>
    <t>Fisher</t>
  </si>
  <si>
    <t>30316-3222</t>
  </si>
  <si>
    <t xml:space="preserve">3705 Trent St  Fort Myers, FL 33905 </t>
  </si>
  <si>
    <t>Catalina Miranda</t>
  </si>
  <si>
    <t>17362-8912</t>
  </si>
  <si>
    <t>Cypress Woods Rv Resort Ut 1 Pb 65 Pg 85 + 86 Blk B Lot 98</t>
  </si>
  <si>
    <t xml:space="preserve">11313 NW 59th Ter </t>
  </si>
  <si>
    <t>Polk</t>
  </si>
  <si>
    <t>31-43-24-c1-02163.0270</t>
  </si>
  <si>
    <t xml:space="preserve">4601 Terry Town Dr </t>
  </si>
  <si>
    <t>Wakefield</t>
  </si>
  <si>
    <t>03-44-26-11-00056.0100</t>
  </si>
  <si>
    <t xml:space="preserve">4 Dogwood Ln </t>
  </si>
  <si>
    <t xml:space="preserve">5222 Pineland Daisy Trl  Fort Myers, FL 33905 </t>
  </si>
  <si>
    <t>17-43-24-c3-05787.0390</t>
  </si>
  <si>
    <t>Cape Coral Unit 26 Blk.870 Pb 14 Pg 131 Lots 19 + 20</t>
  </si>
  <si>
    <t>Dai</t>
  </si>
  <si>
    <t xml:space="preserve">3923 NE 22nd Pl  Cape Coral, FL 33909 </t>
  </si>
  <si>
    <t>Crone</t>
  </si>
  <si>
    <t xml:space="preserve">830 Elmsbrook Ln  Alpharetta, GA 30004-5187 </t>
  </si>
  <si>
    <t>Edwards</t>
  </si>
  <si>
    <t>Roman</t>
  </si>
  <si>
    <t xml:space="preserve">1 Feldstrasse </t>
  </si>
  <si>
    <t>20-43-24-c2-05658.0230</t>
  </si>
  <si>
    <t xml:space="preserve">11620 Park Blvd #309, Seminole, FL 33772-5206 </t>
  </si>
  <si>
    <t>Cape Coral Unit 7 Blk 369 Pb 12 Pg 105 Lots 33 + 34</t>
  </si>
  <si>
    <t xml:space="preserve">Po Box 114 </t>
  </si>
  <si>
    <t xml:space="preserve">1427 NE 1st Pl  Cape Coral, FL 33909 </t>
  </si>
  <si>
    <t xml:space="preserve">3521 Sun Maiden Way  Antelope, CA 95843-6202 </t>
  </si>
  <si>
    <t>36-44-23-c4-00864.0470</t>
  </si>
  <si>
    <t>L2T 3C1</t>
  </si>
  <si>
    <t>Cape Coral Unit 33 Blk.2248 Pb 16 Pg 58 Lots 15 + 16</t>
  </si>
  <si>
    <t xml:space="preserve">4 Bridge St </t>
  </si>
  <si>
    <t>05-44-24-c4-03543.0300</t>
  </si>
  <si>
    <t xml:space="preserve">2020 NE 20th Pl </t>
  </si>
  <si>
    <t>02124-1406</t>
  </si>
  <si>
    <t xml:space="preserve">921 Andalusia Blvd  Cape Coral, FL 33909 </t>
  </si>
  <si>
    <t>Benders</t>
  </si>
  <si>
    <t>Jack Kelly &amp; Kathleen Costello</t>
  </si>
  <si>
    <t xml:space="preserve">600 NW 6th St #202, Miami, FL 33136-3252 </t>
  </si>
  <si>
    <t>Cecilia Ferrera</t>
  </si>
  <si>
    <t>Newtown</t>
  </si>
  <si>
    <t>33016-6102</t>
  </si>
  <si>
    <t>George Carris</t>
  </si>
  <si>
    <t>Cape Coral Unit 36 Blk 2349 Pb 16 Pg 125 Lots 47 + 48</t>
  </si>
  <si>
    <t>01-45-23-c2-00467.0070</t>
  </si>
  <si>
    <t xml:space="preserve">817 NE 9th Ter </t>
  </si>
  <si>
    <t>Huebsch</t>
  </si>
  <si>
    <t>60655-3753</t>
  </si>
  <si>
    <t>Gisella</t>
  </si>
  <si>
    <t xml:space="preserve">2105 NE 25th Ter </t>
  </si>
  <si>
    <t xml:space="preserve">3405 NE 23rd Pl </t>
  </si>
  <si>
    <t>05-45-24-c3-00433.0130</t>
  </si>
  <si>
    <t>R165</t>
  </si>
  <si>
    <t xml:space="preserve">2113 NE 15th St  Cape Coral, FL 33909 </t>
  </si>
  <si>
    <t xml:space="preserve">1205 NE 13th Pl </t>
  </si>
  <si>
    <t>07438-9363</t>
  </si>
  <si>
    <t>Robert &amp; Brenda Lukes</t>
  </si>
  <si>
    <t>Franco</t>
  </si>
  <si>
    <t>33909-2753</t>
  </si>
  <si>
    <t>H987</t>
  </si>
  <si>
    <t xml:space="preserve">694 Lincoln Ave </t>
  </si>
  <si>
    <t xml:space="preserve">496 NE 4th Pl </t>
  </si>
  <si>
    <t>31-43-24-c2-02137.0030</t>
  </si>
  <si>
    <t>Brentwood Blk 2 Pb 5 Pg 78 Lots 13 + 14</t>
  </si>
  <si>
    <t>Robert &amp; Robert Brackett</t>
  </si>
  <si>
    <t>11-44-25-09-00000.1570</t>
  </si>
  <si>
    <t xml:space="preserve">919 NE 23rd St </t>
  </si>
  <si>
    <t>03-44-26-04-00018.0190</t>
  </si>
  <si>
    <t>Laurin</t>
  </si>
  <si>
    <t>Jovanelli</t>
  </si>
  <si>
    <t>34104-5435</t>
  </si>
  <si>
    <t>Malebranche</t>
  </si>
  <si>
    <t>56514-4002</t>
  </si>
  <si>
    <t xml:space="preserve">11321 Mcburney Ridge Ln  San Diego, CA 92131-2940 </t>
  </si>
  <si>
    <t>Betty &amp; For Harter</t>
  </si>
  <si>
    <t xml:space="preserve">10050 Stonewood Dr </t>
  </si>
  <si>
    <t>20-43-24-c2-05659.0030</t>
  </si>
  <si>
    <t>Lehigh Acres Unit 10 Blk 50 Pb 26 Pg 13 Lot 9</t>
  </si>
  <si>
    <t>Joan Hopkins</t>
  </si>
  <si>
    <t>Waukegan</t>
  </si>
  <si>
    <t>Harts Truck Farms Pb 4 Pg 55 Lots 1 2 3 8 E Of R.R.R/W Less Instrument 2020000133605 Less Instrument 2020000246281</t>
  </si>
  <si>
    <t>Barbara &amp; For Hilliard</t>
  </si>
  <si>
    <t>Valorie Hartridge</t>
  </si>
  <si>
    <t>Cape Coral Unit 85 Blk 5671 Pb 24 Pg 53 Lots 18 Thru 20</t>
  </si>
  <si>
    <t>Yandy Fuentes</t>
  </si>
  <si>
    <t xml:space="preserve">8699 Nathans Cove Ct  Jacksonville, FL 32256-4530 </t>
  </si>
  <si>
    <t xml:space="preserve">2626 NE 19th Pl  Cape Coral, FL 33909 </t>
  </si>
  <si>
    <t>Mitchell</t>
  </si>
  <si>
    <t>Cape Coral Unit 36 Blk 2520 Pb 16 Pg 116 Lots 26 + 27</t>
  </si>
  <si>
    <t>29-43-24-c3-02251.0010</t>
  </si>
  <si>
    <t xml:space="preserve">328 Royal Palm Park Rd  Fort Myers, FL 33905 </t>
  </si>
  <si>
    <t>Anthony &amp; Dawn Lazzara</t>
  </si>
  <si>
    <t xml:space="preserve">1907 London Ln  Grayling, MI 49738-7543 </t>
  </si>
  <si>
    <t xml:space="preserve">1108 W Milburn Ave </t>
  </si>
  <si>
    <t>Lehigh Acres Unit 8 Blk 36 Pb 26 Pg 10 Lot 19</t>
  </si>
  <si>
    <t>33909-6884</t>
  </si>
  <si>
    <t>48197-8843</t>
  </si>
  <si>
    <t>Daniel Jaggers</t>
  </si>
  <si>
    <t xml:space="preserve">2528 Federal Ave  Los Angeles, CA 90064-3702 </t>
  </si>
  <si>
    <t>48085-1158</t>
  </si>
  <si>
    <t xml:space="preserve">7420 Chatham St </t>
  </si>
  <si>
    <t>D V D &amp; Karen Zastawny</t>
  </si>
  <si>
    <t>Conservatory</t>
  </si>
  <si>
    <t>18-43-24-c3-05742.0340</t>
  </si>
  <si>
    <t>Sugar Bend</t>
  </si>
  <si>
    <t xml:space="preserve">3724 Kelsey St  Fort Myers, FL 33905 </t>
  </si>
  <si>
    <t xml:space="preserve">8925 182nd Pl  Hollis, NY 11423-1741 </t>
  </si>
  <si>
    <t>Samuel &amp; Ruth Flint</t>
  </si>
  <si>
    <t xml:space="preserve">238 Chemin De La Pepiniere </t>
  </si>
  <si>
    <t>Camille Wrice</t>
  </si>
  <si>
    <t>33909-1530</t>
  </si>
  <si>
    <t>Oconnor Linda Tr</t>
  </si>
  <si>
    <t>06108-1524</t>
  </si>
  <si>
    <t>Masiero</t>
  </si>
  <si>
    <t xml:space="preserve">10445 Nightwood Dr </t>
  </si>
  <si>
    <t>Quest</t>
  </si>
  <si>
    <t>Cape Coral Unit 33 Blk 2228 Pb 16 Pg 47 Lots 38 + 39</t>
  </si>
  <si>
    <t xml:space="preserve">1918 NE 15th St  Cape Coral, FL 33909 </t>
  </si>
  <si>
    <t xml:space="preserve">2214 NE 8th Pl  Cape Coral, FL 33909 </t>
  </si>
  <si>
    <t>Baldovino</t>
  </si>
  <si>
    <t xml:space="preserve">92-1160 Pueonani St </t>
  </si>
  <si>
    <t>Nilsa</t>
  </si>
  <si>
    <t xml:space="preserve">539 Boxford Rd  Haverhill, MA 01835-8302 </t>
  </si>
  <si>
    <t>Siarhei Godes</t>
  </si>
  <si>
    <t xml:space="preserve">1625 NE 17th Ter </t>
  </si>
  <si>
    <t>Cypress Woods Rv Resort Unit 4 Pb 79 Pgs 68-71 Blk D Lot 72</t>
  </si>
  <si>
    <t xml:space="preserve">17327 Tampico Ln  Punta Gorda, FL 33955-4446 </t>
  </si>
  <si>
    <t>18-43-24-c3-05744.0190</t>
  </si>
  <si>
    <t xml:space="preserve">1315 NE 9th Pl </t>
  </si>
  <si>
    <t>03-44-26-12-00066.0060</t>
  </si>
  <si>
    <t>03-44-26-14-00078.0050</t>
  </si>
  <si>
    <t xml:space="preserve">1413 SE 31st Ter  Cape Coral, FL 33904 </t>
  </si>
  <si>
    <t>06-44-24-c1-02066.0170</t>
  </si>
  <si>
    <t>Lake</t>
  </si>
  <si>
    <t xml:space="preserve">2013 NE 7th Ave  Cape Coral, FL 33909 </t>
  </si>
  <si>
    <t>Kilarney</t>
  </si>
  <si>
    <t>03-44-24-09-00000.0810</t>
  </si>
  <si>
    <t>36-43-23-c2-02543.0330</t>
  </si>
  <si>
    <t>Egbert</t>
  </si>
  <si>
    <t>Evarts</t>
  </si>
  <si>
    <t xml:space="preserve">627 SE 31st St </t>
  </si>
  <si>
    <t>19-43-24-c2-05600.0450</t>
  </si>
  <si>
    <t>Gaston</t>
  </si>
  <si>
    <t>Henry &amp; Tina Loewen</t>
  </si>
  <si>
    <t>Debergeyck</t>
  </si>
  <si>
    <t xml:space="preserve">536 Herbert Ln  Brick, NJ 08724-1001 </t>
  </si>
  <si>
    <t>Cape Coral Unit 32 Blk 2140 Pb 16 Pg 4 Lots 10 + 11</t>
  </si>
  <si>
    <t>Enrico Schulaks &amp; Diana Puerta</t>
  </si>
  <si>
    <t xml:space="preserve">2108 NE 24th Ter  Cape Coral, FL 33909 </t>
  </si>
  <si>
    <t xml:space="preserve">3526 E Gator Cir </t>
  </si>
  <si>
    <t xml:space="preserve">5117 Cypress Trail Resort Cir </t>
  </si>
  <si>
    <t xml:space="preserve">1050 Place Rd </t>
  </si>
  <si>
    <t xml:space="preserve">64 Farragut Ave </t>
  </si>
  <si>
    <t>17-43-24-c1-05819.0450</t>
  </si>
  <si>
    <t>31-43-24-c3-02114.0470</t>
  </si>
  <si>
    <t xml:space="preserve">PO Box 138  Harriman, NY 10926 </t>
  </si>
  <si>
    <t xml:space="preserve">638 Lukas Blvd </t>
  </si>
  <si>
    <t>33905-2328</t>
  </si>
  <si>
    <t>Lake Barcroft</t>
  </si>
  <si>
    <t xml:space="preserve">6028 Stratton Rd  Fort Myers, FL 33905 </t>
  </si>
  <si>
    <t xml:space="preserve">8009 Regent  Lewisville, TX 75056-6744 </t>
  </si>
  <si>
    <t>14b</t>
  </si>
  <si>
    <t xml:space="preserve">10170 Sunnywood Ct </t>
  </si>
  <si>
    <t xml:space="preserve">1814 NE 23rd Ter  Cape Coral, FL 33909 </t>
  </si>
  <si>
    <t>Rejas</t>
  </si>
  <si>
    <t xml:space="preserve">904 NE 9th Ter </t>
  </si>
  <si>
    <t xml:space="preserve">2519 NE 5th Pl  Cape Coral, FL 33909 </t>
  </si>
  <si>
    <t>01-44-23-c3-02465.0890</t>
  </si>
  <si>
    <t>31-43-24-c2-02180.038a</t>
  </si>
  <si>
    <t>Cape Coral Unit 88 Blk 5780 Pb 24 Pg 135 Lots 19 Thru 21</t>
  </si>
  <si>
    <t>Cape Coral Unit 87 Blk 5683 Pb 24 Pg 74 Lots 11 + 12</t>
  </si>
  <si>
    <t>Cape Coral Unit 88 Blk 5794 Pb 24 Pg 130 Lots 13 + 14</t>
  </si>
  <si>
    <t>33909-5372</t>
  </si>
  <si>
    <t xml:space="preserve">4504 SW 24th St  Fort Lauderdale, FL 33317-6660 </t>
  </si>
  <si>
    <t xml:space="preserve">1945 NE 14th St </t>
  </si>
  <si>
    <t>33614-8390</t>
  </si>
  <si>
    <t>Cape Coral Unit 87 Blk 5726 Pb 24 Pg 85 Lots 8 + 9</t>
  </si>
  <si>
    <t>Cape Coral Unit 84 Blk 5623 Pb 24 Pg 33 Lots 45 + 46</t>
  </si>
  <si>
    <t xml:space="preserve">2149 NE 20th Ter </t>
  </si>
  <si>
    <t xml:space="preserve">401 NE 24th Ter </t>
  </si>
  <si>
    <t>Cape Coral Unit 36 Blk 2329 Pb 16 Pg 128 Lots 51 + 52</t>
  </si>
  <si>
    <t>Saddle Brook</t>
  </si>
  <si>
    <t>Rankin</t>
  </si>
  <si>
    <t>62465-1072</t>
  </si>
  <si>
    <t xml:space="preserve">E4115 Casey Rd </t>
  </si>
  <si>
    <t>Margit Cerveny</t>
  </si>
  <si>
    <t xml:space="preserve">4130 E Gator Cir </t>
  </si>
  <si>
    <t>Roth</t>
  </si>
  <si>
    <t>Allan &amp; Erin Bir</t>
  </si>
  <si>
    <t>07030-2561</t>
  </si>
  <si>
    <t xml:space="preserve">10010 Willowood Dr </t>
  </si>
  <si>
    <t>Riverwoods</t>
  </si>
  <si>
    <t>34242-2641</t>
  </si>
  <si>
    <t xml:space="preserve">10141 Shadowood Ct </t>
  </si>
  <si>
    <t xml:space="preserve">3753 Kelsey St  Fort Myers, FL 33905 </t>
  </si>
  <si>
    <t xml:space="preserve">3606 NE 18th Ave </t>
  </si>
  <si>
    <t xml:space="preserve">822 NE 32nd Ter  Cape Coral, FL 33909 </t>
  </si>
  <si>
    <t>Labkowski</t>
  </si>
  <si>
    <t>R111</t>
  </si>
  <si>
    <t xml:space="preserve">1280 Hall Rd </t>
  </si>
  <si>
    <t>Emil</t>
  </si>
  <si>
    <t>Mark</t>
  </si>
  <si>
    <t xml:space="preserve">108 Precipice Ln  Export, PA 15632-1171 </t>
  </si>
  <si>
    <t>19-43-24-c3-05574.0050</t>
  </si>
  <si>
    <t>Morton Grove</t>
  </si>
  <si>
    <t xml:space="preserve">6132 Hellman Ave  Fort Myers, FL 33905 </t>
  </si>
  <si>
    <t>03-44-26-03-00013.0260</t>
  </si>
  <si>
    <t>03-44-26-05-00025.0250</t>
  </si>
  <si>
    <t>Wycliff</t>
  </si>
  <si>
    <t>33909-6345</t>
  </si>
  <si>
    <t>Daniel &amp; Kyle Oberle</t>
  </si>
  <si>
    <t>Cape Coral Unit 87 Blk 5696 Pb 24 Pg 79 Lots 31 + 32</t>
  </si>
  <si>
    <t xml:space="preserve">2102 NE 19th Pl </t>
  </si>
  <si>
    <t xml:space="preserve">3607 NE 9th Ave  Cape Coral, FL 33909 </t>
  </si>
  <si>
    <t xml:space="preserve">3846 Ashby Fork Rd  Petersburg, KY 41080-9791 </t>
  </si>
  <si>
    <t xml:space="preserve">30 SW 59th Ave  Miami, FL 33144-3327 </t>
  </si>
  <si>
    <t>31-43-24-c3-02115.0270</t>
  </si>
  <si>
    <t>Lowell</t>
  </si>
  <si>
    <t>Marina Gonzalez</t>
  </si>
  <si>
    <t>33027-5930</t>
  </si>
  <si>
    <t xml:space="preserve">3714 NE 8th Pl </t>
  </si>
  <si>
    <t xml:space="preserve">Urb Puerto Nuevo </t>
  </si>
  <si>
    <t xml:space="preserve">1507 NE 8th Pl </t>
  </si>
  <si>
    <t xml:space="preserve">3176 Marigold Cir </t>
  </si>
  <si>
    <t>18-43-24-c1-05687.0350</t>
  </si>
  <si>
    <t>Courtney</t>
  </si>
  <si>
    <t xml:space="preserve">13407 Electron Dr  Fort Myers, FL 33908 </t>
  </si>
  <si>
    <t>5ds</t>
  </si>
  <si>
    <t xml:space="preserve">1401 E Navajo Dr #506 </t>
  </si>
  <si>
    <t>31-43-24-c1-02148.0210</t>
  </si>
  <si>
    <t>95747-9285</t>
  </si>
  <si>
    <t>Cape Coral Unit 87 Blk 5692 Pb 24 Pg 84 Lots 77 + 78</t>
  </si>
  <si>
    <t>Cape Coral Unit 33 Blk 2285 Pb 16 Pg 59 Lots 44 + 45</t>
  </si>
  <si>
    <t>L6C 1W9</t>
  </si>
  <si>
    <t>03-44-26-13-00074.0170</t>
  </si>
  <si>
    <t xml:space="preserve">1141 NE 37th Ter  Cape Coral, FL 33909 </t>
  </si>
  <si>
    <t xml:space="preserve">1907 NE 5th Ter </t>
  </si>
  <si>
    <t>Brosze</t>
  </si>
  <si>
    <t xml:space="preserve">5260 Lils Ln </t>
  </si>
  <si>
    <t>Colandrea</t>
  </si>
  <si>
    <t xml:space="preserve">965 Tiara Trl  Laredo, TX 78045-6315 </t>
  </si>
  <si>
    <t>Denison</t>
  </si>
  <si>
    <t>Claudia Garst</t>
  </si>
  <si>
    <t>33909-6830</t>
  </si>
  <si>
    <t>11518-1207</t>
  </si>
  <si>
    <t xml:space="preserve">11671 Fox Sparrow Dr </t>
  </si>
  <si>
    <t xml:space="preserve">3030 SW 98th Ave  Miami, FL 33165-2944 </t>
  </si>
  <si>
    <t>Charles &amp; Stacy Thurman</t>
  </si>
  <si>
    <t>Cape Coral Unit 88 Blk 5812 Pb 24 Pg 138 Lots 9 + 10</t>
  </si>
  <si>
    <t>N8S 1T5</t>
  </si>
  <si>
    <t xml:space="preserve">3711 Wilmar Dr </t>
  </si>
  <si>
    <t>60465-1709</t>
  </si>
  <si>
    <t xml:space="preserve">914 NE 36th St </t>
  </si>
  <si>
    <t xml:space="preserve">4204 NE 22nd Ave </t>
  </si>
  <si>
    <t>12-44-23-c2-02396.0280</t>
  </si>
  <si>
    <t>33781-2529</t>
  </si>
  <si>
    <t xml:space="preserve">4364 Stone Ridge Dr #1, Traverse City, MI 49684-7958 </t>
  </si>
  <si>
    <t>Welcome</t>
  </si>
  <si>
    <t>Thomas Brandlhuber</t>
  </si>
  <si>
    <t xml:space="preserve">1817 NE 6th Pl  Cape Coral, FL 33909 </t>
  </si>
  <si>
    <t xml:space="preserve">2029 NE 2nd Ave </t>
  </si>
  <si>
    <t>Elisio</t>
  </si>
  <si>
    <t>Arbilo</t>
  </si>
  <si>
    <t>Khong</t>
  </si>
  <si>
    <t xml:space="preserve">5241 Cypress Trail Resort Cir  Fort Myers, FL 33905 </t>
  </si>
  <si>
    <t xml:space="preserve">8455 NW 165th St </t>
  </si>
  <si>
    <t xml:space="preserve">411 Center Rd  Monroeville, PA 15146-1323 </t>
  </si>
  <si>
    <t xml:space="preserve">4113 Andalusia Blvd </t>
  </si>
  <si>
    <t xml:space="preserve">3035 Norte Dame App 1103  Laval, QC H7u 0B2 </t>
  </si>
  <si>
    <t>Cape Coral Unit 34 Blk 2436 Pb 16 Pg 85 Lots 47 + 48</t>
  </si>
  <si>
    <t>Scott &amp; Denise Duplisea</t>
  </si>
  <si>
    <t>Konda</t>
  </si>
  <si>
    <t>Cantenot</t>
  </si>
  <si>
    <t xml:space="preserve">6042 Garrett Hwy </t>
  </si>
  <si>
    <t xml:space="preserve">2234 NE 39th Ter </t>
  </si>
  <si>
    <t xml:space="preserve">2317 NE 35th Ter  Cape Coral, FL 33909 </t>
  </si>
  <si>
    <t>Hagestead</t>
  </si>
  <si>
    <t>Keeney</t>
  </si>
  <si>
    <t xml:space="preserve">1281 Lawrence Station Rd #426 </t>
  </si>
  <si>
    <t>17-43-24-c2-05798.0320</t>
  </si>
  <si>
    <t xml:space="preserve">7062 155th Pl NE  Redmond, WA 98052-4304 </t>
  </si>
  <si>
    <t>Gatti</t>
  </si>
  <si>
    <t xml:space="preserve">7 Clearwater Dr </t>
  </si>
  <si>
    <t xml:space="preserve">29606 N Tatum Blvd #254 </t>
  </si>
  <si>
    <t>County Rd 3</t>
  </si>
  <si>
    <t>Moon</t>
  </si>
  <si>
    <t>Cape Coral Unit 33 Blk 2278 Pb 16 Pg 60 Lots 19 + 20</t>
  </si>
  <si>
    <t>Psc 10 Box 451</t>
  </si>
  <si>
    <t>Dafoe</t>
  </si>
  <si>
    <t xml:space="preserve">2111 NE 6th Ave  Cape Coral, FL 33909 </t>
  </si>
  <si>
    <t>31-43-24-c1-02149.0010</t>
  </si>
  <si>
    <t>Kern</t>
  </si>
  <si>
    <t xml:space="preserve">580 E Lake Shore Dr  Springfield, IL 62712-8985 </t>
  </si>
  <si>
    <t xml:space="preserve">558 Lafayette Blvd  Long Beach, NY 11561-1834 </t>
  </si>
  <si>
    <t xml:space="preserve">650 Sanford St SW  Palm Bay, FL 32908-3362 </t>
  </si>
  <si>
    <t>11-44-25-04-0000b.0930</t>
  </si>
  <si>
    <t xml:space="preserve">Po Box 632777 </t>
  </si>
  <si>
    <t>01-44-23-c4-02468.0480</t>
  </si>
  <si>
    <t>Cape Coral Unit 87 Blk 5709 Pb 24 Pg 75 Lots 13 + 14</t>
  </si>
  <si>
    <t xml:space="preserve">133 D </t>
  </si>
  <si>
    <t>33909-4748</t>
  </si>
  <si>
    <t>Jorge Devido</t>
  </si>
  <si>
    <t xml:space="preserve">2570 N Portage Rd </t>
  </si>
  <si>
    <t xml:space="preserve">1966 Windward Way </t>
  </si>
  <si>
    <t xml:space="preserve">4001 NE 23rd Pl  Cape Coral, FL 33909 </t>
  </si>
  <si>
    <t>Onyx</t>
  </si>
  <si>
    <t xml:space="preserve">1024 Lewis Run Rd  Clairton, PA 15025-3677 </t>
  </si>
  <si>
    <t>Parcel In N1/2 Of Nw 1/4 Of Nw 1/4 Of Sec</t>
  </si>
  <si>
    <t>Avenue 9</t>
  </si>
  <si>
    <t>109th</t>
  </si>
  <si>
    <t xml:space="preserve">914 NE 2nd Pl </t>
  </si>
  <si>
    <t xml:space="preserve">5887 Brightwood Dr  Fort Myers, FL 33905 </t>
  </si>
  <si>
    <t>Monclova</t>
  </si>
  <si>
    <t>06-44-24-c2-02089.0340</t>
  </si>
  <si>
    <t xml:space="preserve">5521 Cypress Woods Resort Dr  Fort Myers, FL 33905 </t>
  </si>
  <si>
    <t xml:space="preserve">2520 NE 1st Ave </t>
  </si>
  <si>
    <t>33909-4459</t>
  </si>
  <si>
    <t>Cape Coral Unit 34 Blk 2464 Pb 16 Pg 84 Lots 18 + 19</t>
  </si>
  <si>
    <t>17-43-24-c2-05780.0370</t>
  </si>
  <si>
    <t>James Nezam</t>
  </si>
  <si>
    <t xml:space="preserve">51 Breeze Ave  Ronkonkoma, NY 11779-5903 </t>
  </si>
  <si>
    <t>19-43-26-04-0000b.0210</t>
  </si>
  <si>
    <t>Mark &amp; Laura Williams</t>
  </si>
  <si>
    <t xml:space="preserve">407 Ocean Blvd B10 </t>
  </si>
  <si>
    <t xml:space="preserve">7370 Spartan Blvd E B, North Charleston, SC 29418-8427 </t>
  </si>
  <si>
    <t xml:space="preserve">1031 SE 25th Ln </t>
  </si>
  <si>
    <t xml:space="preserve">3925 NE 23rd Pl </t>
  </si>
  <si>
    <t>Bear Lake</t>
  </si>
  <si>
    <t>Versailles</t>
  </si>
  <si>
    <t>Cape Coral Unit 84 Blk 5597 Pb 24 Pg 43 Lots 20 + 21</t>
  </si>
  <si>
    <t>East Freehold</t>
  </si>
  <si>
    <t>91436-1109</t>
  </si>
  <si>
    <t>Grannick</t>
  </si>
  <si>
    <t>33146-1105</t>
  </si>
  <si>
    <t xml:space="preserve">3844 Hyde Park Dr  Fort Myers, FL 33905 </t>
  </si>
  <si>
    <t xml:space="preserve">20 Rue Edgar Degas </t>
  </si>
  <si>
    <t xml:space="preserve">1710 NE 42nd Ter  Cape Coral, FL 33909 </t>
  </si>
  <si>
    <t xml:space="preserve">6027 Jessica St </t>
  </si>
  <si>
    <t xml:space="preserve">385 Detroit Ave  Fort Myers, FL 33905 </t>
  </si>
  <si>
    <t xml:space="preserve">1905 NE 34th Ln </t>
  </si>
  <si>
    <t>19a</t>
  </si>
  <si>
    <t>13 mile</t>
  </si>
  <si>
    <t xml:space="preserve">1900 NE 1st Pl  Cape Coral, FL 33909 </t>
  </si>
  <si>
    <t>20-43-24-c4-05638.0010</t>
  </si>
  <si>
    <t>Graciela &amp; For Hernandez</t>
  </si>
  <si>
    <t>32-44-24-c2-01209.0110</t>
  </si>
  <si>
    <t>72120-1651</t>
  </si>
  <si>
    <t>Beausejour</t>
  </si>
  <si>
    <t>33606-3029</t>
  </si>
  <si>
    <t>Jose Espinal &amp; Dalila Aguilar</t>
  </si>
  <si>
    <t xml:space="preserve">3208 Ashley St </t>
  </si>
  <si>
    <t xml:space="preserve">41 Mannheim Cres </t>
  </si>
  <si>
    <t>Valdes</t>
  </si>
  <si>
    <t xml:space="preserve">Les Lardents Saint Mamans </t>
  </si>
  <si>
    <t xml:space="preserve">14516 SW 79th St  Archer, FL 32618-4404 </t>
  </si>
  <si>
    <t>46168-8664</t>
  </si>
  <si>
    <t xml:space="preserve">2747 NE 5th Pl </t>
  </si>
  <si>
    <t xml:space="preserve">10131 Shadowood Ct  Fort Myers, FL 33905 </t>
  </si>
  <si>
    <t xml:space="preserve">5814 Burrwood Ct </t>
  </si>
  <si>
    <t>Nimes</t>
  </si>
  <si>
    <t>Lidia</t>
  </si>
  <si>
    <t xml:space="preserve">24 Peniston Ave </t>
  </si>
  <si>
    <t xml:space="preserve">3016 NE 5th Ave </t>
  </si>
  <si>
    <t>19148-4707</t>
  </si>
  <si>
    <t>Frank</t>
  </si>
  <si>
    <t xml:space="preserve">2236 Golf Course Blvd </t>
  </si>
  <si>
    <t>Pioneer</t>
  </si>
  <si>
    <t>Ruth Przybilski</t>
  </si>
  <si>
    <t xml:space="preserve">3806 NE 23rd Pl  Cape Coral, FL 33909 </t>
  </si>
  <si>
    <t>Mika</t>
  </si>
  <si>
    <t xml:space="preserve">1918 Andalusia Blvd </t>
  </si>
  <si>
    <t>Cypress Trail Rv Resort Phase 2-A As Desc In Inst# 2014000026506 Lot 9</t>
  </si>
  <si>
    <t xml:space="preserve">4120 NE 10th Pl  Cape Coral, FL 33909 </t>
  </si>
  <si>
    <t>17-43-24-c2-05781.0170</t>
  </si>
  <si>
    <t xml:space="preserve">6303 Blue Lagoon Dr #400, Miami, FL 33126-6040 </t>
  </si>
  <si>
    <t>33909-3236</t>
  </si>
  <si>
    <t>77469-5921</t>
  </si>
  <si>
    <t>Cape Coral Unit 84 Blk 5619 Pb 24 Pg 33 Lots 44 + 45</t>
  </si>
  <si>
    <t xml:space="preserve">2212 NE 14th Pl </t>
  </si>
  <si>
    <t>Park Shore</t>
  </si>
  <si>
    <t>Paul &amp; For Sunderhaus</t>
  </si>
  <si>
    <t>First St Oreta Subdivsion</t>
  </si>
  <si>
    <t>Marcia Young</t>
  </si>
  <si>
    <t>Cape Coral Unit 35 Blk 2387 Pb 16 Pg 111 Lots 66 + 67</t>
  </si>
  <si>
    <t>Carrandi</t>
  </si>
  <si>
    <t>419th</t>
  </si>
  <si>
    <t xml:space="preserve">1218 NE 6th Pl </t>
  </si>
  <si>
    <t>Rixheim</t>
  </si>
  <si>
    <t>Cape Coral Unit 85 Blk 5637 Pb 24 Pg 50 Lot 48</t>
  </si>
  <si>
    <t>18-43-24-c3-05585.0040</t>
  </si>
  <si>
    <t xml:space="preserve">223 Maplewood Trce </t>
  </si>
  <si>
    <t>19-44-26-01-00002.0040</t>
  </si>
  <si>
    <t>Janette &amp; Francisco Garcia</t>
  </si>
  <si>
    <t>Peter Conroy</t>
  </si>
  <si>
    <t xml:space="preserve">2124 NE 9th Ave </t>
  </si>
  <si>
    <t>32257-5750</t>
  </si>
  <si>
    <t>33406-7652</t>
  </si>
  <si>
    <t>36-43-23-c3-02478.0570</t>
  </si>
  <si>
    <t>Thesy</t>
  </si>
  <si>
    <t>36-43-23-c2-02172.0430</t>
  </si>
  <si>
    <t xml:space="preserve">15 Marie-Curie-Str </t>
  </si>
  <si>
    <t>Israel Domingo</t>
  </si>
  <si>
    <t xml:space="preserve">2101 NE 16th Ter  Cape Coral, FL 33909 </t>
  </si>
  <si>
    <t xml:space="preserve">5260 Willow Ct </t>
  </si>
  <si>
    <t xml:space="preserve">Santa Clara  Guaynabo, PR 00969 </t>
  </si>
  <si>
    <t xml:space="preserve">8064 88th Ave </t>
  </si>
  <si>
    <t>17-43-24-c3-05781.0110</t>
  </si>
  <si>
    <t>Pt Of Lt 21 Ns Blounts 5Ac Frms Pb 4 Pg 66 Aka Lt 3 Shady Crk Trailer Pk Unrec</t>
  </si>
  <si>
    <t>33909-7367</t>
  </si>
  <si>
    <t>33901-5007</t>
  </si>
  <si>
    <t>Percy</t>
  </si>
  <si>
    <t xml:space="preserve">3204 NE 15th Pl  Cape Coral, FL 33909 </t>
  </si>
  <si>
    <t xml:space="preserve">5660 Cypress Woods Resort Dr  Fort Myers, FL 33905 </t>
  </si>
  <si>
    <t xml:space="preserve">92-29 Lamontaveapt 6A  Elmhurst, NY 11373 </t>
  </si>
  <si>
    <t xml:space="preserve">3903 NE 12th Ave  Cape Coral, FL 33909 </t>
  </si>
  <si>
    <t>Hasselroth</t>
  </si>
  <si>
    <t xml:space="preserve">2900 Azalea Pl  West Sacramento, CA 95691-5439 </t>
  </si>
  <si>
    <t>Radburn</t>
  </si>
  <si>
    <t xml:space="preserve">623 Inverness Rd  Lisle, IL 60532-2464 </t>
  </si>
  <si>
    <t>232nd</t>
  </si>
  <si>
    <t>Jonathan &amp; Nathalie Rodriguez</t>
  </si>
  <si>
    <t>10-46-23-02-00000.0500</t>
  </si>
  <si>
    <t xml:space="preserve">4343 Brest Rd </t>
  </si>
  <si>
    <t>02842-5966</t>
  </si>
  <si>
    <t xml:space="preserve">412 NE 25th Ter </t>
  </si>
  <si>
    <t xml:space="preserve">2108 NE 6th Ave </t>
  </si>
  <si>
    <t>Melissa &amp; Edward Marchand</t>
  </si>
  <si>
    <t xml:space="preserve">20325 Chestnut Grove Dr </t>
  </si>
  <si>
    <t>N53</t>
  </si>
  <si>
    <t>Ft Myers Shores Unit 5 Blk 76 Pb 16 Pg 69 Lots 31 + 32</t>
  </si>
  <si>
    <t xml:space="preserve">2514 NE 19th Pl  Cape Coral, FL 33909 </t>
  </si>
  <si>
    <t xml:space="preserve">8953 Charing Cross Rd </t>
  </si>
  <si>
    <t>Iossi Ronald G Tr</t>
  </si>
  <si>
    <t>Rafael Molina</t>
  </si>
  <si>
    <t>Lehigh Acres Unit 9 Blk 43 Pb 26 Pg 11 Lot 3</t>
  </si>
  <si>
    <t>Tweed</t>
  </si>
  <si>
    <t>William R Mixon Trust</t>
  </si>
  <si>
    <t xml:space="preserve">1501 NE 19th Ter </t>
  </si>
  <si>
    <t xml:space="preserve">1314 NE 13th Ave </t>
  </si>
  <si>
    <t>25-43-23-c4-02309.0030</t>
  </si>
  <si>
    <t xml:space="preserve">5025 Thistle Ln  Fort Mill, SC 29707-5003 </t>
  </si>
  <si>
    <t>Fayette</t>
  </si>
  <si>
    <t>Cypress Trail Rv Resort Ph 3 As Desc In Inst# 2015000085552 Lot 49</t>
  </si>
  <si>
    <t>Lavin</t>
  </si>
  <si>
    <t xml:space="preserve">10111 NW 1st Mnr </t>
  </si>
  <si>
    <t>33032-4709</t>
  </si>
  <si>
    <t xml:space="preserve">4923 Bonanza Rd  Lake Worth, FL 33467-4780 </t>
  </si>
  <si>
    <t>Cape Coral Unit 33 Blk.2248 Pb 16 Pg 58 Lots 13 + 14</t>
  </si>
  <si>
    <t>Cape Coral Unit 21 Blk 640 Pb 13 Pg 157 Lots 27 + 28</t>
  </si>
  <si>
    <t xml:space="preserve">815 NE 34th Ter </t>
  </si>
  <si>
    <t>Mintra</t>
  </si>
  <si>
    <t>William Glass</t>
  </si>
  <si>
    <t>Salvagni-Atwell</t>
  </si>
  <si>
    <t xml:space="preserve">1823 NE 17th Ter  Cape Coral, FL 33909 </t>
  </si>
  <si>
    <t>06-44-24-c1-02100.0190</t>
  </si>
  <si>
    <t>28-43-26-06-00074.0190</t>
  </si>
  <si>
    <t>Renee Monteleone</t>
  </si>
  <si>
    <t>Todd &amp; Andrea Collier Family</t>
  </si>
  <si>
    <t>Horace &amp; Nathan Zemel</t>
  </si>
  <si>
    <t>Cape Coral Unit 84 Blk 5584 Pb 24 Pb 48 Lots 9 + 10</t>
  </si>
  <si>
    <t>Cotton Top</t>
  </si>
  <si>
    <t xml:space="preserve">5059 Saxony Ct  Cape Coral, FL 33904 </t>
  </si>
  <si>
    <t>31-44-24-c3-00614.0530</t>
  </si>
  <si>
    <t xml:space="preserve">348 Hampshire Ave  Spring Hill, FL 34606-5450 </t>
  </si>
  <si>
    <t>17-43-24-c1-05825.0280</t>
  </si>
  <si>
    <t xml:space="preserve">833 NE 7th Pl </t>
  </si>
  <si>
    <t xml:space="preserve">223 Diplomat Pkwy E </t>
  </si>
  <si>
    <t xml:space="preserve">10 Union St  Methuen, MA 01844-3734 </t>
  </si>
  <si>
    <t>Wanda</t>
  </si>
  <si>
    <t>33909-6144</t>
  </si>
  <si>
    <t>04-44-25-03-00006.2180</t>
  </si>
  <si>
    <t xml:space="preserve">42 Park Pl 4c, New Rochelle, NY 10801-4245 </t>
  </si>
  <si>
    <t>Geraldine</t>
  </si>
  <si>
    <t>Dimas &amp; Vivian Morales</t>
  </si>
  <si>
    <t>Cape Coral Unit 84 Blk 5584 Pb 24 Pg 48 Lots 7 + 8</t>
  </si>
  <si>
    <t>Yadira &amp; Ibis Hodgson</t>
  </si>
  <si>
    <t>Linda Gann</t>
  </si>
  <si>
    <t>33909-8825</t>
  </si>
  <si>
    <t>16127-6229</t>
  </si>
  <si>
    <t xml:space="preserve">4838 Colfax Ave S </t>
  </si>
  <si>
    <t xml:space="preserve">208 NE 31st Ter  Cape Coral, FL 33909 </t>
  </si>
  <si>
    <t>Loewen</t>
  </si>
  <si>
    <t xml:space="preserve">1289 W 500 S  Rochester, IN 46975-7564 </t>
  </si>
  <si>
    <t>Cape Coral Unit 36 Blk 2306 Pb 16 Pg 123 Lots 5 + 6</t>
  </si>
  <si>
    <t>Nancy H Somers Revocable Trust</t>
  </si>
  <si>
    <t xml:space="preserve">2877 Lucena Ln </t>
  </si>
  <si>
    <t xml:space="preserve">36 Meek Ave </t>
  </si>
  <si>
    <t>33905-4062</t>
  </si>
  <si>
    <t>Cecile Leclerc &amp; Dave Mcdowell</t>
  </si>
  <si>
    <t xml:space="preserve">102 Birch Ln </t>
  </si>
  <si>
    <t>Voraruk Wongkittiroch</t>
  </si>
  <si>
    <t xml:space="preserve">PO Box 404  Point Pleasant, PA 18950 </t>
  </si>
  <si>
    <t>Ellis</t>
  </si>
  <si>
    <t xml:space="preserve">13810 Sutton Park Dr N #315, Jacksonville, FL 32224-4241 </t>
  </si>
  <si>
    <t xml:space="preserve">10782 Timber Ridge St  Dubuque, IA 52001-8269 </t>
  </si>
  <si>
    <t xml:space="preserve">10369 Nightwood Dr  Fort Myers, FL 33905 </t>
  </si>
  <si>
    <t xml:space="preserve">135 Ocean Ave 6i, Brooklyn, NY 11225-4715 </t>
  </si>
  <si>
    <t xml:space="preserve">38 Mcculloch Dr </t>
  </si>
  <si>
    <t>C770</t>
  </si>
  <si>
    <t xml:space="preserve">3770 River Point Dr  Fort Myers, FL 33905 </t>
  </si>
  <si>
    <t>Francesco</t>
  </si>
  <si>
    <t>Dalmasso</t>
  </si>
  <si>
    <t>Cape Coral Unit 36 Blk 2520 Pb 16 Pg 116 Lots 24 + 25</t>
  </si>
  <si>
    <t>Thomas Osburn &amp; Thomas For</t>
  </si>
  <si>
    <t xml:space="preserve">280 Lowndes Ave #111, Huntington Station, NY 11746-1258 </t>
  </si>
  <si>
    <t>Cape Coral Unit 36 Pt 1 Blk 2545 Pb 23 Pg 94 Lots 5 + 6</t>
  </si>
  <si>
    <t xml:space="preserve">3855 Hoffman St </t>
  </si>
  <si>
    <t xml:space="preserve">4422 Scott Ave </t>
  </si>
  <si>
    <t xml:space="preserve">3731 Michigan Ave </t>
  </si>
  <si>
    <t xml:space="preserve">123 NE 20th St </t>
  </si>
  <si>
    <t xml:space="preserve">11570 Palm Beach Blvd </t>
  </si>
  <si>
    <t>01-44-23-c4-02467.0190</t>
  </si>
  <si>
    <t>16505-3336</t>
  </si>
  <si>
    <t>Hala</t>
  </si>
  <si>
    <t>Edmund</t>
  </si>
  <si>
    <t xml:space="preserve">4004 Garden Blvd  Cape Coral, FL 33909 </t>
  </si>
  <si>
    <t>Walpole Valley</t>
  </si>
  <si>
    <t>10960-4911</t>
  </si>
  <si>
    <t>Cape Coral Unit 47 Pt 2 Blk 3538 Pb 23 Pg 117 Lots 17 Thru 19</t>
  </si>
  <si>
    <t xml:space="preserve">3830 E Gator Cir  Cape Coral, FL 33909 </t>
  </si>
  <si>
    <t xml:space="preserve">8063 Counselor Rd </t>
  </si>
  <si>
    <t xml:space="preserve">5024 9th Ave  Brooklyn, NY 11220-2904 </t>
  </si>
  <si>
    <t>Cape Coral Unit 84 Blk 5552 Pb 24 Pg 39 Lots 37 + 38</t>
  </si>
  <si>
    <t>Edinburgh</t>
  </si>
  <si>
    <t xml:space="preserve">306 Linn Ridge Rd </t>
  </si>
  <si>
    <t>36-44-23-c2-00903.0160</t>
  </si>
  <si>
    <t>Cape Coral Unit 33 Blk 2228 Pb 16 Pg 47 Lots 36 + 37</t>
  </si>
  <si>
    <t>Oasis Park</t>
  </si>
  <si>
    <t xml:space="preserve">1214 NE 40th Ter </t>
  </si>
  <si>
    <t>Colonade</t>
  </si>
  <si>
    <t xml:space="preserve">3442 NE 10th Pl  Cape Coral, FL 33909 </t>
  </si>
  <si>
    <t xml:space="preserve">1501 NE 40th St  Cape Coral, FL 33909 </t>
  </si>
  <si>
    <t>31-43-24-c2-02155.0030</t>
  </si>
  <si>
    <t>Wausau</t>
  </si>
  <si>
    <t>11208-1017</t>
  </si>
  <si>
    <t xml:space="preserve">216 NE 18th St </t>
  </si>
  <si>
    <t>30093-4886</t>
  </si>
  <si>
    <t>Iwona</t>
  </si>
  <si>
    <t>Lena</t>
  </si>
  <si>
    <t xml:space="preserve">3230 NE 14th Pl </t>
  </si>
  <si>
    <t xml:space="preserve">4128 NE 8th Pl  Cape Coral, FL 33909 </t>
  </si>
  <si>
    <t>Defendini</t>
  </si>
  <si>
    <t>Takako &amp; Brock Young</t>
  </si>
  <si>
    <t xml:space="preserve">2597 Forest City Dr </t>
  </si>
  <si>
    <t>33909-7313</t>
  </si>
  <si>
    <t xml:space="preserve">4327 Arlington Ave </t>
  </si>
  <si>
    <t>Cape Coral Unit 36 Blk 2530 Pb 16 Pg 117 Lots 14 + 15</t>
  </si>
  <si>
    <t>Ivis Cardoso</t>
  </si>
  <si>
    <t>Mark &amp; Sharon Huddle</t>
  </si>
  <si>
    <t>Indian Camp</t>
  </si>
  <si>
    <t xml:space="preserve">1233 N Winslowe Dr #104, Palatine, IL 60074-8517 </t>
  </si>
  <si>
    <t>Chipstead</t>
  </si>
  <si>
    <t xml:space="preserve">8880 W Sunset Rd #250, Las Vegas, NV 89148-5006 </t>
  </si>
  <si>
    <t>Cape Coral Unit 34 Blk 2462 Pb 16 Pg 81 Lots 40 + 41</t>
  </si>
  <si>
    <t xml:space="preserve">8610 11th Ave S </t>
  </si>
  <si>
    <t>Goldenrod</t>
  </si>
  <si>
    <t>Gamboa</t>
  </si>
  <si>
    <t>Buckingham Park N E Sec Blk 18 Pb 9 Pg 59 Lots 14 + 15 + Port Of Vac Alley In Inst# 2013000139384</t>
  </si>
  <si>
    <t>Cape Coral Unit 34 Blk.2444 Pb 16 Pg 78 Lots 15 + 16</t>
  </si>
  <si>
    <t xml:space="preserve">3132 NE 15th Pl </t>
  </si>
  <si>
    <t xml:space="preserve">2103 Kismet Pkwy E </t>
  </si>
  <si>
    <t xml:space="preserve">1911 NE 23rd Ave  Cape Coral, FL 33909 </t>
  </si>
  <si>
    <t xml:space="preserve">530 Pesaro Way  Reno, NV 89521-3216 </t>
  </si>
  <si>
    <t>Cape Coral Unit 36 Blk 2537 Pb 16 Pg 118 Lots 28 + 29</t>
  </si>
  <si>
    <t xml:space="preserve">2811 Verona Ct </t>
  </si>
  <si>
    <t>11-44-25-04-0000b.0440</t>
  </si>
  <si>
    <t>33909-4258</t>
  </si>
  <si>
    <t>25-43-23-c4-02297.a270</t>
  </si>
  <si>
    <t xml:space="preserve">15215 E Fm 320 Dr  Palestine, TX 75803 </t>
  </si>
  <si>
    <t>Galgal Hamazalot</t>
  </si>
  <si>
    <t xml:space="preserve">Po Box 313 </t>
  </si>
  <si>
    <t>03-46-23-02-00000.0220</t>
  </si>
  <si>
    <t>Jacobson</t>
  </si>
  <si>
    <t>Gallagher</t>
  </si>
  <si>
    <t>Wayzata</t>
  </si>
  <si>
    <t>Lehigh Acres Unit 9 Blk 45 Pb 26 Pg 11 Lot 19</t>
  </si>
  <si>
    <t>Poplar Creek</t>
  </si>
  <si>
    <t>Cape Coral Unit 17 Blk.1551 Pb 14 Pg 37 Lots 43 + 44</t>
  </si>
  <si>
    <t>32-43-24-c2-02247.0510</t>
  </si>
  <si>
    <t xml:space="preserve">2202 NE 22nd Ave </t>
  </si>
  <si>
    <t>Uyen</t>
  </si>
  <si>
    <t xml:space="preserve">8 Harris Pl  Fair Lawn, NJ 07410-5205 </t>
  </si>
  <si>
    <t xml:space="preserve">900 20th Ave S #1602, Nashville, TN 37212-2250 </t>
  </si>
  <si>
    <t>Escalante</t>
  </si>
  <si>
    <t>Funcks Subd Pb 1 Pg 35 N 105 Ft Of W 1/2 Lot 5</t>
  </si>
  <si>
    <t>Lehigh Acres W 1/2 Unit 13 Blk 75 Pb 26 Pg 18 Lot 21</t>
  </si>
  <si>
    <t xml:space="preserve">6348 State Route 167 E </t>
  </si>
  <si>
    <t>Continental</t>
  </si>
  <si>
    <t>07093-1322</t>
  </si>
  <si>
    <t>33909-2062</t>
  </si>
  <si>
    <t xml:space="preserve">2001 NE 44th Ter  Cape Coral, FL 33909 </t>
  </si>
  <si>
    <t>Dade City</t>
  </si>
  <si>
    <t>Curtis Jacqueline Ann Tr</t>
  </si>
  <si>
    <t>33905-6204</t>
  </si>
  <si>
    <t>Herrick</t>
  </si>
  <si>
    <t>Azalea</t>
  </si>
  <si>
    <t xml:space="preserve">1614 Rosebud Ln </t>
  </si>
  <si>
    <t>Lee Ann Head Tr</t>
  </si>
  <si>
    <t>36-43-23-c1-02522.0300</t>
  </si>
  <si>
    <t>Cape Coral Unit 34 Blk 2428 Pb 16 Pg 80 Lots 39 + 40</t>
  </si>
  <si>
    <t xml:space="preserve">PO Box 72  Ferguson, IA 50078 </t>
  </si>
  <si>
    <t>33909-1977</t>
  </si>
  <si>
    <t xml:space="preserve">2059 NE 20th Ln </t>
  </si>
  <si>
    <t>Cape Coral Unit 36 Blk 2348 Pb 16 Pg 128 Lots 39 + 40</t>
  </si>
  <si>
    <t>Filippa</t>
  </si>
  <si>
    <t xml:space="preserve">445 SW Heathridge Dr </t>
  </si>
  <si>
    <t>Stephanie &amp; Salvatore Savocchi</t>
  </si>
  <si>
    <t>Rs-6</t>
  </si>
  <si>
    <t>33909-6482</t>
  </si>
  <si>
    <t>17-43-24-c4-05774.0410</t>
  </si>
  <si>
    <t>Hany Megallaa</t>
  </si>
  <si>
    <t>25-43-23-c4-02299.0330</t>
  </si>
  <si>
    <t xml:space="preserve">350 Padiham Rd </t>
  </si>
  <si>
    <t xml:space="preserve">11754 N Freelandville Rd  Edwardsport, IN 47528-8013 </t>
  </si>
  <si>
    <t>Keel Boat</t>
  </si>
  <si>
    <t>Cape Coral Unit 31 Blk.2067 Pb 14 Pg 164 Lots 44 + 45</t>
  </si>
  <si>
    <t xml:space="preserve">2008 NE 1st Ave  Cape Coral, FL 33909 </t>
  </si>
  <si>
    <t xml:space="preserve">Av 6 #4490 </t>
  </si>
  <si>
    <t xml:space="preserve">2106 NE 20th Ter  Cape Coral, FL 33909 </t>
  </si>
  <si>
    <t>08003-1505</t>
  </si>
  <si>
    <t>34117-4662</t>
  </si>
  <si>
    <t xml:space="preserve">5558 Palm Beach Blvd #419 </t>
  </si>
  <si>
    <t>33013-2360</t>
  </si>
  <si>
    <t>Ekkehardstrasse</t>
  </si>
  <si>
    <t>Commonwealth</t>
  </si>
  <si>
    <t>07202-1606</t>
  </si>
  <si>
    <t>Leonard George Tr</t>
  </si>
  <si>
    <t>Angelo Nepomeceno</t>
  </si>
  <si>
    <t>11-44-25-08-00000.1920</t>
  </si>
  <si>
    <t xml:space="preserve">1221 NE 9th St  Cape Coral, FL 33909 </t>
  </si>
  <si>
    <t xml:space="preserve">3773 NE 16th Pl </t>
  </si>
  <si>
    <t>Saturno</t>
  </si>
  <si>
    <t xml:space="preserve">6038 Houston Ave  Fort Myers, FL 33905 </t>
  </si>
  <si>
    <t xml:space="preserve">10724 78th St  Ozone Park, NY 11417-1105 </t>
  </si>
  <si>
    <t>07083-7760</t>
  </si>
  <si>
    <t xml:space="preserve">3018 NE 6th Pl  Cape Coral, FL 33909 </t>
  </si>
  <si>
    <t xml:space="preserve">1721 NE 33rd Ter  Cape Coral, FL 33909 </t>
  </si>
  <si>
    <t xml:space="preserve">4367 Laurelhurst Rd  Moorpark, CA 93021-2334 </t>
  </si>
  <si>
    <t>32-45-24-00-00010.0050</t>
  </si>
  <si>
    <t>33909-8874</t>
  </si>
  <si>
    <t xml:space="preserve">2805 NE 4th Ave </t>
  </si>
  <si>
    <t>John James</t>
  </si>
  <si>
    <t xml:space="preserve">3902 NE 10th Ave  Cape Coral, FL 33909 </t>
  </si>
  <si>
    <t>Cypress Trail Rv Resort Phase 2-A As Desc In Inst# 2014000026506 Lot 26</t>
  </si>
  <si>
    <t xml:space="preserve">7305 Fountain Ave </t>
  </si>
  <si>
    <t>Norfolk</t>
  </si>
  <si>
    <t>Christina Sauger</t>
  </si>
  <si>
    <t>15-44-26-01-00019.0040</t>
  </si>
  <si>
    <t xml:space="preserve">5204 Cypress Trail Resort Cir </t>
  </si>
  <si>
    <t>Jaime &amp; Zenaida Munson</t>
  </si>
  <si>
    <t>Bennick</t>
  </si>
  <si>
    <t>Duran</t>
  </si>
  <si>
    <t>Belya</t>
  </si>
  <si>
    <t>21061-4662</t>
  </si>
  <si>
    <t>33909-3520</t>
  </si>
  <si>
    <t xml:space="preserve">Viale Trento #88, Vicenza, IT </t>
  </si>
  <si>
    <t xml:space="preserve">2212 NE 15th Ave  Cape Coral, FL 33909 </t>
  </si>
  <si>
    <t>Cape Coral Unit 32 Blk 2126 Pb 16 Pg 10 Lots 39 + 40</t>
  </si>
  <si>
    <t>06716-2512</t>
  </si>
  <si>
    <t>19-43-24-c4-05565.0010</t>
  </si>
  <si>
    <t xml:space="preserve">319 NE 25th St  Cape Coral, FL 33909 </t>
  </si>
  <si>
    <t>Cape Coral Unit 84 Blk.5551 Pb 24 Pg 31 Lots 1 + 2</t>
  </si>
  <si>
    <t>Robert Swist</t>
  </si>
  <si>
    <t>Erika</t>
  </si>
  <si>
    <t>Bell Buckle</t>
  </si>
  <si>
    <t xml:space="preserve">114 Adelaide St </t>
  </si>
  <si>
    <t>49341-9630</t>
  </si>
  <si>
    <t>06-44-24-c2-02090.0430</t>
  </si>
  <si>
    <t xml:space="preserve">6155 Hughes Ave </t>
  </si>
  <si>
    <t>Corbin</t>
  </si>
  <si>
    <t>Kastner</t>
  </si>
  <si>
    <t xml:space="preserve">3707 Stagg Ct  Fort Myers, FL 33905 </t>
  </si>
  <si>
    <t>25-43-23-c2-02316.0330</t>
  </si>
  <si>
    <t>Cape Coral Unit 35 Blk.2372 Pb 16 Pg 101 Lots 29 + 30</t>
  </si>
  <si>
    <t xml:space="preserve">5220 Cypress Trail Resort Cir </t>
  </si>
  <si>
    <t>Uwe &amp; Elke Fuerst</t>
  </si>
  <si>
    <t xml:space="preserve">Po Box 843 </t>
  </si>
  <si>
    <t xml:space="preserve">3750 Hilton Ave SE  Lowell, MI 49331-9527 </t>
  </si>
  <si>
    <t xml:space="preserve">1706 NE 18th Pl </t>
  </si>
  <si>
    <t>33905-7765</t>
  </si>
  <si>
    <t xml:space="preserve">1805 NE 17th St  Cape Coral, FL 33909 </t>
  </si>
  <si>
    <t>Boyken Duane R Tr</t>
  </si>
  <si>
    <t>20-43-24-c1-05643.0280</t>
  </si>
  <si>
    <t>15146-1323</t>
  </si>
  <si>
    <t>2l</t>
  </si>
  <si>
    <t xml:space="preserve">332 NE 27th St  Cape Coral, FL 33909 </t>
  </si>
  <si>
    <t xml:space="preserve">2320 NE 26th St  Cape Coral, FL 33909 </t>
  </si>
  <si>
    <t>Paull</t>
  </si>
  <si>
    <t xml:space="preserve">340 Tuscany Way #305 </t>
  </si>
  <si>
    <t xml:space="preserve">11 Magee Dr  Glenmont, NY 12077-3413 </t>
  </si>
  <si>
    <t>33909-1438</t>
  </si>
  <si>
    <t>07513-1302</t>
  </si>
  <si>
    <t>Johnson City</t>
  </si>
  <si>
    <t>Cape Coral Unit 47 Pt 2 Blk 3524 Pb 23 Pg 117 Lots 15 + 16</t>
  </si>
  <si>
    <t>33909-7362</t>
  </si>
  <si>
    <t xml:space="preserve">210 14th Ave N </t>
  </si>
  <si>
    <t>Atanay</t>
  </si>
  <si>
    <t>Materials</t>
  </si>
  <si>
    <t xml:space="preserve">7108 Chestnut St NW  Washington, DC 20012-2028 </t>
  </si>
  <si>
    <t>For Kwan Ho &amp; Herminia M Lee Trust</t>
  </si>
  <si>
    <t>Thurman</t>
  </si>
  <si>
    <t xml:space="preserve">5024 S Bur Oak Pl #200 </t>
  </si>
  <si>
    <t>36-43-23-c2-02532.0260</t>
  </si>
  <si>
    <t>34-43-25-09-00000.2870</t>
  </si>
  <si>
    <t xml:space="preserve">6610 Grand Ave 4c </t>
  </si>
  <si>
    <t>Patti-Ann</t>
  </si>
  <si>
    <t xml:space="preserve">22 NE 11th Ter  Cape Coral, FL 33909 </t>
  </si>
  <si>
    <t xml:space="preserve">11510 Basye St </t>
  </si>
  <si>
    <t>Michael Munayer</t>
  </si>
  <si>
    <t>Nepomeceno</t>
  </si>
  <si>
    <t xml:space="preserve">4144 NE 21st Pl  Cape Coral, FL 33909 </t>
  </si>
  <si>
    <t xml:space="preserve">8934 Springwood Cir  Saint Paul, MN 55125-4913 </t>
  </si>
  <si>
    <t>Grandville</t>
  </si>
  <si>
    <t>92354-2559</t>
  </si>
  <si>
    <t>Barry &amp; Kathleen Shaughnessy</t>
  </si>
  <si>
    <t>Farmer</t>
  </si>
  <si>
    <t>18-43-24-c4-05705.0030</t>
  </si>
  <si>
    <t xml:space="preserve">1010 Nautical Dr  Vermilion, OH 44089-1718 </t>
  </si>
  <si>
    <t xml:space="preserve">4445 Rodeo Trl </t>
  </si>
  <si>
    <t xml:space="preserve">1120 NE 32nd Ln </t>
  </si>
  <si>
    <t>25-43-23-c2-02317.0130</t>
  </si>
  <si>
    <t xml:space="preserve">44574 Nolani Way #203, California, MD 20619-7067 </t>
  </si>
  <si>
    <t xml:space="preserve">34 Bd De Charonne  Denison, TX 75020 </t>
  </si>
  <si>
    <t xml:space="preserve">11651 Blue Warbler Dr  Fort Myers, FL 33908 </t>
  </si>
  <si>
    <t>B029</t>
  </si>
  <si>
    <t>Edward &amp; Cathy Reinthaler</t>
  </si>
  <si>
    <t>36-43-23-c1-02547.0380</t>
  </si>
  <si>
    <t xml:space="preserve">261 Alameda Ave  Fort Myers, FL 33905 </t>
  </si>
  <si>
    <t xml:space="preserve">51 Ledgeways  Wellesley Hills, MA 02481-1410 </t>
  </si>
  <si>
    <t>29169-4589</t>
  </si>
  <si>
    <t>Cape Coral Unit 34 Blk 2468 Pb 16 Pg 75 Lots 20 + 21</t>
  </si>
  <si>
    <t xml:space="preserve">3821 Heyburn St </t>
  </si>
  <si>
    <t>03602-3342</t>
  </si>
  <si>
    <t>03-44-26-02-00009.0140</t>
  </si>
  <si>
    <t xml:space="preserve">10215 Yellowtop Trl  Fort Myers, FL 33905 </t>
  </si>
  <si>
    <t>07442-1239</t>
  </si>
  <si>
    <t>33572-3436</t>
  </si>
  <si>
    <t>Holiday Travel Park Rv Condo Ph 1 Or 1557 Pg 1583 Unit 96</t>
  </si>
  <si>
    <t xml:space="preserve">2014 NE 12th Ln </t>
  </si>
  <si>
    <t xml:space="preserve">2314 NE 8th Pl  Cape Coral, FL 33909 </t>
  </si>
  <si>
    <t>11-44-25-09-00000.0740</t>
  </si>
  <si>
    <t xml:space="preserve">1040 Hilliard Rome Rd  Columbus, OH 43228-9474 </t>
  </si>
  <si>
    <t>Contreras</t>
  </si>
  <si>
    <t>Mc Kean</t>
  </si>
  <si>
    <t xml:space="preserve">1318 NE 37th St  Cape Coral, FL 33909 </t>
  </si>
  <si>
    <t>Huntley</t>
  </si>
  <si>
    <t xml:space="preserve">3813 NE 10th Pl  Cape Coral, FL 33909 </t>
  </si>
  <si>
    <t>Irish Peach</t>
  </si>
  <si>
    <t xml:space="preserve">87 Oak St  Deer Park, NY 11729-2603 </t>
  </si>
  <si>
    <t xml:space="preserve">4231 W 10th Ave  Hialeah, FL 33012-7393 </t>
  </si>
  <si>
    <t>Holtsville</t>
  </si>
  <si>
    <t>Sarah Plowden</t>
  </si>
  <si>
    <t xml:space="preserve">13520 Sherrill Point Ct  Fort Myers, FL 33908 </t>
  </si>
  <si>
    <t>Sebastian</t>
  </si>
  <si>
    <t>33903-1441</t>
  </si>
  <si>
    <t xml:space="preserve">13964 Old Cutler Rd </t>
  </si>
  <si>
    <t>Baltazar</t>
  </si>
  <si>
    <t>11-44-25-04-0000a.0150</t>
  </si>
  <si>
    <t xml:space="preserve">4117 E Gator Cir  Cape Coral, FL 33909 </t>
  </si>
  <si>
    <t>33909-8820</t>
  </si>
  <si>
    <t>03-44-25-03-0000f.0090</t>
  </si>
  <si>
    <t>12-44-23-c1-02404.0240</t>
  </si>
  <si>
    <t>Jon Tsakis</t>
  </si>
  <si>
    <t>Cape Coral Unit 31 Blk 2091 Pb 14 Pg 162 Lots 5 + 6</t>
  </si>
  <si>
    <t xml:space="preserve">8831 Woodgate Dr </t>
  </si>
  <si>
    <t>Cape Coral Unit 47 Part 2 Blk 3516 Pb 23 Pg 122 Lots 19 + 20</t>
  </si>
  <si>
    <t>20-43-24-c1-05598.0430</t>
  </si>
  <si>
    <t>73012-6660</t>
  </si>
  <si>
    <t>Sienna</t>
  </si>
  <si>
    <t>Cape Coral Unit 31 Blk 2060 Pb 14 Pg 156 Lots 8 + 9</t>
  </si>
  <si>
    <t>Sunil Rodrigues Family Trust</t>
  </si>
  <si>
    <t>R019</t>
  </si>
  <si>
    <t>Willowwood</t>
  </si>
  <si>
    <t>25-43-23-c1-02326.0710</t>
  </si>
  <si>
    <t xml:space="preserve">21340 NE 8th Ct #3, Miami, FL 33179-1268 </t>
  </si>
  <si>
    <t>Jose Rodriguez</t>
  </si>
  <si>
    <t>Pittaway</t>
  </si>
  <si>
    <t xml:space="preserve">40 Woodruff Ave #209 </t>
  </si>
  <si>
    <t xml:space="preserve">3830 NE 23rd Pl  Cape Coral, FL 33909 </t>
  </si>
  <si>
    <t>Cape Coral Unit 87 Blk 5742 Pb 24 Pg 69 Lots 19 + 20</t>
  </si>
  <si>
    <t>For</t>
  </si>
  <si>
    <t>34987-1984</t>
  </si>
  <si>
    <t>Patel &amp; Patel For</t>
  </si>
  <si>
    <t xml:space="preserve">14120 Autumn Creek Dr  Utica, MI 48315-4974 </t>
  </si>
  <si>
    <t>Lehigh Acres Unit 5 Blk 25 Pb 26 Pg 32 Lot 2</t>
  </si>
  <si>
    <t>Shirly</t>
  </si>
  <si>
    <t xml:space="preserve">831 NE 41st St </t>
  </si>
  <si>
    <t>Karl</t>
  </si>
  <si>
    <t>33909-0700</t>
  </si>
  <si>
    <t xml:space="preserve">1275 E 51st St 5h </t>
  </si>
  <si>
    <t>Cape Coral Unit 36 Blk 2339 Pb 16 Pg 124 Lots 53 + 54</t>
  </si>
  <si>
    <t>Michelle</t>
  </si>
  <si>
    <t xml:space="preserve">2263 Dora St </t>
  </si>
  <si>
    <t>CL</t>
  </si>
  <si>
    <t xml:space="preserve">70 Linden Ave </t>
  </si>
  <si>
    <t xml:space="preserve">778 North Dr </t>
  </si>
  <si>
    <t xml:space="preserve">2922 SE 1st Ave  Cape Coral, FL 33904 </t>
  </si>
  <si>
    <t>Storey</t>
  </si>
  <si>
    <t>Wei Chin</t>
  </si>
  <si>
    <t>Cancio</t>
  </si>
  <si>
    <t xml:space="preserve">3783 Kemper St  Fort Myers, FL 33905 </t>
  </si>
  <si>
    <t>18-43-24-c3-05747.0130</t>
  </si>
  <si>
    <t xml:space="preserve">1418 NE 7th Pl  Cape Coral, FL 33909 </t>
  </si>
  <si>
    <t>31-43-24-c2-02180.0640</t>
  </si>
  <si>
    <t>36-43-23-c1-02521.0010</t>
  </si>
  <si>
    <t xml:space="preserve">602 NE 12th St  Cape Coral, FL 33909 </t>
  </si>
  <si>
    <t xml:space="preserve">11032 Cynthia Cir  Garden Grove, CA 92843-3416 </t>
  </si>
  <si>
    <t>25-43-23-c2-02350.0430</t>
  </si>
  <si>
    <t xml:space="preserve">1006 SW 26th Ave </t>
  </si>
  <si>
    <t>Clyde</t>
  </si>
  <si>
    <t xml:space="preserve">1715 NE 1st Ave  Cape Coral, FL 33909 </t>
  </si>
  <si>
    <t xml:space="preserve">475 Bronx River Rd  Yonkers, NY 10704-2542 </t>
  </si>
  <si>
    <t>PO Box 1298</t>
  </si>
  <si>
    <t>Rd-W</t>
  </si>
  <si>
    <t>Big Sky</t>
  </si>
  <si>
    <t xml:space="preserve">105 Parliament Dr  Lafayette, LA 70506-6186 </t>
  </si>
  <si>
    <t xml:space="preserve">1509 NE 33rd Ter </t>
  </si>
  <si>
    <t>Crendall Newton</t>
  </si>
  <si>
    <t>Cape Coral Unit 36 Blk 2343 Pb 16 Pg 121 Lots 59 + 60</t>
  </si>
  <si>
    <t xml:space="preserve">Po Box 21 </t>
  </si>
  <si>
    <t>33905-7711</t>
  </si>
  <si>
    <t>MO</t>
  </si>
  <si>
    <t xml:space="preserve">3615 NE 19th Pl  Cape Coral, FL 33909 </t>
  </si>
  <si>
    <t xml:space="preserve">Po Box 561 </t>
  </si>
  <si>
    <t>Vestavia Hills</t>
  </si>
  <si>
    <t>Modesto</t>
  </si>
  <si>
    <t>Cape Coral Unit 33 Blk.2248 Pb 16 Pg 58 Lots 11 + 12</t>
  </si>
  <si>
    <t>Beverly Hills</t>
  </si>
  <si>
    <t xml:space="preserve">30623 Dover Rd </t>
  </si>
  <si>
    <t>33909-6449</t>
  </si>
  <si>
    <t>Apkar Ekmekjian</t>
  </si>
  <si>
    <t>Osage Beach</t>
  </si>
  <si>
    <t>08-44-24-c4-01540.0420</t>
  </si>
  <si>
    <t>34668-3225</t>
  </si>
  <si>
    <t>Joseph &amp; Carmelita Souto</t>
  </si>
  <si>
    <t xml:space="preserve">709 NE 19th Ter  Cape Coral, FL 33909 </t>
  </si>
  <si>
    <t>07-46-25-04-0000b.0110</t>
  </si>
  <si>
    <t>Moenchweiler</t>
  </si>
  <si>
    <t xml:space="preserve">7538 Abbington Dr </t>
  </si>
  <si>
    <t xml:space="preserve">1840 Broadway Blvd  Toms River, NJ 08757-2901 </t>
  </si>
  <si>
    <t>Sanda &amp; Avi Miga</t>
  </si>
  <si>
    <t>For Rotondi Trust</t>
  </si>
  <si>
    <t>01-44-23-c1-02463.0240</t>
  </si>
  <si>
    <t xml:space="preserve">2566 Dryden Cir </t>
  </si>
  <si>
    <t>33909-4542</t>
  </si>
  <si>
    <t>05-44-24-c1-03534.0070</t>
  </si>
  <si>
    <t xml:space="preserve">454 Loudon Rd </t>
  </si>
  <si>
    <t xml:space="preserve">PO Box 19462  Charlotte, NC 28219-9462 </t>
  </si>
  <si>
    <t xml:space="preserve">4232 NE 22nd Pl </t>
  </si>
  <si>
    <t>11-44-25-07-00000.1490</t>
  </si>
  <si>
    <t>Palmona Park Unit 1 Blk 35 Pb 7 Pg 54 N 55 Ft Of Lot 10</t>
  </si>
  <si>
    <t xml:space="preserve">2113 NE 33rd Ter </t>
  </si>
  <si>
    <t>Cape Coral Unit 36 Pt 1 Blk 2480 Pb 23 Pg 90 Lots 40 Thru 42</t>
  </si>
  <si>
    <t xml:space="preserve">6017 Joplin Ave  Fort Myers, FL 33905 </t>
  </si>
  <si>
    <t xml:space="preserve">3857 Highlight St </t>
  </si>
  <si>
    <t>Menedez</t>
  </si>
  <si>
    <t xml:space="preserve">825 Blair St  Bohemia, NY 11716-3603 </t>
  </si>
  <si>
    <t xml:space="preserve">92 Village Rd </t>
  </si>
  <si>
    <t>Rm-12</t>
  </si>
  <si>
    <t>Vanhise</t>
  </si>
  <si>
    <t xml:space="preserve">2027 NE 25th Ter </t>
  </si>
  <si>
    <t xml:space="preserve">1521 SW 82nd Ct </t>
  </si>
  <si>
    <t xml:space="preserve">1502 NE 10th Ln </t>
  </si>
  <si>
    <t>Windsor Heights</t>
  </si>
  <si>
    <t>33909-1487</t>
  </si>
  <si>
    <t xml:space="preserve">5 Tennis Ter  Sparta, NJ 07871-1417 </t>
  </si>
  <si>
    <t>53029-2215</t>
  </si>
  <si>
    <t xml:space="preserve">2626 NE 19th Pl </t>
  </si>
  <si>
    <t>Pierino</t>
  </si>
  <si>
    <t>34108-7110</t>
  </si>
  <si>
    <t>Placencia</t>
  </si>
  <si>
    <t xml:space="preserve">3810 W Gator Cir  Cape Coral, FL 33909 </t>
  </si>
  <si>
    <t xml:space="preserve">2567 Shiloh Park </t>
  </si>
  <si>
    <t>36-43-23-c3-02481.0260</t>
  </si>
  <si>
    <t xml:space="preserve">4141 NE 16th Ave </t>
  </si>
  <si>
    <t xml:space="preserve">1634 S Sherman St  Denver, CO 80210-2624 </t>
  </si>
  <si>
    <t xml:space="preserve">8 Hiawatha Pky </t>
  </si>
  <si>
    <t xml:space="preserve">13 Calle 142 #911 </t>
  </si>
  <si>
    <t xml:space="preserve">10 Sturbridge Ct  Nanuet, NY 10954-1032 </t>
  </si>
  <si>
    <t>Payano</t>
  </si>
  <si>
    <t xml:space="preserve">440 Seventh Ave </t>
  </si>
  <si>
    <t xml:space="preserve">14041 Barkwood St  Fort Myers, FL 33905 </t>
  </si>
  <si>
    <t>11-44-25-l1-1400a.1200</t>
  </si>
  <si>
    <t>Eleanor Simms</t>
  </si>
  <si>
    <t xml:space="preserve">Po Box 2114 </t>
  </si>
  <si>
    <t>3rd</t>
  </si>
  <si>
    <t xml:space="preserve">318 NE 27th St  Cape Coral, FL 33909 </t>
  </si>
  <si>
    <t>Ernest &amp; Joan Jones</t>
  </si>
  <si>
    <t>Jeffrey &amp; Sherry Parkes</t>
  </si>
  <si>
    <t>Songkham</t>
  </si>
  <si>
    <t>33909-5226</t>
  </si>
  <si>
    <t xml:space="preserve">1415 NE 20th Ave  Cape Coral, FL 33909 </t>
  </si>
  <si>
    <t xml:space="preserve">2802 NE 6th Ave </t>
  </si>
  <si>
    <t>34105-2808</t>
  </si>
  <si>
    <t>33905-3433</t>
  </si>
  <si>
    <t>Cypress Woods Rv Resort Un 3 Desc In Pb 72 Pgs 92-95 Blk C Lot 55</t>
  </si>
  <si>
    <t xml:space="preserve">3525 NW 12th Ter </t>
  </si>
  <si>
    <t>Samaniego</t>
  </si>
  <si>
    <t xml:space="preserve">2003 NE 2nd St  Cape Coral, FL 33909 </t>
  </si>
  <si>
    <t>QC</t>
  </si>
  <si>
    <t>98424-3573</t>
  </si>
  <si>
    <t xml:space="preserve">268 Saw Mill Rd </t>
  </si>
  <si>
    <t>Lehigh Acres Unit 2 Blk 7 Pb 26 Pg 4 Lot 4</t>
  </si>
  <si>
    <t>28305-5042</t>
  </si>
  <si>
    <t>PO Box 870</t>
  </si>
  <si>
    <t xml:space="preserve">26 N Main St #6, North Andover, MA 01845-1606 </t>
  </si>
  <si>
    <t xml:space="preserve">2008 NE 34th Ln  Cape Coral, FL 33909 </t>
  </si>
  <si>
    <t>Spencer Hansen</t>
  </si>
  <si>
    <t>Higginsville</t>
  </si>
  <si>
    <t>Gerdes</t>
  </si>
  <si>
    <t>08-44-24-c3-01525.0670</t>
  </si>
  <si>
    <t>F106</t>
  </si>
  <si>
    <t xml:space="preserve">3504 NE 17th Pl  Cape Coral, FL 33909 </t>
  </si>
  <si>
    <t>Cape Coral Unit 84 Blk 5552 Pb 24 Pg 39 Lots 35 + 36</t>
  </si>
  <si>
    <t>Carris</t>
  </si>
  <si>
    <t>Filomena</t>
  </si>
  <si>
    <t xml:space="preserve">1801 NE 27th St  Cape Coral, FL 33909 </t>
  </si>
  <si>
    <t>Palmona Park Unit 1 Blk 46 Pb 7 Pg 54 Lot 3</t>
  </si>
  <si>
    <t xml:space="preserve">42 Beatty Cres  Aurora, ON L4g 5V4 </t>
  </si>
  <si>
    <t xml:space="preserve">923 Huron Rd  Franklin Lakes, NJ 07417-2210 </t>
  </si>
  <si>
    <t>Delekta</t>
  </si>
  <si>
    <t>Fruitland</t>
  </si>
  <si>
    <t xml:space="preserve">423 NE 31st Ter  Cape Coral, FL 33909 </t>
  </si>
  <si>
    <t>Florea</t>
  </si>
  <si>
    <t xml:space="preserve">2200 NE 2nd Pl </t>
  </si>
  <si>
    <t xml:space="preserve">3251 Silver Springs Dr #51 </t>
  </si>
  <si>
    <t>Janush Zukiewicz</t>
  </si>
  <si>
    <t xml:space="preserve">1005 NE 2nd Pl  Cape Coral, FL 33909 </t>
  </si>
  <si>
    <t>Gleason</t>
  </si>
  <si>
    <t xml:space="preserve">7337 Applegate Dr </t>
  </si>
  <si>
    <t xml:space="preserve">831 Trout Haven Rd </t>
  </si>
  <si>
    <t>Robertson</t>
  </si>
  <si>
    <t xml:space="preserve">3527 NE 19th Ave  Cape Coral, FL 33909 </t>
  </si>
  <si>
    <t>33909-7450</t>
  </si>
  <si>
    <t>Cape Coral Unit 85 Blk 5633 Pb 24 Pg 50 Lots 11 + 12</t>
  </si>
  <si>
    <t>Cape Coral Unit 15 Blk.424 Pb 13 Pg 71 Lots 25 + 26</t>
  </si>
  <si>
    <t>Viale Trento</t>
  </si>
  <si>
    <t>Venetzia</t>
  </si>
  <si>
    <t xml:space="preserve">1912 NE 44th St  Cape Coral, FL 33909 </t>
  </si>
  <si>
    <t>Cape Coral Unit 84 Blk 5577 Pb 24 Pg 45 Lots 23 + 24</t>
  </si>
  <si>
    <t xml:space="preserve">12032 SW 132nd Ct #205, Miami, FL 33186-6409 </t>
  </si>
  <si>
    <t xml:space="preserve">1114 NE 32nd St  Cape Coral, FL 33909 </t>
  </si>
  <si>
    <t>Ricciuti</t>
  </si>
  <si>
    <t xml:space="preserve">1918 NE 28th St  Cape Coral, FL 33909 </t>
  </si>
  <si>
    <t>New Britain</t>
  </si>
  <si>
    <t xml:space="preserve">3243 NE 13th Ave  Cape Coral, FL 33909 </t>
  </si>
  <si>
    <t xml:space="preserve">12525 River Rd </t>
  </si>
  <si>
    <t>37766-6950</t>
  </si>
  <si>
    <t xml:space="preserve">4033 NE 8th Pl </t>
  </si>
  <si>
    <t xml:space="preserve">4024 W Gator Cir  Cape Coral, FL 33909 </t>
  </si>
  <si>
    <t xml:space="preserve">2519 NE 7th Pl </t>
  </si>
  <si>
    <t xml:space="preserve">30663 W Dam Access Rd  Warsaw, MO 65355-4027 </t>
  </si>
  <si>
    <t>HK</t>
  </si>
  <si>
    <t>Peachtree Corners</t>
  </si>
  <si>
    <t>Clark-Labrie</t>
  </si>
  <si>
    <t>Salmeron</t>
  </si>
  <si>
    <t xml:space="preserve">2837 Rushland Dr </t>
  </si>
  <si>
    <t xml:space="preserve">4320 E 75th St  Indianapolis, IN 46250-2208 </t>
  </si>
  <si>
    <t>Paul Zabka</t>
  </si>
  <si>
    <t>03-44-26-03-00013.0310</t>
  </si>
  <si>
    <t>Cape Coral Unit 84 Blk 5623 Pb 24 Pg 33 Lots 41 + 42</t>
  </si>
  <si>
    <t xml:space="preserve">1101 Diplomat Pkwy E </t>
  </si>
  <si>
    <t>Sibyl</t>
  </si>
  <si>
    <t xml:space="preserve">5541 S Langston Rd  Seattle, WA 98178-3515 </t>
  </si>
  <si>
    <t>Anne</t>
  </si>
  <si>
    <t>Mary Delazzert</t>
  </si>
  <si>
    <t>Russ &amp; Lisa Franks</t>
  </si>
  <si>
    <t xml:space="preserve">1815 Monte Vista St  Fort Myers, FL 33901 </t>
  </si>
  <si>
    <t>Vito</t>
  </si>
  <si>
    <t>15218-2518</t>
  </si>
  <si>
    <t xml:space="preserve">3916 NE 10th Pl </t>
  </si>
  <si>
    <t xml:space="preserve">4089 Tamiami Trl N A104, Naples, FL 34103-3574 </t>
  </si>
  <si>
    <t xml:space="preserve">1622 NE 35th Ter </t>
  </si>
  <si>
    <t>06812-5030</t>
  </si>
  <si>
    <t xml:space="preserve">20 Studio Dr </t>
  </si>
  <si>
    <t>Fox Lake</t>
  </si>
  <si>
    <t>Todd &amp; Rita Kolp</t>
  </si>
  <si>
    <t xml:space="preserve">4108 NE 10th Pl </t>
  </si>
  <si>
    <t>33904-5878</t>
  </si>
  <si>
    <t xml:space="preserve">506 NE 5th Pl  Cape Coral, FL 33909 </t>
  </si>
  <si>
    <t>Belinda</t>
  </si>
  <si>
    <t>Douglas &amp; Gregory Lawson</t>
  </si>
  <si>
    <t>40509-2487</t>
  </si>
  <si>
    <t>Nikia</t>
  </si>
  <si>
    <t>Kucheynyk</t>
  </si>
  <si>
    <t xml:space="preserve">11128 Hannaway Dr  Riverview, FL 33578-4517 </t>
  </si>
  <si>
    <t>17-43-24-c3-05796.0160</t>
  </si>
  <si>
    <t xml:space="preserve">5464 Cypress Trail Resort Cir </t>
  </si>
  <si>
    <t>11-44-25-l1-13000.3480</t>
  </si>
  <si>
    <t>08753-8105</t>
  </si>
  <si>
    <t xml:space="preserve">800 NE 43rd Ln  Cape Coral, FL 33909 </t>
  </si>
  <si>
    <t xml:space="preserve">8920 Angel Dr </t>
  </si>
  <si>
    <t>29-43-24-c3-02248.0110</t>
  </si>
  <si>
    <t>Sandhage</t>
  </si>
  <si>
    <t>Pierre-Louis &amp; Egelene Jean</t>
  </si>
  <si>
    <t xml:space="preserve">2420 NE 24th Ave  Cape Coral, FL 33909 </t>
  </si>
  <si>
    <t>33321-6357</t>
  </si>
  <si>
    <t>Nicolae</t>
  </si>
  <si>
    <t>11221-4817</t>
  </si>
  <si>
    <t>Yit Yee</t>
  </si>
  <si>
    <t xml:space="preserve">7519 Somerset Bay D </t>
  </si>
  <si>
    <t>Cape Coral Unit 88 Blk.5783 Pb 24 Pg 132 Lots 1 + 2</t>
  </si>
  <si>
    <t>33909-1433</t>
  </si>
  <si>
    <t xml:space="preserve">2017 NE 36th Ter  Cape Coral, FL 33909 </t>
  </si>
  <si>
    <t>05-45-24-c2-00591.0160</t>
  </si>
  <si>
    <t>Cape Coral Unit 84 Blk 5550 Pb 24 Pg 46 Lots 9 + 10</t>
  </si>
  <si>
    <t>Cape Coral Unit 31 Blk 2076 Pb 14 Pg 164 Lots 51 + 52</t>
  </si>
  <si>
    <t>Arguello Mary Ann Tr</t>
  </si>
  <si>
    <t xml:space="preserve">1322 NE 19th Pl </t>
  </si>
  <si>
    <t xml:space="preserve">4105 NE 15th Ave  Cape Coral, FL 33909 </t>
  </si>
  <si>
    <t>53515-9740</t>
  </si>
  <si>
    <t>Eric Pintal &amp; Charmaine Lemieux</t>
  </si>
  <si>
    <t>32-43-24-c4-02197.0010</t>
  </si>
  <si>
    <t xml:space="preserve">52 Maxim Dr  Forked River, NJ 08731-1459 </t>
  </si>
  <si>
    <t>11-44-25-09-00000.0250</t>
  </si>
  <si>
    <t>Sherry</t>
  </si>
  <si>
    <t>Maras</t>
  </si>
  <si>
    <t>25-43-23-c3-02343.0730</t>
  </si>
  <si>
    <t>Mount Pocono</t>
  </si>
  <si>
    <t xml:space="preserve">2770 Inlet Cove Ln W </t>
  </si>
  <si>
    <t>18-43-24-c3-05750.0310</t>
  </si>
  <si>
    <t xml:space="preserve">5480 Cypress Trail Resort Cir </t>
  </si>
  <si>
    <t xml:space="preserve">6142 Hutton Ct  Fort Myers, FL 33905 </t>
  </si>
  <si>
    <t>Rockaway Beach</t>
  </si>
  <si>
    <t xml:space="preserve">6812 14 Ave SE </t>
  </si>
  <si>
    <t xml:space="preserve">2345 W Main St  Tampa, FL 33607-3418 </t>
  </si>
  <si>
    <t>Lehigh Acres Unit 8 Blk 37 Pb 26 Pg 10 Lot 17</t>
  </si>
  <si>
    <t>03-44-26-05-00026.0100</t>
  </si>
  <si>
    <t>98223-9186</t>
  </si>
  <si>
    <t>Santosus</t>
  </si>
  <si>
    <t xml:space="preserve">10641 Brookview Dr </t>
  </si>
  <si>
    <t xml:space="preserve">135 SE 21st Ln </t>
  </si>
  <si>
    <t xml:space="preserve">1707 NE 27th St </t>
  </si>
  <si>
    <t xml:space="preserve">4908 Stewart Dr </t>
  </si>
  <si>
    <t>Hiscox</t>
  </si>
  <si>
    <t xml:space="preserve">60 Distillerty Wharf  London, GB 00000 </t>
  </si>
  <si>
    <t>Mark Aronson</t>
  </si>
  <si>
    <t xml:space="preserve">46 White Pond Rd  Waldwick, NJ 07463-1316 </t>
  </si>
  <si>
    <t xml:space="preserve">146 SE 26th St </t>
  </si>
  <si>
    <t xml:space="preserve">4814 Sleepy Wood Ct  Mount Pleasant, WI 53403-9770 </t>
  </si>
  <si>
    <t xml:space="preserve">Po Box 1118 </t>
  </si>
  <si>
    <t>Policani</t>
  </si>
  <si>
    <t xml:space="preserve">25 Tropicana Pkwy E  Cape Coral, FL 33909 </t>
  </si>
  <si>
    <t>Rittof</t>
  </si>
  <si>
    <t>Cape Coral Unit 33 Blk 2233 Pb 16 Pg 53 Lots 15 + 16</t>
  </si>
  <si>
    <t xml:space="preserve">2421 NE 5th Pl </t>
  </si>
  <si>
    <t xml:space="preserve">2118 NE 20th St </t>
  </si>
  <si>
    <t>Koa Kahiko</t>
  </si>
  <si>
    <t>Santa</t>
  </si>
  <si>
    <t xml:space="preserve">2105 NE 17th Ter </t>
  </si>
  <si>
    <t xml:space="preserve">7708 Richard St  Philadelphia, PA 19152-3816 </t>
  </si>
  <si>
    <t>07070-2540</t>
  </si>
  <si>
    <t>Lehigh Acres Unit 7 Blk 33 Pb 26 Pg 9 Lot 17</t>
  </si>
  <si>
    <t>Cape Coral Unit 31 Blk 2085 Pb 14 Pg 165 Lots 5 + 6</t>
  </si>
  <si>
    <t>Noahs Mill</t>
  </si>
  <si>
    <t xml:space="preserve">Loewenburg #20 </t>
  </si>
  <si>
    <t>10306-1415</t>
  </si>
  <si>
    <t xml:space="preserve">10992 Decatur Rd </t>
  </si>
  <si>
    <t>David &amp; Nancy Oneil</t>
  </si>
  <si>
    <t xml:space="preserve">1006 NE 34th St  Cape Coral, FL 33909 </t>
  </si>
  <si>
    <t xml:space="preserve">1113 NE 15th Ter </t>
  </si>
  <si>
    <t xml:space="preserve">Nir </t>
  </si>
  <si>
    <t>17-43-24-c1-05827.0420</t>
  </si>
  <si>
    <t xml:space="preserve">222 Aldene Rd </t>
  </si>
  <si>
    <t xml:space="preserve">3720 Kittyhawk Dr  Fort Myers, FL 33905 </t>
  </si>
  <si>
    <t xml:space="preserve">4077 Pine Ridge Ln  Weston, FL 33331-5025 </t>
  </si>
  <si>
    <t xml:space="preserve">8493 Jenny Cae Ln </t>
  </si>
  <si>
    <t xml:space="preserve">3525 NW 12th Ter  Miami, FL 33125-2849 </t>
  </si>
  <si>
    <t xml:space="preserve">1909 NE 7th Pl  Cape Coral, FL 33909 </t>
  </si>
  <si>
    <t>Cape Coral Unit 33 Blk 2228 Pb 16 Pg 46 Lots 7 + 8</t>
  </si>
  <si>
    <t>12-44-23-c2-02397.0130</t>
  </si>
  <si>
    <t>07885-1039</t>
  </si>
  <si>
    <t>66220-2695</t>
  </si>
  <si>
    <t>33905-7510</t>
  </si>
  <si>
    <t xml:space="preserve">5010 Inshore Landing Dr  Apollo Beach, FL 33572-3436 </t>
  </si>
  <si>
    <t>Cape Coral Unit 14 Blk.531 Pb 13 Pg 63 Lots 62 + 63</t>
  </si>
  <si>
    <t>Cape Coral Unit 36 Blk 2300A Pb 16 Pg 125 Lot 87</t>
  </si>
  <si>
    <t>Cape Coral Unit 33 Blk 2197 Pb 16 Pg 46 Lots 1 + 2</t>
  </si>
  <si>
    <t xml:space="preserve">900 NE 20th St  Cape Coral, FL 33909 </t>
  </si>
  <si>
    <t>Elsa Alvarez</t>
  </si>
  <si>
    <t>Gex</t>
  </si>
  <si>
    <t xml:space="preserve">4041 NE 10th Pl </t>
  </si>
  <si>
    <t>Cape Coral Unit 84 Blk 5586 Pb 24 Pg 48 Lot 18</t>
  </si>
  <si>
    <t>Cape Coral Unit 36 Blk 2293 Pb 16 Pg 120 Lots 41 + 42</t>
  </si>
  <si>
    <t>Ariel Gonzalez</t>
  </si>
  <si>
    <t xml:space="preserve">3938 Garden Blvd </t>
  </si>
  <si>
    <t xml:space="preserve">1127 NW 33rd Ave  Miami, FL 33125-2829 </t>
  </si>
  <si>
    <t xml:space="preserve">483 NE 3rd Ct  Cape Coral, FL 33909 </t>
  </si>
  <si>
    <t xml:space="preserve">21 Raven Glass Ln </t>
  </si>
  <si>
    <t>33909-6248</t>
  </si>
  <si>
    <t>Ricardo &amp; Esther Traad</t>
  </si>
  <si>
    <t>08859-3175</t>
  </si>
  <si>
    <t>Meadow Brook</t>
  </si>
  <si>
    <t>Thang Dao</t>
  </si>
  <si>
    <t>124th</t>
  </si>
  <si>
    <t xml:space="preserve">10335 Annaberg Ct  Burke, VA 22015-2850 </t>
  </si>
  <si>
    <t xml:space="preserve">6322 Palma Del Mar Blvd S #906, Saint Petersburg, FL 33715-1254 </t>
  </si>
  <si>
    <t>20-43-24-c2-05664.0110</t>
  </si>
  <si>
    <t xml:space="preserve">2069 Everett Rd  Forest, VA 24551-4136 </t>
  </si>
  <si>
    <t xml:space="preserve">2552 S 2nd St  Philadelphia, PA 19148-4707 </t>
  </si>
  <si>
    <t>33909-8929</t>
  </si>
  <si>
    <t xml:space="preserve">519 Long Hill Ave </t>
  </si>
  <si>
    <t xml:space="preserve">1290 Collier Cres  Ottawa, ON K4p 1C1 </t>
  </si>
  <si>
    <t xml:space="preserve">4413 Birmingham St  Fort Myers, FL 33905 </t>
  </si>
  <si>
    <t>East Hampton</t>
  </si>
  <si>
    <t>Hastings On Hudson</t>
  </si>
  <si>
    <t>Leean</t>
  </si>
  <si>
    <t>Campbell Acres Unit 3 Pb 29 Pg 103 Lot 32</t>
  </si>
  <si>
    <t>Stephen &amp; Veronica Jacobs</t>
  </si>
  <si>
    <t>Divinagracia</t>
  </si>
  <si>
    <t xml:space="preserve">1571 Toursdale Dr </t>
  </si>
  <si>
    <t>33909-4341</t>
  </si>
  <si>
    <t xml:space="preserve">4008 NE 8th Pl </t>
  </si>
  <si>
    <t xml:space="preserve">5620 SW 199th Ave  Fort Lauderdale, FL 33332-1588 </t>
  </si>
  <si>
    <t>Lehigh Acres Unit 13 E 1/2 Blk 70 Pb 26 Pg 17 Lot 6</t>
  </si>
  <si>
    <t>Baraga</t>
  </si>
  <si>
    <t>Averill</t>
  </si>
  <si>
    <t xml:space="preserve">1192 E 92nd St  Brooklyn, NY 11236-3927 </t>
  </si>
  <si>
    <t xml:space="preserve">21841 SW 100th Pl </t>
  </si>
  <si>
    <t>60056-2928</t>
  </si>
  <si>
    <t>Hiawatha</t>
  </si>
  <si>
    <t>Lehigh Acres Unit 4 Blk 17 Pb 26 Pg 6 Lot 10</t>
  </si>
  <si>
    <t>Cape Coral Unit 33 Blk 2224 Pb 16 Pg 42 Lots 9 + 10</t>
  </si>
  <si>
    <t xml:space="preserve">2519 NE 7th Ave </t>
  </si>
  <si>
    <t xml:space="preserve">5476 Cypress Trail Resort Cir </t>
  </si>
  <si>
    <t>04-44-25-03-00004.1500</t>
  </si>
  <si>
    <t xml:space="preserve">10260 NW 63rd Ter #214 </t>
  </si>
  <si>
    <t>Beaver Pond</t>
  </si>
  <si>
    <t xml:space="preserve">27 Dixington Cres </t>
  </si>
  <si>
    <t>Christopher Niver</t>
  </si>
  <si>
    <t xml:space="preserve">1405 NE 18th Ave  Cape Coral, FL 33909 </t>
  </si>
  <si>
    <t xml:space="preserve">285 Washington Rd  Pentwater, MI 49449-9606 </t>
  </si>
  <si>
    <t>28277-3201</t>
  </si>
  <si>
    <t>19-43-24-c3-05610.0210</t>
  </si>
  <si>
    <t>17-43-24-c1-05780.0230</t>
  </si>
  <si>
    <t>Pasquale Liana L Tr</t>
  </si>
  <si>
    <t>Chau</t>
  </si>
  <si>
    <t>33909-0809</t>
  </si>
  <si>
    <t>Cape Coral Unit 87 Blk 5716 Pb 24 Pg 76 Lots 47 + 48</t>
  </si>
  <si>
    <t xml:space="preserve">5326 Berkshire Valley Rd </t>
  </si>
  <si>
    <t>01915-3128</t>
  </si>
  <si>
    <t xml:space="preserve">1195 Francis Dr  Whiteville, TN 38075-7136 </t>
  </si>
  <si>
    <t>Sandra Redway</t>
  </si>
  <si>
    <t xml:space="preserve">227 Amy Dr  Goose Creek, SC 29445-3553 </t>
  </si>
  <si>
    <t>James &amp; Sigrid Bushman</t>
  </si>
  <si>
    <t xml:space="preserve">4755 Maple Shade Dr  Harrisburg, PA 17110-3217 </t>
  </si>
  <si>
    <t>Nancy &amp; Gary Tremberth</t>
  </si>
  <si>
    <t>Yorktown Heights</t>
  </si>
  <si>
    <t>Windsor</t>
  </si>
  <si>
    <t>33618-3713</t>
  </si>
  <si>
    <t>Tanida Edward M Tr</t>
  </si>
  <si>
    <t xml:space="preserve">70 Shipway Ave #312, Newcastle, ON L1b 0V7 </t>
  </si>
  <si>
    <t>Cypress Trail Rv Resort Phase 4-C Block B Lot 440 As Desc In Inst 2019000042424</t>
  </si>
  <si>
    <t xml:space="preserve">6542 Pine Stake Rd </t>
  </si>
  <si>
    <t xml:space="preserve">318 NE 10th St </t>
  </si>
  <si>
    <t>19-43-24-c2-05597.0140</t>
  </si>
  <si>
    <t>Lordgina Villaluz</t>
  </si>
  <si>
    <t>John &amp; Ana Siruk</t>
  </si>
  <si>
    <t>18657-5520</t>
  </si>
  <si>
    <t xml:space="preserve">22 Clifton Country Rd #18, Clifton Park, NY 12065-3860 </t>
  </si>
  <si>
    <t xml:space="preserve">3102 SE 19th Ave </t>
  </si>
  <si>
    <t>33321-6303</t>
  </si>
  <si>
    <t xml:space="preserve">901 N 30th St </t>
  </si>
  <si>
    <t>06-44-24-c4-02056.0200</t>
  </si>
  <si>
    <t xml:space="preserve">921 NE 15th Ter  Cape Coral, FL 33909 </t>
  </si>
  <si>
    <t>Cypress Woods Rv Resort Ut 1 Pb 65 Pg 85 + 86 Blk B Lot 89</t>
  </si>
  <si>
    <t xml:space="preserve">6027 Langdon Ave </t>
  </si>
  <si>
    <t>60189-3118</t>
  </si>
  <si>
    <t>Greta Andrews</t>
  </si>
  <si>
    <t xml:space="preserve">1108 NE 15th Ln  Cape Coral, FL 33909 </t>
  </si>
  <si>
    <t>03-44-26-14-00083.0130</t>
  </si>
  <si>
    <t xml:space="preserve">7466 SW 112th Pl  Miami, FL 33173-2638 </t>
  </si>
  <si>
    <t xml:space="preserve">2000 Drennen Rd  Pittsburgh, PA 15239-1204 </t>
  </si>
  <si>
    <t>Rene Hernandez &amp; Sindy Rosales</t>
  </si>
  <si>
    <t xml:space="preserve">103 Joy St </t>
  </si>
  <si>
    <t>B4A 2X4</t>
  </si>
  <si>
    <t>Cape Coral Unit 84 Blk 5619 Pb 24 Pg 33 Lots 40 + 41</t>
  </si>
  <si>
    <t xml:space="preserve">19681 Summerlin Rd #587, Fort Myers, FL 33908 </t>
  </si>
  <si>
    <t xml:space="preserve">18201 Roehampton Dr #323, Dallas, TX 75252-5165 </t>
  </si>
  <si>
    <t>Equity &amp; Denzil Vaughn</t>
  </si>
  <si>
    <t>North Charleston</t>
  </si>
  <si>
    <t xml:space="preserve">6142 Hughes Ave  Fort Myers, FL 33905 </t>
  </si>
  <si>
    <t xml:space="preserve">2206 NE 24th Ave  Cape Coral, FL 33909 </t>
  </si>
  <si>
    <t xml:space="preserve">74 Concession Oak Dr  Bluffton, SC 29909-5082 </t>
  </si>
  <si>
    <t>Westberry</t>
  </si>
  <si>
    <t xml:space="preserve">15741 Chatfield Dr </t>
  </si>
  <si>
    <t>Alan &amp; Susan Butrico</t>
  </si>
  <si>
    <t>Lehigh Acres Unit 11 Blk 58 Pb 26 Pg 14 Lot 15</t>
  </si>
  <si>
    <t>Lehigh Acres Unit 11 Blk 58 Pb 26 Pg 14 Lot 6</t>
  </si>
  <si>
    <t>Gil</t>
  </si>
  <si>
    <t>Xiuqi Jiang &amp; Chao Liang</t>
  </si>
  <si>
    <t>Lehigh Acres Unit 1 Blk 1 Pb 26 Pg 2 Lot 14</t>
  </si>
  <si>
    <t xml:space="preserve">3852 Huntley St  Fort Myers, FL 33905 </t>
  </si>
  <si>
    <t>80538-2379</t>
  </si>
  <si>
    <t>Peter Wilson</t>
  </si>
  <si>
    <t>Steve</t>
  </si>
  <si>
    <t>Vivian Daniels</t>
  </si>
  <si>
    <t xml:space="preserve">440 Elizabethtown Rd  Ilion, NY 13357-3707 </t>
  </si>
  <si>
    <t xml:space="preserve">1364 Sunwood Dr  Melbourne, FL 32935-6006 </t>
  </si>
  <si>
    <t xml:space="preserve">3402 NE 21st Pl </t>
  </si>
  <si>
    <t>19-43-24-c3-05611.0010</t>
  </si>
  <si>
    <t>Devara</t>
  </si>
  <si>
    <t>Richard &amp; Carol Jaskunas</t>
  </si>
  <si>
    <t xml:space="preserve">1702 SW 103rd Ln </t>
  </si>
  <si>
    <t xml:space="preserve">4666 Edmondson Ave  Dallas, TX 75209-6010 </t>
  </si>
  <si>
    <t>Harriet &amp; Dennis Presky</t>
  </si>
  <si>
    <t>33909-5510</t>
  </si>
  <si>
    <t xml:space="preserve">1853 NE 23rd St </t>
  </si>
  <si>
    <t xml:space="preserve">1111 NE 19th Ave  Cape Coral, FL 33909 </t>
  </si>
  <si>
    <t xml:space="preserve">1518 NE 13th Ave </t>
  </si>
  <si>
    <t>11-44-25-06-0000d.0160</t>
  </si>
  <si>
    <t xml:space="preserve">6027 Langdon Ave  Fort Myers, FL 33905 </t>
  </si>
  <si>
    <t>For Duane &amp; Shirley Boyken Trust</t>
  </si>
  <si>
    <t>33909-2744</t>
  </si>
  <si>
    <t xml:space="preserve">3445 NE 11th Pl </t>
  </si>
  <si>
    <t>25-43-23-c3-02346.0130</t>
  </si>
  <si>
    <t>Cape Coral Unit 36 Blk 2329 Pb 16 Pg 128 Lots 27 + 28</t>
  </si>
  <si>
    <t xml:space="preserve">5234 Cypress Trail Resort Cir  Fort Myers, FL 33905 </t>
  </si>
  <si>
    <t xml:space="preserve">3335 NE 21st Ave  Cape Coral, FL 33909 </t>
  </si>
  <si>
    <t xml:space="preserve">50 Guion Pl 10c </t>
  </si>
  <si>
    <t>36-43-23-c2-02538.0340</t>
  </si>
  <si>
    <t xml:space="preserve">2719 NE 6th Ave </t>
  </si>
  <si>
    <t>29-43-26-05-00086.0290</t>
  </si>
  <si>
    <t>Haines</t>
  </si>
  <si>
    <t>Sur Iton</t>
  </si>
  <si>
    <t>Rabanal</t>
  </si>
  <si>
    <t>84095-1219</t>
  </si>
  <si>
    <t>Cape Coral Unit 26 Blk 858 Pb 14 Pg 125 Lots 37 + 38</t>
  </si>
  <si>
    <t>33331-3165</t>
  </si>
  <si>
    <t>Cape Coral Unit 87 Blk 5686 Pb 24 Pg 82 Lot 15</t>
  </si>
  <si>
    <t>40229-5222</t>
  </si>
  <si>
    <t>Westminster</t>
  </si>
  <si>
    <t xml:space="preserve">3903 NE 17th Ave </t>
  </si>
  <si>
    <t xml:space="preserve">3622 NE 21st Ave  Cape Coral, FL 33909 </t>
  </si>
  <si>
    <t>Christian &amp; Michele Pera</t>
  </si>
  <si>
    <t xml:space="preserve">11729 Hickory Flat Rd </t>
  </si>
  <si>
    <t xml:space="preserve">318 NE 25th St </t>
  </si>
  <si>
    <t>Cape Coral Unit 47 Pt 2 Blk 3522 Pg 23 Pg 126 Lots 11 + 12</t>
  </si>
  <si>
    <t>177th</t>
  </si>
  <si>
    <t>Lehigh Acres Unit 1 Blk 6 Pb 26 Pg 3 Lot 28</t>
  </si>
  <si>
    <t>06-46-24-18-00v00.0220</t>
  </si>
  <si>
    <t>Cape Coral Unit 46 Blk 3594 Pb 17 Pg 123 Lots 68 + 69</t>
  </si>
  <si>
    <t xml:space="preserve">334 NE 25th Ter </t>
  </si>
  <si>
    <t xml:space="preserve">2122 NE 13th Ave </t>
  </si>
  <si>
    <t>Marianne Doyle</t>
  </si>
  <si>
    <t>Fabricio</t>
  </si>
  <si>
    <t>Mario &amp; Matilda Colonna</t>
  </si>
  <si>
    <t>18-43-24-c1-05726.0160</t>
  </si>
  <si>
    <t>03-44-26-10-00048.0030</t>
  </si>
  <si>
    <t>Alvaro Guarin &amp; Erica Mosquera</t>
  </si>
  <si>
    <t>Lilianne &amp; For Sobrado</t>
  </si>
  <si>
    <t>18-43-24-c1-05692.0430</t>
  </si>
  <si>
    <t>84088-2781</t>
  </si>
  <si>
    <t>25705-3715</t>
  </si>
  <si>
    <t>Rounds</t>
  </si>
  <si>
    <t>02891-1931</t>
  </si>
  <si>
    <t xml:space="preserve">3707 Stagg Ct </t>
  </si>
  <si>
    <t>Loreto</t>
  </si>
  <si>
    <t>33905-4401</t>
  </si>
  <si>
    <t>Lino</t>
  </si>
  <si>
    <t>Sandar Aung</t>
  </si>
  <si>
    <t>33904-5677</t>
  </si>
  <si>
    <t>Family Trust</t>
  </si>
  <si>
    <t>Andrejs</t>
  </si>
  <si>
    <t xml:space="preserve">6501 Pine St </t>
  </si>
  <si>
    <t>Front Mountain</t>
  </si>
  <si>
    <t xml:space="preserve">1415 NE 44th St  Cape Coral, FL 33909 </t>
  </si>
  <si>
    <t>Cape Coral Unit 87 Blk 5694 Pb 24 Pg 81 Lots 37 + 38</t>
  </si>
  <si>
    <t>33909-1521</t>
  </si>
  <si>
    <t>33909-3139</t>
  </si>
  <si>
    <t>25302-1615</t>
  </si>
  <si>
    <t>James &amp; Dotty Pack</t>
  </si>
  <si>
    <t>Cape Coral Unit 4 Part 2 Blk 148 Pb 12 Pg 13 Lots 43 + 44</t>
  </si>
  <si>
    <t>Fiorella</t>
  </si>
  <si>
    <t>06-44-24-c4-02065.0170</t>
  </si>
  <si>
    <t xml:space="preserve">4521 SE 5th Pl </t>
  </si>
  <si>
    <t xml:space="preserve">PO Box 6001 #18, Salinas, PR 00751-6001 </t>
  </si>
  <si>
    <t>45434-7333</t>
  </si>
  <si>
    <t xml:space="preserve">1720 NE 26th Ter </t>
  </si>
  <si>
    <t>Edwinna</t>
  </si>
  <si>
    <t xml:space="preserve">3016 NE 6th Ave  Cape Coral, FL 33909 </t>
  </si>
  <si>
    <t>Saqueton</t>
  </si>
  <si>
    <t>Kitty</t>
  </si>
  <si>
    <t>Cypress Trail Rv Resort Phase 2-A As Desc In Inst# 2014000026506 Lot 189</t>
  </si>
  <si>
    <t>06-44-24-c2-02067.0440</t>
  </si>
  <si>
    <t>Avenida Isaac Barrera</t>
  </si>
  <si>
    <t xml:space="preserve">3903 NE 10th Ave  Cape Coral, FL 33909 </t>
  </si>
  <si>
    <t>33909-1232</t>
  </si>
  <si>
    <t>31-43-24-c2-02232.0370</t>
  </si>
  <si>
    <t>Lauri</t>
  </si>
  <si>
    <t xml:space="preserve">255 S West Ave #509, Elmhurst, IL 60126-3066 </t>
  </si>
  <si>
    <t>33904-3481</t>
  </si>
  <si>
    <t xml:space="preserve">5303 Cypress Trail Resort Cir </t>
  </si>
  <si>
    <t xml:space="preserve">9116 Okla Dr  Fairfax, VA 22031-3816 </t>
  </si>
  <si>
    <t>Denelle</t>
  </si>
  <si>
    <t>33909-4390</t>
  </si>
  <si>
    <t>Dadilde Arias</t>
  </si>
  <si>
    <t xml:space="preserve">54 Lawrence Ave </t>
  </si>
  <si>
    <t>11-44-25-05-0000c.1050</t>
  </si>
  <si>
    <t xml:space="preserve">2213 NE 15th Ave  Cape Coral, FL 33909 </t>
  </si>
  <si>
    <t>Michael &amp; Marietta Effing</t>
  </si>
  <si>
    <t xml:space="preserve">105 NE 12th Ln </t>
  </si>
  <si>
    <t xml:space="preserve">5249 Thackeray Dr  Ames, IA 50014-6913 </t>
  </si>
  <si>
    <t xml:space="preserve">10062 Rambelwood Ct </t>
  </si>
  <si>
    <t>07764-1535</t>
  </si>
  <si>
    <t>29-43-24-c3-02280.0120</t>
  </si>
  <si>
    <t>David &amp; Menawatee Persaud</t>
  </si>
  <si>
    <t>30152-3170</t>
  </si>
  <si>
    <t xml:space="preserve">6041 Joplin Ave  Fort Myers, FL 33905 </t>
  </si>
  <si>
    <t>Shriver</t>
  </si>
  <si>
    <t xml:space="preserve">1907 NE 20th Ct  Cape Coral, FL 33909 </t>
  </si>
  <si>
    <t>Thuong Do &amp; Binh Nguyen</t>
  </si>
  <si>
    <t xml:space="preserve">2912 NE 1st Ave </t>
  </si>
  <si>
    <t xml:space="preserve">36 Van Houten Ave  Jersey City, NJ 07305-1422 </t>
  </si>
  <si>
    <t>Manuel Vales</t>
  </si>
  <si>
    <t xml:space="preserve">329 NE 29th Ter  Cape Coral, FL 33909 </t>
  </si>
  <si>
    <t>33904-7220</t>
  </si>
  <si>
    <t xml:space="preserve">3104 NE 1st Ave </t>
  </si>
  <si>
    <t>33909-2205</t>
  </si>
  <si>
    <t xml:space="preserve">47 Lyon St #1, Dorchester, MA 02122-2996 </t>
  </si>
  <si>
    <t>Quail Village</t>
  </si>
  <si>
    <t>Cape Coral Unit 13 Blk.507 Pb 13 Pg 57 Lots 59 + 60</t>
  </si>
  <si>
    <t>49449-9606</t>
  </si>
  <si>
    <t xml:space="preserve">7988 NW 200th St  Hialeah, FL 33015-6394 </t>
  </si>
  <si>
    <t>Bettina</t>
  </si>
  <si>
    <t xml:space="preserve">1005 NE 36th St  Cape Coral, FL 33909 </t>
  </si>
  <si>
    <t>Valley City</t>
  </si>
  <si>
    <t>11-44-25-l1-12000.3840</t>
  </si>
  <si>
    <t>33909-5363</t>
  </si>
  <si>
    <t>Cape Coral Unit 31 Blk 2067 Pb 14 Pg 164 Lots 29 + 30</t>
  </si>
  <si>
    <t xml:space="preserve">Po Box 1366 </t>
  </si>
  <si>
    <t xml:space="preserve">19550 Amber Meadow Dr #130 </t>
  </si>
  <si>
    <t>Kerwin</t>
  </si>
  <si>
    <t xml:space="preserve">2164 Durden Pkwy  Cape Coral, FL 33909 </t>
  </si>
  <si>
    <t xml:space="preserve">1222 NE 19th Ter  Cape Coral, FL 33909 </t>
  </si>
  <si>
    <t xml:space="preserve">17 Greifswalder St </t>
  </si>
  <si>
    <t>33037-2641</t>
  </si>
  <si>
    <t xml:space="preserve">1529 S Gator Cir </t>
  </si>
  <si>
    <t xml:space="preserve">1205 NE 23rd Ter  Cape Coral, FL 33909 </t>
  </si>
  <si>
    <t xml:space="preserve">2806 NE 6th Ave </t>
  </si>
  <si>
    <t xml:space="preserve">13500 Torrey Way  Fort Myers, FL 33905 </t>
  </si>
  <si>
    <t xml:space="preserve">3512 NE 18th Ave  Cape Coral, FL 33909 </t>
  </si>
  <si>
    <t>18-43-24-c2-05734.0270</t>
  </si>
  <si>
    <t xml:space="preserve">827 NE 18th St </t>
  </si>
  <si>
    <t xml:space="preserve">1931 SW 126th Ct </t>
  </si>
  <si>
    <t xml:space="preserve">1613 NE 33rd Ter </t>
  </si>
  <si>
    <t xml:space="preserve">3700 NE 12th Pl  Cape Coral, FL 33909 </t>
  </si>
  <si>
    <t xml:space="preserve">15281 Johnson St  Fort Myers, FL 33908 </t>
  </si>
  <si>
    <t>B7</t>
  </si>
  <si>
    <t>Vincent Jefferson</t>
  </si>
  <si>
    <t xml:space="preserve">5745 Brightwood Dr  Fort Myers, FL 33905 </t>
  </si>
  <si>
    <t>Chalfont</t>
  </si>
  <si>
    <t>20-43-24-c2-05658.0270</t>
  </si>
  <si>
    <t xml:space="preserve">714 Monmouth Ave  Severna Park, MD 21146-3904 </t>
  </si>
  <si>
    <t xml:space="preserve">921 NE 37th Ter </t>
  </si>
  <si>
    <t>R102</t>
  </si>
  <si>
    <t xml:space="preserve">911 NE 36th St  Cape Coral, FL 33909 </t>
  </si>
  <si>
    <t xml:space="preserve">Po Box 118 </t>
  </si>
  <si>
    <t>Cisneros</t>
  </si>
  <si>
    <t>Cypress Trail Rv Resort Ph 4-B As Desc In Inst# 2017000057565 Lot 300</t>
  </si>
  <si>
    <t>Lehigh Acres Unit 8 Blk 37 Pb 26 Pg 10 Lot 12</t>
  </si>
  <si>
    <t>Larry &amp; Deborah Davis</t>
  </si>
  <si>
    <t>25-43-23-c4-02297.a320</t>
  </si>
  <si>
    <t xml:space="preserve">9799 NW 127th St </t>
  </si>
  <si>
    <t>Barb</t>
  </si>
  <si>
    <t>32-43-24-c3-02187.0290</t>
  </si>
  <si>
    <t>11377-2902</t>
  </si>
  <si>
    <t>33463-3416</t>
  </si>
  <si>
    <t xml:space="preserve">1494 Rebecca St </t>
  </si>
  <si>
    <t>Lucie</t>
  </si>
  <si>
    <t>Marcellus</t>
  </si>
  <si>
    <t>18-43-24-c1-05694.0030</t>
  </si>
  <si>
    <t>32-43-24-c1-02189.0560</t>
  </si>
  <si>
    <t>Michelle Willemain-Burns</t>
  </si>
  <si>
    <t xml:space="preserve">5590 Cypress Woods Resort Dr  Fort Myers, FL 33905 </t>
  </si>
  <si>
    <t>09-44-24-06-00000.0700</t>
  </si>
  <si>
    <t>Leendert</t>
  </si>
  <si>
    <t>32-43-24-c1-02234.0160</t>
  </si>
  <si>
    <t xml:space="preserve">1430 W 42nd Pl B, Hialeah, FL 33012-7610 </t>
  </si>
  <si>
    <t xml:space="preserve">917 NE 19th Ter  Cape Coral, FL 33909 </t>
  </si>
  <si>
    <t xml:space="preserve">3902 NE 171st St  North Miami Beach, FL 33160-3076 </t>
  </si>
  <si>
    <t xml:space="preserve">2023 NE 25th Ter  Cape Coral, FL 33909 </t>
  </si>
  <si>
    <t>Liang</t>
  </si>
  <si>
    <t xml:space="preserve">162 Chateau Thierry Ave </t>
  </si>
  <si>
    <t>Mosquera</t>
  </si>
  <si>
    <t>29-43-26-03-00042.037a</t>
  </si>
  <si>
    <t xml:space="preserve">2180 Friday Rd  Cocoa, FL 32926-3416 </t>
  </si>
  <si>
    <t>01-44-23-c1-02437.0600</t>
  </si>
  <si>
    <t>Ferry</t>
  </si>
  <si>
    <t>Gael</t>
  </si>
  <si>
    <t>Lehigh Acres Unit 14 Blk 82 Pb 26 Pg 20 Lot 26</t>
  </si>
  <si>
    <t xml:space="preserve">29553 Polk Ave </t>
  </si>
  <si>
    <t>Cypress Woods Rv Resort Un 3 Desc In Pb 72 Pgs 92-95 Blk C Lot 1</t>
  </si>
  <si>
    <t xml:space="preserve">10380 Center Hwy  Irwin, PA 15642-2026 </t>
  </si>
  <si>
    <t xml:space="preserve">1017 NE 23rd Ter </t>
  </si>
  <si>
    <t>07746-1889</t>
  </si>
  <si>
    <t xml:space="preserve">6698 SW 30th St  Miami, FL 33155-3916 </t>
  </si>
  <si>
    <t>95742-8078</t>
  </si>
  <si>
    <t xml:space="preserve">3838 Huntley St  Fort Myers, FL 33905 </t>
  </si>
  <si>
    <t>Bolivar</t>
  </si>
  <si>
    <t xml:space="preserve">1018 N Somers Ave </t>
  </si>
  <si>
    <t xml:space="preserve">459 NE 5th Ave </t>
  </si>
  <si>
    <t>Auburn Folsom</t>
  </si>
  <si>
    <t xml:space="preserve">1625 SE 39th St </t>
  </si>
  <si>
    <t>Cape Coral Unit 36 Blk 2316 Pb 16 Pg 123 Lots 17 + 18</t>
  </si>
  <si>
    <t>Cape Coral Unit 36 Blk 2309 Pb 16 Pg 120 Lots 34 + 35</t>
  </si>
  <si>
    <t xml:space="preserve">2 Horvath Dr </t>
  </si>
  <si>
    <t>David &amp; Mary Auchter</t>
  </si>
  <si>
    <t>Cape Coral Unit 34 Blk.2459 Pb 16 Pg 80 Lots 17 + 18</t>
  </si>
  <si>
    <t xml:space="preserve">4132 NE 8th Pl </t>
  </si>
  <si>
    <t xml:space="preserve">2408 NE 6th Ave  Cape Coral, FL 33909 </t>
  </si>
  <si>
    <t xml:space="preserve">2412 NE 19th Pl  Cape Coral, FL 33909 </t>
  </si>
  <si>
    <t xml:space="preserve">2219 NE 17th Ave </t>
  </si>
  <si>
    <t>Hammondsville</t>
  </si>
  <si>
    <t>03-44-26-14-00077.0290</t>
  </si>
  <si>
    <t>PO Box 1092</t>
  </si>
  <si>
    <t>Cape Coral Unit 36 Pt 1 Blk 2510 Pb 23 Pg 93 Lots 3 + 4</t>
  </si>
  <si>
    <t>Richard Taylor</t>
  </si>
  <si>
    <t>Somerby</t>
  </si>
  <si>
    <t xml:space="preserve">1313 NE 23rd Ave </t>
  </si>
  <si>
    <t>Cape Coral Unit 32 Blk 2161 Pb 16 Pg 11 Lots 60 Thru 62</t>
  </si>
  <si>
    <t>33909-6532</t>
  </si>
  <si>
    <t xml:space="preserve">PO Box 93-1005  New York, NY 10101 </t>
  </si>
  <si>
    <t xml:space="preserve">1404 NE 2nd Pl </t>
  </si>
  <si>
    <t xml:space="preserve">308 NE 24th Ter </t>
  </si>
  <si>
    <t>Hatem Bamieh &amp; Morella Aguado</t>
  </si>
  <si>
    <t>Avon Park</t>
  </si>
  <si>
    <t>Jesselyn</t>
  </si>
  <si>
    <t xml:space="preserve">1896 Eastwick Ln </t>
  </si>
  <si>
    <t xml:space="preserve">806 Nuna Ave #3 </t>
  </si>
  <si>
    <t>Nancy Grannan</t>
  </si>
  <si>
    <t xml:space="preserve">454 Capitol St  North Fort Myers, FL 33903 </t>
  </si>
  <si>
    <t>Ruben</t>
  </si>
  <si>
    <t>Guetsy Fabregas &amp; Guetsy Fabregas</t>
  </si>
  <si>
    <t>Cape Coral Unit 7 Blk.367 Pb 12 Pg 104 Lots 32 Thru 34</t>
  </si>
  <si>
    <t xml:space="preserve">1301 NE 36th Ln  Cape Coral, FL 33909 </t>
  </si>
  <si>
    <t>Carlos Campos</t>
  </si>
  <si>
    <t>For Caputo Realty Trust</t>
  </si>
  <si>
    <t>Dean &amp; Donna Reece</t>
  </si>
  <si>
    <t xml:space="preserve">2703 NE 4th Pl  Cape Coral, FL 33909 </t>
  </si>
  <si>
    <t xml:space="preserve">10338 Prairie Iris Dr </t>
  </si>
  <si>
    <t xml:space="preserve">3535 NE 14th Pl </t>
  </si>
  <si>
    <t>Thomas &amp; Victoria Dexter</t>
  </si>
  <si>
    <t xml:space="preserve">14120 Cherrydale St </t>
  </si>
  <si>
    <t>Tropicana</t>
  </si>
  <si>
    <t>32803-1810</t>
  </si>
  <si>
    <t xml:space="preserve">345 NE 20th Ter  Cape Coral, FL 33909 </t>
  </si>
  <si>
    <t>01-44-23-c1-02438.0400</t>
  </si>
  <si>
    <t xml:space="preserve">5527 Turtle Crossing Loop  Tampa, FL 33625-2539 </t>
  </si>
  <si>
    <t xml:space="preserve">116 Glengariff Ln </t>
  </si>
  <si>
    <t xml:space="preserve">10 Cypress Ct </t>
  </si>
  <si>
    <t>32-43-24-c2-02240.0420</t>
  </si>
  <si>
    <t xml:space="preserve">244 Capitol St </t>
  </si>
  <si>
    <t>Somkhit Inthoulay &amp; Khamphoui Souvatdy</t>
  </si>
  <si>
    <t>Cape Coral Unit 87 Blk 5706 Pb 24 Pg 71 Lots 37 + 38</t>
  </si>
  <si>
    <t>Temple</t>
  </si>
  <si>
    <t>33905-5712</t>
  </si>
  <si>
    <t>Cape Coral Unit 88 Blk 5815 Pb 24 Pg 139 Lots 5 + 6</t>
  </si>
  <si>
    <t xml:space="preserve">800 N State St #402, Dover, DE 19901-3925 </t>
  </si>
  <si>
    <t xml:space="preserve">4311 Stoneleigh Ct  Harrisburg, PA 17112-8640 </t>
  </si>
  <si>
    <t xml:space="preserve">9154 County Road K  Franksville, WI 53126-9542 </t>
  </si>
  <si>
    <t>Lufberry</t>
  </si>
  <si>
    <t xml:space="preserve">213 S Griffin St  Grant Park, IL 60940-5498 </t>
  </si>
  <si>
    <t xml:space="preserve">30 Downs Rd </t>
  </si>
  <si>
    <t>33909-0804</t>
  </si>
  <si>
    <t xml:space="preserve">2529 SE 19th Ave </t>
  </si>
  <si>
    <t>Cape Coral Unit 33 Blk 2187 Pb 16 Pg 48 Lots 39 + 40</t>
  </si>
  <si>
    <t xml:space="preserve">1141 SE 35th St  Cape Coral, FL 33904 </t>
  </si>
  <si>
    <t>03-44-26-14-00078.0090</t>
  </si>
  <si>
    <t>Cape Coral Unit 34 Blk 2456 Pb 16 Pg 83 Lots 16 + 17</t>
  </si>
  <si>
    <t xml:space="preserve">4120 NE 14th Pl </t>
  </si>
  <si>
    <t xml:space="preserve">2888 29th St </t>
  </si>
  <si>
    <t>Cape Coral Unit 84 Blk 5605 Pb 24 Pg 42 Lots 11 + 12</t>
  </si>
  <si>
    <t>97526-8241</t>
  </si>
  <si>
    <t>33177-5632</t>
  </si>
  <si>
    <t xml:space="preserve">2105 NE 41st St  Cape Coral, FL 33909 </t>
  </si>
  <si>
    <t xml:space="preserve">14 Edgemont St #2, Mystic, CT 06355-2853 </t>
  </si>
  <si>
    <t>209th</t>
  </si>
  <si>
    <t>Lake Shore</t>
  </si>
  <si>
    <t>Opa Locka</t>
  </si>
  <si>
    <t>Kish Lillain Est</t>
  </si>
  <si>
    <t>Beaudry</t>
  </si>
  <si>
    <t>18-43-24-c2-05730.0330</t>
  </si>
  <si>
    <t>Cape Coral Unit 87 Blk 5753 Pb 24 Pg 68 Lots 22 + 23</t>
  </si>
  <si>
    <t xml:space="preserve">133 S Church St </t>
  </si>
  <si>
    <t>Amany Hanna</t>
  </si>
  <si>
    <t>18b</t>
  </si>
  <si>
    <t xml:space="preserve">5607 Straight Way  Kingwood, TX 77339-3389 </t>
  </si>
  <si>
    <t>PO Box 2261</t>
  </si>
  <si>
    <t xml:space="preserve">3569 NE 9th Pl </t>
  </si>
  <si>
    <t>33319-4752</t>
  </si>
  <si>
    <t>David Shuey</t>
  </si>
  <si>
    <t xml:space="preserve">2055 Berkeley Dr </t>
  </si>
  <si>
    <t>Catherine &amp; Jerome Laville</t>
  </si>
  <si>
    <t xml:space="preserve">Po Box 19332 </t>
  </si>
  <si>
    <t>Kenneth P Vonderau Trust</t>
  </si>
  <si>
    <t>Lisa &amp; Tricia Einwich</t>
  </si>
  <si>
    <t>Steven Schmit</t>
  </si>
  <si>
    <t xml:space="preserve">338 NE 20th Ter  Cape Coral, FL 33909 </t>
  </si>
  <si>
    <t>07843-1539</t>
  </si>
  <si>
    <t>Isabella</t>
  </si>
  <si>
    <t>San Martin</t>
  </si>
  <si>
    <t>Vitre</t>
  </si>
  <si>
    <t xml:space="preserve">240 Walton Meadow Ln </t>
  </si>
  <si>
    <t>33157-3744</t>
  </si>
  <si>
    <t>Jean-Ruth</t>
  </si>
  <si>
    <t xml:space="preserve">1920 SW 12th Ave  Miami, FL 33129-2613 </t>
  </si>
  <si>
    <t>Rutaivilavan</t>
  </si>
  <si>
    <t>05-44-24-c2-03518.0390</t>
  </si>
  <si>
    <t xml:space="preserve">2907 Stone School Rd </t>
  </si>
  <si>
    <t>34772-7916</t>
  </si>
  <si>
    <t xml:space="preserve">6143 Humboldt Ave </t>
  </si>
  <si>
    <t>25-43-23-c4-02294.0090</t>
  </si>
  <si>
    <t xml:space="preserve">2359 Avenida Primavera  Distrito Santiago De Surco, PE </t>
  </si>
  <si>
    <t>Stanley &amp; Rosemarie Majkut</t>
  </si>
  <si>
    <t xml:space="preserve">10170 Hart Branch Cir </t>
  </si>
  <si>
    <t xml:space="preserve">411 Kismet Pkwy E </t>
  </si>
  <si>
    <t xml:space="preserve">1904 NE 21st Pl  Cape Coral, FL 33909 </t>
  </si>
  <si>
    <t>Encino</t>
  </si>
  <si>
    <t xml:space="preserve">817 NE 32nd Ter  Cape Coral, FL 33909 </t>
  </si>
  <si>
    <t>14818-9728</t>
  </si>
  <si>
    <t>Sharon &amp; Stephen Bowe</t>
  </si>
  <si>
    <t>Aufeld</t>
  </si>
  <si>
    <t>Van Wyck</t>
  </si>
  <si>
    <t xml:space="preserve">4542 Ohio Ave  Fort Myers, FL 33905 </t>
  </si>
  <si>
    <t xml:space="preserve">126 Mill River Rd </t>
  </si>
  <si>
    <t>Bel Air</t>
  </si>
  <si>
    <t xml:space="preserve">2914 Pine Spring Rd  Falls Church, VA 22042-1318 </t>
  </si>
  <si>
    <t>33055-3619</t>
  </si>
  <si>
    <t xml:space="preserve">15030 Wildflower Cir </t>
  </si>
  <si>
    <t>Coop Olympia</t>
  </si>
  <si>
    <t>Johnk Scott S Tr</t>
  </si>
  <si>
    <t>Carmelo Rivera</t>
  </si>
  <si>
    <t>Sandro Vasquez &amp; Wendy Acosta</t>
  </si>
  <si>
    <t>Azzi</t>
  </si>
  <si>
    <t>Cape Coral Unit 33 Blk 2250 Pb 16 Pg 58 Lots 23 + 24</t>
  </si>
  <si>
    <t>33013-2263</t>
  </si>
  <si>
    <t>10309-3006</t>
  </si>
  <si>
    <t xml:space="preserve">597 Albany Pl </t>
  </si>
  <si>
    <t>Halgh</t>
  </si>
  <si>
    <t>Koichiro</t>
  </si>
  <si>
    <t>Elias Kabakow &amp; Lisa Sobel-Kabakow</t>
  </si>
  <si>
    <t>22044-2409</t>
  </si>
  <si>
    <t xml:space="preserve">6067 Mountain Sights Ave </t>
  </si>
  <si>
    <t xml:space="preserve">3519 Red Mountain Dr </t>
  </si>
  <si>
    <t>Marciano &amp; Fe Leonardo</t>
  </si>
  <si>
    <t>Keasbey</t>
  </si>
  <si>
    <t xml:space="preserve">3851 Heyburn St  Fort Myers, FL 33905 </t>
  </si>
  <si>
    <t>09-44-25-06-0000d.0150</t>
  </si>
  <si>
    <t xml:space="preserve">2700 NE Juanita Pl </t>
  </si>
  <si>
    <t>Cape Coral Unit 84 Blk 5556 Pb 24 Pg 31 Lot 16</t>
  </si>
  <si>
    <t xml:space="preserve">521 Hulton Rd  Oakmont, PA 15139-1410 </t>
  </si>
  <si>
    <t>Stephen Lau &amp; For Mi</t>
  </si>
  <si>
    <t>163rd</t>
  </si>
  <si>
    <t>Raymon Clarke &amp; Brigitte Barrett-Clarke</t>
  </si>
  <si>
    <t xml:space="preserve">10230 Meadow Beauty Trl </t>
  </si>
  <si>
    <t>Cape Coral Unit 35 Blk 2370 Pb 16 Pg 104 Lots 40 + 41</t>
  </si>
  <si>
    <t>Carlos Lozada</t>
  </si>
  <si>
    <t xml:space="preserve">13425/431 Pine Needle Ln </t>
  </si>
  <si>
    <t xml:space="preserve">2310 NE 16th Ter  Cape Coral, FL 33909 </t>
  </si>
  <si>
    <t>25-43-23-c3-02310.0230</t>
  </si>
  <si>
    <t>Karen Macleod</t>
  </si>
  <si>
    <t>37885-5338</t>
  </si>
  <si>
    <t xml:space="preserve">3517 W Gator Cir  Cape Coral, FL 33909 </t>
  </si>
  <si>
    <t>03-44-26-08-00037.0220</t>
  </si>
  <si>
    <t xml:space="preserve">3114 SE 10th Pl  Cape Coral, FL 33904 </t>
  </si>
  <si>
    <t xml:space="preserve">231 SE 25th Ln </t>
  </si>
  <si>
    <t xml:space="preserve">8612 Breezy Hill Dr </t>
  </si>
  <si>
    <t>J H J &amp; Jarmila Sax</t>
  </si>
  <si>
    <t>44082-9739</t>
  </si>
  <si>
    <t>Stoystown</t>
  </si>
  <si>
    <t>Daniel &amp; Pamela Sullivan</t>
  </si>
  <si>
    <t>Cape Coral Unit 87 Blk 5753 Pb 24 Pg 69 Lots 48 + 49</t>
  </si>
  <si>
    <t xml:space="preserve">1359 15th St W </t>
  </si>
  <si>
    <t>John &amp; Lorraine Wasiak</t>
  </si>
  <si>
    <t xml:space="preserve">165 Norwich Dr  Clayton, NC 27520-2197 </t>
  </si>
  <si>
    <t xml:space="preserve">2026 198th St W  Faribault, MN 55021-7820 </t>
  </si>
  <si>
    <t>Midnight Ridge</t>
  </si>
  <si>
    <t>Blanchette</t>
  </si>
  <si>
    <t xml:space="preserve">13714 NW 15th St S1, Pembroke Pines, FL 33028-3035 </t>
  </si>
  <si>
    <t>James &amp; Donna Marvin</t>
  </si>
  <si>
    <t xml:space="preserve">3130 NE 13th Ct  Cape Coral, FL 33909 </t>
  </si>
  <si>
    <t>San Jose</t>
  </si>
  <si>
    <t>Cape Coral Unit 47 Pt 2 Blk 3534 Pb 23 Pg 120 Lots 7 + 8</t>
  </si>
  <si>
    <t>Keystone</t>
  </si>
  <si>
    <t>Jhon Toro</t>
  </si>
  <si>
    <t>Cape Coral Unit 36 Blk 2304 Pb 16 Pg 119 Lots 35 + 36</t>
  </si>
  <si>
    <t>Hauguel</t>
  </si>
  <si>
    <t>03-44-26-12-00062.0160</t>
  </si>
  <si>
    <t>Cape Coral Unit 87 Blk 5731 Pb 24 Pg 87 Lots 25 + 26</t>
  </si>
  <si>
    <t xml:space="preserve">3439 NE 17th Ave </t>
  </si>
  <si>
    <t>Forest Ridge</t>
  </si>
  <si>
    <t>79835-8310</t>
  </si>
  <si>
    <t xml:space="preserve">5412 Shelby 333  Clarence, MO 63437-3210 </t>
  </si>
  <si>
    <t>Beck Thomas &amp; Robin Tr</t>
  </si>
  <si>
    <t xml:space="preserve">1513 NE 35th Ln  Cape Coral, FL 33909 </t>
  </si>
  <si>
    <t xml:space="preserve">910 White Oak Pt </t>
  </si>
  <si>
    <t>11-44-25-l1-12000.3350</t>
  </si>
  <si>
    <t xml:space="preserve">824 NE 44th St  Cape Coral, FL 33909 </t>
  </si>
  <si>
    <t>33905-7668</t>
  </si>
  <si>
    <t>Adolph</t>
  </si>
  <si>
    <t>11ce</t>
  </si>
  <si>
    <t>Cape Coral Unit 36 Blk 2352 Pb 16 Pg 121 Lots 19 Thru 21</t>
  </si>
  <si>
    <t>Rossy</t>
  </si>
  <si>
    <t>11769-2256</t>
  </si>
  <si>
    <t>Irina Borges &amp; Reinier Chavez</t>
  </si>
  <si>
    <t xml:space="preserve">6547 Willow Rd  West Bloomfield, MI 48324-2053 </t>
  </si>
  <si>
    <t xml:space="preserve">5860 Cari Rd </t>
  </si>
  <si>
    <t>33905-2603</t>
  </si>
  <si>
    <t>Mark &amp; For Payne</t>
  </si>
  <si>
    <t>33015-3860</t>
  </si>
  <si>
    <t>Littlewood</t>
  </si>
  <si>
    <t>33909-4788</t>
  </si>
  <si>
    <t>Gittinger</t>
  </si>
  <si>
    <t xml:space="preserve">1434 NE 1st Pl  Cape Coral, FL 33909 </t>
  </si>
  <si>
    <t>36-43-23-c2-02527.0510</t>
  </si>
  <si>
    <t xml:space="preserve">829 NE 1st Ave </t>
  </si>
  <si>
    <t xml:space="preserve">6103 Holt Ct  Fort Myers, FL 33905 </t>
  </si>
  <si>
    <t xml:space="preserve">Po Box 366 </t>
  </si>
  <si>
    <t>Cape Coral Unit 36 Blk 2329 Pb 16 Pg 128 Lots 25 + 26</t>
  </si>
  <si>
    <t>33905-2314</t>
  </si>
  <si>
    <t xml:space="preserve">4004 NE 20th Ct </t>
  </si>
  <si>
    <t>19-43-24-c1-05576.0110</t>
  </si>
  <si>
    <t xml:space="preserve">8040 Conservatory Cir </t>
  </si>
  <si>
    <t>36-43-23-c1-02516.0510</t>
  </si>
  <si>
    <t>R293</t>
  </si>
  <si>
    <t xml:space="preserve">2821 NE 5th Ave  Cape Coral, FL 33909 </t>
  </si>
  <si>
    <t xml:space="preserve">2113 NE 10th Pl  Cape Coral, FL 33909 </t>
  </si>
  <si>
    <t>33909-4499</t>
  </si>
  <si>
    <t>Macclenny</t>
  </si>
  <si>
    <t xml:space="preserve">3500 Plantation Pl </t>
  </si>
  <si>
    <t xml:space="preserve">12525 River Rd  Fort Myers, FL 33905 </t>
  </si>
  <si>
    <t xml:space="preserve">2300 NE Juanita Pl  Cape Coral, FL 33909 </t>
  </si>
  <si>
    <t>05-44-26-06-00000.0590</t>
  </si>
  <si>
    <t xml:space="preserve">121 NE 19th Ter </t>
  </si>
  <si>
    <t>Chilehalde</t>
  </si>
  <si>
    <t>Phuc</t>
  </si>
  <si>
    <t>Elizabeth Donnelly</t>
  </si>
  <si>
    <t>Gainesville</t>
  </si>
  <si>
    <t>Cape Coral Unit 84 Blk 5599 Pb 24 Pg 43 Lots 67 + 68</t>
  </si>
  <si>
    <t xml:space="preserve">4830 Pierce St  Hollywood, FL 33021-5810 </t>
  </si>
  <si>
    <t xml:space="preserve">2 NE 9th St </t>
  </si>
  <si>
    <t xml:space="preserve">2328 NE 19th Pl  Cape Coral, FL 33909 </t>
  </si>
  <si>
    <t>20817-1729</t>
  </si>
  <si>
    <t xml:space="preserve">7770 Thistle Ln  Novelty, OH 44072-9573 </t>
  </si>
  <si>
    <t>06-44-24-c4-02069.0650</t>
  </si>
  <si>
    <t xml:space="preserve">5020 NW 198th St </t>
  </si>
  <si>
    <t xml:space="preserve">22 Flintlock Rd </t>
  </si>
  <si>
    <t>Cape Coral Unit 47 Pt 2 Blk 3522 Pb 23 Pg 121 Lots 39 + 40</t>
  </si>
  <si>
    <t>Meadowbrook</t>
  </si>
  <si>
    <t xml:space="preserve">51 Bohuslavice </t>
  </si>
  <si>
    <t>Daniel Deamon</t>
  </si>
  <si>
    <t>Cape Coral Unit 26 Blk 912 Pb 14 Pg 133 Lots 15 + 16</t>
  </si>
  <si>
    <t>Cape Coral Unit 33 Blk 2287 Pb 16 Pg 58 Lots 64 + 65</t>
  </si>
  <si>
    <t>Brett J Henschen Revocable Tru</t>
  </si>
  <si>
    <t xml:space="preserve">4477 Huntwicke Dr </t>
  </si>
  <si>
    <t>Cape Coral Unit 84 Blk 5565 Pb 24 Pg 39 Lots 3 + 4</t>
  </si>
  <si>
    <t>33909-6331</t>
  </si>
  <si>
    <t>20-46-25-05-00001.0020</t>
  </si>
  <si>
    <t xml:space="preserve">1155 Whitemarsh Ct  San Jose, CA 95120-5505 </t>
  </si>
  <si>
    <t>Wayside</t>
  </si>
  <si>
    <t>Dimas</t>
  </si>
  <si>
    <t>Darien</t>
  </si>
  <si>
    <t>For Corene Grosse Trust</t>
  </si>
  <si>
    <t>Vedire</t>
  </si>
  <si>
    <t>Mohammed Modabber</t>
  </si>
  <si>
    <t xml:space="preserve">538 Bloomville Hill Rd  Bloomville, NY 13739-1214 </t>
  </si>
  <si>
    <t>32-43-24-c4-02208.0530</t>
  </si>
  <si>
    <t>Cape Coral Unit 88 Blk 5782 Pb 24 Pg 132 Lots 48 + 49</t>
  </si>
  <si>
    <t>For Panjabi Trust</t>
  </si>
  <si>
    <t>Granner Charles W Iii Tr</t>
  </si>
  <si>
    <t xml:space="preserve">1809 NE 23rd St  Cape Coral, FL 33909 </t>
  </si>
  <si>
    <t>65065-2502</t>
  </si>
  <si>
    <t xml:space="preserve">Po Box 6802 </t>
  </si>
  <si>
    <t>Derzy</t>
  </si>
  <si>
    <t>Robert &amp; Terrie Chudakoff</t>
  </si>
  <si>
    <t>33909-3276</t>
  </si>
  <si>
    <t xml:space="preserve">1523 NE 11th St </t>
  </si>
  <si>
    <t>Cypress Woods Rv Resort Ut 1 Pb 65 Pg 85 + 86 Blk B Lot 104</t>
  </si>
  <si>
    <t xml:space="preserve">421 SE 31st St  Cape Coral, FL 33904 </t>
  </si>
  <si>
    <t xml:space="preserve">406 NE 15th Ter </t>
  </si>
  <si>
    <t>Lehigh Acres Unit 1 Blk 2 Pb 26 Pg 22 Lot 4</t>
  </si>
  <si>
    <t>Tammie</t>
  </si>
  <si>
    <t>Parichat</t>
  </si>
  <si>
    <t>65065-2894</t>
  </si>
  <si>
    <t>19-43-24-c1-05548.0090</t>
  </si>
  <si>
    <t>Ruth Manzano</t>
  </si>
  <si>
    <t xml:space="preserve">555 Sacramento St </t>
  </si>
  <si>
    <t>55378-4448</t>
  </si>
  <si>
    <t>C27</t>
  </si>
  <si>
    <t>18-43-24-c3-05585.0080</t>
  </si>
  <si>
    <t>State Road 81</t>
  </si>
  <si>
    <t>Machrihanish</t>
  </si>
  <si>
    <t>Enry</t>
  </si>
  <si>
    <t xml:space="preserve">1622 NE 13th Ave </t>
  </si>
  <si>
    <t>So</t>
  </si>
  <si>
    <t xml:space="preserve">1 Vale Ct  Mount Sinai, NY 11766-1726 </t>
  </si>
  <si>
    <t>Poppa</t>
  </si>
  <si>
    <t xml:space="preserve">166 Ethel Rd  Piscataway, NJ 08854-5480 </t>
  </si>
  <si>
    <t>East Amherst</t>
  </si>
  <si>
    <t xml:space="preserve">15321 SW 299th St  Homestead, FL 33033-3670 </t>
  </si>
  <si>
    <t xml:space="preserve">9497 Worswick Ct </t>
  </si>
  <si>
    <t xml:space="preserve">14121 Carlotta St </t>
  </si>
  <si>
    <t xml:space="preserve">Im Auchtert #39, Oklahoma City, OK 73119 </t>
  </si>
  <si>
    <t xml:space="preserve">704 Draper Rd SW  Blacksburg, VA 24060-4655 </t>
  </si>
  <si>
    <t xml:space="preserve">9800 Monogram Ave </t>
  </si>
  <si>
    <t>Corr</t>
  </si>
  <si>
    <t>J E J &amp; Daisy Lodrigue</t>
  </si>
  <si>
    <t>33905-7903</t>
  </si>
  <si>
    <t>20-43-24-c4-05633.0310</t>
  </si>
  <si>
    <t xml:space="preserve">6053 NW 56th Cir  Coral Springs, FL 33067-3529 </t>
  </si>
  <si>
    <t xml:space="preserve">2916 NE 1st Ave </t>
  </si>
  <si>
    <t>Cape Coral Unit 84 Blk 5548 Pb 24 Pg 39 Lots 31 + 32</t>
  </si>
  <si>
    <t xml:space="preserve">4501 SW 94th Ave  Miami, FL 33165-5843 </t>
  </si>
  <si>
    <t>Lehigh Acres Unit 1 Blk 2 Pb 26 Pg 2 Lot 1</t>
  </si>
  <si>
    <t>Thoai</t>
  </si>
  <si>
    <t xml:space="preserve">1810 SW 5th Ave #208 </t>
  </si>
  <si>
    <t>01-44-23-c4-02412.0280</t>
  </si>
  <si>
    <t xml:space="preserve">3341 SE 10th Pl </t>
  </si>
  <si>
    <t>Delli</t>
  </si>
  <si>
    <t>16-44-26-06-00015.0100</t>
  </si>
  <si>
    <t>PO Box 2060</t>
  </si>
  <si>
    <t xml:space="preserve">2680 Scotti Rd </t>
  </si>
  <si>
    <t xml:space="preserve">922 NE 34th St  Cape Coral, FL 33909 </t>
  </si>
  <si>
    <t xml:space="preserve">1586 Silo Pl  Bolivar, MO 65613-8502 </t>
  </si>
  <si>
    <t>03-44-26-13-00071.0070</t>
  </si>
  <si>
    <t>Cape Coral Unit 36 Blk 2532 Pb 16 Pg 117 Lot 38</t>
  </si>
  <si>
    <t xml:space="preserve">1232 E 56th St </t>
  </si>
  <si>
    <t>Anulli</t>
  </si>
  <si>
    <t>06-44-24-c4-02045.0130</t>
  </si>
  <si>
    <t>59937-1363</t>
  </si>
  <si>
    <t>Cape Coral Unit 32 Blk 2103 Pb 16 Pg 5 Lots 47 + 48</t>
  </si>
  <si>
    <t xml:space="preserve">15801 Woods Chapel Rd E6, Kansas City, MO 64139-1264 </t>
  </si>
  <si>
    <t>Amparo</t>
  </si>
  <si>
    <t>Cape Coral Unit 34 Blk 2465 Pb 16 Pg 86 Lots 12 + 13</t>
  </si>
  <si>
    <t>33909-4734</t>
  </si>
  <si>
    <t>Climie</t>
  </si>
  <si>
    <t>Newport Coast</t>
  </si>
  <si>
    <t>Patricia Wangerman</t>
  </si>
  <si>
    <t>Carnesville</t>
  </si>
  <si>
    <t xml:space="preserve">3521 NE 20th Pl </t>
  </si>
  <si>
    <t xml:space="preserve">932 NE 1st Pl  Cape Coral, FL 33909 </t>
  </si>
  <si>
    <t xml:space="preserve">2940 E 2850 north Rd  Armstrong, IL 61812-6861 </t>
  </si>
  <si>
    <t xml:space="preserve">227 1/2 W 51st St </t>
  </si>
  <si>
    <t>Rita Bos</t>
  </si>
  <si>
    <t>33909-4445</t>
  </si>
  <si>
    <t>Weaver</t>
  </si>
  <si>
    <t>Hyatt</t>
  </si>
  <si>
    <t xml:space="preserve">5213 Ellwood Rd  Ellwood City, PA 16117-6831 </t>
  </si>
  <si>
    <t>11419-2715</t>
  </si>
  <si>
    <t>33909-1679</t>
  </si>
  <si>
    <t>For William E &amp; Phyllis P Cousino Trust</t>
  </si>
  <si>
    <t>36-43-23-c2-02525.0420</t>
  </si>
  <si>
    <t xml:space="preserve">336 Mulberry Grove Rd </t>
  </si>
  <si>
    <t xml:space="preserve">16553 14th St </t>
  </si>
  <si>
    <t xml:space="preserve">728 Marie St </t>
  </si>
  <si>
    <t>Sharma</t>
  </si>
  <si>
    <t>Errol Harris</t>
  </si>
  <si>
    <t xml:space="preserve">11919 18th Ave </t>
  </si>
  <si>
    <t xml:space="preserve">2217 NE 35th Ter </t>
  </si>
  <si>
    <t>Cape Coral Unit 32 Blk 2163 Pb 16 Pg 11 Lots 27 + 28</t>
  </si>
  <si>
    <t>Kissel</t>
  </si>
  <si>
    <t>Derek Kopecky</t>
  </si>
  <si>
    <t>11230-2303</t>
  </si>
  <si>
    <t>Kevin Franch &amp; Josephine Giordano</t>
  </si>
  <si>
    <t>Pebble</t>
  </si>
  <si>
    <t xml:space="preserve">3614 NE 18th Pl </t>
  </si>
  <si>
    <t>St. Cloud</t>
  </si>
  <si>
    <t>Cape Coral Unit 14 Blk.452 Pb 13 Pg 68 Lots 56 + 57</t>
  </si>
  <si>
    <t>33063-2223</t>
  </si>
  <si>
    <t>33909-8865</t>
  </si>
  <si>
    <t xml:space="preserve">5504 Black Pug Dr  Fort Myers, FL 33908 </t>
  </si>
  <si>
    <t>Gregory Zakas &amp; Tima Le</t>
  </si>
  <si>
    <t>Vahid</t>
  </si>
  <si>
    <t>George &amp; Marion Hill</t>
  </si>
  <si>
    <t xml:space="preserve">2109 NE 4th St </t>
  </si>
  <si>
    <t>Cape Coral Unit 36 Blk 2309 Pb 16 Pg 120 Lots 32 + 33</t>
  </si>
  <si>
    <t>Artiaco</t>
  </si>
  <si>
    <t>Buckingham Pk Re Blk B U-5 Blk 27 Pb 27 Pg 193 Lot 15</t>
  </si>
  <si>
    <t>01-44-23-c2-02453.0390</t>
  </si>
  <si>
    <t>26508-2977</t>
  </si>
  <si>
    <t xml:space="preserve">1323 NE 8th Pl  Cape Coral, FL 33909 </t>
  </si>
  <si>
    <t xml:space="preserve">3516 NE 19th Pl </t>
  </si>
  <si>
    <t>Vine Maple Lane</t>
  </si>
  <si>
    <t>11-44-25-11-00000.0530</t>
  </si>
  <si>
    <t xml:space="preserve">704 Shandale Dr </t>
  </si>
  <si>
    <t>Cabana City Blk G Pb 8 Pg 61 Lots 65 Thru 70</t>
  </si>
  <si>
    <t>33909-3511</t>
  </si>
  <si>
    <t>Bergst</t>
  </si>
  <si>
    <t>Floral Park</t>
  </si>
  <si>
    <t>Seiling Edith F Tr</t>
  </si>
  <si>
    <t>30-43-24-c2-13706.0303</t>
  </si>
  <si>
    <t>10032-4917</t>
  </si>
  <si>
    <t xml:space="preserve">108 Precipice Ln </t>
  </si>
  <si>
    <t>Cornville</t>
  </si>
  <si>
    <t xml:space="preserve">41 Dawn Dr </t>
  </si>
  <si>
    <t>36-44-23-c2-00901.0350</t>
  </si>
  <si>
    <t>33909-3222</t>
  </si>
  <si>
    <t xml:space="preserve">1587 Daniels St </t>
  </si>
  <si>
    <t xml:space="preserve">12710 Treeline Ct </t>
  </si>
  <si>
    <t>Delatorre</t>
  </si>
  <si>
    <t>Farkas-Alvarez</t>
  </si>
  <si>
    <t>Serge Laviolette</t>
  </si>
  <si>
    <t xml:space="preserve">828 NE 23rd Ter  Cape Coral, FL 33909 </t>
  </si>
  <si>
    <t>Verandah Unit Twelve Desc In Inst#2005-156524 Blk C Lot 31</t>
  </si>
  <si>
    <t xml:space="preserve">13 Fishermans Cir #2 </t>
  </si>
  <si>
    <t xml:space="preserve">440 Elizabethtown Rd </t>
  </si>
  <si>
    <t>25-43-23-c4-02304.0330</t>
  </si>
  <si>
    <t>Cape Coral Unit 36 Blk 2346 Pb 16 Pg 127 Lots 21 + 22</t>
  </si>
  <si>
    <t xml:space="preserve">6310 Neal Rd </t>
  </si>
  <si>
    <t>Kristi</t>
  </si>
  <si>
    <t xml:space="preserve">19681 Summerlin Rd #9, Fort Myers, FL 33908 </t>
  </si>
  <si>
    <t>Robert Williams</t>
  </si>
  <si>
    <t xml:space="preserve">2747 Jackson St </t>
  </si>
  <si>
    <t>07071-1221</t>
  </si>
  <si>
    <t>35-44-24-p4-35000.0040</t>
  </si>
  <si>
    <t>31-44-24-c1-00634.0050</t>
  </si>
  <si>
    <t xml:space="preserve">6028 Langdon Ave  Fort Myers, FL 33905 </t>
  </si>
  <si>
    <t>33126-2072</t>
  </si>
  <si>
    <t>Nayes</t>
  </si>
  <si>
    <t>Cape Coral Unit 31 Blk 2075 Pb 14 Pg 161 Lots 7 + 8</t>
  </si>
  <si>
    <t>Cape Coral Unit 87 Blk 5706 Pb 24 Pg 71 Lots 35 + 36</t>
  </si>
  <si>
    <t xml:space="preserve">12000 Kimberlyn Rd  Oklahoma City, OK 73162-1323 </t>
  </si>
  <si>
    <t>Charlene Lataille</t>
  </si>
  <si>
    <t>Cape Coral Unit 36 Blk 2528 Pb 16 Pg 114 Lots 56 57 + 58</t>
  </si>
  <si>
    <t xml:space="preserve">3779 NE 14th Pl  Cape Coral, FL 33909 </t>
  </si>
  <si>
    <t xml:space="preserve">12 Rays Way </t>
  </si>
  <si>
    <t>600th</t>
  </si>
  <si>
    <t xml:space="preserve">2009 NE Juanita Pl </t>
  </si>
  <si>
    <t xml:space="preserve">1213 W Byron Ave  Addison, IL 60101-2016 </t>
  </si>
  <si>
    <t xml:space="preserve">5967 Brightwood Dr </t>
  </si>
  <si>
    <t xml:space="preserve">341 Skyline Orchard Dr </t>
  </si>
  <si>
    <t xml:space="preserve">Po Box 172 </t>
  </si>
  <si>
    <t>South Barrington</t>
  </si>
  <si>
    <t>33909-7353</t>
  </si>
  <si>
    <t xml:space="preserve">14050 Roof St  Fort Myers, FL 33905 </t>
  </si>
  <si>
    <t xml:space="preserve">5850 Witzel Rd SE </t>
  </si>
  <si>
    <t xml:space="preserve">10059 Parkwood Dr  Fort Myers, FL 33905 </t>
  </si>
  <si>
    <t>Lehigh Acres Unit 8 Blk 50 Pb 26 Pg 35 Lot 4</t>
  </si>
  <si>
    <t>Enza</t>
  </si>
  <si>
    <t xml:space="preserve">2684 55th Ter SW  Naples, FL 34116-7532 </t>
  </si>
  <si>
    <t>John &amp; Jennifer Williams</t>
  </si>
  <si>
    <t>Donates</t>
  </si>
  <si>
    <t>Cape Coral Unit 87 Blk 5753 Pb 24 Pg 68 Lots 20 + 21</t>
  </si>
  <si>
    <t>Edgar Pena &amp; Martha Olave</t>
  </si>
  <si>
    <t xml:space="preserve">14 Slayton Rd  Glenwood, NJ 07418-1021 </t>
  </si>
  <si>
    <t>Achasta</t>
  </si>
  <si>
    <t xml:space="preserve">1218 Andalusia Blvd </t>
  </si>
  <si>
    <t>Espinal</t>
  </si>
  <si>
    <t>Ciafone</t>
  </si>
  <si>
    <t>Lim Ramon Tr</t>
  </si>
  <si>
    <t>43rd</t>
  </si>
  <si>
    <t>Boucherville</t>
  </si>
  <si>
    <t>Lockwood</t>
  </si>
  <si>
    <t>Reiniel Rodriguez-Dorta &amp; Anadey Garcia</t>
  </si>
  <si>
    <t>Pierre</t>
  </si>
  <si>
    <t>Cape Coral Unit 36 Blk 2295 Pb 16 Pg 119 Lots 3 + 4</t>
  </si>
  <si>
    <t>Swoope</t>
  </si>
  <si>
    <t>Cape Coral Unit 84 Blk 5571 Pb 24 Pg 40 Lots 10 + 11</t>
  </si>
  <si>
    <t xml:space="preserve">1410 SE 32nd St </t>
  </si>
  <si>
    <t xml:space="preserve">1009 NE 13th Pl </t>
  </si>
  <si>
    <t xml:space="preserve">4014 NE 9th Pl </t>
  </si>
  <si>
    <t>25-43-23-c2-02331.0180</t>
  </si>
  <si>
    <t xml:space="preserve">208 10th St </t>
  </si>
  <si>
    <t>San Germ?n</t>
  </si>
  <si>
    <t>Valdez</t>
  </si>
  <si>
    <t>Morfia</t>
  </si>
  <si>
    <t>Eloisa Vasquez</t>
  </si>
  <si>
    <t>West Springfield Town</t>
  </si>
  <si>
    <t xml:space="preserve">Alvesser 4 St </t>
  </si>
  <si>
    <t>Rocky River</t>
  </si>
  <si>
    <t>33909-1914</t>
  </si>
  <si>
    <t>02131-3125</t>
  </si>
  <si>
    <t xml:space="preserve">5209 Pineland Daisy Trl  Fort Myers, FL 33905 </t>
  </si>
  <si>
    <t xml:space="preserve">1618 NE 6th Ave  Cape Coral, FL 33909 </t>
  </si>
  <si>
    <t>Dany</t>
  </si>
  <si>
    <t>33905-1739</t>
  </si>
  <si>
    <t>Henry &amp; Jacqueline Stevens</t>
  </si>
  <si>
    <t>Buckingham Pk Re Blk B U-3 Blk 13 Pb 27 Pg 190 Lot 37</t>
  </si>
  <si>
    <t>Mary Sniegowski</t>
  </si>
  <si>
    <t xml:space="preserve">3841 Hoffman St  Fort Myers, FL 33905 </t>
  </si>
  <si>
    <t xml:space="preserve">5785 Brightwood Dr  Fort Myers, FL 33905 </t>
  </si>
  <si>
    <t xml:space="preserve">5214 Pineland Daisy Trl  Fort Myers, FL 33905 </t>
  </si>
  <si>
    <t>20601-3239</t>
  </si>
  <si>
    <t xml:space="preserve">2305 Meridian St </t>
  </si>
  <si>
    <t>33909-1625</t>
  </si>
  <si>
    <t>Louis Mavros</t>
  </si>
  <si>
    <t xml:space="preserve">1374 W 550 S  Washington, IN 47501-7471 </t>
  </si>
  <si>
    <t>Leland</t>
  </si>
  <si>
    <t>Rafael Falcon</t>
  </si>
  <si>
    <t>33909-4783</t>
  </si>
  <si>
    <t xml:space="preserve">4444 NE 10th Ct  Cape Coral, FL 33909 </t>
  </si>
  <si>
    <t>33909-6130</t>
  </si>
  <si>
    <t xml:space="preserve">2 Rue Coeurs Des Pres </t>
  </si>
  <si>
    <t>Pennington</t>
  </si>
  <si>
    <t xml:space="preserve">2415 Everest Pkwy </t>
  </si>
  <si>
    <t xml:space="preserve">229 NE 13th Ave  Cape Coral, FL 33909 </t>
  </si>
  <si>
    <t xml:space="preserve">1916 NE 19th Ave  Cape Coral, FL 33909 </t>
  </si>
  <si>
    <t xml:space="preserve">1810 NE 44th St  Cape Coral, FL 33909 </t>
  </si>
  <si>
    <t>33909-8811</t>
  </si>
  <si>
    <t xml:space="preserve">228 Diplomat Pkwy E  Cape Coral, FL 33909 </t>
  </si>
  <si>
    <t>05-44-24-c1-03529.0080</t>
  </si>
  <si>
    <t xml:space="preserve">17 Foley Cir  East Hartford, CT 06108-1524 </t>
  </si>
  <si>
    <t>25-43-23-c4-02300.a180</t>
  </si>
  <si>
    <t>05-44-24-c2-03520.0280</t>
  </si>
  <si>
    <t xml:space="preserve">6051 Joplin Ave  Fort Myers, FL 33905 </t>
  </si>
  <si>
    <t xml:space="preserve">1314 N Gator Cir </t>
  </si>
  <si>
    <t>Cape Coral Unit 33 Blk 2218 Pb 16 Pg 43 Lots 47 + 48</t>
  </si>
  <si>
    <t xml:space="preserve">2318 NE 24th Ter  Cape Coral, FL 33909 </t>
  </si>
  <si>
    <t xml:space="preserve">4 Nelkenweg </t>
  </si>
  <si>
    <t xml:space="preserve">13 Perkal St  Bay Shore, NY 11706-6711 </t>
  </si>
  <si>
    <t>Ronald Reagan</t>
  </si>
  <si>
    <t xml:space="preserve">8927 Sheldon West Dr  Tampa, FL 33626-3664 </t>
  </si>
  <si>
    <t>33905-8636</t>
  </si>
  <si>
    <t>25-43-23-c4-02299.0370</t>
  </si>
  <si>
    <t xml:space="preserve">Rua Do Padrao 219-4 Esq  Porto, PT 04150 </t>
  </si>
  <si>
    <t xml:space="preserve">4416 NE 21st Ct  Cape Coral, FL 33909 </t>
  </si>
  <si>
    <t xml:space="preserve">3862 Inverness Dr #202 </t>
  </si>
  <si>
    <t xml:space="preserve">6n702 Brookhaven Ln </t>
  </si>
  <si>
    <t>R N R &amp; Carolyn Hawkins</t>
  </si>
  <si>
    <t>Kimmo-Lee</t>
  </si>
  <si>
    <t>17-43-24-c1-05820.0330</t>
  </si>
  <si>
    <t xml:space="preserve">2212 NE 19th Pl </t>
  </si>
  <si>
    <t>Berta Martin</t>
  </si>
  <si>
    <t>Laverdiere Dorothy Tr</t>
  </si>
  <si>
    <t xml:space="preserve">2016 NE 18th St </t>
  </si>
  <si>
    <t xml:space="preserve">9700 W M 21  Ovid, MI 48866-9555 </t>
  </si>
  <si>
    <t>Bobillier</t>
  </si>
  <si>
    <t>Stanley &amp; Phyllis Jachimowski</t>
  </si>
  <si>
    <t xml:space="preserve">5272 Cypress Trail Resort Cir  Fort Myers, FL 33905 </t>
  </si>
  <si>
    <t>11-44-25-08-00000.1960</t>
  </si>
  <si>
    <t>Pascagoula</t>
  </si>
  <si>
    <t>60543-2900</t>
  </si>
  <si>
    <t>31-43-24-c2-02138.0410</t>
  </si>
  <si>
    <t>Cape Coral Unit 47 Part 2 Blk 3542 Pb 23 Pg 118 Lots 58 + 59</t>
  </si>
  <si>
    <t xml:space="preserve">1195 Francis Dr </t>
  </si>
  <si>
    <t>75165-4671</t>
  </si>
  <si>
    <t>White City</t>
  </si>
  <si>
    <t>Carolee Odell &amp; Marilyn Ryder</t>
  </si>
  <si>
    <t xml:space="preserve">1306 NE 1st Ave </t>
  </si>
  <si>
    <t xml:space="preserve">18103 NW 60th Ct  Hialeah, FL 33015-5616 </t>
  </si>
  <si>
    <t>Sandra Villamil &amp; Tito Ruiz</t>
  </si>
  <si>
    <t>32-45-24-00-00010.0090</t>
  </si>
  <si>
    <t>Cape Coral Unit 85 Blk 5665 Pb 24 Pg 53 Lots 52 + 53</t>
  </si>
  <si>
    <t>21032-1621</t>
  </si>
  <si>
    <t xml:space="preserve">902 N Clarksville Rd </t>
  </si>
  <si>
    <t>Cape Coral Unit 17 Blk 1528 Pb 14 Pg 36 Lots 35 Thru 37</t>
  </si>
  <si>
    <t xml:space="preserve">130 NE 24th Ter </t>
  </si>
  <si>
    <t xml:space="preserve">3627 W Gator Cir </t>
  </si>
  <si>
    <t xml:space="preserve">1408 NE 43rd Ter  Cape Coral, FL 33909 </t>
  </si>
  <si>
    <t xml:space="preserve">13 Apt 402 </t>
  </si>
  <si>
    <t xml:space="preserve">2739 Wigwam Park Rd </t>
  </si>
  <si>
    <t>Volkernick</t>
  </si>
  <si>
    <t>Verdes &amp; Sergiu Verdes</t>
  </si>
  <si>
    <t>Cape Coral Unit 36 Blk 2328 Pb 16 Pg 128 Lot 25 26</t>
  </si>
  <si>
    <t>Bush</t>
  </si>
  <si>
    <t xml:space="preserve">224 NE 9th St  Cape Coral, FL 33909 </t>
  </si>
  <si>
    <t xml:space="preserve">8115 SW 13th Ter </t>
  </si>
  <si>
    <t>Julia Vazquez</t>
  </si>
  <si>
    <t>54853-3412</t>
  </si>
  <si>
    <t>53126-9542</t>
  </si>
  <si>
    <t>Cape Coral Unit 17 Blk.1494 Pb 14 Pg 29 Lots 5 + 6</t>
  </si>
  <si>
    <t>28697-8229</t>
  </si>
  <si>
    <t>20-43-24-c1-05770.0090</t>
  </si>
  <si>
    <t xml:space="preserve">9310 Savannah Estates Dr  Lake Worth, FL 33467-6985 </t>
  </si>
  <si>
    <t>Cape Coral Unit 21 Blk.551 Pb 13 Pg 155 Lot 8 Thru 10</t>
  </si>
  <si>
    <t>Fort Worth</t>
  </si>
  <si>
    <t>800 w</t>
  </si>
  <si>
    <t>Savitz</t>
  </si>
  <si>
    <t>Ribbon</t>
  </si>
  <si>
    <t>11-45-24-05-00024.0420</t>
  </si>
  <si>
    <t>33905-7702</t>
  </si>
  <si>
    <t xml:space="preserve">826 NE 20th St  Cape Coral, FL 33909 </t>
  </si>
  <si>
    <t>Beeman</t>
  </si>
  <si>
    <t>Zimmermann</t>
  </si>
  <si>
    <t xml:space="preserve">1716 NE 33rd Ln  Cape Coral, FL 33909 </t>
  </si>
  <si>
    <t>11-44-25-09-00000.1900</t>
  </si>
  <si>
    <t xml:space="preserve">PO Box 7237  Spreckels, CA 93962-7237 </t>
  </si>
  <si>
    <t>33909-9206</t>
  </si>
  <si>
    <t>Carnes</t>
  </si>
  <si>
    <t xml:space="preserve">3760 Kemper St </t>
  </si>
  <si>
    <t>33068-4154</t>
  </si>
  <si>
    <t xml:space="preserve">191 Lexington Ave  Passaic, NJ 07055-6104 </t>
  </si>
  <si>
    <t>Cape Coral Unit 32 Blk 2143 Pb 16 Pg 6 Lots 42 + 43</t>
  </si>
  <si>
    <t>36-44-23-c3-00898.0180</t>
  </si>
  <si>
    <t>06-44-26-00-00031.9060</t>
  </si>
  <si>
    <t>Shadowood</t>
  </si>
  <si>
    <t xml:space="preserve">2556 99th St  East Elmhurst, NY 11369-1614 </t>
  </si>
  <si>
    <t>Harry Lusk</t>
  </si>
  <si>
    <t xml:space="preserve">833 NE 9th St </t>
  </si>
  <si>
    <t>F11</t>
  </si>
  <si>
    <t>17-44-25-p2-02102.0130</t>
  </si>
  <si>
    <t>Glenridge</t>
  </si>
  <si>
    <t xml:space="preserve">5871 Burrwood Ct </t>
  </si>
  <si>
    <t>Trawood</t>
  </si>
  <si>
    <t>95709-9629</t>
  </si>
  <si>
    <t>Cape Coral Unit 84 Blk 5619 Pb 24 Pg 33 Lots 17 + 18</t>
  </si>
  <si>
    <t>Loris</t>
  </si>
  <si>
    <t>Ft Myers Shores Unit 4A Pb 24 Pg 101 Lot 8</t>
  </si>
  <si>
    <t xml:space="preserve">31101 Diane Ct  Willoughby Hills, OH 44092-1220 </t>
  </si>
  <si>
    <t>Taschler Mary Jo Tr</t>
  </si>
  <si>
    <t xml:space="preserve">1315 NE 9th Pl  Cape Coral, FL 33909 </t>
  </si>
  <si>
    <t>Lehigh Acres Unit 3 Blk 13 Pb 26 Pg 5 Lot 10</t>
  </si>
  <si>
    <t>21727-7803</t>
  </si>
  <si>
    <t>33909-4533</t>
  </si>
  <si>
    <t>Marcus Kirschner</t>
  </si>
  <si>
    <t xml:space="preserve">342 NE 31st Ter </t>
  </si>
  <si>
    <t xml:space="preserve">3758 Kittyhawk Dr  Fort Myers, FL 33905 </t>
  </si>
  <si>
    <t>A G Edwards Trust Co Fsb Tr</t>
  </si>
  <si>
    <t xml:space="preserve">1405 NE 16th Pl </t>
  </si>
  <si>
    <t xml:space="preserve">16 Alexandra Dr </t>
  </si>
  <si>
    <t>Caberos</t>
  </si>
  <si>
    <t>19-43-24-c3-05608.0360</t>
  </si>
  <si>
    <t>Cape Coral Unit 36 Blk 2329 Pb 16 Pg 128 Lots 23 + 24</t>
  </si>
  <si>
    <t>Argudo</t>
  </si>
  <si>
    <t>Ne Land</t>
  </si>
  <si>
    <t>Hockersmith</t>
  </si>
  <si>
    <t>33909-4244</t>
  </si>
  <si>
    <t>Indies</t>
  </si>
  <si>
    <t>Cape Coral Unit 88 Blk 5828 Pb 24 Pg 142 Lots 19 + 20</t>
  </si>
  <si>
    <t xml:space="preserve">113 Town Farm Rd </t>
  </si>
  <si>
    <t xml:space="preserve">3960 Lincoln Rd </t>
  </si>
  <si>
    <t xml:space="preserve">1103 Jacaranda Pkwy E  Cape Coral, FL 33909 </t>
  </si>
  <si>
    <t xml:space="preserve">1503 NE 19th Ter  Cape Coral, FL 33909 </t>
  </si>
  <si>
    <t>Hazelwood</t>
  </si>
  <si>
    <t>33909-1478</t>
  </si>
  <si>
    <t>Lehigh Acres W Pt Unit 1 Blk 1 Pb 26 Pg 2 Lot 7</t>
  </si>
  <si>
    <t>Kuenner</t>
  </si>
  <si>
    <t xml:space="preserve">101 NE 27th Ter </t>
  </si>
  <si>
    <t xml:space="preserve">726 E Main St F </t>
  </si>
  <si>
    <t>37w192</t>
  </si>
  <si>
    <t xml:space="preserve">217 Duncan Rd  Hartsville, TN 37074-5028 </t>
  </si>
  <si>
    <t>16-43-24-01-00000.1170</t>
  </si>
  <si>
    <t xml:space="preserve">711 NE 23rd Ter </t>
  </si>
  <si>
    <t>John &amp; Susan Lynch</t>
  </si>
  <si>
    <t xml:space="preserve">12899 NW 2nd St </t>
  </si>
  <si>
    <t xml:space="preserve">17 NE 11th Ter  Cape Coral, FL 33909 </t>
  </si>
  <si>
    <t>33178-3394</t>
  </si>
  <si>
    <t>32-43-24-c3-02218.0420</t>
  </si>
  <si>
    <t>33015-2942</t>
  </si>
  <si>
    <t>Mantova River</t>
  </si>
  <si>
    <t>Ann &amp; Leonard Mathiason</t>
  </si>
  <si>
    <t xml:space="preserve">4510 NW 36th St #403, Lauderdale Lakes, FL 33319-6410 </t>
  </si>
  <si>
    <t>06-44-24-c2-02091.0270</t>
  </si>
  <si>
    <t>20-43-24-c1-05642.0270</t>
  </si>
  <si>
    <t>33909-5217</t>
  </si>
  <si>
    <t xml:space="preserve">2217 NE 33rd Ter  Cape Coral, FL 33909 </t>
  </si>
  <si>
    <t>Cape Coral Unit 36 Blk 2531 Pb 16 Pg 117 Lots 20 + 21</t>
  </si>
  <si>
    <t>Cape Coral Unit 36 Blk 2543 Pb 16 Pg 118 Lots 57 + 58</t>
  </si>
  <si>
    <t>Blumie</t>
  </si>
  <si>
    <t>Cichon</t>
  </si>
  <si>
    <t>Arpad</t>
  </si>
  <si>
    <t>33904-7466</t>
  </si>
  <si>
    <t xml:space="preserve">1205 NE 8th Pl </t>
  </si>
  <si>
    <t>Mannheim</t>
  </si>
  <si>
    <t xml:space="preserve">105 Lake Harbor Dr </t>
  </si>
  <si>
    <t>Cape Coral Unit 36 Blk 2172 Pb 16 Pg 115 Lots 43 + 44</t>
  </si>
  <si>
    <t>48062-2073</t>
  </si>
  <si>
    <t>Cypress Woods Rv Resort Un 3 Desc In Pb 72 Pgs 92-95 Blk C Lot 46</t>
  </si>
  <si>
    <t xml:space="preserve">PO Box 426  Marco Island, FL 34146 </t>
  </si>
  <si>
    <t>Cape Coral Unit 17 Blk 1525 Pb 14 Pg 36 Lots 85 Thru 87</t>
  </si>
  <si>
    <t>33909-1963</t>
  </si>
  <si>
    <t xml:space="preserve">90 Garnet Hill Rd  Athol, MA 01331-9205 </t>
  </si>
  <si>
    <t xml:space="preserve">514 Americas Way #9103, Box Elder, SD 57719-7600 </t>
  </si>
  <si>
    <t>49a-04</t>
  </si>
  <si>
    <t>County Road 43</t>
  </si>
  <si>
    <t>Cape Coral Unit 36 Blk 2538 Pb 16 Pg 118 Lots 34 + 35</t>
  </si>
  <si>
    <t xml:space="preserve">F8 Calle F  Carolina, PR 00985-5561 </t>
  </si>
  <si>
    <t>Antoinette &amp; Lisa Bombacino</t>
  </si>
  <si>
    <t xml:space="preserve">51 Teresa Dr </t>
  </si>
  <si>
    <t>36-43-23-c4-02505.0200</t>
  </si>
  <si>
    <t xml:space="preserve">1914 NE 18th St  Cape Coral, FL 33909 </t>
  </si>
  <si>
    <t xml:space="preserve">7 Cunard Pl  Winnipeg, MB R3t 5M1 </t>
  </si>
  <si>
    <t>Cape Coral Unit 88 Blk 5782 Pb 24 Pg 132 Lots 46 + 47</t>
  </si>
  <si>
    <t>06-44-24-c1-02068.0350</t>
  </si>
  <si>
    <t>Cape Coral Unit 85 Blk 5640 Pb 24 Pg 54 Lots 3 + 4</t>
  </si>
  <si>
    <t xml:space="preserve">123 NE 25th St </t>
  </si>
  <si>
    <t>Lehigh Acres Unit 2 Blk 10 Pb 26 Pg 4 Lot 9</t>
  </si>
  <si>
    <t xml:space="preserve">514 Americas Way #13329, Box Elder, SD 57719-7600 </t>
  </si>
  <si>
    <t xml:space="preserve">Im Gestockert 84 A </t>
  </si>
  <si>
    <t>15-44-25-01-00000.0060</t>
  </si>
  <si>
    <t>Lenh</t>
  </si>
  <si>
    <t xml:space="preserve">118a St #11425, Edmonton, AB T5g 3J2 </t>
  </si>
  <si>
    <t xml:space="preserve">Po Box 1 </t>
  </si>
  <si>
    <t>Fort Wayne</t>
  </si>
  <si>
    <t xml:space="preserve">1223 NE 36th Ln </t>
  </si>
  <si>
    <t xml:space="preserve">910 El Dorado Pkwy E  Cape Coral, FL 33904 </t>
  </si>
  <si>
    <t xml:space="preserve">411 Walnut St #13857, Green Cove Springs, FL 32043-3443 </t>
  </si>
  <si>
    <t>Sebastien</t>
  </si>
  <si>
    <t>Cape Coral Unit 34 Blk 2461 Pb 16 Pg 85 Lots 3 + 4</t>
  </si>
  <si>
    <t>Cape Coral Unit 85 Blk 5668 Pb 24 Pg 53 Lots 63 + 64</t>
  </si>
  <si>
    <t>For Marsha Marie Silagy Trust</t>
  </si>
  <si>
    <t>33009-7726</t>
  </si>
  <si>
    <t xml:space="preserve">2900 NE 7th Pl </t>
  </si>
  <si>
    <t xml:space="preserve">14 Ellingwood Crt </t>
  </si>
  <si>
    <t>Brooklyn Park</t>
  </si>
  <si>
    <t xml:space="preserve">5300 Cypress Trail Resort Cir  Fort Myers, FL 33905 </t>
  </si>
  <si>
    <t>11-44-25-04-0000a.0190</t>
  </si>
  <si>
    <t xml:space="preserve">3010 Country Club Blvd </t>
  </si>
  <si>
    <t>33909-8860</t>
  </si>
  <si>
    <t xml:space="preserve">1817 NE 33rd Ter </t>
  </si>
  <si>
    <t>James &amp; Denise Leal</t>
  </si>
  <si>
    <t xml:space="preserve">203 NE 15th St  Cape Coral, FL 33909 </t>
  </si>
  <si>
    <t>Cape Coral Unit 31 Blk 2086 Pb 14 Pg 165 Lots 17 + 18</t>
  </si>
  <si>
    <t>Princeton Junction</t>
  </si>
  <si>
    <t>R059</t>
  </si>
  <si>
    <t>Drew</t>
  </si>
  <si>
    <t>Leonard &amp; Joann Rittof</t>
  </si>
  <si>
    <t>33909-2647</t>
  </si>
  <si>
    <t>Buckingham Pk Re Blk B U-4 Blk 19 Pb 27 Pg 192 Lot 8</t>
  </si>
  <si>
    <t>PO Box 52033</t>
  </si>
  <si>
    <t xml:space="preserve">36 Ludwig Prandtl St </t>
  </si>
  <si>
    <t>Osceola</t>
  </si>
  <si>
    <t>19-43-24-c4-05561.0110</t>
  </si>
  <si>
    <t xml:space="preserve">4711 Tice St  Fort Myers, FL 33905 </t>
  </si>
  <si>
    <t>Robert Horas</t>
  </si>
  <si>
    <t xml:space="preserve">6621 Astoria Ave  Fort Myers, FL 33905 </t>
  </si>
  <si>
    <t xml:space="preserve">5671 Maplewood Ct  Fort Myers, FL 33905 </t>
  </si>
  <si>
    <t>Starbird</t>
  </si>
  <si>
    <t>Cape Coral Unit 36 Blk 2355 Pb 16 Pg 120 Lots 88 + 89</t>
  </si>
  <si>
    <t>33903-5220</t>
  </si>
  <si>
    <t>For Mary M Alberts Distribution Land Trust</t>
  </si>
  <si>
    <t>Laviolette</t>
  </si>
  <si>
    <t xml:space="preserve">406 Jacaranda Pkwy E  Cape Coral, FL 33909 </t>
  </si>
  <si>
    <t>Lehigh Acres Unit 11 Blk 59 Pb 26 Pg 14 Lot 13</t>
  </si>
  <si>
    <t>John Rivas</t>
  </si>
  <si>
    <t xml:space="preserve">625 NE 6th Ter </t>
  </si>
  <si>
    <t xml:space="preserve">8144 NW 163rd Ter </t>
  </si>
  <si>
    <t>Cadet</t>
  </si>
  <si>
    <t>Studio</t>
  </si>
  <si>
    <t xml:space="preserve">1006 NE 15th Ln  Cape Coral, FL 33909 </t>
  </si>
  <si>
    <t>Cape Coral Unit 32 Blk 2133 Pb 16 Pg 13 Lots 18 + 19</t>
  </si>
  <si>
    <t>Dager</t>
  </si>
  <si>
    <t>Schnetzler</t>
  </si>
  <si>
    <t>31-43-24-c2-02180.0680</t>
  </si>
  <si>
    <t>Kosmoski</t>
  </si>
  <si>
    <t>Seatac</t>
  </si>
  <si>
    <t>Droz</t>
  </si>
  <si>
    <t>Cape Coral Unit 85 Blk 5637 Pb 24 Pg 51 Lots 11 Thru 13</t>
  </si>
  <si>
    <t>32225-7433</t>
  </si>
  <si>
    <t xml:space="preserve">500 SE 31st Ter </t>
  </si>
  <si>
    <t>30-43-24-c2-13706.0690</t>
  </si>
  <si>
    <t xml:space="preserve">2716 Mckeon Way  Santa Rosa, CA 95404-1669 </t>
  </si>
  <si>
    <t xml:space="preserve">6074 Latimer Ave  Fort Myers, FL 33905 </t>
  </si>
  <si>
    <t>19-43-24-c2-05603.0430</t>
  </si>
  <si>
    <t xml:space="preserve">3619 52nd ane N </t>
  </si>
  <si>
    <t xml:space="preserve">3022 NE 7th Ave  Cape Coral, FL 33909 </t>
  </si>
  <si>
    <t>Mohani</t>
  </si>
  <si>
    <t>11370-1354</t>
  </si>
  <si>
    <t>Vuletich</t>
  </si>
  <si>
    <t>Lorrice</t>
  </si>
  <si>
    <t xml:space="preserve">1712 NE 13th Ter </t>
  </si>
  <si>
    <t>Howard Beach</t>
  </si>
  <si>
    <t>12-45-23-c4-00220.0070</t>
  </si>
  <si>
    <t>Wellington-Greenlee</t>
  </si>
  <si>
    <t>Senra</t>
  </si>
  <si>
    <t>Rock Hampton</t>
  </si>
  <si>
    <t>85254-4649</t>
  </si>
  <si>
    <t>Cape Coral Unit 34 Blk 2465 Pb 16 Pg 86 Lots 10 + 11</t>
  </si>
  <si>
    <t xml:space="preserve">1709 NE 34th Ln </t>
  </si>
  <si>
    <t>Friday</t>
  </si>
  <si>
    <t>33905-4304</t>
  </si>
  <si>
    <t>Clark</t>
  </si>
  <si>
    <t xml:space="preserve">312 NE 24th Ter  Cape Coral, FL 33909 </t>
  </si>
  <si>
    <t>18-43-24-c1-05689.0530</t>
  </si>
  <si>
    <t>Michael Leiendecker</t>
  </si>
  <si>
    <t>32-43-24-c1-02246.0070</t>
  </si>
  <si>
    <t>Endicott</t>
  </si>
  <si>
    <t>02864-5015</t>
  </si>
  <si>
    <t>60085-3466</t>
  </si>
  <si>
    <t>Carolini</t>
  </si>
  <si>
    <t xml:space="preserve">4032 Woodruff Rd  Livonia, NY 14487-9706 </t>
  </si>
  <si>
    <t>1h</t>
  </si>
  <si>
    <t>33909-6489</t>
  </si>
  <si>
    <t xml:space="preserve">1507 NE 19th St </t>
  </si>
  <si>
    <t>Nutt</t>
  </si>
  <si>
    <t xml:space="preserve">8 Hohenstrabe #1 </t>
  </si>
  <si>
    <t>33909-1424</t>
  </si>
  <si>
    <t>07-46-25-04-0000b.0150</t>
  </si>
  <si>
    <t xml:space="preserve">4839 E Riverside Dr  Fort Myers, FL 33905 </t>
  </si>
  <si>
    <t xml:space="preserve">3912 Garden Blvd </t>
  </si>
  <si>
    <t>Sturgeon Bay</t>
  </si>
  <si>
    <t>Nightwood</t>
  </si>
  <si>
    <t>Merrick</t>
  </si>
  <si>
    <t xml:space="preserve">832 Stanton Dr  Weston, FL 33326-3594 </t>
  </si>
  <si>
    <t>Monty &amp; Deborah Dixon</t>
  </si>
  <si>
    <t xml:space="preserve">826 NE 34th Ter </t>
  </si>
  <si>
    <t xml:space="preserve">3854 Skyview Dr  Brunswick, OH 44212-1237 </t>
  </si>
  <si>
    <t>Cape Coral Unit 36 Blk 2291 Pb 16 Pg 117 Lots 26 + 27</t>
  </si>
  <si>
    <t>Gillmore</t>
  </si>
  <si>
    <t>Ringer</t>
  </si>
  <si>
    <t>17-43-24-c2-05808.0110</t>
  </si>
  <si>
    <t>Royal Palm</t>
  </si>
  <si>
    <t xml:space="preserve">1231 Lanetown Rd  Crozet, VA 22932-2847 </t>
  </si>
  <si>
    <t>Heislerville</t>
  </si>
  <si>
    <t>Yaklin</t>
  </si>
  <si>
    <t xml:space="preserve">7290 Westmoreland Dr </t>
  </si>
  <si>
    <t xml:space="preserve">3710 NE 17th Ave </t>
  </si>
  <si>
    <t xml:space="preserve">1221 NE 4th Pl  Cape Coral, FL 33909 </t>
  </si>
  <si>
    <t>Kuzmitski</t>
  </si>
  <si>
    <t xml:space="preserve">3319 NE 9th Ave </t>
  </si>
  <si>
    <t xml:space="preserve">16239 NW 79th Ave  Miami Lakes, FL 33016-6207 </t>
  </si>
  <si>
    <t xml:space="preserve">624 Oak St </t>
  </si>
  <si>
    <t>33904-7412</t>
  </si>
  <si>
    <t xml:space="preserve">12702 SW 45th Dr </t>
  </si>
  <si>
    <t>St Hilaire Au Temple</t>
  </si>
  <si>
    <t>60408-2088</t>
  </si>
  <si>
    <t>Gold Dust</t>
  </si>
  <si>
    <t>Red Mountain</t>
  </si>
  <si>
    <t>B015</t>
  </si>
  <si>
    <t>Luis Hurtado</t>
  </si>
  <si>
    <t>01-44-23-c1-02462.0230</t>
  </si>
  <si>
    <t>Kevin &amp; Marian Hill</t>
  </si>
  <si>
    <t>20-43-24-c2-05665.0440</t>
  </si>
  <si>
    <t xml:space="preserve">14190 Carberry St </t>
  </si>
  <si>
    <t>Reddick</t>
  </si>
  <si>
    <t>Bentley</t>
  </si>
  <si>
    <t xml:space="preserve">2206 NE 13th Ave  Cape Coral, FL 33909 </t>
  </si>
  <si>
    <t xml:space="preserve">18125 SW 138th Ct </t>
  </si>
  <si>
    <t xml:space="preserve">2208 NE 7th Ave  Cape Coral, FL 33909 </t>
  </si>
  <si>
    <t>11-44-25-10-00000.3700</t>
  </si>
  <si>
    <t>11-44-25-l1-1400a.1240</t>
  </si>
  <si>
    <t>55987-5197</t>
  </si>
  <si>
    <t>33909-5266</t>
  </si>
  <si>
    <t>Daniel Policani</t>
  </si>
  <si>
    <t>Tracy Gulan-Nelson &amp; Vicki Gustafson</t>
  </si>
  <si>
    <t xml:space="preserve">4528 Boston Rd </t>
  </si>
  <si>
    <t>Buttermilk</t>
  </si>
  <si>
    <t>Wilhelmina</t>
  </si>
  <si>
    <t>32561-2101</t>
  </si>
  <si>
    <t>Cypress Woods Rv Resort Un 3 Desc In Pb 72 Pgs 92-95 Blk C Lot 95</t>
  </si>
  <si>
    <t>19-43-24-c4-05553.0670</t>
  </si>
  <si>
    <t xml:space="preserve">1573 NE 131st Rd </t>
  </si>
  <si>
    <t xml:space="preserve">1512 NE 9th Ave  Cape Coral, FL 33909 </t>
  </si>
  <si>
    <t>Cape Coral Unit 11 Blk 433 Pb 13 Pg 43 Lots 13 + 14</t>
  </si>
  <si>
    <t>For William H &amp; Luwana S Woodward Trust</t>
  </si>
  <si>
    <t xml:space="preserve">17 Sunset Dr  Bedford Hills, NY 10507-1817 </t>
  </si>
  <si>
    <t xml:space="preserve">1732 NE 12th Ter </t>
  </si>
  <si>
    <t>Victor &amp; Alejandro Parrondo</t>
  </si>
  <si>
    <t>29-43-24-c3-02279.0070</t>
  </si>
  <si>
    <t>77571-9140</t>
  </si>
  <si>
    <t>06-44-24-c1-02070.0730</t>
  </si>
  <si>
    <t>Selma</t>
  </si>
  <si>
    <t>Valero</t>
  </si>
  <si>
    <t>Rene &amp; Geraldine Deconinck</t>
  </si>
  <si>
    <t>Sudetenstr</t>
  </si>
  <si>
    <t>Wappingers Falls</t>
  </si>
  <si>
    <t xml:space="preserve">4410 NE 22nd Ct </t>
  </si>
  <si>
    <t>R005</t>
  </si>
  <si>
    <t>PO Box 98</t>
  </si>
  <si>
    <t>Cape Coral Unit 33 Blk.2246 Pb 16 Pg 54 Lots 5 + 6</t>
  </si>
  <si>
    <t xml:space="preserve">3706 Garden Blvd  Cape Coral, FL 33909 </t>
  </si>
  <si>
    <t>33909-6239</t>
  </si>
  <si>
    <t xml:space="preserve">3816 NE 23rd Pl </t>
  </si>
  <si>
    <t xml:space="preserve">128 NE 6th St </t>
  </si>
  <si>
    <t>15237-3712</t>
  </si>
  <si>
    <t>Mejia</t>
  </si>
  <si>
    <t xml:space="preserve">9911 Craftsman Park Way  Palmetto, FL 34221-1114 </t>
  </si>
  <si>
    <t>Vanconant</t>
  </si>
  <si>
    <t xml:space="preserve">2633 Line 40  Stratford, ON N5a 6S2 </t>
  </si>
  <si>
    <t>19-43-24-c3-05613.0390</t>
  </si>
  <si>
    <t>Vercot</t>
  </si>
  <si>
    <t xml:space="preserve">4039 Jewell St </t>
  </si>
  <si>
    <t xml:space="preserve">4034 NW 70th Ave  Coral Springs, FL 33065-2242 </t>
  </si>
  <si>
    <t>Vacaville</t>
  </si>
  <si>
    <t>Cape Coral Unit 88 Blk 5761 Pb 24 Pg 134 Lot 26</t>
  </si>
  <si>
    <t xml:space="preserve">317 NE 14th Ter </t>
  </si>
  <si>
    <t xml:space="preserve">225 S Westmonte Dr #2040 </t>
  </si>
  <si>
    <t>29-43-24-c3-02247.0350</t>
  </si>
  <si>
    <t>Revival</t>
  </si>
  <si>
    <t xml:space="preserve">2019 Savona Pkwy  Cape Coral, FL 33904 </t>
  </si>
  <si>
    <t xml:space="preserve">2710 Ashwood St  Fort Myers, FL 33901 </t>
  </si>
  <si>
    <t xml:space="preserve">5228 Marsh Mallow Trl  Fort Myers, FL 33905 </t>
  </si>
  <si>
    <t>Techster</t>
  </si>
  <si>
    <t>Detroit</t>
  </si>
  <si>
    <t xml:space="preserve">1024 Webster Ave  Utica, NY 13501-3238 </t>
  </si>
  <si>
    <t>Andrew &amp; Maryellen Laperie</t>
  </si>
  <si>
    <t>92111-6129</t>
  </si>
  <si>
    <t>Cape Coral Unit 32 Blk 2141 Pb 16 Pg 4 Lots 35 + 36</t>
  </si>
  <si>
    <t xml:space="preserve">260 William St  West Hempstead, NY 11552-1526 </t>
  </si>
  <si>
    <t>07-46-25-05-00000.0020</t>
  </si>
  <si>
    <t>Lemont</t>
  </si>
  <si>
    <t xml:space="preserve">184 Fairview Cir  Alpine, UT 84004-1369 </t>
  </si>
  <si>
    <t>25-43-23-c1-02329.0150</t>
  </si>
  <si>
    <t xml:space="preserve">588 Flanagan Station Rd  Winchester, KY 40391-9244 </t>
  </si>
  <si>
    <t xml:space="preserve">2029 NE 4th Pl </t>
  </si>
  <si>
    <t>Ivan &amp; Luz Castano</t>
  </si>
  <si>
    <t>Cape Coral Unit 84 Blk 5617 Pb 24 Pg 35 Lots 15 + 16</t>
  </si>
  <si>
    <t xml:space="preserve">789 Chatsworth Rd </t>
  </si>
  <si>
    <t>31-43-24-c3-02113.0510</t>
  </si>
  <si>
    <t>33905-2250</t>
  </si>
  <si>
    <t>Santa Fe</t>
  </si>
  <si>
    <t xml:space="preserve">1406 NE 10th St </t>
  </si>
  <si>
    <t>19310-9686</t>
  </si>
  <si>
    <t xml:space="preserve">2602 SE 12th Pl </t>
  </si>
  <si>
    <t xml:space="preserve">1336 S Gator Cir </t>
  </si>
  <si>
    <t>Cape Coral Unit 34 Blk 2419 Pb 16 Pg 78 Lots 19 + 20</t>
  </si>
  <si>
    <t>Jean Pogu</t>
  </si>
  <si>
    <t xml:space="preserve">2108 NE 13th Ln  Cape Coral, FL 33909 </t>
  </si>
  <si>
    <t>Cape Coral Unit 32 Blk.2120 Pb 16 Pg 4 Lots 33 + 34</t>
  </si>
  <si>
    <t>Cape Coral Unit 85 Blk 5644 Pb 24 Pg 56 Lots 7 + 8</t>
  </si>
  <si>
    <t xml:space="preserve">14053 Marquette Blvd </t>
  </si>
  <si>
    <t>03-44-26-03-00013.0350</t>
  </si>
  <si>
    <t>Elba</t>
  </si>
  <si>
    <t xml:space="preserve">1227 NE 36th Ln  Cape Coral, FL 33909 </t>
  </si>
  <si>
    <t xml:space="preserve">1824 NE 22nd St  Cape Coral, FL 33909 </t>
  </si>
  <si>
    <t xml:space="preserve">1 NE 19th Ter </t>
  </si>
  <si>
    <t>Tan</t>
  </si>
  <si>
    <t xml:space="preserve">3613 NE 18th Pl  Cape Coral, FL 33909 </t>
  </si>
  <si>
    <t xml:space="preserve">2719 NE 6th Ave  Cape Coral, FL 33909 </t>
  </si>
  <si>
    <t>Calderon</t>
  </si>
  <si>
    <t>Cape Coral Unit 87 Blk 5721 Pb 24 Pg 81 Lots 1 + 2</t>
  </si>
  <si>
    <t xml:space="preserve">138 Archer Ave  Mount Vernon, NY 10550-6401 </t>
  </si>
  <si>
    <t>Cape Coral Unit 36 Blk 2546 Pb 16 Pg 116 Lots 63 + 64</t>
  </si>
  <si>
    <t>98407-3179</t>
  </si>
  <si>
    <t xml:space="preserve">18663 Simonet Dr NW  Elk River, MN 55330-1134 </t>
  </si>
  <si>
    <t xml:space="preserve">7089 NW 65th Ter  Parkland, FL 33067-1439 </t>
  </si>
  <si>
    <t>Mentor</t>
  </si>
  <si>
    <t xml:space="preserve">4378 S Yank St </t>
  </si>
  <si>
    <t>23832-8372</t>
  </si>
  <si>
    <t>Brown Marguerite Tr</t>
  </si>
  <si>
    <t>33179-1832</t>
  </si>
  <si>
    <t>Lopez-Carrasco</t>
  </si>
  <si>
    <t>32-43-24-c2-02238.0570</t>
  </si>
  <si>
    <t xml:space="preserve">1253 2nd St </t>
  </si>
  <si>
    <t>Bads Soden</t>
  </si>
  <si>
    <t>Fr Nw Cor Of Nw1/4 Of Ne1/4 Run E 200 Ft S 763.45 Ft E 129.5 Ft S 471.91 Ft W 294.81 Ft N 1238.66 Ft As Desc In Or 2326/2853</t>
  </si>
  <si>
    <t>Lefferts</t>
  </si>
  <si>
    <t xml:space="preserve">3203 SE 1st Ave </t>
  </si>
  <si>
    <t>07463-1316</t>
  </si>
  <si>
    <t xml:space="preserve">3746 Kilarney St </t>
  </si>
  <si>
    <t>Stephanie</t>
  </si>
  <si>
    <t xml:space="preserve">13881 45th Ln NE </t>
  </si>
  <si>
    <t>29-43-24-c3-02248.0150</t>
  </si>
  <si>
    <t>18-43-24-c3-05744.0030</t>
  </si>
  <si>
    <t>Derbyshire</t>
  </si>
  <si>
    <t>33309-2057</t>
  </si>
  <si>
    <t>Cape Coral Unit 87 Blk 5734 Pb 24 Pg 87 Lots 33 + 34</t>
  </si>
  <si>
    <t>Cape Coral Unit 84 Blk 5598 Pb 24 Pg 42 Lot 43</t>
  </si>
  <si>
    <t>Paragon</t>
  </si>
  <si>
    <t>Lilia Abrahams</t>
  </si>
  <si>
    <t xml:space="preserve">6348 State Route 167 E  Pierpont, OH 44082-9739 </t>
  </si>
  <si>
    <t xml:space="preserve">112 Tally Dr  Freehold, NJ 07728-8157 </t>
  </si>
  <si>
    <t xml:space="preserve">1703 NE 44th Ter  Cape Coral, FL 33909 </t>
  </si>
  <si>
    <t xml:space="preserve">2015 NE 9th Ave </t>
  </si>
  <si>
    <t xml:space="preserve">3766 22nd Ave NE  Naples, FL 34120-5565 </t>
  </si>
  <si>
    <t>Viet</t>
  </si>
  <si>
    <t>33909-1473</t>
  </si>
  <si>
    <t xml:space="preserve">97 Evans Ave </t>
  </si>
  <si>
    <t>Catonsville</t>
  </si>
  <si>
    <t>Marie Ferrer</t>
  </si>
  <si>
    <t>10463-5226</t>
  </si>
  <si>
    <t>Virginia Dalonzo</t>
  </si>
  <si>
    <t xml:space="preserve">412 Kismet Pkwy E  Cape Coral, FL 33909 </t>
  </si>
  <si>
    <t xml:space="preserve">2121 NE 15th Ln  Cape Coral, FL 33909 </t>
  </si>
  <si>
    <t>Ervin Wyk &amp; Valerie Vanwyk</t>
  </si>
  <si>
    <t>PO Box 371</t>
  </si>
  <si>
    <t xml:space="preserve">5 Creekside Ln  Barrington, IL 60010-9343 </t>
  </si>
  <si>
    <t>Cape Coral Unit 47Pt 2 Blk 3541 Pb 23 Pg 119 Lots 21 + 22</t>
  </si>
  <si>
    <t>Guido</t>
  </si>
  <si>
    <t xml:space="preserve">5 Ashley Ct </t>
  </si>
  <si>
    <t>33909-5501</t>
  </si>
  <si>
    <t>11-44-25-09-00000.0290</t>
  </si>
  <si>
    <t xml:space="preserve">4105 River View Cv </t>
  </si>
  <si>
    <t xml:space="preserve">19 195th St </t>
  </si>
  <si>
    <t xml:space="preserve">2 Rue De La Roite  Alma, WI 54610 </t>
  </si>
  <si>
    <t>Cape Coral Unit 31 Blk 2059 Pb 14 Pg 156 Lot 53 + Blk 2060 Lot 1</t>
  </si>
  <si>
    <t>Ruby Haynesworth</t>
  </si>
  <si>
    <t>Windell</t>
  </si>
  <si>
    <t xml:space="preserve">5362 Cocoa Ct </t>
  </si>
  <si>
    <t>03-44-26-05-00026.0140</t>
  </si>
  <si>
    <t>29-43-24-c4-02255.0460</t>
  </si>
  <si>
    <t xml:space="preserve">2026 NE 17th Ave </t>
  </si>
  <si>
    <t xml:space="preserve">4814 N Hollywood Ave </t>
  </si>
  <si>
    <t>Rhonda</t>
  </si>
  <si>
    <t xml:space="preserve">2540 NE 209th Ter </t>
  </si>
  <si>
    <t>Debora Roth &amp; Diana Eaton</t>
  </si>
  <si>
    <t>James Morrison</t>
  </si>
  <si>
    <t>29-43-24-c4-02286.0130</t>
  </si>
  <si>
    <t>Maunu</t>
  </si>
  <si>
    <t xml:space="preserve">1813 NE 27th St </t>
  </si>
  <si>
    <t xml:space="preserve">230 W 123rd Ave  Anchorage, AK 99515-3353 </t>
  </si>
  <si>
    <t>Adrian Acero &amp; Isabel Morales</t>
  </si>
  <si>
    <t>16-44-26-08-00024.0190</t>
  </si>
  <si>
    <t>Cape Coral Unit 17 Blk.1482 Pb 14 Pg 24 Lot 4</t>
  </si>
  <si>
    <t>17-43-24-c2-05812.0340</t>
  </si>
  <si>
    <t xml:space="preserve">1908 NE 4th Pl </t>
  </si>
  <si>
    <t>Cape Coral Unit 84 Blk 5603 Pb 24 Pg 42 Lots 29 + 30</t>
  </si>
  <si>
    <t xml:space="preserve">46 Kalina Dr </t>
  </si>
  <si>
    <t>63366-2162</t>
  </si>
  <si>
    <t>Blue Springs</t>
  </si>
  <si>
    <t>Ne Avenue</t>
  </si>
  <si>
    <t xml:space="preserve">17822 Saddlebunch Ky  Fort Myers, FL 33908 </t>
  </si>
  <si>
    <t>Cape Coral Unit 31 Blk 2100 Pb 14 Pg 163 Lots 7 + 8</t>
  </si>
  <si>
    <t>Lehigh Acres Unit 9 Blk 42 Pb 26 Pg 11 Lot 8</t>
  </si>
  <si>
    <t xml:space="preserve">1000 Brickell Plz #2806, Miami, FL 33131-3850 </t>
  </si>
  <si>
    <t xml:space="preserve">71331 Baldwin Prairie Rd </t>
  </si>
  <si>
    <t>89521-3216</t>
  </si>
  <si>
    <t>John &amp; Cecelia Basque</t>
  </si>
  <si>
    <t xml:space="preserve">13875 Evergreen St NW  Andover, MN 55304-2715 </t>
  </si>
  <si>
    <t>Roxana Cano</t>
  </si>
  <si>
    <t>Corning</t>
  </si>
  <si>
    <t xml:space="preserve">350 Longwood Ave #2 </t>
  </si>
  <si>
    <t xml:space="preserve">3319 NE 9th Ave  Cape Coral, FL 33909 </t>
  </si>
  <si>
    <t>03-44-26-03-00013.0100</t>
  </si>
  <si>
    <t xml:space="preserve">6240 Arbor Ave  Fort Myers, FL 33905 </t>
  </si>
  <si>
    <t>Earnest &amp; Laura Cain</t>
  </si>
  <si>
    <t>33177-6508</t>
  </si>
  <si>
    <t>Cape Coral Unit 35 Blk.2408 Pb 16 Pg 107 Lots 3 + 4</t>
  </si>
  <si>
    <t xml:space="preserve">15019 Gilmore St  Van Nuys, CA 91411-1425 </t>
  </si>
  <si>
    <t xml:space="preserve">23304 Walnut Hollow Ct  California, MD 20619-4069 </t>
  </si>
  <si>
    <t>Sieban Robert B Tr</t>
  </si>
  <si>
    <t>Shamong</t>
  </si>
  <si>
    <t xml:space="preserve">1302 NE Juanita Pl </t>
  </si>
  <si>
    <t xml:space="preserve">10943 Houndwell Way  Jacksonville, FL 32225-1573 </t>
  </si>
  <si>
    <t>Alexis</t>
  </si>
  <si>
    <t xml:space="preserve">14111 Carlotta St  Fort Myers, FL 33905 </t>
  </si>
  <si>
    <t xml:space="preserve">120 NE 6th St  Cape Coral, FL 33909 </t>
  </si>
  <si>
    <t xml:space="preserve">8889 Raven Rock Ct </t>
  </si>
  <si>
    <t xml:space="preserve">1528 NE 35th St  Cape Coral, FL 33909 </t>
  </si>
  <si>
    <t xml:space="preserve">2527 NE 5th Pl </t>
  </si>
  <si>
    <t>C037</t>
  </si>
  <si>
    <t>Mount Horeb</t>
  </si>
  <si>
    <t>Cape Coral Unit 34 Blk 2441 Pb 16 Pg 81 Lots 17 + 18</t>
  </si>
  <si>
    <t xml:space="preserve">7619 Drew Ave </t>
  </si>
  <si>
    <t>Odilia</t>
  </si>
  <si>
    <t>Timothy Dennehy &amp; Gina Pekola</t>
  </si>
  <si>
    <t>12-44-23-c2-02397.0170</t>
  </si>
  <si>
    <t xml:space="preserve">5950 Laramie Ln </t>
  </si>
  <si>
    <t>33909-6577</t>
  </si>
  <si>
    <t>Granger Willows</t>
  </si>
  <si>
    <t xml:space="preserve">2225 NE 34th Ter  Cape Coral, FL 33909 </t>
  </si>
  <si>
    <t xml:space="preserve">425 Leisure Dr </t>
  </si>
  <si>
    <t>07417-2210</t>
  </si>
  <si>
    <t xml:space="preserve">2106 NE 17th Pl </t>
  </si>
  <si>
    <t xml:space="preserve">403 Garfield Ave  Viroqua, WI 54665-1938 </t>
  </si>
  <si>
    <t>33904-5379</t>
  </si>
  <si>
    <t xml:space="preserve">13958 SW 155th Ter </t>
  </si>
  <si>
    <t xml:space="preserve">10241 Nightwood Dr  Fort Myers, FL 33905 </t>
  </si>
  <si>
    <t xml:space="preserve">308 NE 16th Ter </t>
  </si>
  <si>
    <t xml:space="preserve">11 Crownridge Rd </t>
  </si>
  <si>
    <t>Menard</t>
  </si>
  <si>
    <t>03-44-26-13-00074.0010</t>
  </si>
  <si>
    <t>Cape Coral Unit 84 Blk 5623 Pb 24 Pg 33 Lots 15 + 16</t>
  </si>
  <si>
    <t>20-43-24-c3-05637.0110</t>
  </si>
  <si>
    <t>Cape Coral Unit 36 Blk 2329 Pb 16 Pg 128 Lots 21 + 22</t>
  </si>
  <si>
    <t>Guthrie</t>
  </si>
  <si>
    <t xml:space="preserve">4410 NE 22nd Ct  Cape Coral, FL 33909 </t>
  </si>
  <si>
    <t>Arletfia</t>
  </si>
  <si>
    <t>07726-3671</t>
  </si>
  <si>
    <t>08501-1946</t>
  </si>
  <si>
    <t>35th</t>
  </si>
  <si>
    <t>For Ralph Doehlert Trust</t>
  </si>
  <si>
    <t>33909-1223</t>
  </si>
  <si>
    <t>13-45-23-c3-00117.0270</t>
  </si>
  <si>
    <t xml:space="preserve">19681 Summerlin Rd #34, Fort Myers, FL 33908 </t>
  </si>
  <si>
    <t>33904-3472</t>
  </si>
  <si>
    <t xml:space="preserve">324 NE 9th St </t>
  </si>
  <si>
    <t>Bing &amp; Mulan Lin</t>
  </si>
  <si>
    <t xml:space="preserve">2783 Paddington Dr SE  Grand Rapids, MI 49512-8220 </t>
  </si>
  <si>
    <t>33909-4381</t>
  </si>
  <si>
    <t>08844-3847</t>
  </si>
  <si>
    <t>33904-2706</t>
  </si>
  <si>
    <t>Shawback</t>
  </si>
  <si>
    <t xml:space="preserve">25 Liberty Ave </t>
  </si>
  <si>
    <t>Kipar</t>
  </si>
  <si>
    <t>12-46-23-06-00000.6120</t>
  </si>
  <si>
    <t>Mauri</t>
  </si>
  <si>
    <t xml:space="preserve">4 Stoecksweg </t>
  </si>
  <si>
    <t>Broomall</t>
  </si>
  <si>
    <t>33909-3615</t>
  </si>
  <si>
    <t>53121-4100</t>
  </si>
  <si>
    <t xml:space="preserve">4029 NE 9th Pl </t>
  </si>
  <si>
    <t>32-43-24-c1-02247.0900</t>
  </si>
  <si>
    <t>29-43-26-05-00076.0310</t>
  </si>
  <si>
    <t>19-43-24-c3-05610.0250</t>
  </si>
  <si>
    <t xml:space="preserve">29704 Byron Pl </t>
  </si>
  <si>
    <t xml:space="preserve">1830 NE 10th Pl  Cape Coral, FL 33909 </t>
  </si>
  <si>
    <t>Garced</t>
  </si>
  <si>
    <t xml:space="preserve">918 NE 34th St </t>
  </si>
  <si>
    <t>17-43-24-c1-05828.0260</t>
  </si>
  <si>
    <t>Rednock</t>
  </si>
  <si>
    <t xml:space="preserve">290 Calle Montecarlo  Sol De La Molina Lima, PE </t>
  </si>
  <si>
    <t>Armindo</t>
  </si>
  <si>
    <t xml:space="preserve">829 NE 23rd Ter  Cape Coral, FL 33909 </t>
  </si>
  <si>
    <t>Raymon</t>
  </si>
  <si>
    <t xml:space="preserve">240 Walton Meadow Ln  Roswell, GA 30075-1462 </t>
  </si>
  <si>
    <t>20152-5953</t>
  </si>
  <si>
    <t xml:space="preserve">5100 White Sky Cir  Fort Myers, FL 33908 </t>
  </si>
  <si>
    <t xml:space="preserve">12 Legrande Ter </t>
  </si>
  <si>
    <t>Jordan &amp; Juan Vichot</t>
  </si>
  <si>
    <t>Cape Coral Unit 33 Blk 2253 Pb 16 Pg 58 Lots 30 + 31</t>
  </si>
  <si>
    <t>10305-1601</t>
  </si>
  <si>
    <t>Cape Coral Unit 36 Part 1 Blk 2507 Pb 23 Pg 92 Lots 26 + 27</t>
  </si>
  <si>
    <t>06-44-24-c4-02056.0240</t>
  </si>
  <si>
    <t>Cornel</t>
  </si>
  <si>
    <t>19-43-24-c4-05551.0330</t>
  </si>
  <si>
    <t xml:space="preserve">1815 Krebs Station Rd </t>
  </si>
  <si>
    <t xml:space="preserve">19 St Sulpice Rue  Oka, QC J0n 1E0 </t>
  </si>
  <si>
    <t xml:space="preserve">9901 Woodlawn Dr  Portage, MI 49002-7221 </t>
  </si>
  <si>
    <t xml:space="preserve">9945 Marlin Rd </t>
  </si>
  <si>
    <t xml:space="preserve">249 SE 28th Ter </t>
  </si>
  <si>
    <t xml:space="preserve">2833 NE 2nd Ave </t>
  </si>
  <si>
    <t xml:space="preserve">2206 NE 23rd Pl </t>
  </si>
  <si>
    <t xml:space="preserve">3025 NE 2nd Ave </t>
  </si>
  <si>
    <t>Rue Valery Chasson</t>
  </si>
  <si>
    <t>Tong Zheng</t>
  </si>
  <si>
    <t>Baltimore</t>
  </si>
  <si>
    <t>For Susie F Long Trust</t>
  </si>
  <si>
    <t>Coulibaly</t>
  </si>
  <si>
    <t xml:space="preserve">1003 New York St </t>
  </si>
  <si>
    <t xml:space="preserve">801 SE 33rd St </t>
  </si>
  <si>
    <t>Jacob Oshotse &amp; Estate American</t>
  </si>
  <si>
    <t>Ayquipa</t>
  </si>
  <si>
    <t>Trimp</t>
  </si>
  <si>
    <t>Cape Coral Unit 88 Blk 5814 Pb 24 Pg 139 Lot 15</t>
  </si>
  <si>
    <t xml:space="preserve">1802 NE 28th St </t>
  </si>
  <si>
    <t>41011-1123</t>
  </si>
  <si>
    <t xml:space="preserve">4309 NE 20th Ct </t>
  </si>
  <si>
    <t>Far Rockaway</t>
  </si>
  <si>
    <t xml:space="preserve">42 Southview Way  East Falmouth, MA 02536-5234 </t>
  </si>
  <si>
    <t>01-44-23-c2-02458.0180</t>
  </si>
  <si>
    <t>35121-3061</t>
  </si>
  <si>
    <t>14612-1232</t>
  </si>
  <si>
    <t>Minh Tran &amp; Phuong Nguyen</t>
  </si>
  <si>
    <t>Cape Coral Unit 34 Blk 2459 Pb 16 Pg 80 Lots 29 + 30</t>
  </si>
  <si>
    <t xml:space="preserve">508 S Dilger Ave </t>
  </si>
  <si>
    <t xml:space="preserve">339 NE 22nd Ter </t>
  </si>
  <si>
    <t xml:space="preserve">4117 NE 19th Pl  Cape Coral, FL 33909 </t>
  </si>
  <si>
    <t xml:space="preserve">179 Johnson Ave #1 </t>
  </si>
  <si>
    <t xml:space="preserve">6138 Hutton Ct  Fort Myers, FL 33905 </t>
  </si>
  <si>
    <t>Jose &amp; Nirza Rodriguez</t>
  </si>
  <si>
    <t>Fan Dah-Nien Tr</t>
  </si>
  <si>
    <t xml:space="preserve">4013 Andalusia Blvd </t>
  </si>
  <si>
    <t xml:space="preserve">3342 Lawson Ln  Lexington, KY 40509-2487 </t>
  </si>
  <si>
    <t xml:space="preserve">2834 N Noreaster Cove Dr </t>
  </si>
  <si>
    <t>Ketsch</t>
  </si>
  <si>
    <t>29-43-24-c4-02284.0040</t>
  </si>
  <si>
    <t xml:space="preserve">468 Palmer Ave  Teaneck, NJ 07666-3224 </t>
  </si>
  <si>
    <t>01-44-23-c4-02424.0190</t>
  </si>
  <si>
    <t>Sandra Deayala</t>
  </si>
  <si>
    <t>E B E &amp; Jean Engler</t>
  </si>
  <si>
    <t>Spoke</t>
  </si>
  <si>
    <t>33174-3003</t>
  </si>
  <si>
    <t xml:space="preserve">1812 NE 21st St  Cape Coral, FL 33909 </t>
  </si>
  <si>
    <t xml:space="preserve">4548 N Ozznzm Ave </t>
  </si>
  <si>
    <t>07-46-25-04-00w00.1010</t>
  </si>
  <si>
    <t xml:space="preserve">3017 NE 6th Ave </t>
  </si>
  <si>
    <t xml:space="preserve">118 NE 12th Ter  Cape Coral, FL 33909 </t>
  </si>
  <si>
    <t xml:space="preserve">13211 Old Seward Hwy B </t>
  </si>
  <si>
    <t>Ramnarine Jasmatee Tr</t>
  </si>
  <si>
    <t xml:space="preserve">2417 NE 6th Pl </t>
  </si>
  <si>
    <t>Alvaro Sancho</t>
  </si>
  <si>
    <t>Alex</t>
  </si>
  <si>
    <t>Donald &amp; Ileana Oxley</t>
  </si>
  <si>
    <t xml:space="preserve">3617 NE 21st Ave  Cape Coral, FL 33909 </t>
  </si>
  <si>
    <t>25-43-23-c3-02340.0630</t>
  </si>
  <si>
    <t>33904-5614</t>
  </si>
  <si>
    <t xml:space="preserve">4 Hiawatha Dr </t>
  </si>
  <si>
    <t>88th</t>
  </si>
  <si>
    <t>33176-5823</t>
  </si>
  <si>
    <t>33909-6523</t>
  </si>
  <si>
    <t xml:space="preserve">218 SE 47th St </t>
  </si>
  <si>
    <t>Winston</t>
  </si>
  <si>
    <t xml:space="preserve">261 Alameda Ave </t>
  </si>
  <si>
    <t>William Fullmer</t>
  </si>
  <si>
    <t>20-43-24-c3-05671.0210</t>
  </si>
  <si>
    <t>03-44-26-10-00048.0070</t>
  </si>
  <si>
    <t>Cape Coral Unit 34 Blk 2436 Pb 16 Pg 85 Lots 7 Thru 9</t>
  </si>
  <si>
    <t>33166-5160</t>
  </si>
  <si>
    <t>Dowlut</t>
  </si>
  <si>
    <t>33909-6234</t>
  </si>
  <si>
    <t>Cape Coral Unit 36 Blk 2547 Pb 16 Pg 116 Lots 3 Thru 5</t>
  </si>
  <si>
    <t xml:space="preserve">3916 NE 15th Pl </t>
  </si>
  <si>
    <t>Arriola</t>
  </si>
  <si>
    <t>Warrensburg</t>
  </si>
  <si>
    <t>James Marshall</t>
  </si>
  <si>
    <t>Fair Lawn</t>
  </si>
  <si>
    <t>33032-6249</t>
  </si>
  <si>
    <t>Richmond Dale</t>
  </si>
  <si>
    <t>33909-8915</t>
  </si>
  <si>
    <t xml:space="preserve">1113 NE 14th Ter </t>
  </si>
  <si>
    <t>Breegle</t>
  </si>
  <si>
    <t xml:space="preserve">5901 Pathwood Ct  Fort Myers, FL 33905 </t>
  </si>
  <si>
    <t xml:space="preserve">475 Thomas Rd  Loretto, PA 15940-7205 </t>
  </si>
  <si>
    <t>Banerjee</t>
  </si>
  <si>
    <t xml:space="preserve">3934 NE 23rd Ave  Cape Coral, FL 33909 </t>
  </si>
  <si>
    <t>Bryan Bouza</t>
  </si>
  <si>
    <t>33446-9578</t>
  </si>
  <si>
    <t>Gallo &amp; Jason Gallo Family</t>
  </si>
  <si>
    <t>18-43-24-c3-05706.0470</t>
  </si>
  <si>
    <t>Grant Mckay &amp; Sandra Pringle</t>
  </si>
  <si>
    <t xml:space="preserve">141 Cedar St  Ridgefield Park, NJ 07660-1720 </t>
  </si>
  <si>
    <t>Parsotan</t>
  </si>
  <si>
    <t>06-44-24-c2-02067.0480</t>
  </si>
  <si>
    <t>33187-6763</t>
  </si>
  <si>
    <t>Rodrigo Frias</t>
  </si>
  <si>
    <t xml:space="preserve">4327 S Highway 27 #328, Clermont, FL 34711-5349 </t>
  </si>
  <si>
    <t>33909-1272</t>
  </si>
  <si>
    <t>Jesus Zapata</t>
  </si>
  <si>
    <t>Michel &amp; Anne Brulhart</t>
  </si>
  <si>
    <t>Whilby</t>
  </si>
  <si>
    <t xml:space="preserve">379 Drake Dr </t>
  </si>
  <si>
    <t>Karla Pereyra</t>
  </si>
  <si>
    <t>Prosper</t>
  </si>
  <si>
    <t xml:space="preserve">136 Beach 117th St  Rockaway Park, NY 11694-2079 </t>
  </si>
  <si>
    <t>Clement Leblanc &amp; Isabelle Cardin</t>
  </si>
  <si>
    <t>53151-8150</t>
  </si>
  <si>
    <t xml:space="preserve">324 NE 9th St  Cape Coral, FL 33909 </t>
  </si>
  <si>
    <t>57006-2974</t>
  </si>
  <si>
    <t>County Road Jj</t>
  </si>
  <si>
    <t>05-44-24-c4-03542.0580</t>
  </si>
  <si>
    <t>Ahmed Shehata &amp; Hala El-Sorady</t>
  </si>
  <si>
    <t>Penkal</t>
  </si>
  <si>
    <t>Ming-Chu</t>
  </si>
  <si>
    <t xml:space="preserve">1440 Park St  Atlantic Beach, NY 11509-1626 </t>
  </si>
  <si>
    <t xml:space="preserve">6112 Laurelwood Dr  Fort Myers, FL 33905 </t>
  </si>
  <si>
    <t xml:space="preserve">902 NE 16th Ter  Cape Coral, FL 33909 </t>
  </si>
  <si>
    <t xml:space="preserve">721 NE 3rd Ave </t>
  </si>
  <si>
    <t xml:space="preserve">782 Old Hanover Rd </t>
  </si>
  <si>
    <t>Rivercrest</t>
  </si>
  <si>
    <t>Cape Coral Unit 35 Blk.2413 Pb 16 Pg 109 Lots 19 + 20</t>
  </si>
  <si>
    <t>11-44-25-09-00000.2770</t>
  </si>
  <si>
    <t>33904-4102</t>
  </si>
  <si>
    <t xml:space="preserve">3920 NE 15th Pl  Cape Coral, FL 33909 </t>
  </si>
  <si>
    <t>Nivan Huynh</t>
  </si>
  <si>
    <t xml:space="preserve">9641 New Buffalo Rd </t>
  </si>
  <si>
    <t>Equinox</t>
  </si>
  <si>
    <t xml:space="preserve">1903 NE 23rd Ave </t>
  </si>
  <si>
    <t xml:space="preserve">12 Genova Ct </t>
  </si>
  <si>
    <t>Cape Coral Unit 25 Blk.898 Pb 14 Pg 91 Lots 54 + 55</t>
  </si>
  <si>
    <t>Tide Marsh As Desc In Instrument 2021000273072 Lot 61</t>
  </si>
  <si>
    <t>Pavel &amp; Dariusz Hader</t>
  </si>
  <si>
    <t>22180-4183</t>
  </si>
  <si>
    <t>33458-2830</t>
  </si>
  <si>
    <t>Tony Commisso</t>
  </si>
  <si>
    <t>33015-5616</t>
  </si>
  <si>
    <t>11-44-25-l1-12000.3880</t>
  </si>
  <si>
    <t>St-Colomban</t>
  </si>
  <si>
    <t xml:space="preserve">7 Schwalbenweg </t>
  </si>
  <si>
    <t>Meadows</t>
  </si>
  <si>
    <t>11-44-25-l1-1400b.4400</t>
  </si>
  <si>
    <t>05-44-24-c1-03538.0340</t>
  </si>
  <si>
    <t>Cape Coral Unit 88 Blk 5774 Pb 24 Pg 134 Lots 13 + 14</t>
  </si>
  <si>
    <t xml:space="preserve">2102 NE 13th Ave </t>
  </si>
  <si>
    <t xml:space="preserve">314 NE 25th Ter </t>
  </si>
  <si>
    <t xml:space="preserve">210 Cleveland St </t>
  </si>
  <si>
    <t xml:space="preserve">215 Heather Dr  Henderson, NV 89002-8236 </t>
  </si>
  <si>
    <t xml:space="preserve">84 Lakefield Place Ct E, Wildwood, MO 63040-1684 </t>
  </si>
  <si>
    <t>Lane &amp; Barbara Pieroni</t>
  </si>
  <si>
    <t>33903-2705</t>
  </si>
  <si>
    <t>Drury</t>
  </si>
  <si>
    <t>Cape Coral Unit 33 Blk 2178 Pb 16 Pg 53 Lots 26 + 27</t>
  </si>
  <si>
    <t>Lucerne</t>
  </si>
  <si>
    <t xml:space="preserve">809 Parkhurst Dr  Salisbury, MD 21804-9028 </t>
  </si>
  <si>
    <t>Evangelia</t>
  </si>
  <si>
    <t>Florian Masser</t>
  </si>
  <si>
    <t xml:space="preserve">18415 Collins St H </t>
  </si>
  <si>
    <t>Calusa Club</t>
  </si>
  <si>
    <t>25-43-23-c3-02342.0230</t>
  </si>
  <si>
    <t xml:space="preserve">2592 SE 15th Ct </t>
  </si>
  <si>
    <t>32-43-24-c1-02232.0350</t>
  </si>
  <si>
    <t>Albert &amp; Margaret Wells</t>
  </si>
  <si>
    <t>R142</t>
  </si>
  <si>
    <t>Cape Coral Unit 36 Pt 1 Blk 2512 Pb 23 Pg 88 Lots 17 + 18</t>
  </si>
  <si>
    <t xml:space="preserve">441 Wildflower Dr  Fairfax, IA 52228-9516 </t>
  </si>
  <si>
    <t>Diamantas</t>
  </si>
  <si>
    <t xml:space="preserve">3705 Kittyhawk Dr  Fort Myers, FL 33905 </t>
  </si>
  <si>
    <t>Mahlon</t>
  </si>
  <si>
    <t>Scheibel</t>
  </si>
  <si>
    <t>73078-9449</t>
  </si>
  <si>
    <t>Enelida</t>
  </si>
  <si>
    <t>20-43-24-c1-05644.0410</t>
  </si>
  <si>
    <t>Jarema</t>
  </si>
  <si>
    <t xml:space="preserve">210 Lee Ave  Schenectady, NY 12304-1616 </t>
  </si>
  <si>
    <t>Channel-Port-Aux-Basques</t>
  </si>
  <si>
    <t xml:space="preserve">4814 Sleepy Wood Ct </t>
  </si>
  <si>
    <t>Annette</t>
  </si>
  <si>
    <t>Cape Coral Unit 87 Blk 5730 Pb 24 Pg 86 Lots 35 + 36</t>
  </si>
  <si>
    <t>Cape Coral Unit 33 Blk.2229 Pb 16 Pg 47 Lots 42 + 43</t>
  </si>
  <si>
    <t xml:space="preserve">7603 11th Ave </t>
  </si>
  <si>
    <t xml:space="preserve">PO Box 1593  Las Piedras, PR 00771-1593 </t>
  </si>
  <si>
    <t xml:space="preserve">2 Rue Coeurs Des Pres  Metabief, FR </t>
  </si>
  <si>
    <t>Ford</t>
  </si>
  <si>
    <t xml:space="preserve">3488 Bromfield Dr </t>
  </si>
  <si>
    <t>11581-3201</t>
  </si>
  <si>
    <t xml:space="preserve">19681 Summerlin Rd #295 </t>
  </si>
  <si>
    <t xml:space="preserve">2306 NE 35th Ter </t>
  </si>
  <si>
    <t>Gail</t>
  </si>
  <si>
    <t>Cape Coral Unit 36 Blk 2349 Pb 16 Pg 125 Lots 15 + 16</t>
  </si>
  <si>
    <t>Quails</t>
  </si>
  <si>
    <t>01-44-23-c4-02467.0030</t>
  </si>
  <si>
    <t xml:space="preserve">403 NE 18th Pl  Cape Coral, FL 33909 </t>
  </si>
  <si>
    <t>33904-5952</t>
  </si>
  <si>
    <t xml:space="preserve">16897 Heiser Rd  Berlin Center, OH 44401-9782 </t>
  </si>
  <si>
    <t xml:space="preserve">47/2 Via Commerciale </t>
  </si>
  <si>
    <t>29073-7095</t>
  </si>
  <si>
    <t>02914-3009</t>
  </si>
  <si>
    <t>Cape Coral Unit 34 Blk 2450 Pb 16 Pg 84 Lots 13 + 14</t>
  </si>
  <si>
    <t xml:space="preserve">PO Box 424  Glen Riddle Lima, PA 19037 </t>
  </si>
  <si>
    <t xml:space="preserve">Access Undetermined  Cape Coral, FL 33904 </t>
  </si>
  <si>
    <t xml:space="preserve">826 NE 18th St  Cape Coral, FL 33909 </t>
  </si>
  <si>
    <t xml:space="preserve">2719 NE 5th Ave </t>
  </si>
  <si>
    <t xml:space="preserve">4701 Lynton Ct </t>
  </si>
  <si>
    <t xml:space="preserve">24540 Harborview Rd G1 </t>
  </si>
  <si>
    <t xml:space="preserve">13432 Classic Ct </t>
  </si>
  <si>
    <t xml:space="preserve">1029 NE 2nd Ave  Cape Coral, FL 33909 </t>
  </si>
  <si>
    <t>Roseville</t>
  </si>
  <si>
    <t>Cape Coral Unit 87 Blk 5701 Pb 24 Pg 74 Lots 35 + 36</t>
  </si>
  <si>
    <t xml:space="preserve">1224 NE 41st Ter </t>
  </si>
  <si>
    <t xml:space="preserve">346 NE 31st Ter  Cape Coral, FL 33909 </t>
  </si>
  <si>
    <t>William &amp; Dorothy Rogers</t>
  </si>
  <si>
    <t>Lori Pasion</t>
  </si>
  <si>
    <t xml:space="preserve">6139 Hester Ave  Fort Myers, FL 33905 </t>
  </si>
  <si>
    <t>Cape Coral Unit 87 Blk 5747 Pb 24 Pg 70 Lots 27 + 28</t>
  </si>
  <si>
    <t xml:space="preserve">8241 NW 11th St #460, Pembroke Pines, FL 33024-4905 </t>
  </si>
  <si>
    <t>36-43-23-c2-02535.0240</t>
  </si>
  <si>
    <t xml:space="preserve">912 Glen Dr NE </t>
  </si>
  <si>
    <t xml:space="preserve">6331 Castlewood Cir </t>
  </si>
  <si>
    <t>Malt</t>
  </si>
  <si>
    <t xml:space="preserve">111 Quail Hollow Ct </t>
  </si>
  <si>
    <t xml:space="preserve">1623 NE 34th Ln  Cape Coral, FL 33909 </t>
  </si>
  <si>
    <t>Nevins</t>
  </si>
  <si>
    <t>Ernest Hernandez</t>
  </si>
  <si>
    <t>Araceli Verdezoto</t>
  </si>
  <si>
    <t>Cape Coral Unit 87 Blk 5734 Pb 24 Pg 87 Lots 31 + 32</t>
  </si>
  <si>
    <t>Pedro</t>
  </si>
  <si>
    <t>Rubin</t>
  </si>
  <si>
    <t>Nick Boon</t>
  </si>
  <si>
    <t xml:space="preserve">1509 S Gator Cir </t>
  </si>
  <si>
    <t xml:space="preserve">10060 Stonewood Dr </t>
  </si>
  <si>
    <t xml:space="preserve">Coop Olympia #504, Tokyo, JP 00150 </t>
  </si>
  <si>
    <t xml:space="preserve">2606 NE 6th Ave </t>
  </si>
  <si>
    <t>20-43-26-05-00091.0730</t>
  </si>
  <si>
    <t xml:space="preserve">1839 Sedgwick Ave 1b </t>
  </si>
  <si>
    <t>Cape Coral Unit 84 Blk 5612 Pb 24 Pg 36 Lots 69 + 70</t>
  </si>
  <si>
    <t>33309-7641</t>
  </si>
  <si>
    <t xml:space="preserve">2743 NE 6th Ave  Cape Coral, FL 33909 </t>
  </si>
  <si>
    <t>Yaworsky</t>
  </si>
  <si>
    <t xml:space="preserve">4113 Andalusia Blvd  Cape Coral, FL 33909 </t>
  </si>
  <si>
    <t xml:space="preserve">1629 Lake Heron Dr  Lutz, FL 33549-8747 </t>
  </si>
  <si>
    <t xml:space="preserve">230 Moonachie Rd </t>
  </si>
  <si>
    <t xml:space="preserve">811 Vogiantzis Pkwy  Cape Coral, FL 33909 </t>
  </si>
  <si>
    <t xml:space="preserve">123 Kismet Pkwy E </t>
  </si>
  <si>
    <t xml:space="preserve">6017 Jadestone Ave </t>
  </si>
  <si>
    <t>Alte Berchtesgadener</t>
  </si>
  <si>
    <t xml:space="preserve">620 SE 30th Ln </t>
  </si>
  <si>
    <t xml:space="preserve">164 Allen Rd  Billerica, MA 01821-5240 </t>
  </si>
  <si>
    <t xml:space="preserve">2420 NE 20th Ave  Cape Coral, FL 33909 </t>
  </si>
  <si>
    <t xml:space="preserve">1730 N Capri Dr  Bonne Terre, MO 63628-8905 </t>
  </si>
  <si>
    <t>07054-3453</t>
  </si>
  <si>
    <t xml:space="preserve">1415 Hawthorne Dr </t>
  </si>
  <si>
    <t>Cypress Woods Rv Resort Ut 1 Pb 65 Pg 85 + 86 Blk B Lot 21</t>
  </si>
  <si>
    <t>Violet</t>
  </si>
  <si>
    <t xml:space="preserve">410 Emmett Ave  Saint Louis, MO 63135-2330 </t>
  </si>
  <si>
    <t>Cape Coral Unit 4 Pt.2 Blk.160 Pb 12 Pg 13 Lots 26 + 27 + Vac Res 33-98</t>
  </si>
  <si>
    <t>Pawel &amp; Iwona Hader</t>
  </si>
  <si>
    <t xml:space="preserve">10336 Prairie Iris Dr  Fort Myers, FL 33905 </t>
  </si>
  <si>
    <t xml:space="preserve">519 Holly Crest Dr  Spring, TX 77386-2847 </t>
  </si>
  <si>
    <t>Anthony</t>
  </si>
  <si>
    <t>Sylvie</t>
  </si>
  <si>
    <t xml:space="preserve">7003 60th Ave </t>
  </si>
  <si>
    <t>Cape Coral Unit 84 Blk 5557 Pb 24 Pg 32 Lots 53 + 54</t>
  </si>
  <si>
    <t>Cape Coral Unit 33 Blk 2226 Pb 16 Pg 46 Lots 12 Thru 14</t>
  </si>
  <si>
    <t>31-43-24-c4-02113.0690</t>
  </si>
  <si>
    <t xml:space="preserve">238 Lick Island Cir  Sinnamahoning, PA 15861-3118 </t>
  </si>
  <si>
    <t xml:space="preserve">2420 NE 20th Pl  Cape Coral, FL 33909 </t>
  </si>
  <si>
    <t>Cocoyea San Fernando</t>
  </si>
  <si>
    <t xml:space="preserve">7673 NW 182nd Ter </t>
  </si>
  <si>
    <t xml:space="preserve">517 W Cagney St  Meridian, ID 83646-6507 </t>
  </si>
  <si>
    <t>33905-2016</t>
  </si>
  <si>
    <t>Lake Dora</t>
  </si>
  <si>
    <t>Concession Rd 10</t>
  </si>
  <si>
    <t xml:space="preserve">9961 NW 27th St </t>
  </si>
  <si>
    <t>James Morrow</t>
  </si>
  <si>
    <t>33909-2583</t>
  </si>
  <si>
    <t>Metric Rosalie Tr</t>
  </si>
  <si>
    <t xml:space="preserve">1104 Buckingham Rd  Greensboro, NC 27408-7304 </t>
  </si>
  <si>
    <t>Verandah</t>
  </si>
  <si>
    <t xml:space="preserve">1936 E Tremont Ave 1f, Bronx, NY 10462-5629 </t>
  </si>
  <si>
    <t>06-44-24-c1-02077.0610</t>
  </si>
  <si>
    <t>Stephane</t>
  </si>
  <si>
    <t xml:space="preserve">313 NE 24th Ter  Cape Coral, FL 33909 </t>
  </si>
  <si>
    <t>33473-4831</t>
  </si>
  <si>
    <t>01-44-23-c3-02425.0110</t>
  </si>
  <si>
    <t xml:space="preserve">4732 NW 84th Ct  Miami, FL 33166-5973 </t>
  </si>
  <si>
    <t xml:space="preserve">4316 NE 24th Pl </t>
  </si>
  <si>
    <t>Cape Coral Unit 33 Blk 2287 Pb 16 Pg 57 Lots 13 + 14</t>
  </si>
  <si>
    <t>Coral Cape</t>
  </si>
  <si>
    <t xml:space="preserve">1 Scott Dr </t>
  </si>
  <si>
    <t xml:space="preserve">112 Watermill Ln </t>
  </si>
  <si>
    <t xml:space="preserve">819 SE 33rd Ter </t>
  </si>
  <si>
    <t>Cape Coral Unit 34 Blk.2457 Pb 16 Pg 83 Lots 26 + 27</t>
  </si>
  <si>
    <t>Abingdon</t>
  </si>
  <si>
    <t>For Bridget Soundararjan Trust</t>
  </si>
  <si>
    <t>12056-4110</t>
  </si>
  <si>
    <t xml:space="preserve">12676 113 Rd </t>
  </si>
  <si>
    <t>21403-2446</t>
  </si>
  <si>
    <t xml:space="preserve">1306 Thompson St </t>
  </si>
  <si>
    <t xml:space="preserve">6496 NW Morrell Dr </t>
  </si>
  <si>
    <t>80439-9561</t>
  </si>
  <si>
    <t>Nopdol</t>
  </si>
  <si>
    <t>33909-6322</t>
  </si>
  <si>
    <t>34787-9324</t>
  </si>
  <si>
    <t xml:space="preserve">16282 Rolling Ridge Rd </t>
  </si>
  <si>
    <t>Cape Coral Unit 84 Blk 5619 Pb 24 Pg 33 Lots 13 + 14</t>
  </si>
  <si>
    <t xml:space="preserve">19630 Muncaster Rd  Derwood, MD 20855-2422 </t>
  </si>
  <si>
    <t>18-43-24-c1-05690.0130</t>
  </si>
  <si>
    <t>Benet</t>
  </si>
  <si>
    <t xml:space="preserve">2208 NE 16th Pl </t>
  </si>
  <si>
    <t>07108-2708</t>
  </si>
  <si>
    <t xml:space="preserve">3934 NE 22nd Ave </t>
  </si>
  <si>
    <t>Camejo</t>
  </si>
  <si>
    <t>PO Box 426</t>
  </si>
  <si>
    <t xml:space="preserve">4017 E Gator Cir </t>
  </si>
  <si>
    <t>Hortencia</t>
  </si>
  <si>
    <t>Topeg</t>
  </si>
  <si>
    <t xml:space="preserve">34224 N Paseo Grande Dr </t>
  </si>
  <si>
    <t>17-43-24-c3-05782.0480</t>
  </si>
  <si>
    <t>Cape Coral Unit 36 Blk 2514 Pb 16 Pg 113 Lots 34 + 35</t>
  </si>
  <si>
    <t>Sapphire</t>
  </si>
  <si>
    <t>Steinbeck Phyllis M Tr</t>
  </si>
  <si>
    <t xml:space="preserve">2517 NE 19th Pl </t>
  </si>
  <si>
    <t>33909-3267</t>
  </si>
  <si>
    <t>Oka</t>
  </si>
  <si>
    <t xml:space="preserve">3842 Highlight St </t>
  </si>
  <si>
    <t xml:space="preserve">24 Smith Farm Rd  Bedford, NY 10506-2030 </t>
  </si>
  <si>
    <t>Cerrito</t>
  </si>
  <si>
    <t>Cape Coral Unit 32 Blk 2149 Pb 16 Pg 11 Lots 1 + 2</t>
  </si>
  <si>
    <t>Zach Floyd Crews Trust</t>
  </si>
  <si>
    <t xml:space="preserve">122 NE 11th Ter </t>
  </si>
  <si>
    <t xml:space="preserve">10151 Shadowood Ct </t>
  </si>
  <si>
    <t>Cape Coral Unit 34 Blk 2464 Pb 16 Pg 85 Lots 22 + 23</t>
  </si>
  <si>
    <t>David King</t>
  </si>
  <si>
    <t>Rue De La Foret-Macherin</t>
  </si>
  <si>
    <t>03-44-26-11-00053.0040</t>
  </si>
  <si>
    <t>45242-7125</t>
  </si>
  <si>
    <t xml:space="preserve">4367 Laurelhurst Rd </t>
  </si>
  <si>
    <t>Lehigh Acres W Pt Unit 12 Blk 68 Pb 26 Pg 16 Lot 7</t>
  </si>
  <si>
    <t xml:space="preserve">30 Meadow Brook Xing  Sandown, NH 03873-2253 </t>
  </si>
  <si>
    <t xml:space="preserve">8404 W Sample Rd #234, Coral Springs, FL 33065-4652 </t>
  </si>
  <si>
    <t>32-43-24-c3-02196.0600</t>
  </si>
  <si>
    <t>Lake St. Louis</t>
  </si>
  <si>
    <t xml:space="preserve">524 Kemp Rd </t>
  </si>
  <si>
    <t xml:space="preserve">1389 Tanglewood Dr </t>
  </si>
  <si>
    <t>Chero</t>
  </si>
  <si>
    <t>Cattail</t>
  </si>
  <si>
    <t>Caples</t>
  </si>
  <si>
    <t xml:space="preserve">117 Birchwood Dr  Barrie, ON L4m 6X3 </t>
  </si>
  <si>
    <t>Gibb</t>
  </si>
  <si>
    <t>Witkowski</t>
  </si>
  <si>
    <t xml:space="preserve">1018 NE 2nd Ter </t>
  </si>
  <si>
    <t>59270-3818</t>
  </si>
  <si>
    <t>L8E 5Z2</t>
  </si>
  <si>
    <t>Streamstown</t>
  </si>
  <si>
    <t>Lakes</t>
  </si>
  <si>
    <t xml:space="preserve">2124 NE 35th Ln </t>
  </si>
  <si>
    <t>Cape Coral Unit 35 Blk 2385 Pb 16 Pg 108 Lots 44 + 45</t>
  </si>
  <si>
    <t>Clint &amp; Sherry Hecker</t>
  </si>
  <si>
    <t>Harborcreek</t>
  </si>
  <si>
    <t>36-43-23-c1-02532.0160</t>
  </si>
  <si>
    <t>James Zeilenga &amp; James For</t>
  </si>
  <si>
    <t>Vista Lake</t>
  </si>
  <si>
    <t xml:space="preserve">4729 Ramsey St  Fayetteville, NC 28311-1614 </t>
  </si>
  <si>
    <t xml:space="preserve">12082 NW 24th St  Coral Springs, FL 33065-3265 </t>
  </si>
  <si>
    <t>08527-1233</t>
  </si>
  <si>
    <t>Cape Coral Unit 32 Blk 2173 Pb 16 Pg 11 Lots 22 Thru 24</t>
  </si>
  <si>
    <t>Estate &amp; Rolando Wade Roth</t>
  </si>
  <si>
    <t>Rajindra</t>
  </si>
  <si>
    <t>34-43-24-01-00021.0210</t>
  </si>
  <si>
    <t>Islander</t>
  </si>
  <si>
    <t>89434-9501</t>
  </si>
  <si>
    <t xml:space="preserve">3223 NE 13th Pl </t>
  </si>
  <si>
    <t>33905-7605</t>
  </si>
  <si>
    <t>08-45-24-c4-00369.0330</t>
  </si>
  <si>
    <t xml:space="preserve">10926 Francis Lewis Blvd  Queens Village, NY 11429-1404 </t>
  </si>
  <si>
    <t>60181-3905</t>
  </si>
  <si>
    <t>Manchester Township</t>
  </si>
  <si>
    <t>Lexington</t>
  </si>
  <si>
    <t>Boisacy</t>
  </si>
  <si>
    <t>Glide</t>
  </si>
  <si>
    <t xml:space="preserve">1826 NE 11th Ln  Cape Coral, FL 33909 </t>
  </si>
  <si>
    <t>Tanglewood</t>
  </si>
  <si>
    <t xml:space="preserve">1714 NE 28th St  Cape Coral, FL 33909 </t>
  </si>
  <si>
    <t xml:space="preserve">13449 Caribbean Blvd  Fort Myers, FL 33905 </t>
  </si>
  <si>
    <t xml:space="preserve">5683 SW 129th Pl  Miami, FL 33183-1241 </t>
  </si>
  <si>
    <t>Rocks</t>
  </si>
  <si>
    <t>Vadonna</t>
  </si>
  <si>
    <t xml:space="preserve">605 Royal Palm Ave #1313 </t>
  </si>
  <si>
    <t xml:space="preserve">5197 Cypress Trail Resort Cir </t>
  </si>
  <si>
    <t xml:space="preserve">341 Red Rock Ln  Elgin, IL 60124-4338 </t>
  </si>
  <si>
    <t xml:space="preserve">1160 NE 44th Ln </t>
  </si>
  <si>
    <t>Nortz</t>
  </si>
  <si>
    <t>Seher</t>
  </si>
  <si>
    <t>23-44-24-p3-02023.0290</t>
  </si>
  <si>
    <t>Perreault</t>
  </si>
  <si>
    <t>33023-1454</t>
  </si>
  <si>
    <t>Cape Coral Unit 87 Blk 5700 Pb 24 Pg 82 Lots 15 + 16</t>
  </si>
  <si>
    <t>Uritza</t>
  </si>
  <si>
    <t>11-44-25-l1-12000.3390</t>
  </si>
  <si>
    <t>33909-4436</t>
  </si>
  <si>
    <t xml:space="preserve">600 S State St #100, Belvidere, IL 61008-4329 </t>
  </si>
  <si>
    <t>16650-7959</t>
  </si>
  <si>
    <t>170th</t>
  </si>
  <si>
    <t>31-44-24-c3-00621.0250</t>
  </si>
  <si>
    <t>60618-4512</t>
  </si>
  <si>
    <t xml:space="preserve">2568 W 65th St  Hialeah, FL 33016-4382 </t>
  </si>
  <si>
    <t>For Margaret Y Hirozawa Trust</t>
  </si>
  <si>
    <t>Redlin</t>
  </si>
  <si>
    <t xml:space="preserve">8905 W Lakeside Dr </t>
  </si>
  <si>
    <t xml:space="preserve">PO Box 21  Richmond Dale, OH 45673 </t>
  </si>
  <si>
    <t xml:space="preserve">15120 Montanez St  Fontana, CA 92336-4037 </t>
  </si>
  <si>
    <t>10305-4329</t>
  </si>
  <si>
    <t>03-44-26-01-00003.0500</t>
  </si>
  <si>
    <t xml:space="preserve">658 W Packwood Ct </t>
  </si>
  <si>
    <t>33904-5919</t>
  </si>
  <si>
    <t>18-43-24-c4-05698.0310</t>
  </si>
  <si>
    <t>Khirodar</t>
  </si>
  <si>
    <t>11742-2126</t>
  </si>
  <si>
    <t>Dicupero Edward B Tr</t>
  </si>
  <si>
    <t xml:space="preserve">4110 NE 20th Ct </t>
  </si>
  <si>
    <t>Fudickar &amp; Gmbh Simmer</t>
  </si>
  <si>
    <t xml:space="preserve">2628 Vintage Dr </t>
  </si>
  <si>
    <t>Farragut</t>
  </si>
  <si>
    <t>11-44-25-10-00000.4320</t>
  </si>
  <si>
    <t xml:space="preserve">1109 NE 5th Ave </t>
  </si>
  <si>
    <t>Kalina</t>
  </si>
  <si>
    <t>Colonial</t>
  </si>
  <si>
    <t xml:space="preserve">10337 Nightwood Dr  Fort Myers, FL 33905 </t>
  </si>
  <si>
    <t>01-44-23-c2-02460.0070</t>
  </si>
  <si>
    <t>Plz</t>
  </si>
  <si>
    <t xml:space="preserve">3611 NE 12th Ct  Cape Coral, FL 33909 </t>
  </si>
  <si>
    <t>Ernesto Carannante</t>
  </si>
  <si>
    <t xml:space="preserve">5761 Cypress Woods Resort Dr  Fort Myers, FL 33905 </t>
  </si>
  <si>
    <t>Cape Coral Unit 88 Blk 5819 Pb 24 Pg 140 Lots 5 + 6</t>
  </si>
  <si>
    <t>Ramdai</t>
  </si>
  <si>
    <t>02061-1343</t>
  </si>
  <si>
    <t>Mpd</t>
  </si>
  <si>
    <t xml:space="preserve">2001 NE 17th Ter </t>
  </si>
  <si>
    <t xml:space="preserve">309 NE 23rd St </t>
  </si>
  <si>
    <t>90037-3814</t>
  </si>
  <si>
    <t>Potomac</t>
  </si>
  <si>
    <t>25-43-23-c4-02290.0190</t>
  </si>
  <si>
    <t xml:space="preserve">305 Turner Rd  Stuart, VA 24171-4797 </t>
  </si>
  <si>
    <t>Jorge &amp; Bienvenida Perez</t>
  </si>
  <si>
    <t xml:space="preserve">3644 NE 11th Ave </t>
  </si>
  <si>
    <t xml:space="preserve">3510 E Gator Cir  Cape Coral, FL 33909 </t>
  </si>
  <si>
    <t>31-43-24-c4-02110.0550</t>
  </si>
  <si>
    <t xml:space="preserve">2416 NE 24th Ave  Cape Coral, FL 33909 </t>
  </si>
  <si>
    <t>Cypress Woods Rv Resort Unit 4 Pb 79 Pgs 68-71 Blk D Lot 16</t>
  </si>
  <si>
    <t>Cape Coral Unit 32 Blk 2142 Pb 14 Pg 6 Lots 24 + 25</t>
  </si>
  <si>
    <t>Tennis</t>
  </si>
  <si>
    <t>01475-2067</t>
  </si>
  <si>
    <t>Cape Coral Unit 88 Blk 5821 Pb 24 Pg 140 Lots 35 + 36</t>
  </si>
  <si>
    <t>Cape Coral Unit 34 Blk 2423 Pb 16 Pg 76 Lots 24 + 25</t>
  </si>
  <si>
    <t>Chaple</t>
  </si>
  <si>
    <t>Cape Coral Unit 84 Blk 5616 Pb 24 Pg 34 Lots 27 + 28</t>
  </si>
  <si>
    <t xml:space="preserve">2652 Mallard Dr </t>
  </si>
  <si>
    <t>Chuon</t>
  </si>
  <si>
    <t>H G H &amp; Carol Schultz</t>
  </si>
  <si>
    <t>Eduarda</t>
  </si>
  <si>
    <t>33905-5719</t>
  </si>
  <si>
    <t>11372-2227</t>
  </si>
  <si>
    <t xml:space="preserve">1164 NE 44th Ln  Cape Coral, FL 33909 </t>
  </si>
  <si>
    <t>32-43-24-c4-02208.0570</t>
  </si>
  <si>
    <t>Petit Thouars</t>
  </si>
  <si>
    <t xml:space="preserve">5875 Brightwood Dr </t>
  </si>
  <si>
    <t>Bloomfield Hills</t>
  </si>
  <si>
    <t>American &amp; Vurlee Brown</t>
  </si>
  <si>
    <t>20186-4355</t>
  </si>
  <si>
    <t>Flint</t>
  </si>
  <si>
    <t>18-43-24-c2-05715.0310</t>
  </si>
  <si>
    <t xml:space="preserve">2503 Boddington Ln </t>
  </si>
  <si>
    <t xml:space="preserve">29 Diane Dr  Clifford Township, PA 18441-7702 </t>
  </si>
  <si>
    <t>Weile</t>
  </si>
  <si>
    <t>Davila</t>
  </si>
  <si>
    <t xml:space="preserve">8850 SW 25th St </t>
  </si>
  <si>
    <t>For Macaluso Family Trust</t>
  </si>
  <si>
    <t>19-43-24-c4-05563.0730</t>
  </si>
  <si>
    <t xml:space="preserve">593 Riverside Dr 3a </t>
  </si>
  <si>
    <t>Buckingham Pk Re Blk B U-5 Blk 25 Pb 27 Pg 193 Lot 5</t>
  </si>
  <si>
    <t xml:space="preserve">22 Rue Dalsale </t>
  </si>
  <si>
    <t xml:space="preserve">24 Pixley Cres  Scarborough, ON M1e 3G6 </t>
  </si>
  <si>
    <t xml:space="preserve">10365 Nightwood Dr  Fort Myers, FL 33905 </t>
  </si>
  <si>
    <t xml:space="preserve">1232 Grand Junction Way </t>
  </si>
  <si>
    <t>Cypress Trail Rv Resort Ph 4-B As Desc In Inst# 2017000057565 Lot 80</t>
  </si>
  <si>
    <t xml:space="preserve">3312 NE 13th Pl  Cape Coral, FL 33909 </t>
  </si>
  <si>
    <t>Merkel</t>
  </si>
  <si>
    <t>Laramie</t>
  </si>
  <si>
    <t>Lehigh Acres Unit 12 Blk 62 Pb 26 Pg 16 Lot 5</t>
  </si>
  <si>
    <t>Landow</t>
  </si>
  <si>
    <t>11-44-25-05-0000c.0750</t>
  </si>
  <si>
    <t>Galo Amaya</t>
  </si>
  <si>
    <t>Jacquelina</t>
  </si>
  <si>
    <t xml:space="preserve">44 Zimmerstr </t>
  </si>
  <si>
    <t>Mydlowski</t>
  </si>
  <si>
    <t>Jonathan Harbour U-1 Pb 45 Pg 9 Lot 26</t>
  </si>
  <si>
    <t xml:space="preserve">2208 NE 33rd Ln  Cape Coral, FL 33909 </t>
  </si>
  <si>
    <t>Cape Coral Unit 34 Blk 2465 Pb 16 Pg 80 Lots 89 + 90</t>
  </si>
  <si>
    <t>Cape Coral Unit 84 Blk 5613 Pb 24 Pg 36 Lots 77 + 78</t>
  </si>
  <si>
    <t>34-43-24-02-00030.0120</t>
  </si>
  <si>
    <t>34103-4209</t>
  </si>
  <si>
    <t xml:space="preserve">3441 NE 9th Pl </t>
  </si>
  <si>
    <t>389a</t>
  </si>
  <si>
    <t>Rincon</t>
  </si>
  <si>
    <t>Justin Sayler</t>
  </si>
  <si>
    <t>Montgomery Kayla J Tr</t>
  </si>
  <si>
    <t xml:space="preserve">3449 John F Kennedy Blvd  Jersey City, NJ 07307-4778 </t>
  </si>
  <si>
    <t>03051-4857</t>
  </si>
  <si>
    <t xml:space="preserve">3750 Kenyon St </t>
  </si>
  <si>
    <t xml:space="preserve">216 Hallingstuene </t>
  </si>
  <si>
    <t>Cape Coral Unit 33 Blk 2231 Pb 16 Pg 51 Lots 36 + 37</t>
  </si>
  <si>
    <t>19-43-24-c3-05559.0070</t>
  </si>
  <si>
    <t>54401-4704</t>
  </si>
  <si>
    <t>05-44-24-c1-03541.0280</t>
  </si>
  <si>
    <t>Momany Leo C Jr Tr</t>
  </si>
  <si>
    <t>Yvette</t>
  </si>
  <si>
    <t>Cape Coral Unit 88 Blk 5808 Pb 24 Pg 138 Lots 11 + 12</t>
  </si>
  <si>
    <t>Lehigh Acres W 1/2 Unit 13 Blk 73 Pb 26 Pg 18 Lot 2</t>
  </si>
  <si>
    <t xml:space="preserve">3117 NE 7th Pl  Cape Coral, FL 33909 </t>
  </si>
  <si>
    <t>33909-1616</t>
  </si>
  <si>
    <t>Waring</t>
  </si>
  <si>
    <t>06-44-24-c4-02045.0170</t>
  </si>
  <si>
    <t xml:space="preserve">1002 Plaza Pl  Warrensburg, MO 64093-3108 </t>
  </si>
  <si>
    <t>36-43-23-c3-02510.0340</t>
  </si>
  <si>
    <t>Cape Coral Unit 4 Part 2 Pb 12 Pg 19 Blk 148 Lots 39 + 40</t>
  </si>
  <si>
    <t>Waybert</t>
  </si>
  <si>
    <t>32-43-24-c1-02183.0320</t>
  </si>
  <si>
    <t xml:space="preserve">32418 Elbow Shores Dr </t>
  </si>
  <si>
    <t xml:space="preserve">1801 NE 13th Ter </t>
  </si>
  <si>
    <t xml:space="preserve">8523 Saratoga Ln </t>
  </si>
  <si>
    <t>Skylark</t>
  </si>
  <si>
    <t>33909-1327</t>
  </si>
  <si>
    <t xml:space="preserve">1034 Hemlock Cir  Manheim, PA 17545-8952 </t>
  </si>
  <si>
    <t xml:space="preserve">2103 NE 1st Pl </t>
  </si>
  <si>
    <t>Khan</t>
  </si>
  <si>
    <t xml:space="preserve">4137 NE 21st Pl </t>
  </si>
  <si>
    <t>Maria &amp; For Soares</t>
  </si>
  <si>
    <t>Phuc Tran &amp; Myduc Nguyen</t>
  </si>
  <si>
    <t>Cape Coral Unit 87 Blk 5730 Pb 24 Pg 86 Lots 33 + 34</t>
  </si>
  <si>
    <t>33905-8627</t>
  </si>
  <si>
    <t>Nw</t>
  </si>
  <si>
    <t>Cape Coral Unit 33 Blk.2229 Pb 16 Pg 47 Lots 40 + 41</t>
  </si>
  <si>
    <t>Correani</t>
  </si>
  <si>
    <t xml:space="preserve">1004 SW 118th Ct </t>
  </si>
  <si>
    <t>34102-5410</t>
  </si>
  <si>
    <t>Guillot</t>
  </si>
  <si>
    <t>North Haledon</t>
  </si>
  <si>
    <t xml:space="preserve">7642 W Honey Creek Pkwy </t>
  </si>
  <si>
    <t>Guillermo Perez</t>
  </si>
  <si>
    <t>Lake St. Croix Beach</t>
  </si>
  <si>
    <t>Heather Murphy &amp; Andrew Cove</t>
  </si>
  <si>
    <t>Forder Heights</t>
  </si>
  <si>
    <t xml:space="preserve">539 Retunda Pkwy W  Cape Coral, FL 33904 </t>
  </si>
  <si>
    <t xml:space="preserve">1281 Edge Hill Rd  Perkasie, PA 18944-3973 </t>
  </si>
  <si>
    <t xml:space="preserve"> Quito, EC </t>
  </si>
  <si>
    <t xml:space="preserve">14022 Schultz Rd  Fort Myers, FL 33908 </t>
  </si>
  <si>
    <t xml:space="preserve">7007 E Gold Dust Ave #1040 </t>
  </si>
  <si>
    <t xml:space="preserve">3819 NE 10th Ave  Cape Coral, FL 33909 </t>
  </si>
  <si>
    <t xml:space="preserve">11 Bridle Crt </t>
  </si>
  <si>
    <t>Emilio</t>
  </si>
  <si>
    <t xml:space="preserve">1502 Rivercrest Dr </t>
  </si>
  <si>
    <t>10312-3711</t>
  </si>
  <si>
    <t xml:space="preserve">745 South Service Rd </t>
  </si>
  <si>
    <t>34291-7015</t>
  </si>
  <si>
    <t>Voorhees</t>
  </si>
  <si>
    <t xml:space="preserve">1925 NE 33rd Ter  Cape Coral, FL 33909 </t>
  </si>
  <si>
    <t>Cr 673</t>
  </si>
  <si>
    <t>Moir</t>
  </si>
  <si>
    <t>PO Box 710</t>
  </si>
  <si>
    <t xml:space="preserve">2104 NE 6th St </t>
  </si>
  <si>
    <t>Thiesse</t>
  </si>
  <si>
    <t>For Marina B Coppens Family Trust</t>
  </si>
  <si>
    <t>Garey</t>
  </si>
  <si>
    <t xml:space="preserve">559 W 164th St 3m, New York, NY 10032-4917 </t>
  </si>
  <si>
    <t>Naziha</t>
  </si>
  <si>
    <t>11-44-25-11-00000.0570</t>
  </si>
  <si>
    <t xml:space="preserve">235 Benson Ave  Elmont, NY 11003-2308 </t>
  </si>
  <si>
    <t xml:space="preserve">1342 NE 33rd Ter </t>
  </si>
  <si>
    <t>Cape Coral Unit 87 Blk 5747 Pb 24 Pg 70 Lots 25 + 26</t>
  </si>
  <si>
    <t>55110-1629</t>
  </si>
  <si>
    <t>25-43-23-c2-02321.0200</t>
  </si>
  <si>
    <t>Cape Coral Unit 34 Blk 2463 Pb 16 Pg 84 Lots 36 + 37</t>
  </si>
  <si>
    <t>Overbrook</t>
  </si>
  <si>
    <t>98569-9759</t>
  </si>
  <si>
    <t xml:space="preserve">2031 NE 28th St  Cape Coral, FL 33909 </t>
  </si>
  <si>
    <t>Bogota</t>
  </si>
  <si>
    <t xml:space="preserve">603 NE 19th Ter  Cape Coral, FL 33909 </t>
  </si>
  <si>
    <t xml:space="preserve">8124 NW 163rd Ter  Miami Lakes, FL 33016-6102 </t>
  </si>
  <si>
    <t>Frances &amp; For Ricca</t>
  </si>
  <si>
    <t xml:space="preserve">9033 Sorreno Ct </t>
  </si>
  <si>
    <t>33909-3262</t>
  </si>
  <si>
    <t xml:space="preserve">2164 Durden Pkwy </t>
  </si>
  <si>
    <t>Macomb</t>
  </si>
  <si>
    <t xml:space="preserve">7181 SE 173rd arlington Loop </t>
  </si>
  <si>
    <t>Nutgrove</t>
  </si>
  <si>
    <t>36-43-23-c2-02526.0260</t>
  </si>
  <si>
    <t>Jersey City</t>
  </si>
  <si>
    <t>PO Box 9596</t>
  </si>
  <si>
    <t>20-43-24-c3-05674.0400</t>
  </si>
  <si>
    <t>07081-1635</t>
  </si>
  <si>
    <t xml:space="preserve">453 NE Juanita Ct </t>
  </si>
  <si>
    <t>Cypress Trail Rv Resort Ph 4-B As Desc In Inst# 2017000057565 Lot 106</t>
  </si>
  <si>
    <t xml:space="preserve">1325 NE 1st Ave </t>
  </si>
  <si>
    <t xml:space="preserve">3115 3rd St  Berwick, LA 70342-2748 </t>
  </si>
  <si>
    <t xml:space="preserve">2380 Fence Rd  Hollywood, FL 33019 </t>
  </si>
  <si>
    <t xml:space="preserve">1620 NE 2nd Ave </t>
  </si>
  <si>
    <t>Ft Myers Shores Unit 2 Blk 29 Pb 10 Pg 9 Pt Lt 85 Des Or 1152 P 735</t>
  </si>
  <si>
    <t xml:space="preserve">52 Riverside Dr 11a, New York, NY 10024-6556 </t>
  </si>
  <si>
    <t xml:space="preserve">608 Country Club Dr </t>
  </si>
  <si>
    <t>19087-3511</t>
  </si>
  <si>
    <t xml:space="preserve">10252 Meadow Beauty Trl </t>
  </si>
  <si>
    <t>Elizabeth Velez &amp; Ruben Mosquera</t>
  </si>
  <si>
    <t xml:space="preserve">212 N Adams Ave </t>
  </si>
  <si>
    <t>33908-8277</t>
  </si>
  <si>
    <t xml:space="preserve">134 Lockwood Ave #1, Stamford, CT 06902-5229 </t>
  </si>
  <si>
    <t>Sallyann</t>
  </si>
  <si>
    <t>33909-4235</t>
  </si>
  <si>
    <t xml:space="preserve">624 SE 30th Ln </t>
  </si>
  <si>
    <t>11-44-25-l1-1400b.4390</t>
  </si>
  <si>
    <t xml:space="preserve">Po Box 176 </t>
  </si>
  <si>
    <t xml:space="preserve">6300 NW 9th St </t>
  </si>
  <si>
    <t xml:space="preserve">5235 Pineland Daisy Trl </t>
  </si>
  <si>
    <t xml:space="preserve">1609 NE 2nd Pl </t>
  </si>
  <si>
    <t xml:space="preserve">13303 Wild Basin Way </t>
  </si>
  <si>
    <t xml:space="preserve">1005 NE 11th St  Cape Coral, FL 33909 </t>
  </si>
  <si>
    <t xml:space="preserve">2916 NE 6th Pl  Cape Coral, FL 33909 </t>
  </si>
  <si>
    <t xml:space="preserve">2201 NE 7th Pl  Cape Coral, FL 33909 </t>
  </si>
  <si>
    <t xml:space="preserve">6004 Sweetgum Dr </t>
  </si>
  <si>
    <t>93021-2334</t>
  </si>
  <si>
    <t>Cape Coral Unit 32 Blk 2137 Pb 16 Pg 13 Lots 9 + 10</t>
  </si>
  <si>
    <t xml:space="preserve">1303 Kingsbury Dr A </t>
  </si>
  <si>
    <t xml:space="preserve">740 Overriver Dr </t>
  </si>
  <si>
    <t xml:space="preserve">3521 NE 20th Pl  Cape Coral, FL 33909 </t>
  </si>
  <si>
    <t>33180-2165</t>
  </si>
  <si>
    <t>06-44-24-c3-02040.0240</t>
  </si>
  <si>
    <t>Sakay</t>
  </si>
  <si>
    <t xml:space="preserve">10101 SW 43rd St  Miami, FL 33165-5003 </t>
  </si>
  <si>
    <t xml:space="preserve">2108 NE 13th Ln </t>
  </si>
  <si>
    <t>John &amp; Diane Cuco</t>
  </si>
  <si>
    <t>01-44-23-c1-02440.0330</t>
  </si>
  <si>
    <t>08-44-24-c4-01508.0490</t>
  </si>
  <si>
    <t xml:space="preserve">3211 NE 15th Ave  Cape Coral, FL 33909 </t>
  </si>
  <si>
    <t xml:space="preserve">3527 NE 12th Ct  Cape Coral, FL 33909 </t>
  </si>
  <si>
    <t xml:space="preserve">5453 Cypress Trail Resort Cir  Fort Myers, FL 33905 </t>
  </si>
  <si>
    <t>Bedford Hills</t>
  </si>
  <si>
    <t>85331-8238</t>
  </si>
  <si>
    <t xml:space="preserve">10 Rehgebirgsstrasse  Norman, OK 73072 </t>
  </si>
  <si>
    <t xml:space="preserve">3605 Andalusia Blvd </t>
  </si>
  <si>
    <t>Knut &amp; Kathrin Sabelus Sabelus</t>
  </si>
  <si>
    <t>Vichot</t>
  </si>
  <si>
    <t xml:space="preserve">5025 Sorrento Ct </t>
  </si>
  <si>
    <t>Howard Steed &amp; Allison Yates</t>
  </si>
  <si>
    <t xml:space="preserve">2102 NE 2nd Ave  Cape Coral, FL 33909 </t>
  </si>
  <si>
    <t>S 1/2 Of Se 1/4 Of Nw 1/4 Lying W Of Hendry Crk Less Parl 8.001 Thru 8.0080 + Less S 50 Ft Of W 100 Ft Of Se 1/4 Of Nw 1/4 As Desc In 2008000082288</t>
  </si>
  <si>
    <t>33909-4720</t>
  </si>
  <si>
    <t>Artiles</t>
  </si>
  <si>
    <t>34243-4919</t>
  </si>
  <si>
    <t>Cape Coral Unit 32 Blk 2113 Pb 16 Pg 6 Lots 7 + 8</t>
  </si>
  <si>
    <t>33909-1954</t>
  </si>
  <si>
    <t>Germaine</t>
  </si>
  <si>
    <t xml:space="preserve">Col Da Lech #8 </t>
  </si>
  <si>
    <t>Libertyville</t>
  </si>
  <si>
    <t xml:space="preserve">900 Edlu Ct  Valley Stream, NY 11580-1212 </t>
  </si>
  <si>
    <t xml:space="preserve">3790 8th Ave NE </t>
  </si>
  <si>
    <t>Lehigh Acres Unit 2 Blk 8 Pb 26 Pg 4 Lot 2</t>
  </si>
  <si>
    <t>33905-1779</t>
  </si>
  <si>
    <t>03-44-26-09-00043.0030</t>
  </si>
  <si>
    <t>04-44-26-01-00015.0000</t>
  </si>
  <si>
    <t>Thoa Vo</t>
  </si>
  <si>
    <t>Cape Coral Unit 87 Blk 5734 Pb 24 Pg 78 Lots 63 + 64</t>
  </si>
  <si>
    <t>33909-1665</t>
  </si>
  <si>
    <t>Is</t>
  </si>
  <si>
    <t>Bertuccio</t>
  </si>
  <si>
    <t xml:space="preserve">190 Cape Shores Cir 5h, Cape Canaveral, FL 32920-6031 </t>
  </si>
  <si>
    <t>Chesterton</t>
  </si>
  <si>
    <t xml:space="preserve">2205 NE 35th Ter  Cape Coral, FL 33909 </t>
  </si>
  <si>
    <t>Cape Coral Unit 36 Pt.1 Blk.2512 Pb 23 Pg 88 Lots 1 + 2</t>
  </si>
  <si>
    <t xml:space="preserve">Po Box 701534 </t>
  </si>
  <si>
    <t>Ritterhud</t>
  </si>
  <si>
    <t>Jacqeline</t>
  </si>
  <si>
    <t xml:space="preserve">3779 La Rue St </t>
  </si>
  <si>
    <t xml:space="preserve">2102 NE 22nd Pl </t>
  </si>
  <si>
    <t>36-43-23-c1-02515.0010</t>
  </si>
  <si>
    <t>50th</t>
  </si>
  <si>
    <t>48412-9364</t>
  </si>
  <si>
    <t xml:space="preserve">14070 Campus St </t>
  </si>
  <si>
    <t>Turning Shore</t>
  </si>
  <si>
    <t>33909-8851</t>
  </si>
  <si>
    <t xml:space="preserve">10303 Fire Flag Trl </t>
  </si>
  <si>
    <t>94598-4050</t>
  </si>
  <si>
    <t>Pierre Cheriot &amp; Isabelle Bisdorff</t>
  </si>
  <si>
    <t>33909-5404</t>
  </si>
  <si>
    <t>Pink Panther</t>
  </si>
  <si>
    <t>33905-8676</t>
  </si>
  <si>
    <t>49720-8960</t>
  </si>
  <si>
    <t>Aszam</t>
  </si>
  <si>
    <t xml:space="preserve">1627 NE 13th Ave  Cape Coral, FL 33909 </t>
  </si>
  <si>
    <t xml:space="preserve">7 Kiefemweg  Oak Grove, LA 71263 </t>
  </si>
  <si>
    <t xml:space="preserve">419 Bonvue Ter </t>
  </si>
  <si>
    <t>Albert &amp; Mary Beardsley</t>
  </si>
  <si>
    <t>Heribert &amp; Sigrid Selzer</t>
  </si>
  <si>
    <t>Cape Coral Unit 32 Blk.2094 Pb 16 Pg 4 Lots 10 + 11</t>
  </si>
  <si>
    <t>Joseph &amp; Jean Foglia</t>
  </si>
  <si>
    <t xml:space="preserve">3829 Kittyhawk Dr  Fort Myers, FL 33905 </t>
  </si>
  <si>
    <t xml:space="preserve">3712 NE 23rd Ave </t>
  </si>
  <si>
    <t>32-43-24-c4-02208.0080</t>
  </si>
  <si>
    <t>55044-4503</t>
  </si>
  <si>
    <t>Cape Coral Unit 87 Blk 5698 Pb 24 Pg 75 Lots 5 + 6</t>
  </si>
  <si>
    <t xml:space="preserve">3228 NE 13th Pl  Cape Coral, FL 33909 </t>
  </si>
  <si>
    <t>Cape Coral Unit 84 Blk 5566 Pb 24 Pg 40 Lot 65</t>
  </si>
  <si>
    <t>George Opfer</t>
  </si>
  <si>
    <t>Cape Coral Unit 88 Blk.5784 Pb 24 Pg 131 Lots 1 + 2</t>
  </si>
  <si>
    <t>33905-3322</t>
  </si>
  <si>
    <t>06040-3809</t>
  </si>
  <si>
    <t xml:space="preserve">2717 NE 2nd Pl  Cape Coral, FL 33909 </t>
  </si>
  <si>
    <t xml:space="preserve">819 SE 33rd Ter  Cape Coral, FL 33904 </t>
  </si>
  <si>
    <t>Gritti</t>
  </si>
  <si>
    <t>05-44-24-c1-03528.0070</t>
  </si>
  <si>
    <t>William Carl Raup and Anne Barrington Raup Joint Revocable T</t>
  </si>
  <si>
    <t>Martling</t>
  </si>
  <si>
    <t xml:space="preserve">4313 NE 11th Ave  Cape Coral, FL 33909 </t>
  </si>
  <si>
    <t xml:space="preserve">3845 Knowlton St </t>
  </si>
  <si>
    <t>Cape Coral Unit 87 Blk 5742 Pb 24 Pg 69 Lots 58 + 59</t>
  </si>
  <si>
    <t xml:space="preserve">2315 NE 5th Ter </t>
  </si>
  <si>
    <t xml:space="preserve">6121 Higgins Ave </t>
  </si>
  <si>
    <t>Andres &amp; Sara Cordero</t>
  </si>
  <si>
    <t xml:space="preserve">340 E 5th St #103, Hialeah, FL 33010-6246 </t>
  </si>
  <si>
    <t xml:space="preserve">284 Roosevelt Ave </t>
  </si>
  <si>
    <t xml:space="preserve">4406 NE 21st Ave  Cape Coral, FL 33909 </t>
  </si>
  <si>
    <t xml:space="preserve">7176 N Plum Tree </t>
  </si>
  <si>
    <t xml:space="preserve">4129 W 11th Ln </t>
  </si>
  <si>
    <t>Jacaranda</t>
  </si>
  <si>
    <t>53126-9582</t>
  </si>
  <si>
    <t>Hatteras Club</t>
  </si>
  <si>
    <t>Cape Coral Unit 47 Part 2 Blk 3537 Pb 23 Pg 120 Lots 7 + 8</t>
  </si>
  <si>
    <t>33905-7742</t>
  </si>
  <si>
    <t xml:space="preserve">11425 118a St NW  Edmonton, AB T5g 3J2 </t>
  </si>
  <si>
    <t xml:space="preserve">3943 Flora Pl  Saint Louis, MO 63110-3732 </t>
  </si>
  <si>
    <t xml:space="preserve">8897 Vergennes St SE  Ada, MI 49301-9120 </t>
  </si>
  <si>
    <t xml:space="preserve">3644 NE 9th Ave </t>
  </si>
  <si>
    <t>Mamaroneck</t>
  </si>
  <si>
    <t>Cape Coral Unit 87 Blk 5730 Pb 24 Pg 87 Lot 53</t>
  </si>
  <si>
    <t>Roberto &amp; Ana Chaviano</t>
  </si>
  <si>
    <t xml:space="preserve">3511 NE 12th Ave  Cape Coral, FL 33909 </t>
  </si>
  <si>
    <t xml:space="preserve">9771 Westberry Ct  North Fort Myers, FL 33903 </t>
  </si>
  <si>
    <t xml:space="preserve">28834 Highway H </t>
  </si>
  <si>
    <t>Fox Hills</t>
  </si>
  <si>
    <t>60174-1383</t>
  </si>
  <si>
    <t xml:space="preserve">4755 Maple Shade Dr </t>
  </si>
  <si>
    <t>Alban Adamo</t>
  </si>
  <si>
    <t xml:space="preserve">10229 Butterweed Trl </t>
  </si>
  <si>
    <t xml:space="preserve">13516 Torrey Way </t>
  </si>
  <si>
    <t>Dhooge</t>
  </si>
  <si>
    <t>Purandai</t>
  </si>
  <si>
    <t>36-43-23-c4-02476.0250</t>
  </si>
  <si>
    <t>01-44-23-c4-02419.0690</t>
  </si>
  <si>
    <t xml:space="preserve">260 Reid Ave </t>
  </si>
  <si>
    <t xml:space="preserve">506 N Beech Rd  Osceola, IN 46561-3501 </t>
  </si>
  <si>
    <t>Ashy</t>
  </si>
  <si>
    <t>Cape Coral Unit 34 Blk.2448 Pb 16 Pg 81 Lots 3 + 4</t>
  </si>
  <si>
    <t>Northridge</t>
  </si>
  <si>
    <t xml:space="preserve">245 Great Kills Rd  Staten Island, NY 10308-3249 </t>
  </si>
  <si>
    <t>Christina Gray &amp; Estate American</t>
  </si>
  <si>
    <t>32-43-24-c3-02188.0420</t>
  </si>
  <si>
    <t xml:space="preserve">6143 Herrick Ave  Fort Myers, FL 33905 </t>
  </si>
  <si>
    <t>11413-2529</t>
  </si>
  <si>
    <t>Virgil Snoddy</t>
  </si>
  <si>
    <t>07083-9105</t>
  </si>
  <si>
    <t>Delphi</t>
  </si>
  <si>
    <t xml:space="preserve">214 SE 29th St </t>
  </si>
  <si>
    <t>O Fallon</t>
  </si>
  <si>
    <t>78660-4672</t>
  </si>
  <si>
    <t>Lowndes</t>
  </si>
  <si>
    <t>Carlm Gatti &amp; James Egolf</t>
  </si>
  <si>
    <t xml:space="preserve">7819 79th Pl  Glendale, NY 11385-7437 </t>
  </si>
  <si>
    <t>Larry &amp; Ruth Ernest</t>
  </si>
  <si>
    <t xml:space="preserve">5158 Cypress Trail Resort Cir </t>
  </si>
  <si>
    <t>Kathy Davis</t>
  </si>
  <si>
    <t xml:space="preserve">1308 NE 22nd Ave  Cape Coral, FL 33909 </t>
  </si>
  <si>
    <t>03-44-26-10-00048.0120</t>
  </si>
  <si>
    <t>Cape Coral Unit 31 Blk 2078 Pb 14 Pg 163 Lots 31 + 32</t>
  </si>
  <si>
    <t>07-46-25-04-0000b.047a</t>
  </si>
  <si>
    <t xml:space="preserve">2114 Kismet Pkwy E  Cape Coral, FL 33909 </t>
  </si>
  <si>
    <t>Richard &amp; For Bergeron</t>
  </si>
  <si>
    <t xml:space="preserve">1924 W Gardenia Dr  Citrus Springs, FL 34434-4960 </t>
  </si>
  <si>
    <t>33909-8312</t>
  </si>
  <si>
    <t>33436-4749</t>
  </si>
  <si>
    <t xml:space="preserve">17919 Kindle Ct </t>
  </si>
  <si>
    <t>33909-1900</t>
  </si>
  <si>
    <t>Loogootee</t>
  </si>
  <si>
    <t>32-43-24-c1-02178.0280</t>
  </si>
  <si>
    <t>Cuzzo</t>
  </si>
  <si>
    <t>33909-3518</t>
  </si>
  <si>
    <t xml:space="preserve">1019 NE 33rd St </t>
  </si>
  <si>
    <t>B006</t>
  </si>
  <si>
    <t>Patterson</t>
  </si>
  <si>
    <t>Carmine &amp; Veronica Nicastro</t>
  </si>
  <si>
    <t xml:space="preserve">308 E Howell Ave </t>
  </si>
  <si>
    <t xml:space="preserve">C26 F Block  Tsing Lung Tau N T, HK </t>
  </si>
  <si>
    <t>Plouffe</t>
  </si>
  <si>
    <t xml:space="preserve">1014 NE 34th Ln  Cape Coral, FL 33909 </t>
  </si>
  <si>
    <t xml:space="preserve">241 Montclair Rd </t>
  </si>
  <si>
    <t>11710-3962</t>
  </si>
  <si>
    <t>Zeilenga James H Jr Tr</t>
  </si>
  <si>
    <t xml:space="preserve">404 Balido St </t>
  </si>
  <si>
    <t>Antonio Parras</t>
  </si>
  <si>
    <t>Wiedemann Henry Tr</t>
  </si>
  <si>
    <t>33909-1611</t>
  </si>
  <si>
    <t>Do</t>
  </si>
  <si>
    <t>17-43-24-c4-05776.0090</t>
  </si>
  <si>
    <t>06811-3811</t>
  </si>
  <si>
    <t xml:space="preserve">342 NE 15th St </t>
  </si>
  <si>
    <t>Cape Coral Unit 2 Part 3 Blk.220 Pb 11 Pg 39 Lots 7 + 8</t>
  </si>
  <si>
    <t>33909-5257</t>
  </si>
  <si>
    <t>Michigan</t>
  </si>
  <si>
    <t xml:space="preserve">335 NE 31st St  Cape Coral, FL 33909 </t>
  </si>
  <si>
    <t>Brenda Iddings</t>
  </si>
  <si>
    <t>Cape Coral Unit 88 Blk 5821 Pb 24 Pg 140 Lots 33 + 34</t>
  </si>
  <si>
    <t>Cypress Woods Rv Resort Un 3 Desc In Pb 72 Pgs 92-95 Blk C Lot 86</t>
  </si>
  <si>
    <t xml:space="preserve">2630 NE 6th Ave </t>
  </si>
  <si>
    <t>10-44-24-06-00000.0180</t>
  </si>
  <si>
    <t>32828-6490</t>
  </si>
  <si>
    <t xml:space="preserve">1036/1038 NE 16th Ter  Cape Coral, FL 33909 </t>
  </si>
  <si>
    <t xml:space="preserve">11155 Sunglow Ln  Fort Myers, FL 33908 </t>
  </si>
  <si>
    <t>Schultz Road As Desc In Instrument 2021000275008 Lot 2</t>
  </si>
  <si>
    <t xml:space="preserve">5256 Cypress Trail Resort Cir  Fort Myers, FL 33905 </t>
  </si>
  <si>
    <t>Dibenedetto</t>
  </si>
  <si>
    <t xml:space="preserve">20538 Marlin St  Orlando, FL 32833-3976 </t>
  </si>
  <si>
    <t>PO Box 220</t>
  </si>
  <si>
    <t>78704-3553</t>
  </si>
  <si>
    <t xml:space="preserve">3 Voglbachlweg  Unterfoehring, DE 85774 </t>
  </si>
  <si>
    <t xml:space="preserve">2504 NW 93rd Ter  Miami, FL 33147-3062 </t>
  </si>
  <si>
    <t xml:space="preserve">2006 NE 19th Ter  Cape Coral, FL 33909 </t>
  </si>
  <si>
    <t>01-44-23-c3-02392.0170</t>
  </si>
  <si>
    <t xml:space="preserve">2321 NE 33rd St  Cape Coral, FL 33909 </t>
  </si>
  <si>
    <t xml:space="preserve">637 Selborne Rd </t>
  </si>
  <si>
    <t>06-44-24-c1-02068.0390</t>
  </si>
  <si>
    <t>Omar Blackwood</t>
  </si>
  <si>
    <t xml:space="preserve">3338 NE 9th Ave </t>
  </si>
  <si>
    <t>Babylon</t>
  </si>
  <si>
    <t>Cypress Woods Rv Resort Un 3 Desc In Pb 72 Pgs 92-95 Blk C Lot 127</t>
  </si>
  <si>
    <t xml:space="preserve">105 S Tracy Ave </t>
  </si>
  <si>
    <t>Krystyna</t>
  </si>
  <si>
    <t>PO Box 89</t>
  </si>
  <si>
    <t>Robeydel Medina &amp; Yusmaily Nunez</t>
  </si>
  <si>
    <t>33904-4833</t>
  </si>
  <si>
    <t>Katherine</t>
  </si>
  <si>
    <t xml:space="preserve">64 Glenroy Rd </t>
  </si>
  <si>
    <t>West Chicago</t>
  </si>
  <si>
    <t>Green Acres Blk B Pb 5 Pg 72 Lot 5</t>
  </si>
  <si>
    <t xml:space="preserve">940 Briarmore Dr </t>
  </si>
  <si>
    <t>Plum Tree</t>
  </si>
  <si>
    <t>Allison Marine &amp; Ryan Efford</t>
  </si>
  <si>
    <t xml:space="preserve">5720 Brightwood Dr  Fort Myers, FL 33905 </t>
  </si>
  <si>
    <t>Bodnar</t>
  </si>
  <si>
    <t>Dalessio</t>
  </si>
  <si>
    <t xml:space="preserve">4071 Liberty Hill Dr  Norcross, GA 30093-4886 </t>
  </si>
  <si>
    <t>Jerilyn</t>
  </si>
  <si>
    <t xml:space="preserve">91 Timberwood Ln </t>
  </si>
  <si>
    <t>Jonathan</t>
  </si>
  <si>
    <t>Terry</t>
  </si>
  <si>
    <t>11552-3813</t>
  </si>
  <si>
    <t>Mcshea</t>
  </si>
  <si>
    <t xml:space="preserve">627 NE 31st Ter  Cape Coral, FL 33909 </t>
  </si>
  <si>
    <t>Cape Coral Unit 35 Blk 2387 Pb 16 Pg 111 Lots 8 + 9</t>
  </si>
  <si>
    <t xml:space="preserve">848 Vogiantzis Pkwy  Cape Coral, FL 33909 </t>
  </si>
  <si>
    <t xml:space="preserve">2732 SE 8th Pl </t>
  </si>
  <si>
    <t>R099</t>
  </si>
  <si>
    <t>Daphne</t>
  </si>
  <si>
    <t>New Fairfield</t>
  </si>
  <si>
    <t xml:space="preserve">210 Gate St  Newport News, VA 23602-7344 </t>
  </si>
  <si>
    <t xml:space="preserve">1205 Haddington Way </t>
  </si>
  <si>
    <t xml:space="preserve">7305 SW 158th Pl  Miami, FL 33193-3312 </t>
  </si>
  <si>
    <t>01-44-23-c1-02448.0750</t>
  </si>
  <si>
    <t xml:space="preserve">7575 Pelican Bay Blvd #603, Naples, FL 34108-5534 </t>
  </si>
  <si>
    <t>Cape Shores</t>
  </si>
  <si>
    <t>19-43-24-c4-05561.0150</t>
  </si>
  <si>
    <t>Calle 21 Norte</t>
  </si>
  <si>
    <t>Cape Coral Unit 25 Blk.898 Pb 14 Pg 91 Lots 50 + 51</t>
  </si>
  <si>
    <t>03-44-26-11-00056.0230</t>
  </si>
  <si>
    <t xml:space="preserve">1352 S End Pkwy  Plainfield, NJ 07060-3345 </t>
  </si>
  <si>
    <t>Grand Marais</t>
  </si>
  <si>
    <t>For Clary Family Trust</t>
  </si>
  <si>
    <t>Combs</t>
  </si>
  <si>
    <t>Lehigh Acres Unit 11 Blk 57 Pb 26 Pg 14 Lot 6</t>
  </si>
  <si>
    <t>Malek</t>
  </si>
  <si>
    <t>Butterfield</t>
  </si>
  <si>
    <t>Cape Coral Unit 85 Blk 5672 Pb 24 Pg 52 Lots 11 + 12</t>
  </si>
  <si>
    <t>Haynesworth</t>
  </si>
  <si>
    <t>Ramphaul</t>
  </si>
  <si>
    <t xml:space="preserve">6115 Humboldt Ave  Fort Myers, FL 33905 </t>
  </si>
  <si>
    <t>For J Owen Mckee Trust</t>
  </si>
  <si>
    <t xml:space="preserve">1108 NE 32nd Ln  Cape Coral, FL 33909 </t>
  </si>
  <si>
    <t xml:space="preserve">588 Tennent Rd  Manalapan, NJ 07726-3143 </t>
  </si>
  <si>
    <t>33909-6426</t>
  </si>
  <si>
    <t xml:space="preserve">3734 NE 13th Ave  Cape Coral, FL 33909 </t>
  </si>
  <si>
    <t>Sylvere Gritti</t>
  </si>
  <si>
    <t>Cypress Trail Rv Resort As Desc In Inst# 2013000212499 Lot 468</t>
  </si>
  <si>
    <t>Zhong</t>
  </si>
  <si>
    <t>27265-9715</t>
  </si>
  <si>
    <t>Mark &amp; Cheryl Schmidt</t>
  </si>
  <si>
    <t xml:space="preserve">1207 NE 3rd Ter </t>
  </si>
  <si>
    <t xml:space="preserve">2133 NE 23rd Ter </t>
  </si>
  <si>
    <t>Robert Nevins</t>
  </si>
  <si>
    <t>East Brunswick</t>
  </si>
  <si>
    <t>Cape Coral Unit 33 Blk 2227 Pb 16 Pg 46 Lots 18 + 19</t>
  </si>
  <si>
    <t>Pedro Canales &amp; Flor Cabrera</t>
  </si>
  <si>
    <t xml:space="preserve">1102 NE 11th Ave  Cape Coral, FL 33909 </t>
  </si>
  <si>
    <t>Cape Coral Unit 35 Blk.2364 Pb 16 Pg 105 Lots 1 + 2</t>
  </si>
  <si>
    <t>25302-4613</t>
  </si>
  <si>
    <t xml:space="preserve">21 NE 23rd Ter </t>
  </si>
  <si>
    <t>75069-7437</t>
  </si>
  <si>
    <t>Shalimar</t>
  </si>
  <si>
    <t xml:space="preserve">71275 Dawn Dr Un </t>
  </si>
  <si>
    <t xml:space="preserve">2306 Andalusia Blvd </t>
  </si>
  <si>
    <t>the Colony</t>
  </si>
  <si>
    <t>Tabasco</t>
  </si>
  <si>
    <t>Cape Coral Unit 33 Blk 2232 Pb 16 Pg 53 Lots 35 + 36</t>
  </si>
  <si>
    <t>Cape Coral Unit 88 Blk.5818 Pb 24 Pg 139 Lot 1</t>
  </si>
  <si>
    <t xml:space="preserve">1325 NE 19th Ter </t>
  </si>
  <si>
    <t xml:space="preserve">1821 NE 6th Pl </t>
  </si>
  <si>
    <t>5h</t>
  </si>
  <si>
    <t>Cousino William E &amp; Phyllis Tr</t>
  </si>
  <si>
    <t>33909-4230</t>
  </si>
  <si>
    <t>18-43-24-c3-05715.0490</t>
  </si>
  <si>
    <t>04-44-25-03-00007.2840</t>
  </si>
  <si>
    <t xml:space="preserve">20 Coe Rd </t>
  </si>
  <si>
    <t xml:space="preserve">3013 NE 4th Pl  Cape Coral, FL 33909 </t>
  </si>
  <si>
    <t xml:space="preserve">6046 Latimer Ave </t>
  </si>
  <si>
    <t>Tabernacle</t>
  </si>
  <si>
    <t xml:space="preserve">3019 SE 145th Ave </t>
  </si>
  <si>
    <t>Thomas &amp; Catherine Lee</t>
  </si>
  <si>
    <t>19970-3332</t>
  </si>
  <si>
    <t>33909-1464</t>
  </si>
  <si>
    <t xml:space="preserve">5276 SW 152nd Ave  Miramar, FL 33027-3692 </t>
  </si>
  <si>
    <t>Joseph &amp; Maria Damato</t>
  </si>
  <si>
    <t>Glen &amp; Patricia Burch</t>
  </si>
  <si>
    <t>Ethel</t>
  </si>
  <si>
    <t>Cape Coral Unit 87 Blk 5730 Pb 24 Pg 86 Lots 31 + 32</t>
  </si>
  <si>
    <t>03-44-26-11-00057.0030</t>
  </si>
  <si>
    <t>Cape Coral Unit 33 Blk 2255 Pb 16 Pg 57 Lots 52 + 53</t>
  </si>
  <si>
    <t>11050-3320</t>
  </si>
  <si>
    <t>19006-3108</t>
  </si>
  <si>
    <t xml:space="preserve">5250 Birch Bark Dr </t>
  </si>
  <si>
    <t xml:space="preserve">10201 Butterweed Trl  Fort Myers, FL 33905 </t>
  </si>
  <si>
    <t xml:space="preserve">2202 NE 1st Pl </t>
  </si>
  <si>
    <t>88011-1644</t>
  </si>
  <si>
    <t>30601-1713</t>
  </si>
  <si>
    <t>Tamiami Village Co-Op Blk 2 Lot 9</t>
  </si>
  <si>
    <t>Dalmau</t>
  </si>
  <si>
    <t>Samuel Johnson</t>
  </si>
  <si>
    <t>Stephens</t>
  </si>
  <si>
    <t>Donald &amp; Ann Evers</t>
  </si>
  <si>
    <t xml:space="preserve">5041 NW 5th St  Delray Beach, FL 33445-2104 </t>
  </si>
  <si>
    <t>Ruliffson</t>
  </si>
  <si>
    <t>18-43-24-c4-05701.0170</t>
  </si>
  <si>
    <t>Cape Coral Unit 33 Blk.2247 Pb 16 Pg 54 Lots 90 + 91</t>
  </si>
  <si>
    <t xml:space="preserve">2613 NE 7th Ave  Cape Coral, FL 33909 </t>
  </si>
  <si>
    <t>32536-9365</t>
  </si>
  <si>
    <t>Cecil Spangler</t>
  </si>
  <si>
    <t>Tudor</t>
  </si>
  <si>
    <t xml:space="preserve">500 E Riley Rd </t>
  </si>
  <si>
    <t>25-43-23-c3-02338.0530</t>
  </si>
  <si>
    <t xml:space="preserve">18838 County Road 30  Kennard, NE 68034-5018 </t>
  </si>
  <si>
    <t>Cypress Woods Rv Resort Un 3 Desc In Pb 72 Pgs 92-95 Blk C Lot 32</t>
  </si>
  <si>
    <t xml:space="preserve">812 Moorland Cir </t>
  </si>
  <si>
    <t>Cape Coral Unit 87 Blk 5701 Pb 24 Pg 74 Lots 31 + 32</t>
  </si>
  <si>
    <t>B055</t>
  </si>
  <si>
    <t>For Lisa C M Berkland Trust</t>
  </si>
  <si>
    <t>Oyster Bay</t>
  </si>
  <si>
    <t xml:space="preserve">1712 NE 14th St  Cape Coral, FL 33909 </t>
  </si>
  <si>
    <t>Cape Coral Unit 87 Blk 5747 Pb 24 Pg 70 Lots 23 + 24</t>
  </si>
  <si>
    <t xml:space="preserve">Russell 40/49 </t>
  </si>
  <si>
    <t xml:space="preserve">Les Lardents Saint Mamans  Rochefort Samson, FR </t>
  </si>
  <si>
    <t>33905-7709</t>
  </si>
  <si>
    <t>17-43-24-c3-05787.0270</t>
  </si>
  <si>
    <t xml:space="preserve">15688 Park View Dr </t>
  </si>
  <si>
    <t>31-43-24-c3-02118.0290</t>
  </si>
  <si>
    <t>20-43-24-c2-05665.0480</t>
  </si>
  <si>
    <t>11-44-25-l1-1400a.1280</t>
  </si>
  <si>
    <t>Gary &amp; Traci Steiger</t>
  </si>
  <si>
    <t xml:space="preserve">2034 NE 9th Ave </t>
  </si>
  <si>
    <t>Camilo &amp; Vivian Jaime</t>
  </si>
  <si>
    <t xml:space="preserve">Po Box 102 </t>
  </si>
  <si>
    <t>Pierce</t>
  </si>
  <si>
    <t>Demulling</t>
  </si>
  <si>
    <t>Berkshire Valley</t>
  </si>
  <si>
    <t>Cape Coral Unit 47 Part 2 Blk.3543 Pb 23 Pg 118 Lots 1 + 2</t>
  </si>
  <si>
    <t>Delia Lazaro Sunega &amp; Delia Sunega</t>
  </si>
  <si>
    <t xml:space="preserve">220 NE 4th St </t>
  </si>
  <si>
    <t>Loveland</t>
  </si>
  <si>
    <t xml:space="preserve">14 Morning Mist Ln  Buzzards Bay, MA 02532-2169 </t>
  </si>
  <si>
    <t xml:space="preserve">9716 Holloway Hill Ct </t>
  </si>
  <si>
    <t xml:space="preserve">Po Box 9205 </t>
  </si>
  <si>
    <t>Us 20</t>
  </si>
  <si>
    <t xml:space="preserve">1 Lavendelweg  Breitenguessbach, DE 96149 </t>
  </si>
  <si>
    <t>Irma</t>
  </si>
  <si>
    <t>C028</t>
  </si>
  <si>
    <t>Francia Saintilus</t>
  </si>
  <si>
    <t>08204-4521</t>
  </si>
  <si>
    <t xml:space="preserve">26910 Grand Central Pkwy 9g, Floral Park, NY 11005-1009 </t>
  </si>
  <si>
    <t xml:space="preserve">507 NE Juanita Pl  Cape Coral, FL 33909 </t>
  </si>
  <si>
    <t>Joplin</t>
  </si>
  <si>
    <t>Emerita Agustin</t>
  </si>
  <si>
    <t xml:space="preserve">6483 NW 23rd St  Margate, FL 33063-2223 </t>
  </si>
  <si>
    <t xml:space="preserve">3916 N Potsdam Ave #764, Sioux Falls, SD 57104-7048 </t>
  </si>
  <si>
    <t>Olguin</t>
  </si>
  <si>
    <t>R045</t>
  </si>
  <si>
    <t>Hoai Chau &amp; Thi Tran</t>
  </si>
  <si>
    <t xml:space="preserve">4423 SE 20th Pl </t>
  </si>
  <si>
    <t xml:space="preserve">1358 S Irving St </t>
  </si>
  <si>
    <t>02492-2736</t>
  </si>
  <si>
    <t>44130-8831</t>
  </si>
  <si>
    <t>33909-6279</t>
  </si>
  <si>
    <t>32724-1210</t>
  </si>
  <si>
    <t>Cape Coral Unit 33 Blk.2180 Pb 16 Pg 49 Lots 56 + 57</t>
  </si>
  <si>
    <t xml:space="preserve">3746 Kenyon St  Fort Myers, FL 33905 </t>
  </si>
  <si>
    <t>Marc Ferland</t>
  </si>
  <si>
    <t>Commens</t>
  </si>
  <si>
    <t>Cape Coral Unit 36 Blk 2299 Pb 16 Pg 122 Lots 27 + 28</t>
  </si>
  <si>
    <t xml:space="preserve">1630 NE 23rd Ter  Cape Coral, FL 33909 </t>
  </si>
  <si>
    <t>34746-3406</t>
  </si>
  <si>
    <t xml:space="preserve">7590 Atherton Way </t>
  </si>
  <si>
    <t xml:space="preserve">505 Kismet Pkwy E  Cape Coral, FL 33909 </t>
  </si>
  <si>
    <t>29-43-24-c3-02247.0390</t>
  </si>
  <si>
    <t xml:space="preserve">806 NE 34th Ter </t>
  </si>
  <si>
    <t>Nathali</t>
  </si>
  <si>
    <t xml:space="preserve">1216 NE 12th St  Cape Coral, FL 33909 </t>
  </si>
  <si>
    <t>John &amp; Kathleen Leihgaber</t>
  </si>
  <si>
    <t>Cape Coral Unit 33 Blk.2188 Pb 16 Pg 51 Lots 5 + 6</t>
  </si>
  <si>
    <t>48047-2053</t>
  </si>
  <si>
    <t xml:space="preserve">597 Heathcliff Dr  Seaford, NY 11783-1144 </t>
  </si>
  <si>
    <t xml:space="preserve">1900 Greengage Rd </t>
  </si>
  <si>
    <t xml:space="preserve">314 NE 15th Ter  Cape Coral, FL 33909 </t>
  </si>
  <si>
    <t xml:space="preserve">1140 Walnut Ln </t>
  </si>
  <si>
    <t>Cape Coral Unit 33 Blk 2255 Pb 16 Pg 57 Lots 3 + 4</t>
  </si>
  <si>
    <t xml:space="preserve">503 Diplomat Pkwy E  Cape Coral, FL 33909 </t>
  </si>
  <si>
    <t xml:space="preserve">1251 NE 40th Ter </t>
  </si>
  <si>
    <t>Cypress Trail Rv Resort As Desc In Inst# 2013000212499 Lot 414</t>
  </si>
  <si>
    <t xml:space="preserve">1014 NE 43rd Ter  Cape Coral, FL 33909 </t>
  </si>
  <si>
    <t>Welwyn Muse</t>
  </si>
  <si>
    <t>83616-3963</t>
  </si>
  <si>
    <t>Cobb</t>
  </si>
  <si>
    <t xml:space="preserve">1010 NE 44th Ln  Cape Coral, FL 33909 </t>
  </si>
  <si>
    <t>Buckingham Park Ne Sec Blk 30 Pb 9 Pg 59 Lot 5</t>
  </si>
  <si>
    <t>Old Saybrook</t>
  </si>
  <si>
    <t xml:space="preserve">PO Box 5006  Bell Buckle, TN 37020-5006 </t>
  </si>
  <si>
    <t>Millpage</t>
  </si>
  <si>
    <t>Clanranald</t>
  </si>
  <si>
    <t xml:space="preserve">2101 NE 23rd Ave </t>
  </si>
  <si>
    <t>06-44-24-c3-02031.0260</t>
  </si>
  <si>
    <t xml:space="preserve">3920 NE 10th Pl  Cape Coral, FL 33909 </t>
  </si>
  <si>
    <t>32-43-24-c3-02223.0490</t>
  </si>
  <si>
    <t xml:space="preserve">10206 Yellowtop Trl  Fort Myers, FL 33905 </t>
  </si>
  <si>
    <t xml:space="preserve">2701 18th Ave E </t>
  </si>
  <si>
    <t>07676-3837</t>
  </si>
  <si>
    <t>Upper Arlington</t>
  </si>
  <si>
    <t>Cape Coral Unit 26 Blk.866 Pb 14 Pg 131 Lots 53 + 54</t>
  </si>
  <si>
    <t>25-43-23-c3-02352.0050</t>
  </si>
  <si>
    <t>Richardson</t>
  </si>
  <si>
    <t>Cape Coral Unit 4 Pt 2 Blk 141 Pb 12 Pg 15 Lots 32 + 33 + Or1934pg1908 + Port Between Lot + Canal As Desc In Or 965 Pg 495 Ex B</t>
  </si>
  <si>
    <t>Richard Underhill</t>
  </si>
  <si>
    <t xml:space="preserve">19203 SW 39th St </t>
  </si>
  <si>
    <t xml:space="preserve">10041 Willowood Dr  Fort Myers, FL 33905 </t>
  </si>
  <si>
    <t>03-44-26-06-00029.0010</t>
  </si>
  <si>
    <t>Dysken</t>
  </si>
  <si>
    <t xml:space="preserve">138 W Northfield Rd </t>
  </si>
  <si>
    <t xml:space="preserve">Po Box 287 </t>
  </si>
  <si>
    <t>Nivan</t>
  </si>
  <si>
    <t xml:space="preserve">302 Diplomat Pkwy E </t>
  </si>
  <si>
    <t xml:space="preserve">1729 NE 16th Pl  Cape Coral, FL 33909 </t>
  </si>
  <si>
    <t>Cypress Trail Rv Resort Phase 4-A As Desc In Inst# 20160000135610 Lot 353</t>
  </si>
  <si>
    <t>08-44-24-c3-01519.0180</t>
  </si>
  <si>
    <t>Mullet</t>
  </si>
  <si>
    <t xml:space="preserve">11 Spencer Rd </t>
  </si>
  <si>
    <t>33909-1410</t>
  </si>
  <si>
    <t>Mount Juliet</t>
  </si>
  <si>
    <t>47/2</t>
  </si>
  <si>
    <t xml:space="preserve">2726 NE 1st Pl </t>
  </si>
  <si>
    <t xml:space="preserve">1144 Sunview Dr </t>
  </si>
  <si>
    <t xml:space="preserve">25 SW 63rd Ct  Miami, FL 33144-3115 </t>
  </si>
  <si>
    <t>Carole</t>
  </si>
  <si>
    <t>28-43-23-c4-05133.0370</t>
  </si>
  <si>
    <t>Cape Coral Unit 84 Blk 5574 Pb 24 Pg 33 Lot 29</t>
  </si>
  <si>
    <t>Buckingham Pk Re Blk B U-5 Blk 26 Pb 27 Pg 193 Lot 8</t>
  </si>
  <si>
    <t xml:space="preserve">1437 NE 1st Ave  Cape Coral, FL 33909 </t>
  </si>
  <si>
    <t>33905-8710</t>
  </si>
  <si>
    <t>Jayne</t>
  </si>
  <si>
    <t>Cape Coral Unit 36 Blk 2526 Pb 16 Pg 114 Lots 48 Thru 50</t>
  </si>
  <si>
    <t>Cape Coral Unit 84 Blk 5561 Pb 24 Pg 37 Lots 15 + 16</t>
  </si>
  <si>
    <t>Cape Coral Unit 36 Pt 1 Blk 2495 Pb 23 Pg 91 Lots 15 + 16</t>
  </si>
  <si>
    <t xml:space="preserve">15 Blossom Row  Valley Stream, NY 11580-2509 </t>
  </si>
  <si>
    <t xml:space="preserve">1563 Madre Dr </t>
  </si>
  <si>
    <t>Evette</t>
  </si>
  <si>
    <t xml:space="preserve">6066 E Butterfield Ln </t>
  </si>
  <si>
    <t>136th</t>
  </si>
  <si>
    <t>B001</t>
  </si>
  <si>
    <t xml:space="preserve">1413 NE 5th Pl  Cape Coral, FL 33909 </t>
  </si>
  <si>
    <t>29-43-24-c4-02260.0050</t>
  </si>
  <si>
    <t>Rodrigues</t>
  </si>
  <si>
    <t xml:space="preserve">1818 SE 37th St  Cape Coral, FL 33904 </t>
  </si>
  <si>
    <t>Ruben Fernandez &amp; Margarita Diaz</t>
  </si>
  <si>
    <t>33905-2208</t>
  </si>
  <si>
    <t xml:space="preserve">530 Amaryllis Rd  Kirbyville, MO 65679-8234 </t>
  </si>
  <si>
    <t>Roger</t>
  </si>
  <si>
    <t>Cape Coral Unit 33 Blk 2192 Pb 16 Pg 49 Lots 64 + 65</t>
  </si>
  <si>
    <t>Maris</t>
  </si>
  <si>
    <t>Cape Coral Unit 88 Blk.5799 Pb 24 Pg 136 Lots 1 + 2</t>
  </si>
  <si>
    <t>Jere &amp; Elizabeth Donovan</t>
  </si>
  <si>
    <t>Luis &amp; Olga Jorgensen</t>
  </si>
  <si>
    <t>31-43-24-c4-02146.0010</t>
  </si>
  <si>
    <t>Ellen Adelsberg &amp; Sam Milstein</t>
  </si>
  <si>
    <t>33903-3320</t>
  </si>
  <si>
    <t>33909-5252</t>
  </si>
  <si>
    <t>94568-8802</t>
  </si>
  <si>
    <t xml:space="preserve">3413 NE 8th Pl  Cape Coral, FL 33909 </t>
  </si>
  <si>
    <t>29-43-24-c4-02286.0170</t>
  </si>
  <si>
    <t>Indian Hollow</t>
  </si>
  <si>
    <t xml:space="preserve">5720 Harborage Dr </t>
  </si>
  <si>
    <t>77450-3032</t>
  </si>
  <si>
    <t>07-46-25-02-0000a.0320</t>
  </si>
  <si>
    <t xml:space="preserve">4002 Country Club Blvd </t>
  </si>
  <si>
    <t xml:space="preserve">5123 Cypress Trail Resort Cir </t>
  </si>
  <si>
    <t xml:space="preserve">3710 NE 16th Ave </t>
  </si>
  <si>
    <t xml:space="preserve">1915 NE 27th Ter </t>
  </si>
  <si>
    <t>01-45-23-c2-00463.0010</t>
  </si>
  <si>
    <t xml:space="preserve">1630 Durden Pkwy  Cape Coral, FL 33909 </t>
  </si>
  <si>
    <t>For Phoebe J Gamponia Tr</t>
  </si>
  <si>
    <t>Harter Betty L Tr</t>
  </si>
  <si>
    <t xml:space="preserve">611 Highvilla Rd  Essex, MD 21221-3204 </t>
  </si>
  <si>
    <t>Cape Coral Unit 33 Blk 2287 Pb 16 Pg 58 Lots 35 + 36</t>
  </si>
  <si>
    <t>48430-9653</t>
  </si>
  <si>
    <t>31-43-24-c1-02149.0140</t>
  </si>
  <si>
    <t>33904-8763</t>
  </si>
  <si>
    <t xml:space="preserve">1802 NE 22nd Ave </t>
  </si>
  <si>
    <t>Jin Chen &amp; Yong Wang</t>
  </si>
  <si>
    <t xml:space="preserve">12121 Palm Dr </t>
  </si>
  <si>
    <t xml:space="preserve">1789 Atlantic Ave </t>
  </si>
  <si>
    <t>Cypress Woods Rv Resort Un 3 Desc In Pb 72 Pgs 92-95 Blk C Lot 122</t>
  </si>
  <si>
    <t xml:space="preserve">4142 NE 20th Ct  Cape Coral, FL 33909 </t>
  </si>
  <si>
    <t>For Emily Winters Lipps Trust</t>
  </si>
  <si>
    <t>Wayne &amp; Wayne Bartlett</t>
  </si>
  <si>
    <t>Charles &amp; Yiqing Petri</t>
  </si>
  <si>
    <t xml:space="preserve">806 Nuna Ave #3, Fort Myers, FL 33905 </t>
  </si>
  <si>
    <t>Roger Castilla Living Trust</t>
  </si>
  <si>
    <t>Cape Coral Unit 85 Blk 5635 Pb 24 Pg 50 Lots 41 + 42</t>
  </si>
  <si>
    <t>J9J 2G4</t>
  </si>
  <si>
    <t xml:space="preserve">201 Maltby Rd W </t>
  </si>
  <si>
    <t>Beachdale</t>
  </si>
  <si>
    <t>33909-8906</t>
  </si>
  <si>
    <t>20-43-24-c2-05662.0340</t>
  </si>
  <si>
    <t>C077</t>
  </si>
  <si>
    <t>34434-4960</t>
  </si>
  <si>
    <t xml:space="preserve">5425 Park Central Ct </t>
  </si>
  <si>
    <t>Acker</t>
  </si>
  <si>
    <t>Polakovics</t>
  </si>
  <si>
    <t>Przybilski</t>
  </si>
  <si>
    <t>18-43-24-c1-05687.0230</t>
  </si>
  <si>
    <t xml:space="preserve">34642 Yarrow Ct  Winchester, CA 92596-8793 </t>
  </si>
  <si>
    <t>36-43-23-c1-02528.0460</t>
  </si>
  <si>
    <t xml:space="preserve">3307 NE 20th Ave </t>
  </si>
  <si>
    <t>Cape Coral Unit 85 Blk 5668 Pb 24 Pg 53 Lots 36 + 37</t>
  </si>
  <si>
    <t>18-43-24-c3-05713.0150</t>
  </si>
  <si>
    <t>Cape Coral Unit 87 Blk 5739 Pb 24 Pg 77 Lots 29 + 30</t>
  </si>
  <si>
    <t>Larsen</t>
  </si>
  <si>
    <t>08853-3612</t>
  </si>
  <si>
    <t xml:space="preserve">4241 NE 11th Ave  Cape Coral, FL 33909 </t>
  </si>
  <si>
    <t>03-44-26-13-00074.0050</t>
  </si>
  <si>
    <t>Carl &amp; Joan Slomczenski</t>
  </si>
  <si>
    <t xml:space="preserve">4101 NE 10th Pl  Cape Coral, FL 33909 </t>
  </si>
  <si>
    <t xml:space="preserve">245 Alcovy St </t>
  </si>
  <si>
    <t>Campo</t>
  </si>
  <si>
    <t>20-43-24-c3-05637.0150</t>
  </si>
  <si>
    <t>38402-1036</t>
  </si>
  <si>
    <t>Cape Coral Unit 34 Blk 2437 Pb 16 Pg 81 Lots 7 + 8</t>
  </si>
  <si>
    <t>Ft Myers Beach Kampground S/D Unit 1 Pb 35 Pg 47 Blk X Lot 20</t>
  </si>
  <si>
    <t xml:space="preserve">2112 NE 2nd Ave  Miami, FL 33137-4804 </t>
  </si>
  <si>
    <t>Green Cove Springs</t>
  </si>
  <si>
    <t>11-44-25-06-0000d.1360</t>
  </si>
  <si>
    <t>K0H 2N0</t>
  </si>
  <si>
    <t xml:space="preserve">824 NE 16th Ter  Cape Coral, FL 33909 </t>
  </si>
  <si>
    <t>Arthur Landers</t>
  </si>
  <si>
    <t>11-44-25-11-00000.2310</t>
  </si>
  <si>
    <t xml:space="preserve">617 W Archer Pkwy  Cape Coral, FL 33904 </t>
  </si>
  <si>
    <t xml:space="preserve">5208 White Sky Cir </t>
  </si>
  <si>
    <t>02909-3308</t>
  </si>
  <si>
    <t xml:space="preserve">11 Cedar Rd </t>
  </si>
  <si>
    <t>12-44-23-c2-02396.0160</t>
  </si>
  <si>
    <t xml:space="preserve">3852 Hoffman St </t>
  </si>
  <si>
    <t>Danthi</t>
  </si>
  <si>
    <t xml:space="preserve">317 NE 13th Ter </t>
  </si>
  <si>
    <t>For Briggs Family Trust</t>
  </si>
  <si>
    <t xml:space="preserve">534 Clark St  North Fort Myers, FL 33903 </t>
  </si>
  <si>
    <t xml:space="preserve">1824 NE 19th Pl </t>
  </si>
  <si>
    <t>Stonehedge</t>
  </si>
  <si>
    <t>36-45-23-24-00000.0180</t>
  </si>
  <si>
    <t>Cape Coral Unit 31 Blk 2077 Pb 14 Pg 164 Lots 32 + 33</t>
  </si>
  <si>
    <t>Cypress Woods Rv Resort Ut 1 Pb 65 Pg 85 + 86 Blk B Lot 66</t>
  </si>
  <si>
    <t xml:space="preserve">312 Mccleary Rd </t>
  </si>
  <si>
    <t xml:space="preserve">1087 Lewis River Rd </t>
  </si>
  <si>
    <t>16-43-24-01-00000.0870</t>
  </si>
  <si>
    <t xml:space="preserve">2006 NE 17th Ave </t>
  </si>
  <si>
    <t xml:space="preserve">15 Rue Georges Damboise  Inwood, IA 51240 </t>
  </si>
  <si>
    <t>Cape Coral Unit 36 Blk 2532 Pb 16 Pg 117 Lots 16 + 17</t>
  </si>
  <si>
    <t>19-43-24-c3-05610.0290</t>
  </si>
  <si>
    <t>Chiu</t>
  </si>
  <si>
    <t xml:space="preserve">20900 NE 30th Ave #809, Miami, FL 33180-2165 </t>
  </si>
  <si>
    <t>01-44-23-c4-02466.0510</t>
  </si>
  <si>
    <t>70380-3722</t>
  </si>
  <si>
    <t>Quinn Phan</t>
  </si>
  <si>
    <t>Gosselin</t>
  </si>
  <si>
    <t>Bacaltos</t>
  </si>
  <si>
    <t xml:space="preserve">5119 Cypress Trail Resort Cir </t>
  </si>
  <si>
    <t>189th</t>
  </si>
  <si>
    <t xml:space="preserve">2319 NE 7th Pl  Cape Coral, FL 33909 </t>
  </si>
  <si>
    <t>Holman Heights</t>
  </si>
  <si>
    <t>45459-5406</t>
  </si>
  <si>
    <t>Mansur</t>
  </si>
  <si>
    <t>Emnilda</t>
  </si>
  <si>
    <t>34715-9263</t>
  </si>
  <si>
    <t>Ikiaweg</t>
  </si>
  <si>
    <t xml:space="preserve">2305 NE 8th Pl </t>
  </si>
  <si>
    <t xml:space="preserve">11105 Evening Creek Dr E </t>
  </si>
  <si>
    <t xml:space="preserve">39 Shaul-Hameleach </t>
  </si>
  <si>
    <t xml:space="preserve">6144 Hepner Ave  Fort Myers, FL 33905 </t>
  </si>
  <si>
    <t>Cement City</t>
  </si>
  <si>
    <t xml:space="preserve">2622 NE 1st Ave  Cape Coral, FL 33909 </t>
  </si>
  <si>
    <t>Ahlgren</t>
  </si>
  <si>
    <t xml:space="preserve">1409 Andalusia Blvd </t>
  </si>
  <si>
    <t>01-44-23-c4-02468.0360</t>
  </si>
  <si>
    <t>Cape Coral Unit 85 Blk 5665 Pb 24 Pg 53 Lots 24 + 25</t>
  </si>
  <si>
    <t>Haroun</t>
  </si>
  <si>
    <t xml:space="preserve">1409 NE 23rd Ter  Cape Coral, FL 33909 </t>
  </si>
  <si>
    <t>Kief</t>
  </si>
  <si>
    <t>Dodd</t>
  </si>
  <si>
    <t>Reinheim</t>
  </si>
  <si>
    <t xml:space="preserve">1209 NE 15th Ter  Cape Coral, FL 33909 </t>
  </si>
  <si>
    <t>Cape Coral Unit 33 Blk.2244 Pb 16 Pg 54 Lots 58 + 59</t>
  </si>
  <si>
    <t>Veronica Cartier</t>
  </si>
  <si>
    <t>Cape Coral Unit 84 Blk 5606 Pb 24 Pg 35 Lots 26 + 27</t>
  </si>
  <si>
    <t>Khemraj &amp; Gurmattie Narain</t>
  </si>
  <si>
    <t xml:space="preserve"># 84  Falls Church, VA 22043 </t>
  </si>
  <si>
    <t xml:space="preserve">2804 NE 4th Pl  Cape Coral, FL 33909 </t>
  </si>
  <si>
    <t>Cape Coral Unit 36 Blk 2518 Pb 16 Pg 116 Lots 26 + 27</t>
  </si>
  <si>
    <t xml:space="preserve">8216 W Maple Ave  Norridge, IL 60706-4312 </t>
  </si>
  <si>
    <t>17-43-24-c2-05780.0250</t>
  </si>
  <si>
    <t>Lehigh Acres Unit 7 Blk 32 Pb 26 Pg 9 Lot 4</t>
  </si>
  <si>
    <t xml:space="preserve">PO Box 98  New City, NY 10956 </t>
  </si>
  <si>
    <t>Cypress Woods Rv Resort Desc In Inst#2006-358211 Lot 170</t>
  </si>
  <si>
    <t>Cape Coral Unit 84 Blk 5610 Pb 24 Pg 36 Lots 3 + 4</t>
  </si>
  <si>
    <t>Georg-Buchner-Str</t>
  </si>
  <si>
    <t xml:space="preserve">2105 NE 6th Pl  Cape Coral, FL 33909 </t>
  </si>
  <si>
    <t xml:space="preserve">1316 NE 14th Ave </t>
  </si>
  <si>
    <t>Opa-Locka</t>
  </si>
  <si>
    <t xml:space="preserve">10352 Prairie Iris Dr  Fort Myers, FL 33905 </t>
  </si>
  <si>
    <t>11201-5721</t>
  </si>
  <si>
    <t>Devri</t>
  </si>
  <si>
    <t xml:space="preserve">265 Carteret St  Staten Island, NY 10307-1630 </t>
  </si>
  <si>
    <t>Cape Coral Unit 35 Blk 2414 Pb 16 Pg 104 Lots 15 + 16</t>
  </si>
  <si>
    <t>15-44-25-00-00023.0200</t>
  </si>
  <si>
    <t xml:space="preserve">1940 Scenic Lakes Dr </t>
  </si>
  <si>
    <t>C Arthur &amp; Jeanette Bedser</t>
  </si>
  <si>
    <t>Dominique</t>
  </si>
  <si>
    <t xml:space="preserve">Po Box 580215 </t>
  </si>
  <si>
    <t>Barz</t>
  </si>
  <si>
    <t>Lemon Tree</t>
  </si>
  <si>
    <t>Terry Esrael &amp; Sandra Robinson</t>
  </si>
  <si>
    <t xml:space="preserve">313 NE 13th Ter  Cape Coral, FL 33909 </t>
  </si>
  <si>
    <t>Cape Coral Unit 36 Part 1 Blk 2488 Pb 23 Pg 88 Lots 9 + 10</t>
  </si>
  <si>
    <t>10465-1819</t>
  </si>
  <si>
    <t xml:space="preserve">1382 Shakespeare Ave 8f, Bronx, NY 10452-1880 </t>
  </si>
  <si>
    <t xml:space="preserve">58 Hashomron St  Harrisburg, PA 17110 </t>
  </si>
  <si>
    <t>11218-4462</t>
  </si>
  <si>
    <t xml:space="preserve">88 King St #619 </t>
  </si>
  <si>
    <t>06810-5227</t>
  </si>
  <si>
    <t>03-44-26-14-00082.0160</t>
  </si>
  <si>
    <t xml:space="preserve">16233 Durham Ave  Fort Myers, FL 33908 </t>
  </si>
  <si>
    <t>Arminda &amp; Ilidio Pereira</t>
  </si>
  <si>
    <t>Lourenco</t>
  </si>
  <si>
    <t xml:space="preserve">4105 NE 9th Pl  Cape Coral, FL 33909 </t>
  </si>
  <si>
    <t xml:space="preserve">Villa Carolina </t>
  </si>
  <si>
    <t>Romano Marchetti</t>
  </si>
  <si>
    <t xml:space="preserve">Po Box 160941 </t>
  </si>
  <si>
    <t xml:space="preserve">7965 SW 165th St  Palmetto Bay, FL 33157-3744 </t>
  </si>
  <si>
    <t>29-43-24-c4-02284.0080</t>
  </si>
  <si>
    <t xml:space="preserve">26 Rue Des Vignes  Hagenthal Le Haut, FR </t>
  </si>
  <si>
    <t>17-43-24-c4-05760.0520</t>
  </si>
  <si>
    <t>Larochelle</t>
  </si>
  <si>
    <t>Cape Coral Unit 84 Blk 5549 Pb 24 Pg 46 Lots 3 + 4</t>
  </si>
  <si>
    <t>18-43-24-c1-05724.0390</t>
  </si>
  <si>
    <t xml:space="preserve">616 Stangle Rd </t>
  </si>
  <si>
    <t xml:space="preserve">1416 Durden Pkwy  Cape Coral, FL 33909 </t>
  </si>
  <si>
    <t>Remy &amp; Yvette Pepin</t>
  </si>
  <si>
    <t>49464-6823</t>
  </si>
  <si>
    <t xml:space="preserve">6701 Sunset Dr #104 </t>
  </si>
  <si>
    <t xml:space="preserve">6051 Joplin Ave </t>
  </si>
  <si>
    <t>Konken</t>
  </si>
  <si>
    <t>Jon Stratton</t>
  </si>
  <si>
    <t>Maria Colon</t>
  </si>
  <si>
    <t>Richard &amp; Joann Sadowski</t>
  </si>
  <si>
    <t>Laporte</t>
  </si>
  <si>
    <t>Niemisto</t>
  </si>
  <si>
    <t>Slidell</t>
  </si>
  <si>
    <t>Trowbridge</t>
  </si>
  <si>
    <t xml:space="preserve">5095 Jennifer Dr  Syracuse, NY 13212-1008 </t>
  </si>
  <si>
    <t>Xiu Huang &amp; Zhong Chen</t>
  </si>
  <si>
    <t>C023</t>
  </si>
  <si>
    <t>Cape Coral Unit 84 Blk 5551 Pb 24 Pg 38 Lots 17 + 18</t>
  </si>
  <si>
    <t>Demarini</t>
  </si>
  <si>
    <t>25-43-23-c1-02321.0310</t>
  </si>
  <si>
    <t xml:space="preserve">2526 Barcelona Ave </t>
  </si>
  <si>
    <t>Saint Cloud</t>
  </si>
  <si>
    <t>17-43-24-c4-05762.0370</t>
  </si>
  <si>
    <t xml:space="preserve">312 NE 7th St  Cape Coral, FL 33909 </t>
  </si>
  <si>
    <t xml:space="preserve">3201 SE 19th Pl </t>
  </si>
  <si>
    <t xml:space="preserve">34 Coteville Rd  Londonderry, NH 03053-2270 </t>
  </si>
  <si>
    <t>Pedro Rivera &amp; Viera Tirado</t>
  </si>
  <si>
    <t>08857-3062</t>
  </si>
  <si>
    <t>20-43-24-c3-05671.0250</t>
  </si>
  <si>
    <t>Lodrigue</t>
  </si>
  <si>
    <t>Julian Suarez &amp; Ulises Puentes</t>
  </si>
  <si>
    <t>PO Box 667</t>
  </si>
  <si>
    <t>Ertl</t>
  </si>
  <si>
    <t xml:space="preserve">5261 Cypress Trail Resort Cir </t>
  </si>
  <si>
    <t>Cape Coral Unit 32 Blk.2134 Pb 16 Pg 13 Lots 26 + 27</t>
  </si>
  <si>
    <t xml:space="preserve">1006 NE 33rd Ln </t>
  </si>
  <si>
    <t xml:space="preserve">7850 W 155th Ter  Overland Park, KS 66223-3082 </t>
  </si>
  <si>
    <t>Linn Ridge</t>
  </si>
  <si>
    <t>Cape Coral Unit 32 Blk 2111 Pb 16 Pg 3 Lots 65 + 66 + Vac Row 2010000120569</t>
  </si>
  <si>
    <t>33909-6274</t>
  </si>
  <si>
    <t>Lake Placid</t>
  </si>
  <si>
    <t xml:space="preserve">84 Laurel Hill Rd </t>
  </si>
  <si>
    <t>Hasida</t>
  </si>
  <si>
    <t>For Richard A Bergeron Trust</t>
  </si>
  <si>
    <t>Exmoor</t>
  </si>
  <si>
    <t>Terre Du Lac</t>
  </si>
  <si>
    <t>12589-2628</t>
  </si>
  <si>
    <t xml:space="preserve">519 SE 36th St  Cape Coral, FL 33904 </t>
  </si>
  <si>
    <t>Arahi</t>
  </si>
  <si>
    <t>33955-4642</t>
  </si>
  <si>
    <t xml:space="preserve">327 Racey Trai </t>
  </si>
  <si>
    <t>33909-8955</t>
  </si>
  <si>
    <t xml:space="preserve">229 SE 28th Ter </t>
  </si>
  <si>
    <t>11950-3340</t>
  </si>
  <si>
    <t xml:space="preserve">2306 NE 20th Ave </t>
  </si>
  <si>
    <t xml:space="preserve">3424 Loretta Ave  Jackson, MI 49201-8617 </t>
  </si>
  <si>
    <t>Joseph &amp; Mariko Niesi</t>
  </si>
  <si>
    <t>05-43-24-01-00001.0000</t>
  </si>
  <si>
    <t xml:space="preserve">14443 Niagra Pkwy </t>
  </si>
  <si>
    <t>07885-2038</t>
  </si>
  <si>
    <t>Samira</t>
  </si>
  <si>
    <t xml:space="preserve">1706 NE 10th Ter </t>
  </si>
  <si>
    <t xml:space="preserve">7 Bueno Ct SW </t>
  </si>
  <si>
    <t xml:space="preserve">555 Saint Mary Ave #1024 </t>
  </si>
  <si>
    <t>Stonehouse</t>
  </si>
  <si>
    <t>Hardin</t>
  </si>
  <si>
    <t>Thomas King &amp; Beverly Thomas</t>
  </si>
  <si>
    <t xml:space="preserve">2008 NE 6th Ave  Cape Coral, FL 33909 </t>
  </si>
  <si>
    <t xml:space="preserve">2014 NE 9th Ave  Cape Coral, FL 33909 </t>
  </si>
  <si>
    <t xml:space="preserve">121 Tara Lakes Dr W </t>
  </si>
  <si>
    <t>Poznanski</t>
  </si>
  <si>
    <t xml:space="preserve">15681 Cemetery Rd  Fort Myers, FL 33905 </t>
  </si>
  <si>
    <t>C C &amp; Shirley Shaddock</t>
  </si>
  <si>
    <t xml:space="preserve">11091 E Breathless Dr </t>
  </si>
  <si>
    <t>33904-9496</t>
  </si>
  <si>
    <t xml:space="preserve">6033 Jonathan Ave  Fort Myers, FL 33905 </t>
  </si>
  <si>
    <t>Granada</t>
  </si>
  <si>
    <t>25-43-23-c3-02341.0470</t>
  </si>
  <si>
    <t>Ohman</t>
  </si>
  <si>
    <t xml:space="preserve">201 Kingbird Dr </t>
  </si>
  <si>
    <t xml:space="preserve">15512 Aldama Cir  Port Charlotte, FL 33981-4614 </t>
  </si>
  <si>
    <t>Pilot Knob</t>
  </si>
  <si>
    <t>02-44-24-32-00000.0250</t>
  </si>
  <si>
    <t xml:space="preserve">19681 Summerlin Rd #114 </t>
  </si>
  <si>
    <t>Bruce Wayne Burke and Susan A Burke Declaration Of Trust</t>
  </si>
  <si>
    <t xml:space="preserve">3736 Tareco St  Fort Myers, FL 33905 </t>
  </si>
  <si>
    <t>Marchus</t>
  </si>
  <si>
    <t>Nigro</t>
  </si>
  <si>
    <t xml:space="preserve">1705 NE 26th Ter  Cape Coral, FL 33909 </t>
  </si>
  <si>
    <t>33904-4142</t>
  </si>
  <si>
    <t>Cape Coral Unit 34 Blk 2463 Pb 16 Pg 84 Lots 32 + 33</t>
  </si>
  <si>
    <t xml:space="preserve">5951 Brightwood Dr </t>
  </si>
  <si>
    <t xml:space="preserve">4141 NE 14th Pl  Cape Coral, FL 33909 </t>
  </si>
  <si>
    <t xml:space="preserve">257 Woodhill Ln  North Salt Lake, UT 84054-3188 </t>
  </si>
  <si>
    <t xml:space="preserve">2200 NE 44th St  Cape Coral, FL 33909 </t>
  </si>
  <si>
    <t xml:space="preserve">1 Voyages Ct  Holtsville, NY 11742-2126 </t>
  </si>
  <si>
    <t>29418-8427</t>
  </si>
  <si>
    <t xml:space="preserve">3636 Belair Ln </t>
  </si>
  <si>
    <t xml:space="preserve">108 S Francisca Ave C </t>
  </si>
  <si>
    <t xml:space="preserve">2208 SE 32nd St  Cape Coral, FL 33904 </t>
  </si>
  <si>
    <t>Buckingham Pk Re Blk B U-5 Blk 26 Pb 27 Pg 193 Lot 3</t>
  </si>
  <si>
    <t>25-43-23-c2-02318.0550</t>
  </si>
  <si>
    <t>Cape Coral Unit 34 Blk 2429 Pb 16 Pg 80 Lots 13 + 14</t>
  </si>
  <si>
    <t xml:space="preserve">1814 NE 2nd Ter  Cape Coral, FL 33909 </t>
  </si>
  <si>
    <t>49301-8216</t>
  </si>
  <si>
    <t>Morrison</t>
  </si>
  <si>
    <t xml:space="preserve">1406 NE 1st Pl </t>
  </si>
  <si>
    <t xml:space="preserve">10063 Rambelwood Ct </t>
  </si>
  <si>
    <t xml:space="preserve">350 Ogden Ave  Jersey City, NJ 07307-1115 </t>
  </si>
  <si>
    <t>33157-8159</t>
  </si>
  <si>
    <t>22314-6827</t>
  </si>
  <si>
    <t xml:space="preserve">9909 Lismore Rd </t>
  </si>
  <si>
    <t xml:space="preserve">2144 NE 43rd Ln  Cape Coral, FL 33909 </t>
  </si>
  <si>
    <t>06-44-24-c1-02100.0070</t>
  </si>
  <si>
    <t xml:space="preserve">3448 NE 9th Pl </t>
  </si>
  <si>
    <t xml:space="preserve">16331 Neptune Ln </t>
  </si>
  <si>
    <t>Robert &amp; Ruby Miller</t>
  </si>
  <si>
    <t>01-46-23-00-00007.0400</t>
  </si>
  <si>
    <t>03-44-26-06-00031.0150</t>
  </si>
  <si>
    <t xml:space="preserve">4455 Tiffany Ave NE  Ada, MI 49301-8216 </t>
  </si>
  <si>
    <t xml:space="preserve">4548 Providence Rd </t>
  </si>
  <si>
    <t>36-43-23-c3-02479.0250</t>
  </si>
  <si>
    <t xml:space="preserve">Maple Ave </t>
  </si>
  <si>
    <t>17-43-24-c1-05825.0160</t>
  </si>
  <si>
    <t>16101-1605</t>
  </si>
  <si>
    <t>Kalyan</t>
  </si>
  <si>
    <t xml:space="preserve">5257 Cypress Trail Resort Cir </t>
  </si>
  <si>
    <t>Berryrun</t>
  </si>
  <si>
    <t>32963-2300</t>
  </si>
  <si>
    <t>Tuan Ngo &amp; Doan Tran</t>
  </si>
  <si>
    <t xml:space="preserve">392 Patton Ave </t>
  </si>
  <si>
    <t xml:space="preserve">1611 Stony Ln </t>
  </si>
  <si>
    <t xml:space="preserve">224 NE 26th St  Cape Coral, FL 33909 </t>
  </si>
  <si>
    <t>Hasiel</t>
  </si>
  <si>
    <t xml:space="preserve">5760 Brightwood Dr  Fort Myers, FL 33905 </t>
  </si>
  <si>
    <t xml:space="preserve">5134 Cypress Trail Resort Cir  Fort Myers, FL 33905 </t>
  </si>
  <si>
    <t>Calle 115</t>
  </si>
  <si>
    <t>Nicholas &amp; Carolyn Mangini</t>
  </si>
  <si>
    <t>Camacho Deespinosa &amp; Ulises Mena</t>
  </si>
  <si>
    <t>Lloyd Wickenheiser &amp; Donna Wickenhieser</t>
  </si>
  <si>
    <t>33909-2770</t>
  </si>
  <si>
    <t>Bernadette</t>
  </si>
  <si>
    <t>32-43-24-c3-02237.0010</t>
  </si>
  <si>
    <t>Mucha</t>
  </si>
  <si>
    <t xml:space="preserve">6050 Laurelwood Dr </t>
  </si>
  <si>
    <t>Cape Coral Unit 34 Blk 2467 Pb 16 Pg 75 Lots 27 + 28</t>
  </si>
  <si>
    <t>Morrisville</t>
  </si>
  <si>
    <t>16th</t>
  </si>
  <si>
    <t>48167-9047</t>
  </si>
  <si>
    <t xml:space="preserve">3722 NE 16th Ave  Cape Coral, FL 33909 </t>
  </si>
  <si>
    <t xml:space="preserve">10119 Ashburton Ln </t>
  </si>
  <si>
    <t>Axelrod</t>
  </si>
  <si>
    <t>01-44-23-c2-02453.0230</t>
  </si>
  <si>
    <t>18-43-24-c4-05679.0060</t>
  </si>
  <si>
    <t>75068-6012</t>
  </si>
  <si>
    <t xml:space="preserve">912 Navajo Ave  Absecon, NJ 08201-2306 </t>
  </si>
  <si>
    <t>33909-8416</t>
  </si>
  <si>
    <t>33063-7902</t>
  </si>
  <si>
    <t xml:space="preserve">4911 SW 154th Ave  Miami, FL 33185-4530 </t>
  </si>
  <si>
    <t>36-45-23-03-0000e.0010</t>
  </si>
  <si>
    <t>Niemes</t>
  </si>
  <si>
    <t>Arkansas</t>
  </si>
  <si>
    <t>7th</t>
  </si>
  <si>
    <t>Rainbow</t>
  </si>
  <si>
    <t>11795-5037</t>
  </si>
  <si>
    <t>Cape Coral Unit 84 Blk 5554 Pb 24 Pg 31 Lots 4 Thru 6</t>
  </si>
  <si>
    <t>Minh Pham &amp; Vy Ho</t>
  </si>
  <si>
    <t xml:space="preserve">110 N Aberdeen Ave  Wayne, PA 19087-3511 </t>
  </si>
  <si>
    <t xml:space="preserve">18001 Greenwood Dr  Naples, FL 34114-8936 </t>
  </si>
  <si>
    <t>Joseph Davis</t>
  </si>
  <si>
    <t>Richard Mute</t>
  </si>
  <si>
    <t>Jurzysta</t>
  </si>
  <si>
    <t xml:space="preserve"># 1 </t>
  </si>
  <si>
    <t xml:space="preserve">2731 NE 6th Pl </t>
  </si>
  <si>
    <t xml:space="preserve">5928 Boy Scout Rd </t>
  </si>
  <si>
    <t xml:space="preserve">307 NE 7th St </t>
  </si>
  <si>
    <t>Cape Coral Unit 31 Blk 2087 Pb 14 Pg 165 Lots 21 + 22</t>
  </si>
  <si>
    <t xml:space="preserve">1316 NE 35th St </t>
  </si>
  <si>
    <t>Oak Park</t>
  </si>
  <si>
    <t xml:space="preserve">34 Coteville Rd </t>
  </si>
  <si>
    <t xml:space="preserve">465 NE Juanita Pl </t>
  </si>
  <si>
    <t>33909-6220</t>
  </si>
  <si>
    <t xml:space="preserve">1022 NE 5th Pl  Cape Coral, FL 33909 </t>
  </si>
  <si>
    <t xml:space="preserve">1554 Ellis Ave  Milpitas, CA 95035-4702 </t>
  </si>
  <si>
    <t xml:space="preserve">106 Paxford Ct  Morrisville, NC 27560-6738 </t>
  </si>
  <si>
    <t>Michelle Dobbins</t>
  </si>
  <si>
    <t xml:space="preserve">2825 NE 5th Ave </t>
  </si>
  <si>
    <t>Cypress Trail Rv Resort As Desc In Inst# 2013000212499 Lot 262</t>
  </si>
  <si>
    <t>Woodgate Estates Pb 55 Pgs 86 Thru 88 Lot 8</t>
  </si>
  <si>
    <t>Nokomis</t>
  </si>
  <si>
    <t xml:space="preserve">1907 NE 20th Ave  Cape Coral, FL 33909 </t>
  </si>
  <si>
    <t xml:space="preserve">17336 Mint Leaf Ln </t>
  </si>
  <si>
    <t>Cape Coral Unit 88 Blk 5785 Pb 24 Pg 131 Lots 11 Thru 13</t>
  </si>
  <si>
    <t>Modesta Delvalle</t>
  </si>
  <si>
    <t xml:space="preserve">3127 N 14th Ave #244 </t>
  </si>
  <si>
    <t xml:space="preserve">13462 Caribbean Blvd  Fort Myers, FL 33905 </t>
  </si>
  <si>
    <t>25-43-23-c3-02343.0070</t>
  </si>
  <si>
    <t>32-43-24-c1-02233.0190</t>
  </si>
  <si>
    <t xml:space="preserve">3801 Mountain Way Cv </t>
  </si>
  <si>
    <t>Norman Glover</t>
  </si>
  <si>
    <t>36-43-23-c2-02535.0280</t>
  </si>
  <si>
    <t>Cape Coral Unit 32 Blk 2130 Pb 16 Pg 10 Lots 9 + 10</t>
  </si>
  <si>
    <t>Gomez</t>
  </si>
  <si>
    <t>Cape Coral Unit 20 Part 1 Blk 1161 Pb 17 Pg 103 Lots 8 + 9</t>
  </si>
  <si>
    <t xml:space="preserve">2207 NE 21st Pl </t>
  </si>
  <si>
    <t>Lapwing</t>
  </si>
  <si>
    <t>Terry Larson &amp; Robert Williams</t>
  </si>
  <si>
    <t>47454-9416</t>
  </si>
  <si>
    <t>Buckingham Pk Re Blk B U-1 Blk 4 Pb 27 Pg 188 Lot 7</t>
  </si>
  <si>
    <t>20-43-24-c1-05645.0250</t>
  </si>
  <si>
    <t>San Leandro</t>
  </si>
  <si>
    <t>Mcmanus</t>
  </si>
  <si>
    <t xml:space="preserve">2441 NW 93rd Ln </t>
  </si>
  <si>
    <t>Wall</t>
  </si>
  <si>
    <t>Brecksville</t>
  </si>
  <si>
    <t xml:space="preserve">12 Heald Bailey Dr  Atkinson, NH 03811-5113 </t>
  </si>
  <si>
    <t>Landivisiau</t>
  </si>
  <si>
    <t>Lamb</t>
  </si>
  <si>
    <t>33905-7699</t>
  </si>
  <si>
    <t>Cape Coral Unit 36 Blk 2318 Pb 16 Pg 127 Lots 1 + 2</t>
  </si>
  <si>
    <t>01-44-23-c1-02438.0480</t>
  </si>
  <si>
    <t>Parliament</t>
  </si>
  <si>
    <t xml:space="preserve">4214 La Costa Cv </t>
  </si>
  <si>
    <t>Brimble</t>
  </si>
  <si>
    <t xml:space="preserve">105 SE 47th St </t>
  </si>
  <si>
    <t xml:space="preserve">7712 Alyssum Dr </t>
  </si>
  <si>
    <t>34119-8670</t>
  </si>
  <si>
    <t>Highway 87</t>
  </si>
  <si>
    <t>Larry Mayfield</t>
  </si>
  <si>
    <t xml:space="preserve">1 Nile St </t>
  </si>
  <si>
    <t>33909-6819</t>
  </si>
  <si>
    <t>Lochinvar</t>
  </si>
  <si>
    <t xml:space="preserve">1064 San Juan  Lima, PE </t>
  </si>
  <si>
    <t>33161-4547</t>
  </si>
  <si>
    <t xml:space="preserve">907 Red Oak Creek Dr </t>
  </si>
  <si>
    <t>Hermosa Beach</t>
  </si>
  <si>
    <t xml:space="preserve">801 SE 32nd Ter  Cape Coral, FL 33904 </t>
  </si>
  <si>
    <t>Taylor Ridge</t>
  </si>
  <si>
    <t>29715-6555</t>
  </si>
  <si>
    <t xml:space="preserve">1226 NE 40th St </t>
  </si>
  <si>
    <t>Southbury</t>
  </si>
  <si>
    <t>05-44-24-c1-03534.0440</t>
  </si>
  <si>
    <t xml:space="preserve">10 Collyer Pl  White Plains, NY 10605-5311 </t>
  </si>
  <si>
    <t>Arnholt</t>
  </si>
  <si>
    <t xml:space="preserve">75 Thayer St 1h </t>
  </si>
  <si>
    <t>Palmona Park Unit 1 Blk 19 Pb 7 Pg 54 Lots 13 Thru 16 Incl</t>
  </si>
  <si>
    <t>32-43-24-c3-02229.0570</t>
  </si>
  <si>
    <t xml:space="preserve">1534 NE 8th Pl </t>
  </si>
  <si>
    <t>Evanswood</t>
  </si>
  <si>
    <t>Newbury Park</t>
  </si>
  <si>
    <t xml:space="preserve">7055 Triple Lakes Rd  Millstadt, IL 62260-3523 </t>
  </si>
  <si>
    <t>Cape Coral Unit 33 Blk 2287 Pb 16 Pg 58 Lots 33 + 34</t>
  </si>
  <si>
    <t xml:space="preserve">1118 NE Juanita Pl </t>
  </si>
  <si>
    <t>Cape Coral Unit 26 Blk 417 Pb 14 Pg 126 Lots 36 + 37</t>
  </si>
  <si>
    <t xml:space="preserve">3206 Wisconsin Ave  Berwyn, IL 60402-2935 </t>
  </si>
  <si>
    <t>Kozlowski</t>
  </si>
  <si>
    <t xml:space="preserve">308 NE 24th Ter  Cape Coral, FL 33909 </t>
  </si>
  <si>
    <t>18-43-24-c3-05748.0300</t>
  </si>
  <si>
    <t>33909-4623</t>
  </si>
  <si>
    <t>James &amp; Aleyamma Kannankara</t>
  </si>
  <si>
    <t>C111</t>
  </si>
  <si>
    <t xml:space="preserve">4125 NE 21st Pl  Cape Coral, FL 33909 </t>
  </si>
  <si>
    <t xml:space="preserve">522 NE 15th Ter  Cape Coral, FL 33909 </t>
  </si>
  <si>
    <t xml:space="preserve">612 45th Ave </t>
  </si>
  <si>
    <t>Route 20</t>
  </si>
  <si>
    <t xml:space="preserve">3228 Jacaranda Pkwy E </t>
  </si>
  <si>
    <t>Derosa</t>
  </si>
  <si>
    <t xml:space="preserve">10369 Nightwood Dr </t>
  </si>
  <si>
    <t xml:space="preserve">5511 Cypress Woods Resort Dr </t>
  </si>
  <si>
    <t xml:space="preserve">19835 Canterbury St </t>
  </si>
  <si>
    <t>Cape Coral Unit 47 Pt 2 Blk 3527 Pb 23 Pg 116 Lots 13 + 14</t>
  </si>
  <si>
    <t>Caledonia</t>
  </si>
  <si>
    <t xml:space="preserve">58 Cabana Ave  North Fort Myers, FL 33903 </t>
  </si>
  <si>
    <t xml:space="preserve">2155 NE 20th Ln  Cape Coral, FL 33909 </t>
  </si>
  <si>
    <t xml:space="preserve">1913 NE 44th Ter  Cape Coral, FL 33909 </t>
  </si>
  <si>
    <t xml:space="preserve">5294 Cypress Trail Resort Cir  Fort Myers, FL 33905 </t>
  </si>
  <si>
    <t xml:space="preserve">10013 NE Hazel Dell Ave #408, Vancouver, WA 98685-5203 </t>
  </si>
  <si>
    <t>Monroe Valley</t>
  </si>
  <si>
    <t>Reading</t>
  </si>
  <si>
    <t xml:space="preserve">3519 Red Mountain Dr  Fort Collins, CO 80525-6134 </t>
  </si>
  <si>
    <t>33909-1568</t>
  </si>
  <si>
    <t xml:space="preserve">2655 Montego Dr  Fort Myers, FL 33905 </t>
  </si>
  <si>
    <t>19-43-24-c4-05559.0540</t>
  </si>
  <si>
    <t xml:space="preserve">231 NE 9th Pl  Cape Coral, FL 33909 </t>
  </si>
  <si>
    <t>83646-6507</t>
  </si>
  <si>
    <t xml:space="preserve">2602 SE 12th Pl  Cape Coral, FL 33904 </t>
  </si>
  <si>
    <t xml:space="preserve">1928 Beach Pkwy </t>
  </si>
  <si>
    <t>Cape Coral Unit 85 Blk 5668 Pb 24 Pg 53 Lots 34 + 35</t>
  </si>
  <si>
    <t>Cypress Trail Rv Resort Ph 3 As Desc In Inst# 2015000085552 Lot 226</t>
  </si>
  <si>
    <t xml:space="preserve">901 NE Juanita Pl  Cape Coral, FL 33909 </t>
  </si>
  <si>
    <t xml:space="preserve">2212 NE 9th Pl </t>
  </si>
  <si>
    <t xml:space="preserve">107 State St  Elkton, MD 21921-6118 </t>
  </si>
  <si>
    <t>Amurrio</t>
  </si>
  <si>
    <t>32-44-24-c2-01222.0190</t>
  </si>
  <si>
    <t xml:space="preserve">3831 Hillandale St </t>
  </si>
  <si>
    <t xml:space="preserve">3022 NE 20th Ct  Fort Lauderdale, FL 33305-1808 </t>
  </si>
  <si>
    <t>Osly</t>
  </si>
  <si>
    <t>Murfreesboro</t>
  </si>
  <si>
    <t>Wilson Celis</t>
  </si>
  <si>
    <t>Cypress Woods Rv Resort Unit 4 Pb 79 Pgs 68-71 Blk D Lot 129</t>
  </si>
  <si>
    <t>Filipe</t>
  </si>
  <si>
    <t>46037-8006</t>
  </si>
  <si>
    <t xml:space="preserve">1104 NE 33rd St  Cape Coral, FL 33909 </t>
  </si>
  <si>
    <t>Grand Junction</t>
  </si>
  <si>
    <t>Minerva Murphy</t>
  </si>
  <si>
    <t xml:space="preserve">1905 Cannon Ct </t>
  </si>
  <si>
    <t xml:space="preserve">5870 Pathwood Ct </t>
  </si>
  <si>
    <t>Cape Coral Unit 33 Blk.2196 Pb 16 Pg 47 Lots 28 + 29</t>
  </si>
  <si>
    <t xml:space="preserve">1716 SW 77th Ter </t>
  </si>
  <si>
    <t>Cypress Trail Rv Resort Phase 4-C Block A Lot 139 As Desc In Inst 2019000042424</t>
  </si>
  <si>
    <t xml:space="preserve">4327 NE 13th Pl </t>
  </si>
  <si>
    <t>Dana Knaus &amp; Renee Gsell</t>
  </si>
  <si>
    <t xml:space="preserve">3019 NE 5th Pl </t>
  </si>
  <si>
    <t>80015-6786</t>
  </si>
  <si>
    <t>22304-4028</t>
  </si>
  <si>
    <t xml:space="preserve">Po Box 486 </t>
  </si>
  <si>
    <t xml:space="preserve">16450 SW 55th Ter  Miami, FL 33185-5111 </t>
  </si>
  <si>
    <t>Southwest Ranches</t>
  </si>
  <si>
    <t xml:space="preserve">3299 Lost Pine Way  Portage, MI 49024-8410 </t>
  </si>
  <si>
    <t xml:space="preserve">412 Kismet Pkwy E </t>
  </si>
  <si>
    <t>Walter &amp; Marjorie Little</t>
  </si>
  <si>
    <t>Kidwai</t>
  </si>
  <si>
    <t xml:space="preserve">5317 Granada St </t>
  </si>
  <si>
    <t>20735-1812</t>
  </si>
  <si>
    <t>Anthonys Mill</t>
  </si>
  <si>
    <t>Pearland</t>
  </si>
  <si>
    <t xml:space="preserve">100 Shore Ct #106 </t>
  </si>
  <si>
    <t>Desertgold</t>
  </si>
  <si>
    <t>Cape Coral Unit 84 Blk 5611 Pb 24 Pg 36 Lot 73</t>
  </si>
  <si>
    <t>Cape Coral Unit 31 Blk.2068 Pb 14 Pg 164 Lots 21 + 22</t>
  </si>
  <si>
    <t>17j</t>
  </si>
  <si>
    <t>33908-4676</t>
  </si>
  <si>
    <t>Vasallo</t>
  </si>
  <si>
    <t xml:space="preserve">1411 NE 18th Ter  Cape Coral, FL 33909 </t>
  </si>
  <si>
    <t>Cape Coral Unit 36 Blk 2532 Pb 16 Pg 117 Lots 14 + 15</t>
  </si>
  <si>
    <t>Terry L Dolezal &amp; Blanca Dolezal</t>
  </si>
  <si>
    <t xml:space="preserve">PO Box 83  Winchester Center, CT 06094 </t>
  </si>
  <si>
    <t>James &amp; Ailsa Lacoste</t>
  </si>
  <si>
    <t xml:space="preserve">5215 Melissa Dr </t>
  </si>
  <si>
    <t xml:space="preserve">10550 W State Road 84 #230, Davie, FL 33324-4207 </t>
  </si>
  <si>
    <t>18-43-24-c4-05683.0290</t>
  </si>
  <si>
    <t>Aragua</t>
  </si>
  <si>
    <t>Terry &amp; Linda Reynard</t>
  </si>
  <si>
    <t xml:space="preserve">1120 NE 15th St </t>
  </si>
  <si>
    <t xml:space="preserve">Hci #3452 </t>
  </si>
  <si>
    <t>Gulf Ridge</t>
  </si>
  <si>
    <t>800th</t>
  </si>
  <si>
    <t xml:space="preserve">13 5th Ave </t>
  </si>
  <si>
    <t xml:space="preserve">2340 Carta Way #1053 </t>
  </si>
  <si>
    <t xml:space="preserve">3135 Sandhill Dr  Holiday, FL 34691-2534 </t>
  </si>
  <si>
    <t>20-43-24-c4-05640.0030</t>
  </si>
  <si>
    <t>33467-4012</t>
  </si>
  <si>
    <t xml:space="preserve">1923 SE 37th Ter </t>
  </si>
  <si>
    <t>Vioglio</t>
  </si>
  <si>
    <t xml:space="preserve">638 Geneva Ave  Claremont, CA 91711-5436 </t>
  </si>
  <si>
    <t xml:space="preserve">3753 Kelsey St </t>
  </si>
  <si>
    <t xml:space="preserve">923 Beechwood Ct </t>
  </si>
  <si>
    <t xml:space="preserve">4209 W Fig St #42, Tampa, FL 33609-2208 </t>
  </si>
  <si>
    <t>Cape Coral Unit 14 Blk 536 Pb 13 Pg 64 Lots 31 + 32 + S 1/2 Lot 33</t>
  </si>
  <si>
    <t xml:space="preserve">5736 Brightwood Dr  Fort Myers, FL 33905 </t>
  </si>
  <si>
    <t>30-43-26-01-00014.0260</t>
  </si>
  <si>
    <t>25-43-23-c2-02316.0210</t>
  </si>
  <si>
    <t>Monterey</t>
  </si>
  <si>
    <t xml:space="preserve">2126 Andalusia Blvd </t>
  </si>
  <si>
    <t>28803-1937</t>
  </si>
  <si>
    <t xml:space="preserve">26771 State Road 56 </t>
  </si>
  <si>
    <t>Pratt</t>
  </si>
  <si>
    <t>Leon &amp; Jean Zwicker</t>
  </si>
  <si>
    <t>33905-7645</t>
  </si>
  <si>
    <t>Cape Coral Unit 13 Blk 500 Pb 13 Pg 58 Lots 35 + 36</t>
  </si>
  <si>
    <t>Christian Torrejon</t>
  </si>
  <si>
    <t xml:space="preserve">3606 E Gator Cir </t>
  </si>
  <si>
    <t xml:space="preserve">3104 NE 1st Ave  Cape Coral, FL 33909 </t>
  </si>
  <si>
    <t xml:space="preserve">14249 Canarias Dr </t>
  </si>
  <si>
    <t>Massapequa Park</t>
  </si>
  <si>
    <t>Harish &amp; For Panjabi</t>
  </si>
  <si>
    <t>Sowards</t>
  </si>
  <si>
    <t xml:space="preserve">1801 Virginia St </t>
  </si>
  <si>
    <t>Elg</t>
  </si>
  <si>
    <t xml:space="preserve">2726 NE 1st Pl  Cape Coral, FL 33909 </t>
  </si>
  <si>
    <t xml:space="preserve">916 NE 34th Ln  Cape Coral, FL 33909 </t>
  </si>
  <si>
    <t>33909-1318</t>
  </si>
  <si>
    <t>Highway 33</t>
  </si>
  <si>
    <t>Villalobos</t>
  </si>
  <si>
    <t xml:space="preserve">5696 Brightwood Dr </t>
  </si>
  <si>
    <t xml:space="preserve">3844 Hopevale St </t>
  </si>
  <si>
    <t>Cape Coral Unit 35 Blk 2403 Pb 16 Pg 109 Lots 11 + 12</t>
  </si>
  <si>
    <t xml:space="preserve">6 Bishop Ave  Westhampton, NY 11977-1612 </t>
  </si>
  <si>
    <t xml:space="preserve">1014 NE 6th Pl  Cape Coral, FL 33909 </t>
  </si>
  <si>
    <t>33950-8347</t>
  </si>
  <si>
    <t xml:space="preserve">1325 Raymond Ave </t>
  </si>
  <si>
    <t>PO Box 1036</t>
  </si>
  <si>
    <t>33909-1029</t>
  </si>
  <si>
    <t>Dwight &amp; Lea Bolin</t>
  </si>
  <si>
    <t>Cape Coral Unit 85 Blk 5671 Pb 24 Pg 52 Lots 3 + 4</t>
  </si>
  <si>
    <t>Nicholas</t>
  </si>
  <si>
    <t>Cape Coral Unit 31 Blk 2043 Pb 14 Pg 155 Lots 19 + 20</t>
  </si>
  <si>
    <t>35-43-25-09-00000.0880</t>
  </si>
  <si>
    <t xml:space="preserve">Treisberger Weg #17, Schmitten, DE 61389 </t>
  </si>
  <si>
    <t>21122-5225</t>
  </si>
  <si>
    <t xml:space="preserve">1615 NE 23rd St  Cape Coral, FL 33909 </t>
  </si>
  <si>
    <t>Lakeville</t>
  </si>
  <si>
    <t xml:space="preserve">3 Dover Ct  Algonquin, IL 60102-1743 </t>
  </si>
  <si>
    <t xml:space="preserve">317 NE 20th Ter </t>
  </si>
  <si>
    <t>Posima</t>
  </si>
  <si>
    <t xml:space="preserve">904 Ponce De Leon Dr  Fort Lauderdale, FL 33316-1357 </t>
  </si>
  <si>
    <t>Sioux Falls</t>
  </si>
  <si>
    <t>Cape Coral Unit 84 Blk 5592 Pb 24 Pg 44 Lots 19 + 20</t>
  </si>
  <si>
    <t>16-44-26-06-00013.0580</t>
  </si>
  <si>
    <t>Badal &amp; Neha Kaushal</t>
  </si>
  <si>
    <t>Jeffrey Miller</t>
  </si>
  <si>
    <t>Tiara</t>
  </si>
  <si>
    <t>63110-3732</t>
  </si>
  <si>
    <t>36-43-23-c1-02547.0260</t>
  </si>
  <si>
    <t>Robert &amp; Eileen Pietrzak</t>
  </si>
  <si>
    <t xml:space="preserve">1108 Embassy Ct  Virginia Beach, VA 23454-2485 </t>
  </si>
  <si>
    <t>Villanueva</t>
  </si>
  <si>
    <t>Cape Coral Unit 36 Blk 2300A Pb 16 Pg 122 Lot 47</t>
  </si>
  <si>
    <t>Santos Ramirez</t>
  </si>
  <si>
    <t>Lehigh Acres Unit 3 Blk 12 Pb 26 Pg 5 Lot 10</t>
  </si>
  <si>
    <t>11-44-25-08-00000.4130</t>
  </si>
  <si>
    <t>20-44-26-05-00025.0030</t>
  </si>
  <si>
    <t>George</t>
  </si>
  <si>
    <t>Dunkley</t>
  </si>
  <si>
    <t>Carlos &amp; Ana Leandro</t>
  </si>
  <si>
    <t xml:space="preserve">4864 Buckboard Way  El Sobrante, CA 94803-3801 </t>
  </si>
  <si>
    <t>10458-4455</t>
  </si>
  <si>
    <t xml:space="preserve">1780 Sylvan Ln  Billings, MT 59105-3816 </t>
  </si>
  <si>
    <t>30039-8419</t>
  </si>
  <si>
    <t>06475-1571</t>
  </si>
  <si>
    <t>Gasparini</t>
  </si>
  <si>
    <t>Lehigh Acres Unit 9 Blk 42 Pb 26 Pg 11 Lot 19</t>
  </si>
  <si>
    <t>Cape Coral Unit 36 Blk 2525 Pb 16 Pg 115 Lots 57 + 58</t>
  </si>
  <si>
    <t>Reece</t>
  </si>
  <si>
    <t>Sparkling Lake</t>
  </si>
  <si>
    <t>16-44-26-05-00007.0070</t>
  </si>
  <si>
    <t xml:space="preserve">5720 Harborage Dr  Fort Myers, FL 33908 </t>
  </si>
  <si>
    <t>Weyhe</t>
  </si>
  <si>
    <t>Lehigh Acres W1/2 Unit 13 Blk 73Pb 26 Pg 18 Lot 18</t>
  </si>
  <si>
    <t xml:space="preserve">2909 NE 1st Ave  Cape Coral, FL 33909 </t>
  </si>
  <si>
    <t>36-44-23-c4-00875.0460</t>
  </si>
  <si>
    <t>80127-4261</t>
  </si>
  <si>
    <t xml:space="preserve">5817 Upland Ter NE </t>
  </si>
  <si>
    <t xml:space="preserve">1817 NE 17th St </t>
  </si>
  <si>
    <t xml:space="preserve">5206 Cypress Trail Resort Cir </t>
  </si>
  <si>
    <t xml:space="preserve">4204 NE 22nd Ave  Cape Coral, FL 33909 </t>
  </si>
  <si>
    <t>Tamarac</t>
  </si>
  <si>
    <t>33909-3253</t>
  </si>
  <si>
    <t>11-44-25-04-0000a.0030</t>
  </si>
  <si>
    <t>19-43-24-c4-05557.0450</t>
  </si>
  <si>
    <t>25-43-23-c1-02350.0370</t>
  </si>
  <si>
    <t>20-43-24-c1-05598.0310</t>
  </si>
  <si>
    <t>15009-9489</t>
  </si>
  <si>
    <t>Highcrest</t>
  </si>
  <si>
    <t>Mai</t>
  </si>
  <si>
    <t>11-44-25-09-00000.2070</t>
  </si>
  <si>
    <t>R3C 3X4</t>
  </si>
  <si>
    <t xml:space="preserve">809 NE 43rd Ln  Cape Coral, FL 33909 </t>
  </si>
  <si>
    <t>Luis Cardona</t>
  </si>
  <si>
    <t>10469-5003</t>
  </si>
  <si>
    <t xml:space="preserve">6018 Langdon Ave </t>
  </si>
  <si>
    <t>White Oak Bottom</t>
  </si>
  <si>
    <t>33905-7106</t>
  </si>
  <si>
    <t>Mezzadro</t>
  </si>
  <si>
    <t>06-46-24-15-00000.0570</t>
  </si>
  <si>
    <t>75071-2959</t>
  </si>
  <si>
    <t xml:space="preserve">10170 Hart Branch Cir  Orlando, FL 32832-5912 </t>
  </si>
  <si>
    <t>Ypsilanti</t>
  </si>
  <si>
    <t>Robert Foster Pasa</t>
  </si>
  <si>
    <t xml:space="preserve">188 Pleasant Hill Rd  Scarborough, ME 04074-8742 </t>
  </si>
  <si>
    <t>Michael Flack</t>
  </si>
  <si>
    <t xml:space="preserve">5222 Cypress Trail Resort Cir </t>
  </si>
  <si>
    <t>Cape Coral Unit 36 Blk 2520 Pb 16 Pg 113 Lots 63 + 64</t>
  </si>
  <si>
    <t>36-44-23-c3-00863.0410</t>
  </si>
  <si>
    <t>Red Chestnut</t>
  </si>
  <si>
    <t>35634-6132</t>
  </si>
  <si>
    <t xml:space="preserve">102 Littleleaf Ct </t>
  </si>
  <si>
    <t>06-44-24-c2-02063.0090</t>
  </si>
  <si>
    <t>Cape Coral Unit 15 Blk.463 Pb 13 Pg 69 Lot 1 Thru 3</t>
  </si>
  <si>
    <t>Lehigh Acres W Pt Unit 1 Blk 2 Pb 26 Pg 2 Lot 5</t>
  </si>
  <si>
    <t>Rue Florian</t>
  </si>
  <si>
    <t>33184-2331</t>
  </si>
  <si>
    <t>06-44-24-c4-02041.0510</t>
  </si>
  <si>
    <t>33909-7384</t>
  </si>
  <si>
    <t xml:space="preserve">10026 Parkwood Dr  Fort Myers, FL 33905 </t>
  </si>
  <si>
    <t xml:space="preserve">4010 NE 22nd Pl </t>
  </si>
  <si>
    <t>Tapanes</t>
  </si>
  <si>
    <t xml:space="preserve">4345 Arlington Ave </t>
  </si>
  <si>
    <t xml:space="preserve">1718 NE 41st St </t>
  </si>
  <si>
    <t>Mittenfeldstrasse</t>
  </si>
  <si>
    <t>60188-1688</t>
  </si>
  <si>
    <t>Cape Coral Unit 36 Blk 2309 Pb 16 Pg 119 Lots 3 + 4</t>
  </si>
  <si>
    <t xml:space="preserve">231 N Hickory Ridge Dr  Port Clinton, OH 43452-2727 </t>
  </si>
  <si>
    <t>Lucille Goodrich</t>
  </si>
  <si>
    <t xml:space="preserve">411 NE 31st Ter </t>
  </si>
  <si>
    <t>33183-5607</t>
  </si>
  <si>
    <t>Yavarow</t>
  </si>
  <si>
    <t xml:space="preserve">960 W Thatcher Rd  Quakertown, PA 18951-5526 </t>
  </si>
  <si>
    <t>Herbello</t>
  </si>
  <si>
    <t>Cape Coral Unit 17 Blk.1517 Pb 14 Pg 24 Lots 21 + 22</t>
  </si>
  <si>
    <t xml:space="preserve">610 Sycamore Dr  Euclid, OH 44132-2136 </t>
  </si>
  <si>
    <t xml:space="preserve">860 NE 7th Pl </t>
  </si>
  <si>
    <t xml:space="preserve">1509 NE 13th Ave </t>
  </si>
  <si>
    <t>Cape Coral Unit 84 Blk 5595 Pb 24 Pg 41 Lots 12 + 13</t>
  </si>
  <si>
    <t xml:space="preserve">11 Bridle Crt  Courtice, ON L1e 2B1 </t>
  </si>
  <si>
    <t>Cape Coral Unit 33 Blk.2287 Pb 16 Pg 58 Lots 39 + 40</t>
  </si>
  <si>
    <t>15-44-26-01-00023.0150</t>
  </si>
  <si>
    <t>Coulter</t>
  </si>
  <si>
    <t>31-44-24-c4-00826.0590</t>
  </si>
  <si>
    <t>01545-1942</t>
  </si>
  <si>
    <t>Joseph &amp; Joan Lastraglio</t>
  </si>
  <si>
    <t>33909-4711</t>
  </si>
  <si>
    <t>18-44-25-p4-00502.010a</t>
  </si>
  <si>
    <t>Goethestrasse</t>
  </si>
  <si>
    <t>Cypress Trail Rv Resort Ph 3 As Desc In Inst# 2015000085552 Lot 66</t>
  </si>
  <si>
    <t>Cape Coral Unit 34 Blk 2419 Pb 16 Pg 75 Lots 3 + 4</t>
  </si>
  <si>
    <t>Lehigh Acres W Pt Unit 12 Blk 61 Pb 26 Pg 16 Lot 7</t>
  </si>
  <si>
    <t xml:space="preserve">609 Avenue Y </t>
  </si>
  <si>
    <t>Cape Coral Unit 36 Blk 2355 Pb 16 Pg 120 Lots 58 + 59</t>
  </si>
  <si>
    <t>W C W &amp; Greta Wood</t>
  </si>
  <si>
    <t>Quebec</t>
  </si>
  <si>
    <t>32607-3407</t>
  </si>
  <si>
    <t>Larry Johns</t>
  </si>
  <si>
    <t>16-44-26-06-00015.0180</t>
  </si>
  <si>
    <t xml:space="preserve">15270 Codie St </t>
  </si>
  <si>
    <t>54115-7698</t>
  </si>
  <si>
    <t>33905-7694</t>
  </si>
  <si>
    <t>07090-2912</t>
  </si>
  <si>
    <t>Lehigh Acres Unit 4 Blk 19 Pb 26 Pg 6 Lot 16</t>
  </si>
  <si>
    <t>Attica</t>
  </si>
  <si>
    <t>05906-9611</t>
  </si>
  <si>
    <t>33909-1656</t>
  </si>
  <si>
    <t xml:space="preserve">327 NE 9th Ter  Cape Coral, FL 33909 </t>
  </si>
  <si>
    <t>Hope</t>
  </si>
  <si>
    <t xml:space="preserve">10320 Fire Flag Trl </t>
  </si>
  <si>
    <t>COUNTY</t>
  </si>
  <si>
    <t>Kresson Gibbsboro</t>
  </si>
  <si>
    <t>36-43-23-c3-02503.0010</t>
  </si>
  <si>
    <t xml:space="preserve">917 SE 27th Ter </t>
  </si>
  <si>
    <t xml:space="preserve">14 Lockhart Ln </t>
  </si>
  <si>
    <t>Veil Paul A Tr</t>
  </si>
  <si>
    <t xml:space="preserve">3902 NE 11th Pl </t>
  </si>
  <si>
    <t>Julian</t>
  </si>
  <si>
    <t>Holly Brook</t>
  </si>
  <si>
    <t>33909-1367</t>
  </si>
  <si>
    <t xml:space="preserve">10444 Nightwood Dr  Fort Myers, FL 33905 </t>
  </si>
  <si>
    <t>Cape Coral Unit 34 Blk 2467 Pb 16 Pg 75 Lots 25 + 26</t>
  </si>
  <si>
    <t>Viroqua</t>
  </si>
  <si>
    <t xml:space="preserve">1090 Oakcroft Ln </t>
  </si>
  <si>
    <t xml:space="preserve">7090 NW 179th St #102 </t>
  </si>
  <si>
    <t>33125-4930</t>
  </si>
  <si>
    <t>33905-5509</t>
  </si>
  <si>
    <t>12-44-23-c1-02368.0490</t>
  </si>
  <si>
    <t>Montgomery Anderson Jr Tr</t>
  </si>
  <si>
    <t>Bluff Harbor</t>
  </si>
  <si>
    <t>19-43-24-c3-05612.0430</t>
  </si>
  <si>
    <t xml:space="preserve">9 Rue Leopold Robert  Irving, TX 75014 </t>
  </si>
  <si>
    <t>Gabriel &amp; Hasiel Mena</t>
  </si>
  <si>
    <t>Landy</t>
  </si>
  <si>
    <t>Forsgate</t>
  </si>
  <si>
    <t>Heathcote</t>
  </si>
  <si>
    <t xml:space="preserve">121 W William St #202 </t>
  </si>
  <si>
    <t>Durfee</t>
  </si>
  <si>
    <t>Abbey</t>
  </si>
  <si>
    <t>11363-1412</t>
  </si>
  <si>
    <t>11357-2746</t>
  </si>
  <si>
    <t>06-45-24-c2-00507.0590</t>
  </si>
  <si>
    <t>18-43-24-c4-05584.0050</t>
  </si>
  <si>
    <t xml:space="preserve">3101 NE 7th Ave </t>
  </si>
  <si>
    <t xml:space="preserve">2905 SE 8th Pl </t>
  </si>
  <si>
    <t>Reutiman</t>
  </si>
  <si>
    <t>08830-2405</t>
  </si>
  <si>
    <t xml:space="preserve">11761 Holiday Condo Dr  Fort Myers, FL 33908 </t>
  </si>
  <si>
    <t>33905-3313</t>
  </si>
  <si>
    <t>21666-3415</t>
  </si>
  <si>
    <t xml:space="preserve">11028 Beacon Pt </t>
  </si>
  <si>
    <t xml:space="preserve">4041 NE 10th Pl  Cape Coral, FL 33909 </t>
  </si>
  <si>
    <t>Ramon Hernandez</t>
  </si>
  <si>
    <t xml:space="preserve">3825 Hyde Park Dr  Fort Myers, FL 33905 </t>
  </si>
  <si>
    <t>14622-2413</t>
  </si>
  <si>
    <t>Cape Coral Unit 33 Blk 2202 Pb 16 Pg 45 Lots 31 + 32</t>
  </si>
  <si>
    <t xml:space="preserve">2317 NE 35th Ter </t>
  </si>
  <si>
    <t>Cape Coral Unit 33 Blk.2234 Pb 16 Pg 55 Lots 58 + 59</t>
  </si>
  <si>
    <t xml:space="preserve">2130 NE 33rd Ln  Cape Coral, FL 33909 </t>
  </si>
  <si>
    <t>Esteve</t>
  </si>
  <si>
    <t xml:space="preserve">730 E 33rd St </t>
  </si>
  <si>
    <t>Lizza</t>
  </si>
  <si>
    <t xml:space="preserve">7290 Westmoreland Dr  Warrenton, VA 20187-4194 </t>
  </si>
  <si>
    <t xml:space="preserve">1109 NE 4th Ave </t>
  </si>
  <si>
    <t xml:space="preserve">5187 SE 17th St  Ocala, FL 34471-5731 </t>
  </si>
  <si>
    <t>Hateram &amp; Mahadai Sanicharan</t>
  </si>
  <si>
    <t>89533-4389</t>
  </si>
  <si>
    <t>29-43-24-c4-02253.0700</t>
  </si>
  <si>
    <t>11-44-25-06-0000d.0530</t>
  </si>
  <si>
    <t>Sprow Ranch</t>
  </si>
  <si>
    <t>Pound</t>
  </si>
  <si>
    <t xml:space="preserve">70 Starlight Dr </t>
  </si>
  <si>
    <t>Mechanicsburg</t>
  </si>
  <si>
    <t xml:space="preserve">2011 Spruce Dr NW </t>
  </si>
  <si>
    <t xml:space="preserve">5753 Highway 85 N #2102 </t>
  </si>
  <si>
    <t xml:space="preserve">2829 NE 5th Ave </t>
  </si>
  <si>
    <t>Abram</t>
  </si>
  <si>
    <t>Tadeusz &amp; Krystyna Leoniak</t>
  </si>
  <si>
    <t xml:space="preserve">2915 NE 5th Pl </t>
  </si>
  <si>
    <t>Merino</t>
  </si>
  <si>
    <t xml:space="preserve">1009 76th St </t>
  </si>
  <si>
    <t>Cape Coral Unit 84 Blk 5561 Pb 24 Pg 37 Lots 11 + 12</t>
  </si>
  <si>
    <t xml:space="preserve">3014 NE 1st Ave </t>
  </si>
  <si>
    <t>19-43-24-c3-05613.0230</t>
  </si>
  <si>
    <t>Cypress Woods Rv Resort Unit 4 Pb 79 Pgs 68-71 Blk D Lot 124</t>
  </si>
  <si>
    <t>Cape Coral Unit 36 Blk 2526 Pb 16 Pg 114 Lots 53 + 54</t>
  </si>
  <si>
    <t>Cape Coral Unit 7 Blk.388 Pb 12 Pg 111 Lots 49A 50 + 51 + Blk 386 Lots 1 + 2</t>
  </si>
  <si>
    <t>22015-2850</t>
  </si>
  <si>
    <t>Sapodilla</t>
  </si>
  <si>
    <t>David &amp; Roger Abram</t>
  </si>
  <si>
    <t xml:space="preserve">18153 Goddard Ct  Bucyrus, KS 66013-9085 </t>
  </si>
  <si>
    <t>Heiser</t>
  </si>
  <si>
    <t xml:space="preserve">PO Box 1377  Boca Raton, FL 33429-1377 </t>
  </si>
  <si>
    <t xml:space="preserve">4900 Biscayne Dr #7, Naples, FL 34112-6902 </t>
  </si>
  <si>
    <t xml:space="preserve">6921 Wood St </t>
  </si>
  <si>
    <t>33909-7330</t>
  </si>
  <si>
    <t xml:space="preserve">1806 NE 37th St  Cape Coral, FL 33909 </t>
  </si>
  <si>
    <t xml:space="preserve">425 Monterey Ave  Cape Coral, FL 33904 </t>
  </si>
  <si>
    <t xml:space="preserve">1410 NE 11th St  Cape Coral, FL 33909 </t>
  </si>
  <si>
    <t>Lehigh Acres Unit 3 Blk 13 Pb 26 Pg 5 Lot 41</t>
  </si>
  <si>
    <t>Orange Harbor Co-Op As Desc In Inst# 2012000226486 Lot 78</t>
  </si>
  <si>
    <t>For Paranal Trust</t>
  </si>
  <si>
    <t>Exequiel Urbina</t>
  </si>
  <si>
    <t>Fillare</t>
  </si>
  <si>
    <t>J4B 8S6</t>
  </si>
  <si>
    <t>Elvira &amp; Minda Nasaysayan</t>
  </si>
  <si>
    <t>32907-1332</t>
  </si>
  <si>
    <t xml:space="preserve">864 Vogiantzis Pkwy  Cape Coral, FL 33909 </t>
  </si>
  <si>
    <t xml:space="preserve">820 Reddick Way </t>
  </si>
  <si>
    <t>85253-1412</t>
  </si>
  <si>
    <t xml:space="preserve">2511 NE 7th Ave  Cape Coral, FL 33909 </t>
  </si>
  <si>
    <t>Charles &amp; Venona Davis</t>
  </si>
  <si>
    <t>Durata</t>
  </si>
  <si>
    <t>Cape Coral Unit 84 Blk 5624 Pb 24 Pg 33 Lots 39 + 40</t>
  </si>
  <si>
    <t>10016-3080</t>
  </si>
  <si>
    <t xml:space="preserve">359 Skidmore Rd  Deer Park, NY 11729-7106 </t>
  </si>
  <si>
    <t>33904-3366</t>
  </si>
  <si>
    <t xml:space="preserve">12032 SW 132nd Ct #205 </t>
  </si>
  <si>
    <t>Schuerger Survivors Trust</t>
  </si>
  <si>
    <t xml:space="preserve">2210 SE 28th St  Cape Coral, FL 33904 </t>
  </si>
  <si>
    <t xml:space="preserve">973 SW 147th Ct </t>
  </si>
  <si>
    <t xml:space="preserve">1835 Venada Trl </t>
  </si>
  <si>
    <t>9m</t>
  </si>
  <si>
    <t>33909-4275</t>
  </si>
  <si>
    <t>Benjamin Abarbanel</t>
  </si>
  <si>
    <t>Robin &amp; Kingdom Robin</t>
  </si>
  <si>
    <t xml:space="preserve">89-21 Elmburst Ave #425 </t>
  </si>
  <si>
    <t>72d-30</t>
  </si>
  <si>
    <t>Morgan City</t>
  </si>
  <si>
    <t>Canal</t>
  </si>
  <si>
    <t xml:space="preserve">4215 NE 20th Pl </t>
  </si>
  <si>
    <t>Lawicki</t>
  </si>
  <si>
    <t xml:space="preserve">1134 Bloom Hill Ave  Valrico, FL 33596-8112 </t>
  </si>
  <si>
    <t>For Sunderhaus Trust</t>
  </si>
  <si>
    <t>Alberto Huguet &amp; Ivonne Vaughan</t>
  </si>
  <si>
    <t>20012-2028</t>
  </si>
  <si>
    <t xml:space="preserve">2119 NE Juanita Pl </t>
  </si>
  <si>
    <t>33909-3509</t>
  </si>
  <si>
    <t xml:space="preserve">475 E 55th St  Hialeah, FL 33013-1558 </t>
  </si>
  <si>
    <t xml:space="preserve">409 N Main St </t>
  </si>
  <si>
    <t xml:space="preserve">Rte Des Monts-Delauzux70 </t>
  </si>
  <si>
    <t>Lovejoy Park Blk H Pb 5 Pg 26 Wly.15 Ft.Of Lots 1 2 + 3</t>
  </si>
  <si>
    <t xml:space="preserve">8 Valerie Ln </t>
  </si>
  <si>
    <t>18-43-24-c2-05712.0210</t>
  </si>
  <si>
    <t>33904-5758</t>
  </si>
  <si>
    <t xml:space="preserve">187 Moose Hill Rd  Oxford, CT 06478-6141 </t>
  </si>
  <si>
    <t xml:space="preserve">2204 NE 2nd Pl  Cape Coral, FL 33909 </t>
  </si>
  <si>
    <t>Bent Tree</t>
  </si>
  <si>
    <t>Cary Garcia</t>
  </si>
  <si>
    <t>33186-5007</t>
  </si>
  <si>
    <t>34606-5450</t>
  </si>
  <si>
    <t>32-43-24-c2-02238.0410</t>
  </si>
  <si>
    <t>Wayne</t>
  </si>
  <si>
    <t>Joanne Hendricks</t>
  </si>
  <si>
    <t>Cape Coral Unit 84 Blk 5589 Pb 24 Pg 44 Lots 37 + 38</t>
  </si>
  <si>
    <t>Cardoso</t>
  </si>
  <si>
    <t xml:space="preserve">13460 Causeway Palms Cv  Fort Myers, FL 33908 </t>
  </si>
  <si>
    <t>Drake Kenneth Leslie Tr</t>
  </si>
  <si>
    <t>17-43-24-c3-05796.0040</t>
  </si>
  <si>
    <t>Dennis &amp; For Jameyfield</t>
  </si>
  <si>
    <t>Cedar Crest</t>
  </si>
  <si>
    <t>Samuel Rhone &amp; Cindy Schrock</t>
  </si>
  <si>
    <t>Cape Coral Unit 34 Blk 2464 Pb 16 Pg 84 Lots 7 Thru 9</t>
  </si>
  <si>
    <t xml:space="preserve">1319 SE 31st St </t>
  </si>
  <si>
    <t>Zoraja</t>
  </si>
  <si>
    <t>David &amp; Chantal Tuzet</t>
  </si>
  <si>
    <t>Mary Rhoads</t>
  </si>
  <si>
    <t>33909-1313</t>
  </si>
  <si>
    <t>11-44-25-11-00000.0360</t>
  </si>
  <si>
    <t>16-44-26-01-00033.0050</t>
  </si>
  <si>
    <t>Korytsas</t>
  </si>
  <si>
    <t>H7U 0B2</t>
  </si>
  <si>
    <t>12508-3760</t>
  </si>
  <si>
    <t>Cristofer</t>
  </si>
  <si>
    <t xml:space="preserve">338 NE 20th St </t>
  </si>
  <si>
    <t xml:space="preserve">209 S Main St  Fairport, NY 14450-2705 </t>
  </si>
  <si>
    <t xml:space="preserve">235 Martin Hills Dr </t>
  </si>
  <si>
    <t xml:space="preserve">4151 NE 16th Ave  Cape Coral, FL 33909 </t>
  </si>
  <si>
    <t>06-44-24-c1-02075.0070</t>
  </si>
  <si>
    <t xml:space="preserve">442 Redlin St  North Fort Myers, FL 33903 </t>
  </si>
  <si>
    <t xml:space="preserve">1472 161st St  Whitestone, NY 11357-2746 </t>
  </si>
  <si>
    <t>11-44-25-09-00000.0130</t>
  </si>
  <si>
    <t>Gamez</t>
  </si>
  <si>
    <t>33905-8613</t>
  </si>
  <si>
    <t xml:space="preserve">1911 Harding Ave </t>
  </si>
  <si>
    <t>Orama</t>
  </si>
  <si>
    <t xml:space="preserve">312 NE 31st Ter  Cape Coral, FL 33909 </t>
  </si>
  <si>
    <t xml:space="preserve">3003 NE 2nd Ave </t>
  </si>
  <si>
    <t xml:space="preserve">1910 NE 12th Ln </t>
  </si>
  <si>
    <t>Esau</t>
  </si>
  <si>
    <t>01923-2352</t>
  </si>
  <si>
    <t>20-43-24-c4-05630.0250</t>
  </si>
  <si>
    <t>93036-2723</t>
  </si>
  <si>
    <t xml:space="preserve">1724 Andalusia Blvd  Cape Coral, FL 33909 </t>
  </si>
  <si>
    <t>Spring Hill</t>
  </si>
  <si>
    <t>Giovanni Abbate</t>
  </si>
  <si>
    <t>Cape Coral Unit 36 Pt 1 Blk 2513 Pb 23 Pg 91 Lots 66 + 67</t>
  </si>
  <si>
    <t xml:space="preserve">100 Pumpkin Hill Rd #25, New Milford, CT 06776-4652 </t>
  </si>
  <si>
    <t>Delene</t>
  </si>
  <si>
    <t xml:space="preserve">101 E Franklin St  Strasburg, IL 62465-1072 </t>
  </si>
  <si>
    <t>Cape Coral Unit 84 Blk 5563 Pb 24 Pg 37 Lots 73 + 74</t>
  </si>
  <si>
    <t xml:space="preserve">89 Margaretta Ct </t>
  </si>
  <si>
    <t>Cape Coral Unit 85 Blk 5658 Pb 24 Pg 54 Lots 35 + 36</t>
  </si>
  <si>
    <t xml:space="preserve">1709 SE 46th St </t>
  </si>
  <si>
    <t>06-44-24-c4-02042.0070</t>
  </si>
  <si>
    <t xml:space="preserve">61 Driftwood Dr  Brick, NJ 08723-5811 </t>
  </si>
  <si>
    <t>Lizeth Duarte</t>
  </si>
  <si>
    <t>Miles Williams</t>
  </si>
  <si>
    <t>For Don J Loefflad Trust</t>
  </si>
  <si>
    <t xml:space="preserve">8108 NW 95th Ln  Tamarac, FL 33321-1330 </t>
  </si>
  <si>
    <t xml:space="preserve">8419 Rednock Ln </t>
  </si>
  <si>
    <t>Sandra &amp; David Siwicki</t>
  </si>
  <si>
    <t xml:space="preserve">2210 Andalusia Blvd  Cape Coral, FL 33909 </t>
  </si>
  <si>
    <t xml:space="preserve">27005 Jones Loop Rd #112 </t>
  </si>
  <si>
    <t xml:space="preserve">2118 NE 20th St  Cape Coral, FL 33909 </t>
  </si>
  <si>
    <t xml:space="preserve">10120 Shadowood Ct  Fort Myers, FL 33905 </t>
  </si>
  <si>
    <t>Buckingham Pk Re Blk B U-5 Blk 27 Pb 27 Pg 193 Lot 6</t>
  </si>
  <si>
    <t>Savannah Estates</t>
  </si>
  <si>
    <t>05-44-24-c2-03527.0250</t>
  </si>
  <si>
    <t>Barbara &amp; Stephen Spraker</t>
  </si>
  <si>
    <t>Marc Landow</t>
  </si>
  <si>
    <t xml:space="preserve">584 W Colchester Dr  Eagle, ID 83616-5884 </t>
  </si>
  <si>
    <t>Eagle Creek</t>
  </si>
  <si>
    <t>Carroll Ivan Dean Tr</t>
  </si>
  <si>
    <t>17-43-24-c1-05827.0300</t>
  </si>
  <si>
    <t>18-43-24-c2-05736.0490</t>
  </si>
  <si>
    <t>Javanshir Janani</t>
  </si>
  <si>
    <t>Alfredo Castellanos</t>
  </si>
  <si>
    <t>Roland</t>
  </si>
  <si>
    <t>25-43-23-c3-02351.0780</t>
  </si>
  <si>
    <t>12-44-23-c2-02397.0010</t>
  </si>
  <si>
    <t>33909-6417</t>
  </si>
  <si>
    <t>Estrellita</t>
  </si>
  <si>
    <t xml:space="preserve">219-2 Kita Yamata Tsuzuki-Ku Yokoham </t>
  </si>
  <si>
    <t>80602-7394</t>
  </si>
  <si>
    <t xml:space="preserve">816 Laurel Ave </t>
  </si>
  <si>
    <t xml:space="preserve">602 Coral Dr </t>
  </si>
  <si>
    <t>Cape Coral Unit 87 Blk 5692 Pb 24 Pg 85 Lots 53 + 54</t>
  </si>
  <si>
    <t xml:space="preserve">3624 Unique Cir </t>
  </si>
  <si>
    <t>Whispering Oaks</t>
  </si>
  <si>
    <t>Honey Creek</t>
  </si>
  <si>
    <t xml:space="preserve">89 Walnut Rd  Glen Cove, NY 11542-2634 </t>
  </si>
  <si>
    <t xml:space="preserve">1065 Washington Dr  Centerport, NY 11721-1818 </t>
  </si>
  <si>
    <t xml:space="preserve">19 Seedhouse Rd  Brampton, ON L6r 3Z5 </t>
  </si>
  <si>
    <t xml:space="preserve">14171 Carberry St  Fort Myers, FL 33905 </t>
  </si>
  <si>
    <t>Orton</t>
  </si>
  <si>
    <t>Missouri City</t>
  </si>
  <si>
    <t xml:space="preserve">3000 NE 16th Ave D105 </t>
  </si>
  <si>
    <t>Robert Allan Brus &amp; Dawn Brus</t>
  </si>
  <si>
    <t>33909-6128</t>
  </si>
  <si>
    <t>Kevin &amp; Erin Brzeczek</t>
  </si>
  <si>
    <t>Cape Coral Unit 31 Blk 2039 Pb 14 Pg 158 Lots 11 + 12</t>
  </si>
  <si>
    <t xml:space="preserve">3740 NE 15th Pl </t>
  </si>
  <si>
    <t>Cape Coral Unit 2 Part 1 Blk.211 Pb 10 Pg 130 Lots 17 + 18</t>
  </si>
  <si>
    <t xml:space="preserve">1416 SE 29th Ter  Cape Coral, FL 33904 </t>
  </si>
  <si>
    <t>33909-8809</t>
  </si>
  <si>
    <t>Nezam</t>
  </si>
  <si>
    <t>33908-8263</t>
  </si>
  <si>
    <t>Murat</t>
  </si>
  <si>
    <t>Anthony Zeccola</t>
  </si>
  <si>
    <t>33909-4221</t>
  </si>
  <si>
    <t xml:space="preserve">7225 Maida Ln  Fort Myers, FL 33908 </t>
  </si>
  <si>
    <t xml:space="preserve">1666 Shelbourne St </t>
  </si>
  <si>
    <t xml:space="preserve">3709 NE 12th Pl  Cape Coral, FL 33909 </t>
  </si>
  <si>
    <t>49417-2035</t>
  </si>
  <si>
    <t>Cape Coral Unit 47 Pt 2 Blk 3520 Pb 23 Pg 126 Lots 9 + 10</t>
  </si>
  <si>
    <t>Buckingham Pk Re Blk B U-5 Blk 24 Pb 27 Pg 193 Lot 26</t>
  </si>
  <si>
    <t>Boris</t>
  </si>
  <si>
    <t xml:space="preserve">2 Rue Des Charentes  Sur Iton, FR </t>
  </si>
  <si>
    <t>Memphis</t>
  </si>
  <si>
    <t xml:space="preserve">5758 Burrwood Ct </t>
  </si>
  <si>
    <t>Natoma</t>
  </si>
  <si>
    <t>Rui Zhang</t>
  </si>
  <si>
    <t>Giovanni</t>
  </si>
  <si>
    <t>03-44-26-02-00010.0110</t>
  </si>
  <si>
    <t>Fernando &amp; Paula Rodriguez</t>
  </si>
  <si>
    <t>Lone Pine</t>
  </si>
  <si>
    <t xml:space="preserve">797 Heritage Rd  Oneonta, AL 35121-3061 </t>
  </si>
  <si>
    <t>Elvira Medina</t>
  </si>
  <si>
    <t>03-44-26-11-00059.0160</t>
  </si>
  <si>
    <t>Brin</t>
  </si>
  <si>
    <t>Vipond</t>
  </si>
  <si>
    <t>Villani</t>
  </si>
  <si>
    <t>Blackfield</t>
  </si>
  <si>
    <t xml:space="preserve">3538 Depassier Way </t>
  </si>
  <si>
    <t>Neetu</t>
  </si>
  <si>
    <t xml:space="preserve">3635 Highway 182  Lincolnton, NC 28092-1750 </t>
  </si>
  <si>
    <t>20-43-24-c3-05671.0300</t>
  </si>
  <si>
    <t>03-44-26-10-00048.0160</t>
  </si>
  <si>
    <t xml:space="preserve">1406 NE 2nd St  Cape Coral, FL 33909 </t>
  </si>
  <si>
    <t>Tuyen</t>
  </si>
  <si>
    <t xml:space="preserve">459 Willow Rd E #2, Staten Island, NY 10314-7912 </t>
  </si>
  <si>
    <t xml:space="preserve">8211 Buckingham Rd  Fort Myers, FL 33905 </t>
  </si>
  <si>
    <t xml:space="preserve">5482 Cypress Trail Resort Cir </t>
  </si>
  <si>
    <t xml:space="preserve">3622 NE 21st Pl </t>
  </si>
  <si>
    <t xml:space="preserve">12353 NW 26th St </t>
  </si>
  <si>
    <t>33909-1940</t>
  </si>
  <si>
    <t>Cypress Trail Rv Resort Ph 3 As Desc In Inst# 2015000085552 Lot 61</t>
  </si>
  <si>
    <t>Kocsis</t>
  </si>
  <si>
    <t>Abduljabbar Salman</t>
  </si>
  <si>
    <t>49302-9371</t>
  </si>
  <si>
    <t>Cape Coral Unit 84 Blk 5551 Pb 24 Pg 38 Lots 13 + 14</t>
  </si>
  <si>
    <t>Birch Grove</t>
  </si>
  <si>
    <t xml:space="preserve">23885 N Beard Ave </t>
  </si>
  <si>
    <t>Cape Coral Unit 36 Blk 2355 Pb 16 Pg 119 Lots 12 &amp; 13</t>
  </si>
  <si>
    <t>33569-5557</t>
  </si>
  <si>
    <t>29-43-24-c3-02267.0530</t>
  </si>
  <si>
    <t xml:space="preserve">34 Garden Way </t>
  </si>
  <si>
    <t xml:space="preserve">13713 SW 38th St  Miami, FL 33175-6454 </t>
  </si>
  <si>
    <t xml:space="preserve">143 Myrtle Rd  Naples, FL 34108-2622 </t>
  </si>
  <si>
    <t>Ho</t>
  </si>
  <si>
    <t>33144-3223</t>
  </si>
  <si>
    <t xml:space="preserve">18 Liberty Rd </t>
  </si>
  <si>
    <t>Deborah Johanes</t>
  </si>
  <si>
    <t>Bleeks</t>
  </si>
  <si>
    <t>33909-5297</t>
  </si>
  <si>
    <t>32-43-24-c4-02202.0330</t>
  </si>
  <si>
    <t xml:space="preserve">22184 Comer Ave  Warsaw, MO 65355-6633 </t>
  </si>
  <si>
    <t>03-44-26-10-00047.0110</t>
  </si>
  <si>
    <t>Kratounis</t>
  </si>
  <si>
    <t>Wargin</t>
  </si>
  <si>
    <t>James &amp; Carol Fitch</t>
  </si>
  <si>
    <t>Li Cuili</t>
  </si>
  <si>
    <t>33909-3390</t>
  </si>
  <si>
    <t>Cape Coral Unit 17 Blk 1541 Pb 14 Pg 30 Lots 21 + 22</t>
  </si>
  <si>
    <t xml:space="preserve">105 Rue De Domparon  Gex, FR </t>
  </si>
  <si>
    <t>River Forest Unit 6 Unrec Or 869 Pg 615 Lot 171C</t>
  </si>
  <si>
    <t>Rosharon</t>
  </si>
  <si>
    <t>Madan</t>
  </si>
  <si>
    <t>07663-5907</t>
  </si>
  <si>
    <t>Mujakic</t>
  </si>
  <si>
    <t xml:space="preserve">Calle Rivas Davila #137, Dorchester, MA 02121 </t>
  </si>
  <si>
    <t xml:space="preserve">4501 Gibson Cir  Fort Myers, FL 33905 </t>
  </si>
  <si>
    <t>11-44-25-06-0000d.0040</t>
  </si>
  <si>
    <t>R036</t>
  </si>
  <si>
    <t xml:space="preserve">1641 SW 46th Ave </t>
  </si>
  <si>
    <t xml:space="preserve">1929 NE 27th Ter  Cape Coral, FL 33909 </t>
  </si>
  <si>
    <t>James &amp; For Shapiro</t>
  </si>
  <si>
    <t>Julia Gardens</t>
  </si>
  <si>
    <t>Bula</t>
  </si>
  <si>
    <t xml:space="preserve">1324 S Gator Cir  Cape Coral, FL 33909 </t>
  </si>
  <si>
    <t xml:space="preserve">1419 NE 17th Ter  Cape Coral, FL 33909 </t>
  </si>
  <si>
    <t xml:space="preserve">1628 NE 10th Ter </t>
  </si>
  <si>
    <t xml:space="preserve">5219 Marsh Mallow Trl  Fort Myers, FL 33905 </t>
  </si>
  <si>
    <t>01702-7339</t>
  </si>
  <si>
    <t>Newmark</t>
  </si>
  <si>
    <t xml:space="preserve">1438 NE 1st Pl </t>
  </si>
  <si>
    <t>Independence</t>
  </si>
  <si>
    <t xml:space="preserve">1642 Llewellyn Dr  Fort Myers, FL 33901 </t>
  </si>
  <si>
    <t>Moncayo</t>
  </si>
  <si>
    <t>Bechtol Robert Miles Tr</t>
  </si>
  <si>
    <t>Camara</t>
  </si>
  <si>
    <t>Cape Coral Ut 87 Blk 5751 Pb 24 Pg 68 Lots 37 + 38</t>
  </si>
  <si>
    <t>Cape Coral Unit 34 Blk 2466 Pb 16 Pg 77 Lots 1 + 2</t>
  </si>
  <si>
    <t>Cape Coral Unit 34 Blk 2422 Pb 16 Pg 76 Lots 26 Thru 28</t>
  </si>
  <si>
    <t>20-43-24-c2-05656.0550</t>
  </si>
  <si>
    <t xml:space="preserve">326 Kismet Pkwy E  Cape Coral, FL 33909 </t>
  </si>
  <si>
    <t>Woonsocket</t>
  </si>
  <si>
    <t>92253-5698</t>
  </si>
  <si>
    <t xml:space="preserve">10440 Nightwood Dr </t>
  </si>
  <si>
    <t>24-44-24-p4-00806.0120</t>
  </si>
  <si>
    <t>Noi</t>
  </si>
  <si>
    <t>06-46-24-18-00v00.0100</t>
  </si>
  <si>
    <t xml:space="preserve">37 Haatzmaut St </t>
  </si>
  <si>
    <t>19-43-24-c3-05608.0190</t>
  </si>
  <si>
    <t>05-44-24-c1-03538.0430</t>
  </si>
  <si>
    <t>06-44-24-c1-02067.0380</t>
  </si>
  <si>
    <t>18-43-24-c1-05726.0040</t>
  </si>
  <si>
    <t>Cordero</t>
  </si>
  <si>
    <t xml:space="preserve">3205 NE 13th Ave  Cape Coral, FL 33909 </t>
  </si>
  <si>
    <t xml:space="preserve">15410 19th Ave  Whitestone, NY 11357-3859 </t>
  </si>
  <si>
    <t>P7E 3T1</t>
  </si>
  <si>
    <t>Richard &amp; Susan Usherwood</t>
  </si>
  <si>
    <t>07305-2738</t>
  </si>
  <si>
    <t>Santa Lopez</t>
  </si>
  <si>
    <t>12211-1159</t>
  </si>
  <si>
    <t>Cold Springs</t>
  </si>
  <si>
    <t>Ngan Lam</t>
  </si>
  <si>
    <t xml:space="preserve">7600 Shore Front Pkwy 10k, Arverne, NY 11692-1250 </t>
  </si>
  <si>
    <t>Cape Coral Unit 32 Blk.2131 Pb 16 Pg 13 Lots 10 + 11</t>
  </si>
  <si>
    <t>Rockaway Park</t>
  </si>
  <si>
    <t>Scott Barry &amp; Joseph Ridgway</t>
  </si>
  <si>
    <t>Malik</t>
  </si>
  <si>
    <t>33909-3308</t>
  </si>
  <si>
    <t>19034-1653</t>
  </si>
  <si>
    <t xml:space="preserve">2275 Hyatts Rd  Delaware, OH 43015-7989 </t>
  </si>
  <si>
    <t>Tsing Lung Tau N T</t>
  </si>
  <si>
    <t xml:space="preserve">2520 NE 1st Ave  Cape Coral, FL 33909 </t>
  </si>
  <si>
    <t>11-44-25-08-00000.2670</t>
  </si>
  <si>
    <t xml:space="preserve">1908 Sapphire Pt </t>
  </si>
  <si>
    <t>Leota</t>
  </si>
  <si>
    <t xml:space="preserve">13 Kiscona Rd #15 </t>
  </si>
  <si>
    <t>13-45-23-c2-00114.0030</t>
  </si>
  <si>
    <t>05-44-24-c4-03543.0470</t>
  </si>
  <si>
    <t xml:space="preserve">2126 NE 2nd Pl </t>
  </si>
  <si>
    <t xml:space="preserve">1925 Onondaga Rd  Holt, MI 48842-8602 </t>
  </si>
  <si>
    <t xml:space="preserve">1313 NE 3rd Ter </t>
  </si>
  <si>
    <t>11772-1745</t>
  </si>
  <si>
    <t>75010-4222</t>
  </si>
  <si>
    <t xml:space="preserve">348 Hampshire Ave </t>
  </si>
  <si>
    <t xml:space="preserve">6 NE 9th St  Cape Coral, FL 33909 </t>
  </si>
  <si>
    <t>Cape Coral Unit 31 Blk 2094 Pb 14 Pg 165 Lots 77 + 78</t>
  </si>
  <si>
    <t>Cape Coral Unit 33 Blk 2181 Pb 16 Pg 49 Lots 77 + 78</t>
  </si>
  <si>
    <t xml:space="preserve">4560 Randag Dr </t>
  </si>
  <si>
    <t>Sainsbury</t>
  </si>
  <si>
    <t>Gregory &amp; Margaret Peters</t>
  </si>
  <si>
    <t>07876-1914</t>
  </si>
  <si>
    <t xml:space="preserve">6050 Laurelwood Dr  Fort Myers, FL 33905 </t>
  </si>
  <si>
    <t>33909-1112</t>
  </si>
  <si>
    <t>Barrett-Clarke</t>
  </si>
  <si>
    <t xml:space="preserve">22 Morris St </t>
  </si>
  <si>
    <t>01-44-23-c3-02466.0130</t>
  </si>
  <si>
    <t>20-43-24-c4-05638.0670</t>
  </si>
  <si>
    <t xml:space="preserve">1304 Funston St  Hollywood, FL 33019-2220 </t>
  </si>
  <si>
    <t>Solomon &amp; Virginia Ballard</t>
  </si>
  <si>
    <t xml:space="preserve">1704 NE 33rd Ln </t>
  </si>
  <si>
    <t>Secaucus</t>
  </si>
  <si>
    <t xml:space="preserve">5700 Cypress Woods Resort Dr  Fort Myers, FL 33905 </t>
  </si>
  <si>
    <t xml:space="preserve">114 NE 31st Ter </t>
  </si>
  <si>
    <t xml:space="preserve">4 Stoecksweg  Margaret, AL 35112 </t>
  </si>
  <si>
    <t>34108-2622</t>
  </si>
  <si>
    <t>Robert Ferrie</t>
  </si>
  <si>
    <t>E1G 1S4</t>
  </si>
  <si>
    <t xml:space="preserve">6540 Maytree Cir  Fort Myers, FL 33905 </t>
  </si>
  <si>
    <t>Jerusalem</t>
  </si>
  <si>
    <t xml:space="preserve">1907 NE 44th Ter  Cape Coral, FL 33909 </t>
  </si>
  <si>
    <t xml:space="preserve">1127 Rosa Del Rio Way  Sacramento, CA 95822-3243 </t>
  </si>
  <si>
    <t xml:space="preserve">2310 NE 21st Ter  Cape Coral, FL 33909 </t>
  </si>
  <si>
    <t>18-43-24-c1-05693.0110</t>
  </si>
  <si>
    <t xml:space="preserve">1622 Edith Esplanade  Cape Coral, FL 33904 </t>
  </si>
  <si>
    <t>Saugus</t>
  </si>
  <si>
    <t>33065-3617</t>
  </si>
  <si>
    <t>Cape Coral Unit 33 Blk.2183 Pb 16 Pg 53 Lots 32 + 33</t>
  </si>
  <si>
    <t>Fuchs</t>
  </si>
  <si>
    <t xml:space="preserve">31 Horseshoe Bend Rd  Frenchtown, NJ 08825-3002 </t>
  </si>
  <si>
    <t>Cape Coral Unit 7 Blk 392 Pb 12 Pg 112 Lots 39 + 40</t>
  </si>
  <si>
    <t>Rustica</t>
  </si>
  <si>
    <t>Tannenweg</t>
  </si>
  <si>
    <t>236th</t>
  </si>
  <si>
    <t>06-44-24-c2-02080.0040</t>
  </si>
  <si>
    <t>33903-3311</t>
  </si>
  <si>
    <t>Marcial</t>
  </si>
  <si>
    <t>30906-3614</t>
  </si>
  <si>
    <t>33909-5243</t>
  </si>
  <si>
    <t xml:space="preserve">2913 NE 7th Ave </t>
  </si>
  <si>
    <t xml:space="preserve">109 Lorah Ln </t>
  </si>
  <si>
    <t>Solberg</t>
  </si>
  <si>
    <t>Dorchester Center</t>
  </si>
  <si>
    <t>Lattuca</t>
  </si>
  <si>
    <t>93555-3016</t>
  </si>
  <si>
    <t xml:space="preserve">20631 Goshawk Ln  Huntington Beach, CA 92646-5527 </t>
  </si>
  <si>
    <t>Cape Coral Unit 33 Blk.2256 Pb 16 Pg 57 Lots 62 + 63</t>
  </si>
  <si>
    <t>Casselman</t>
  </si>
  <si>
    <t>Collinsville</t>
  </si>
  <si>
    <t>77386-2847</t>
  </si>
  <si>
    <t>33839-5612</t>
  </si>
  <si>
    <t xml:space="preserve">Po Box 270903 </t>
  </si>
  <si>
    <t xml:space="preserve">313 NE 8th Ter  Cape Coral, FL 33909 </t>
  </si>
  <si>
    <t xml:space="preserve">110 Kismet Pkwy E  Cape Coral, FL 33909 </t>
  </si>
  <si>
    <t>Plymouth Meeting</t>
  </si>
  <si>
    <t>Knowlton</t>
  </si>
  <si>
    <t>Torgeir &amp; Solveig Dybvik</t>
  </si>
  <si>
    <t>32-43-24-c2-02240.0550</t>
  </si>
  <si>
    <t>Sheffield</t>
  </si>
  <si>
    <t>Cape Coral Unit 87 Blk 5740 Pb 24 Pg 70 Lots 35 + 36</t>
  </si>
  <si>
    <t xml:space="preserve">413 Tropicana Pkwy E </t>
  </si>
  <si>
    <t xml:space="preserve">206 NE 20th St </t>
  </si>
  <si>
    <t xml:space="preserve">1502 Martins Point Rd </t>
  </si>
  <si>
    <t>Barry &amp; Suzanne Hague</t>
  </si>
  <si>
    <t>Thomas &amp; Patricia Kolojeski</t>
  </si>
  <si>
    <t>Cape Coral Unit 47 Pt 2 Blk 3538 Pb 23 Pg 117 Lots 13 + 14</t>
  </si>
  <si>
    <t xml:space="preserve">8130 Clifford Ct  Laurel, MD 20723-2028 </t>
  </si>
  <si>
    <t>Cape Coral Unit 47 Pt 2 Blk 2093 Pb 23 Pg 120 Lots 64 + 65</t>
  </si>
  <si>
    <t>C068</t>
  </si>
  <si>
    <t>John &amp; Paula Dolce</t>
  </si>
  <si>
    <t>11368-3142</t>
  </si>
  <si>
    <t xml:space="preserve">3018 NE 1st Ave </t>
  </si>
  <si>
    <t>Brannan</t>
  </si>
  <si>
    <t>03-44-26-06-00028.0250</t>
  </si>
  <si>
    <t>Quynh Le</t>
  </si>
  <si>
    <t>Mont-Tremblant</t>
  </si>
  <si>
    <t xml:space="preserve">9510 NE 124th St </t>
  </si>
  <si>
    <t xml:space="preserve">2124 NE 6th Ave </t>
  </si>
  <si>
    <t xml:space="preserve">2070 20th Ln 6a, Brooklyn, NY 11214-6340 </t>
  </si>
  <si>
    <t xml:space="preserve">2595 SW 99th Ct  Miami, FL 33165-2666 </t>
  </si>
  <si>
    <t>R085</t>
  </si>
  <si>
    <t xml:space="preserve">11 Waters Ave  Staten Island, NY 10314-3109 </t>
  </si>
  <si>
    <t>33909-2673</t>
  </si>
  <si>
    <t>Cape Coral Unit 20 Part 2 Blk 1180 Pb 19 Pg 45 Lots 23 + 24</t>
  </si>
  <si>
    <t>Rose Hill</t>
  </si>
  <si>
    <t xml:space="preserve">5484 Cypress Trail Resort Cir  Fort Myers, FL 33905 </t>
  </si>
  <si>
    <t xml:space="preserve">1011 NE 34th St  Cape Coral, FL 33909 </t>
  </si>
  <si>
    <t>Meng</t>
  </si>
  <si>
    <t>Lehigh Acres Unit 3 Blk 13 Pb 26 Pg 5 Lot 8</t>
  </si>
  <si>
    <t>60007-3469</t>
  </si>
  <si>
    <t>Falcon View</t>
  </si>
  <si>
    <t xml:space="preserve">7085 Parcell Rd  Auburn, NY 13021-9269 </t>
  </si>
  <si>
    <t>Glenoak</t>
  </si>
  <si>
    <t>English</t>
  </si>
  <si>
    <t>06-46-24-06-00000.1010</t>
  </si>
  <si>
    <t>Cape Coral Unit 84 Blk 5550 Pb 24 Pg 39 Lots 19 + 20</t>
  </si>
  <si>
    <t>Colletto</t>
  </si>
  <si>
    <t>For Zemel Trust</t>
  </si>
  <si>
    <t xml:space="preserve">2880 Meridian Dr  Dacula, GA 30019-3026 </t>
  </si>
  <si>
    <t>Cape Coral Unit 33 Blk 2208 Pb 16 Pg 41 Lots 8 + 9</t>
  </si>
  <si>
    <t xml:space="preserve">900 W Whitmer St </t>
  </si>
  <si>
    <t xml:space="preserve">879 329th Ave NW </t>
  </si>
  <si>
    <t>Kivell</t>
  </si>
  <si>
    <t>Orange Harbor Co-Op As Desc In Inst# 2012000226486 Lot 1253</t>
  </si>
  <si>
    <t xml:space="preserve">4850 Grand Haven Ct </t>
  </si>
  <si>
    <t xml:space="preserve">811 Vogiantzis Pkwy </t>
  </si>
  <si>
    <t xml:space="preserve">1317 NE 33rd Ter  Cape Coral, FL 33909 </t>
  </si>
  <si>
    <t xml:space="preserve">309 NE 15th Ter  Cape Coral, FL 33909 </t>
  </si>
  <si>
    <t>44116-3076</t>
  </si>
  <si>
    <t xml:space="preserve">319 NE 25th St </t>
  </si>
  <si>
    <t>33904-2737</t>
  </si>
  <si>
    <t>Cape Coral Unit 10 Blk 239 Pb 13 Pg 31 Lots 14 + 15</t>
  </si>
  <si>
    <t>Juan &amp; Mary Fuentes</t>
  </si>
  <si>
    <t>01-44-23-c2-02430.0530</t>
  </si>
  <si>
    <t>Hidden Valley</t>
  </si>
  <si>
    <t xml:space="preserve">510 Jaguar Ct #42, Marshall, MN 56258-5500 </t>
  </si>
  <si>
    <t>93230-8556</t>
  </si>
  <si>
    <t xml:space="preserve">275 George St </t>
  </si>
  <si>
    <t>Mireila</t>
  </si>
  <si>
    <t xml:space="preserve">2600 Wildwood Ln </t>
  </si>
  <si>
    <t xml:space="preserve">1221 NE 4th Pl </t>
  </si>
  <si>
    <t>07307-1115</t>
  </si>
  <si>
    <t>Dalouny</t>
  </si>
  <si>
    <t xml:space="preserve">4411 Running Pine Dr  League City, TX 77573-4750 </t>
  </si>
  <si>
    <t>25-43-23-c3-02352.0090</t>
  </si>
  <si>
    <t>33909-3357</t>
  </si>
  <si>
    <t xml:space="preserve">1208 Kismet Pkwy E  Cape Coral, FL 33909 </t>
  </si>
  <si>
    <t>03-44-26-04-00017.0060</t>
  </si>
  <si>
    <t xml:space="preserve">3923 NE 9th Ave  Cape Coral, FL 33909 </t>
  </si>
  <si>
    <t>Michael &amp; Carla Moore</t>
  </si>
  <si>
    <t xml:space="preserve">1225 NE 13th Pl </t>
  </si>
  <si>
    <t>Shirley Carter</t>
  </si>
  <si>
    <t xml:space="preserve">106 Darley Ln </t>
  </si>
  <si>
    <t>Sturgis</t>
  </si>
  <si>
    <t>County Way</t>
  </si>
  <si>
    <t>Cape Coral Unit 47 Pt 2 Blk 3539 Pb 23 Pg 117 Lots 36 + 37</t>
  </si>
  <si>
    <t>Clermont</t>
  </si>
  <si>
    <t>33909-1450</t>
  </si>
  <si>
    <t>19-43-24-c3-05619.0310</t>
  </si>
  <si>
    <t>Evergreen</t>
  </si>
  <si>
    <t>Lake Barrington</t>
  </si>
  <si>
    <t xml:space="preserve">3135 Andalusia Blvd  Cape Coral, FL 33909 </t>
  </si>
  <si>
    <t>Cape Coral Unit 33 Blk 2189 Pb 16 Pg 50 Lots 54 + 55</t>
  </si>
  <si>
    <t xml:space="preserve">4426 Washington St  Spencerport, NY 14559 </t>
  </si>
  <si>
    <t>Eastridge</t>
  </si>
  <si>
    <t>Hilary</t>
  </si>
  <si>
    <t>34234-7456</t>
  </si>
  <si>
    <t>AP</t>
  </si>
  <si>
    <t>32259-9264</t>
  </si>
  <si>
    <t xml:space="preserve">480 Lombardy Blvd  Brightwaters, NY 11718-1008 </t>
  </si>
  <si>
    <t>Cape Coral Unit 85 Blk 5658 Pb 24 Pg 54 Lots 33 + 34</t>
  </si>
  <si>
    <t xml:space="preserve">21642 County Road 43 NW </t>
  </si>
  <si>
    <t xml:space="preserve">2004 NE 33rd Ln  Cape Coral, FL 33909 </t>
  </si>
  <si>
    <t xml:space="preserve">555 Sacramento St  North Fort Myers, FL 33903 </t>
  </si>
  <si>
    <t xml:space="preserve">2832 Tech Dr </t>
  </si>
  <si>
    <t>49301-9120</t>
  </si>
  <si>
    <t>33903-5556</t>
  </si>
  <si>
    <t xml:space="preserve">3825 Honey Ct </t>
  </si>
  <si>
    <t>Praveen</t>
  </si>
  <si>
    <t xml:space="preserve">741 E Milton Ave  Rahway, NJ 07065-5637 </t>
  </si>
  <si>
    <t>PO Box 2430</t>
  </si>
  <si>
    <t>Cape Coral Unit 85 Blk 5636 Pb 24 Pg 55 Lots 5 + 6</t>
  </si>
  <si>
    <t xml:space="preserve">2216 NE 9th Pl  Cape Coral, FL 33909 </t>
  </si>
  <si>
    <t xml:space="preserve">1209 NE 7th Pl </t>
  </si>
  <si>
    <t xml:space="preserve">39 Pilot Ln </t>
  </si>
  <si>
    <t>Cape Coral Unit 84 Blk 5608 Pb 24 Pg 36 Lots 39 + 40</t>
  </si>
  <si>
    <t xml:space="preserve">18 W 15th Rd  Broad Channel, NY 11693-1204 </t>
  </si>
  <si>
    <t>47th</t>
  </si>
  <si>
    <t>18045-5773</t>
  </si>
  <si>
    <t xml:space="preserve">PO Box 1807  Windham, ME 04062-1807 </t>
  </si>
  <si>
    <t xml:space="preserve">84/5 Bld De La Meuse  Jambes, BE </t>
  </si>
  <si>
    <t xml:space="preserve">24 Kismet Pkwy E  Cape Coral, FL 33909 </t>
  </si>
  <si>
    <t>For Mascali Family Trust</t>
  </si>
  <si>
    <t xml:space="preserve">400 Mistletoe Hollow Rd  Gadsden, AL 35901-5738 </t>
  </si>
  <si>
    <t>Quito</t>
  </si>
  <si>
    <t>Soares Maria H Tr</t>
  </si>
  <si>
    <t xml:space="preserve">3003 Odom Ave  Pascagoula, MS 39581-2672 </t>
  </si>
  <si>
    <t>Cape Coral Unit 88 Blk 5767 Pb 24 Pg 132 Lots 26 + 27</t>
  </si>
  <si>
    <t xml:space="preserve">2302 Hidden Valley Ct  Oxnard, CA 93036-2723 </t>
  </si>
  <si>
    <t>Erasmo &amp; Linda Scipione</t>
  </si>
  <si>
    <t>31-43-24-c1-02147.0330</t>
  </si>
  <si>
    <t>Jacqueline &amp; Joyce Graham</t>
  </si>
  <si>
    <t>Coral Lakes Tract 3 Replat Block 7060 Lot 69 As Desc In Inst 2021000420375</t>
  </si>
  <si>
    <t>33909-4815</t>
  </si>
  <si>
    <t>Cape Coral Unit 32 Blk 2103 Pb 16 Pg 5 Lots 12 + 13</t>
  </si>
  <si>
    <t>Holiday Travel Park R V Condo Ph 2 Or 1557 Pg 1600 Unit 450</t>
  </si>
  <si>
    <t>PO Box 21</t>
  </si>
  <si>
    <t>34-43-24-02-00034.0150</t>
  </si>
  <si>
    <t xml:space="preserve">2126 NE 23rd Ter  Cape Coral, FL 33909 </t>
  </si>
  <si>
    <t>Barbara Woods</t>
  </si>
  <si>
    <t xml:space="preserve">4948 Sorrento Ct  Cape Coral, FL 33904 </t>
  </si>
  <si>
    <t xml:space="preserve">10501 Landing Way #232 </t>
  </si>
  <si>
    <t xml:space="preserve">27 Balin Ave  South Setauket, NY 11720-1123 </t>
  </si>
  <si>
    <t>Cuon</t>
  </si>
  <si>
    <t>Alameda</t>
  </si>
  <si>
    <t>03-44-26-08-00036.0300</t>
  </si>
  <si>
    <t>33544-5521</t>
  </si>
  <si>
    <t>C014</t>
  </si>
  <si>
    <t>Cape Coral Unit 87 Blk.5706 Pb 24 Pg 76 Lots 63 + 64</t>
  </si>
  <si>
    <t>17-43-24-c3-05782.0320</t>
  </si>
  <si>
    <t xml:space="preserve">335 Yampa Way  Fremont, CA 94539-8028 </t>
  </si>
  <si>
    <t>Cape Coral Unit 36 Blk 2542 Pb 23 Pg 94 Lots 20 + 21</t>
  </si>
  <si>
    <t xml:space="preserve">4209 Oak Hill Dr  Annandale, VA 22003-3420 </t>
  </si>
  <si>
    <t>Heath</t>
  </si>
  <si>
    <t xml:space="preserve">2213 NE 15th Ter  Cape Coral, FL 33909 </t>
  </si>
  <si>
    <t>36-44-23-c4-00879.0200</t>
  </si>
  <si>
    <t xml:space="preserve">921 NE 4th Pl </t>
  </si>
  <si>
    <t>Cape Coral Unit 84 Blk 5557 Pb 24 Pg 32 Lots 23 + 24</t>
  </si>
  <si>
    <t>Vicky</t>
  </si>
  <si>
    <t>Dale Davis</t>
  </si>
  <si>
    <t xml:space="preserve">PO Box 25366  Miami, FL 33102-5366 </t>
  </si>
  <si>
    <t>Blackwood</t>
  </si>
  <si>
    <t>R031</t>
  </si>
  <si>
    <t>Manuel &amp; Gloria Paredes</t>
  </si>
  <si>
    <t>36-43-23-c2-02544.0050</t>
  </si>
  <si>
    <t xml:space="preserve">16 Skyline Dr #804, Montville, NJ 07045-7033 </t>
  </si>
  <si>
    <t>32-43-24-c4-02224.0270</t>
  </si>
  <si>
    <t>Nesbitt</t>
  </si>
  <si>
    <t xml:space="preserve">6117 Humboldt Ave </t>
  </si>
  <si>
    <t>County Road 633</t>
  </si>
  <si>
    <t>Robert &amp; Melissa Robinson</t>
  </si>
  <si>
    <t>Canonne</t>
  </si>
  <si>
    <t>Ihor</t>
  </si>
  <si>
    <t>33909-6265</t>
  </si>
  <si>
    <t xml:space="preserve">1720 Sylvan Ct  Flossmoor, IL 60422-1944 </t>
  </si>
  <si>
    <t>Thomas James A Tr</t>
  </si>
  <si>
    <t xml:space="preserve">1924 NE 24th Ter </t>
  </si>
  <si>
    <t xml:space="preserve">34 Alexander St </t>
  </si>
  <si>
    <t>Richard &amp; Karen Young</t>
  </si>
  <si>
    <t>18-43-24-c2-05731.0010</t>
  </si>
  <si>
    <t>Rebekah</t>
  </si>
  <si>
    <t>92508-9589</t>
  </si>
  <si>
    <t>50 58th</t>
  </si>
  <si>
    <t>PO Box 369</t>
  </si>
  <si>
    <t>Cape Coral Unit 85 Blk 5671 Pb 24 Pg 52 Lots 45 + 46</t>
  </si>
  <si>
    <t>Driftwood</t>
  </si>
  <si>
    <t xml:space="preserve">1815 Krebs Station Rd  Paducah, KY 42003-9218 </t>
  </si>
  <si>
    <t xml:space="preserve">10210 Yellowtop Trl </t>
  </si>
  <si>
    <t>Glen Ridge</t>
  </si>
  <si>
    <t>20-43-24-c2-05655.0010</t>
  </si>
  <si>
    <t>18-43-24-c1-05687.0270</t>
  </si>
  <si>
    <t xml:space="preserve">8302 Miami Cir  Westminster, CA 92683-4511 </t>
  </si>
  <si>
    <t xml:space="preserve">5207 Pineland Daisy Trl </t>
  </si>
  <si>
    <t xml:space="preserve">656 Timber Creek Dr </t>
  </si>
  <si>
    <t>Miami Springs</t>
  </si>
  <si>
    <t>Tuan</t>
  </si>
  <si>
    <t xml:space="preserve">156 Pebble Shores Dr #201 </t>
  </si>
  <si>
    <t>For R G &amp; A J Berquist Trust</t>
  </si>
  <si>
    <t>H M H &amp; Aseneth Russell</t>
  </si>
  <si>
    <t>02539-7727</t>
  </si>
  <si>
    <t>20-43-24-c3-05637.0190</t>
  </si>
  <si>
    <t xml:space="preserve">3735 Barrelwood Dr  Las Vegas, NV 89147-6819 </t>
  </si>
  <si>
    <t>Terry Town</t>
  </si>
  <si>
    <t>31-43-24-c3-02140.0320</t>
  </si>
  <si>
    <t>Union Park</t>
  </si>
  <si>
    <t>Gregory &amp; Ruth Sliviak</t>
  </si>
  <si>
    <t>33401-6325</t>
  </si>
  <si>
    <t>Neff</t>
  </si>
  <si>
    <t xml:space="preserve">8009 Karl Rd  Alexandria, VA 22308-1456 </t>
  </si>
  <si>
    <t>Endlichhofer Trust</t>
  </si>
  <si>
    <t>11692-1250</t>
  </si>
  <si>
    <t xml:space="preserve">2615 NE 21st Pl  Cape Coral, FL 33909 </t>
  </si>
  <si>
    <t>Chin Crump</t>
  </si>
  <si>
    <t xml:space="preserve">819 NE 16th Ter  Cape Coral, FL 33909 </t>
  </si>
  <si>
    <t xml:space="preserve">506 Gale Ct  Wisconsin Dells, WI 53965-8643 </t>
  </si>
  <si>
    <t>33909-3303</t>
  </si>
  <si>
    <t>Rosa Correa &amp; Santiago Alvarado</t>
  </si>
  <si>
    <t>11-44-25-11-00000.2350</t>
  </si>
  <si>
    <t xml:space="preserve">2121 NE 23rd Pl </t>
  </si>
  <si>
    <t>Duesseldorf</t>
  </si>
  <si>
    <t>Australia</t>
  </si>
  <si>
    <t xml:space="preserve">2607 NE 1st Ave </t>
  </si>
  <si>
    <t>Robert &amp; Joyce Nelson</t>
  </si>
  <si>
    <t>Cape Coral Unit 36 Part 1 Blk 2498 Pb 23 Pg 92 Lots 13 + 14</t>
  </si>
  <si>
    <t>Cape Coral Unit 84 Blk 5551 Pb 24 Pg 38 Lots 11 + 12</t>
  </si>
  <si>
    <t xml:space="preserve">1810 NE 17th Ave  Cape Coral, FL 33909 </t>
  </si>
  <si>
    <t xml:space="preserve">118 Wilton Ave </t>
  </si>
  <si>
    <t>11-44-25-09-00000.2120</t>
  </si>
  <si>
    <t xml:space="preserve">2122 NE 19th Pl </t>
  </si>
  <si>
    <t>Cape Coral Unit 36 Blk 2342 Pb 16 Pg 121 Lots 47 + 48</t>
  </si>
  <si>
    <t>Erasmo</t>
  </si>
  <si>
    <t xml:space="preserve">227 NE 20th Ter  Cape Coral, FL 33909 </t>
  </si>
  <si>
    <t xml:space="preserve">7 Auf Jaegert  Mount Horeb, WI 53572 </t>
  </si>
  <si>
    <t xml:space="preserve">303 NE 6th Ter  Cape Coral, FL 33909 </t>
  </si>
  <si>
    <t>Gatto George V Tr</t>
  </si>
  <si>
    <t>Rosenstrasse</t>
  </si>
  <si>
    <t>Cape Coral Unit 35 Blk.2368 Pb 16 Pg 101 Lots 9 + 10</t>
  </si>
  <si>
    <t xml:space="preserve">1838 NE 34th Ln </t>
  </si>
  <si>
    <t xml:space="preserve">23688 Dunston Rd </t>
  </si>
  <si>
    <t>San Clemente</t>
  </si>
  <si>
    <t>30040-6450</t>
  </si>
  <si>
    <t>Cape Coral Unit 9 Blk.272 Pb 13 Pg 9 Lots 6 + 7</t>
  </si>
  <si>
    <t>De Espinosa Camacho</t>
  </si>
  <si>
    <t xml:space="preserve">407 Saddlebrook Ln </t>
  </si>
  <si>
    <t>Bonita Springs</t>
  </si>
  <si>
    <t>Dominio &amp; Frances Russo</t>
  </si>
  <si>
    <t xml:space="preserve">1840 Aqui Esta Dr #2323, Punta Gorda, FL 33950-6537 </t>
  </si>
  <si>
    <t xml:space="preserve">322 NE 11th St  Cape Coral, FL 33909 </t>
  </si>
  <si>
    <t xml:space="preserve">1813 NE 22nd St </t>
  </si>
  <si>
    <t xml:space="preserve">17 Lake Arbor Dr </t>
  </si>
  <si>
    <t xml:space="preserve">3400 Timberline Dr </t>
  </si>
  <si>
    <t>17-44-25-p2-0170g.0140</t>
  </si>
  <si>
    <t xml:space="preserve">528 Fairview Ave </t>
  </si>
  <si>
    <t>Cape Coral Unit 87 Blk 5752 Pb 24 Pg 68 Lots 27 + 28</t>
  </si>
  <si>
    <t>62275-3515</t>
  </si>
  <si>
    <t xml:space="preserve">216 River St  Gananoque, ON K7g 2P7 </t>
  </si>
  <si>
    <t>Clinton Township</t>
  </si>
  <si>
    <t xml:space="preserve">1002 NE 33rd St  Cape Coral, FL 33909 </t>
  </si>
  <si>
    <t xml:space="preserve">12321 Davis Blvd  Fort Myers, FL 33905 </t>
  </si>
  <si>
    <t>11-44-25-04-0000b.0850</t>
  </si>
  <si>
    <t>Cape Coral Unit 35 Blk 2396 Pb 16 Pg 103 Lots 16 + 17</t>
  </si>
  <si>
    <t>Willingboro</t>
  </si>
  <si>
    <t>L5J 1P2</t>
  </si>
  <si>
    <t>11-44-25-05-0000c.0840</t>
  </si>
  <si>
    <t>Fountain View R V Resort Or 1627 Pg 0179 Lot 131</t>
  </si>
  <si>
    <t xml:space="preserve">19 Buchanan St </t>
  </si>
  <si>
    <t>Delaney</t>
  </si>
  <si>
    <t>Rodney French</t>
  </si>
  <si>
    <t xml:space="preserve">10094 Raven Dr </t>
  </si>
  <si>
    <t xml:space="preserve">1801 NE 7th Pl  Cape Coral, FL 33909 </t>
  </si>
  <si>
    <t>17-43-24-c2-05780.0290</t>
  </si>
  <si>
    <t>33909-4379</t>
  </si>
  <si>
    <t>Robert Adams</t>
  </si>
  <si>
    <t xml:space="preserve">31534 Glen View Ln  Flat Rock, MI 48134-1820 </t>
  </si>
  <si>
    <t>Allen &amp; Patricia Geiman</t>
  </si>
  <si>
    <t xml:space="preserve">2214 Andalusia Blvd  Cape Coral, FL 33909 </t>
  </si>
  <si>
    <t>For Katherine A Belles Living Trust</t>
  </si>
  <si>
    <t>33909-8407</t>
  </si>
  <si>
    <t xml:space="preserve">2204 NE 14th Pl  Cape Coral, FL 33909 </t>
  </si>
  <si>
    <t>Tautvydas Lukauskas</t>
  </si>
  <si>
    <t>19-43-24-c1-05547.0170</t>
  </si>
  <si>
    <t xml:space="preserve">5862 Burrwood Ct </t>
  </si>
  <si>
    <t>Cape Coral Unit 19 Blk 1243 Pb 13 Pg 134 Lots 15 + 16</t>
  </si>
  <si>
    <t>25-43-23-c4-02290.0030</t>
  </si>
  <si>
    <t xml:space="preserve">529 Camway Dr </t>
  </si>
  <si>
    <t xml:space="preserve">1321 SE 32nd Ter </t>
  </si>
  <si>
    <t xml:space="preserve">2826 NE 6th Ave  Cape Coral, FL 33909 </t>
  </si>
  <si>
    <t>11-44-25-07-00000.1420</t>
  </si>
  <si>
    <t xml:space="preserve">69 Mcpherson Cir  Sterling, VA 20165-5780 </t>
  </si>
  <si>
    <t>River Point</t>
  </si>
  <si>
    <t xml:space="preserve">3409 NE 8th Pl  Cape Coral, FL 33909 </t>
  </si>
  <si>
    <t xml:space="preserve">PO Box 680150  Corona, NY 11368 </t>
  </si>
  <si>
    <t>Erik Rankin</t>
  </si>
  <si>
    <t>Sylmar</t>
  </si>
  <si>
    <t>For 543 Fourth Trust</t>
  </si>
  <si>
    <t xml:space="preserve">PO Box 369  Braidwood, IL 60408 </t>
  </si>
  <si>
    <t>33909-6211</t>
  </si>
  <si>
    <t>David &amp; Linda Placko</t>
  </si>
  <si>
    <t>Kevin Nesbitt</t>
  </si>
  <si>
    <t xml:space="preserve">3002 NE 1st Ave  Cape Coral, FL 33909 </t>
  </si>
  <si>
    <t>C063</t>
  </si>
  <si>
    <t xml:space="preserve">1706 NE 1st Pl  Cape Coral, FL 33909 </t>
  </si>
  <si>
    <t>Cape Coral Unit 33 Blk 2181 Pb 16 Pg 49 Lots 75 + 76</t>
  </si>
  <si>
    <t>Mckinney</t>
  </si>
  <si>
    <t>Calle Sabatini</t>
  </si>
  <si>
    <t>03-44-26-13-00070.0150</t>
  </si>
  <si>
    <t>Barillaro Giorgio Tr</t>
  </si>
  <si>
    <t>20-43-24-c3-05671.0290</t>
  </si>
  <si>
    <t xml:space="preserve">1042 Twilight Dr </t>
  </si>
  <si>
    <t>Stopello</t>
  </si>
  <si>
    <t xml:space="preserve">64 Buchrainstrasse </t>
  </si>
  <si>
    <t>Hanif</t>
  </si>
  <si>
    <t xml:space="preserve">20 Ortlieb Ln </t>
  </si>
  <si>
    <t>Oakland Gardens</t>
  </si>
  <si>
    <t>Dora Veliz &amp; Luis Saavedra</t>
  </si>
  <si>
    <t>33428-6152</t>
  </si>
  <si>
    <t xml:space="preserve">2036 NE 20th Ter </t>
  </si>
  <si>
    <t>Fdot</t>
  </si>
  <si>
    <t xml:space="preserve">32 NE 23rd Ter </t>
  </si>
  <si>
    <t xml:space="preserve">71 Des Lotus Rue </t>
  </si>
  <si>
    <t>Asparrin</t>
  </si>
  <si>
    <t>32826-5512</t>
  </si>
  <si>
    <t xml:space="preserve">848 Vogiantzis Pkwy </t>
  </si>
  <si>
    <t>Carbondale</t>
  </si>
  <si>
    <t>33009-5954</t>
  </si>
  <si>
    <t xml:space="preserve">12401 River Rd </t>
  </si>
  <si>
    <t xml:space="preserve">2816 Waldens Pond Cv </t>
  </si>
  <si>
    <t xml:space="preserve">10336 Prairie Iris Dr </t>
  </si>
  <si>
    <t>Hiram</t>
  </si>
  <si>
    <t>Six Lakes Country Club M/H Pk Or 1775 Pg 4634 Lot 151</t>
  </si>
  <si>
    <t>Hajcak</t>
  </si>
  <si>
    <t>Chong</t>
  </si>
  <si>
    <t>Red Bird</t>
  </si>
  <si>
    <t xml:space="preserve">4117 NE 8th Pl </t>
  </si>
  <si>
    <t xml:space="preserve">2102 NE 22nd Pl  Cape Coral, FL 33909 </t>
  </si>
  <si>
    <t xml:space="preserve">4145 NE 16th Ave  Cape Coral, FL 33909 </t>
  </si>
  <si>
    <t>Fackel</t>
  </si>
  <si>
    <t>Carol &amp; For Reed</t>
  </si>
  <si>
    <t>60565-2926</t>
  </si>
  <si>
    <t>36-43-23-c2-02172.0350</t>
  </si>
  <si>
    <t>Francisco Hernandez &amp; Evelyn Tua</t>
  </si>
  <si>
    <t>Buena Vista</t>
  </si>
  <si>
    <t>Lincolnwood</t>
  </si>
  <si>
    <t xml:space="preserve">3135 S 22nd St </t>
  </si>
  <si>
    <t xml:space="preserve">3804 NE 9th Pl </t>
  </si>
  <si>
    <t xml:space="preserve">201 Education Ave  Durham, NC 27713-5904 </t>
  </si>
  <si>
    <t>Viet Duong &amp; Dalouny Somala</t>
  </si>
  <si>
    <t>Denissa Grace &amp; Denissa For</t>
  </si>
  <si>
    <t xml:space="preserve">3438 NE 8th Pl  Cape Coral, FL 33909 </t>
  </si>
  <si>
    <t xml:space="preserve">76 Fieldcrest Dr  Moncton, NB E1g 1S4 </t>
  </si>
  <si>
    <t xml:space="preserve">13545 Marquette Blvd </t>
  </si>
  <si>
    <t xml:space="preserve">1532 S Gator Cir  Cape Coral, FL 33909 </t>
  </si>
  <si>
    <t xml:space="preserve">3101 S Ocean Dr #3003, Hollywood, FL 33019-2838 </t>
  </si>
  <si>
    <t>01-44-23-c4-02412.0160</t>
  </si>
  <si>
    <t xml:space="preserve">7346 Cinnamon Tea Ln  Jacksonville, FL 32244-7075 </t>
  </si>
  <si>
    <t>18951-3747</t>
  </si>
  <si>
    <t>32-43-24-c3-02236.0250</t>
  </si>
  <si>
    <t>11779-5903</t>
  </si>
  <si>
    <t xml:space="preserve">2310 NE 24th Ave  Cape Coral, FL 33909 </t>
  </si>
  <si>
    <t>Diane Sumarnkant</t>
  </si>
  <si>
    <t xml:space="preserve">6 Bishop Ave </t>
  </si>
  <si>
    <t>33181-1175</t>
  </si>
  <si>
    <t xml:space="preserve">Po Box 1023 </t>
  </si>
  <si>
    <t>Coteville</t>
  </si>
  <si>
    <t>E</t>
  </si>
  <si>
    <t xml:space="preserve">927 NE 32nd St  Cape Coral, FL 33909 </t>
  </si>
  <si>
    <t>For Willis L Woods Family Living Trust</t>
  </si>
  <si>
    <t xml:space="preserve">28312 Katie Rd </t>
  </si>
  <si>
    <t xml:space="preserve">1422 NE 20th St </t>
  </si>
  <si>
    <t>31-43-24-c2-02127.0170</t>
  </si>
  <si>
    <t>Carlton</t>
  </si>
  <si>
    <t>Porfirio Vivas</t>
  </si>
  <si>
    <t>83642-7378</t>
  </si>
  <si>
    <t xml:space="preserve">931 NE 23rd Ter  Cape Coral, FL 33909 </t>
  </si>
  <si>
    <t>Nyack</t>
  </si>
  <si>
    <t>Rock Spring</t>
  </si>
  <si>
    <t xml:space="preserve">535 NE 6th Ter </t>
  </si>
  <si>
    <t>Yandy</t>
  </si>
  <si>
    <t>Mulberry</t>
  </si>
  <si>
    <t xml:space="preserve">8160 Jibb Rd  Cobourg, ON K9a 4J7 </t>
  </si>
  <si>
    <t xml:space="preserve">5069 SW 139th Ave  Miramar, FL 33027-5947 </t>
  </si>
  <si>
    <t>19-43-24-c2-05592.0270</t>
  </si>
  <si>
    <t xml:space="preserve">2110 NE 41st St  Cape Coral, FL 33909 </t>
  </si>
  <si>
    <t>Norbert</t>
  </si>
  <si>
    <t>Alfred Chan &amp; Eddie Leung</t>
  </si>
  <si>
    <t>Cape Coral Unit 47 Pt 2 Blk 2093 Pb 23 Pg 120 Lots 62 + 63</t>
  </si>
  <si>
    <t>Wolford</t>
  </si>
  <si>
    <t xml:space="preserve">1014 NE 14th Ave </t>
  </si>
  <si>
    <t>A S A &amp; Natalie Douvas</t>
  </si>
  <si>
    <t>Palmona Park Unit 2 Blk 30 Pb 7 Pg 56 N 1/2 Of Lots 11 + 12</t>
  </si>
  <si>
    <t>George &amp; Anna Apergis</t>
  </si>
  <si>
    <t>36-43-23-c3-02479.0290</t>
  </si>
  <si>
    <t xml:space="preserve">223 Diplomat Pkwy E  Cape Coral, FL 33909 </t>
  </si>
  <si>
    <t xml:space="preserve">3 Vito Ct  Rowley, MA 01969-2446 </t>
  </si>
  <si>
    <t>Grieco</t>
  </si>
  <si>
    <t xml:space="preserve">2039 NE 20th Ln  Cape Coral, FL 33909 </t>
  </si>
  <si>
    <t xml:space="preserve">44299 Princeton Dr  Clinton Township, MI 48038-1095 </t>
  </si>
  <si>
    <t xml:space="preserve">1224 NE 7th Ave  Cape Coral, FL 33909 </t>
  </si>
  <si>
    <t xml:space="preserve">24991 Hendon St </t>
  </si>
  <si>
    <t xml:space="preserve">7631 S 41st Ave  Bellevue, NE 68147-1728 </t>
  </si>
  <si>
    <t>Zaleski</t>
  </si>
  <si>
    <t>Thomas + Johnson 1St Addn Tice Blk B Pb 5 Pg 52 Lots 27 + 28</t>
  </si>
  <si>
    <t>Mallette</t>
  </si>
  <si>
    <t>James &amp; Debra Lucas</t>
  </si>
  <si>
    <t>Rhoden</t>
  </si>
  <si>
    <t xml:space="preserve">231 174th St #2117, Sunny Isles Beach, FL 33160-3321 </t>
  </si>
  <si>
    <t>Pefferlaw</t>
  </si>
  <si>
    <t xml:space="preserve">1619 NE 34th Ln </t>
  </si>
  <si>
    <t xml:space="preserve">2010 NE 18th Ave  Cape Coral, FL 33909 </t>
  </si>
  <si>
    <t>Wimbledon London</t>
  </si>
  <si>
    <t>Cape Coral Unit 33 Blk.2258 Pb 16 Pg 59 Lots 10 + 11</t>
  </si>
  <si>
    <t xml:space="preserve">9331 Stanmoor Ln  Jacksonville, FL 32244-7154 </t>
  </si>
  <si>
    <t>Rue De La Penze</t>
  </si>
  <si>
    <t>Westby</t>
  </si>
  <si>
    <t>Erie</t>
  </si>
  <si>
    <t>33065-2242</t>
  </si>
  <si>
    <t>Aaron Martinez &amp; Priscilla Canales</t>
  </si>
  <si>
    <t>32-43-24-c1-02191.0330</t>
  </si>
  <si>
    <t>El Paso</t>
  </si>
  <si>
    <t xml:space="preserve">1232 Route 20 </t>
  </si>
  <si>
    <t>Sugar Pine</t>
  </si>
  <si>
    <t>19-43-24-c3-05609.0530</t>
  </si>
  <si>
    <t>70118-1916</t>
  </si>
  <si>
    <t>Loc</t>
  </si>
  <si>
    <t xml:space="preserve">213 Fox Hollow Dr  Hudson, NH 03051-4857 </t>
  </si>
  <si>
    <t xml:space="preserve">1503 NE 19th Ter </t>
  </si>
  <si>
    <t>11-44-25-11-00000.0410</t>
  </si>
  <si>
    <t xml:space="preserve">3433 NE 10th Ave  Cape Coral, FL 33909 </t>
  </si>
  <si>
    <t xml:space="preserve">2893 Bottlebrush Dr </t>
  </si>
  <si>
    <t>Cape Coral Unit 33 Blk 2222 Pb 16 Pg 44 Lots 28 + 29</t>
  </si>
  <si>
    <t>Cypress Trail Rv Resort Phase 2-B As Desc In Inst# 2015000013050 Lot 475</t>
  </si>
  <si>
    <t>33417-2103</t>
  </si>
  <si>
    <t>Cotnoir</t>
  </si>
  <si>
    <t xml:space="preserve">PO Box 415  La Crosse, FL 32658 </t>
  </si>
  <si>
    <t>25-43-23-c2-02319.0390</t>
  </si>
  <si>
    <t>Cape Coral Unit 87 Blk 5680 Pb 24 Pg 73 Lot 1</t>
  </si>
  <si>
    <t xml:space="preserve">1234 Buloxi Ct  Grayson, GA 30017-2969 </t>
  </si>
  <si>
    <t xml:space="preserve">311 NW 82nd Ave #1217 </t>
  </si>
  <si>
    <t>45251-4600</t>
  </si>
  <si>
    <t>Arnholt Philip J Tr</t>
  </si>
  <si>
    <t>Nelly Bond &amp; Alexei Bondar</t>
  </si>
  <si>
    <t xml:space="preserve">20230 Warrington Dr </t>
  </si>
  <si>
    <t>PO Box 653</t>
  </si>
  <si>
    <t>Tautvydas</t>
  </si>
  <si>
    <t>19-43-24-c1-05582.0070</t>
  </si>
  <si>
    <t>06820-5130</t>
  </si>
  <si>
    <t xml:space="preserve">3412 NE 20th Ave  Cape Coral, FL 33909 </t>
  </si>
  <si>
    <t>25-43-23-c3-02355.0520</t>
  </si>
  <si>
    <t>Alfredo Ortiz</t>
  </si>
  <si>
    <t>Bahama</t>
  </si>
  <si>
    <t xml:space="preserve">120 NE 25th St </t>
  </si>
  <si>
    <t>Castellon</t>
  </si>
  <si>
    <t>Richard &amp; Michele Smith</t>
  </si>
  <si>
    <t>Breakneck</t>
  </si>
  <si>
    <t>Cathy &amp; Ryan Cooley</t>
  </si>
  <si>
    <t>19-43-24-c3-05622.0250</t>
  </si>
  <si>
    <t>Cape Coral Unit 36 Blk 2298B Pb 16 Pg 122 Lots 6 + 7</t>
  </si>
  <si>
    <t xml:space="preserve">2480 Lakebend Dr  Little Elm, TX 75068-6012 </t>
  </si>
  <si>
    <t>11-44-24-01-00400.0230</t>
  </si>
  <si>
    <t>Rodger Veneman</t>
  </si>
  <si>
    <t xml:space="preserve">16 Lark Pl </t>
  </si>
  <si>
    <t>Adianys</t>
  </si>
  <si>
    <t>Cypress Woods Rv Resort Desc In Inst#2006-358211 Lot 177</t>
  </si>
  <si>
    <t xml:space="preserve">16 Langenfelder St </t>
  </si>
  <si>
    <t>33904-9771</t>
  </si>
  <si>
    <t>Cape Coral Unit 36 Pt 1 Blk 2489 Pb 23 Pg 91 Lots 29 + 30</t>
  </si>
  <si>
    <t>33015-5446</t>
  </si>
  <si>
    <t>Yakin</t>
  </si>
  <si>
    <t>Mack &amp; Jo Allen</t>
  </si>
  <si>
    <t xml:space="preserve">226 Hearthstone Rd  King Of Prussia, PA 19406-2201 </t>
  </si>
  <si>
    <t>32-43-24-c1-02192.0130</t>
  </si>
  <si>
    <t xml:space="preserve">2014 NE 12th Ln  Cape Coral, FL 33909 </t>
  </si>
  <si>
    <t>Winona</t>
  </si>
  <si>
    <t>Cape Coral Unit 85 Blk 5658 Pb 24 Pg 54 Lots 31 + 32</t>
  </si>
  <si>
    <t>20-43-24-c1-05645.0290</t>
  </si>
  <si>
    <t xml:space="preserve">1425 Venetian Ct  Cape Coral, FL 33904 </t>
  </si>
  <si>
    <t>Charles Lee Boyles Revocable Living Trust</t>
  </si>
  <si>
    <t xml:space="preserve">419 7th Ave SW  Sidney, MT 59270-3818 </t>
  </si>
  <si>
    <t>Cape Coral Unit 36 Pt 1 Blk 2495 Pb 23 Pg 92 Lots 23 + 24</t>
  </si>
  <si>
    <t>Col Da Lech</t>
  </si>
  <si>
    <t xml:space="preserve">216 NE 25th Ter  Cape Coral, FL 33909 </t>
  </si>
  <si>
    <t>Bridgevista</t>
  </si>
  <si>
    <t>Fira &amp; George Sas</t>
  </si>
  <si>
    <t>Platek</t>
  </si>
  <si>
    <t>Tamiyra Iuen</t>
  </si>
  <si>
    <t>Ruben &amp; Lia Luca</t>
  </si>
  <si>
    <t xml:space="preserve">26 Johannisstrasse  Apo, AE 09366 </t>
  </si>
  <si>
    <t xml:space="preserve">2024 NE 4th Pl </t>
  </si>
  <si>
    <t>Abington</t>
  </si>
  <si>
    <t xml:space="preserve">29 Manners Ave  Seymour, CT 06483-3215 </t>
  </si>
  <si>
    <t>33909-6859</t>
  </si>
  <si>
    <t xml:space="preserve">3313 SE 6th Ave </t>
  </si>
  <si>
    <t xml:space="preserve">1318 S Gator Cir  Cape Coral, FL 33909 </t>
  </si>
  <si>
    <t>Guadalajara</t>
  </si>
  <si>
    <t>Romy</t>
  </si>
  <si>
    <t xml:space="preserve">4 Stonebrook Ct  South Barrington, IL 60010-9330 </t>
  </si>
  <si>
    <t xml:space="preserve">5212 Snyder Ave  Brooklyn, NY 11203-4412 </t>
  </si>
  <si>
    <t>36-43-23-c3-02509.0080</t>
  </si>
  <si>
    <t>Bloomingdale</t>
  </si>
  <si>
    <t>Linda</t>
  </si>
  <si>
    <t xml:space="preserve">140 Wood Ln  Humacao, PR 00791-6027 </t>
  </si>
  <si>
    <t>Cape Coral Unit 36 Blk 2300A Pb 16 Pg 122 Lot 38</t>
  </si>
  <si>
    <t xml:space="preserve">436 Ocean Ave </t>
  </si>
  <si>
    <t xml:space="preserve">5118 Cypress Trail Resort Cir  Fort Myers, FL 33905 </t>
  </si>
  <si>
    <t>PO Box Hm35</t>
  </si>
  <si>
    <t>33071-5349</t>
  </si>
  <si>
    <t xml:space="preserve">4112 NE 9th Pl  Cape Coral, FL 33909 </t>
  </si>
  <si>
    <t>33909-1505</t>
  </si>
  <si>
    <t xml:space="preserve">3427 E Gator Cir  Cape Coral, FL 33909 </t>
  </si>
  <si>
    <t>Zvi</t>
  </si>
  <si>
    <t xml:space="preserve">3230 Ruby Red Dr </t>
  </si>
  <si>
    <t>85083-2464</t>
  </si>
  <si>
    <t>Mindy Walker</t>
  </si>
  <si>
    <t>11746-4435</t>
  </si>
  <si>
    <t>Edwardsburg</t>
  </si>
  <si>
    <t>Ap 405</t>
  </si>
  <si>
    <t>Bangor</t>
  </si>
  <si>
    <t>33909-4663</t>
  </si>
  <si>
    <t>Donnie</t>
  </si>
  <si>
    <t xml:space="preserve">1322 NE 6th Ave  Cape Coral, FL 33909 </t>
  </si>
  <si>
    <t>Cornerstone</t>
  </si>
  <si>
    <t xml:space="preserve">7507 NW 168th St  Hialeah, FL 33015-4142 </t>
  </si>
  <si>
    <t>Partick</t>
  </si>
  <si>
    <t>25-43-23-c2-02351.0640</t>
  </si>
  <si>
    <t>Cypress Woods Rv Resort Unit 4 Pb 79 Pgs 68-71 Blk D Lot 47</t>
  </si>
  <si>
    <t>35 banool</t>
  </si>
  <si>
    <t>PO Box 114</t>
  </si>
  <si>
    <t>Dawn Heaton</t>
  </si>
  <si>
    <t>Dickerson</t>
  </si>
  <si>
    <t>Leypoldt</t>
  </si>
  <si>
    <t xml:space="preserve">19681 Summerlin Rd #514, Fort Myers, FL 33908 </t>
  </si>
  <si>
    <t xml:space="preserve">6008 Stratton Rd </t>
  </si>
  <si>
    <t>Beg 1992.86 Ft E + 150 Ft S Of Nw Cor Th E 160 Ft S 100 Ft W 160 Ft N 100 Ft</t>
  </si>
  <si>
    <t>Cape Coral Unit 85 Blk 5671 Pb 24 Pg 52 Lots 43 + 44</t>
  </si>
  <si>
    <t>Pierre Lemire &amp; Diane Daigneault</t>
  </si>
  <si>
    <t>19-43-24-c4-05559.0580</t>
  </si>
  <si>
    <t>For Alexandra Sushkiw Trust</t>
  </si>
  <si>
    <t>Wendy Costales &amp; Gustavo Aldas</t>
  </si>
  <si>
    <t xml:space="preserve">6300 Arbor Ave </t>
  </si>
  <si>
    <t xml:space="preserve">28032 Gray Barn Ln </t>
  </si>
  <si>
    <t xml:space="preserve">203 NE 19th Ter  Cape Coral, FL 33909 </t>
  </si>
  <si>
    <t>17-43-24-c1-05820.0210</t>
  </si>
  <si>
    <t xml:space="preserve">2006 Birkdale Ave </t>
  </si>
  <si>
    <t>33909-8402</t>
  </si>
  <si>
    <t xml:space="preserve">1414 NE 12th Pl </t>
  </si>
  <si>
    <t>Celestino</t>
  </si>
  <si>
    <t xml:space="preserve">1218 NE 11th St </t>
  </si>
  <si>
    <t>Wien</t>
  </si>
  <si>
    <t>18-43-24-c4-05703.0350</t>
  </si>
  <si>
    <t>Mark &amp; Sharon Voto</t>
  </si>
  <si>
    <t>Somasundaram</t>
  </si>
  <si>
    <t>Richard &amp; Pamela Ferguson</t>
  </si>
  <si>
    <t>Row</t>
  </si>
  <si>
    <t>Palmona Park Unit 1 Blk 26 Pb 7 Pg 54 Lot 3</t>
  </si>
  <si>
    <t>Ronald &amp; Alice Hayes</t>
  </si>
  <si>
    <t>Cape Coral Unit 88 Blk 5778 Pb 24 Pg 135 Lots 29 + 30</t>
  </si>
  <si>
    <t>Cape Coral Unit 33 Blk 2247 Pb 16 Pg 54 Lots 79 + 80</t>
  </si>
  <si>
    <t>33715-1254</t>
  </si>
  <si>
    <t xml:space="preserve">14442 Rosewood Rd  Miami Lakes, FL 33014-2654 </t>
  </si>
  <si>
    <t>Palomino Decastro</t>
  </si>
  <si>
    <t>33905-3843</t>
  </si>
  <si>
    <t xml:space="preserve">6673 Norcross Rd </t>
  </si>
  <si>
    <t xml:space="preserve">1716 NE 1st Ave  Cape Coral, FL 33909 </t>
  </si>
  <si>
    <t>02896-8013</t>
  </si>
  <si>
    <t xml:space="preserve">1422 NE 20th St  Cape Coral, FL 33909 </t>
  </si>
  <si>
    <t>Oneil</t>
  </si>
  <si>
    <t>Fairfax</t>
  </si>
  <si>
    <t>Huu</t>
  </si>
  <si>
    <t>Unice</t>
  </si>
  <si>
    <t xml:space="preserve">2838 210th St  Luck, WI 54853-3412 </t>
  </si>
  <si>
    <t xml:space="preserve">10522 Cabot Trl  Rosharon, TX 77583-4285 </t>
  </si>
  <si>
    <t>Joseph &amp; Sharon Biter</t>
  </si>
  <si>
    <t>Cape Coral Unit 47 Pt 2 Blk 3529 Pb 23 Pg 126 Lot 2</t>
  </si>
  <si>
    <t>Mccomb</t>
  </si>
  <si>
    <t xml:space="preserve">306 S Santa Catalina Cir </t>
  </si>
  <si>
    <t>Carmen Baltodano</t>
  </si>
  <si>
    <t xml:space="preserve">PO Box 313  Goshen, NY 10924 </t>
  </si>
  <si>
    <t xml:space="preserve">2151 Jockey Hollow Dr NW  Kennesaw, GA 30152-3170 </t>
  </si>
  <si>
    <t xml:space="preserve">5879 Burrwood Ct  Fort Myers, FL 33905 </t>
  </si>
  <si>
    <t>Sanchez Ariza</t>
  </si>
  <si>
    <t>33067-1953</t>
  </si>
  <si>
    <t xml:space="preserve">4465 Coconut Rd  Lake Worth, FL 33461-4519 </t>
  </si>
  <si>
    <t>Guenaely Seite</t>
  </si>
  <si>
    <t>Mundelein</t>
  </si>
  <si>
    <t>11-44-25-05-0000c.0100</t>
  </si>
  <si>
    <t xml:space="preserve">1634 NE 37th St  Cape Coral, FL 33909 </t>
  </si>
  <si>
    <t>Ze Desousa</t>
  </si>
  <si>
    <t>Luz &amp; De Reyes</t>
  </si>
  <si>
    <t xml:space="preserve">2120 NE 25th Ter  Cape Coral, FL 33909 </t>
  </si>
  <si>
    <t>Mathew Guerrero</t>
  </si>
  <si>
    <t xml:space="preserve">2628 NE 20th Ct  Cape Coral, FL 33909 </t>
  </si>
  <si>
    <t xml:space="preserve">2321 NE 33rd St </t>
  </si>
  <si>
    <t>Hegde</t>
  </si>
  <si>
    <t>Marie Curie</t>
  </si>
  <si>
    <t>Gerald Grubb</t>
  </si>
  <si>
    <t xml:space="preserve">430 State St </t>
  </si>
  <si>
    <t xml:space="preserve">6521 Buckingham Rd </t>
  </si>
  <si>
    <t>Daoco Nguyen</t>
  </si>
  <si>
    <t xml:space="preserve">340 Old Tappan Rd </t>
  </si>
  <si>
    <t>Joycelyn</t>
  </si>
  <si>
    <t>J8E 2Z9</t>
  </si>
  <si>
    <t xml:space="preserve">121 NE 11th Ln  Cape Coral, FL 33909 </t>
  </si>
  <si>
    <t>Cape Coral Unit 35 Blk.2410 Pb 16 Pg 110 Lots 53 + 54</t>
  </si>
  <si>
    <t xml:space="preserve">1534 Underwood Ave </t>
  </si>
  <si>
    <t>Hall Dorothy W Tr</t>
  </si>
  <si>
    <t>Carlos Molina</t>
  </si>
  <si>
    <t xml:space="preserve">35 Ormskirk Ave #412, Toronto, ON M6s 1A8 </t>
  </si>
  <si>
    <t xml:space="preserve">224 Solitude Ln </t>
  </si>
  <si>
    <t>Cape Coral Unit 85 Blk 5663 Pb 24 Pg 58 Lot 47</t>
  </si>
  <si>
    <t xml:space="preserve">25 Division St  Closter, NJ 07624-1816 </t>
  </si>
  <si>
    <t xml:space="preserve">Hacienda #231 </t>
  </si>
  <si>
    <t xml:space="preserve">4005 NE 23rd Pl </t>
  </si>
  <si>
    <t>Lituma</t>
  </si>
  <si>
    <t xml:space="preserve">2314 NE 24th Ave </t>
  </si>
  <si>
    <t>Bova</t>
  </si>
  <si>
    <t xml:space="preserve">2302 NE 6th Ave </t>
  </si>
  <si>
    <t>Cape Coral Unit 32 Blk 2140 Pb 16 Pg 7 Lots 34 + 35</t>
  </si>
  <si>
    <t>Cary J Rhude &amp; Cary Rhude</t>
  </si>
  <si>
    <t>20-43-24-c2-05668.0460</t>
  </si>
  <si>
    <t xml:space="preserve">1940 NE 23rd Pl  Cape Coral, FL 33909 </t>
  </si>
  <si>
    <t>07304-1112</t>
  </si>
  <si>
    <t>Dorazio</t>
  </si>
  <si>
    <t>16-44-25-p1-0090g.0080</t>
  </si>
  <si>
    <t>103rd</t>
  </si>
  <si>
    <t xml:space="preserve">2817 Armacost Ave </t>
  </si>
  <si>
    <t>Jeffrey Fink</t>
  </si>
  <si>
    <t>33909-6805</t>
  </si>
  <si>
    <t xml:space="preserve">1209 NE 11th Ter  Cape Coral, FL 33909 </t>
  </si>
  <si>
    <t>07712-4127</t>
  </si>
  <si>
    <t>03-44-26-08-00036.0290</t>
  </si>
  <si>
    <t>10470-1546</t>
  </si>
  <si>
    <t xml:space="preserve">5271 Dana Rd  Fort Myers, FL 33905 </t>
  </si>
  <si>
    <t xml:space="preserve">845 NE 38th Ter </t>
  </si>
  <si>
    <t>Loop</t>
  </si>
  <si>
    <t xml:space="preserve">12 Kosmoski Ter  Parlin, NJ 08859-3175 </t>
  </si>
  <si>
    <t xml:space="preserve">8268 E Us 20  New Carlisle, IN 46552 </t>
  </si>
  <si>
    <t xml:space="preserve">3758 Kemper St  Fort Myers, FL 33905 </t>
  </si>
  <si>
    <t>South Beach</t>
  </si>
  <si>
    <t>William &amp; Safia Vivar</t>
  </si>
  <si>
    <t xml:space="preserve">3927 NE 21st Pl </t>
  </si>
  <si>
    <t>11-44-25-08-00000.2720</t>
  </si>
  <si>
    <t>Cape Coral Unit 36 Blk 2300A Pb 16 Pg 122 Lot 9</t>
  </si>
  <si>
    <t>Santa Clarita</t>
  </si>
  <si>
    <t>32-43-24-c2-02231.0080</t>
  </si>
  <si>
    <t xml:space="preserve">194 Lakes Rd </t>
  </si>
  <si>
    <t xml:space="preserve">1001 NE 36th Ln </t>
  </si>
  <si>
    <t xml:space="preserve">2616 Sea Pine Ln  La Crescenta, CA 91214-1442 </t>
  </si>
  <si>
    <t>Meadow Woods</t>
  </si>
  <si>
    <t xml:space="preserve">6149 Higgins Ave  Fort Myers, FL 33905 </t>
  </si>
  <si>
    <t>06-45-24-c2-00514.0270</t>
  </si>
  <si>
    <t>32-44-24-c4-01162.0200</t>
  </si>
  <si>
    <t>03-44-26-02-00007.0210</t>
  </si>
  <si>
    <t>Celis</t>
  </si>
  <si>
    <t xml:space="preserve">11142 Stardust Dr </t>
  </si>
  <si>
    <t>01-45-23-c4-00852.0310</t>
  </si>
  <si>
    <t xml:space="preserve">1105 NE 36th St </t>
  </si>
  <si>
    <t>18-43-24-c4-05698.0390</t>
  </si>
  <si>
    <t xml:space="preserve">2336 Cleveland Ave </t>
  </si>
  <si>
    <t>Margaret Chew &amp; Seong Thoon</t>
  </si>
  <si>
    <t>Mandy</t>
  </si>
  <si>
    <t>Cape Coral Unit 34 Blk 2465 Pb 16 Pg 83 Lots 51 + 52</t>
  </si>
  <si>
    <t>Goodyear</t>
  </si>
  <si>
    <t xml:space="preserve">814 NE 41st Ln </t>
  </si>
  <si>
    <t>Faircloth</t>
  </si>
  <si>
    <t>Cape Coral Unit 14 Blk.535 Pb 13 Pg 64 Lots 1 + 2</t>
  </si>
  <si>
    <t>Zrinko</t>
  </si>
  <si>
    <t xml:space="preserve">6110 Holt Ct  Fort Myers, FL 33905 </t>
  </si>
  <si>
    <t>Altamont Park Blk D Pb 5 Pg 12 Lots 4 Thru 6</t>
  </si>
  <si>
    <t xml:space="preserve">12 Presidio Ave #2 </t>
  </si>
  <si>
    <t xml:space="preserve">3801 La Rue St </t>
  </si>
  <si>
    <t>Malaret</t>
  </si>
  <si>
    <t xml:space="preserve">200 Leslie Dr #802 </t>
  </si>
  <si>
    <t>For Manhardt Family Trust</t>
  </si>
  <si>
    <t xml:space="preserve">16180 Sunset Strip  Fort Myers, FL 33908 </t>
  </si>
  <si>
    <t xml:space="preserve">17250 Mcgregor Blvd  Fort Myers, FL 33908 </t>
  </si>
  <si>
    <t xml:space="preserve">2893 Bottlebrush Dr  Los Angeles, CA 90077-2011 </t>
  </si>
  <si>
    <t>20-44-26-01-00001.0090</t>
  </si>
  <si>
    <t>11-44-25-08-00000.4170</t>
  </si>
  <si>
    <t>33905-3015</t>
  </si>
  <si>
    <t xml:space="preserve">721 NE 3rd Ave  Fort Lauderdale, FL 33304-2619 </t>
  </si>
  <si>
    <t>63108-1545</t>
  </si>
  <si>
    <t xml:space="preserve">10210 Nicaragua Dr </t>
  </si>
  <si>
    <t xml:space="preserve">2808 NE 7th Ave  Cape Coral, FL 33909 </t>
  </si>
  <si>
    <t>Teak Wood</t>
  </si>
  <si>
    <t xml:space="preserve">32 Grand Rue </t>
  </si>
  <si>
    <t xml:space="preserve">100 Quail Run </t>
  </si>
  <si>
    <t>Cape Coral Unit 94 Blk 6010 Pb 25 Pg 36 Lots 11 + 12</t>
  </si>
  <si>
    <t>37128-6784</t>
  </si>
  <si>
    <t xml:space="preserve">3 Pauline Dr </t>
  </si>
  <si>
    <t>Cypress Woods Rv Resort Unit 4 Pb 79 Pgs 68-71 Blk D Lot 96</t>
  </si>
  <si>
    <t>Cape Coral Unit 47 Part 2 Blk 3527 Pb 23 Pg 116 Lots 8 Thru 10</t>
  </si>
  <si>
    <t>Colon</t>
  </si>
  <si>
    <t>Cypress Woods Rv Resort Unit 4 Pb 79 Pgs 68-71 Blk D Lot 115</t>
  </si>
  <si>
    <t>Eldread</t>
  </si>
  <si>
    <t xml:space="preserve">746 Jefferson Ave  Cliffside Park, NJ 07010-2130 </t>
  </si>
  <si>
    <t>Cape Coral Unit 4 Part 2 Blk 154 Pb 12 Pg 22 Lots 10 Thru 12</t>
  </si>
  <si>
    <t>Cape Coral Unit 88 Blk 5784 Pb 24 Pg 131 Lots 20 + 21</t>
  </si>
  <si>
    <t>36-43-23-c1-02546.0250</t>
  </si>
  <si>
    <t>31-43-24-c1-02173.0250</t>
  </si>
  <si>
    <t xml:space="preserve">10240 Meadow Beauty Trl </t>
  </si>
  <si>
    <t>Esparto</t>
  </si>
  <si>
    <t>Douglasville</t>
  </si>
  <si>
    <t>Lecce</t>
  </si>
  <si>
    <t>William &amp; Carol Danielson</t>
  </si>
  <si>
    <t xml:space="preserve">1261 W 12500 S  Riverton, UT 84065-4346 </t>
  </si>
  <si>
    <t xml:space="preserve">1105 NE 19th Ter  Cape Coral, FL 33909 </t>
  </si>
  <si>
    <t>20-43-24-c1-05598.0350</t>
  </si>
  <si>
    <t>Maqsood Ahmad</t>
  </si>
  <si>
    <t>Jose Heinrich</t>
  </si>
  <si>
    <t xml:space="preserve">4200 Columbia Rd </t>
  </si>
  <si>
    <t>Cape Coral Unit 36 Blk 2341 Pb 16 Pg 121 Lots 21 + 22</t>
  </si>
  <si>
    <t xml:space="preserve">1301 Thatcher Rd  Soddy Daisy, TN 37379-3860 </t>
  </si>
  <si>
    <t>33909-2527</t>
  </si>
  <si>
    <t xml:space="preserve">1817 NE 13th Ave </t>
  </si>
  <si>
    <t xml:space="preserve">14939 257th St </t>
  </si>
  <si>
    <t xml:space="preserve">1437 NE 34th St </t>
  </si>
  <si>
    <t xml:space="preserve">730 Joes Creek Rd  Sod, WV 25564 </t>
  </si>
  <si>
    <t xml:space="preserve">14200 Roof St </t>
  </si>
  <si>
    <t>Highview</t>
  </si>
  <si>
    <t>Tomas &amp; Roberto Magpoc</t>
  </si>
  <si>
    <t xml:space="preserve">184 Bis Rue Du Faubourg  Carrollton, TX 75010 </t>
  </si>
  <si>
    <t>20-43-24-c1-05657.0210</t>
  </si>
  <si>
    <t>Zalik</t>
  </si>
  <si>
    <t xml:space="preserve">40 Forsgate Ct </t>
  </si>
  <si>
    <t>20-43-24-c3-05669.0200</t>
  </si>
  <si>
    <t xml:space="preserve">6044 Langdon Ave </t>
  </si>
  <si>
    <t xml:space="preserve">1327 NE 20th Pl </t>
  </si>
  <si>
    <t>Larry &amp; Sharen Jones</t>
  </si>
  <si>
    <t>Nina</t>
  </si>
  <si>
    <t xml:space="preserve">12333 Baypointe Ter  Cortez, FL 34215-2566 </t>
  </si>
  <si>
    <t>98683-7557</t>
  </si>
  <si>
    <t xml:space="preserve">47 Littlefield St  Quincy, MA 02169-3628 </t>
  </si>
  <si>
    <t>Cape Coral Unit 34 Blk 2440 Pb 16 Pg 81 Lots 33 + 34</t>
  </si>
  <si>
    <t xml:space="preserve">11250 Rainbow Hwy </t>
  </si>
  <si>
    <t>Oviedo</t>
  </si>
  <si>
    <t xml:space="preserve">PO Box 1166  Big Timber, MT 59011-1166 </t>
  </si>
  <si>
    <t xml:space="preserve">2605 NE 5th Pl  Cape Coral, FL 33909 </t>
  </si>
  <si>
    <t>Lellany Guevara &amp; Luis Triana</t>
  </si>
  <si>
    <t>31-43-24-c2-02180.0560</t>
  </si>
  <si>
    <t>Coto</t>
  </si>
  <si>
    <t>Levy</t>
  </si>
  <si>
    <t xml:space="preserve">9502 Cissell Ave </t>
  </si>
  <si>
    <t>25-43-23-c2-02312.0310</t>
  </si>
  <si>
    <t>Cape Coral Unit 36 Blk 2540 Pb 16 Pg 115 Lots 18 + 19</t>
  </si>
  <si>
    <t>Green Springs</t>
  </si>
  <si>
    <t xml:space="preserve">1730 NE 24th Ave  Cape Coral, FL 33909 </t>
  </si>
  <si>
    <t>Cape Coral Unit 47 Pt 2 Blk 3532 Pb 23 Pg 127 Lots 27 + 28</t>
  </si>
  <si>
    <t>W E W &amp; Hedwig Vanhattum</t>
  </si>
  <si>
    <t>Isla</t>
  </si>
  <si>
    <t>Rodoif</t>
  </si>
  <si>
    <t xml:space="preserve">Po Box 13 </t>
  </si>
  <si>
    <t>Castle Rock</t>
  </si>
  <si>
    <t>Whilhemina Gabriel 2020 Trust</t>
  </si>
  <si>
    <t>Seven Corners</t>
  </si>
  <si>
    <t>Alejandra</t>
  </si>
  <si>
    <t>Ene &amp; For Piirak</t>
  </si>
  <si>
    <t>36-43-23-c1-02516.0380</t>
  </si>
  <si>
    <t xml:space="preserve">4405 Frankie Ct  North Fort Myers, FL 33903-4249 </t>
  </si>
  <si>
    <t>16-44-26-06-00013.0370</t>
  </si>
  <si>
    <t xml:space="preserve">2121 NE 23rd Pl  Cape Coral, FL 33909 </t>
  </si>
  <si>
    <t>V0H 1V0</t>
  </si>
  <si>
    <t>29-43-24-c4-02263.0030</t>
  </si>
  <si>
    <t>Danbury</t>
  </si>
  <si>
    <t xml:space="preserve">510 NE 20th Ter </t>
  </si>
  <si>
    <t>Tolentino</t>
  </si>
  <si>
    <t xml:space="preserve">8852 Satterfield Dr </t>
  </si>
  <si>
    <t>Milciades</t>
  </si>
  <si>
    <t>18-43-24-c1-05689.0410</t>
  </si>
  <si>
    <t>Dewsnup</t>
  </si>
  <si>
    <t>Cecil &amp; Eduarda Gillis</t>
  </si>
  <si>
    <t xml:space="preserve">16530 Hartsook St  Encino, CA 91436-1109 </t>
  </si>
  <si>
    <t xml:space="preserve">19826 Bristol Rd </t>
  </si>
  <si>
    <t xml:space="preserve">1426 NE 20th St </t>
  </si>
  <si>
    <t>Micheli</t>
  </si>
  <si>
    <t xml:space="preserve">540 Thomas Ave  Fort Myers, FL 33905 </t>
  </si>
  <si>
    <t>Diane Loftness &amp; William Bazoff</t>
  </si>
  <si>
    <t xml:space="preserve">10801 Gladiolus Dr </t>
  </si>
  <si>
    <t>Niagra Pkwy</t>
  </si>
  <si>
    <t>Philip &amp; Karen Arnholt</t>
  </si>
  <si>
    <t>Bloomville</t>
  </si>
  <si>
    <t>01-44-23-c1-02463.0160</t>
  </si>
  <si>
    <t>Amparo Gonzalez</t>
  </si>
  <si>
    <t>22980-3428</t>
  </si>
  <si>
    <t>Laura Thezine</t>
  </si>
  <si>
    <t>Sheeba</t>
  </si>
  <si>
    <t>33909-4462</t>
  </si>
  <si>
    <t>Cape Coral Unit 35 Blk.2398 Pb 16 Pg 104 Lots 1 + 2</t>
  </si>
  <si>
    <t>29803-2531</t>
  </si>
  <si>
    <t>11414-1823</t>
  </si>
  <si>
    <t>MAIL STREET NAME</t>
  </si>
  <si>
    <t>33905-8604</t>
  </si>
  <si>
    <t>33909-1696</t>
  </si>
  <si>
    <t>31-43-24-c4-02103.0010</t>
  </si>
  <si>
    <t>Keith Kahari</t>
  </si>
  <si>
    <t xml:space="preserve">1734 Rolling Hills Cir </t>
  </si>
  <si>
    <t>Stevens</t>
  </si>
  <si>
    <t xml:space="preserve">15316 Markham Dr </t>
  </si>
  <si>
    <t xml:space="preserve">10211 Butterweed Trl </t>
  </si>
  <si>
    <t>Lehigh Acres Unit 11 Blk 56 Pb 26 Pg 14 Lot 6</t>
  </si>
  <si>
    <t xml:space="preserve">Remanso #117, Cincinnati, OH 45238 </t>
  </si>
  <si>
    <t>33326-3594</t>
  </si>
  <si>
    <t>34108-2525</t>
  </si>
  <si>
    <t xml:space="preserve">904 Taylor Rise  Victor, NY 14564-8997 </t>
  </si>
  <si>
    <t xml:space="preserve">519 Hobson Ave  Saddle Brook, NJ 07663-5907 </t>
  </si>
  <si>
    <t>34983-4534</t>
  </si>
  <si>
    <t>Julien</t>
  </si>
  <si>
    <t xml:space="preserve">15031 Meadowlake St  Odessa, FL 33556-3127 </t>
  </si>
  <si>
    <t>Summit Ridge</t>
  </si>
  <si>
    <t>Cypress Trail Rv Resort Ph 4-B As Desc In Inst# 2017000057565 Lot 78</t>
  </si>
  <si>
    <t>33155-2758</t>
  </si>
  <si>
    <t xml:space="preserve">10071 Rambelwood Ct  Fort Myers, FL 33905 </t>
  </si>
  <si>
    <t xml:space="preserve">1906 Durden Pkwy  Cape Coral, FL 33909 </t>
  </si>
  <si>
    <t xml:space="preserve">761 SE 7th Pl  Hialeah, FL 33010-5632 </t>
  </si>
  <si>
    <t>Lee Michael Nelson Tr</t>
  </si>
  <si>
    <t xml:space="preserve">24 Smith Farm Rd </t>
  </si>
  <si>
    <t xml:space="preserve">8223 Champion Ct  Pasadena, MD 21122-1384 </t>
  </si>
  <si>
    <t>Wichita Falls</t>
  </si>
  <si>
    <t>Cape Coral Unit 35 Blk.2413 Pb 16 Pg 109 Lots 55 + 56</t>
  </si>
  <si>
    <t xml:space="preserve">73 Trowbridge St  Arlington, MA 02474-5526 </t>
  </si>
  <si>
    <t>03-44-26-04-00017.0110</t>
  </si>
  <si>
    <t>10075-1463</t>
  </si>
  <si>
    <t>17-43-24-c1-05775.0120</t>
  </si>
  <si>
    <t>17-43-24-c3-05787.0110</t>
  </si>
  <si>
    <t>Radic</t>
  </si>
  <si>
    <t xml:space="preserve">8903 SE 74th Pl </t>
  </si>
  <si>
    <t>Cypress Trail Rv Resort Phase 4-C Block A Lot 126 As Desc In Inst 2019000042424</t>
  </si>
  <si>
    <t>20-43-24-c2-05665.0320</t>
  </si>
  <si>
    <t>David &amp; Deeanna Hussey</t>
  </si>
  <si>
    <t>17-43-24-c2-05814.0310</t>
  </si>
  <si>
    <t>Juergen Gruber</t>
  </si>
  <si>
    <t>Cape Coral Unit 87 Blk 5693 Pb 24 Pg 81 Lots 28 + 29</t>
  </si>
  <si>
    <t xml:space="preserve">1810 NE 33rd St  Cape Coral, FL 33909 </t>
  </si>
  <si>
    <t>18-43-24-c4-05584.0090</t>
  </si>
  <si>
    <t>08833-3215</t>
  </si>
  <si>
    <t>Saint Clair Shores</t>
  </si>
  <si>
    <t xml:space="preserve">517 Diplomat Pkwy E </t>
  </si>
  <si>
    <t>Ft Myers Beach Kampground S/D Unit 1 Pb 35 Pg 47 Blk S Lot 9</t>
  </si>
  <si>
    <t>06-44-24-c1-02097.0780</t>
  </si>
  <si>
    <t>01-44-23-c1-02433.0290</t>
  </si>
  <si>
    <t>62301-4436</t>
  </si>
  <si>
    <t>Dublin</t>
  </si>
  <si>
    <t>Cypress Woods Rv Resort Unit 4 Pb 79 Pgs 68-71 Blk D Lot 42</t>
  </si>
  <si>
    <t xml:space="preserve">3717 NE 16th Pl  Cape Coral, FL 33909 </t>
  </si>
  <si>
    <t>Pleasant</t>
  </si>
  <si>
    <t xml:space="preserve">313 NE 8th Ter </t>
  </si>
  <si>
    <t xml:space="preserve">4324 17th Ave SW </t>
  </si>
  <si>
    <t xml:space="preserve">5630 Cypress Woods Resort Dr  Fort Myers, FL 33905 </t>
  </si>
  <si>
    <t xml:space="preserve">4422 SW 129th Ave </t>
  </si>
  <si>
    <t>80544-1166</t>
  </si>
  <si>
    <t>Cranoke</t>
  </si>
  <si>
    <t xml:space="preserve">10 Georgetown Ct  Madison, WI 53719-2205 </t>
  </si>
  <si>
    <t>John &amp; Carol Whelan</t>
  </si>
  <si>
    <t>Larabee</t>
  </si>
  <si>
    <t>Jillian Gowda</t>
  </si>
  <si>
    <t>South Bend</t>
  </si>
  <si>
    <t>08012-4706</t>
  </si>
  <si>
    <t>Robert &amp; Helen Miller</t>
  </si>
  <si>
    <t>29-43-24-c4-02284.0410</t>
  </si>
  <si>
    <t>47630-1289</t>
  </si>
  <si>
    <t xml:space="preserve">3733 Tallman St  Fort Myers, FL 33905 </t>
  </si>
  <si>
    <t xml:space="preserve">2816 Spruce Ct </t>
  </si>
  <si>
    <t xml:space="preserve">1341 NE 32nd Ln  Cape Coral, FL 33909 </t>
  </si>
  <si>
    <t xml:space="preserve">1802 NE 42nd Ter  Cape Coral, FL 33909 </t>
  </si>
  <si>
    <t>Ospina</t>
  </si>
  <si>
    <t>Liberty Township</t>
  </si>
  <si>
    <t xml:space="preserve">1365 SW 154th Ct </t>
  </si>
  <si>
    <t xml:space="preserve">1009 NE 2nd Pl  Cape Coral, FL 33909 </t>
  </si>
  <si>
    <t>33909-6119</t>
  </si>
  <si>
    <t xml:space="preserve">687 W Us Highway 19E Byp  Burnsville, NC 28714-7279 </t>
  </si>
  <si>
    <t xml:space="preserve">40 Sable Ridge Ln  Rochester, NY 14612-1491 </t>
  </si>
  <si>
    <t>Cape Coral Unit 36 Pt.1 Blk.2510 Pb 23 Pg 89 Lots 7 + 8</t>
  </si>
  <si>
    <t>L9G 3L1</t>
  </si>
  <si>
    <t>Suham Caricote</t>
  </si>
  <si>
    <t xml:space="preserve">5115 Catoctin Dr  San Diego, CA 92115-1518 </t>
  </si>
  <si>
    <t>Cape Coral Unit 84 Blk 5548 Pb 24 Pg 46 Lots 51 + 52</t>
  </si>
  <si>
    <t>Garabedian</t>
  </si>
  <si>
    <t xml:space="preserve">904 NE 20th St </t>
  </si>
  <si>
    <t xml:space="preserve">309 Royal Palm Park Rd  Fort Myers, FL 33905 </t>
  </si>
  <si>
    <t>Cape Coral Unit 31 Blk 2096 Pb 14 Pg 163 Lots 47 + 48</t>
  </si>
  <si>
    <t>Evelyn Baptiste</t>
  </si>
  <si>
    <t>Alexander Iorio</t>
  </si>
  <si>
    <t xml:space="preserve">3715 NE 12th Ave  Cape Coral, FL 33909 </t>
  </si>
  <si>
    <t>Arthur &amp; Karen Loeffler</t>
  </si>
  <si>
    <t>Diaz &amp; Diaz Jose</t>
  </si>
  <si>
    <t>Lehigh Acres Unit 12 Blk 60 Pb 26 Pg 16 Lot 21</t>
  </si>
  <si>
    <t>Maurice Dysken</t>
  </si>
  <si>
    <t>Cape Coral Unit 36 Pt 1 Blk 2495 Pb 23 Pg 92 Lots 21 + 22</t>
  </si>
  <si>
    <t>Georges &amp; Laverne Carillet</t>
  </si>
  <si>
    <t xml:space="preserve">1907 NE 15th Ln  Cape Coral, FL 33909 </t>
  </si>
  <si>
    <t>33909-7370</t>
  </si>
  <si>
    <t>Cook</t>
  </si>
  <si>
    <t>Cape Coral Unit 26 Blk.862 Pb 14 Pg 129 Lots 21 Thru 23</t>
  </si>
  <si>
    <t>21015-5732</t>
  </si>
  <si>
    <t>25-43-23-c1-02329.0030</t>
  </si>
  <si>
    <t xml:space="preserve">822 NE 41st Ln  Cape Coral, FL 33909 </t>
  </si>
  <si>
    <t xml:space="preserve">143 Franklin St </t>
  </si>
  <si>
    <t>Satyaveer</t>
  </si>
  <si>
    <t xml:space="preserve">1211 Everest Pkwy </t>
  </si>
  <si>
    <t>01609-2893</t>
  </si>
  <si>
    <t>Cape Coral Unit 87 Blk 5687 Pb 24 Pg 83 Lots 27 + 28</t>
  </si>
  <si>
    <t>Cape Coral Unit 88 Blk 5767 Pb 24 Pg 132 Lots 22 + 23</t>
  </si>
  <si>
    <t>Rutledge</t>
  </si>
  <si>
    <t>Hugo Nicaragua &amp; Maria Carlton</t>
  </si>
  <si>
    <t>Stanley &amp; Kathleen Kulp</t>
  </si>
  <si>
    <t xml:space="preserve">6033 Jonathan Ave </t>
  </si>
  <si>
    <t>25-44-24-p4-02104.0060</t>
  </si>
  <si>
    <t>Lehigh Acres Unit 7 Blk 33 Pb 26 Pg 9 Lot 7</t>
  </si>
  <si>
    <t xml:space="preserve">2731 NE 4th Pl </t>
  </si>
  <si>
    <t>Eckmann</t>
  </si>
  <si>
    <t>Josephine &amp; Vincent Dipillo</t>
  </si>
  <si>
    <t>Bateman</t>
  </si>
  <si>
    <t>For Norton Family Trust</t>
  </si>
  <si>
    <t>06-44-24-c1-02071.0410</t>
  </si>
  <si>
    <t>Mayfair</t>
  </si>
  <si>
    <t>Ovid</t>
  </si>
  <si>
    <t>03-44-26-03-00013.0230</t>
  </si>
  <si>
    <t xml:space="preserve">6131 Holt Ct  Fort Myers, FL 33905 </t>
  </si>
  <si>
    <t xml:space="preserve">335 Kingston Rd  Benton, LA 71006-9718 </t>
  </si>
  <si>
    <t xml:space="preserve">20327 Land St  Clermont, FL 34715-9263 </t>
  </si>
  <si>
    <t>Lehigh Acres E Pt Unit 14 Blk 81 Pb 26 Pg 19 Lot 15</t>
  </si>
  <si>
    <t xml:space="preserve">205 NE 5th Ter  Cape Coral, FL 33909 </t>
  </si>
  <si>
    <t>Cypress Trail Rv Resort Phase 2-A As Desc In Inst# 2014000026506 Lot 207</t>
  </si>
  <si>
    <t>Iveta</t>
  </si>
  <si>
    <t>Cypress Trail Rv Resort Ph 3 As Desc In Inst# 2015000085552 Lot 52</t>
  </si>
  <si>
    <t>Rotondo</t>
  </si>
  <si>
    <t>Restrepo</t>
  </si>
  <si>
    <t>Arneaud</t>
  </si>
  <si>
    <t xml:space="preserve">1569 Fairview Beach Rd  Pasadena, MD 21122-3218 </t>
  </si>
  <si>
    <t>Arcangela</t>
  </si>
  <si>
    <t>55330-6106</t>
  </si>
  <si>
    <t>Brett &amp; Beth Henschen</t>
  </si>
  <si>
    <t xml:space="preserve">12611 Silver Lake Rd </t>
  </si>
  <si>
    <t>Yana</t>
  </si>
  <si>
    <t>Elite</t>
  </si>
  <si>
    <t>17-43-24-c3-05796.0080</t>
  </si>
  <si>
    <t>Hoa</t>
  </si>
  <si>
    <t>33909-1642</t>
  </si>
  <si>
    <t>Cape Coral Unit 47 Part 2 Blk 3541 Pb 23 Pg 119 Lots 23 + 24</t>
  </si>
  <si>
    <t xml:space="preserve">624 SE 30th Ln  Cape Coral, FL 33904 </t>
  </si>
  <si>
    <t xml:space="preserve">1019 NE 37th Ter  Cape Coral, FL 33909 </t>
  </si>
  <si>
    <t>Josephine</t>
  </si>
  <si>
    <t>Salamone</t>
  </si>
  <si>
    <t xml:space="preserve">1202 NE 5th Pl </t>
  </si>
  <si>
    <t>Indra</t>
  </si>
  <si>
    <t xml:space="preserve">5477 Cypress Trail Resort Cir  Fort Myers, FL 33905 </t>
  </si>
  <si>
    <t>11375-1426</t>
  </si>
  <si>
    <t>Pangola Estates Replat Desc In Inst#2008000286666 Lot 11</t>
  </si>
  <si>
    <t>Isabel Vazquez</t>
  </si>
  <si>
    <t xml:space="preserve">3951 Little Creek Dr </t>
  </si>
  <si>
    <t>33909-1353</t>
  </si>
  <si>
    <t>N1M 2W4</t>
  </si>
  <si>
    <t>Grand Haven</t>
  </si>
  <si>
    <t>11104-3034</t>
  </si>
  <si>
    <t>Gary &amp; Karen Martin</t>
  </si>
  <si>
    <t xml:space="preserve">2719 NE 7th Pl </t>
  </si>
  <si>
    <t>Cape Coral Unit 46 Blk 3591 Pb 17 Pg 127 Lots 71 + 72</t>
  </si>
  <si>
    <t>Gatdula</t>
  </si>
  <si>
    <t xml:space="preserve">3000 Allenby Dr </t>
  </si>
  <si>
    <t xml:space="preserve">Coop Olympia #504 </t>
  </si>
  <si>
    <t>11-44-25-11-00000.2400</t>
  </si>
  <si>
    <t>19-43-24-c4-05555.0150</t>
  </si>
  <si>
    <t xml:space="preserve">11415 Wildecroft Ter  Jacksonville, FL 32223-1356 </t>
  </si>
  <si>
    <t>Jeffery &amp; Annette Hardin</t>
  </si>
  <si>
    <t xml:space="preserve">1799 Trophy Dr </t>
  </si>
  <si>
    <t>33905-8653</t>
  </si>
  <si>
    <t>L7P 0T6</t>
  </si>
  <si>
    <t>Diana Genda</t>
  </si>
  <si>
    <t>Boca</t>
  </si>
  <si>
    <t>05-44-24-c2-03511.0180</t>
  </si>
  <si>
    <t xml:space="preserve">1715 N Gondola Ct  Venice, FL 34293-1903 </t>
  </si>
  <si>
    <t xml:space="preserve">540 Lake Of Frst </t>
  </si>
  <si>
    <t xml:space="preserve">324 NE 17th Ave </t>
  </si>
  <si>
    <t xml:space="preserve">1533 S Gator Cir  Cape Coral, FL 33909 </t>
  </si>
  <si>
    <t xml:space="preserve">1628 NE 17th Ter  Cape Coral, FL 33909 </t>
  </si>
  <si>
    <t>34210-4052</t>
  </si>
  <si>
    <t xml:space="preserve">4128 NE 10th Pl </t>
  </si>
  <si>
    <t>Rapheal</t>
  </si>
  <si>
    <t>Romain Liotard &amp; Marlene Brouty</t>
  </si>
  <si>
    <t>29-43-24-c4-02286.0010</t>
  </si>
  <si>
    <t xml:space="preserve">347 NE 19th Ter </t>
  </si>
  <si>
    <t xml:space="preserve">1228 NE 19th Pl  Cape Coral, FL 33909 </t>
  </si>
  <si>
    <t>Cape Coral Unit 32 Blk 2102 Pb 16 Pg 2 Lots 30 + 31</t>
  </si>
  <si>
    <t>Cape Coral Unit 36 Pt 1 Blk 2509 Pb 23 Pg 90 Lots 14 + 15</t>
  </si>
  <si>
    <t>Ferdinando</t>
  </si>
  <si>
    <t>Moorland</t>
  </si>
  <si>
    <t>Gagne</t>
  </si>
  <si>
    <t>402n</t>
  </si>
  <si>
    <t xml:space="preserve">47936 Sd Highway 20  Revillo, SD 57259-6511 </t>
  </si>
  <si>
    <t xml:space="preserve">6965 Calle Del Paz W  Boca Raton, FL 33433-6410 </t>
  </si>
  <si>
    <t>Kifissia Athens</t>
  </si>
  <si>
    <t>Bellino</t>
  </si>
  <si>
    <t>33909-5484</t>
  </si>
  <si>
    <t>Cape Coral Unit 34 Blk 2418 Pb 16 Pg 78 Lots 48 Thru 50</t>
  </si>
  <si>
    <t xml:space="preserve">PO Box 358  Germantown, MD 20875 </t>
  </si>
  <si>
    <t xml:space="preserve">8419 Eliot Ave  Middle Village, NY 11379-1416 </t>
  </si>
  <si>
    <t xml:space="preserve">13391 Almond Dr </t>
  </si>
  <si>
    <t>Survivors Schuerger</t>
  </si>
  <si>
    <t xml:space="preserve">2173 SW 132nd Way </t>
  </si>
  <si>
    <t>33054-4853</t>
  </si>
  <si>
    <t>Olympiad</t>
  </si>
  <si>
    <t>Bracken Budge</t>
  </si>
  <si>
    <t>Roberto &amp; For Paranal</t>
  </si>
  <si>
    <t xml:space="preserve">12716 Headwater Cir </t>
  </si>
  <si>
    <t xml:space="preserve">307 Yoakum Pkwy #1026, Alexandria, VA 22304-4028 </t>
  </si>
  <si>
    <t xml:space="preserve">321 NE 43rd St  Oakland Park, FL 33334-1429 </t>
  </si>
  <si>
    <t>East Elmhurst</t>
  </si>
  <si>
    <t>76262-1179</t>
  </si>
  <si>
    <t>Gaston &amp; Charles Rognon</t>
  </si>
  <si>
    <t>05-44-24-c2-03527.0290</t>
  </si>
  <si>
    <t>Laurelhurst</t>
  </si>
  <si>
    <t xml:space="preserve">131 NE 19th Ter  Cape Coral, FL 33909 </t>
  </si>
  <si>
    <t>De Gunzburg</t>
  </si>
  <si>
    <t xml:space="preserve">8903 SE 74th Pl  Mercer Island, WA 98040-5769 </t>
  </si>
  <si>
    <t>Stephanie Demarfio-Izzett</t>
  </si>
  <si>
    <t xml:space="preserve">1609 NE 6th Ave  Cape Coral, FL 33909 </t>
  </si>
  <si>
    <t>Apalachicola</t>
  </si>
  <si>
    <t xml:space="preserve">1263 Little Whaleneck Rd </t>
  </si>
  <si>
    <t xml:space="preserve">3832 Hoffman St  Fort Myers, FL 33905 </t>
  </si>
  <si>
    <t>For Ringler Trust</t>
  </si>
  <si>
    <t xml:space="preserve">3017 NE 6th Ave  Cape Coral, FL 33909 </t>
  </si>
  <si>
    <t>12-44-23-c2-02397.0050</t>
  </si>
  <si>
    <t xml:space="preserve">1719 Plunkett St </t>
  </si>
  <si>
    <t>18-43-24-c3-05751.0030</t>
  </si>
  <si>
    <t>Barnum Island</t>
  </si>
  <si>
    <t>92024-2522</t>
  </si>
  <si>
    <t xml:space="preserve">3449 John F Kennedy Blvd </t>
  </si>
  <si>
    <t>Belden</t>
  </si>
  <si>
    <t>Island Lake</t>
  </si>
  <si>
    <t>Cape Coral Unit 15 Blk.467 Pb 13 Pg 74 Lots 7 + 8</t>
  </si>
  <si>
    <t xml:space="preserve">18 Willowood Ct  Westhampton, NY 11977-1012 </t>
  </si>
  <si>
    <t>Timothy Keating</t>
  </si>
  <si>
    <t xml:space="preserve">10047 Rambelwood Ct  Fort Myers, FL 33905 </t>
  </si>
  <si>
    <t>Gerald &amp; For Hosenkamp</t>
  </si>
  <si>
    <t xml:space="preserve">59 Brienner St  Riedstadt, DE 64560 </t>
  </si>
  <si>
    <t>Cape Coral Unit 32 Blk 2140 Pb 16 Pg 7 Lots 32 + 33</t>
  </si>
  <si>
    <t xml:space="preserve">7 Elizabeth St  Wharton, NJ 07885-1705 </t>
  </si>
  <si>
    <t>PO Box 1110</t>
  </si>
  <si>
    <t xml:space="preserve">15270 Codie St  Fort Myers, FL 33908 </t>
  </si>
  <si>
    <t xml:space="preserve">1651 Allen Burgess Rd  Crossville, TN 38572-1209 </t>
  </si>
  <si>
    <t xml:space="preserve">1935 NE 14th Ter  Cape Coral, FL 33909 </t>
  </si>
  <si>
    <t>Nyhus</t>
  </si>
  <si>
    <t>Henry Nguyen</t>
  </si>
  <si>
    <t>Parl In Sec 18 Twp 44 R 26 Desc In Or 1299 Pg 2002</t>
  </si>
  <si>
    <t>Cape Coral Unit 34 Blk 2443 Pb 16 Pg 78 Lots 19 + 20</t>
  </si>
  <si>
    <t>33909-1103</t>
  </si>
  <si>
    <t xml:space="preserve">2621 NE 5th Pl </t>
  </si>
  <si>
    <t xml:space="preserve">14342 Trinidad St  Fort Myers, FL 33905 </t>
  </si>
  <si>
    <t>Cape Coral Unit 36 Blk 2307 Pb 16 Pg 123 Lots 13 Thru 15</t>
  </si>
  <si>
    <t>33909-8849</t>
  </si>
  <si>
    <t xml:space="preserve">1208 Kismet Pkwy E </t>
  </si>
  <si>
    <t>11-44-25-06-0000d.1200</t>
  </si>
  <si>
    <t xml:space="preserve">3767 NE 14th Ave </t>
  </si>
  <si>
    <t xml:space="preserve">1493 Loretta Dr </t>
  </si>
  <si>
    <t>Taffy</t>
  </si>
  <si>
    <t>33909-4261</t>
  </si>
  <si>
    <t>Lehigh Acres Unit 5 Blk 26 Pb 26 Pg 7 Lot 14</t>
  </si>
  <si>
    <t>Cape Coral Unit 88 Blk 5803 Pb 24 Pg 138 Lots 27 + 28</t>
  </si>
  <si>
    <t>60639-3427</t>
  </si>
  <si>
    <t>Cape Coral Unit 36 Part 1 Blk 2489 Pb 23 Pg 88 Lots 49 + 50</t>
  </si>
  <si>
    <t>Alfred &amp; Patricia Chiovetta</t>
  </si>
  <si>
    <t>Via Samborondon Km 25 Biblos</t>
  </si>
  <si>
    <t>48042-3714</t>
  </si>
  <si>
    <t>Guaynabo</t>
  </si>
  <si>
    <t>Kowalski</t>
  </si>
  <si>
    <t>44601-9481</t>
  </si>
  <si>
    <t xml:space="preserve">1116 7th Way  North Fort Myers, FL 33903 </t>
  </si>
  <si>
    <t>01-44-23-c2-02457.0260</t>
  </si>
  <si>
    <t>Cape Coral Unit 36 Blk 2348 Pb 16 Pg 128 Lots 45 + 46</t>
  </si>
  <si>
    <t>Kirbyville</t>
  </si>
  <si>
    <t xml:space="preserve">5718 NE 3rd Pl #2 </t>
  </si>
  <si>
    <t>Acevedo</t>
  </si>
  <si>
    <t xml:space="preserve">2428 NE 6th Pl  Cape Coral, FL 33909 </t>
  </si>
  <si>
    <t>03-44-26-14-00081.0200</t>
  </si>
  <si>
    <t xml:space="preserve">38 Clos Aubry Le Bordes </t>
  </si>
  <si>
    <t>Alfredo &amp; Fidelina Pinzon</t>
  </si>
  <si>
    <t>Elbert</t>
  </si>
  <si>
    <t xml:space="preserve">520 Gulf Bank Rd #157, Houston, TX 77037-2444 </t>
  </si>
  <si>
    <t xml:space="preserve">1802 NE 42nd Ter </t>
  </si>
  <si>
    <t>Layne</t>
  </si>
  <si>
    <t>Dudaitis</t>
  </si>
  <si>
    <t>24-44-24-p4-0150b.0150</t>
  </si>
  <si>
    <t xml:space="preserve">645 State St </t>
  </si>
  <si>
    <t xml:space="preserve">10429 Nightwood Dr  Fort Myers, FL 33905 </t>
  </si>
  <si>
    <t xml:space="preserve">3842 Stevely Ave  Long Beach, CA 90808-2343 </t>
  </si>
  <si>
    <t>L27</t>
  </si>
  <si>
    <t xml:space="preserve">134 NE 9th St  Cape Coral, FL 33909 </t>
  </si>
  <si>
    <t>Cape Coral Unit 36 Blk 2305 Pb 16 Pg 120 Lots 65 + 66</t>
  </si>
  <si>
    <t>Oakdale</t>
  </si>
  <si>
    <t>Trapse</t>
  </si>
  <si>
    <t xml:space="preserve">4117 Gilman Rd  El Monte, CA 91732-2542 </t>
  </si>
  <si>
    <t>34639-4097</t>
  </si>
  <si>
    <t xml:space="preserve">2536 NE 20th Ave </t>
  </si>
  <si>
    <t>01-44-23-c4-02468.0200</t>
  </si>
  <si>
    <t>Etheredge</t>
  </si>
  <si>
    <t>20-43-24-c1-05647.0430</t>
  </si>
  <si>
    <t xml:space="preserve">4425 N Gulf Cir  North Fort Myers, FL 33903 </t>
  </si>
  <si>
    <t>48895-9439</t>
  </si>
  <si>
    <t>Ivan Belya</t>
  </si>
  <si>
    <t>Lehigh Acres Unit 8 Blk 35 Pb 26 Pg 10 Lot 10</t>
  </si>
  <si>
    <t xml:space="preserve">10264 Grayfox Dr  San Diego, CA 92131-1268 </t>
  </si>
  <si>
    <t>11385-6932</t>
  </si>
  <si>
    <t>Cape Coral Unit 34 Blk 2422 Pb 16 Pg 76 Lots 41 + 42</t>
  </si>
  <si>
    <t xml:space="preserve">13426 SW 19th Ln </t>
  </si>
  <si>
    <t>Lo</t>
  </si>
  <si>
    <t xml:space="preserve">10248 Meadow Beauty Trl </t>
  </si>
  <si>
    <t>Margaret Chow</t>
  </si>
  <si>
    <t>33325-3054</t>
  </si>
  <si>
    <t xml:space="preserve">10131 Sunnywood Ct  Fort Myers, FL 33905 </t>
  </si>
  <si>
    <t>Broad Brook</t>
  </si>
  <si>
    <t>11752-3009</t>
  </si>
  <si>
    <t>Community Centre</t>
  </si>
  <si>
    <t xml:space="preserve">409 Myrtle Ave </t>
  </si>
  <si>
    <t>America Outdoors Camper Resort 1 Condo Blk W Or 1673 Pg 2487 Unit 46</t>
  </si>
  <si>
    <t>Lasota</t>
  </si>
  <si>
    <t>Mason Yaldo</t>
  </si>
  <si>
    <t xml:space="preserve">103 Joy St  Chicopee, MA 01013-1037 </t>
  </si>
  <si>
    <t>Scott Gegenheimer</t>
  </si>
  <si>
    <t>Nikita</t>
  </si>
  <si>
    <t>Cape Coral Unit 87 Blk 5679 Pb 24 Pg 73 Lots 9 + 10</t>
  </si>
  <si>
    <t>Bear</t>
  </si>
  <si>
    <t>Rolling Hills</t>
  </si>
  <si>
    <t>Ilex</t>
  </si>
  <si>
    <t xml:space="preserve">1661 Chilco Ct  Thousand Oaks, CA 91360-2136 </t>
  </si>
  <si>
    <t xml:space="preserve">2104 NE 14th Ave </t>
  </si>
  <si>
    <t>11-44-25-06-0000d.0080</t>
  </si>
  <si>
    <t>74105-5316</t>
  </si>
  <si>
    <t xml:space="preserve">1586 Silo Pl </t>
  </si>
  <si>
    <t>R076</t>
  </si>
  <si>
    <t>Hartley</t>
  </si>
  <si>
    <t xml:space="preserve">28616 SE Glover Rd </t>
  </si>
  <si>
    <t xml:space="preserve">530 New Los Angeles Ave #115, Moorpark, CA 93021-2079 </t>
  </si>
  <si>
    <t xml:space="preserve">506 NW 87th Ave #305, Miami, FL 33172-5720 </t>
  </si>
  <si>
    <t>North Egremont</t>
  </si>
  <si>
    <t>Thornhill</t>
  </si>
  <si>
    <t>Cordell</t>
  </si>
  <si>
    <t xml:space="preserve">3 Grandview Rd  Pelham, NH 03076-3028 </t>
  </si>
  <si>
    <t>11-45-24-01-00007.0200</t>
  </si>
  <si>
    <t>K4A 4K9</t>
  </si>
  <si>
    <t>East Weymouth</t>
  </si>
  <si>
    <t xml:space="preserve">3853 Granger Willows Dr </t>
  </si>
  <si>
    <t>36-43-23-c2-02538.0260</t>
  </si>
  <si>
    <t>Lehigh Acres W Pt Unit 12 Blk 68 Pb 26 Pg 16 Lots 3 + 4</t>
  </si>
  <si>
    <t xml:space="preserve">914 Kismet Pkwy E </t>
  </si>
  <si>
    <t>Edith Browne</t>
  </si>
  <si>
    <t>Cape Coral Unit 33 Blk 2224 Pb 16 Pg 42 Lots 25 + 26</t>
  </si>
  <si>
    <t xml:space="preserve">12224 NW 306  Fort Lauderdale, FL 33323 </t>
  </si>
  <si>
    <t xml:space="preserve">2211 NE 35th St  Cape Coral, FL 33909 </t>
  </si>
  <si>
    <t xml:space="preserve">1218 NE 14th Ave </t>
  </si>
  <si>
    <t xml:space="preserve">1928 NE 23rd Pl </t>
  </si>
  <si>
    <t>19-43-24-c4-05552.0010</t>
  </si>
  <si>
    <t>Punter</t>
  </si>
  <si>
    <t>Stephen &amp; Lauren Spainer</t>
  </si>
  <si>
    <t>Sandhill</t>
  </si>
  <si>
    <t>PO Box 270903</t>
  </si>
  <si>
    <t xml:space="preserve">820 Reddick Way  El Dorado Hills, CA 95762-4440 </t>
  </si>
  <si>
    <t>Crowder</t>
  </si>
  <si>
    <t xml:space="preserve">15281 Johnson St </t>
  </si>
  <si>
    <t>Cape Coral Unit 31 Blk 2067 Pb 14 Pg 164 Lots 38 + 39</t>
  </si>
  <si>
    <t>33909-6403</t>
  </si>
  <si>
    <t xml:space="preserve">1213 14th St #197, Key West, FL 33040-4157 </t>
  </si>
  <si>
    <t>06-46-24-18-00v00.0140</t>
  </si>
  <si>
    <t xml:space="preserve">15281 River By Rd  Fort Myers, FL 33908 </t>
  </si>
  <si>
    <t>11779-7403</t>
  </si>
  <si>
    <t>11-45-24-01-00009.0050</t>
  </si>
  <si>
    <t xml:space="preserve">1033 NE 19th Ter  Cape Coral, FL 33909 </t>
  </si>
  <si>
    <t xml:space="preserve">841 Ridge Rd </t>
  </si>
  <si>
    <t xml:space="preserve">216 SE 30th St  Cape Coral, FL 33904 </t>
  </si>
  <si>
    <t>33414-4345</t>
  </si>
  <si>
    <t>18-43-24-c1-05726.0080</t>
  </si>
  <si>
    <t>Andres Ramos</t>
  </si>
  <si>
    <t>Cape Coral Unit 33 Blk 2190 Pb 16 Pg 50 Lots 18 + 19</t>
  </si>
  <si>
    <t xml:space="preserve">PO Box 545998  Miami Beach, FL 33154-5998 </t>
  </si>
  <si>
    <t>David &amp; Angela Weiser</t>
  </si>
  <si>
    <t xml:space="preserve">3422 NE 21st Pl </t>
  </si>
  <si>
    <t>25-43-23-c4-02353.0360</t>
  </si>
  <si>
    <t xml:space="preserve">1921 NE 15th Ter  Cape Coral, FL 33909 </t>
  </si>
  <si>
    <t>33909-6114</t>
  </si>
  <si>
    <t>Viera West</t>
  </si>
  <si>
    <t>Tomlinson</t>
  </si>
  <si>
    <t>Cape Coral Unit 12 Blk 577 Pb 13 Pg 52 N 16Ft Of Lot 25</t>
  </si>
  <si>
    <t>Doreen</t>
  </si>
  <si>
    <t xml:space="preserve">2009 NE 15th St </t>
  </si>
  <si>
    <t xml:space="preserve">960 W Thatcher Rd </t>
  </si>
  <si>
    <t xml:space="preserve">1813 NE 33rd Ter  Cape Coral, FL 33909 </t>
  </si>
  <si>
    <t>92054-6572</t>
  </si>
  <si>
    <t>33909-3348</t>
  </si>
  <si>
    <t xml:space="preserve">4461 Staley Rd </t>
  </si>
  <si>
    <t>08807-2656</t>
  </si>
  <si>
    <t xml:space="preserve">13427 Marquette Blvd </t>
  </si>
  <si>
    <t>Edith Esplanade</t>
  </si>
  <si>
    <t>PO Box 218</t>
  </si>
  <si>
    <t xml:space="preserve">130 SE 29th St  Cape Coral, FL 33904 </t>
  </si>
  <si>
    <t>Bishun</t>
  </si>
  <si>
    <t>Benton</t>
  </si>
  <si>
    <t>Jimmy</t>
  </si>
  <si>
    <t>3e</t>
  </si>
  <si>
    <t>Oreland</t>
  </si>
  <si>
    <t>Phong</t>
  </si>
  <si>
    <t>Cape Coral Unit 84 Blk 5596 Pb 24 Pg 44 Lots 31 + 32</t>
  </si>
  <si>
    <t>Cypress Trail Rv Resort Phase 4-A As Desc In Inst# 20160000135610 Lot 384</t>
  </si>
  <si>
    <t>Tommy K Harris &amp; Verna Harris</t>
  </si>
  <si>
    <t>Kinellan</t>
  </si>
  <si>
    <t>18-43-24-c4-05679.0150</t>
  </si>
  <si>
    <t>33909-1441</t>
  </si>
  <si>
    <t xml:space="preserve">2739 NE 6th Ave </t>
  </si>
  <si>
    <t xml:space="preserve">3502 E Gator Cir </t>
  </si>
  <si>
    <t>M M M &amp; Renate Schlierf</t>
  </si>
  <si>
    <t>John Piercy</t>
  </si>
  <si>
    <t>18-43-24-c3-05706.0350</t>
  </si>
  <si>
    <t xml:space="preserve">3758 NE 16th Ave </t>
  </si>
  <si>
    <t xml:space="preserve">3769 NE 16th Pl  Cape Coral, FL 33909 </t>
  </si>
  <si>
    <t>11714-4819</t>
  </si>
  <si>
    <t>Pecus</t>
  </si>
  <si>
    <t>Winnie</t>
  </si>
  <si>
    <t>Cape Coral Unit 87 Blk 5691 Pb 24 Pg 84 Lots 61 + 62</t>
  </si>
  <si>
    <t>03-44-26-11-00055.0260</t>
  </si>
  <si>
    <t xml:space="preserve">6025 Lacota Ave </t>
  </si>
  <si>
    <t>Cape Coral Unit 36 Blk 2300A Pb 16 Pg 122 Lots 43 + 44</t>
  </si>
  <si>
    <t>Luca</t>
  </si>
  <si>
    <t xml:space="preserve">2605 NE 1st Pl </t>
  </si>
  <si>
    <t xml:space="preserve">81 Boulton Dr </t>
  </si>
  <si>
    <t>19-43-24-c2-05593.0120</t>
  </si>
  <si>
    <t>Goodwinmonica</t>
  </si>
  <si>
    <t>92691-4438</t>
  </si>
  <si>
    <t>Myrie Rudolph &amp; Denise Tr</t>
  </si>
  <si>
    <t>17-43-24-c4-05763.0010</t>
  </si>
  <si>
    <t xml:space="preserve">2724 NE 6th Ave  Cape Coral, FL 33909 </t>
  </si>
  <si>
    <t>18-43-24-c4-05685.0470</t>
  </si>
  <si>
    <t>Rue Paul Cwzanne</t>
  </si>
  <si>
    <t>Mary Mesa &amp; Diana Bohorquez</t>
  </si>
  <si>
    <t>Dubois</t>
  </si>
  <si>
    <t xml:space="preserve">15845 Whitewater Canyon Rd  Canyon Country, CA 91387-2144 </t>
  </si>
  <si>
    <t xml:space="preserve">2121 NE 25th Ter  Cape Coral, FL 33909 </t>
  </si>
  <si>
    <t>Nadja</t>
  </si>
  <si>
    <t>Cypress Trail Rv Resort Phase 4-C Block B Lot 454 As Desc In Inst 2019000042424</t>
  </si>
  <si>
    <t>Cape Coral Unit 34 Blk 2438 Pb 16 Pg 81 Lots 5 + 6</t>
  </si>
  <si>
    <t>Mihai</t>
  </si>
  <si>
    <t>36-43-23-c2-02538.0010</t>
  </si>
  <si>
    <t xml:space="preserve">2019 NE 20th Ct  Cape Coral, FL 33909 </t>
  </si>
  <si>
    <t xml:space="preserve">1508 NE 19th Ave </t>
  </si>
  <si>
    <t>Cape Coral Unit 87 Blk 5693 Pb 24 Pg 81 Lots 26 + 27</t>
  </si>
  <si>
    <t xml:space="preserve">331 Wolcott Ave  Middletown, RI 02842-5966 </t>
  </si>
  <si>
    <t>Cape Coral Unit 36 Blk 2324 Pb 16 Pg 128 Lots 33 + 34</t>
  </si>
  <si>
    <t>Phillip Guerrero</t>
  </si>
  <si>
    <t>Cape Coral Unit 36 Blk 2345 Pb 16 Pg 124 Lots 38 &amp; 39</t>
  </si>
  <si>
    <t xml:space="preserve">2225 NE 35th St </t>
  </si>
  <si>
    <t>Linda &amp; Daryl Ellison</t>
  </si>
  <si>
    <t>South Richmond Hill</t>
  </si>
  <si>
    <t xml:space="preserve">4209 Heritage Dr </t>
  </si>
  <si>
    <t>Redondo Beach</t>
  </si>
  <si>
    <t>Ramrattan</t>
  </si>
  <si>
    <t xml:space="preserve">1410 NE 22nd Ave  Cape Coral, FL 33909 </t>
  </si>
  <si>
    <t>45233-4808</t>
  </si>
  <si>
    <t>77339-1757</t>
  </si>
  <si>
    <t>Polanco</t>
  </si>
  <si>
    <t>11-44-25-l1-12000.3760</t>
  </si>
  <si>
    <t>33909-4806</t>
  </si>
  <si>
    <t>33909-5283</t>
  </si>
  <si>
    <t xml:space="preserve">1955/1957 Pine Dr N  Fort Myers, FL 33907 </t>
  </si>
  <si>
    <t>Pine Island</t>
  </si>
  <si>
    <t>Blatt</t>
  </si>
  <si>
    <t xml:space="preserve">5156 Cypress Trail Resort Cir  Fort Myers, FL 33905 </t>
  </si>
  <si>
    <t xml:space="preserve">718 S Williams Ave </t>
  </si>
  <si>
    <t xml:space="preserve">10669 184th Ct NW  Elk River, MN 55330-6106 </t>
  </si>
  <si>
    <t>Cape Coral Unit 84 Blk 5596 Pb 24 Pg 41 Lots 9 + 10</t>
  </si>
  <si>
    <t>Carlos Ortega &amp; Lelanis Arevalo</t>
  </si>
  <si>
    <t>33904-4085</t>
  </si>
  <si>
    <t>Cape Coral Unit 88 Blk 5779 Pb 24 Pg 135 Lots 39 + 40</t>
  </si>
  <si>
    <t>Compass</t>
  </si>
  <si>
    <t>33909-4517</t>
  </si>
  <si>
    <t>34-43-25-00-00013.0250</t>
  </si>
  <si>
    <t xml:space="preserve">1536 Crooked Stick Dr </t>
  </si>
  <si>
    <t>Aniello &amp; Teresa Franzese</t>
  </si>
  <si>
    <t>03-44-26-11-00056.0060</t>
  </si>
  <si>
    <t>Sunnyside</t>
  </si>
  <si>
    <t>Buckingham Pk Re Blk B U-5 Blk 28 Pb 27 Pg 193 Lot 10</t>
  </si>
  <si>
    <t>Cape Coral Unit 31 Blk 2067 Pb 14 Pg 163 Lots 11 + 12</t>
  </si>
  <si>
    <t xml:space="preserve">13913 N Forest Oak Cir </t>
  </si>
  <si>
    <t xml:space="preserve">1642 Llewellyn Dr </t>
  </si>
  <si>
    <t>Cape Coral Unit 84 Blk 5619 Pb 24 Pg 34 Lots 3 + 4</t>
  </si>
  <si>
    <t>Juerg &amp; Josephine Peter</t>
  </si>
  <si>
    <t xml:space="preserve">2744 Riverside Dr  Sarasota, FL 34234-7456 </t>
  </si>
  <si>
    <t xml:space="preserve">119 Radcliff Ave </t>
  </si>
  <si>
    <t>Worcester</t>
  </si>
  <si>
    <t>Cape Coral Unit 85 Blk 5656 Pb 24 Pg 57 Lots 43 + 44</t>
  </si>
  <si>
    <t>Thierry Garabedian</t>
  </si>
  <si>
    <t>34994-2164</t>
  </si>
  <si>
    <t>Nord</t>
  </si>
  <si>
    <t xml:space="preserve">2311 NE 6th Ave  Cape Coral, FL 33909 </t>
  </si>
  <si>
    <t>R022</t>
  </si>
  <si>
    <t>Depassier</t>
  </si>
  <si>
    <t>Codrington</t>
  </si>
  <si>
    <t>33909-2610</t>
  </si>
  <si>
    <t xml:space="preserve">71275 Dawn Dr Un  Union, MI 49130 </t>
  </si>
  <si>
    <t>Walker Springs</t>
  </si>
  <si>
    <t xml:space="preserve">922 S 25 W </t>
  </si>
  <si>
    <t>Alan &amp; Mary Wehrenberg</t>
  </si>
  <si>
    <t xml:space="preserve">5308 Cypress Trail Resort Cir  Fort Myers, FL 33905 </t>
  </si>
  <si>
    <t xml:space="preserve">6191 E Vernon St  Long Beach, CA 90815-2238 </t>
  </si>
  <si>
    <t>Elk Grove</t>
  </si>
  <si>
    <t xml:space="preserve">1415 NE 44th St </t>
  </si>
  <si>
    <t xml:space="preserve">1713 SE 26th Ter </t>
  </si>
  <si>
    <t>DE</t>
  </si>
  <si>
    <t xml:space="preserve">12110 Arborwood Way  Chardon, OH 44024-2416 </t>
  </si>
  <si>
    <t xml:space="preserve">2321 NE 39th St  Cape Coral, FL 33909 </t>
  </si>
  <si>
    <t xml:space="preserve">4140 NE 9th Pl </t>
  </si>
  <si>
    <t>Vyrl</t>
  </si>
  <si>
    <t>Linmark Maria Angelina Tr</t>
  </si>
  <si>
    <t xml:space="preserve">12 Bennet Rd  Hillsborough, NJ 08844-4380 </t>
  </si>
  <si>
    <t>16-44-26-05-00007.0400</t>
  </si>
  <si>
    <t>Darren &amp; Lisa Raines</t>
  </si>
  <si>
    <t>Cape Coral Unit 36 Blk 2291 Pb 16 Pg 120 Lots 7 + 8</t>
  </si>
  <si>
    <t>32162-1437</t>
  </si>
  <si>
    <t xml:space="preserve">307 Longview Dr </t>
  </si>
  <si>
    <t>10-46-24-l4-16000.0610</t>
  </si>
  <si>
    <t>Ruth Ureta</t>
  </si>
  <si>
    <t xml:space="preserve">110 Littlewood Dr  Oakville, ON L6h 6V2 </t>
  </si>
  <si>
    <t>Netherford</t>
  </si>
  <si>
    <t>Cape Coral Unit 17 Blk.1535 Pb 14 Pg 31 Lots 45 + 46</t>
  </si>
  <si>
    <t xml:space="preserve">62 Nelson Ave #1 </t>
  </si>
  <si>
    <t>Cape Coral Unit 87 Blk 5687 Pb 24 Pg 83 Lots 25 + 26</t>
  </si>
  <si>
    <t xml:space="preserve">41 Marshmallow Dr </t>
  </si>
  <si>
    <t>Buloxi</t>
  </si>
  <si>
    <t xml:space="preserve">7969 19th Ter </t>
  </si>
  <si>
    <t xml:space="preserve">8160 Jibb Rd </t>
  </si>
  <si>
    <t xml:space="preserve">329 NE 17th Ave  Cape Coral, FL 33909 </t>
  </si>
  <si>
    <t>148th</t>
  </si>
  <si>
    <t>33143-3262</t>
  </si>
  <si>
    <t xml:space="preserve">24 A </t>
  </si>
  <si>
    <t>Lorah</t>
  </si>
  <si>
    <t xml:space="preserve">2826 NE 6th Ave </t>
  </si>
  <si>
    <t>Carshaulton</t>
  </si>
  <si>
    <t xml:space="preserve">1230 NE 40th Ter  Cape Coral, FL 33909 </t>
  </si>
  <si>
    <t>Cape Coral Unit 36 Blk 2544 Pb 16 Pg 118 Lots 31 + 32</t>
  </si>
  <si>
    <t xml:space="preserve">1361 Overseas Hwy G26 </t>
  </si>
  <si>
    <t>Angeles</t>
  </si>
  <si>
    <t>Patrick &amp; Angela Rajkumar</t>
  </si>
  <si>
    <t>John &amp; Mary Hogsten</t>
  </si>
  <si>
    <t>Monteleone</t>
  </si>
  <si>
    <t>NH</t>
  </si>
  <si>
    <t>Roger &amp; Karen Graham</t>
  </si>
  <si>
    <t>36-44-23-c1-00919.0050</t>
  </si>
  <si>
    <t xml:space="preserve">40682 N Entry Rd  Chassell, MI 49916-9230 </t>
  </si>
  <si>
    <t>Lehigh Acres Unit 6 Blk 30 Pb 26 Pg 8 Lot 11</t>
  </si>
  <si>
    <t xml:space="preserve">10311 Geese Trail Cir </t>
  </si>
  <si>
    <t>33909-6452</t>
  </si>
  <si>
    <t xml:space="preserve">147 Watchung Ave  Chatham, NJ 07928-1829 </t>
  </si>
  <si>
    <t>Jose</t>
  </si>
  <si>
    <t>33908-2663</t>
  </si>
  <si>
    <t xml:space="preserve">2707 NE 4th Pl  Cape Coral, FL 33909 </t>
  </si>
  <si>
    <t xml:space="preserve">10081 Stonewood Dr </t>
  </si>
  <si>
    <t>Joyce Byfield</t>
  </si>
  <si>
    <t xml:space="preserve">57580 125th St  Wells, MN 56097-4660 </t>
  </si>
  <si>
    <t xml:space="preserve">10221 Yellowtop Trl  Fort Myers, FL 33905 </t>
  </si>
  <si>
    <t>Cape Coral Unit 26 Blk.849 Pb 14 Pg 122 Lots 32 + 33</t>
  </si>
  <si>
    <t xml:space="preserve">19681 Summerlin Rd #127, Fort Myers, FL 33908 </t>
  </si>
  <si>
    <t>Entry</t>
  </si>
  <si>
    <t>Safety Harbor</t>
  </si>
  <si>
    <t>James &amp; Jana Davis</t>
  </si>
  <si>
    <t>80525-4951</t>
  </si>
  <si>
    <t>Phyllis</t>
  </si>
  <si>
    <t>Oren</t>
  </si>
  <si>
    <t>25-43-23-c3-02314.0090</t>
  </si>
  <si>
    <t>33909-3397</t>
  </si>
  <si>
    <t xml:space="preserve">375 Ottumwa Ave  Fort Myers, FL 33905 </t>
  </si>
  <si>
    <t>33908-8309</t>
  </si>
  <si>
    <t xml:space="preserve">2992 Welsh Rd </t>
  </si>
  <si>
    <t>Ross Terwilliger</t>
  </si>
  <si>
    <t>171st</t>
  </si>
  <si>
    <t>33905-7539</t>
  </si>
  <si>
    <t>Elna</t>
  </si>
  <si>
    <t xml:space="preserve">1012 Dolphin Dr  Cape Coral, FL 33904 </t>
  </si>
  <si>
    <t>Lehigh Acres Unit 11 Blk 53 Pb 26 Pg 14 Lot 7</t>
  </si>
  <si>
    <t xml:space="preserve">12013 Greengate Dr  Hudson, FL 34669-5029 </t>
  </si>
  <si>
    <t xml:space="preserve">2133 NE 25th Ter </t>
  </si>
  <si>
    <t>Cape Cpral Unit 87 Blk 5698 Pb 24 Pg 81 Lots 57 + 58</t>
  </si>
  <si>
    <t>33909-1490</t>
  </si>
  <si>
    <t>33182-2625</t>
  </si>
  <si>
    <t xml:space="preserve">1019 NE 23rd Ter </t>
  </si>
  <si>
    <t>Richard Vockings &amp; Valerie Blum</t>
  </si>
  <si>
    <t>Richard Finley</t>
  </si>
  <si>
    <t xml:space="preserve">1333 NE 33rd Ter </t>
  </si>
  <si>
    <t xml:space="preserve">2016 NE 18th St  Cape Coral, FL 33909 </t>
  </si>
  <si>
    <t>01-45-23-c2-00424.0250</t>
  </si>
  <si>
    <t xml:space="preserve">250 Georgia Ave </t>
  </si>
  <si>
    <t>15501-2301</t>
  </si>
  <si>
    <t>Dzierzawski</t>
  </si>
  <si>
    <t xml:space="preserve">6701 Sunset Dr #104, South Miami, FL 33143-4529 </t>
  </si>
  <si>
    <t>Charlene</t>
  </si>
  <si>
    <t xml:space="preserve">1012 Van Siclen Ave </t>
  </si>
  <si>
    <t xml:space="preserve">2128 NE 15th Ln </t>
  </si>
  <si>
    <t>Wayne Lattuca</t>
  </si>
  <si>
    <t>11426-2329</t>
  </si>
  <si>
    <t xml:space="preserve">5881 N Plum Bay Pkwy  Tamarac, FL 33321-6303 </t>
  </si>
  <si>
    <t>92010-2856</t>
  </si>
  <si>
    <t>36-43-23-c2-02543.0290</t>
  </si>
  <si>
    <t xml:space="preserve">281 E 57th St </t>
  </si>
  <si>
    <t>Belle Vue Park Blk G Pb 5 Pg 50 Lots 17 + 18</t>
  </si>
  <si>
    <t xml:space="preserve">7 Cunard Pl </t>
  </si>
  <si>
    <t>Cape Coral Unit 31 Blk 2068 Pb 14 Pg 164 Lot 1</t>
  </si>
  <si>
    <t>36-43-23-c1-02518.0520</t>
  </si>
  <si>
    <t>Robert &amp; Iris Michel</t>
  </si>
  <si>
    <t>Willilam Blick &amp; Dorothy Vanconant</t>
  </si>
  <si>
    <t xml:space="preserve">1301 Caloosa Vista Rd  Fort Myers, FL 33901 </t>
  </si>
  <si>
    <t>08225-1534</t>
  </si>
  <si>
    <t>Cape Coral Unit 87 Blk 5724 Pb 24 Pg 80 Lots 19 + 20</t>
  </si>
  <si>
    <t>H016</t>
  </si>
  <si>
    <t>Southgate</t>
  </si>
  <si>
    <t>Florian</t>
  </si>
  <si>
    <t>Cape Coral Unit 36 Blk 2342 Pb 16 Pg 121 Lots 41 + 42</t>
  </si>
  <si>
    <t>62712-8985</t>
  </si>
  <si>
    <t>Cape Coral Unit 88 Blk 5809 Pb 24 Pg 138 Lots 6 Thru 8</t>
  </si>
  <si>
    <t>Lehigh Acres W 1/2 Unit 13 Blk 75 Pb 26 Pg 18 Lot 8</t>
  </si>
  <si>
    <t>Coral Bay As Desc In 2022000234797 Lot 42</t>
  </si>
  <si>
    <t>Holiday Travel Park Rv Condo Ph 1 Or 1557 Pg 1583 Unit 251</t>
  </si>
  <si>
    <t>San Pedro Sula</t>
  </si>
  <si>
    <t>Cape Coral Unit 33 Blk 2259 Pb 16 Pg 59 Lots 32 + 33</t>
  </si>
  <si>
    <t>River Forest Island Or 836 Pg 662 Lot 42</t>
  </si>
  <si>
    <t xml:space="preserve">1832 NE 22nd St </t>
  </si>
  <si>
    <t xml:space="preserve">5680 Brightwood Dr </t>
  </si>
  <si>
    <t>Jimmy Lopez</t>
  </si>
  <si>
    <t>Cape Coral Unit 21 Blk 634 Pb 13 Pg 160 Lots 33 + 34</t>
  </si>
  <si>
    <t xml:space="preserve">2260 SE 27th St  Cape Coral, FL 33904 </t>
  </si>
  <si>
    <t>Rosemaria</t>
  </si>
  <si>
    <t>Paul &amp; David Cooper</t>
  </si>
  <si>
    <t>Delano</t>
  </si>
  <si>
    <t>18-43-24-c4-05682.0330</t>
  </si>
  <si>
    <t>Cape Coral Unit 33 Blk 2218 Pb 16 Pg 44 Lots 23 + 24</t>
  </si>
  <si>
    <t xml:space="preserve">3914 SE 20th Ave </t>
  </si>
  <si>
    <t xml:space="preserve">1821 SW 24th Ter </t>
  </si>
  <si>
    <t xml:space="preserve">6136 Hershey Ave  Fort Myers, FL 33905 </t>
  </si>
  <si>
    <t xml:space="preserve">3804 Kittyhawk Dr </t>
  </si>
  <si>
    <t xml:space="preserve">536 Herbert Ln </t>
  </si>
  <si>
    <t>Wranosky</t>
  </si>
  <si>
    <t>Arbor Ridge</t>
  </si>
  <si>
    <t>Lisle</t>
  </si>
  <si>
    <t>Victor</t>
  </si>
  <si>
    <t>Fanny Simkin</t>
  </si>
  <si>
    <t>Gavina</t>
  </si>
  <si>
    <t>98034-9032</t>
  </si>
  <si>
    <t>Graciela Barreiro</t>
  </si>
  <si>
    <t xml:space="preserve">1016 SE 36th Ter </t>
  </si>
  <si>
    <t>PO Box 306</t>
  </si>
  <si>
    <t>Donovan</t>
  </si>
  <si>
    <t>03-44-26-08-00036.0340</t>
  </si>
  <si>
    <t>C054</t>
  </si>
  <si>
    <t xml:space="preserve">1111 NE 19th Ave </t>
  </si>
  <si>
    <t>17-43-24-c2-05805.0090</t>
  </si>
  <si>
    <t>33905-8708</t>
  </si>
  <si>
    <t xml:space="preserve">4140 NE 14th Pl </t>
  </si>
  <si>
    <t>Althea Freeman</t>
  </si>
  <si>
    <t xml:space="preserve">1815 NE 10th Ave  Cape Coral, FL 33909 </t>
  </si>
  <si>
    <t>Silagy Marsha Marie Tr</t>
  </si>
  <si>
    <t>33905-4120</t>
  </si>
  <si>
    <t>Nia</t>
  </si>
  <si>
    <t>05-44-26-00-00006.0040</t>
  </si>
  <si>
    <t>David Lysenko</t>
  </si>
  <si>
    <t xml:space="preserve">10041 Willowood Dr </t>
  </si>
  <si>
    <t>33904-4919</t>
  </si>
  <si>
    <t>Jeffrey &amp; Angela Clark</t>
  </si>
  <si>
    <t>36-43-23-c1-02519.0320</t>
  </si>
  <si>
    <t xml:space="preserve">38 Fela Dr  Parlin, NJ 08859-3111 </t>
  </si>
  <si>
    <t xml:space="preserve">1603 NE 36th Ln  Cape Coral, FL 33909 </t>
  </si>
  <si>
    <t xml:space="preserve">10974 Ash Pl  Thornton, CO 80233-3732 </t>
  </si>
  <si>
    <t>Royster</t>
  </si>
  <si>
    <t>98002-4518</t>
  </si>
  <si>
    <t>Landahl</t>
  </si>
  <si>
    <t>Mayra Angulo</t>
  </si>
  <si>
    <t>06-44-24-c4-02046.0340</t>
  </si>
  <si>
    <t xml:space="preserve">2816 Spruce Ct  Geneva, IL 60134-3943 </t>
  </si>
  <si>
    <t xml:space="preserve">2112 NE 43rd Ln </t>
  </si>
  <si>
    <t>Cape Coral Unit 88 Blk 5803 Pb 24 Pg 138 Lots 25 + 26</t>
  </si>
  <si>
    <t>Favony</t>
  </si>
  <si>
    <t>ID</t>
  </si>
  <si>
    <t>Kimly &amp; Marasy Long</t>
  </si>
  <si>
    <t>20-44-26-04-00024.0130</t>
  </si>
  <si>
    <t>33055-1632</t>
  </si>
  <si>
    <t>Cape Coral Unit 36 Blk 2348 Pb 16 Pg 128 Lots 43 + 44</t>
  </si>
  <si>
    <t xml:space="preserve">2018 NE 14th Pl  Cape Coral, FL 33909 </t>
  </si>
  <si>
    <t>33909-5539</t>
  </si>
  <si>
    <t xml:space="preserve">27141 Rivermont Dr  Abingdon, VA 24211-7209 </t>
  </si>
  <si>
    <t>Betty Bynoe</t>
  </si>
  <si>
    <t>Robaina</t>
  </si>
  <si>
    <t>31-43-24-c1-02148.0170</t>
  </si>
  <si>
    <t xml:space="preserve">2301 NE 19th Pl  Cape Coral, FL 33909 </t>
  </si>
  <si>
    <t>Cape Coral Unit 34 Blk 2418 Pb 16 Pg 81 Lots 46 + 47</t>
  </si>
  <si>
    <t>Stubbs</t>
  </si>
  <si>
    <t xml:space="preserve">49 Ackerstrasse </t>
  </si>
  <si>
    <t xml:space="preserve">2805 NE 4th Pl </t>
  </si>
  <si>
    <t>01824-1866</t>
  </si>
  <si>
    <t>06-44-24-c4-02048.0190</t>
  </si>
  <si>
    <t xml:space="preserve">422 13th Ave N  South Saint Paul, MN 55075-1938 </t>
  </si>
  <si>
    <t xml:space="preserve">Am Kindergarten #11 </t>
  </si>
  <si>
    <t>36-43-23-c2-02526.0630</t>
  </si>
  <si>
    <t xml:space="preserve">127 Taylor Ave  Madison, CT 06443-2805 </t>
  </si>
  <si>
    <t xml:space="preserve">8040 Conservatory Cir  Sarasota, FL 34243-4919 </t>
  </si>
  <si>
    <t>Luis Diogo &amp; Sandra Fernandes</t>
  </si>
  <si>
    <t>Sam Lam &amp; Kimbinh Nguyen</t>
  </si>
  <si>
    <t>21601-4796</t>
  </si>
  <si>
    <t>Env 401K Trust</t>
  </si>
  <si>
    <t xml:space="preserve">890 Tucker Rd  North Dartmouth, MA 02747-3531 </t>
  </si>
  <si>
    <t>33909-3343</t>
  </si>
  <si>
    <t>Juan &amp; Luz Medina</t>
  </si>
  <si>
    <t xml:space="preserve">8 Valerie Ln  Albany, NY 12211-2216 </t>
  </si>
  <si>
    <t xml:space="preserve">202 NE 24th Ter  Cape Coral, FL 33909 </t>
  </si>
  <si>
    <t>29-43-26-06-00068.0200</t>
  </si>
  <si>
    <t xml:space="preserve">4 White Rd  Putnam Valley, NY 10579-3109 </t>
  </si>
  <si>
    <t xml:space="preserve">3719 Trent St </t>
  </si>
  <si>
    <t>Margere</t>
  </si>
  <si>
    <t>Nouvel</t>
  </si>
  <si>
    <t>29-43-24-c3-02287.0410</t>
  </si>
  <si>
    <t xml:space="preserve">78 Wilson St </t>
  </si>
  <si>
    <t>Cape Coral Unit 33 Blk 2193 Pb 16 Pg 50 Lots 28 + 29</t>
  </si>
  <si>
    <t>Cape Coral Unit 88 Blk 5813 Pb 24 Pg 139 Lots 15 + 16</t>
  </si>
  <si>
    <t xml:space="preserve">4024 Garden Blvd  Cape Coral, FL 33909 </t>
  </si>
  <si>
    <t xml:space="preserve">10569 Braudy Ln </t>
  </si>
  <si>
    <t xml:space="preserve">120 NE 25th St  Cape Coral, FL 33909 </t>
  </si>
  <si>
    <t>36-43-23-c4-02485.0110</t>
  </si>
  <si>
    <t>Lisa</t>
  </si>
  <si>
    <t xml:space="preserve">14208 Bradshaw Dr </t>
  </si>
  <si>
    <t>05-46-24-03-00005.0080</t>
  </si>
  <si>
    <t>Cape Coral Unit 36 Blk 2515 Pb 16 Pg 116 Lots 29 + 30</t>
  </si>
  <si>
    <t>03-44-26-10-00050.0090</t>
  </si>
  <si>
    <t>03-44-26-12-00062.0080</t>
  </si>
  <si>
    <t>33904-3407</t>
  </si>
  <si>
    <t>Holloway Hill</t>
  </si>
  <si>
    <t xml:space="preserve">923 NE 33rd Ter </t>
  </si>
  <si>
    <t>36-43-23-c4-02513.0300</t>
  </si>
  <si>
    <t>33909-4316</t>
  </si>
  <si>
    <t>12-44-23-c1-02410.0530</t>
  </si>
  <si>
    <t>33029-3266</t>
  </si>
  <si>
    <t xml:space="preserve">2128 NE Juanita Pl  Cape Coral, FL 33909 </t>
  </si>
  <si>
    <t xml:space="preserve">1327 NE 23rd St  Cape Coral, FL 33909 </t>
  </si>
  <si>
    <t>Sara Hernandez</t>
  </si>
  <si>
    <t>Torsten &amp; Ulrike Mehlgarten</t>
  </si>
  <si>
    <t>Mildrede Mathieu</t>
  </si>
  <si>
    <t>Radulescu</t>
  </si>
  <si>
    <t>33905-2523</t>
  </si>
  <si>
    <t xml:space="preserve">2107 NE 24th Ter </t>
  </si>
  <si>
    <t>SITUS ZIP CODE</t>
  </si>
  <si>
    <t xml:space="preserve">315 S Pawnee St  Pierre, SD 57501-3135 </t>
  </si>
  <si>
    <t>33019-2126</t>
  </si>
  <si>
    <t xml:space="preserve">1614 NE 1st Ave  Cape Coral, FL 33909 </t>
  </si>
  <si>
    <t xml:space="preserve">1320 NE 20th St  Cape Coral, FL 33909 </t>
  </si>
  <si>
    <t>11-44-25-04-0000b.0890</t>
  </si>
  <si>
    <t xml:space="preserve">1112 NE 33rd Ln  Cape Coral, FL 33909 </t>
  </si>
  <si>
    <t xml:space="preserve">206 NE 25th St </t>
  </si>
  <si>
    <t>Cape Coral Unit 85 Blk 5643 Pb 24 Pg 55 Lots 1 + 2</t>
  </si>
  <si>
    <t xml:space="preserve">2925 Lincoln Dr #403 </t>
  </si>
  <si>
    <t xml:space="preserve">Po Box 358 </t>
  </si>
  <si>
    <t>M8</t>
  </si>
  <si>
    <t>11520-1405</t>
  </si>
  <si>
    <t xml:space="preserve">1231 Lanetown Rd </t>
  </si>
  <si>
    <t>19-43-24-c1-05576.0030</t>
  </si>
  <si>
    <t xml:space="preserve">4323 NE 8th Ct </t>
  </si>
  <si>
    <t xml:space="preserve">28 Calle 78 B-35, Bogota, CO </t>
  </si>
  <si>
    <t xml:space="preserve">505 Capitol St </t>
  </si>
  <si>
    <t>36-43-23-c3-02480.0430</t>
  </si>
  <si>
    <t xml:space="preserve">22561 County Road 39 </t>
  </si>
  <si>
    <t xml:space="preserve">9645 Tanager Dr  Chardon, OH 44024-8683 </t>
  </si>
  <si>
    <t>11-44-25-10-00000.4200</t>
  </si>
  <si>
    <t xml:space="preserve">1191 NW 100th St </t>
  </si>
  <si>
    <t>Grannan</t>
  </si>
  <si>
    <t>Cape Coral Unit 33 Blk 2263 Pb 16 Pg 59 Lots 9 + 10</t>
  </si>
  <si>
    <t xml:space="preserve">11805 Chantilly Ln </t>
  </si>
  <si>
    <t>33909-4801</t>
  </si>
  <si>
    <t>17-43-24-c3-05798.0220</t>
  </si>
  <si>
    <t>Cape Coral Unit 87 Blk 5723 Pb 24 Pg 80 Lot 33</t>
  </si>
  <si>
    <t>Russell Park Blk 7 Pb 8 Pg 25 Lot 284 + Nwly 1/2 Lot 283</t>
  </si>
  <si>
    <t>PO Box 5007</t>
  </si>
  <si>
    <t>Mevilton Dsouza &amp; Gabriela Musi</t>
  </si>
  <si>
    <t xml:space="preserve">10550 W State Road 84 #230 </t>
  </si>
  <si>
    <t>Via Di Santa Cosimato</t>
  </si>
  <si>
    <t>Cape Coral Unit 47 Pt 2 Blk 3532 Pb 23 Pg 127 Lots 23 + 24</t>
  </si>
  <si>
    <t xml:space="preserve">133 Anonas Ext </t>
  </si>
  <si>
    <t xml:space="preserve">5206 Sunnybrook Ct  Cape Coral, FL 33904 </t>
  </si>
  <si>
    <t>33904-7249</t>
  </si>
  <si>
    <t xml:space="preserve">1236 NE 41st St </t>
  </si>
  <si>
    <t>18-43-24-c4-05680.0240</t>
  </si>
  <si>
    <t>Joliet</t>
  </si>
  <si>
    <t>Buzzards Bay</t>
  </si>
  <si>
    <t>11-44-25-07-00000.1460</t>
  </si>
  <si>
    <t>82nd</t>
  </si>
  <si>
    <t xml:space="preserve">10050 Stonewood Dr  Fort Myers, FL 33905 </t>
  </si>
  <si>
    <t>Lehigh Acres Unit 2 Blk 7 Pb 26 Pg 4 Lot 11</t>
  </si>
  <si>
    <t>Cape Coral Unit 33 Blk 2190 Pb 16 Pg 50 Lots 16 + 17</t>
  </si>
  <si>
    <t xml:space="preserve">PO Box 160941  Hialeah, FL 33016 </t>
  </si>
  <si>
    <t>33909-1746</t>
  </si>
  <si>
    <t>Novac</t>
  </si>
  <si>
    <t>06074-4123</t>
  </si>
  <si>
    <t>Shelby</t>
  </si>
  <si>
    <t xml:space="preserve">1520 Pellville Rd  Reynolds Station, KY 42368-6136 </t>
  </si>
  <si>
    <t xml:space="preserve">163 Leyden St </t>
  </si>
  <si>
    <t>Cape Coral Unit 36 Blk 2300A Pb 16 Pg 125 Lot 90</t>
  </si>
  <si>
    <t>03-44-26-07-00033.0260</t>
  </si>
  <si>
    <t xml:space="preserve">462 NE Juanita Ct  Cape Coral, FL 33909 </t>
  </si>
  <si>
    <t>25-43-23-c1-02350.0210</t>
  </si>
  <si>
    <t>Paramus</t>
  </si>
  <si>
    <t>33014-5059</t>
  </si>
  <si>
    <t>32963-3015</t>
  </si>
  <si>
    <t>Jossue</t>
  </si>
  <si>
    <t xml:space="preserve">32 Parkway Cir </t>
  </si>
  <si>
    <t xml:space="preserve">3909 NE 19th Pl </t>
  </si>
  <si>
    <t>Grubb</t>
  </si>
  <si>
    <t>Haycock</t>
  </si>
  <si>
    <t>33909-6251</t>
  </si>
  <si>
    <t>Alta</t>
  </si>
  <si>
    <t xml:space="preserve">1902 NE 27th Ter  Cape Coral, FL 33909 </t>
  </si>
  <si>
    <t>05-44-24-c2-03513.0320</t>
  </si>
  <si>
    <t xml:space="preserve">1222 NE 1st Pl  Cape Coral, FL 33909 </t>
  </si>
  <si>
    <t>Mccurdy Family Trust Llc</t>
  </si>
  <si>
    <t>34109-8784</t>
  </si>
  <si>
    <t>32-43-24-c4-02208.0450</t>
  </si>
  <si>
    <t>Lehigh Acres E 1/2 Unit 13 Blk 71 Pb 26 Pg 17 Lot 21</t>
  </si>
  <si>
    <t>Piedmont</t>
  </si>
  <si>
    <t>06-46-24-15-00000.0410</t>
  </si>
  <si>
    <t>36-43-23-c1-02517.0230</t>
  </si>
  <si>
    <t xml:space="preserve">1120 NE 2nd Pl  Cape Coral, FL 33909 </t>
  </si>
  <si>
    <t>Cape Coral Unit 47 Pt 2 Blk 3529 Pb 23 Pg 121 Lots 35 + 36</t>
  </si>
  <si>
    <t xml:space="preserve">1629 NE 17th Ter  Cape Coral, FL 33909 </t>
  </si>
  <si>
    <t>60517-7514</t>
  </si>
  <si>
    <t xml:space="preserve">47 Hilltop Ave  Plymouth, MA 02360-1017 </t>
  </si>
  <si>
    <t xml:space="preserve">1627 NE 16th Ter </t>
  </si>
  <si>
    <t>03-44-26-13-00070.0190</t>
  </si>
  <si>
    <t>Cypress Woods Rv Resort Desc In Inst#2006-358211 Lot 168</t>
  </si>
  <si>
    <t>Palmona Park Unit 1 Blk 33 Pb 7 Pg 55 Lots 1 + 2</t>
  </si>
  <si>
    <t xml:space="preserve">1 Katzenhagen  Sazgitter, DE 38228 </t>
  </si>
  <si>
    <t>Henrique</t>
  </si>
  <si>
    <t xml:space="preserve">1445 NE 32nd Ln </t>
  </si>
  <si>
    <t>Yoakum</t>
  </si>
  <si>
    <t>19-43-24-c3-05617.0010</t>
  </si>
  <si>
    <t>Cape Coral Unit 84 Blk 5547 Pb 24 Pg 46 Lots 19 + 20</t>
  </si>
  <si>
    <t xml:space="preserve">Po Box 29022 </t>
  </si>
  <si>
    <t>Black Pug</t>
  </si>
  <si>
    <t xml:space="preserve">433 Santa Cruz St </t>
  </si>
  <si>
    <t>Darlene</t>
  </si>
  <si>
    <t>Cape Coral Unit 31 Blk.2068 Pb 14 Pg 163 Lots 59 + 60</t>
  </si>
  <si>
    <t>Claudio Fontanari</t>
  </si>
  <si>
    <t>92105-2410</t>
  </si>
  <si>
    <t>Leonard</t>
  </si>
  <si>
    <t xml:space="preserve">7350 Point Of Rocks Rd  Sarasota, FL 34242-2641 </t>
  </si>
  <si>
    <t xml:space="preserve">543 Garden St  Gananoque, ON K7g 3E2 </t>
  </si>
  <si>
    <t xml:space="preserve">9195 E Mountain View Ave  Selma, CA 93662-9520 </t>
  </si>
  <si>
    <t xml:space="preserve">5199 Cypress Trail Resort Cir </t>
  </si>
  <si>
    <t>Quintero</t>
  </si>
  <si>
    <t xml:space="preserve">2801 Forman Rd  Austinburg, OH 44010-9719 </t>
  </si>
  <si>
    <t>Buckingham Pk Re Blk B U-3 Blk 13 Pb 27 Pg 190 Lot 6</t>
  </si>
  <si>
    <t>91762-6164</t>
  </si>
  <si>
    <t>28th</t>
  </si>
  <si>
    <t>90064-2647</t>
  </si>
  <si>
    <t xml:space="preserve">4461 Staley Rd  Fort Myers, FL 33905 </t>
  </si>
  <si>
    <t>Cape Coral Unit 88 Blk 5824 Pb 24 Pg 143 Lots 6 + 7</t>
  </si>
  <si>
    <t>27052-6974</t>
  </si>
  <si>
    <t>06-44-24-c4-02050.0570</t>
  </si>
  <si>
    <t>Brent &amp; Elizabeth Shapiro</t>
  </si>
  <si>
    <t xml:space="preserve">115 NE 23rd Ter  Cape Coral, FL 33909 </t>
  </si>
  <si>
    <t>Tarpon Springs</t>
  </si>
  <si>
    <t>Maxime Hersant</t>
  </si>
  <si>
    <t>Orchard Blossom</t>
  </si>
  <si>
    <t xml:space="preserve">15251 N 45th Pl  Phoenix, AZ 85032-4840 </t>
  </si>
  <si>
    <t>Vardi</t>
  </si>
  <si>
    <t xml:space="preserve">1905 SE 36th Ter  Cape Coral, FL 33904 </t>
  </si>
  <si>
    <t xml:space="preserve">113 NE 7th Ter  Cape Coral, FL 33909 </t>
  </si>
  <si>
    <t>Cape Coral Unit 84 Blk 5557 Pb 24 Pg 33 Lots 32 + 33</t>
  </si>
  <si>
    <t xml:space="preserve">6232 Tezcuco Ct  Granbury, TX 76049-4229 </t>
  </si>
  <si>
    <t xml:space="preserve">2003 NE 2nd St </t>
  </si>
  <si>
    <t xml:space="preserve">833 NE 7th Pl  Cape Coral, FL 33909 </t>
  </si>
  <si>
    <t xml:space="preserve">144 Cove Rd  Oyster Bay, NY 11771-3401 </t>
  </si>
  <si>
    <t xml:space="preserve">1303 NE 6th Ave </t>
  </si>
  <si>
    <t xml:space="preserve">2 Urb Montalvo  Cabo Rojo, PR 00623-4357 </t>
  </si>
  <si>
    <t>Yunia</t>
  </si>
  <si>
    <t xml:space="preserve">5647 Madison St </t>
  </si>
  <si>
    <t>Alton</t>
  </si>
  <si>
    <t xml:space="preserve">5647 Madison St  Hollywood, FL 33023-1454 </t>
  </si>
  <si>
    <t>36-43-23-c1-02518.0030</t>
  </si>
  <si>
    <t>16-44-26-06-00015.0020</t>
  </si>
  <si>
    <t xml:space="preserve">2027 NE 8th Pl  Cape Coral, FL 33909 </t>
  </si>
  <si>
    <t>Afzal</t>
  </si>
  <si>
    <t xml:space="preserve">317 Dexter Dr </t>
  </si>
  <si>
    <t>Bridgewater Town</t>
  </si>
  <si>
    <t>Poinsettia Park Co-Op Desc Or 1238 Pg 2011 Lot 78</t>
  </si>
  <si>
    <t>Hidden Woods</t>
  </si>
  <si>
    <t xml:space="preserve">1120 NE 2nd Pl </t>
  </si>
  <si>
    <t>Wides</t>
  </si>
  <si>
    <t xml:space="preserve">2610 NE 20th Pl </t>
  </si>
  <si>
    <t>33909-4654</t>
  </si>
  <si>
    <t>Barras</t>
  </si>
  <si>
    <t>Amira</t>
  </si>
  <si>
    <t>Waldens Pond</t>
  </si>
  <si>
    <t>Minda</t>
  </si>
  <si>
    <t xml:space="preserve">4420 Jenkins Cres </t>
  </si>
  <si>
    <t>H4</t>
  </si>
  <si>
    <t>33909-1207</t>
  </si>
  <si>
    <t>Dolphin</t>
  </si>
  <si>
    <t xml:space="preserve">3625 NE 17th Ave  Cape Coral, FL 33909 </t>
  </si>
  <si>
    <t>Lauon</t>
  </si>
  <si>
    <t>Snyder</t>
  </si>
  <si>
    <t>Zeimet</t>
  </si>
  <si>
    <t>33909-4365</t>
  </si>
  <si>
    <t xml:space="preserve">30 Scheteligstrabe  Lubeck, DE 23570 </t>
  </si>
  <si>
    <t xml:space="preserve">2353 Lodovick Ave </t>
  </si>
  <si>
    <t>09-44-26-03-00000.0160</t>
  </si>
  <si>
    <t>Max Stinson &amp; Max For</t>
  </si>
  <si>
    <t xml:space="preserve">1742 NE 10th Ln  Cape Coral, FL 33909 </t>
  </si>
  <si>
    <t xml:space="preserve">2710 NE 5th Ave  Cape Coral, FL 33909 </t>
  </si>
  <si>
    <t xml:space="preserve">340 Old Tappan Rd  Old Tappan, NJ 07675-6841 </t>
  </si>
  <si>
    <t>Buckingham Pk Re Blk B U-2 Blk 5 Pb 27 Pg 189 Lot 14</t>
  </si>
  <si>
    <t>Cape Coral Unit 34 Blk 2464 Pb 16 Pg 84 Lots 3 + 4</t>
  </si>
  <si>
    <t xml:space="preserve">13864 5th St </t>
  </si>
  <si>
    <t xml:space="preserve">5069 SW 139th Ave </t>
  </si>
  <si>
    <t>Cape Coral Unit 87 Blk 5687 Pb 24 Pg 83 Lots 23 + 24</t>
  </si>
  <si>
    <t>06-44-24-c4-02065.0630</t>
  </si>
  <si>
    <t>Rafael</t>
  </si>
  <si>
    <t>33993-8419</t>
  </si>
  <si>
    <t>32163-2597</t>
  </si>
  <si>
    <t>06-44-24-c2-02084.0310</t>
  </si>
  <si>
    <t xml:space="preserve">2740 NE 5th Ave </t>
  </si>
  <si>
    <t>Mickey</t>
  </si>
  <si>
    <t xml:space="preserve">300 Hillcrest Rd </t>
  </si>
  <si>
    <t>Victoria &amp; Rita Vipond</t>
  </si>
  <si>
    <t xml:space="preserve">13913 N Forest Oak Cir  Davie, FL 33325-6713 </t>
  </si>
  <si>
    <t xml:space="preserve">6009 Juliet Ave </t>
  </si>
  <si>
    <t>19-43-24-c1-05569.0390</t>
  </si>
  <si>
    <t xml:space="preserve">14210 Carberry St  Fort Myers, FL 33905 </t>
  </si>
  <si>
    <t>33909-5338</t>
  </si>
  <si>
    <t xml:space="preserve">314 Cross St  Norwell, MA 02061-1343 </t>
  </si>
  <si>
    <t>Antonietta Savage</t>
  </si>
  <si>
    <t>Van Toan</t>
  </si>
  <si>
    <t xml:space="preserve">2510 NE 6th Pl  Cape Coral, FL 33909 </t>
  </si>
  <si>
    <t>Mission Viejo</t>
  </si>
  <si>
    <t>Elaine</t>
  </si>
  <si>
    <t>Feldstrasse</t>
  </si>
  <si>
    <t>Laguna Hills</t>
  </si>
  <si>
    <t>32-43-24-c1-02191.0370</t>
  </si>
  <si>
    <t>07601-3927</t>
  </si>
  <si>
    <t xml:space="preserve">6698 SW 30th St </t>
  </si>
  <si>
    <t>14004-9208</t>
  </si>
  <si>
    <t xml:space="preserve">13074 Salinas Point Way </t>
  </si>
  <si>
    <t xml:space="preserve">36 Villa Este  Dorado, PR 00646-2332 </t>
  </si>
  <si>
    <t>12581-5937</t>
  </si>
  <si>
    <t>Elsa Alvarez Trust</t>
  </si>
  <si>
    <t>11-44-25-11-00000.0450</t>
  </si>
  <si>
    <t xml:space="preserve">3541 NE 20th Pl </t>
  </si>
  <si>
    <t>Jacqueline Lige</t>
  </si>
  <si>
    <t>Cary</t>
  </si>
  <si>
    <t xml:space="preserve">1101 Gadsden Ave </t>
  </si>
  <si>
    <t xml:space="preserve">100 Shore Ct #106, North Palm Beach, FL 33408-5538 </t>
  </si>
  <si>
    <t>Cape Coral Unit 33 Blk 2286 Pb 16 Pg 57 Lots 17 + 18</t>
  </si>
  <si>
    <t>For Lynde I Lyon Trust</t>
  </si>
  <si>
    <t>Lake Arbor</t>
  </si>
  <si>
    <t>Peabody</t>
  </si>
  <si>
    <t xml:space="preserve">65 Russo Ave H4 </t>
  </si>
  <si>
    <t xml:space="preserve">1213 SE 46th St  Cape Coral, FL 33904 </t>
  </si>
  <si>
    <t xml:space="preserve">1901 NE 33rd Ln </t>
  </si>
  <si>
    <t xml:space="preserve">Rua Enmanuel Rebelo Dos </t>
  </si>
  <si>
    <t>64151-2273</t>
  </si>
  <si>
    <t>Milos</t>
  </si>
  <si>
    <t xml:space="preserve">6921 Wood St  Fort Myers, FL 33905 </t>
  </si>
  <si>
    <t>Cape Coral Unit 33 Blk.2280 Pb 16 Pg 60 Lots 25 + 26</t>
  </si>
  <si>
    <t>08753-3113</t>
  </si>
  <si>
    <t xml:space="preserve">941 Gleasman Rd </t>
  </si>
  <si>
    <t xml:space="preserve">1518 NE 37th St  Cape Coral, FL 33909 </t>
  </si>
  <si>
    <t xml:space="preserve">4337 Governors Hill St  Las Vegas, NV 89129-3280 </t>
  </si>
  <si>
    <t xml:space="preserve">10600 Menaul Blvd NE  Albuquerque, NM 87112-2412 </t>
  </si>
  <si>
    <t xml:space="preserve">811 Rambler Ave </t>
  </si>
  <si>
    <t>48035-3383</t>
  </si>
  <si>
    <t xml:space="preserve">1404 SE 26th St </t>
  </si>
  <si>
    <t xml:space="preserve">18790 Whitby St  Livonia, MI 48152-3055 </t>
  </si>
  <si>
    <t>Dimitre</t>
  </si>
  <si>
    <t>Cape Coral Unit 19 Blk 1168 Pb 13 Pg 123 Lots 74 + the N 1/2 Of 73</t>
  </si>
  <si>
    <t xml:space="preserve">3129 Stone Edge Rd  El Paso, TX 79904-2425 </t>
  </si>
  <si>
    <t xml:space="preserve">26 Dayman Crt </t>
  </si>
  <si>
    <t>32-43-24-c2-02239.0300</t>
  </si>
  <si>
    <t xml:space="preserve">4466 Big Bluff Ct </t>
  </si>
  <si>
    <t>03-44-26-09-00042.0110</t>
  </si>
  <si>
    <t xml:space="preserve">417 Delgado Dr </t>
  </si>
  <si>
    <t>Joseph Law</t>
  </si>
  <si>
    <t>Cape Coral Unit 88 Blk 5776 Pb 24 Pg 134 Lots 11 + 12</t>
  </si>
  <si>
    <t xml:space="preserve">1810 NE 6th Pl  Cape Coral, FL 33909 </t>
  </si>
  <si>
    <t>Cape Coral Unit 87 Blk 5721 Pb 24 Pg 80 Lots 7 Thru 9</t>
  </si>
  <si>
    <t>Cape Coral Unit 87 Blk 5712 Pb 24 Pg 76 Lots 21 + 22</t>
  </si>
  <si>
    <t>Gus</t>
  </si>
  <si>
    <t xml:space="preserve">619 NE 5th Ave  Cape Coral, FL 33909 </t>
  </si>
  <si>
    <t xml:space="preserve">Po Box 164 </t>
  </si>
  <si>
    <t>85299-3363</t>
  </si>
  <si>
    <t xml:space="preserve">408 NE 9th St </t>
  </si>
  <si>
    <t>Shelby 333</t>
  </si>
  <si>
    <t>Benjamin</t>
  </si>
  <si>
    <t>06-44-24-c1-02069.0560</t>
  </si>
  <si>
    <t xml:space="preserve">1 Tannenweg  Ingelheim, DE 55218 </t>
  </si>
  <si>
    <t xml:space="preserve">4963 N Galaxy Dr </t>
  </si>
  <si>
    <t>Akumu</t>
  </si>
  <si>
    <t>31-43-24-c3-02122.0410</t>
  </si>
  <si>
    <t xml:space="preserve">1522 NE 17th St  Cape Coral, FL 33909 </t>
  </si>
  <si>
    <t>Pastewka</t>
  </si>
  <si>
    <t>Rang</t>
  </si>
  <si>
    <t>25-43-23-c4-02355.0500</t>
  </si>
  <si>
    <t>Kaaresen</t>
  </si>
  <si>
    <t>97222-6694</t>
  </si>
  <si>
    <t xml:space="preserve">6121 Higgins Ave  Fort Myers, FL 33905 </t>
  </si>
  <si>
    <t xml:space="preserve">1017 NE 23rd Ter  Cape Coral, FL 33909 </t>
  </si>
  <si>
    <t>Richard Delekta</t>
  </si>
  <si>
    <t>Annier Artiles</t>
  </si>
  <si>
    <t>Cape Coarl Unit 36 Pt 1 Blk 2509 Pb 23 Pg 90 Lots 18 + 19</t>
  </si>
  <si>
    <t xml:space="preserve">215 Harding Dr  South Orange, NJ 07079-1204 </t>
  </si>
  <si>
    <t>203rd</t>
  </si>
  <si>
    <t xml:space="preserve">13875 Evergreen St NW </t>
  </si>
  <si>
    <t>25-43-23-c1-02300.a580</t>
  </si>
  <si>
    <t xml:space="preserve">5560 Cypress Woods Resort Dr  Fort Myers, FL 33905 </t>
  </si>
  <si>
    <t>West Warwick</t>
  </si>
  <si>
    <t xml:space="preserve">36040 Army Navy Dr  Mechanicsville, MD 20659-2967 </t>
  </si>
  <si>
    <t>11-44-25-l1-13000.3200</t>
  </si>
  <si>
    <t>Willow Tree Farm</t>
  </si>
  <si>
    <t>Atherton</t>
  </si>
  <si>
    <t>Charles &amp; Virginia Keith</t>
  </si>
  <si>
    <t>49024-1743</t>
  </si>
  <si>
    <t xml:space="preserve">226 Clark St  North Fort Myers, FL 33903 </t>
  </si>
  <si>
    <t>Robin</t>
  </si>
  <si>
    <t xml:space="preserve">1751 W Bluewater Ter </t>
  </si>
  <si>
    <t>18-43-24-c2-05721.0270</t>
  </si>
  <si>
    <t xml:space="preserve">1405 NE 23rd Ter </t>
  </si>
  <si>
    <t>44001-1022</t>
  </si>
  <si>
    <t>Erlinda</t>
  </si>
  <si>
    <t>Selva Gardens</t>
  </si>
  <si>
    <t>Malissa</t>
  </si>
  <si>
    <t xml:space="preserve">6726 W 400 S </t>
  </si>
  <si>
    <t>33180-3018</t>
  </si>
  <si>
    <t xml:space="preserve">14520 SW 123rd Pl </t>
  </si>
  <si>
    <t xml:space="preserve">790 111th Ave N </t>
  </si>
  <si>
    <t>Craig Sheppard</t>
  </si>
  <si>
    <t>Scotti</t>
  </si>
  <si>
    <t>Cape Coral Unit 33 Blk 2222 Pb 16 Pg 44 Lots 21 + 22</t>
  </si>
  <si>
    <t xml:space="preserve">6148 NW East Deville Cir  Port Saint Lucie, FL 34986-3727 </t>
  </si>
  <si>
    <t xml:space="preserve">626 SE 36th St  Cape Coral, FL 33904 </t>
  </si>
  <si>
    <t xml:space="preserve">3717 NE 11th Pl  Cape Coral, FL 33909 </t>
  </si>
  <si>
    <t>Kent</t>
  </si>
  <si>
    <t xml:space="preserve">1910 NE 6th St  Cape Coral, FL 33909 </t>
  </si>
  <si>
    <t>99205-6119</t>
  </si>
  <si>
    <t xml:space="preserve">43 Rue De Montreuil  Carrollton, TX 75011 </t>
  </si>
  <si>
    <t xml:space="preserve">1522 Sheffield Ln </t>
  </si>
  <si>
    <t xml:space="preserve">2721 NE 1st Pl </t>
  </si>
  <si>
    <t>Keith &amp; For Bauer</t>
  </si>
  <si>
    <t>Spirig</t>
  </si>
  <si>
    <t>Maxwell</t>
  </si>
  <si>
    <t xml:space="preserve">4232 NE 20th Pl  Cape Coral, FL 33909 </t>
  </si>
  <si>
    <t>Niemiec</t>
  </si>
  <si>
    <t>00791-6027</t>
  </si>
  <si>
    <t>Agnese</t>
  </si>
  <si>
    <t>Claudia Ramirez &amp; Juan Lucena</t>
  </si>
  <si>
    <t xml:space="preserve">10344 Prairie Iris Dr </t>
  </si>
  <si>
    <t>19-43-24-c4-05564.0170</t>
  </si>
  <si>
    <t>Mohammed Shahidpour</t>
  </si>
  <si>
    <t>36-44-23-c1-00911.0650</t>
  </si>
  <si>
    <t>Ian Lockey &amp; For Lyon</t>
  </si>
  <si>
    <t>Lorraine Delores Constine Trust</t>
  </si>
  <si>
    <t>Loretto</t>
  </si>
  <si>
    <t>PO Box 154</t>
  </si>
  <si>
    <t>Pine Forest</t>
  </si>
  <si>
    <t>01-44-23-c4-02423.0320</t>
  </si>
  <si>
    <t xml:space="preserve">NE 180th Dr #540, N Miami Beach, FL 33162 </t>
  </si>
  <si>
    <t>17-43-24-c4-05774.0370</t>
  </si>
  <si>
    <t xml:space="preserve">3922 NE 23rd Ave </t>
  </si>
  <si>
    <t>Cape Coral Unit 36 Blk 2348 Pb 16 Pg 128 Lots 41 + 42</t>
  </si>
  <si>
    <t>Old Dixie</t>
  </si>
  <si>
    <t xml:space="preserve">6014 Lindbrook Ave  Fort Myers, FL 33905 </t>
  </si>
  <si>
    <t xml:space="preserve">6034 Stratton Rd </t>
  </si>
  <si>
    <t xml:space="preserve">828 NE 23rd Ter </t>
  </si>
  <si>
    <t>Cary Savitz &amp; Robin Hennessy</t>
  </si>
  <si>
    <t>PO Box 700836</t>
  </si>
  <si>
    <t xml:space="preserve">225 Sterling Rd </t>
  </si>
  <si>
    <t>33908-4653</t>
  </si>
  <si>
    <t xml:space="preserve">101 Woodhaven Ln </t>
  </si>
  <si>
    <t>Cotoneaster</t>
  </si>
  <si>
    <t>Oak Grove</t>
  </si>
  <si>
    <t xml:space="preserve">1526 38th St  North Bergen, NJ 07047-2521 </t>
  </si>
  <si>
    <t>Mark Raccuia</t>
  </si>
  <si>
    <t>SITUS STATE</t>
  </si>
  <si>
    <t xml:space="preserve">343 Beach 92Nd St </t>
  </si>
  <si>
    <t>Luther Miles</t>
  </si>
  <si>
    <t>33904-4478</t>
  </si>
  <si>
    <t xml:space="preserve">2326 NE 24th Ter </t>
  </si>
  <si>
    <t>Ridgeside</t>
  </si>
  <si>
    <t>Samantha &amp; For Gignac</t>
  </si>
  <si>
    <t>11214-2466</t>
  </si>
  <si>
    <t xml:space="preserve">2128 NE 5th Ave </t>
  </si>
  <si>
    <t>Manning</t>
  </si>
  <si>
    <t>Carolyn Will</t>
  </si>
  <si>
    <t>Fred</t>
  </si>
  <si>
    <t>Buckingham Pk Re Blk B U-2 Blk 9 Pb 27 Pg 189 Lot 5</t>
  </si>
  <si>
    <t xml:space="preserve">14075 Caribbean Blvd  Fort Myers, FL 33905 </t>
  </si>
  <si>
    <t xml:space="preserve">4988 Grey Feather Cir  San Jose, CA 95136-3401 </t>
  </si>
  <si>
    <t>77365-5127</t>
  </si>
  <si>
    <t xml:space="preserve">860 N 14th St  Wytheville, VA 24382-1019 </t>
  </si>
  <si>
    <t xml:space="preserve">101 Petrus Ave </t>
  </si>
  <si>
    <t xml:space="preserve">Hovedvejen 26 Vollum  Bredebro, DK 06261 </t>
  </si>
  <si>
    <t>34102-1518</t>
  </si>
  <si>
    <t xml:space="preserve">323 NE 23rd St  Cape Coral, FL 33909 </t>
  </si>
  <si>
    <t>C109</t>
  </si>
  <si>
    <t>Gerardo</t>
  </si>
  <si>
    <t>Chinkapin</t>
  </si>
  <si>
    <t>Jon</t>
  </si>
  <si>
    <t xml:space="preserve">7851 Dan Patch Ct </t>
  </si>
  <si>
    <t>Thomas Goldring</t>
  </si>
  <si>
    <t xml:space="preserve">9111 Freedom Way NE </t>
  </si>
  <si>
    <t>11-44-25-09-00000.1820</t>
  </si>
  <si>
    <t xml:space="preserve">2208 NE 34th Ln  Cape Coral, FL 33909 </t>
  </si>
  <si>
    <t xml:space="preserve">3624 NE 15th Ave  Cape Coral, FL 33909 </t>
  </si>
  <si>
    <t>33903-4428</t>
  </si>
  <si>
    <t>Shomate</t>
  </si>
  <si>
    <t>Shimon Nizard</t>
  </si>
  <si>
    <t>01-46-23-00-00007.002a</t>
  </si>
  <si>
    <t>Maumee</t>
  </si>
  <si>
    <t>20-43-24-c1-05603.0350</t>
  </si>
  <si>
    <t>Carleton As Desc In Inst# 2017000007118 Lot 4</t>
  </si>
  <si>
    <t>Andrew Chan</t>
  </si>
  <si>
    <t>08087-1524</t>
  </si>
  <si>
    <t xml:space="preserve">10793 Lincoln St  Northglenn, CO 80233-4046 </t>
  </si>
  <si>
    <t xml:space="preserve">17001 Puppy Dog Dr </t>
  </si>
  <si>
    <t>Cape Coral Unit 34 Blk 2451 Pb 16 Pg 85 Lots 1 + 2</t>
  </si>
  <si>
    <t>PO Box 22661</t>
  </si>
  <si>
    <t>07821-3504</t>
  </si>
  <si>
    <t xml:space="preserve">892 Hearthside St </t>
  </si>
  <si>
    <t xml:space="preserve">2326 S Congress Ave 1a </t>
  </si>
  <si>
    <t>33909-4453</t>
  </si>
  <si>
    <t xml:space="preserve">143 Tieline Rd </t>
  </si>
  <si>
    <t>Lehman</t>
  </si>
  <si>
    <t xml:space="preserve">223 N Church Rd </t>
  </si>
  <si>
    <t>Saint Johns</t>
  </si>
  <si>
    <t>33909-1006</t>
  </si>
  <si>
    <t>32-43-24-c4-02196.0660</t>
  </si>
  <si>
    <t xml:space="preserve">333 Woodlands Dr  Brandon, MS 39047-8767 </t>
  </si>
  <si>
    <t xml:space="preserve">609 Avenue Y  Brooklyn, NY 11235-6101 </t>
  </si>
  <si>
    <t>Janeru</t>
  </si>
  <si>
    <t>Cuili</t>
  </si>
  <si>
    <t>Boza</t>
  </si>
  <si>
    <t>Humberto</t>
  </si>
  <si>
    <t>77459-7616</t>
  </si>
  <si>
    <t>Linda &amp; Linda Rawson</t>
  </si>
  <si>
    <t>41086-9507</t>
  </si>
  <si>
    <t>Cape Coral Unit 87 Blk 5692 Pb 24 Pg 85 Lots 23 + 24</t>
  </si>
  <si>
    <t xml:space="preserve"># 1  Manchester, CT 06045 </t>
  </si>
  <si>
    <t xml:space="preserve">801 NW 2nd Ave </t>
  </si>
  <si>
    <t>33414-6423</t>
  </si>
  <si>
    <t>Lubomir</t>
  </si>
  <si>
    <t xml:space="preserve">455 NE 3rd Ave  Cape Coral, FL 33909 </t>
  </si>
  <si>
    <t>01-44-23-c2-02432.0710</t>
  </si>
  <si>
    <t>Parcel</t>
  </si>
  <si>
    <t xml:space="preserve">3337 NE 18th Ave </t>
  </si>
  <si>
    <t>Jadestone</t>
  </si>
  <si>
    <t xml:space="preserve">125 Shades Crest Rd </t>
  </si>
  <si>
    <t>Azure Bay</t>
  </si>
  <si>
    <t>Route De Delphingue</t>
  </si>
  <si>
    <t>55038-4597</t>
  </si>
  <si>
    <t xml:space="preserve">631 Bennington Dr  Union, NJ 07083-9105 </t>
  </si>
  <si>
    <t xml:space="preserve">418 Spring Lake Dr </t>
  </si>
  <si>
    <t>Bernard</t>
  </si>
  <si>
    <t>Gilberts</t>
  </si>
  <si>
    <t>63012-1349</t>
  </si>
  <si>
    <t xml:space="preserve">3735 Kenyon St </t>
  </si>
  <si>
    <t xml:space="preserve">5200 Little Ship St  Osage Beach, MO 65065-2894 </t>
  </si>
  <si>
    <t xml:space="preserve">1133 Roland St </t>
  </si>
  <si>
    <t>Cape Coral Unit 35 Blk 2408 Pb 16 Pg 107 Lots 33 + 34</t>
  </si>
  <si>
    <t xml:space="preserve">5164 Cypress Trail Resort Cir </t>
  </si>
  <si>
    <t xml:space="preserve">211 Bancroft Ave </t>
  </si>
  <si>
    <t>17-43-24-c1-05777.0250</t>
  </si>
  <si>
    <t>Deborah Alforque</t>
  </si>
  <si>
    <t>Virginia</t>
  </si>
  <si>
    <t xml:space="preserve">12506 Temple Blvd  West Palm Beach, FL 33412-2913 </t>
  </si>
  <si>
    <t>17-43-24-c1-05739.0210</t>
  </si>
  <si>
    <t>Potomac Mills</t>
  </si>
  <si>
    <t>01-44-23-c1-02447.0830</t>
  </si>
  <si>
    <t>94103-2538</t>
  </si>
  <si>
    <t>31-43-26-12-0000b.0590</t>
  </si>
  <si>
    <t>Pringle</t>
  </si>
  <si>
    <t>Burbank</t>
  </si>
  <si>
    <t xml:space="preserve">3016 Carriage Dr SW </t>
  </si>
  <si>
    <t xml:space="preserve">8400 N Reynard Rd </t>
  </si>
  <si>
    <t>Cape Coral Unit 34 Blk.2429 Pb 16 Pg 80 Lots 57 + 58</t>
  </si>
  <si>
    <t xml:space="preserve">6149 Humboldt Ave  Fort Myers, FL 33905 </t>
  </si>
  <si>
    <t>Cypress Woods Rv Resort Unit 4 Pb 79 Pgs 68-71 Blk D Lot 33</t>
  </si>
  <si>
    <t xml:space="preserve">1209 11th St #5 </t>
  </si>
  <si>
    <t>Cypress Trail Rv Resort Phase 2-A As Desc In Inst# 2014000026506 Lot 3</t>
  </si>
  <si>
    <t xml:space="preserve">6028 Joplin Ave </t>
  </si>
  <si>
    <t>Richfield</t>
  </si>
  <si>
    <t>PO Box 781</t>
  </si>
  <si>
    <t xml:space="preserve">14070 Campus St  Fort Myers, FL 33905 </t>
  </si>
  <si>
    <t>Waldau</t>
  </si>
  <si>
    <t>17202-3308</t>
  </si>
  <si>
    <t>Cape Coral Unit 87 Blk 5736 Pb 24 Pg 77 Lots 53 + 54</t>
  </si>
  <si>
    <t>Cape Coral Unit 31 Blk 2083 Pb 14 Pg 164 Lots 34 + 35</t>
  </si>
  <si>
    <t>110th</t>
  </si>
  <si>
    <t>Cape Coral Unit 32 Blk 2170 Pb 16 Pg 8 Lots 17 Thru 19</t>
  </si>
  <si>
    <t xml:space="preserve">23 NE 8th Ter </t>
  </si>
  <si>
    <t>19-43-24-c3-05609.0080</t>
  </si>
  <si>
    <t>Turcotte</t>
  </si>
  <si>
    <t>06-44-24-c1-02068.0270</t>
  </si>
  <si>
    <t>De La</t>
  </si>
  <si>
    <t>Luis Candelario</t>
  </si>
  <si>
    <t>Norman &amp; Dawn Owens</t>
  </si>
  <si>
    <t xml:space="preserve">5180 Cypress Trail Resort Cir </t>
  </si>
  <si>
    <t>33905-5736</t>
  </si>
  <si>
    <t>Harvest</t>
  </si>
  <si>
    <t>20783-3114</t>
  </si>
  <si>
    <t>Duque</t>
  </si>
  <si>
    <t>Round Lick</t>
  </si>
  <si>
    <t xml:space="preserve">4305 NE 21st Ct  Cape Coral, FL 33909 </t>
  </si>
  <si>
    <t>18405-8415</t>
  </si>
  <si>
    <t xml:space="preserve">1300 Poitras Dr </t>
  </si>
  <si>
    <t>10c</t>
  </si>
  <si>
    <t xml:space="preserve">2115 Albert Ct  Tracy, CA 95304-9321 </t>
  </si>
  <si>
    <t>53154-3029</t>
  </si>
  <si>
    <t>Annie Osullivan</t>
  </si>
  <si>
    <t>Kluge</t>
  </si>
  <si>
    <t>Judith Gonzalez</t>
  </si>
  <si>
    <t>33909-2856</t>
  </si>
  <si>
    <t>Nadine</t>
  </si>
  <si>
    <t xml:space="preserve">1914 NE Juanita Pl </t>
  </si>
  <si>
    <t xml:space="preserve">9411 59th Ave F20, Elmhurst, NY 11373-5179 </t>
  </si>
  <si>
    <t xml:space="preserve">2003 NE 20th Ct </t>
  </si>
  <si>
    <t xml:space="preserve">8421 Buckingham Rd  Fort Myers, FL 33905 </t>
  </si>
  <si>
    <t>Boyea</t>
  </si>
  <si>
    <t>Bienvenida</t>
  </si>
  <si>
    <t xml:space="preserve">56 Calle Aleli </t>
  </si>
  <si>
    <t>43452-2727</t>
  </si>
  <si>
    <t xml:space="preserve">15270 SW 41st Ter </t>
  </si>
  <si>
    <t>18-43-24-c3-05707.0200</t>
  </si>
  <si>
    <t xml:space="preserve">199 E Lindon Way </t>
  </si>
  <si>
    <t>37876-1196</t>
  </si>
  <si>
    <t>Lake Elsinore</t>
  </si>
  <si>
    <t>03-44-26-14-00079.0100</t>
  </si>
  <si>
    <t>33905-3540</t>
  </si>
  <si>
    <t>Lehigh Acres Unit 13 E 1/2 Blk 71 Pb 26 Pg 17 Lot 7</t>
  </si>
  <si>
    <t>Cape Coral Unit 87 Blk 5693 Pb 24 Pg 81 Lots 22 + 23</t>
  </si>
  <si>
    <t>19-43-24-c4-05561.0030</t>
  </si>
  <si>
    <t>Robert &amp; David Miller</t>
  </si>
  <si>
    <t>Turtle Crossing</t>
  </si>
  <si>
    <t>03-44-26-11-00056.0110</t>
  </si>
  <si>
    <t xml:space="preserve">512 Jacaranda Pkwy E </t>
  </si>
  <si>
    <t>Caputo Angelo Tr</t>
  </si>
  <si>
    <t xml:space="preserve">2121 NE 5th Pl  Cape Coral, FL 33909 </t>
  </si>
  <si>
    <t>Chellaston Darby</t>
  </si>
  <si>
    <t xml:space="preserve">3614 NE 18th Pl  Cape Coral, FL 33909 </t>
  </si>
  <si>
    <t>Cape Coral Unit 87 Blk 5737 Pb 24 Pg 77 Lots 3 + 4</t>
  </si>
  <si>
    <t>Michael &amp; Bridgette Tucker</t>
  </si>
  <si>
    <t>Cape Coral Unit 36 Blk 2333 Pb 16 Pg 130 Lots 53 + 54</t>
  </si>
  <si>
    <t>Cape Coral Unit 87 Blk 5683 Pb 24 Pg 82 Lots 25 + 26</t>
  </si>
  <si>
    <t>Stephanie &amp; Kimgdom Namuo</t>
  </si>
  <si>
    <t>11726-3217</t>
  </si>
  <si>
    <t>M &amp; Josefina Lacsamana</t>
  </si>
  <si>
    <t>Cape Coral Unit 35 Blk.2368 Pb 16 Pg 104 Lots 49 + 50</t>
  </si>
  <si>
    <t xml:space="preserve">1243 NE 36th Ln </t>
  </si>
  <si>
    <t xml:space="preserve">PO Box 69  Milton, VT 05468 </t>
  </si>
  <si>
    <t>03-44-26-01-00003.0370</t>
  </si>
  <si>
    <t>Doris</t>
  </si>
  <si>
    <t>Toronto</t>
  </si>
  <si>
    <t xml:space="preserve">PO Box 1166  Niwot, CO 80544-1166 </t>
  </si>
  <si>
    <t xml:space="preserve">18401 SW 119th Ave  Miami, FL 33177-3261 </t>
  </si>
  <si>
    <t>Nelida</t>
  </si>
  <si>
    <t>Taneshia Chapman &amp; Samuel Austin</t>
  </si>
  <si>
    <t xml:space="preserve">745 Ferndale Rd N </t>
  </si>
  <si>
    <t xml:space="preserve">120 Augusta National </t>
  </si>
  <si>
    <t xml:space="preserve">7300 Lake Dr  Fort Myers, FL 33908 </t>
  </si>
  <si>
    <t>Lodi</t>
  </si>
  <si>
    <t>33905-7671</t>
  </si>
  <si>
    <t xml:space="preserve">6129 Hughes Ave </t>
  </si>
  <si>
    <t>Wiltwyck</t>
  </si>
  <si>
    <t>Richard Day</t>
  </si>
  <si>
    <t>17-43-24-c3-05786.0350</t>
  </si>
  <si>
    <t>For Beulah C Carara Trust</t>
  </si>
  <si>
    <t>29-43-24-c4-02263.0070</t>
  </si>
  <si>
    <t>Welsch Elena S Tr</t>
  </si>
  <si>
    <t>Westerville</t>
  </si>
  <si>
    <t>Lawrence &amp; Betti Quinn</t>
  </si>
  <si>
    <t xml:space="preserve">5872 SW 17th St </t>
  </si>
  <si>
    <t xml:space="preserve">1001 NE 4th Pl </t>
  </si>
  <si>
    <t xml:space="preserve">3422 NE 12th Ave </t>
  </si>
  <si>
    <t xml:space="preserve">16178 Brigham Ln  Westfield, IN 46074 </t>
  </si>
  <si>
    <t xml:space="preserve">511 NE 31st Ter </t>
  </si>
  <si>
    <t xml:space="preserve">1013 NE 32nd Ter </t>
  </si>
  <si>
    <t xml:space="preserve">8935 NW 148th St </t>
  </si>
  <si>
    <t>Grosse Ile</t>
  </si>
  <si>
    <t xml:space="preserve">831 Diplomat Pkwy E  Cape Coral, FL 33909 </t>
  </si>
  <si>
    <t xml:space="preserve">Matsumoto Bldg #204, Tokyo, JP 00201 </t>
  </si>
  <si>
    <t>10306-2549</t>
  </si>
  <si>
    <t>Eva Jacobson</t>
  </si>
  <si>
    <t>Cape Coral Unit 36 Blk 2353 Pb 16 Pg 120 Lots 24 Thru 25</t>
  </si>
  <si>
    <t>Spinnaker</t>
  </si>
  <si>
    <t>Cypress Trail Rv Resort Phase 4-A As Desc In Inst# 20160000135610 Lot 287</t>
  </si>
  <si>
    <t xml:space="preserve">1907 NE 2nd Ter  Cape Coral, FL 33909 </t>
  </si>
  <si>
    <t>Cale</t>
  </si>
  <si>
    <t>33909-1344</t>
  </si>
  <si>
    <t xml:space="preserve">221 Wae Trl  Cortland, OH 44410-1643 </t>
  </si>
  <si>
    <t>Jeffrey &amp; Dawn Rife</t>
  </si>
  <si>
    <t>Kenova</t>
  </si>
  <si>
    <t>Barbados</t>
  </si>
  <si>
    <t>06-44-24-c2-02076.0380</t>
  </si>
  <si>
    <t>Ossi</t>
  </si>
  <si>
    <t>Cape Coral Unit 34 Blk 2433 Pb 16 Pg 82 Lots 41 + 42</t>
  </si>
  <si>
    <t xml:space="preserve">3717 Tallman St </t>
  </si>
  <si>
    <t>Bice Delgaldo</t>
  </si>
  <si>
    <t xml:space="preserve">10944 111th St  South Ozone Park, NY 11420-1016 </t>
  </si>
  <si>
    <t>State Road 56</t>
  </si>
  <si>
    <t>Alois Glosnek</t>
  </si>
  <si>
    <t xml:space="preserve">130 NE 15th Ter  Cape Coral, FL 33909 </t>
  </si>
  <si>
    <t xml:space="preserve">26 Glenn Rd  Lowell, MA 01852-1429 </t>
  </si>
  <si>
    <t>West</t>
  </si>
  <si>
    <t>Pt</t>
  </si>
  <si>
    <t xml:space="preserve">132 Maywood Dr </t>
  </si>
  <si>
    <t xml:space="preserve">188 Pleasant Hill Rd </t>
  </si>
  <si>
    <t xml:space="preserve">8901 5th Ave  North Bergen, NJ 07047-5231 </t>
  </si>
  <si>
    <t>Cape Coral Unit 87 Blk 5715 Pb 24 Pg 76 Lots 31 + 32</t>
  </si>
  <si>
    <t xml:space="preserve">7242 Yuma Ln N </t>
  </si>
  <si>
    <t>36-43-23-c3-02503.0090</t>
  </si>
  <si>
    <t>Jonathan &amp; Maria Dayagdag</t>
  </si>
  <si>
    <t>Golini</t>
  </si>
  <si>
    <t>For Robert L Wagner Trust</t>
  </si>
  <si>
    <t>Lehigh Acres Unit 8 Blk 36 Pb 26 Pg 10 Lot 29</t>
  </si>
  <si>
    <t>Moosehill</t>
  </si>
  <si>
    <t>Paul &amp; Ellen Harrison</t>
  </si>
  <si>
    <t>Equity Trust Company Unknown</t>
  </si>
  <si>
    <t>19-43-24-c2-05604.0150</t>
  </si>
  <si>
    <t xml:space="preserve">105 Nathan Hale Dr  Woodbury, NJ 08096-5129 </t>
  </si>
  <si>
    <t xml:space="preserve">10321 Fire Flag Trl </t>
  </si>
  <si>
    <t xml:space="preserve">1729 NE 34th Ln </t>
  </si>
  <si>
    <t xml:space="preserve">5222 Cypress Trail Resort Cir  Fort Myers, FL 33905 </t>
  </si>
  <si>
    <t xml:space="preserve">1900 Muliner Ave  Bronx, NY 10462-3409 </t>
  </si>
  <si>
    <t>14086-1106</t>
  </si>
  <si>
    <t>Cypress Trail Rv Resort Phase 2-A As Desc In Inst# 2014000026506 Lot 74</t>
  </si>
  <si>
    <t>39581-2672</t>
  </si>
  <si>
    <t>Cape Coral Unit 11 Blk.569 Pb 13 Pg 46 Lots 37 + 38</t>
  </si>
  <si>
    <t>92673-5647</t>
  </si>
  <si>
    <t>Thomas &amp; Rachel Mullen</t>
  </si>
  <si>
    <t>Bole</t>
  </si>
  <si>
    <t>33909-4709</t>
  </si>
  <si>
    <t>25-43-23-c1-02328.0270</t>
  </si>
  <si>
    <t>Roseli</t>
  </si>
  <si>
    <t>Cape Coral Unit 36 Blk 2299 Pb 16 Pg 119 Lots 37 + 38</t>
  </si>
  <si>
    <t>Wisteria</t>
  </si>
  <si>
    <t xml:space="preserve">1630 NE 34th St </t>
  </si>
  <si>
    <t>Waterway Bay</t>
  </si>
  <si>
    <t>Portico Ph Iv Lot 107 As Desc In Inst 2020000068824</t>
  </si>
  <si>
    <t xml:space="preserve">13996 Antonia Ford Ct  Centreville, VA 20121-3566 </t>
  </si>
  <si>
    <t>32738-1546</t>
  </si>
  <si>
    <t>Alon Kessler</t>
  </si>
  <si>
    <t>Gerald &amp; Evelyn Sanders</t>
  </si>
  <si>
    <t xml:space="preserve">3779 W Gardenia Ave  Weston, FL 33332-2463 </t>
  </si>
  <si>
    <t>Tsui Yang</t>
  </si>
  <si>
    <t>12-44-23-c1-02400.0260</t>
  </si>
  <si>
    <t>53120-2535</t>
  </si>
  <si>
    <t>Cypress Woods Rv Resort Unit 4 Pb 79 Pgs 68-71 Blk D Lot 101</t>
  </si>
  <si>
    <t xml:space="preserve"> Vitre, FR </t>
  </si>
  <si>
    <t>33909-9214</t>
  </si>
  <si>
    <t>33909-2802</t>
  </si>
  <si>
    <t>06-44-24-c3-02061.0010</t>
  </si>
  <si>
    <t>22-43-26-06-00000.0590</t>
  </si>
  <si>
    <t>Arkell</t>
  </si>
  <si>
    <t>Cape Coral Unit 26 Blk 916 Pb 14 Pg 133 Lots 43 + 44</t>
  </si>
  <si>
    <t>98002-5138</t>
  </si>
  <si>
    <t xml:space="preserve">6530 Arbor Ave </t>
  </si>
  <si>
    <t xml:space="preserve">5729 Brightwood Dr </t>
  </si>
  <si>
    <t>Cape Coral Unit 85 Blk 5671 Pb 24 Pg 51 Lot 57</t>
  </si>
  <si>
    <t>01-44-23-c2-02431.0420</t>
  </si>
  <si>
    <t>53094-6512</t>
  </si>
  <si>
    <t>Peter Paul</t>
  </si>
  <si>
    <t xml:space="preserve">PO Box 496  Hartland, VT 05048 </t>
  </si>
  <si>
    <t xml:space="preserve">10059 Rambelwood Ct </t>
  </si>
  <si>
    <t>20-43-26-00-00006.0170</t>
  </si>
  <si>
    <t>Camp</t>
  </si>
  <si>
    <t>Gwaltney</t>
  </si>
  <si>
    <t>33025-5605</t>
  </si>
  <si>
    <t>Little Whaleneck</t>
  </si>
  <si>
    <t xml:space="preserve">15721 Cemetery Rd </t>
  </si>
  <si>
    <t>Lordgina</t>
  </si>
  <si>
    <t xml:space="preserve">2501 SE 20th Ave </t>
  </si>
  <si>
    <t>15b</t>
  </si>
  <si>
    <t>55088-9519</t>
  </si>
  <si>
    <t>Pettis</t>
  </si>
  <si>
    <t>92646-6547</t>
  </si>
  <si>
    <t xml:space="preserve">291 Valencia Dr </t>
  </si>
  <si>
    <t>35-43-23-c2-02751.0270</t>
  </si>
  <si>
    <t>Weidemann</t>
  </si>
  <si>
    <t>Fairchild</t>
  </si>
  <si>
    <t>Cape Coral Unit 36 Blk 2516 Pb 16 Pg 116 Lots 49 + 50</t>
  </si>
  <si>
    <t>N6417</t>
  </si>
  <si>
    <t>03-44-26-12-00065.0020</t>
  </si>
  <si>
    <t xml:space="preserve">1811 SE 4th St  Cape Coral, FL 33990-1324 </t>
  </si>
  <si>
    <t xml:space="preserve">927 NE 12th St </t>
  </si>
  <si>
    <t xml:space="preserve">4195 Turnberry Cir #801, Lake Worth, FL 33467-4012 </t>
  </si>
  <si>
    <t xml:space="preserve">353 Durand Falls Dr </t>
  </si>
  <si>
    <t xml:space="preserve">240 Warren Ave  Fort Lee, NJ 07024-4109 </t>
  </si>
  <si>
    <t>Cape Coral Unit 33 Blk 2207 Pb 16 Pg 41 Lots 3 + 4</t>
  </si>
  <si>
    <t xml:space="preserve">89 Schooner Ct  Richmond, CA 94804-4520 </t>
  </si>
  <si>
    <t xml:space="preserve">6149 Higgins Ave </t>
  </si>
  <si>
    <t>Thomas &amp; Susan Tokarz</t>
  </si>
  <si>
    <t>Jenny</t>
  </si>
  <si>
    <t>Celiz</t>
  </si>
  <si>
    <t>Lehigh Acres Unit 9 Blk 45 Pb 26 Pg 11 Lot 13</t>
  </si>
  <si>
    <t>25-43-23-c3-02293.0070</t>
  </si>
  <si>
    <t>Buckingham Pk Re Blk B U-3 Blk 16 Pb 27 Pg 191 Lot 13</t>
  </si>
  <si>
    <t xml:space="preserve">5149 Cypress Trail Resort Cir  Fort Myers, FL 33905 </t>
  </si>
  <si>
    <t>25-43-23-c1-02329.0070</t>
  </si>
  <si>
    <t>67578-1622</t>
  </si>
  <si>
    <t xml:space="preserve">4700 W Leitner Dr </t>
  </si>
  <si>
    <t>08-44-24-c3-01517.0210</t>
  </si>
  <si>
    <t>Calendar</t>
  </si>
  <si>
    <t xml:space="preserve">1711 NE 10th Ave </t>
  </si>
  <si>
    <t>Goshen</t>
  </si>
  <si>
    <t>33903-4712</t>
  </si>
  <si>
    <t>11559-1343</t>
  </si>
  <si>
    <t>Wm &amp; Virginia Palmer</t>
  </si>
  <si>
    <t xml:space="preserve">719 Charlemagne Blvd  Naples, FL 34112-7136 </t>
  </si>
  <si>
    <t>11776-3716</t>
  </si>
  <si>
    <t>Pine Valley</t>
  </si>
  <si>
    <t>32174-9124</t>
  </si>
  <si>
    <t>31-43-24-c1-02170.0150</t>
  </si>
  <si>
    <t>Gribbin</t>
  </si>
  <si>
    <t xml:space="preserve">13053 115th St </t>
  </si>
  <si>
    <t>25-43-23-c2-02334.0530</t>
  </si>
  <si>
    <t>Sabella</t>
  </si>
  <si>
    <t>43560-3802</t>
  </si>
  <si>
    <t>Jones Loop</t>
  </si>
  <si>
    <t xml:space="preserve">5306 Carlton St </t>
  </si>
  <si>
    <t xml:space="preserve">1616 NE 10th Ln  Cape Coral, FL 33909 </t>
  </si>
  <si>
    <t>Cape Coral Unit 32 Blk 2104 Pb 16 Pg 5 Lots 37 + 38</t>
  </si>
  <si>
    <t xml:space="preserve">1501 NE 35th St  Cape Coral, FL 33909 </t>
  </si>
  <si>
    <t xml:space="preserve">1487 Newhaven Point Ln </t>
  </si>
  <si>
    <t xml:space="preserve">1507 NE 19th St  Cape Coral, FL 33909 </t>
  </si>
  <si>
    <t>Dana Point</t>
  </si>
  <si>
    <t>05-44-24-c1-2211a.0350</t>
  </si>
  <si>
    <t>06-46-24-15-00000.1280</t>
  </si>
  <si>
    <t xml:space="preserve">11022 SW 166th Ter  Miami, FL 33157-2862 </t>
  </si>
  <si>
    <t>07733-1149</t>
  </si>
  <si>
    <t xml:space="preserve">15966 SW 147th Ln  Miami, FL 33196-5731 </t>
  </si>
  <si>
    <t xml:space="preserve">65 Russo Ave H4, East Haven, CT 06513-2753 </t>
  </si>
  <si>
    <t>20-43-24-c3-05673.0470</t>
  </si>
  <si>
    <t>Cypress Trail Rv Resort Phase 2-A As Desc In Inst# 2014000026506 Lot 247</t>
  </si>
  <si>
    <t xml:space="preserve">3702 Dijon Way  Palm Beach Gardens, FL 33410-1456 </t>
  </si>
  <si>
    <t>Dameshia &amp; Kingdom Deflora</t>
  </si>
  <si>
    <t xml:space="preserve">1120 NE 15th St  Cape Coral, FL 33909 </t>
  </si>
  <si>
    <t>Moenchengladbach</t>
  </si>
  <si>
    <t>Bridle</t>
  </si>
  <si>
    <t xml:space="preserve">1003 NE 33rd Ln </t>
  </si>
  <si>
    <t xml:space="preserve">2381 Edwin Dr  Warren, MI 48092-2102 </t>
  </si>
  <si>
    <t xml:space="preserve">2026 198th St W </t>
  </si>
  <si>
    <t>25-43-23-c2-02336.0380</t>
  </si>
  <si>
    <t>PO Box 580215</t>
  </si>
  <si>
    <t>Judith Barry &amp; Linda Egan</t>
  </si>
  <si>
    <t>Huizer</t>
  </si>
  <si>
    <t xml:space="preserve">6900 Laughton Dr </t>
  </si>
  <si>
    <t>Eddie &amp; Roxane Barnes</t>
  </si>
  <si>
    <t>33909-1682</t>
  </si>
  <si>
    <t>29-43-24-c3-02248.0070</t>
  </si>
  <si>
    <t xml:space="preserve">13414 230th St </t>
  </si>
  <si>
    <t>Alan &amp; Sherri Lasota</t>
  </si>
  <si>
    <t xml:space="preserve">421 Sacramento St  North Fort Myers, FL 33903 </t>
  </si>
  <si>
    <t xml:space="preserve">5298 Cypress Trail Resort Cir </t>
  </si>
  <si>
    <t>60565-3444</t>
  </si>
  <si>
    <t xml:space="preserve">1529 Birmingham St </t>
  </si>
  <si>
    <t>Cape Coral Unit 33 Blk 2179 Pb 16 Pg 53 Lots 19 + 20</t>
  </si>
  <si>
    <t>33909-7328</t>
  </si>
  <si>
    <t>Afsatu</t>
  </si>
  <si>
    <t>Cape Coral Unit 88 Blk 5828 Pb 24 Pg 142 Lots 26 + 27</t>
  </si>
  <si>
    <t>33325-5726</t>
  </si>
  <si>
    <t>Cape Coral Unit 34 Blk 2430 Pb 16 Pg 83 Lots 55 + 56</t>
  </si>
  <si>
    <t xml:space="preserve">3514 NE 14th Pl </t>
  </si>
  <si>
    <t xml:space="preserve">1480 N Delno Ave </t>
  </si>
  <si>
    <t>Paraschos</t>
  </si>
  <si>
    <t xml:space="preserve">631 Bennington Dr </t>
  </si>
  <si>
    <t xml:space="preserve">3923 NE 10th Ave  Cape Coral, FL 33909 </t>
  </si>
  <si>
    <t>Paris</t>
  </si>
  <si>
    <t>31-43-24-c3-02114.0230</t>
  </si>
  <si>
    <t>19-43-24-c4-05555.0190</t>
  </si>
  <si>
    <t>92109-6046</t>
  </si>
  <si>
    <t>J0K 3B0</t>
  </si>
  <si>
    <t xml:space="preserve">2603 NE 1st Ave  Cape Coral, FL 33909 </t>
  </si>
  <si>
    <t>Cape Coral Unit 87 Blk 5712 Pb 24 Pg 76 Lot 13</t>
  </si>
  <si>
    <t>33909-5421</t>
  </si>
  <si>
    <t xml:space="preserve">5736 Flamingo Dr  Cape Coral, FL 33904 </t>
  </si>
  <si>
    <t>33905-8693</t>
  </si>
  <si>
    <t xml:space="preserve">1413 SE 31st Ter </t>
  </si>
  <si>
    <t>Novi</t>
  </si>
  <si>
    <t>Cypress Trail Rv Resort Phase 2-A As Desc In Inst# 2014000026506 Lot 20</t>
  </si>
  <si>
    <t>Luis &amp; Grace Ochoa</t>
  </si>
  <si>
    <t xml:space="preserve">2324 NE 26th St  Cape Coral, FL 33909 </t>
  </si>
  <si>
    <t>18-43-24-c1-05700.0240</t>
  </si>
  <si>
    <t>36-44-23-c2-00903.0660</t>
  </si>
  <si>
    <t>Armando &amp; Luisa Garcia</t>
  </si>
  <si>
    <t>28214-8983</t>
  </si>
  <si>
    <t xml:space="preserve">232 Old Bergen Rd </t>
  </si>
  <si>
    <t>03-44-26-01-00002.0080</t>
  </si>
  <si>
    <t>Michael &amp; Louise Messina</t>
  </si>
  <si>
    <t>25-43-23-c1-02324.0330</t>
  </si>
  <si>
    <t>03-44-26-03-00014.0070</t>
  </si>
  <si>
    <t>19-43-24-c2-05588.0130</t>
  </si>
  <si>
    <t>Rocio Fajardo</t>
  </si>
  <si>
    <t xml:space="preserve">9716 Holloway Hill Ct  Potomac, MD 20854-5417 </t>
  </si>
  <si>
    <t>10801-5521</t>
  </si>
  <si>
    <t xml:space="preserve">35 S Baybrook Dr #415 </t>
  </si>
  <si>
    <t>11364-1042</t>
  </si>
  <si>
    <t>29-43-24-c4-02286.0050</t>
  </si>
  <si>
    <t>Navarro</t>
  </si>
  <si>
    <t xml:space="preserve">6020 Stratton Rd  Fort Myers, FL 33905 </t>
  </si>
  <si>
    <t xml:space="preserve">2215 NE 22nd Ave </t>
  </si>
  <si>
    <t>Dang</t>
  </si>
  <si>
    <t>Cape Coral Unit 36 Blk 2321 Pb 16 Pg 126 Lots 9 + 10</t>
  </si>
  <si>
    <t>Cape Coral Unit 88 Blk 5787 Pb 24 Pg 131 Lots 1 + 2</t>
  </si>
  <si>
    <t xml:space="preserve">4144 NE 10th Ave  Cape Coral, FL 33909 </t>
  </si>
  <si>
    <t>Nicole</t>
  </si>
  <si>
    <t>Cromwell</t>
  </si>
  <si>
    <t>37659-7238</t>
  </si>
  <si>
    <t>Cape Coral Unit 88 Blk 5760 Pb 24 Pg 133 Lots 44 + 45</t>
  </si>
  <si>
    <t xml:space="preserve">3748 Kilarney St </t>
  </si>
  <si>
    <t xml:space="preserve">2 Dalraida </t>
  </si>
  <si>
    <t xml:space="preserve">1421 SW 107th Ave #189 </t>
  </si>
  <si>
    <t xml:space="preserve">6031 Jonathan Ave </t>
  </si>
  <si>
    <t>N5A 3Z1</t>
  </si>
  <si>
    <t xml:space="preserve">2901 Clint Moore Rd  Boca Raton, FL 33496-2041 </t>
  </si>
  <si>
    <t xml:space="preserve">2380 Fence Rd  Dacula, GA 30019-2137 </t>
  </si>
  <si>
    <t xml:space="preserve">28 Eastview Ter  Tolland, CT 06084-2551 </t>
  </si>
  <si>
    <t>Sweetwater</t>
  </si>
  <si>
    <t>Dosono</t>
  </si>
  <si>
    <t>07419-1307</t>
  </si>
  <si>
    <t>Daffodil</t>
  </si>
  <si>
    <t>Verulam</t>
  </si>
  <si>
    <t>03-44-26-01-00001.0030</t>
  </si>
  <si>
    <t>33909-4758</t>
  </si>
  <si>
    <t>07470-6029</t>
  </si>
  <si>
    <t>Gottsch</t>
  </si>
  <si>
    <t xml:space="preserve">645 State St  Perth Amboy, NJ 08861-3544 </t>
  </si>
  <si>
    <t xml:space="preserve">147 Watchung Ave </t>
  </si>
  <si>
    <t>33909-6105</t>
  </si>
  <si>
    <t>34116-8327</t>
  </si>
  <si>
    <t>Delgado</t>
  </si>
  <si>
    <t xml:space="preserve">1405 NE 39th St  Cape Coral, FL 33909 </t>
  </si>
  <si>
    <t xml:space="preserve">503 NE 17th Ter </t>
  </si>
  <si>
    <t xml:space="preserve">2720 NE 5th Ave  Cape Coral, FL 33909 </t>
  </si>
  <si>
    <t xml:space="preserve">5236 Pineland Daisy Trl </t>
  </si>
  <si>
    <t>17-43-24-c3-05784.0010</t>
  </si>
  <si>
    <t xml:space="preserve">2046 NE 27th Ter </t>
  </si>
  <si>
    <t>31-43-24-c3-02115.0030</t>
  </si>
  <si>
    <t>33909-2851</t>
  </si>
  <si>
    <t>Loma Linda</t>
  </si>
  <si>
    <t xml:space="preserve">5184 Cornstack Rd </t>
  </si>
  <si>
    <t>33909-6497</t>
  </si>
  <si>
    <t>18-43-24-c1-05687.0110</t>
  </si>
  <si>
    <t>Wehrenberg</t>
  </si>
  <si>
    <t xml:space="preserve">822 Windsong Cir NE </t>
  </si>
  <si>
    <t>Kevin Baerwalde</t>
  </si>
  <si>
    <t xml:space="preserve">923 NE 33rd Ln </t>
  </si>
  <si>
    <t>Jolene</t>
  </si>
  <si>
    <t>25-43-23-c3-02337.0120</t>
  </si>
  <si>
    <t>Stephen &amp; Vadonna Motley</t>
  </si>
  <si>
    <t xml:space="preserve">1763 Rustic Ln </t>
  </si>
  <si>
    <t>Gambrills</t>
  </si>
  <si>
    <t>Palos Verdes Peninsula</t>
  </si>
  <si>
    <t>Vandenbroeck</t>
  </si>
  <si>
    <t>33767-1938</t>
  </si>
  <si>
    <t xml:space="preserve">6046 Jadestone Ave  Fort Myers, FL 33905 </t>
  </si>
  <si>
    <t xml:space="preserve">504 El Dorado Pkwy E </t>
  </si>
  <si>
    <t>04461-3538</t>
  </si>
  <si>
    <t>20-43-24-c3-05637.0030</t>
  </si>
  <si>
    <t>01-44-23-c2-02455.0450</t>
  </si>
  <si>
    <t xml:space="preserve">Po Box 993747 #1 </t>
  </si>
  <si>
    <t xml:space="preserve">520 Gulf Bank Rd #157 </t>
  </si>
  <si>
    <t>33317-6660</t>
  </si>
  <si>
    <t xml:space="preserve">11 Monroe Rd </t>
  </si>
  <si>
    <t>20-43-24-c2-05664.0070</t>
  </si>
  <si>
    <t xml:space="preserve">Po Box 508 </t>
  </si>
  <si>
    <t>7c-80</t>
  </si>
  <si>
    <t>Fort Denaud</t>
  </si>
  <si>
    <t>01-45-23-c4-00466.0640</t>
  </si>
  <si>
    <t xml:space="preserve">310 Leonard Bridge Rd  Lebanon, CT 06249-1926 </t>
  </si>
  <si>
    <t xml:space="preserve">3953 Lavaque Rd  Hermantown, MN 55811-3636 </t>
  </si>
  <si>
    <t>11-44-25-06-0000d.1240</t>
  </si>
  <si>
    <t xml:space="preserve">2043 NE 25th Ter  Cape Coral, FL 33909 </t>
  </si>
  <si>
    <t>Bond Drucella A Tr</t>
  </si>
  <si>
    <t>Fort Myers</t>
  </si>
  <si>
    <t>Gregory &amp; Angela Johnson</t>
  </si>
  <si>
    <t>11361-3348</t>
  </si>
  <si>
    <t xml:space="preserve">525 Diplomat Pkwy E </t>
  </si>
  <si>
    <t>Hemnauth</t>
  </si>
  <si>
    <t>Nir</t>
  </si>
  <si>
    <t>Haq</t>
  </si>
  <si>
    <t>Jellison</t>
  </si>
  <si>
    <t>For Langer Trust</t>
  </si>
  <si>
    <t>12-44-23-c2-02396.0040</t>
  </si>
  <si>
    <t>Cape Coral Unit 47 Part 2 Blk 3514 Pb 23 Pg 125 Lots 61 + 62</t>
  </si>
  <si>
    <t xml:space="preserve">6312 Seven Corners Ctr #223, Falls Church, VA 22044-2409 </t>
  </si>
  <si>
    <t>45891-9789</t>
  </si>
  <si>
    <t xml:space="preserve">1007 NE 43rd Ter </t>
  </si>
  <si>
    <t>Silvestre</t>
  </si>
  <si>
    <t xml:space="preserve">1718 NE 2nd Pl </t>
  </si>
  <si>
    <t xml:space="preserve">10341 SW 136th St </t>
  </si>
  <si>
    <t>Cape Coral Unit 36 Blk 2321 Pb 16 Pg 126 Lots 20 Thru 22</t>
  </si>
  <si>
    <t xml:space="preserve">1116 NE 36th Ln  Cape Coral, FL 33909 </t>
  </si>
  <si>
    <t>19-43-24-c1-05546.0210</t>
  </si>
  <si>
    <t xml:space="preserve">6341 Channing Ave </t>
  </si>
  <si>
    <t>Philomena</t>
  </si>
  <si>
    <t>Mount Prospect</t>
  </si>
  <si>
    <t>19-43-24-c3-05610.0170</t>
  </si>
  <si>
    <t>17-43-24-c1-05780.0190</t>
  </si>
  <si>
    <t xml:space="preserve">3601 NE 14th Pl </t>
  </si>
  <si>
    <t xml:space="preserve">327 NE 19th Ter </t>
  </si>
  <si>
    <t>Kevin Centeno</t>
  </si>
  <si>
    <t>Vanhattum</t>
  </si>
  <si>
    <t xml:space="preserve">10320 Fire Flag Trl  Fort Myers, FL 33905 </t>
  </si>
  <si>
    <t>Elisa</t>
  </si>
  <si>
    <t>Margaret Blumie</t>
  </si>
  <si>
    <t xml:space="preserve">1737 NE Juanita Pl  Cape Coral, FL 33909 </t>
  </si>
  <si>
    <t>Cape Coral Unit 36 Blk 2354 Pb 16 Pg 119 Lots 39 + 40</t>
  </si>
  <si>
    <t>Udo &amp; Marita Zimmerman</t>
  </si>
  <si>
    <t xml:space="preserve">41 E Litchfield Rd S </t>
  </si>
  <si>
    <t>Robion</t>
  </si>
  <si>
    <t xml:space="preserve">3028 Keebler Rd  Collinsville, IL 62234-6848 </t>
  </si>
  <si>
    <t>D415</t>
  </si>
  <si>
    <t>94134-2345</t>
  </si>
  <si>
    <t xml:space="preserve">6009 Lindbrook Ave  Fort Myers, FL 33905 </t>
  </si>
  <si>
    <t xml:space="preserve">Les Sauqueux </t>
  </si>
  <si>
    <t>06-44-24-c4-02056.0160</t>
  </si>
  <si>
    <t>Cape Coral Unit 31 Blk 2083 Pb 14 Pg 164 Lots 32 + 33</t>
  </si>
  <si>
    <t>Lehigh Acres W Pt Unit 14 Blk 77 Pb 26 Pg 20 Lots 3 + 4</t>
  </si>
  <si>
    <t>19-43-24-c4-05551.0250</t>
  </si>
  <si>
    <t>Buckby</t>
  </si>
  <si>
    <t xml:space="preserve">14405 SW 158th St </t>
  </si>
  <si>
    <t>New Boston</t>
  </si>
  <si>
    <t xml:space="preserve">Po Box 3072 </t>
  </si>
  <si>
    <t>Cape Coral Unit 84 Blk 5566 Pb 24 Pg 32 Lots 3 + 4</t>
  </si>
  <si>
    <t>05-44-24-c2-03527.0080</t>
  </si>
  <si>
    <t>Pardo</t>
  </si>
  <si>
    <t>33028-2435</t>
  </si>
  <si>
    <t xml:space="preserve">239 Sylvia St  Arlington, MA 02476-7008 </t>
  </si>
  <si>
    <t xml:space="preserve">919 NE 13th Pl  Cape Coral, FL 33909 </t>
  </si>
  <si>
    <t>33027-1412</t>
  </si>
  <si>
    <t>Unique</t>
  </si>
  <si>
    <t>Cape Coral Unit 47 Pt 2 Blk 3529 Pb 23 Pg 121 Lots 31 + 32</t>
  </si>
  <si>
    <t xml:space="preserve">5125 Cypress Trail Resort Cir </t>
  </si>
  <si>
    <t>Kokoris</t>
  </si>
  <si>
    <t>19-44-26-01-00002.0050</t>
  </si>
  <si>
    <t>Ofelia Magruder &amp; Magruder For</t>
  </si>
  <si>
    <t>Manuel &amp; Myriam Marrero</t>
  </si>
  <si>
    <t>C David C &amp; Jeanie Johnson</t>
  </si>
  <si>
    <t xml:space="preserve">94 Magnolia Way  Kemptville, ON K0g 1 </t>
  </si>
  <si>
    <t>Robert Snyder</t>
  </si>
  <si>
    <t xml:space="preserve">104 Sunridge Way  Allen, TX 75002-1649 </t>
  </si>
  <si>
    <t xml:space="preserve">4369 Arlington Ave  Fort Myers, FL 33905 </t>
  </si>
  <si>
    <t>33909-2601</t>
  </si>
  <si>
    <t>Grove</t>
  </si>
  <si>
    <t>33909-4219</t>
  </si>
  <si>
    <t xml:space="preserve">1421 Kenilworth Ave NE </t>
  </si>
  <si>
    <t>Lehigh Acres Unit 6 Blk 29 Pb 26 Pg 8 Lot 14</t>
  </si>
  <si>
    <t>33905-5873</t>
  </si>
  <si>
    <t xml:space="preserve">213 Hill St  Casselberry, FL 32707-3425 </t>
  </si>
  <si>
    <t xml:space="preserve">929 NE Juanita Pl </t>
  </si>
  <si>
    <t xml:space="preserve">1505 SE 32nd Ter </t>
  </si>
  <si>
    <t xml:space="preserve">41762 123rd St </t>
  </si>
  <si>
    <t>Beach 47th</t>
  </si>
  <si>
    <t xml:space="preserve">42 Beatty Cres </t>
  </si>
  <si>
    <t xml:space="preserve">3714 NE 8th Pl  Cape Coral, FL 33909 </t>
  </si>
  <si>
    <t>Oregon</t>
  </si>
  <si>
    <t xml:space="preserve">70 Starlight Dr  Colonia, NJ 07067-1515 </t>
  </si>
  <si>
    <t>Gladstone</t>
  </si>
  <si>
    <t xml:space="preserve">2402 Lourdes Rd </t>
  </si>
  <si>
    <t xml:space="preserve">1824 Kismet Pkwy E </t>
  </si>
  <si>
    <t>Cape Coral Unit 36 Pt 1 Blk 2485 Pb 23 Pg 89 Lots 27 + 28</t>
  </si>
  <si>
    <t>Cape Coral Unit 36 Blk 2300A Pb 16 Pg 122 Lots 18 + 19</t>
  </si>
  <si>
    <t>92115-1518</t>
  </si>
  <si>
    <t xml:space="preserve">344 NE 30th Ter  Cape Coral, FL 33909 </t>
  </si>
  <si>
    <t xml:space="preserve">3713 SE 13th Ave  Cape Coral, FL 33904 </t>
  </si>
  <si>
    <t xml:space="preserve">3851 Hopevale St  Fort Myers, FL 33905 </t>
  </si>
  <si>
    <t>Pablo</t>
  </si>
  <si>
    <t>Abdul Sattar</t>
  </si>
  <si>
    <t>48152-3967</t>
  </si>
  <si>
    <t xml:space="preserve">340 Allister Dr #209, Raleigh, NC 27609-7242 </t>
  </si>
  <si>
    <t xml:space="preserve">1208 NE 10th St  Cape Coral, FL 33909 </t>
  </si>
  <si>
    <t>36-43-23-c3-02477.0530</t>
  </si>
  <si>
    <t xml:space="preserve">33289 Qutley Park Dr </t>
  </si>
  <si>
    <t xml:space="preserve">142 White Birch Ln  Dallas, PA 18612-9106 </t>
  </si>
  <si>
    <t>Cape Coral Unit 47 Pt 2 Blk 3528 Pb 23 Pg 117 Lots 18 + 19</t>
  </si>
  <si>
    <t>Lester Kornfeld Trust</t>
  </si>
  <si>
    <t>01-44-23-c2-02457.0050</t>
  </si>
  <si>
    <t>Ryan &amp; Madison Gewondjan</t>
  </si>
  <si>
    <t>Kudic</t>
  </si>
  <si>
    <t xml:space="preserve">690 W Clearbrook Cir  Delray Beach, FL 33445-4513 </t>
  </si>
  <si>
    <t>Cypress Trail Rv Resort Phase 2-B As Desc In Inst# 2015000013050 Lot 369</t>
  </si>
  <si>
    <t>Cape Coral Unit 36 Blk 2306 Pb 16 Pg 123 Lots 15 Thru 17</t>
  </si>
  <si>
    <t xml:space="preserve">PO Box 873992  Wasilla, AK 99687-3992 </t>
  </si>
  <si>
    <t xml:space="preserve">2212 NE 3rd Ave </t>
  </si>
  <si>
    <t>Castro Valley</t>
  </si>
  <si>
    <t>65026-4224</t>
  </si>
  <si>
    <t>33904-5534</t>
  </si>
  <si>
    <t>Cape Coral Unit 9 Blk 270 Pb 13 Pg 9 Lots 1 + 2</t>
  </si>
  <si>
    <t>02910-4245</t>
  </si>
  <si>
    <t>Redmeier</t>
  </si>
  <si>
    <t>Canvas</t>
  </si>
  <si>
    <t>33853-3713</t>
  </si>
  <si>
    <t>83712-7584</t>
  </si>
  <si>
    <t xml:space="preserve">149 White Birch Rd  East Hampton, CT 06424-1332 </t>
  </si>
  <si>
    <t>Dolores</t>
  </si>
  <si>
    <t>48117-9594</t>
  </si>
  <si>
    <t>Little Bear</t>
  </si>
  <si>
    <t>Euclides</t>
  </si>
  <si>
    <t xml:space="preserve">13425 Whispering Oaks Dr </t>
  </si>
  <si>
    <t>44145-4831</t>
  </si>
  <si>
    <t>Cape Coral Unit 32 Blk 2170 Pb 16 Pg 8 Lots 9 + 10</t>
  </si>
  <si>
    <t>Sheahan</t>
  </si>
  <si>
    <t>Dah-Nien &amp; For Fan</t>
  </si>
  <si>
    <t>Lamora Florence</t>
  </si>
  <si>
    <t xml:space="preserve">PO Box 14529  East Providence, RI 02914 </t>
  </si>
  <si>
    <t xml:space="preserve">1414 NE 17th Ter </t>
  </si>
  <si>
    <t>Yelizaveta &amp; Yefim Golub</t>
  </si>
  <si>
    <t>36-43-23-c2-02537.0250</t>
  </si>
  <si>
    <t xml:space="preserve">2502 Country Club Blvd </t>
  </si>
  <si>
    <t>Tinley Park</t>
  </si>
  <si>
    <t xml:space="preserve">1516 NE 13th St </t>
  </si>
  <si>
    <t xml:space="preserve">60 Rathbun Ave  Staten Island, NY 10312-3004 </t>
  </si>
  <si>
    <t>Cypress Trail Rv Resort As Desc In Inst# 2013000212499 Lot 196</t>
  </si>
  <si>
    <t>Dennis &amp; Donald Crivaro</t>
  </si>
  <si>
    <t xml:space="preserve">8 Dana Dr </t>
  </si>
  <si>
    <t xml:space="preserve">14500 Laguna Dr </t>
  </si>
  <si>
    <t xml:space="preserve">1305 NE 12th Pl </t>
  </si>
  <si>
    <t>33909-3388</t>
  </si>
  <si>
    <t xml:space="preserve">612 Vendola Dr  San Rafael, CA 94903-2937 </t>
  </si>
  <si>
    <t>11432-2041</t>
  </si>
  <si>
    <t xml:space="preserve">226 Little Sandy Pond Rd </t>
  </si>
  <si>
    <t>International</t>
  </si>
  <si>
    <t>33909-8835</t>
  </si>
  <si>
    <t xml:space="preserve">4436 Thorngate Ln </t>
  </si>
  <si>
    <t xml:space="preserve">1010 NE 33rd Ln  Cape Coral, FL 33909 </t>
  </si>
  <si>
    <t>77399-1080</t>
  </si>
  <si>
    <t>11-44-24-01-0000g.0650</t>
  </si>
  <si>
    <t>James Thomas &amp; James For</t>
  </si>
  <si>
    <t>Saavedra</t>
  </si>
  <si>
    <t xml:space="preserve">2126 NE 17th St  Cape Coral, FL 33909 </t>
  </si>
  <si>
    <t>32-43-26-16-0000c.0210</t>
  </si>
  <si>
    <t xml:space="preserve">1841 S Caulmep Ave #2105, Chicago, IL 60616 </t>
  </si>
  <si>
    <t>Richard J Blommer &amp; Richard Blommer</t>
  </si>
  <si>
    <t>10588-2000</t>
  </si>
  <si>
    <t>Albright</t>
  </si>
  <si>
    <t xml:space="preserve">410 Jacaranda Pkwy E </t>
  </si>
  <si>
    <t>Frazee</t>
  </si>
  <si>
    <t xml:space="preserve">3740 NE 13th Pl  Cape Coral, FL 33909 </t>
  </si>
  <si>
    <t xml:space="preserve">135 Donrene Rd  Mount Wolf, PA 17347-9656 </t>
  </si>
  <si>
    <t xml:space="preserve">49256 Prospect Ct  Macomb, MI 48042-4855 </t>
  </si>
  <si>
    <t>18-43-24-c3-05706.0390</t>
  </si>
  <si>
    <t>Cape Coral Unit 87 Blk.5731 Pb 24 Pg 87 Lot 1</t>
  </si>
  <si>
    <t>Lucy &amp; Mary Diyanno</t>
  </si>
  <si>
    <t xml:space="preserve">20 Dexter Dr  Nepean, ON K2h 5W2 </t>
  </si>
  <si>
    <t>Meadowlark</t>
  </si>
  <si>
    <t xml:space="preserve">19308 NE 9th Pl </t>
  </si>
  <si>
    <t>Jose Riaao &amp; Paula Restrepo</t>
  </si>
  <si>
    <t xml:space="preserve">12840 Flint St </t>
  </si>
  <si>
    <t>Rena Fraser</t>
  </si>
  <si>
    <t xml:space="preserve">832 Heather Glen Cir </t>
  </si>
  <si>
    <t xml:space="preserve">3600 NE 9th Ave </t>
  </si>
  <si>
    <t xml:space="preserve">2201 NE 2nd Ave </t>
  </si>
  <si>
    <t xml:space="preserve">8431 Buckingham Rd </t>
  </si>
  <si>
    <t xml:space="preserve">1729 NE 21st St  Cape Coral, FL 33909 </t>
  </si>
  <si>
    <t>33904-2964</t>
  </si>
  <si>
    <t>Hilliard</t>
  </si>
  <si>
    <t xml:space="preserve">4643 Po </t>
  </si>
  <si>
    <t>33010-5001</t>
  </si>
  <si>
    <t xml:space="preserve">3142 NE 15th Ave </t>
  </si>
  <si>
    <t>17-43-24-c4-05763.0050</t>
  </si>
  <si>
    <t xml:space="preserve">3514 NE 14th Pl  Cape Coral, FL 33909 </t>
  </si>
  <si>
    <t>Cape Coral Unit 36 Blk 2517 Pb 16 Pg 116 Lots 8 + 9</t>
  </si>
  <si>
    <t>33909-5220</t>
  </si>
  <si>
    <t>Zachary</t>
  </si>
  <si>
    <t>Interiano</t>
  </si>
  <si>
    <t>Ramune</t>
  </si>
  <si>
    <t xml:space="preserve">82 Two Rivers Dr </t>
  </si>
  <si>
    <t>06016-9676</t>
  </si>
  <si>
    <t>Mauricia</t>
  </si>
  <si>
    <t>33905-7726</t>
  </si>
  <si>
    <t xml:space="preserve">2367 E 6780 S </t>
  </si>
  <si>
    <t xml:space="preserve">3723 Kelsey St </t>
  </si>
  <si>
    <t>Rutherford</t>
  </si>
  <si>
    <t xml:space="preserve">5220 Marsh Mallow Trl  Fort Myers, FL 33905 </t>
  </si>
  <si>
    <t xml:space="preserve">22 Golden Hill St </t>
  </si>
  <si>
    <t>Nola</t>
  </si>
  <si>
    <t xml:space="preserve">1317 NE 9th Ave  Cape Coral, FL 33909 </t>
  </si>
  <si>
    <t>Dawn &amp; Michael Feuser</t>
  </si>
  <si>
    <t>Cape Coral Unit 33 Blk.2264 Pb 16 Pg 59 Lots 43 + 44</t>
  </si>
  <si>
    <t>Timothy &amp; Heather Miller</t>
  </si>
  <si>
    <t xml:space="preserve">4002 SE 12th Ave </t>
  </si>
  <si>
    <t>61705-5513</t>
  </si>
  <si>
    <t>Sercombe</t>
  </si>
  <si>
    <t xml:space="preserve">517 Diplomat Pkwy E  Cape Coral, FL 33909 </t>
  </si>
  <si>
    <t xml:space="preserve">3224 SE 5th Ave  Cape Coral, FL 33904 </t>
  </si>
  <si>
    <t>Peninsula</t>
  </si>
  <si>
    <t>Cape Coral Unit 33 Blk.2223 Pb 16 Pg 44 Lots 34 + 35</t>
  </si>
  <si>
    <t>Francisco Rodriguez &amp; Victoria Sanchez</t>
  </si>
  <si>
    <t xml:space="preserve">1252 NE 41st Ter  Cape Coral, FL 33909 </t>
  </si>
  <si>
    <t xml:space="preserve">2315 NE 8th Pl </t>
  </si>
  <si>
    <t>Buckingham Pk Re Blk B U-3 Blk 14 Pb 27 Pg 190 Lot 4</t>
  </si>
  <si>
    <t xml:space="preserve">10326 Prairie Iris Dr </t>
  </si>
  <si>
    <t xml:space="preserve">218 NE 21st St  Cape Coral, FL 33909 </t>
  </si>
  <si>
    <t>23958-3153</t>
  </si>
  <si>
    <t xml:space="preserve">1050 Place Rd  Bethlehem, PA 18017-9333 </t>
  </si>
  <si>
    <t>33909-4557</t>
  </si>
  <si>
    <t>Cape Coral Unit 84 Blk 5545 Pb 24 Pg 46 Lots 12 + 13</t>
  </si>
  <si>
    <t>Arthurs</t>
  </si>
  <si>
    <t>Eschweiler</t>
  </si>
  <si>
    <t xml:space="preserve">965 Princess Doreen Dr </t>
  </si>
  <si>
    <t>St Sulpice</t>
  </si>
  <si>
    <t xml:space="preserve">1166 Orange Ave  North Fort Myers, FL 33903 </t>
  </si>
  <si>
    <t>R062</t>
  </si>
  <si>
    <t xml:space="preserve">1417 NE 13th Ter </t>
  </si>
  <si>
    <t xml:space="preserve">25 Little Ln </t>
  </si>
  <si>
    <t>33909-2650</t>
  </si>
  <si>
    <t xml:space="preserve">464 NE 3rd Pl  Cape Coral, FL 33909 </t>
  </si>
  <si>
    <t xml:space="preserve">5918 Burrwood Ct  Fort Myers, FL 33905 </t>
  </si>
  <si>
    <t xml:space="preserve">952 W 1150 S </t>
  </si>
  <si>
    <t>Sawyer</t>
  </si>
  <si>
    <t>Cape Coral Unit 33 Blk 2283 Pb 16 Pg 59 Lots 63 + 64</t>
  </si>
  <si>
    <t xml:space="preserve">822 NE 32nd Ter </t>
  </si>
  <si>
    <t>Kai Karbach</t>
  </si>
  <si>
    <t>Spencerport</t>
  </si>
  <si>
    <t xml:space="preserve">501 Avellino Isles Cir #39201, Naples, FL 34119-2308 </t>
  </si>
  <si>
    <t>Louis Mccarthy</t>
  </si>
  <si>
    <t xml:space="preserve">3335 SE 18th Ave  Cape Coral, FL 33904 </t>
  </si>
  <si>
    <t>49331-9527</t>
  </si>
  <si>
    <t>33180-1068</t>
  </si>
  <si>
    <t xml:space="preserve">10316 Fire Flag Trl </t>
  </si>
  <si>
    <t>20-43-24-c1-05644.0330</t>
  </si>
  <si>
    <t xml:space="preserve">1048 Lovely Rd  Marshfield, VT 05658-8109 </t>
  </si>
  <si>
    <t xml:space="preserve">5276 Mary Ct  Saginaw, MI 48603-3635 </t>
  </si>
  <si>
    <t xml:space="preserve">522 NE 7th Ave </t>
  </si>
  <si>
    <t xml:space="preserve">310 NE 9th Ter </t>
  </si>
  <si>
    <t>Burgess</t>
  </si>
  <si>
    <t xml:space="preserve">40 Canterbury Dr </t>
  </si>
  <si>
    <t xml:space="preserve">94 Leicesie St </t>
  </si>
  <si>
    <t xml:space="preserve">200 NE 31st Ter  Cape Coral, FL 33909 </t>
  </si>
  <si>
    <t>Holiday Travel Park Rv Condo Ph 1 Or 1557 Pg 1583 Unit 57</t>
  </si>
  <si>
    <t>Bedrock</t>
  </si>
  <si>
    <t xml:space="preserve">789 Chatsworth Rd  Tabernacle, NJ 08088-9341 </t>
  </si>
  <si>
    <t xml:space="preserve">3905 NE 15th Ave  Cape Coral, FL 33909 </t>
  </si>
  <si>
    <t>33332-3328</t>
  </si>
  <si>
    <t>Patricia Warren</t>
  </si>
  <si>
    <t>Zeidan</t>
  </si>
  <si>
    <t>01-44-23-c1-02437.0560</t>
  </si>
  <si>
    <t>59th</t>
  </si>
  <si>
    <t>31-43-24-c1-02169.0110</t>
  </si>
  <si>
    <t>216b</t>
  </si>
  <si>
    <t>Arsenio &amp; Grace Calvelo</t>
  </si>
  <si>
    <t>32-43-24-c4-02199.0600</t>
  </si>
  <si>
    <t>Hewett</t>
  </si>
  <si>
    <t xml:space="preserve">507 N Calhoun St </t>
  </si>
  <si>
    <t>Cape Coral Unit 33 Blk 2285 Pb 16 Pg 56 Lots 28 + 29</t>
  </si>
  <si>
    <t xml:space="preserve">1361 Overseas Hwy G26, Marathon, FL 33050-2029 </t>
  </si>
  <si>
    <t>Valdovinos</t>
  </si>
  <si>
    <t>Redup</t>
  </si>
  <si>
    <t>33909-6100</t>
  </si>
  <si>
    <t xml:space="preserve">246 Caravan Cir  North Fort Myers, FL 33903 </t>
  </si>
  <si>
    <t>James Howard &amp; Jason Ilowant</t>
  </si>
  <si>
    <t xml:space="preserve">1431 S Kingsway Rd #924 </t>
  </si>
  <si>
    <t>33909-3334</t>
  </si>
  <si>
    <t>Swissvale</t>
  </si>
  <si>
    <t xml:space="preserve">2605 Trillium Rdg #1311 </t>
  </si>
  <si>
    <t>Claude Derogatis</t>
  </si>
  <si>
    <t xml:space="preserve">10348 Prairie Iris Dr  Fort Myers, FL 33905 </t>
  </si>
  <si>
    <t>Causeway Palms</t>
  </si>
  <si>
    <t>Rodrigo</t>
  </si>
  <si>
    <t>Martha Chavez</t>
  </si>
  <si>
    <t>Gladiator</t>
  </si>
  <si>
    <t xml:space="preserve">9625 Bay Point Dr  Norfolk, VA 23518-2025 </t>
  </si>
  <si>
    <t xml:space="preserve">222 Spencer Lndg W </t>
  </si>
  <si>
    <t>2a</t>
  </si>
  <si>
    <t>33909-6492</t>
  </si>
  <si>
    <t>Paula</t>
  </si>
  <si>
    <t>18-43-24-c3-05740.0490</t>
  </si>
  <si>
    <t xml:space="preserve">435 NE 1st Ave </t>
  </si>
  <si>
    <t>Braum</t>
  </si>
  <si>
    <t xml:space="preserve">2609 NE 20th Pl </t>
  </si>
  <si>
    <t xml:space="preserve">2707 Metedeconk </t>
  </si>
  <si>
    <t>Lehigh Acres Unit 12 Blk 65 Pb 26 Pg 15 Lot 2</t>
  </si>
  <si>
    <t>David Wood</t>
  </si>
  <si>
    <t>97008-5861</t>
  </si>
  <si>
    <t>Lehigh Acres Unit 2 Blk 8 Pb 0026 Pg 0004 Lot 16</t>
  </si>
  <si>
    <t>Cape Coral Unit 33 Blk.2251 Pb 16 Pg 58 Lots 7 Thru 9</t>
  </si>
  <si>
    <t>Cape Coral Unit 32 Blk 2094 Pb 16 Pg 4 Lots 20 + 21</t>
  </si>
  <si>
    <t>Cary J Rhude Revocable Trust</t>
  </si>
  <si>
    <t>11-44-25-08-00000.1930</t>
  </si>
  <si>
    <t>11364-1636</t>
  </si>
  <si>
    <t>Melba Ruiz</t>
  </si>
  <si>
    <t>Shay Nuni</t>
  </si>
  <si>
    <t>Jesus Bacaltos</t>
  </si>
  <si>
    <t>Oppel</t>
  </si>
  <si>
    <t>Cape Coral Unit 36 Blk 2541 Pb 16 Pg 115 Lots 22 + 23</t>
  </si>
  <si>
    <t xml:space="preserve">413 Las Gaviotas Blvd  Chesapeake, VA 23322-8066 </t>
  </si>
  <si>
    <t>81403-4706</t>
  </si>
  <si>
    <t>Joshua &amp; Jacinta Olson</t>
  </si>
  <si>
    <t xml:space="preserve">1823 NE 21st Ave  Cape Coral, FL 33909 </t>
  </si>
  <si>
    <t>Cape Coral Unit 88 Blk 5828 Pb 24 Pg 142 Lots 24 + 25</t>
  </si>
  <si>
    <t>Cape Coral Unit 84 Blk 5559 Pb 24 Pg 32 Lots 54 + 55</t>
  </si>
  <si>
    <t xml:space="preserve">13614 NW 10th St  Miami, FL 33182-2625 </t>
  </si>
  <si>
    <t xml:space="preserve">1807 NE 1st Pl  Cape Coral, FL 33909 </t>
  </si>
  <si>
    <t xml:space="preserve">117 NE 8th Ter </t>
  </si>
  <si>
    <t xml:space="preserve">3206 Wisteria Ct </t>
  </si>
  <si>
    <t>Little</t>
  </si>
  <si>
    <t>33140-2739</t>
  </si>
  <si>
    <t>Alfredo &amp; Nina Reyes</t>
  </si>
  <si>
    <t xml:space="preserve">2315 41st Ter SW </t>
  </si>
  <si>
    <t xml:space="preserve">16051 Tonkawood Ct </t>
  </si>
  <si>
    <t xml:space="preserve">3925 NE 16th Pl </t>
  </si>
  <si>
    <t>Houndwell</t>
  </si>
  <si>
    <t>Flaherty</t>
  </si>
  <si>
    <t>James &amp; Pamela Howard</t>
  </si>
  <si>
    <t>Coney Island</t>
  </si>
  <si>
    <t xml:space="preserve">137 Dolshire Dr </t>
  </si>
  <si>
    <t xml:space="preserve">914 NE 34th Ter  Cape Coral, FL 33909 </t>
  </si>
  <si>
    <t xml:space="preserve">12055 SW 133rd Ter  Miami, FL 33186-6517 </t>
  </si>
  <si>
    <t xml:space="preserve">540 Marshall St </t>
  </si>
  <si>
    <t>Lothar</t>
  </si>
  <si>
    <t xml:space="preserve">1001 NE 32nd Ln  Cape Coral, FL 33909 </t>
  </si>
  <si>
    <t>B9A 1X6</t>
  </si>
  <si>
    <t>County Road 125</t>
  </si>
  <si>
    <t>Park Hill</t>
  </si>
  <si>
    <t>David &amp; Deweykathy Dewey</t>
  </si>
  <si>
    <t>Yobalis</t>
  </si>
  <si>
    <t>Jacquline</t>
  </si>
  <si>
    <t>36-43-23-c1-02518.0560</t>
  </si>
  <si>
    <t xml:space="preserve">3618 Mistletoe St  New Orleans, LA 70118-1916 </t>
  </si>
  <si>
    <t>31-43-24-c4-02106.0240</t>
  </si>
  <si>
    <t xml:space="preserve">1 Beverly Pl </t>
  </si>
  <si>
    <t>Cape Coral Unit 88 Blk 5760 Pb 24 Pg 133 Lots 42 + 43</t>
  </si>
  <si>
    <t>46929-9531</t>
  </si>
  <si>
    <t>Cypress Trail Rv Resort Phase 4-C Block A Lot 140 As Desc In Inst 2019000042424</t>
  </si>
  <si>
    <t>Hansen</t>
  </si>
  <si>
    <t>Helson Luc</t>
  </si>
  <si>
    <t>Xavier</t>
  </si>
  <si>
    <t>Ft Myers Gulf Acres Sec 2 Blk 8 Pb 10 Pg 71 Esly 90.35 Ft Lot 74</t>
  </si>
  <si>
    <t xml:space="preserve">1708 Beech Dr S </t>
  </si>
  <si>
    <t>02026-2336</t>
  </si>
  <si>
    <t xml:space="preserve">2415 Centergate Dr #205, Miramar, FL 33025-7285 </t>
  </si>
  <si>
    <t xml:space="preserve">2306 NE 36th St  Cape Coral, FL 33909 </t>
  </si>
  <si>
    <t xml:space="preserve">1416 NE 37th St  Cape Coral, FL 33909 </t>
  </si>
  <si>
    <t>Cape Coral Unit 36 Blk 2533 Pb 16 Pg 118 Lots 18 + 19</t>
  </si>
  <si>
    <t xml:space="preserve">8 Bakers Ct </t>
  </si>
  <si>
    <t>31-44-24-c1-00658.0050</t>
  </si>
  <si>
    <t>R3-D</t>
  </si>
  <si>
    <t xml:space="preserve">7620 SW 96th Ave </t>
  </si>
  <si>
    <t>33909-1737</t>
  </si>
  <si>
    <t>Redding</t>
  </si>
  <si>
    <t xml:space="preserve">5100 Cypress Trail Resort Cir  Fort Myers, FL 33905 </t>
  </si>
  <si>
    <t>Sleepy Hollow</t>
  </si>
  <si>
    <t>92027-2218</t>
  </si>
  <si>
    <t>Cape Coral Unit 36 Blk 2326 Pb 16 Pg 125 Lots 69 + 70</t>
  </si>
  <si>
    <t>Tommy Ta &amp; Cindy Nguyen</t>
  </si>
  <si>
    <t>Lamar Mcdonald</t>
  </si>
  <si>
    <t>Pierre Goldschmidt</t>
  </si>
  <si>
    <t xml:space="preserve">27 Manilla Cir  Hampton, VA 23669-1698 </t>
  </si>
  <si>
    <t>Duaine Mcdonald</t>
  </si>
  <si>
    <t>31-43-24-c4-02143.0230</t>
  </si>
  <si>
    <t>33909-1448</t>
  </si>
  <si>
    <t>John F Kennedy</t>
  </si>
  <si>
    <t>19-43-24-c4-05559.0420</t>
  </si>
  <si>
    <t>Cape Coral Unit 36 Pt 1 Blk 2546 Pb 23 Pg 94 Lots 17 + 18</t>
  </si>
  <si>
    <t xml:space="preserve">1016 SE 36th Ter  Cape Coral, FL 33904 </t>
  </si>
  <si>
    <t xml:space="preserve">6041 Laurelwood Dr  Fort Myers, FL 33905 </t>
  </si>
  <si>
    <t>W3124</t>
  </si>
  <si>
    <t>Curran</t>
  </si>
  <si>
    <t>Shahidul</t>
  </si>
  <si>
    <t xml:space="preserve">1408 NE 15th Ter </t>
  </si>
  <si>
    <t xml:space="preserve">1701 Tennessee Ave  North Fort Myers, FL 33903 </t>
  </si>
  <si>
    <t xml:space="preserve">965 Mirror Lake Ln  Cordova, TN 38018-2839 </t>
  </si>
  <si>
    <t>State Route 167</t>
  </si>
  <si>
    <t xml:space="preserve">327 Stockton St </t>
  </si>
  <si>
    <t>C094</t>
  </si>
  <si>
    <t>CA</t>
  </si>
  <si>
    <t>19-43-24-c1-05567.0100</t>
  </si>
  <si>
    <t>Armando Marin &amp; Dania Acosta</t>
  </si>
  <si>
    <t>81301-6516</t>
  </si>
  <si>
    <t>31-43-24-c2-02133.0090</t>
  </si>
  <si>
    <t>33196-1413</t>
  </si>
  <si>
    <t>Bartow</t>
  </si>
  <si>
    <t>Voglmayr</t>
  </si>
  <si>
    <t xml:space="preserve">PO Box 164851  Miami, FL 33116-4851 </t>
  </si>
  <si>
    <t>Chao</t>
  </si>
  <si>
    <t>Evelia</t>
  </si>
  <si>
    <t xml:space="preserve">Po Box 474 </t>
  </si>
  <si>
    <t xml:space="preserve">7377 Sparkling Lake Rd  Orlando, FL 32819-4742 </t>
  </si>
  <si>
    <t xml:space="preserve">160 Pilot St #320, Bronx, NY 10464-1638 </t>
  </si>
  <si>
    <t>Cape Coral Unit 25 Blk 888 Pb 14 Pg 91 Lots 18 + 19</t>
  </si>
  <si>
    <t>Gatumia</t>
  </si>
  <si>
    <t>MD</t>
  </si>
  <si>
    <t xml:space="preserve">1733 NE 18th Pl  Cape Coral, FL 33909 </t>
  </si>
  <si>
    <t>Sabrina Thomas</t>
  </si>
  <si>
    <t xml:space="preserve">2012 NE 15th Ter </t>
  </si>
  <si>
    <t xml:space="preserve">9122 NW 44th Ct </t>
  </si>
  <si>
    <t>33330-1620</t>
  </si>
  <si>
    <t xml:space="preserve">1813 NE 1st Ave  Cape Coral, FL 33909 </t>
  </si>
  <si>
    <t>Cape Coral Unit 84 Blk 5612 Pb 24 Pg 36 Lots 77 + 78</t>
  </si>
  <si>
    <t xml:space="preserve">13 Buttermilk Dr </t>
  </si>
  <si>
    <t xml:space="preserve">17 Sunset Dr </t>
  </si>
  <si>
    <t xml:space="preserve">3928 NE 19th Pl </t>
  </si>
  <si>
    <t>Goldschmidt</t>
  </si>
  <si>
    <t xml:space="preserve">4180 River Grove Ln  Fort Myers, FL 33905 </t>
  </si>
  <si>
    <t>08648-4649</t>
  </si>
  <si>
    <t xml:space="preserve">3505 W 97th St </t>
  </si>
  <si>
    <t xml:space="preserve">229 Miramar Rd  Fort Myers, FL 33905 </t>
  </si>
  <si>
    <t>Cape Coral Unit 84 Blk 5553 Pb 24 Pg 31 Lots 3 + 4</t>
  </si>
  <si>
    <t xml:space="preserve">3445 NE 21st Pl </t>
  </si>
  <si>
    <t>01545-2250</t>
  </si>
  <si>
    <t xml:space="preserve">6136 Hershey Ave </t>
  </si>
  <si>
    <t xml:space="preserve">2800 NE 6th Pl </t>
  </si>
  <si>
    <t>40311-9644</t>
  </si>
  <si>
    <t xml:space="preserve">10011 Royal Colony Dr </t>
  </si>
  <si>
    <t>Habrack</t>
  </si>
  <si>
    <t>Sedalia</t>
  </si>
  <si>
    <t xml:space="preserve">4609 Palmetto Dr  Winter Haven, FL 33881-9062 </t>
  </si>
  <si>
    <t>For Jr Labriola Trust</t>
  </si>
  <si>
    <t>Christina Huynh</t>
  </si>
  <si>
    <t xml:space="preserve">4020 NE 22nd Ave  Cape Coral, FL 33909 </t>
  </si>
  <si>
    <t xml:space="preserve">1802 NE 41st St </t>
  </si>
  <si>
    <t>Shirley</t>
  </si>
  <si>
    <t xml:space="preserve">2537 NE 19th Pl </t>
  </si>
  <si>
    <t>29621-4284</t>
  </si>
  <si>
    <t xml:space="preserve">7305 Islander Ln  Hudson, FL 34667-3966 </t>
  </si>
  <si>
    <t xml:space="preserve">8675 SW 113th Ct </t>
  </si>
  <si>
    <t>03-44-26-02-00008.0100</t>
  </si>
  <si>
    <t>Cape Coral Unit 84 Blk 5603 Pb 24 Pg 42 Lots 35 + 36</t>
  </si>
  <si>
    <t xml:space="preserve">1037 NE 13th Pl  Cape Coral, FL 33909 </t>
  </si>
  <si>
    <t xml:space="preserve">2208 NE 21st Pl </t>
  </si>
  <si>
    <t>36-43-23-c4-02485.0150</t>
  </si>
  <si>
    <t>16-44-26-05-00006.0150</t>
  </si>
  <si>
    <t>Montlebon</t>
  </si>
  <si>
    <t>Miklic</t>
  </si>
  <si>
    <t xml:space="preserve">1405 N Gator Cir </t>
  </si>
  <si>
    <t xml:space="preserve">212 N Adams Ave  Mc Gehee, AR 71654-2103 </t>
  </si>
  <si>
    <t>33909-4356</t>
  </si>
  <si>
    <t xml:space="preserve">6926 Pine Run Rd  Jersey Shore, PA 17740-8986 </t>
  </si>
  <si>
    <t>31-43-24-c4-02102.0300</t>
  </si>
  <si>
    <t>33066-1846</t>
  </si>
  <si>
    <t xml:space="preserve">10956 Martingale Ct  Potomac, MD 20854-1560 </t>
  </si>
  <si>
    <t xml:space="preserve">Im Bindschadler #32 </t>
  </si>
  <si>
    <t>Cape Coral Unit 31 Blk 2062 Pb 14 Pg 162 Lots 17 + 18</t>
  </si>
  <si>
    <t>Ivory</t>
  </si>
  <si>
    <t>33414-7092</t>
  </si>
  <si>
    <t>11418-1603</t>
  </si>
  <si>
    <t>Elmsford</t>
  </si>
  <si>
    <t xml:space="preserve">6108 Holt Ct  Fort Myers, FL 33905 </t>
  </si>
  <si>
    <t xml:space="preserve">2102 NE 17th Ter  Cape Coral, FL 33909 </t>
  </si>
  <si>
    <t>Kendrick</t>
  </si>
  <si>
    <t>Cape Coral Unit 36 Blk 2339 Pb 16 Pg 124 Lots 7 + 8</t>
  </si>
  <si>
    <t>03-44-26-01-00003.0420</t>
  </si>
  <si>
    <t xml:space="preserve">113 Black Hill Dr  Streamwood, IL 60107-4502 </t>
  </si>
  <si>
    <t>H002</t>
  </si>
  <si>
    <t>29-43-24-c4-02256.0720</t>
  </si>
  <si>
    <t xml:space="preserve">1322 NE 6th Ave </t>
  </si>
  <si>
    <t xml:space="preserve">10079 Parkwood Dr  Fort Myers, FL 33905 </t>
  </si>
  <si>
    <t>Corinne</t>
  </si>
  <si>
    <t xml:space="preserve">263 Burbacher St </t>
  </si>
  <si>
    <t>Cape Coral Unit 33 Blk 2191 Pb 16 Pg 49 Lots 7 + 8</t>
  </si>
  <si>
    <t>Cape Coral Unit 31 Blk 2084 Pb 14 Pg 165 Lot 31</t>
  </si>
  <si>
    <t>Bellmawr</t>
  </si>
  <si>
    <t>03-44-26-12-00061.0070</t>
  </si>
  <si>
    <t>11-44-25-10-00000.4240</t>
  </si>
  <si>
    <t>129th</t>
  </si>
  <si>
    <t>Cape Coral Unit 36 Blk 2541 Pb 16 Pg 115 Lots 5 Thru 7</t>
  </si>
  <si>
    <t xml:space="preserve">8 Waltham Way </t>
  </si>
  <si>
    <t xml:space="preserve">26722 S Beverly Dr  Monee, IL 60449-9548 </t>
  </si>
  <si>
    <t>Zabari</t>
  </si>
  <si>
    <t>American &amp; Douglas Steward</t>
  </si>
  <si>
    <t xml:space="preserve">4018 Caloosa Loop </t>
  </si>
  <si>
    <t>Varathan</t>
  </si>
  <si>
    <t>Michael &amp; Dorothy Lillstrung</t>
  </si>
  <si>
    <t>George Camiel</t>
  </si>
  <si>
    <t>49668-9392</t>
  </si>
  <si>
    <t>Santa Catalina</t>
  </si>
  <si>
    <t xml:space="preserve">2336 Cleveland Ave  Fort Myers, FL 33901-3540 </t>
  </si>
  <si>
    <t>Fedchak</t>
  </si>
  <si>
    <t>86336-7007</t>
  </si>
  <si>
    <t>L1N 6H9</t>
  </si>
  <si>
    <t>Darin</t>
  </si>
  <si>
    <t>18464-9651</t>
  </si>
  <si>
    <t>Arcides &amp; Maria Riveras</t>
  </si>
  <si>
    <t xml:space="preserve">191 Willoughby St 9m </t>
  </si>
  <si>
    <t xml:space="preserve">4682 SW 164th Ct </t>
  </si>
  <si>
    <t>Dao</t>
  </si>
  <si>
    <t>Oda9 Trust</t>
  </si>
  <si>
    <t>C040</t>
  </si>
  <si>
    <t>Angello Hinojosa</t>
  </si>
  <si>
    <t>Baughan</t>
  </si>
  <si>
    <t>Roberto &amp; Lidia Salazar</t>
  </si>
  <si>
    <t>10312-3004</t>
  </si>
  <si>
    <t>33909-6580</t>
  </si>
  <si>
    <t>01-44-23-c1-02437.0070</t>
  </si>
  <si>
    <t xml:space="preserve">2006 NE 13th Pl </t>
  </si>
  <si>
    <t xml:space="preserve">10018 Williams Field Dr </t>
  </si>
  <si>
    <t>Allan</t>
  </si>
  <si>
    <t xml:space="preserve">59 Federal St  Wilmington, MA 01887-2508 </t>
  </si>
  <si>
    <t>Serenade</t>
  </si>
  <si>
    <t>33909-6291</t>
  </si>
  <si>
    <t>18-43-24-c3-05752.0410</t>
  </si>
  <si>
    <t>Green Acres</t>
  </si>
  <si>
    <t xml:space="preserve">523 State St  North Fort Myers, FL 33903 </t>
  </si>
  <si>
    <t xml:space="preserve">17532 NW 61st Ct N </t>
  </si>
  <si>
    <t xml:space="preserve">1928 Kismet Pkwy E </t>
  </si>
  <si>
    <t>Cape Coral Unit 33 Blk 2217 Pb 16 Pg 43 Lots 31 + 32</t>
  </si>
  <si>
    <t xml:space="preserve">4130 NE 20th Ct </t>
  </si>
  <si>
    <t>Tery</t>
  </si>
  <si>
    <t>32-43-24-c4-02208.0490</t>
  </si>
  <si>
    <t xml:space="preserve">1936 NE 19th Ave  Cape Coral, FL 33909 </t>
  </si>
  <si>
    <t xml:space="preserve">121 NE 5th Ter </t>
  </si>
  <si>
    <t>33909-5525</t>
  </si>
  <si>
    <t>Laura Pietro</t>
  </si>
  <si>
    <t>Kenneth Kotchey</t>
  </si>
  <si>
    <t xml:space="preserve">23 Anderson Rd </t>
  </si>
  <si>
    <t xml:space="preserve">4477 Duffield Rd </t>
  </si>
  <si>
    <t xml:space="preserve">2905 SE 15th Pl  Cape Coral, FL 33904 </t>
  </si>
  <si>
    <t>19-43-24-c3-05617.0050</t>
  </si>
  <si>
    <t xml:space="preserve">2016 NE 13th Pl  Cape Coral, FL 33909 </t>
  </si>
  <si>
    <t>Cape Coral Unit 47 Part 2 Blk 2211A Pb 23 Pg 125 Lots 15 Thru 17</t>
  </si>
  <si>
    <t>19-43-24-c2-05753.0400</t>
  </si>
  <si>
    <t>Suffolk</t>
  </si>
  <si>
    <t xml:space="preserve">3916 NE 17th Ave </t>
  </si>
  <si>
    <t xml:space="preserve">5187 Cypress Trail Resort Cir  Fort Myers, FL 33905 </t>
  </si>
  <si>
    <t>Alexander Delgado &amp; Yusleyvi Rodriguez</t>
  </si>
  <si>
    <t>Cranfords Subd Blk 5 Pb 1 Pg 30 Lot 20</t>
  </si>
  <si>
    <t>Cape Coral Unit 31 Blk 2089 Pb 14 Pg 165 Lots 20 + 21</t>
  </si>
  <si>
    <t>19-43-24-c3-05611.0510</t>
  </si>
  <si>
    <t xml:space="preserve">10030 Willowood Dr  Fort Myers, FL 33905 </t>
  </si>
  <si>
    <t>Cape Coral Unit 34 Blk.2456 Pb 16 Pg 83 Lots 24 + 25</t>
  </si>
  <si>
    <t xml:space="preserve">137 SE 28th Ter  Cape Coral, FL 33904 </t>
  </si>
  <si>
    <t>19-43-24-c4-05558.0130</t>
  </si>
  <si>
    <t>Sunrise</t>
  </si>
  <si>
    <t xml:space="preserve">3533 NE 18th Ave  Cape Coral, FL 33909 </t>
  </si>
  <si>
    <t>Shirly Gonzalez</t>
  </si>
  <si>
    <t>Bloom Hill</t>
  </si>
  <si>
    <t>R1 W</t>
  </si>
  <si>
    <t xml:space="preserve">1121 NE 15th St </t>
  </si>
  <si>
    <t>Wiley &amp; Dorothy Williams</t>
  </si>
  <si>
    <t>Gay</t>
  </si>
  <si>
    <t>Suddarth</t>
  </si>
  <si>
    <t>Pope</t>
  </si>
  <si>
    <t>22304-1965</t>
  </si>
  <si>
    <t xml:space="preserve">1413 NE 17th Ave </t>
  </si>
  <si>
    <t>Manuel Mauri &amp; Marlene Castro</t>
  </si>
  <si>
    <t xml:space="preserve">4004 Trinidad Way  Naples, FL 34119-7507 </t>
  </si>
  <si>
    <t>33909-6209</t>
  </si>
  <si>
    <t>20-43-24-c4-05633.0270</t>
  </si>
  <si>
    <t>Maria Blanco &amp; Ana Rivas</t>
  </si>
  <si>
    <t>B1</t>
  </si>
  <si>
    <t>Guinta</t>
  </si>
  <si>
    <t>29-43-24-c4-02258.0320</t>
  </si>
  <si>
    <t>Husain Momari &amp; Aboud Mamari</t>
  </si>
  <si>
    <t>Cape Coral Unit 87 Blk 5733 Pb 24 Pg 78 Lots 63 + 64</t>
  </si>
  <si>
    <t>Mark &amp; Jeanne Szymanski</t>
  </si>
  <si>
    <t xml:space="preserve">507 SE 32nd St  Cape Coral, FL 33904 </t>
  </si>
  <si>
    <t>30143-5150</t>
  </si>
  <si>
    <t>36-43-23-c1-02518.0070</t>
  </si>
  <si>
    <t>07-46-25-04-000r0.0100</t>
  </si>
  <si>
    <t>Da Costa Holanda</t>
  </si>
  <si>
    <t>33909-4302</t>
  </si>
  <si>
    <t xml:space="preserve">Po Box 700836 </t>
  </si>
  <si>
    <t xml:space="preserve">29 Smith St </t>
  </si>
  <si>
    <t xml:space="preserve">7 Kiefemweg </t>
  </si>
  <si>
    <t>33909-1536</t>
  </si>
  <si>
    <t>Boulevard</t>
  </si>
  <si>
    <t xml:space="preserve">321 Wheatstone Dr  Palmyra, PA 17078-3066 </t>
  </si>
  <si>
    <t xml:space="preserve">701 NE 19th Ter  Cape Coral, FL 33909 </t>
  </si>
  <si>
    <t xml:space="preserve">7696 NW 21st Ct #42, Margate, FL 33063-7902 </t>
  </si>
  <si>
    <t>Cape Coral Unit 34 Blk 2392 Pb 16 Pg 80 Lots 17 + 18</t>
  </si>
  <si>
    <t>33909-4694</t>
  </si>
  <si>
    <t>Quiet Woods</t>
  </si>
  <si>
    <t>19-43-24-c1-05572.0130</t>
  </si>
  <si>
    <t xml:space="preserve">10481 Six Mile Cypress Pkwy  Fort Myers, FL 33966 </t>
  </si>
  <si>
    <t>Milton</t>
  </si>
  <si>
    <t>11-44-25-l1-13000.0910</t>
  </si>
  <si>
    <t>33909-1247</t>
  </si>
  <si>
    <t>Pinellas Park</t>
  </si>
  <si>
    <t xml:space="preserve">1908 NE 33rd Ter </t>
  </si>
  <si>
    <t xml:space="preserve">10301 Nightwood Dr  Fort Myers, FL 33905 </t>
  </si>
  <si>
    <t xml:space="preserve">3511 NE 12th Ave </t>
  </si>
  <si>
    <t xml:space="preserve">3752 Harts Pl  Atlanta, GA 30341-1753 </t>
  </si>
  <si>
    <t>PO Box 145</t>
  </si>
  <si>
    <t>44444-9423</t>
  </si>
  <si>
    <t xml:space="preserve">6 Maynard Cir  North Chelmsford, MA 01863-2312 </t>
  </si>
  <si>
    <t>29-43-24-c3-02253.0640</t>
  </si>
  <si>
    <t>Marlene Schlenker</t>
  </si>
  <si>
    <t>Jorge &amp; Jorge Carvajal</t>
  </si>
  <si>
    <t xml:space="preserve">5208 Cypress Trail Resort Cir </t>
  </si>
  <si>
    <t xml:space="preserve">1212 SE 37th St </t>
  </si>
  <si>
    <t>Mcnair</t>
  </si>
  <si>
    <t>Cape Coral Unit 36 Blk 2312 Pb 16 Pg 124 Lots 55 + 56</t>
  </si>
  <si>
    <t xml:space="preserve">800 Willis Ave #212, Albertson, NY 11507-1936 </t>
  </si>
  <si>
    <t xml:space="preserve">7777 SW 4th St </t>
  </si>
  <si>
    <t xml:space="preserve">14051 Cherrydale St  Fort Myers, FL 33905 </t>
  </si>
  <si>
    <t xml:space="preserve">1523 NE 19th Ter  Cape Coral, FL 33909 </t>
  </si>
  <si>
    <t>Erdy</t>
  </si>
  <si>
    <t xml:space="preserve">714 Morris Rd  Hockessin, DE 19707-9697 </t>
  </si>
  <si>
    <t xml:space="preserve">913 Andalusia Blvd  Cape Coral, FL 33909 </t>
  </si>
  <si>
    <t>Al &amp; Eloisa Fayard</t>
  </si>
  <si>
    <t xml:space="preserve">11473 Sanderling Dr </t>
  </si>
  <si>
    <t>Cottage</t>
  </si>
  <si>
    <t>Mazie</t>
  </si>
  <si>
    <t xml:space="preserve">10 Calle Tintillo </t>
  </si>
  <si>
    <t>Cape Coral Unit 84 Blk 5613 Pb 24 Pg 36 Lots 15 + 16</t>
  </si>
  <si>
    <t>Pumesh</t>
  </si>
  <si>
    <t>Brian &amp; Tina Seger</t>
  </si>
  <si>
    <t>Mastro</t>
  </si>
  <si>
    <t>Bethany Beach</t>
  </si>
  <si>
    <t>Leonel</t>
  </si>
  <si>
    <t>Sergio Perez</t>
  </si>
  <si>
    <t xml:space="preserve">773 Bradford Ter </t>
  </si>
  <si>
    <t>33904-4469</t>
  </si>
  <si>
    <t>Bonibel Trapse</t>
  </si>
  <si>
    <t xml:space="preserve">2310 NE 35th Ter  Cape Coral, FL 33909 </t>
  </si>
  <si>
    <t>Cape Coral Unit 84 Blk 5587 Pb 24 Pg 44 Lots 5 + 6</t>
  </si>
  <si>
    <t>Cape Coral Unit 32 Blk 2135 Pb 16 Pg 13 Lots 14 + 15</t>
  </si>
  <si>
    <t>Current</t>
  </si>
  <si>
    <t>Caricote</t>
  </si>
  <si>
    <t>Kittyhawk</t>
  </si>
  <si>
    <t>Greentown</t>
  </si>
  <si>
    <t xml:space="preserve">5224 Cypress Trail Resort Cir </t>
  </si>
  <si>
    <t>Willowood</t>
  </si>
  <si>
    <t>Aviemore</t>
  </si>
  <si>
    <t xml:space="preserve">1718 NE 33rd St </t>
  </si>
  <si>
    <t>11-44-25-11-00000.0490</t>
  </si>
  <si>
    <t>Hancock</t>
  </si>
  <si>
    <t xml:space="preserve">Po Box 557151 </t>
  </si>
  <si>
    <t>Lehigh Acres Unit 9 Blk 46 Pb 26 Pg 11 Lot 3</t>
  </si>
  <si>
    <t xml:space="preserve">1805 NE 1st Ave </t>
  </si>
  <si>
    <t xml:space="preserve">3103 Lakeside Dr  Highland, IN 46322-3471 </t>
  </si>
  <si>
    <t xml:space="preserve">19201 SW 39th Ct </t>
  </si>
  <si>
    <t xml:space="preserve">517 W Cagney St </t>
  </si>
  <si>
    <t xml:space="preserve">14261 SW 119th Ave  Miami, FL 33186-6008 </t>
  </si>
  <si>
    <t xml:space="preserve">19-75 Casa 165  Cundinamarca, CO </t>
  </si>
  <si>
    <t>Cape Coral Unit 87 Blk 5744 Pb 24 Pg 70 Lots 5 + 6</t>
  </si>
  <si>
    <t>Stadler</t>
  </si>
  <si>
    <t>R117</t>
  </si>
  <si>
    <t xml:space="preserve">940 6th St </t>
  </si>
  <si>
    <t>Cypress Trail Rv Resort Ph 4-B As Desc In Inst# 2017000057565 Lot 315</t>
  </si>
  <si>
    <t>Raquel Anton</t>
  </si>
  <si>
    <t>Mark &amp; Deana Erickson</t>
  </si>
  <si>
    <t xml:space="preserve">25 Hartland Rd </t>
  </si>
  <si>
    <t xml:space="preserve">1635 NE 36th Ln </t>
  </si>
  <si>
    <t xml:space="preserve">1803 NE 26th St </t>
  </si>
  <si>
    <t xml:space="preserve">2307 Rolling Hill Rd  Fayetteville, NC 28304-3740 </t>
  </si>
  <si>
    <t>Lehigh Acres Unit 13 E 1/2 Blk 70 Pb 26 Pg 17 Lot 15</t>
  </si>
  <si>
    <t>25-43-23-c4-02304.0290</t>
  </si>
  <si>
    <t>Rue Georges Damboise</t>
  </si>
  <si>
    <t>Colony</t>
  </si>
  <si>
    <t xml:space="preserve">550 Okeechobee Blvd #510, West Palm Beach, FL 33401-6325 </t>
  </si>
  <si>
    <t xml:space="preserve">121 W William St #202, Corning, NY 14830-2181 </t>
  </si>
  <si>
    <t xml:space="preserve">1116 NE 2nd Pl  Cape Coral, FL 33909 </t>
  </si>
  <si>
    <t xml:space="preserve">7825 Park Ave </t>
  </si>
  <si>
    <t>Butter</t>
  </si>
  <si>
    <t xml:space="preserve">916 NE 36th Ter  Cape Coral, FL 33909 </t>
  </si>
  <si>
    <t xml:space="preserve">2610 NE Juanita Pl </t>
  </si>
  <si>
    <t>Loc Ngo &amp; Nguyet Luu</t>
  </si>
  <si>
    <t>33-44-24-c1-01243.0150</t>
  </si>
  <si>
    <t>Wlodarek</t>
  </si>
  <si>
    <t xml:space="preserve">507 Diplomat Pkwy E </t>
  </si>
  <si>
    <t xml:space="preserve">3829 NE 23rd Ave </t>
  </si>
  <si>
    <t xml:space="preserve">1713 NE 23rd Ter </t>
  </si>
  <si>
    <t xml:space="preserve">14180 Cedardale St  Fort Myers, FL 33905 </t>
  </si>
  <si>
    <t xml:space="preserve">2331 NE 35th Ln  Cape Coral, FL 33909 </t>
  </si>
  <si>
    <t xml:space="preserve">5839 Burrwood Ct  Fort Myers, FL 33905 </t>
  </si>
  <si>
    <t>Cape Coral Unit 84 Blk 5554 Pb 24 Pg 31 Lot 2</t>
  </si>
  <si>
    <t xml:space="preserve">4008 NE 10th Pl  Cape Coral, FL 33909 </t>
  </si>
  <si>
    <t xml:space="preserve">327 Stockton St  North Fort Myers, FL 33903 </t>
  </si>
  <si>
    <t>Long Hollow</t>
  </si>
  <si>
    <t>07001-1421</t>
  </si>
  <si>
    <t>Francois Tessier</t>
  </si>
  <si>
    <t>33909-6836</t>
  </si>
  <si>
    <t>Freda Romanoff &amp; For Zemel</t>
  </si>
  <si>
    <t>Loccisano</t>
  </si>
  <si>
    <t>53132-9195</t>
  </si>
  <si>
    <t>Charles &amp; Priscilla Dixon</t>
  </si>
  <si>
    <t>Reinier</t>
  </si>
  <si>
    <t>31-43-24-c3-02122.0450</t>
  </si>
  <si>
    <t>98034-6219</t>
  </si>
  <si>
    <t xml:space="preserve">1501 NE 36th Ter  Cape Coral, FL 33909 </t>
  </si>
  <si>
    <t>Winczewski</t>
  </si>
  <si>
    <t xml:space="preserve">1036/1038 NE 16th Ter </t>
  </si>
  <si>
    <t>Buscaglia</t>
  </si>
  <si>
    <t>33-43-25-03-00004.0000</t>
  </si>
  <si>
    <t xml:space="preserve">85 Timberline Trai </t>
  </si>
  <si>
    <t xml:space="preserve">3713 Kelsey St  Fort Myers, FL 33905 </t>
  </si>
  <si>
    <t xml:space="preserve">1018 S Riverside Dr </t>
  </si>
  <si>
    <t xml:space="preserve">2718 Morgan Ave </t>
  </si>
  <si>
    <t>21221-3204</t>
  </si>
  <si>
    <t>James &amp; Carol Johnson</t>
  </si>
  <si>
    <t>Cape Coral Unit 85 Blk 5672 Pb 24 Pg 51 Lot 55</t>
  </si>
  <si>
    <t xml:space="preserve">1587 Daniels St  Manteca, CA 95337-6753 </t>
  </si>
  <si>
    <t xml:space="preserve">2704 NE 2nd Pl </t>
  </si>
  <si>
    <t>Franzese</t>
  </si>
  <si>
    <t>Cape Coral Unit 36 Blk 2290 Pb 16 Pg 119 Lots 3 + 4</t>
  </si>
  <si>
    <t>Gia</t>
  </si>
  <si>
    <t>Square Arthur Ridbaud</t>
  </si>
  <si>
    <t xml:space="preserve">6014 Jonathan Ave  Fort Myers, FL 33905 </t>
  </si>
  <si>
    <t xml:space="preserve">6612 Aiken Rd  Lockport, NY 14094-9648 </t>
  </si>
  <si>
    <t>32828-8268</t>
  </si>
  <si>
    <t xml:space="preserve">3603 NE 9th Ave  Cape Coral, FL 33909 </t>
  </si>
  <si>
    <t>Leham</t>
  </si>
  <si>
    <t>Tremont</t>
  </si>
  <si>
    <t xml:space="preserve">4025 NE 23rd Pl  Cape Coral, FL 33909 </t>
  </si>
  <si>
    <t xml:space="preserve">7924 S Center Hwy  Traverse City, MI 49684-9555 </t>
  </si>
  <si>
    <t>Hallingstuene</t>
  </si>
  <si>
    <t xml:space="preserve">223 SE 25th Ter </t>
  </si>
  <si>
    <t xml:space="preserve">4112 Garden Blvd </t>
  </si>
  <si>
    <t xml:space="preserve">5311 Mikado Ct </t>
  </si>
  <si>
    <t xml:space="preserve">3845 Hopevale St  Fort Myers, FL 33905 </t>
  </si>
  <si>
    <t>Zell D</t>
  </si>
  <si>
    <t xml:space="preserve">3606 NE 18th Ave  Cape Coral, FL 33909 </t>
  </si>
  <si>
    <t>05-45-24-c1-00577.025a</t>
  </si>
  <si>
    <t xml:space="preserve">1413 SE 29th Ter </t>
  </si>
  <si>
    <t>Carlos Cueto &amp; Maria Viana</t>
  </si>
  <si>
    <t>Judy</t>
  </si>
  <si>
    <t>18-43-24-c1-05727.0210</t>
  </si>
  <si>
    <t>33908-2469</t>
  </si>
  <si>
    <t>Haberkorn</t>
  </si>
  <si>
    <t>Cape Coral Unit 36 Pt 1 Blk 2546 Pb 23 Pg 94 Lots 15 + 16</t>
  </si>
  <si>
    <t xml:space="preserve">20 Linden Rd </t>
  </si>
  <si>
    <t xml:space="preserve">988 Hamilton Trl  Piney Flats, TN 37686-3928 </t>
  </si>
  <si>
    <t>Cape Coral Unit 35 Blk.2406 Pb 16 Pg 110 Lots 22 + 23</t>
  </si>
  <si>
    <t>Andrew &amp; Nancy Deangelis</t>
  </si>
  <si>
    <t xml:space="preserve">68 Gresham Ln  North Fort Myers, FL 33903 </t>
  </si>
  <si>
    <t>11-44-25-09-00000.0010</t>
  </si>
  <si>
    <t xml:space="preserve">2900 NE 7th Pl  Cape Coral, FL 33909 </t>
  </si>
  <si>
    <t xml:space="preserve">11091 E Breathless Dr  Gold Canyon, AZ 85118-6861 </t>
  </si>
  <si>
    <t>Angela Castillo</t>
  </si>
  <si>
    <t>Kaushal</t>
  </si>
  <si>
    <t>Bibiana Panuelos</t>
  </si>
  <si>
    <t xml:space="preserve">6122 Laurelwood Dr </t>
  </si>
  <si>
    <t>20-43-24-c4-05630.0130</t>
  </si>
  <si>
    <t>Nemethy</t>
  </si>
  <si>
    <t xml:space="preserve">15607 Darwin Ct  Laurel, MD 20707-2970 </t>
  </si>
  <si>
    <t xml:space="preserve">4372 Abbotts Way </t>
  </si>
  <si>
    <t>36-44-23-c3-00888.0120</t>
  </si>
  <si>
    <t>Susan Stubbs</t>
  </si>
  <si>
    <t>Ndtco</t>
  </si>
  <si>
    <t>210th</t>
  </si>
  <si>
    <t>Olga Canova &amp; Zach Crews</t>
  </si>
  <si>
    <t xml:space="preserve">255 Nyes Rd </t>
  </si>
  <si>
    <t>25-43-23-c3-02174.0270</t>
  </si>
  <si>
    <t>18-43-24-c1-05695.0330</t>
  </si>
  <si>
    <t xml:space="preserve">740 Loretta Dr  O Fallon, MO 63366-2162 </t>
  </si>
  <si>
    <t xml:space="preserve">3335 NE 23rd Pl </t>
  </si>
  <si>
    <t>Cape Coral Unit 25 Blk 888 Pb 14 Pg 91 Lots 16 + 17</t>
  </si>
  <si>
    <t>33909-5324</t>
  </si>
  <si>
    <t>55331-9585</t>
  </si>
  <si>
    <t>Erla</t>
  </si>
  <si>
    <t>Cita Carmen &amp; Alan Levy</t>
  </si>
  <si>
    <t>For Maria H Soares Revocable Trust</t>
  </si>
  <si>
    <t>21146-2026</t>
  </si>
  <si>
    <t>Route 303</t>
  </si>
  <si>
    <t>Arnone John A Jr Tr</t>
  </si>
  <si>
    <t>Marshall &amp; Caroline Putt</t>
  </si>
  <si>
    <t xml:space="preserve">809 NE 44th Ln  Cape Coral, FL 33909 </t>
  </si>
  <si>
    <t>Phyllisan</t>
  </si>
  <si>
    <t xml:space="preserve">19 195th St  Star Prairie, WI 54026-5726 </t>
  </si>
  <si>
    <t>Massa</t>
  </si>
  <si>
    <t>Us 6</t>
  </si>
  <si>
    <t xml:space="preserve">10223 Meadow Beauty Trl </t>
  </si>
  <si>
    <t>31-43-24-c2-02138.0370</t>
  </si>
  <si>
    <t>05-44-24-c2-03527.0130</t>
  </si>
  <si>
    <t>05-44-23-c3-04038.0230</t>
  </si>
  <si>
    <t xml:space="preserve">1406 NE 22nd Ave  Cape Coral, FL 33909 </t>
  </si>
  <si>
    <t>Beverly Look</t>
  </si>
  <si>
    <t xml:space="preserve">6047 Joplin Ave </t>
  </si>
  <si>
    <t xml:space="preserve">860 Pine Grove Rd  Beaver, PA 15009-9489 </t>
  </si>
  <si>
    <t xml:space="preserve">110 Shore Ct #311, North Palm Beach, FL 33408-5560 </t>
  </si>
  <si>
    <t>Khanh Pham</t>
  </si>
  <si>
    <t xml:space="preserve">1309 Lone Pine Trl  Severn, MD 21144-4406 </t>
  </si>
  <si>
    <t>F204</t>
  </si>
  <si>
    <t>10707-1332</t>
  </si>
  <si>
    <t xml:space="preserve">1332 NE 12th St </t>
  </si>
  <si>
    <t xml:space="preserve">1805 NE 22nd Ter </t>
  </si>
  <si>
    <t>2009 ne 42nd street trust</t>
  </si>
  <si>
    <t xml:space="preserve">6 Square Arthur Ridbaud </t>
  </si>
  <si>
    <t xml:space="preserve">601 W 168th St #26, New York, NY 10032-3708 </t>
  </si>
  <si>
    <t>01-44-23-c4-02422.0310</t>
  </si>
  <si>
    <t>Wendy Ann</t>
  </si>
  <si>
    <t>Ronald &amp; Vicki Clarke</t>
  </si>
  <si>
    <t>Letendre</t>
  </si>
  <si>
    <t xml:space="preserve">1034 NE 40th Ter </t>
  </si>
  <si>
    <t>20-44-26-08-00050.0040</t>
  </si>
  <si>
    <t xml:space="preserve">3 Roanoke Dr </t>
  </si>
  <si>
    <t>Fichtestr</t>
  </si>
  <si>
    <t>Cape Coral Unit 34 Blk 2466 Pb 16 Pg 76 Lots 65 + 66</t>
  </si>
  <si>
    <t xml:space="preserve">120 NW 87th Ave F204, Miami, FL 33172-4545 </t>
  </si>
  <si>
    <t>Cape Coral Unit 32 Blk.2172 Pb 16 Pg 8 Lots 19 + 20</t>
  </si>
  <si>
    <t>Cape Coral Unit 84 Blk 5603 Pb 24 Pg 42 Lots 33 + 34</t>
  </si>
  <si>
    <t>11-44-25-05-0000c.0180</t>
  </si>
  <si>
    <t>Lehigh Acres Unit 6 Blk 28 Pb 26 Pg 8 Lot 28</t>
  </si>
  <si>
    <t>33905-7662</t>
  </si>
  <si>
    <t>80516-6575</t>
  </si>
  <si>
    <t>53406-1669</t>
  </si>
  <si>
    <t xml:space="preserve">215 Fieldstone Dr </t>
  </si>
  <si>
    <t>Jamie Moncada</t>
  </si>
  <si>
    <t>11946-2808</t>
  </si>
  <si>
    <t xml:space="preserve">2130 NE 35th Ter </t>
  </si>
  <si>
    <t xml:space="preserve">7625 S Cook Way </t>
  </si>
  <si>
    <t>Usama</t>
  </si>
  <si>
    <t xml:space="preserve">101 Pleasant Hill Rd </t>
  </si>
  <si>
    <t>11-44-25-09-00000.1860</t>
  </si>
  <si>
    <t xml:space="preserve">13 NE 19th Ter  Cape Coral, FL 33909 </t>
  </si>
  <si>
    <t>34748-4040</t>
  </si>
  <si>
    <t xml:space="preserve">3015 NE 1st Ave </t>
  </si>
  <si>
    <t>92124-3424</t>
  </si>
  <si>
    <t>10598-6152</t>
  </si>
  <si>
    <t>Raymond &amp; Maria Lyall</t>
  </si>
  <si>
    <t xml:space="preserve">676 Brimley Rd  Scarborough, ON M1j 1C2 </t>
  </si>
  <si>
    <t>Maudier-Isetti</t>
  </si>
  <si>
    <t>Lehigh Acres Unit 4 Blk 17 Pb 26 Pg 6 Lot 3</t>
  </si>
  <si>
    <t xml:space="preserve">1427 SE 32nd Ter </t>
  </si>
  <si>
    <t xml:space="preserve">3628 NE 15th Ave </t>
  </si>
  <si>
    <t xml:space="preserve">1 Carshaulton Rd  Donaghadee, GB 00000 </t>
  </si>
  <si>
    <t>07-46-25-05-00000.0470</t>
  </si>
  <si>
    <t>11-44-25-l1-12000.2970</t>
  </si>
  <si>
    <t>33131-2416</t>
  </si>
  <si>
    <t>Cape Coral Unit 47 Pt 2 Blk 3541 Pb 23 Pg 117 Lots 49 + 50</t>
  </si>
  <si>
    <t>Sino</t>
  </si>
  <si>
    <t xml:space="preserve">1906 Ware Cir  West Palm Beach, FL 33409-3848 </t>
  </si>
  <si>
    <t xml:space="preserve">5500 Flaghole Rd  Clewiston, FL 33440-7771 </t>
  </si>
  <si>
    <t xml:space="preserve">3639 NE 22nd Ave </t>
  </si>
  <si>
    <t>Vander Dasilva &amp; Renata Moura</t>
  </si>
  <si>
    <t xml:space="preserve">3222 Natoma Way  Orlando, FL 32825-7183 </t>
  </si>
  <si>
    <t xml:space="preserve">1226 NE 40th Ter  Cape Coral, FL 33909 </t>
  </si>
  <si>
    <t xml:space="preserve">3847 Knowlton St </t>
  </si>
  <si>
    <t xml:space="preserve">10206 Yellowtop Trl </t>
  </si>
  <si>
    <t xml:space="preserve">6123 Higgins Ave </t>
  </si>
  <si>
    <t>Exum</t>
  </si>
  <si>
    <t>Engstrand</t>
  </si>
  <si>
    <t>18-43-24-c3-05742.0630</t>
  </si>
  <si>
    <t>Gonzales</t>
  </si>
  <si>
    <t>08-45-24-c1-00374.0270</t>
  </si>
  <si>
    <t xml:space="preserve">430 NE 5th Pl  Cape Coral, FL 33909 </t>
  </si>
  <si>
    <t xml:space="preserve">287 Valencia Dr  Fort Myers, FL 33905 </t>
  </si>
  <si>
    <t>33909-6885</t>
  </si>
  <si>
    <t xml:space="preserve">245 W La Vieve Ln </t>
  </si>
  <si>
    <t xml:space="preserve">10377 Nightwood Dr </t>
  </si>
  <si>
    <t>47374-5945</t>
  </si>
  <si>
    <t xml:space="preserve">2858 SW 177th Ave  Miramar, FL 33029-5601 </t>
  </si>
  <si>
    <t xml:space="preserve">76 Caravel Dr  East Falmouth, MA 02536-3930 </t>
  </si>
  <si>
    <t>Stasolla</t>
  </si>
  <si>
    <t xml:space="preserve">1008 NE 20th St  Cape Coral, FL 33909 </t>
  </si>
  <si>
    <t>Stephen Miller</t>
  </si>
  <si>
    <t>13-45-23-c1-00099.0240</t>
  </si>
  <si>
    <t>Kersten</t>
  </si>
  <si>
    <t xml:space="preserve">3829 NE 19th Ave  Cape Coral, FL 33909 </t>
  </si>
  <si>
    <t xml:space="preserve">10205 Gretchen Ct </t>
  </si>
  <si>
    <t>22303-1136</t>
  </si>
  <si>
    <t>Sherri</t>
  </si>
  <si>
    <t>97703-9162</t>
  </si>
  <si>
    <t>H-8</t>
  </si>
  <si>
    <t xml:space="preserve">4417 NE 20th Pl  Cape Coral, FL 33909 </t>
  </si>
  <si>
    <t>Heathridge</t>
  </si>
  <si>
    <t>Savina Vassiliadis</t>
  </si>
  <si>
    <t>24-44-24-p4-00805.0200</t>
  </si>
  <si>
    <t>Bice</t>
  </si>
  <si>
    <t>Kemp</t>
  </si>
  <si>
    <t xml:space="preserve">2633 NE 20th Pl </t>
  </si>
  <si>
    <t>16510-5944</t>
  </si>
  <si>
    <t xml:space="preserve">9 Hanoier St  Berlin, DE 12683 </t>
  </si>
  <si>
    <t>Miguel Martinez &amp; Patricia Flores</t>
  </si>
  <si>
    <t xml:space="preserve">338 NE 23rd Ter </t>
  </si>
  <si>
    <t>Cape Coral Unit 5 Blk 114 Pb 11 Pg 83 Lots 3 + 4</t>
  </si>
  <si>
    <t xml:space="preserve">229 NE 13th Ave </t>
  </si>
  <si>
    <t>North</t>
  </si>
  <si>
    <t xml:space="preserve">3347 NE 23rd Pl  Cape Coral, FL 33909 </t>
  </si>
  <si>
    <t>Forcier</t>
  </si>
  <si>
    <t xml:space="preserve">1213 NE 7th Ave </t>
  </si>
  <si>
    <t>33015-6930</t>
  </si>
  <si>
    <t xml:space="preserve">6081 Laurelwood Dr  Fort Myers, FL 33905 </t>
  </si>
  <si>
    <t>06095-1772</t>
  </si>
  <si>
    <t>25-43-23-c2-02340.0410</t>
  </si>
  <si>
    <t>Cypress Woods Rv Resort Unit 4 Pb 79 Pgs 68-71 Blk D Lot 73</t>
  </si>
  <si>
    <t>Laidlaw</t>
  </si>
  <si>
    <t>Edwin &amp; Allison Landherr</t>
  </si>
  <si>
    <t>Baybrook</t>
  </si>
  <si>
    <t xml:space="preserve">1008 Vitex Dr #42 </t>
  </si>
  <si>
    <t>Siew</t>
  </si>
  <si>
    <t xml:space="preserve">2924 SE 20th Ave </t>
  </si>
  <si>
    <t xml:space="preserve">1129 SE 37th St </t>
  </si>
  <si>
    <t>Carcamo</t>
  </si>
  <si>
    <t xml:space="preserve">61 Mittenfeldstrasse  Goeppingen, DE 73035 </t>
  </si>
  <si>
    <t>Ezequiel Loredo &amp; Rose Philemon</t>
  </si>
  <si>
    <t xml:space="preserve">1728 NE 7th Pl </t>
  </si>
  <si>
    <t>Bay Meadow</t>
  </si>
  <si>
    <t>Moroney</t>
  </si>
  <si>
    <t>25-43-23-c3-02353.0260</t>
  </si>
  <si>
    <t>Kamler Connie Lynn Tr</t>
  </si>
  <si>
    <t>Delia Lazaro Sunega Revocable Living Trust</t>
  </si>
  <si>
    <t xml:space="preserve">10731 Upton Ave S </t>
  </si>
  <si>
    <t xml:space="preserve">3200 NE 15th Pl  Cape Coral, FL 33909 </t>
  </si>
  <si>
    <t>Khatchadourian</t>
  </si>
  <si>
    <t>29-43-26-05-00086.0050</t>
  </si>
  <si>
    <t>Schroyer</t>
  </si>
  <si>
    <t>Ligia Abreu</t>
  </si>
  <si>
    <t xml:space="preserve">12550 Watercress Ln  Fort Myers, FL 33908 </t>
  </si>
  <si>
    <t xml:space="preserve">4004 NE 20th Pl  Cape Coral, FL 33909 </t>
  </si>
  <si>
    <t>60625-9073</t>
  </si>
  <si>
    <t xml:space="preserve">287 E 18th St 2a </t>
  </si>
  <si>
    <t>Sunburst</t>
  </si>
  <si>
    <t>Vero Beach</t>
  </si>
  <si>
    <t>20-43-24-c2-05656.0430</t>
  </si>
  <si>
    <t xml:space="preserve">3738 Levy Ln </t>
  </si>
  <si>
    <t>03-44-26-02-00008.0090</t>
  </si>
  <si>
    <t>Angelo &amp; Antonio Mercone</t>
  </si>
  <si>
    <t>Scott</t>
  </si>
  <si>
    <t xml:space="preserve">14180 Carlotta St </t>
  </si>
  <si>
    <t xml:space="preserve">PO Box 1300  Port Bolivar, TX 77650-1300 </t>
  </si>
  <si>
    <t>Lana Wertz</t>
  </si>
  <si>
    <t>Robert &amp; Janet Desimone</t>
  </si>
  <si>
    <t>Cape Coral Unit 34 Blk.2419 Pb 16 Pg 75 Lots 11 + 12</t>
  </si>
  <si>
    <t>30-43-26-02-00029.0380</t>
  </si>
  <si>
    <t xml:space="preserve">8786 Pigeon Ky  Fort Myers, FL 33908 </t>
  </si>
  <si>
    <t>36-43-23-c2-02544.0420</t>
  </si>
  <si>
    <t>20850-4500</t>
  </si>
  <si>
    <t xml:space="preserve">1432 NE 33rd St </t>
  </si>
  <si>
    <t>19-43-24-c4-05561.0070</t>
  </si>
  <si>
    <t>Granada Subd Pb 8 Pg 10 Lot 4</t>
  </si>
  <si>
    <t>Telfort</t>
  </si>
  <si>
    <t xml:space="preserve">3462 Parmly Rd </t>
  </si>
  <si>
    <t>Lehigh Acres Unit 11 Blk 55 Pb 26 Pg 14 Lot 1</t>
  </si>
  <si>
    <t>19-43-24-c1-05576.0610</t>
  </si>
  <si>
    <t>Kenny</t>
  </si>
  <si>
    <t>37931-8004</t>
  </si>
  <si>
    <t xml:space="preserve">9380 Balada St  Fort Lauderdale, FL 33316 </t>
  </si>
  <si>
    <t xml:space="preserve">15 Brower Ln </t>
  </si>
  <si>
    <t xml:space="preserve">13223/225 1st St  Fort Myers, FL 33905 </t>
  </si>
  <si>
    <t>97041-7612</t>
  </si>
  <si>
    <t>Nieves</t>
  </si>
  <si>
    <t>Cypress Trail Rv Resort Ph 4-B As Desc In Inst# 2017000057565 Lot 310</t>
  </si>
  <si>
    <t>Euteneuer</t>
  </si>
  <si>
    <t>11-44-25-08-00000.2550</t>
  </si>
  <si>
    <t xml:space="preserve">2209 NE 14th Pl </t>
  </si>
  <si>
    <t>46062-7175</t>
  </si>
  <si>
    <t xml:space="preserve">14490 NW Whistler Ln </t>
  </si>
  <si>
    <t>25-43-23-c4-02355.0050</t>
  </si>
  <si>
    <t>Ronald Mones</t>
  </si>
  <si>
    <t xml:space="preserve">5731 Cypress Woods Resort Dr  Fort Myers, FL 33905 </t>
  </si>
  <si>
    <t>P P &amp; Marlene Olivieri</t>
  </si>
  <si>
    <t>Ft.Myers Shores Unit 6 Blk.60 Pb 17 Pg 75 Lots 44 + 45</t>
  </si>
  <si>
    <t xml:space="preserve">5484 Cypress Trail Resort Cir </t>
  </si>
  <si>
    <t>Urb Montalvo</t>
  </si>
  <si>
    <t>Brus</t>
  </si>
  <si>
    <t>Cape Coral Unit 85 Blk 5630 Pb 24 Pg 50 Lots 38 +39</t>
  </si>
  <si>
    <t>Ribeiro</t>
  </si>
  <si>
    <t>01-44-23-c3-02466.0010</t>
  </si>
  <si>
    <t xml:space="preserve">1018 S Riverside Dr  Elmhurst, IL 60126-4943 </t>
  </si>
  <si>
    <t>20-43-24-c2-05657.0230</t>
  </si>
  <si>
    <t>Pine Manor Unit 4 Blk 21 Pb 11 Pg 9 Lot 5 + N 1/2 Of Lt 6</t>
  </si>
  <si>
    <t>Payson</t>
  </si>
  <si>
    <t>Walter Sgonina</t>
  </si>
  <si>
    <t>16117-6831</t>
  </si>
  <si>
    <t xml:space="preserve">17 Tamiami Ct </t>
  </si>
  <si>
    <t xml:space="preserve">3905 NE 9th Ave </t>
  </si>
  <si>
    <t>33909-0907</t>
  </si>
  <si>
    <t xml:space="preserve">1818 NE 27th Ter  Cape Coral, FL 33909 </t>
  </si>
  <si>
    <t>Roberto &amp; Angela Ortiz</t>
  </si>
  <si>
    <t>Arra</t>
  </si>
  <si>
    <t>Marek &amp; Maria Winczewski</t>
  </si>
  <si>
    <t>Garry &amp; Cheryl Hull</t>
  </si>
  <si>
    <t>John &amp; Christine Wallace</t>
  </si>
  <si>
    <t xml:space="preserve">474 NE 2nd Pl  Cape Coral, FL 33909 </t>
  </si>
  <si>
    <t xml:space="preserve">705 Breton Way </t>
  </si>
  <si>
    <t xml:space="preserve">Gaspar E14-44 </t>
  </si>
  <si>
    <t>08406-2927</t>
  </si>
  <si>
    <t xml:space="preserve">2004 Exmoor Ct </t>
  </si>
  <si>
    <t xml:space="preserve">14070 Carlos St </t>
  </si>
  <si>
    <t>K9J 8S3</t>
  </si>
  <si>
    <t>Cape Coral Unit 60 Blk.4272 Pb 19 Pg 166 Lots 1 + 2</t>
  </si>
  <si>
    <t xml:space="preserve">142 White Birch Ln </t>
  </si>
  <si>
    <t xml:space="preserve">426 NE 20th St </t>
  </si>
  <si>
    <t xml:space="preserve">1914 NE 15th Ln </t>
  </si>
  <si>
    <t>20-43-24-c4-05637.0500</t>
  </si>
  <si>
    <t xml:space="preserve">44299 Princeton Dr </t>
  </si>
  <si>
    <t>Joseph Neff</t>
  </si>
  <si>
    <t xml:space="preserve">5845 Trailwood Ct  Suwanee, GA 30024-3316 </t>
  </si>
  <si>
    <t>74th</t>
  </si>
  <si>
    <t>Lehigh Acres Ut 1 W Pt Blk 3 Pb 26 Pg 2 Lot 31</t>
  </si>
  <si>
    <t>25-43-23-c2-02313.0190</t>
  </si>
  <si>
    <t>Kenneth Hurley</t>
  </si>
  <si>
    <t xml:space="preserve">28 Acre Dr </t>
  </si>
  <si>
    <t>Goddard</t>
  </si>
  <si>
    <t xml:space="preserve">1313 NE 2nd Ave  Cape Coral, FL 33909 </t>
  </si>
  <si>
    <t xml:space="preserve">857 San Borja Norte </t>
  </si>
  <si>
    <t>Walter Johnson</t>
  </si>
  <si>
    <t>Emma</t>
  </si>
  <si>
    <t>38255-4030</t>
  </si>
  <si>
    <t>Lehigh Acres Unit 1 Blk 3 Pb 26 Pg 2 Lot 37</t>
  </si>
  <si>
    <t>Lafemina</t>
  </si>
  <si>
    <t>32-43-24-c4-02200.0120</t>
  </si>
  <si>
    <t>46168-2142</t>
  </si>
  <si>
    <t>Elmira</t>
  </si>
  <si>
    <t>Bubble Shell</t>
  </si>
  <si>
    <t>Francois</t>
  </si>
  <si>
    <t>17-43-24-c4-05740.0350</t>
  </si>
  <si>
    <t xml:space="preserve">6049 Langdon Ave  Fort Myers, FL 33905 </t>
  </si>
  <si>
    <t xml:space="preserve">227 1/2 W 51st St  Los Angeles, CA 90037-3814 </t>
  </si>
  <si>
    <t>33901-5836</t>
  </si>
  <si>
    <t>Vasquez Gutierrez</t>
  </si>
  <si>
    <t>Maria Dejesus</t>
  </si>
  <si>
    <t xml:space="preserve">6048 Latimer Ave </t>
  </si>
  <si>
    <t>Manta</t>
  </si>
  <si>
    <t xml:space="preserve">19503 Kilfinan St </t>
  </si>
  <si>
    <t>Leo &amp; Aloisia Jan</t>
  </si>
  <si>
    <t xml:space="preserve">13426 SW 19th Ln  Miami, FL 33175-1039 </t>
  </si>
  <si>
    <t xml:space="preserve">3 Mineral Springs Ln </t>
  </si>
  <si>
    <t xml:space="preserve">Po Box 10651 </t>
  </si>
  <si>
    <t>Amber Meadow</t>
  </si>
  <si>
    <t>Slone</t>
  </si>
  <si>
    <t xml:space="preserve">6919 Bitternut Ln  Plainfield, IN 46168-8664 </t>
  </si>
  <si>
    <t>Dedieu</t>
  </si>
  <si>
    <t>32-43-24-c1-02189.0320</t>
  </si>
  <si>
    <t>Theresa &amp; Obrenski Aschenbrener</t>
  </si>
  <si>
    <t>Cape Coral Unit 84 Blk 5618 Pb 24 Pg 34 Lots 25 + 26</t>
  </si>
  <si>
    <t>32-43-24-c3-02215.0240</t>
  </si>
  <si>
    <t>36-44-23-c1-00924.0410</t>
  </si>
  <si>
    <t xml:space="preserve">PO Box 404  Palmer, PR 00721 </t>
  </si>
  <si>
    <t>Hector Alfaro</t>
  </si>
  <si>
    <t>Koons</t>
  </si>
  <si>
    <t>92647-5600</t>
  </si>
  <si>
    <t>Dutchtown Zion</t>
  </si>
  <si>
    <t>Cape Coral Unit 87 Blk 5694 Pb 24 Pg 81 Lots 49 + 50</t>
  </si>
  <si>
    <t>Ecker</t>
  </si>
  <si>
    <t>Tumbleweed</t>
  </si>
  <si>
    <t>Aleyamma</t>
  </si>
  <si>
    <t xml:space="preserve">2302 NE 21st Ter </t>
  </si>
  <si>
    <t>32-43-24-c4-02228.0090</t>
  </si>
  <si>
    <t>34476-6086</t>
  </si>
  <si>
    <t xml:space="preserve">15290 Codie St </t>
  </si>
  <si>
    <t>32920-6031</t>
  </si>
  <si>
    <t xml:space="preserve">855 Freedom Way  Cumming, GA 30040-6450 </t>
  </si>
  <si>
    <t>Jack Rex</t>
  </si>
  <si>
    <t xml:space="preserve">569 S Bayview Ave </t>
  </si>
  <si>
    <t>Saulsbury</t>
  </si>
  <si>
    <t>Clifton Park</t>
  </si>
  <si>
    <t>Guayano</t>
  </si>
  <si>
    <t>Beechwood</t>
  </si>
  <si>
    <t>10470-1322</t>
  </si>
  <si>
    <t>Dorota</t>
  </si>
  <si>
    <t>Cape Coral Unit 33 Blk 2179 Pb 16 Pg 53 Lots 47 48 + 49</t>
  </si>
  <si>
    <t xml:space="preserve">128 N Route 303 #3 </t>
  </si>
  <si>
    <t>07087-4205</t>
  </si>
  <si>
    <t>03-44-26-12-00065.0060</t>
  </si>
  <si>
    <t>03-44-26-14-00077.0050</t>
  </si>
  <si>
    <t>80601-5387</t>
  </si>
  <si>
    <t>01-44-23-c4-02411.0730</t>
  </si>
  <si>
    <t xml:space="preserve">3612 NE 17th Pl  Cape Coral, FL 33909 </t>
  </si>
  <si>
    <t xml:space="preserve">1017 Jacaranda Pkwy E  Cape Coral, FL 33909 </t>
  </si>
  <si>
    <t xml:space="preserve">923 NE 10th Ln  Cape Coral, FL 33909 </t>
  </si>
  <si>
    <t>01-44-23-c2-02430.0410</t>
  </si>
  <si>
    <t xml:space="preserve">3012 NE 2nd Pl  Cape Coral, FL 33909 </t>
  </si>
  <si>
    <t xml:space="preserve">2208 NE 9th Ave </t>
  </si>
  <si>
    <t xml:space="preserve">2117 NE 5th Pl  Cape Coral, FL 33909 </t>
  </si>
  <si>
    <t>Diversey</t>
  </si>
  <si>
    <t>Yajaira</t>
  </si>
  <si>
    <t>Hookstown</t>
  </si>
  <si>
    <t>H O H &amp; Mary Graeser</t>
  </si>
  <si>
    <t xml:space="preserve">1401 SE 36th St </t>
  </si>
  <si>
    <t>Slomczenski</t>
  </si>
  <si>
    <t xml:space="preserve">6081/6083 Latimer Ave </t>
  </si>
  <si>
    <t>24112-5702</t>
  </si>
  <si>
    <t>Mazariegos</t>
  </si>
  <si>
    <t xml:space="preserve">15384 George Washington </t>
  </si>
  <si>
    <t>Buckingham Pk Re Blk B U-3 Blk 13 Pb 27 Pg 190 Lot 31</t>
  </si>
  <si>
    <t>Wojciech Mucha &amp; Lukasz Cwiertniewicz</t>
  </si>
  <si>
    <t>Piela</t>
  </si>
  <si>
    <t xml:space="preserve">4032 NE 10th Pl  Cape Coral, FL 33909 </t>
  </si>
  <si>
    <t xml:space="preserve">2909 NE 4th Ave  Cape Coral, FL 33909 </t>
  </si>
  <si>
    <t xml:space="preserve">1829 NE 17th St  Cape Coral, FL 33909 </t>
  </si>
  <si>
    <t>Villa Flora</t>
  </si>
  <si>
    <t>St. Michael</t>
  </si>
  <si>
    <t>Cape Coral Unit 31 Blk 2063 Pb 14 Pg 162 Lots 27 + 28</t>
  </si>
  <si>
    <t>33909-3237</t>
  </si>
  <si>
    <t>11361-1143</t>
  </si>
  <si>
    <t xml:space="preserve">1020 NE 44th St </t>
  </si>
  <si>
    <t>44224-5112</t>
  </si>
  <si>
    <t xml:space="preserve">4117 NE 8th Pl  Cape Coral, FL 33909 </t>
  </si>
  <si>
    <t>Cowboy</t>
  </si>
  <si>
    <t xml:space="preserve">319 Diplomat Pkwy E </t>
  </si>
  <si>
    <t>Lila Escobar</t>
  </si>
  <si>
    <t xml:space="preserve">414 Stultz Dr  Walnut Cove, NC 27052-6974 </t>
  </si>
  <si>
    <t>Forest Oak</t>
  </si>
  <si>
    <t xml:space="preserve">Po Box 279 </t>
  </si>
  <si>
    <t xml:space="preserve">661 NW 182nd Way  Pembroke Pines, FL 33029-3691 </t>
  </si>
  <si>
    <t>05-44-24-c1-2211a.0390</t>
  </si>
  <si>
    <t xml:space="preserve">921 NE 5th Pl  Cape Coral, FL 33909 </t>
  </si>
  <si>
    <t xml:space="preserve">5311 Cypress Trail Resort Cir </t>
  </si>
  <si>
    <t>Cape Coral Unit 36 Pt 1 Blk 2546 Pb 23 Pg 94 Lots 13 + 14</t>
  </si>
  <si>
    <t>Sharen</t>
  </si>
  <si>
    <t>Chic Inn</t>
  </si>
  <si>
    <t>55371-6519</t>
  </si>
  <si>
    <t>Pantano</t>
  </si>
  <si>
    <t xml:space="preserve">823 NE 11th Ter </t>
  </si>
  <si>
    <t>For Philip &amp; Karen Arnholt Trust</t>
  </si>
  <si>
    <t>33186-7416</t>
  </si>
  <si>
    <t>42003-9218</t>
  </si>
  <si>
    <t>Golden Hill</t>
  </si>
  <si>
    <t>Mensur</t>
  </si>
  <si>
    <t>Cape Coral Unit 9 Blk 278 Pb 13 Pg 13 Lots 30 + 31</t>
  </si>
  <si>
    <t>Cape Coral Unit 85 Blk 5637 Pb 24 Pg 50 Lot 49</t>
  </si>
  <si>
    <t>25-43-23-c1-02349.0690</t>
  </si>
  <si>
    <t>Cape Coral Unit 32 Blk 2122 Pb 16 Pg 7 Lots 37 + 38</t>
  </si>
  <si>
    <t xml:space="preserve">1052 NE 17th Ave  Cape Coral, FL 33909 </t>
  </si>
  <si>
    <t>Brazeau</t>
  </si>
  <si>
    <t>06901-1713</t>
  </si>
  <si>
    <t>Rickford &amp; Vida Weeks</t>
  </si>
  <si>
    <t xml:space="preserve">36 Mount Cedar Ave  Wallington, NJ 07057-2013 </t>
  </si>
  <si>
    <t xml:space="preserve">124 Main St  Fruitland, IA 52749-9304 </t>
  </si>
  <si>
    <t xml:space="preserve">1705 NE 33rd Ln </t>
  </si>
  <si>
    <t>Nadezhda Thachenko</t>
  </si>
  <si>
    <t>Jayne Santoro</t>
  </si>
  <si>
    <t>Lehigh Acres Unit 12 Blk 60 Pb 26 Pg 16 Lot 19</t>
  </si>
  <si>
    <t xml:space="preserve">179 Silver Rose Cres </t>
  </si>
  <si>
    <t xml:space="preserve">1509 Everest Pkwy  Cape Coral, FL 33904 </t>
  </si>
  <si>
    <t>14057-9681</t>
  </si>
  <si>
    <t>Mackaboy Farms Resub Unrec Or 579 Pg 689 Lot 16</t>
  </si>
  <si>
    <t>33909-7368</t>
  </si>
  <si>
    <t>32-43-24-c2-02242.0030</t>
  </si>
  <si>
    <t>19-43-24-c2-05600.0250</t>
  </si>
  <si>
    <t xml:space="preserve">285 Somerworth Dr  Rochester, NY 14626-3662 </t>
  </si>
  <si>
    <t>Cape Coral Unit 25 Blk 888 Pb 14 Pg 91 Lots 14 + 15</t>
  </si>
  <si>
    <t xml:space="preserve">5331 Loon Nest Ct  Apollo Beach, FL 33572-3363 </t>
  </si>
  <si>
    <t>20740-2004</t>
  </si>
  <si>
    <t>Bleeker</t>
  </si>
  <si>
    <t>Gipson</t>
  </si>
  <si>
    <t>Huebl</t>
  </si>
  <si>
    <t>20-43-24-c4-05635.0410</t>
  </si>
  <si>
    <t xml:space="preserve">10425 Nightwood Dr  Fort Myers, FL 33905 </t>
  </si>
  <si>
    <t>Lockhart</t>
  </si>
  <si>
    <t xml:space="preserve">620 SE 32nd Ter </t>
  </si>
  <si>
    <t xml:space="preserve">3037 N Oakland Forest Dr #204, Oakland Park, FL 33309-7641 </t>
  </si>
  <si>
    <t xml:space="preserve">26 Gamewell Ln  Willingboro, NJ 08046-3008 </t>
  </si>
  <si>
    <t xml:space="preserve">17517 Berwick Tpke </t>
  </si>
  <si>
    <t>25-43-23-c1-02324.0370</t>
  </si>
  <si>
    <t xml:space="preserve">351 Moosehill Rd </t>
  </si>
  <si>
    <t>Steven &amp; Linda Crane</t>
  </si>
  <si>
    <t xml:space="preserve">917 NE 19th Ter </t>
  </si>
  <si>
    <t>Ashy Koshy</t>
  </si>
  <si>
    <t>29-43-24-c4-02286.0090</t>
  </si>
  <si>
    <t xml:space="preserve">6015 Stratton Rd  Fort Myers, FL 33905 </t>
  </si>
  <si>
    <t xml:space="preserve">42 Southview Way </t>
  </si>
  <si>
    <t>Kamrus</t>
  </si>
  <si>
    <t>Siwaeard</t>
  </si>
  <si>
    <t>M9C 4S9</t>
  </si>
  <si>
    <t>Maria Carrillo</t>
  </si>
  <si>
    <t>North Grafton</t>
  </si>
  <si>
    <t>33909-9200</t>
  </si>
  <si>
    <t xml:space="preserve">1801 NE 17th St  Cape Coral, FL 33909 </t>
  </si>
  <si>
    <t>Sanjuan</t>
  </si>
  <si>
    <t xml:space="preserve">1128 Darlene Ave </t>
  </si>
  <si>
    <t>60031-4494</t>
  </si>
  <si>
    <t xml:space="preserve">10227 Butterweed Trl </t>
  </si>
  <si>
    <t>Linaro</t>
  </si>
  <si>
    <t>Fossum</t>
  </si>
  <si>
    <t>31-43-24-c1-02149.0060</t>
  </si>
  <si>
    <t>Olivos</t>
  </si>
  <si>
    <t>11-44-25-04-0000b.0980</t>
  </si>
  <si>
    <t>03-44-26-01-00001.0070</t>
  </si>
  <si>
    <t>32-43-24-c4-02224.0150</t>
  </si>
  <si>
    <t>Tyshire</t>
  </si>
  <si>
    <t>Andrea</t>
  </si>
  <si>
    <t>07201-1012</t>
  </si>
  <si>
    <t xml:space="preserve">5307 Cypress Trail Resort Cir </t>
  </si>
  <si>
    <t>Center Ridge</t>
  </si>
  <si>
    <t>33909-6145</t>
  </si>
  <si>
    <t>Berger</t>
  </si>
  <si>
    <t>27612-6386</t>
  </si>
  <si>
    <t>Rabatin-Pope</t>
  </si>
  <si>
    <t>Cape Coral Unit 36 Pt 1 Blk 2476 Pb 23 Pg 89 Lots 45 Thru 48</t>
  </si>
  <si>
    <t xml:space="preserve">15251 N 45th Pl </t>
  </si>
  <si>
    <t xml:space="preserve">Po Box 2474 </t>
  </si>
  <si>
    <t>Bhisham Dhanessur</t>
  </si>
  <si>
    <t>Mcgonagle</t>
  </si>
  <si>
    <t>48198-3192</t>
  </si>
  <si>
    <t>03-44-26-12-00061.0120</t>
  </si>
  <si>
    <t>33909-8826</t>
  </si>
  <si>
    <t>17-43-24-c3-05784.0050</t>
  </si>
  <si>
    <t>33909-2891</t>
  </si>
  <si>
    <t>American &amp; Julie Rogers</t>
  </si>
  <si>
    <t>Cape Coral Unit 17 Blk.1495 Pb 14 Pg 29 Lots 5 + 6</t>
  </si>
  <si>
    <t>33183-2079</t>
  </si>
  <si>
    <t>Sandra Garibaldi</t>
  </si>
  <si>
    <t xml:space="preserve">17 Rue De La Penze  Landivisiau, FR </t>
  </si>
  <si>
    <t>Leisa</t>
  </si>
  <si>
    <t xml:space="preserve">4140 NE 21st Pl  Cape Coral, FL 33909 </t>
  </si>
  <si>
    <t>18-43-24-c3-05713.0070</t>
  </si>
  <si>
    <t>Gay-Bey</t>
  </si>
  <si>
    <t xml:space="preserve">1214 Big Sky Dr </t>
  </si>
  <si>
    <t>Ralph &amp; For Doehlert</t>
  </si>
  <si>
    <t>52531-1709</t>
  </si>
  <si>
    <t>29666-8787</t>
  </si>
  <si>
    <t>Sue</t>
  </si>
  <si>
    <t>Henness &amp; Te-Hui Hao</t>
  </si>
  <si>
    <t xml:space="preserve">128 Jacaranda Pkwy E </t>
  </si>
  <si>
    <t xml:space="preserve">10062 Rambelwood Ct  Fort Myers, FL 33905 </t>
  </si>
  <si>
    <t>Fox</t>
  </si>
  <si>
    <t xml:space="preserve">1739 NE 1st Ave  Cape Coral, FL 33909 </t>
  </si>
  <si>
    <t xml:space="preserve">600 NE 20th St </t>
  </si>
  <si>
    <t>Pondella Heights Unit 2 Blk 3 Pb 12 Pg 25 Lot 14</t>
  </si>
  <si>
    <t xml:space="preserve">1821 NE 21st Pl </t>
  </si>
  <si>
    <t>Salvacion</t>
  </si>
  <si>
    <t>Joan Morris &amp; Troy Graves</t>
  </si>
  <si>
    <t xml:space="preserve">1401 NE 3rd Ter </t>
  </si>
  <si>
    <t>33168-4155</t>
  </si>
  <si>
    <t>11-44-25-06-0000d.1280</t>
  </si>
  <si>
    <t xml:space="preserve">1226 NE 10th St </t>
  </si>
  <si>
    <t>Aaron &amp; Jenelle Castilla</t>
  </si>
  <si>
    <t xml:space="preserve">3522 SE 17th Pl  Cape Coral, FL 33904 </t>
  </si>
  <si>
    <t xml:space="preserve">6622 3rd Lane  Fergus, ON N1m 2W4 </t>
  </si>
  <si>
    <t xml:space="preserve">1318 S Gator Cir </t>
  </si>
  <si>
    <t>John Trumbetto</t>
  </si>
  <si>
    <t>Cape Coral Unit 34 Blk 2437 Pb 16 Pg 82 Lots 79 + 80</t>
  </si>
  <si>
    <t>William &amp; Marie Bonczek</t>
  </si>
  <si>
    <t>Abanto</t>
  </si>
  <si>
    <t>60060-9129</t>
  </si>
  <si>
    <t>Guy Bach</t>
  </si>
  <si>
    <t xml:space="preserve">20191 E Country Club Dr #1005, Miami, FL 33180-3018 </t>
  </si>
  <si>
    <t>11-44-25-09-00000.2000</t>
  </si>
  <si>
    <t>34293-2113</t>
  </si>
  <si>
    <t>33326-2996</t>
  </si>
  <si>
    <t>Tower</t>
  </si>
  <si>
    <t>36-43-23-c2-02528.0320</t>
  </si>
  <si>
    <t>Carl &amp; Caroline Barrato</t>
  </si>
  <si>
    <t>Cape Coral Unit 87 Blk 5713 Pb 24 Pg 71 Lot 17 + 18</t>
  </si>
  <si>
    <t>Repentigny</t>
  </si>
  <si>
    <t>Alba Mesa</t>
  </si>
  <si>
    <t xml:space="preserve">222 Tropicana Pkwy E  Cape Coral, FL 33909 </t>
  </si>
  <si>
    <t>03825-7000</t>
  </si>
  <si>
    <t>Keeley</t>
  </si>
  <si>
    <t xml:space="preserve">1529 Birmingham St  Halifax, NS B3j 2J6 </t>
  </si>
  <si>
    <t xml:space="preserve">3207 Adele Ter  Commerce Township, MI 48382-4403 </t>
  </si>
  <si>
    <t xml:space="preserve">8289 Mississippi Blvd NW </t>
  </si>
  <si>
    <t>Cape Coral Unit 87 Blk 5713 Pb 24 Pg 71 Lots 1 + 2</t>
  </si>
  <si>
    <t>Echenique</t>
  </si>
  <si>
    <t>Habib</t>
  </si>
  <si>
    <t>Ernesto Diaz &amp; Yolaidys Perez</t>
  </si>
  <si>
    <t xml:space="preserve">3826 Highlight St  Fort Myers, FL 33905 </t>
  </si>
  <si>
    <t>Staten Island</t>
  </si>
  <si>
    <t>Krystyna Sutcliffe &amp; Claudia Mcclory</t>
  </si>
  <si>
    <t xml:space="preserve">2748 NE 6th Pl </t>
  </si>
  <si>
    <t>Cape Coral Unit 36 Blk 2527 Pb 16 Pg 114 Lots 18 + 19</t>
  </si>
  <si>
    <t xml:space="preserve">2609 NE 19th Ave </t>
  </si>
  <si>
    <t>33909-0902</t>
  </si>
  <si>
    <t>George &amp; For Gatto</t>
  </si>
  <si>
    <t xml:space="preserve">1005 NE 9th Ter </t>
  </si>
  <si>
    <t xml:space="preserve">20233 Naglee Rd </t>
  </si>
  <si>
    <t xml:space="preserve">3914 SE 20th Ave  Cape Coral, FL 33904 </t>
  </si>
  <si>
    <t>11-44-25-04-0000b.0730</t>
  </si>
  <si>
    <t>01-44-23-c4-02468.0280</t>
  </si>
  <si>
    <t xml:space="preserve">1013 NE 16th Ter  Cape Coral, FL 33909 </t>
  </si>
  <si>
    <t>Kathleen Collum</t>
  </si>
  <si>
    <t>Lehigh Acres Unit 5 Blk 25 Pb 26 Pg 32 Lot 13</t>
  </si>
  <si>
    <t xml:space="preserve">2445 83rd St </t>
  </si>
  <si>
    <t>Cecile</t>
  </si>
  <si>
    <t>Eldon</t>
  </si>
  <si>
    <t>107th</t>
  </si>
  <si>
    <t xml:space="preserve">1614 NE 2nd Ave  Cape Coral, FL 33909 </t>
  </si>
  <si>
    <t xml:space="preserve">Po Box 342 </t>
  </si>
  <si>
    <t>91732-2542</t>
  </si>
  <si>
    <t xml:space="preserve">495 County Route 515 </t>
  </si>
  <si>
    <t>26062-3300</t>
  </si>
  <si>
    <t>R053</t>
  </si>
  <si>
    <t>33909-4259</t>
  </si>
  <si>
    <t xml:space="preserve">3230 60th St SW  Naples, FL 34116-7413 </t>
  </si>
  <si>
    <t>Dadilde</t>
  </si>
  <si>
    <t>Panuelos</t>
  </si>
  <si>
    <t>Diana Richards-Eichorn &amp; Katherine Havle</t>
  </si>
  <si>
    <t>11201-2875</t>
  </si>
  <si>
    <t xml:space="preserve">1791 SW Angelo St </t>
  </si>
  <si>
    <t>85296-9531</t>
  </si>
  <si>
    <t>Cape Coral Unit 34 Blk 2457 Pb 16 Pg 83 Lots 47 + 48</t>
  </si>
  <si>
    <t xml:space="preserve">11331 Dupont Rd  Hibbing, MN 55746-8212 </t>
  </si>
  <si>
    <t>10309-2420</t>
  </si>
  <si>
    <t>Camiel</t>
  </si>
  <si>
    <t>Hueber</t>
  </si>
  <si>
    <t>Evan &amp; Juliann Marchant</t>
  </si>
  <si>
    <t xml:space="preserve">5081 D'angora Rue #407, Terrebonne, QC J6x 0J3 </t>
  </si>
  <si>
    <t xml:space="preserve">331 Kresson Gibbsboro Rd  Voorhees, NJ 08043-9570 </t>
  </si>
  <si>
    <t xml:space="preserve">1205 NE 7th Ave  Cape Coral, FL 33909 </t>
  </si>
  <si>
    <t>Joseph &amp; Meta Swierk</t>
  </si>
  <si>
    <t>Kalaheo</t>
  </si>
  <si>
    <t>Labadie</t>
  </si>
  <si>
    <t>Orion</t>
  </si>
  <si>
    <t>Alfons Vandenbroeck</t>
  </si>
  <si>
    <t>Rodriguez-Dorta</t>
  </si>
  <si>
    <t>Craig Mitchell</t>
  </si>
  <si>
    <t xml:space="preserve">2645 Laramie Cir </t>
  </si>
  <si>
    <t>17-43-24-c4-05760.0440</t>
  </si>
  <si>
    <t xml:space="preserve">2222 NE 24th Ter </t>
  </si>
  <si>
    <t xml:space="preserve">3715 NE 12th Ave </t>
  </si>
  <si>
    <t xml:space="preserve">3746 Hyde Park Dr </t>
  </si>
  <si>
    <t xml:space="preserve">7705 Bank Street Rd </t>
  </si>
  <si>
    <t xml:space="preserve">PO Box 164  Ridgeway, SC 29130 </t>
  </si>
  <si>
    <t xml:space="preserve">943 Grassmeade Way  Snellville, GA 30078-2116 </t>
  </si>
  <si>
    <t>Little Creek</t>
  </si>
  <si>
    <t>25-43-23-c4-02300.a430</t>
  </si>
  <si>
    <t xml:space="preserve">229 Serenade Ct  Schaumburg, IL 60193-2834 </t>
  </si>
  <si>
    <t>34-43-24-01-00019.0030</t>
  </si>
  <si>
    <t>Struzynski</t>
  </si>
  <si>
    <t>Poinciana</t>
  </si>
  <si>
    <t>01-44-23-c2-02457.0090</t>
  </si>
  <si>
    <t>17-43-24-c1-05816.0110</t>
  </si>
  <si>
    <t xml:space="preserve">1525 Arthur St  Hollywood, FL 33020-3744 </t>
  </si>
  <si>
    <t>Froelich</t>
  </si>
  <si>
    <t>Cape Coral Unit 85 Blk 5671 Pb 24 Pg 54 Lots 70 + 71</t>
  </si>
  <si>
    <t xml:space="preserve">2530 NE 6th Ave  Cape Coral, FL 33909 </t>
  </si>
  <si>
    <t xml:space="preserve">221 Hemlock Ter </t>
  </si>
  <si>
    <t>Lake Mary</t>
  </si>
  <si>
    <t xml:space="preserve">2 NE 20th St  Cape Coral, FL 33909 </t>
  </si>
  <si>
    <t xml:space="preserve">6 Alexandria Way </t>
  </si>
  <si>
    <t xml:space="preserve">1011 NE 23rd St  Cape Coral, FL 33909 </t>
  </si>
  <si>
    <t>Clare</t>
  </si>
  <si>
    <t xml:space="preserve">1803 NE 26th Ter  Cape Coral, FL 33909 </t>
  </si>
  <si>
    <t>Morrell</t>
  </si>
  <si>
    <t>Seecharan</t>
  </si>
  <si>
    <t>Cape Coral Unit 84 Blk 5600 Pb 24 Pg 43 Lots 45 + 46</t>
  </si>
  <si>
    <t>1b</t>
  </si>
  <si>
    <t>Darbhanga</t>
  </si>
  <si>
    <t xml:space="preserve">3693 Heron Ridge Ln </t>
  </si>
  <si>
    <t>Rs-7</t>
  </si>
  <si>
    <t>33909-6483</t>
  </si>
  <si>
    <t xml:space="preserve">42 Celler Ave  New Hyde Park, NY 11040-2015 </t>
  </si>
  <si>
    <t>15801-9012</t>
  </si>
  <si>
    <t xml:space="preserve">5838 Burrwood Ct </t>
  </si>
  <si>
    <t>20-43-24-c3-05671.0170</t>
  </si>
  <si>
    <t>89052-3865</t>
  </si>
  <si>
    <t>Lehigh Acres Unit 1 Blk 4 Pb 26 Pg 2 Lot 14</t>
  </si>
  <si>
    <t xml:space="preserve">133 D  Truxton, NY 13158 </t>
  </si>
  <si>
    <t>Park Central</t>
  </si>
  <si>
    <t xml:space="preserve">309 NE 31st Ter </t>
  </si>
  <si>
    <t>Pass</t>
  </si>
  <si>
    <t>Lehigh Acres Unit 2 Blk 10 Pb 26 Pg 4 Lot 11</t>
  </si>
  <si>
    <t>Ledezma</t>
  </si>
  <si>
    <t xml:space="preserve">1507 NE 36th Ln </t>
  </si>
  <si>
    <t xml:space="preserve">790 Front Mountain Rd </t>
  </si>
  <si>
    <t>32-43-24-c2-02236.0190</t>
  </si>
  <si>
    <t>Martins</t>
  </si>
  <si>
    <t>Gustavo Mejia</t>
  </si>
  <si>
    <t>Eunice</t>
  </si>
  <si>
    <t>33909-8875</t>
  </si>
  <si>
    <t xml:space="preserve">5020 Harborage Dr </t>
  </si>
  <si>
    <t>Curtis &amp; Rosemary Dunn Tru</t>
  </si>
  <si>
    <t>PO Box 7463</t>
  </si>
  <si>
    <t xml:space="preserve">6167 Eldridge Blvd  Bedford, OH 44146-4002 </t>
  </si>
  <si>
    <t xml:space="preserve">3906 SE 11th Pl  Cape Coral, FL 33904 </t>
  </si>
  <si>
    <t xml:space="preserve">2365 Wahoo Dr </t>
  </si>
  <si>
    <t>Cape Coral Unit 32 Blk 2101 Pb 16 Pg 5 Lots 31 + 32</t>
  </si>
  <si>
    <t>34-43-24-01-00046.0010</t>
  </si>
  <si>
    <t>Kochis</t>
  </si>
  <si>
    <t xml:space="preserve">1465 E 101st St  Brooklyn, NY 11236-5507 </t>
  </si>
  <si>
    <t>11236-5507</t>
  </si>
  <si>
    <t>Cape Coral Unit 33 Blk 2283 Pb 16 Pg 59 Lots 38 + 39</t>
  </si>
  <si>
    <t>33909-3521</t>
  </si>
  <si>
    <t>Tam Nguyen</t>
  </si>
  <si>
    <t xml:space="preserve">1481 Henderson Rd </t>
  </si>
  <si>
    <t>Rockledge</t>
  </si>
  <si>
    <t xml:space="preserve">1814 NE 4th Pl </t>
  </si>
  <si>
    <t xml:space="preserve">8 Lincoln Dr </t>
  </si>
  <si>
    <t xml:space="preserve">6501 Pine St  Fort Myers, FL 33905 </t>
  </si>
  <si>
    <t>Sharlene</t>
  </si>
  <si>
    <t>12-44-23-c1-02369.0220</t>
  </si>
  <si>
    <t>Whitcraft</t>
  </si>
  <si>
    <t xml:space="preserve">1 Katzenhagen </t>
  </si>
  <si>
    <t>Cape Coral Unit 32 Blk 2138 Pb 16 Pg 9 Lots 23 + 24</t>
  </si>
  <si>
    <t xml:space="preserve">33 35 banool Rd #5 </t>
  </si>
  <si>
    <t>25-43-23-c1-02322.0030</t>
  </si>
  <si>
    <t>Jacob</t>
  </si>
  <si>
    <t>33909-5260</t>
  </si>
  <si>
    <t xml:space="preserve">9 Cedar Dr  Danbury, CT 06811-3301 </t>
  </si>
  <si>
    <t xml:space="preserve">1716 NE 6th Ave  Cape Coral, FL 33909 </t>
  </si>
  <si>
    <t xml:space="preserve">10026 Parkwood Dr </t>
  </si>
  <si>
    <t xml:space="preserve">6123 Holt Ct  Fort Myers, FL 33905 </t>
  </si>
  <si>
    <t>Angel Ferro</t>
  </si>
  <si>
    <t>Orland Park</t>
  </si>
  <si>
    <t>Lake Toxaway</t>
  </si>
  <si>
    <t>07871-1417</t>
  </si>
  <si>
    <t>31-43-24-c2-02127.0050</t>
  </si>
  <si>
    <t xml:space="preserve">11380 Biscayne Blvd #146 </t>
  </si>
  <si>
    <t>Fort Pierce</t>
  </si>
  <si>
    <t>93662-9520</t>
  </si>
  <si>
    <t>Grannis</t>
  </si>
  <si>
    <t>Palmona Park Unit 2 Blk 25 Pb 7 Pg 56 Lot 23</t>
  </si>
  <si>
    <t xml:space="preserve">15931 SW 96th Ter </t>
  </si>
  <si>
    <t xml:space="preserve">5 A  Colorado Springs, CO 80935 </t>
  </si>
  <si>
    <t>Douglas Schnabel &amp; Cindy Schnable</t>
  </si>
  <si>
    <t>Lin Fu</t>
  </si>
  <si>
    <t>33909-4205</t>
  </si>
  <si>
    <t>Fish Hawk</t>
  </si>
  <si>
    <t>18-43-24-c2-05739.0310</t>
  </si>
  <si>
    <t xml:space="preserve">1111 NE 18th Ave  Cape Coral, FL 33909 </t>
  </si>
  <si>
    <t>Princeton</t>
  </si>
  <si>
    <t>33909-1439</t>
  </si>
  <si>
    <t>Cape Coral Unit 33 Blk.2287 Pb 16 Pg 57 Lots 23 + 24</t>
  </si>
  <si>
    <t>03-44-26-06-00031.0070</t>
  </si>
  <si>
    <t xml:space="preserve">950 E 28th St  Paterson, NJ 07513-1302 </t>
  </si>
  <si>
    <t>Faren</t>
  </si>
  <si>
    <t>17-43-24-c1-05825.0080</t>
  </si>
  <si>
    <t>Doan</t>
  </si>
  <si>
    <t>Evaline &amp; For Williams</t>
  </si>
  <si>
    <t>Schooner</t>
  </si>
  <si>
    <t>33449-8319</t>
  </si>
  <si>
    <t>33909-4597</t>
  </si>
  <si>
    <t>Manuel Torres</t>
  </si>
  <si>
    <t>Cape Coral Unit 36 Blk 2333 Pb 16 Pg 130 Lots 25 + 26</t>
  </si>
  <si>
    <t>Cape Coral Unit 35 Blk 2363 Pb 16 Pg 105 Lots 3 + 4</t>
  </si>
  <si>
    <t xml:space="preserve">218 Bostick Rd </t>
  </si>
  <si>
    <t>Cape Coral Unit 36 Blk 2302 Pb 16 Pg 122 Lots 15 + 16</t>
  </si>
  <si>
    <t>33905-8739</t>
  </si>
  <si>
    <t>Vesper</t>
  </si>
  <si>
    <t xml:space="preserve">106 Paxford Ct </t>
  </si>
  <si>
    <t>Hanford</t>
  </si>
  <si>
    <t>Cape Coral Unit 47 Pt 2 Blk 3531 Pb 23 Pg 121 Lots 3 + 4</t>
  </si>
  <si>
    <t>Cape Coral Unit 36 Blk 2316 Pb 16 Pg 126 Lots 21 + 22</t>
  </si>
  <si>
    <t xml:space="preserve">1303 NE 6th Ave  Cape Coral, FL 33909 </t>
  </si>
  <si>
    <t>Hendon</t>
  </si>
  <si>
    <t>19-43-24-c1-05569.0230</t>
  </si>
  <si>
    <t xml:space="preserve">1518 39th St 2r </t>
  </si>
  <si>
    <t>33909-2690</t>
  </si>
  <si>
    <t>33908-2808</t>
  </si>
  <si>
    <t xml:space="preserve">3862 Highlight St  Fort Myers, FL 33905 </t>
  </si>
  <si>
    <t>Saint-Michel-Des-Saints</t>
  </si>
  <si>
    <t xml:space="preserve">3829 NE 19th Ave </t>
  </si>
  <si>
    <t xml:space="preserve">2117 SE 36th Ter </t>
  </si>
  <si>
    <t>Cape Coral Unit 35 Blk 2412 Pb 16 Pg 109 Lots 66 + 67</t>
  </si>
  <si>
    <t xml:space="preserve">1809 NE 34th Ln  Cape Coral, FL 33909 </t>
  </si>
  <si>
    <t>Roehler</t>
  </si>
  <si>
    <t>Simms</t>
  </si>
  <si>
    <t>Clendenny</t>
  </si>
  <si>
    <t xml:space="preserve">24 Skyline Dr </t>
  </si>
  <si>
    <t>33909-1924</t>
  </si>
  <si>
    <t>Cape Coral Unit 85 Blk 5664 Pb 24 Pg 58 Lots 11 Thru 13</t>
  </si>
  <si>
    <t>Fort Mill</t>
  </si>
  <si>
    <t>36-43-23-c1-02520.0500</t>
  </si>
  <si>
    <t>Thompson Mill</t>
  </si>
  <si>
    <t>99515-4002</t>
  </si>
  <si>
    <t>Richards</t>
  </si>
  <si>
    <t>Morabito</t>
  </si>
  <si>
    <t>Cape Coral Unit 36 Pt 1 Blk 2489 Pb 23 Pg 88 Lots 39 + 40</t>
  </si>
  <si>
    <t xml:space="preserve">1321 NE Juanita Pl </t>
  </si>
  <si>
    <t>Kang-Ni</t>
  </si>
  <si>
    <t>Jaquet</t>
  </si>
  <si>
    <t xml:space="preserve">1026 NE 5th Pl  Cape Coral, FL 33909 </t>
  </si>
  <si>
    <t xml:space="preserve">58 Cabana Ave </t>
  </si>
  <si>
    <t>Wiltrud</t>
  </si>
  <si>
    <t>Cypress Trail Rv Resort As Desc In Inst# 2013000212499 Lot 471</t>
  </si>
  <si>
    <t>Cape Coral Unit 36 Blk 2310 Pb 16 Pg 120 Lots 45 + 46</t>
  </si>
  <si>
    <t>Valerie Chung</t>
  </si>
  <si>
    <t xml:space="preserve">924 NE 20th St  Cape Coral, FL 33909 </t>
  </si>
  <si>
    <t>Luzado</t>
  </si>
  <si>
    <t xml:space="preserve">8611 Buckingham Rd </t>
  </si>
  <si>
    <t>B804</t>
  </si>
  <si>
    <t xml:space="preserve">1113 NE 9th St </t>
  </si>
  <si>
    <t xml:space="preserve">1384 Laurel Dr </t>
  </si>
  <si>
    <t>Towne</t>
  </si>
  <si>
    <t xml:space="preserve">1210 NE 8th Pl </t>
  </si>
  <si>
    <t xml:space="preserve">5028 45th St W  Bradenton, FL 34210-2973 </t>
  </si>
  <si>
    <t>04-44-25-05-00004.0010</t>
  </si>
  <si>
    <t xml:space="preserve">6150 Stratton Rd  Fort Myers, FL 33905 </t>
  </si>
  <si>
    <t>Cristina</t>
  </si>
  <si>
    <t xml:space="preserve">2146 NE 26th St </t>
  </si>
  <si>
    <t xml:space="preserve">410 NE 23rd Ave </t>
  </si>
  <si>
    <t>Cape Coral Unit 36 Pt 1 Blk 2546 Pb 23 Pg 94 Lots 11 + 12</t>
  </si>
  <si>
    <t>Wethersfield</t>
  </si>
  <si>
    <t>33909-3374</t>
  </si>
  <si>
    <t>Harvest Grove</t>
  </si>
  <si>
    <t>Xingcheng</t>
  </si>
  <si>
    <t xml:space="preserve">4026 NE 22nd Pl  Cape Coral, FL 33909 </t>
  </si>
  <si>
    <t>Five Oaks</t>
  </si>
  <si>
    <t>Mattapan</t>
  </si>
  <si>
    <t>Pucci</t>
  </si>
  <si>
    <t xml:space="preserve">974 Pace Dr NW </t>
  </si>
  <si>
    <t>Avenue Moscicki</t>
  </si>
  <si>
    <t>6a</t>
  </si>
  <si>
    <t xml:space="preserve">6312 Wolf Rd  Indian Head Park, IL 60525-4367 </t>
  </si>
  <si>
    <t>Cape Coral Unit 13 Blk.500 Pb 13 Pg 58 Lots 19 + 20</t>
  </si>
  <si>
    <t>Rotonda West</t>
  </si>
  <si>
    <t>33023-4420</t>
  </si>
  <si>
    <t xml:space="preserve">215 Lockwood Ct  Annapolis, MD 21403-2446 </t>
  </si>
  <si>
    <t>36-43-23-c2-02292.0360</t>
  </si>
  <si>
    <t>19438-2368</t>
  </si>
  <si>
    <t>Stefany</t>
  </si>
  <si>
    <t xml:space="preserve">6020 Langdon Ave  Fort Myers, FL 33905 </t>
  </si>
  <si>
    <t>Columbus</t>
  </si>
  <si>
    <t>11-44-25-08-00000.1970</t>
  </si>
  <si>
    <t>19-43-24-c1-05550.0230</t>
  </si>
  <si>
    <t>Cape Coral Unit 85 Blk 5639 Pb 24 Pg 51 Lots 9 + 10</t>
  </si>
  <si>
    <t xml:space="preserve">100 Quail Run  Sedona, AZ 86336-7007 </t>
  </si>
  <si>
    <t xml:space="preserve">15321 Cemetery Rd  Fort Myers, FL 33905 </t>
  </si>
  <si>
    <t xml:space="preserve">1078 Sunmeadow Cir  Franklin, IN 46131-7373 </t>
  </si>
  <si>
    <t xml:space="preserve">10751 Wellington Ln N </t>
  </si>
  <si>
    <t>Cape Coral Unit 12 Blk.596 Pb 13 Pg 55 Lots 9 + 10</t>
  </si>
  <si>
    <t xml:space="preserve">20811 San Simeon Way #101 </t>
  </si>
  <si>
    <t>Sterling &amp; Timothy Dennis</t>
  </si>
  <si>
    <t xml:space="preserve">15061 Stadler Rd  Sterling Heights, MI 48313-5651 </t>
  </si>
  <si>
    <t>Criswell</t>
  </si>
  <si>
    <t>Alberta Wilson &amp; Elfrieda Bell</t>
  </si>
  <si>
    <t>Casa 165</t>
  </si>
  <si>
    <t>Cape Coral Unit 84 Blk 5587 Pb 24 Pg 44 Lots 19 + 20</t>
  </si>
  <si>
    <t xml:space="preserve">1830 NE 10th Pl </t>
  </si>
  <si>
    <t>Cape Coral Unit 85 Blk 5633 Pb 24 Pg 51 Lot 55</t>
  </si>
  <si>
    <t>Mihaliak</t>
  </si>
  <si>
    <t>Cape Coral Unit 25 Blk 888 Pb 14 Pg 91 Lots 12 + 13</t>
  </si>
  <si>
    <t xml:space="preserve">5630 Cypress Woods Resort Dr </t>
  </si>
  <si>
    <t xml:space="preserve">4309 NE 21st Ave </t>
  </si>
  <si>
    <t xml:space="preserve">10091 Stonewood Dr </t>
  </si>
  <si>
    <t>Whitemarsh</t>
  </si>
  <si>
    <t>Burns</t>
  </si>
  <si>
    <t>Sabrina</t>
  </si>
  <si>
    <t>11-44-25-04-0000b.0240</t>
  </si>
  <si>
    <t xml:space="preserve">1721 NE 5th Pl  Cape Coral, FL 33909 </t>
  </si>
  <si>
    <t>Cape Coral Unit 34 Blk.2390 Pb 16 Pg 80 Lots 17 + 18</t>
  </si>
  <si>
    <t xml:space="preserve">7 Corners Ctr #223, Falls Church, VA 22044 </t>
  </si>
  <si>
    <t>Lindgren</t>
  </si>
  <si>
    <t xml:space="preserve">6661 SW 137th Ct A, Miami, FL 33183-2260 </t>
  </si>
  <si>
    <t>Nedo</t>
  </si>
  <si>
    <t>11201-5440</t>
  </si>
  <si>
    <t xml:space="preserve">102 George Rogers Rd </t>
  </si>
  <si>
    <t>Cape Coral Unit 26 Blk 916 Pb 14 Pg 133 Lots 15 + 16</t>
  </si>
  <si>
    <t>54017-6504</t>
  </si>
  <si>
    <t>33905-7712</t>
  </si>
  <si>
    <t>Mcminn</t>
  </si>
  <si>
    <t>Pomeroy</t>
  </si>
  <si>
    <t>19-43-24-c2-05605.0530</t>
  </si>
  <si>
    <t>Magaly</t>
  </si>
  <si>
    <t xml:space="preserve">3140 NE 15th Pl  Cape Coral, FL 33909 </t>
  </si>
  <si>
    <t xml:space="preserve">940 E Kingsbury St </t>
  </si>
  <si>
    <t>Leggett</t>
  </si>
  <si>
    <t>Savatri Ramlogan</t>
  </si>
  <si>
    <t xml:space="preserve">14181 Chetwood St  Fort Myers, FL 33905 </t>
  </si>
  <si>
    <t>31-43-24-c3-02119.0550</t>
  </si>
  <si>
    <t>Jambes</t>
  </si>
  <si>
    <t>32-43-24-c3-02229.0490</t>
  </si>
  <si>
    <t xml:space="preserve">6145 Bathey Ln </t>
  </si>
  <si>
    <t>33176-1162</t>
  </si>
  <si>
    <t>Osmany</t>
  </si>
  <si>
    <t>Michael &amp; For Mcmahon</t>
  </si>
  <si>
    <t xml:space="preserve">Im Bindschadler #32, Erlenbach, CH 00000 </t>
  </si>
  <si>
    <t>Aneesa</t>
  </si>
  <si>
    <t xml:space="preserve">14621 Lakecrest Dr </t>
  </si>
  <si>
    <t xml:space="preserve">15966 SW 147th Ln </t>
  </si>
  <si>
    <t>C031</t>
  </si>
  <si>
    <t xml:space="preserve">1307 NE 20th Ave </t>
  </si>
  <si>
    <t>Lantana</t>
  </si>
  <si>
    <t>Gregory &amp; For Gowdy</t>
  </si>
  <si>
    <t>Cancelado</t>
  </si>
  <si>
    <t>33909-1777</t>
  </si>
  <si>
    <t>19-43-24-c4-05564.0010</t>
  </si>
  <si>
    <t>South Lyon</t>
  </si>
  <si>
    <t>Carpenter</t>
  </si>
  <si>
    <t xml:space="preserve">1390 Quinlan Ave S  Lakeland, MN 55043-8708 </t>
  </si>
  <si>
    <t>11236-4622</t>
  </si>
  <si>
    <t>Birchwood</t>
  </si>
  <si>
    <t>Raymond Chapman &amp; Raymond For</t>
  </si>
  <si>
    <t>Diana Molina</t>
  </si>
  <si>
    <t xml:space="preserve">5208 Cypress Trail Resort Cir  Fort Myers, FL 33905 </t>
  </si>
  <si>
    <t>Cape Coral Unit 36 Blk 2326 Pb 16 Pg 128 Lots 37 + 38</t>
  </si>
  <si>
    <t xml:space="preserve">1104 Buckingham Rd </t>
  </si>
  <si>
    <t>Cape Coral Unit 25 Blk.824 Pb 14 Pg 92 Lots 63 + 64</t>
  </si>
  <si>
    <t>Cape Coral Unit 84 Blk 5598 Pb 24 Pg 43 Lots 25 + 26</t>
  </si>
  <si>
    <t>Carmen Torres</t>
  </si>
  <si>
    <t>33909-1488</t>
  </si>
  <si>
    <t>19-43-24-c4-05559.0460</t>
  </si>
  <si>
    <t>Toribio</t>
  </si>
  <si>
    <t>John &amp; For Schultheis</t>
  </si>
  <si>
    <t xml:space="preserve">23502 Mantova River Dr  Katy, TX 77493-3332 </t>
  </si>
  <si>
    <t>Frank &amp; Michaela Sommer</t>
  </si>
  <si>
    <t>Sandra &amp; Torsten Drebes</t>
  </si>
  <si>
    <t>Dunn</t>
  </si>
  <si>
    <t>Ettore &amp; Amelia Dibenedetto</t>
  </si>
  <si>
    <t>18-43-24-c4-05703.0230</t>
  </si>
  <si>
    <t>Cns 6741 Trust</t>
  </si>
  <si>
    <t>GA</t>
  </si>
  <si>
    <t xml:space="preserve">4868 Archie Ln </t>
  </si>
  <si>
    <t xml:space="preserve">313 NE 29th St  Cape Coral, FL 33909 </t>
  </si>
  <si>
    <t>09-45-23-c2-04668.0270</t>
  </si>
  <si>
    <t xml:space="preserve">Calle Rivas Davila #137 </t>
  </si>
  <si>
    <t>19-43-24-c1-05567.0140</t>
  </si>
  <si>
    <t xml:space="preserve">790 Front Mountain Rd  Moncton, NB E1g 3H3 </t>
  </si>
  <si>
    <t xml:space="preserve">818 NE 32nd Ln </t>
  </si>
  <si>
    <t>Cape Coral Unit 35 Blk 2375 Pb 16 Pg 105 Lots 7 + 8</t>
  </si>
  <si>
    <t xml:space="preserve">86 W 12th St 1e, New York, NY 10011-8682 </t>
  </si>
  <si>
    <t xml:space="preserve">60 Lynn Dr  Byram Township, NJ 07821-3504 </t>
  </si>
  <si>
    <t>Cape Coral Unit 42 Blk 2923 Pb 17 Pg 33 Lots 57 58 + 59</t>
  </si>
  <si>
    <t xml:space="preserve">2074 Clover Ct  Chanhassen, MN 55317-8351 </t>
  </si>
  <si>
    <t>Cape Coral Unit 31 Blk 2043 Pb 14 Pg 155 Lots 28 + 29</t>
  </si>
  <si>
    <t xml:space="preserve">5282 Hawk Hollow Dr E  Bath, MI 48808-9606 </t>
  </si>
  <si>
    <t xml:space="preserve">51 Bohuslavice  Telc, CZ </t>
  </si>
  <si>
    <t>Muliner</t>
  </si>
  <si>
    <t>For R C C Land Trust</t>
  </si>
  <si>
    <t>Laurence Cantenot &amp; Cantenot Deshaies</t>
  </si>
  <si>
    <t>33050-2029</t>
  </si>
  <si>
    <t>19-43-24-c3-05607.0320</t>
  </si>
  <si>
    <t xml:space="preserve">129 NE 6th Ave </t>
  </si>
  <si>
    <t>Hanh Le</t>
  </si>
  <si>
    <t>Lehigh Acres Unit 13 Blk 71 Pb 26 Pg 17 Lot 13</t>
  </si>
  <si>
    <t xml:space="preserve">978 SW 71st Ct </t>
  </si>
  <si>
    <t>33909-5227</t>
  </si>
  <si>
    <t xml:space="preserve">1211 NE 19th Ave </t>
  </si>
  <si>
    <t>29-43-24-c3-02279.0320</t>
  </si>
  <si>
    <t>01-44-23-c2-02099.0400</t>
  </si>
  <si>
    <t xml:space="preserve">1104 NE 15th Ln  Cape Coral, FL 33909 </t>
  </si>
  <si>
    <t xml:space="preserve">1418 NE 19th St </t>
  </si>
  <si>
    <t xml:space="preserve">6045 Higgins Ave </t>
  </si>
  <si>
    <t>Route 206</t>
  </si>
  <si>
    <t xml:space="preserve">5 Gary Rd  Norton, MA 02766-2213 </t>
  </si>
  <si>
    <t>07410-2232</t>
  </si>
  <si>
    <t>Gibson</t>
  </si>
  <si>
    <t>New Carrollton</t>
  </si>
  <si>
    <t xml:space="preserve">4225 NE 23rd Pl </t>
  </si>
  <si>
    <t>Delian</t>
  </si>
  <si>
    <t>Magnolia</t>
  </si>
  <si>
    <t>Oregonia</t>
  </si>
  <si>
    <t>Cape Coral Unit 31 Blk.2069 Pb 14 Pg 160 Lots 33 + 34</t>
  </si>
  <si>
    <t xml:space="preserve">4001 NE 13th Pl </t>
  </si>
  <si>
    <t xml:space="preserve">831 Trout Haven Rd  Florissant, CO 80816-5703 </t>
  </si>
  <si>
    <t>Krystyna Koziol</t>
  </si>
  <si>
    <t xml:space="preserve">10334 Prairie Iris Dr </t>
  </si>
  <si>
    <t xml:space="preserve">3420 NE 21st Pl  Cape Coral, FL 33909 </t>
  </si>
  <si>
    <t>Terwilliger</t>
  </si>
  <si>
    <t>Cape Coral Unit 17 Blk 1532 Pb 14 Pg 35 Lots 38 + 39</t>
  </si>
  <si>
    <t xml:space="preserve">1904 N Alpine Dr </t>
  </si>
  <si>
    <t>1st</t>
  </si>
  <si>
    <t>10941-1111</t>
  </si>
  <si>
    <t>Cape Coral Unit 33 Blk 2230 Pb 16 Pg 52 Lots 46 + 47</t>
  </si>
  <si>
    <t>Teresa</t>
  </si>
  <si>
    <t>18-43-24-c4-05704.0030</t>
  </si>
  <si>
    <t>Cape Coral Unit 36 Pt 1 Blk 2500 Pb 23 Pg 93 Lots 33 + 34</t>
  </si>
  <si>
    <t>Bruce &amp; Mary Vanhorn</t>
  </si>
  <si>
    <t xml:space="preserve">623 NE 19th Ter  Cape Coral, FL 33909 </t>
  </si>
  <si>
    <t xml:space="preserve">15837 SW 140th St  Miami, FL 33196-6716 </t>
  </si>
  <si>
    <t>Patrick Candellere &amp; David Driscoll</t>
  </si>
  <si>
    <t>Lauren Berry &amp; Michael Benanti</t>
  </si>
  <si>
    <t>23669-1698</t>
  </si>
  <si>
    <t xml:space="preserve">406 NE 15th Ter  Cape Coral, FL 33909 </t>
  </si>
  <si>
    <t>Cape Coral Unit 35 Blk.2364 Pb 16 Pg 105 Lots 33 + 34</t>
  </si>
  <si>
    <t>Koehler</t>
  </si>
  <si>
    <t>Corozal Town</t>
  </si>
  <si>
    <t>Rondon Murillo &amp; Murillo Rojas</t>
  </si>
  <si>
    <t xml:space="preserve">621 23rd St NW </t>
  </si>
  <si>
    <t>33909-7451</t>
  </si>
  <si>
    <t xml:space="preserve">3 Mineral Springs Ln  Tinton Falls, NJ 07724-4708 </t>
  </si>
  <si>
    <t>29-43-24-c3-02287.0490</t>
  </si>
  <si>
    <t xml:space="preserve">300 Pine Forest Dr </t>
  </si>
  <si>
    <t>Briarwood Shores Pb 30 Pg 65 Lot 27 + 1/28 Int Lot 17</t>
  </si>
  <si>
    <t>For Tanida Family Trust</t>
  </si>
  <si>
    <t>20-43-24-c2-05668.0340</t>
  </si>
  <si>
    <t>06-44-24-c1-02067.0310</t>
  </si>
  <si>
    <t>Todd &amp; Inez Green</t>
  </si>
  <si>
    <t>Rosa Munoz</t>
  </si>
  <si>
    <t xml:space="preserve">6044 Houston Ave </t>
  </si>
  <si>
    <t>33909-1238</t>
  </si>
  <si>
    <t>33431-4037</t>
  </si>
  <si>
    <t xml:space="preserve">Obere Bahnjofstrasse #21, Germering, DE 82110 </t>
  </si>
  <si>
    <t>36-43-23-c1-02531.0070</t>
  </si>
  <si>
    <t>33904-3487</t>
  </si>
  <si>
    <t xml:space="preserve">1917 NE 34th Ter </t>
  </si>
  <si>
    <t>Mindy</t>
  </si>
  <si>
    <t>Rio De Janeiro</t>
  </si>
  <si>
    <t>Bruce &amp; Betsy Rutledge</t>
  </si>
  <si>
    <t>03-44-26-08-00036.0170</t>
  </si>
  <si>
    <t>33909-4396</t>
  </si>
  <si>
    <t xml:space="preserve">1561 Glen Ln  Trenton, MI 48183-1724 </t>
  </si>
  <si>
    <t xml:space="preserve">356 N Royal Poinciana Blvd #5 </t>
  </si>
  <si>
    <t>James John</t>
  </si>
  <si>
    <t>Cape Coral Unit 85 Blk 5657 Pb 24 Pg 54 Lots 7 + 8</t>
  </si>
  <si>
    <t>33-43-26-01-00lkb.0020</t>
  </si>
  <si>
    <t xml:space="preserve">36 Van Houten Ave </t>
  </si>
  <si>
    <t xml:space="preserve">3840/3842 Hillandale St </t>
  </si>
  <si>
    <t>63124-1520</t>
  </si>
  <si>
    <t>Bent Tree Forest</t>
  </si>
  <si>
    <t xml:space="preserve">474 NE 2nd Pl </t>
  </si>
  <si>
    <t>Cape Coral Unit 33 Blk 2181 Pb 16 Pg 49 Lots 18 + 19</t>
  </si>
  <si>
    <t>Cesar &amp; Carmen Santalo</t>
  </si>
  <si>
    <t xml:space="preserve">2306 NE 7th Ave  Cape Coral, FL 33909 </t>
  </si>
  <si>
    <t xml:space="preserve">10030 Stonewood Dr </t>
  </si>
  <si>
    <t>Cape Coral Unit 87 Blk 5713 Pb 24 Pg 71 Lots 7 + 8</t>
  </si>
  <si>
    <t>Carlo</t>
  </si>
  <si>
    <t xml:space="preserve">90 Ash Swamp Rd </t>
  </si>
  <si>
    <t xml:space="preserve">335 NE 17th St </t>
  </si>
  <si>
    <t>16-44-26-05-00005.0140</t>
  </si>
  <si>
    <t>Cape Coral Unit 33 Blk.2249 Pb 16 Pg 58 Lots 18 + 19</t>
  </si>
  <si>
    <t>Eileen</t>
  </si>
  <si>
    <t xml:space="preserve">1112 SE 37th St  Cape Coral, FL 33904 </t>
  </si>
  <si>
    <t>88011-8604</t>
  </si>
  <si>
    <t>Cape Coral Unit 32 Blk 2139 Pb 16 Pg 10 Lots 36 + 37</t>
  </si>
  <si>
    <t>02081-1006</t>
  </si>
  <si>
    <t>Hilda</t>
  </si>
  <si>
    <t>33909-1723</t>
  </si>
  <si>
    <t xml:space="preserve">228 Delray Ave </t>
  </si>
  <si>
    <t xml:space="preserve">1721 NE 5th Pl </t>
  </si>
  <si>
    <t xml:space="preserve">9573 S Spring Hollow Ln </t>
  </si>
  <si>
    <t xml:space="preserve">4108 NE 15th Ave </t>
  </si>
  <si>
    <t xml:space="preserve">2320 NE 26th St </t>
  </si>
  <si>
    <t>Randal N Birkelbach &amp; Edith Birkelbach</t>
  </si>
  <si>
    <t>Cape Coral Unit 36 Blk 2353 Pb 16 Pg 119 Lots 68 + 69</t>
  </si>
  <si>
    <t>Autumn Creek</t>
  </si>
  <si>
    <t>Rio Rancho</t>
  </si>
  <si>
    <t>Alsop Iris Hairston Tr</t>
  </si>
  <si>
    <t>Lehigh Acres Unit 4 Blk 21 Pb 26 Pg 6 Lot 14</t>
  </si>
  <si>
    <t>53097-3437</t>
  </si>
  <si>
    <t xml:space="preserve">223 Central St </t>
  </si>
  <si>
    <t xml:space="preserve">10212 Yellowtop Trl  Fort Myers, FL 33905 </t>
  </si>
  <si>
    <t xml:space="preserve">750 NE 7th Ave  Cape Coral, FL 33909 </t>
  </si>
  <si>
    <t>Cape Coral Unit 85 Blk 5644 Pb 24 Pg 55 Lots 27 + 28</t>
  </si>
  <si>
    <t>Gerfried Mueller</t>
  </si>
  <si>
    <t>29577-5105</t>
  </si>
  <si>
    <t>Cape Coral Unit 84 Blk 5600 Pb 24 Pg 43 Lots 43 + 44</t>
  </si>
  <si>
    <t>33073-2259</t>
  </si>
  <si>
    <t>02584-2261</t>
  </si>
  <si>
    <t>Gabriela</t>
  </si>
  <si>
    <t>14564-8997</t>
  </si>
  <si>
    <t xml:space="preserve">10 Sandhage Dr </t>
  </si>
  <si>
    <t xml:space="preserve">2885 Alliston Loop </t>
  </si>
  <si>
    <t>Clairy George W &amp; Patrica Tr</t>
  </si>
  <si>
    <t>Marinello</t>
  </si>
  <si>
    <t xml:space="preserve">5208 Pineland Daisy Trl </t>
  </si>
  <si>
    <t>Deo</t>
  </si>
  <si>
    <t>C080</t>
  </si>
  <si>
    <t xml:space="preserve">1730 NE 1st Pl </t>
  </si>
  <si>
    <t xml:space="preserve">2711 Kolby Ct </t>
  </si>
  <si>
    <t>Mark Smith &amp; Mark Smith</t>
  </si>
  <si>
    <t>Brockton</t>
  </si>
  <si>
    <t xml:space="preserve">2221 NE 10th Pl  Cape Coral, FL 33909 </t>
  </si>
  <si>
    <t>Talbot</t>
  </si>
  <si>
    <t xml:space="preserve">4312 NE 23rd Pl </t>
  </si>
  <si>
    <t xml:space="preserve">45 Heathcote Ave  Toronto, ON M2l 1Y9 </t>
  </si>
  <si>
    <t>Roubaud</t>
  </si>
  <si>
    <t>Maryvale</t>
  </si>
  <si>
    <t>Cape Coral Unit 35 Blk 2400 Pb 16 Pg 109 Lots 54 + 55</t>
  </si>
  <si>
    <t xml:space="preserve">PO Box 7463  San Diego, CA 92167 </t>
  </si>
  <si>
    <t xml:space="preserve">2112 NE 13th Pl </t>
  </si>
  <si>
    <t>Allen</t>
  </si>
  <si>
    <t>Jorge</t>
  </si>
  <si>
    <t>33325-3189</t>
  </si>
  <si>
    <t>33162-1447</t>
  </si>
  <si>
    <t>Vina</t>
  </si>
  <si>
    <t>Devon</t>
  </si>
  <si>
    <t>Candida</t>
  </si>
  <si>
    <t xml:space="preserve">2888 29th St  Slayton, MN 56172-1404 </t>
  </si>
  <si>
    <t>E E &amp; Olga Ramirez</t>
  </si>
  <si>
    <t>28104-6272</t>
  </si>
  <si>
    <t>Alberto Casallas</t>
  </si>
  <si>
    <t xml:space="preserve">228 NE 21st Ave </t>
  </si>
  <si>
    <t xml:space="preserve">1157 Central Park Ave #31, Yonkers, NY 10704-1064 </t>
  </si>
  <si>
    <t>Hugh &amp; Blanca Freebairn</t>
  </si>
  <si>
    <t>Guinther</t>
  </si>
  <si>
    <t>Janett Benedict</t>
  </si>
  <si>
    <t>Cape Coral Unit 88 Blk 5773 Pb 24 Pg 132 Lots 23 + 24</t>
  </si>
  <si>
    <t>Hayes</t>
  </si>
  <si>
    <t>04664-3005</t>
  </si>
  <si>
    <t>Cape Coral Unit 26 Blk 917 Pb 14 Pg 134 Lots 30 Thru 32</t>
  </si>
  <si>
    <t xml:space="preserve">3714 Tallman St  Fort Myers, FL 33905 </t>
  </si>
  <si>
    <t>Given not</t>
  </si>
  <si>
    <t>33909-0500</t>
  </si>
  <si>
    <t xml:space="preserve">3424 Loretta Ave </t>
  </si>
  <si>
    <t>19-43-24-c4-05563.0690</t>
  </si>
  <si>
    <t xml:space="preserve">1317 NE 33rd Ln  Cape Coral, FL 33909 </t>
  </si>
  <si>
    <t xml:space="preserve">2415 NE Juanita Pl  Cape Coral, FL 33909 </t>
  </si>
  <si>
    <t xml:space="preserve">188 Ramble Dr  North Fort Myers, FL 33903 </t>
  </si>
  <si>
    <t>Emond</t>
  </si>
  <si>
    <t xml:space="preserve">5280 Dean Trai  Washago, ON L0k 2B0 </t>
  </si>
  <si>
    <t xml:space="preserve">2214 Pacific Ave  Venice, CA 90291-4418 </t>
  </si>
  <si>
    <t>Yell</t>
  </si>
  <si>
    <t>19-43-24-c2-05753.0440</t>
  </si>
  <si>
    <t>Edward &amp; Joyce Hockersmith</t>
  </si>
  <si>
    <t>PO Box 690746</t>
  </si>
  <si>
    <t>Harold</t>
  </si>
  <si>
    <t>Cape Coral Unit 84 Blk 5609 Pb 24 Pg 41 Lot 7</t>
  </si>
  <si>
    <t>33991-2126</t>
  </si>
  <si>
    <t>Kirk &amp; Constance Mueller</t>
  </si>
  <si>
    <t>School</t>
  </si>
  <si>
    <t xml:space="preserve">10043 Rambelwood Ct </t>
  </si>
  <si>
    <t xml:space="preserve">3847 Knowlton St  Fort Myers, FL 33905 </t>
  </si>
  <si>
    <t>Olivewood</t>
  </si>
  <si>
    <t xml:space="preserve">2817 NE 6th Ave  Cape Coral, FL 33909 </t>
  </si>
  <si>
    <t xml:space="preserve">1572 Alexandra Blvd  Mississauga, ON L5e 2B6 </t>
  </si>
  <si>
    <t>96130-4544</t>
  </si>
  <si>
    <t xml:space="preserve">3737 NE 12th Pl </t>
  </si>
  <si>
    <t xml:space="preserve">223 NE 19th Ter </t>
  </si>
  <si>
    <t>David &amp; For Lau</t>
  </si>
  <si>
    <t>Spigel</t>
  </si>
  <si>
    <t>Beach 92Nd</t>
  </si>
  <si>
    <t>Hartsdale</t>
  </si>
  <si>
    <t xml:space="preserve">1910 NE 20th St  Cape Coral, FL 33909 </t>
  </si>
  <si>
    <t>Huguet</t>
  </si>
  <si>
    <t>Mordechai</t>
  </si>
  <si>
    <t>55414-2966</t>
  </si>
  <si>
    <t>Lehigh Acres Unit 3 Blk 15 Pb 26 Pg 5 Lot 9</t>
  </si>
  <si>
    <t>Pote</t>
  </si>
  <si>
    <t>Varghese</t>
  </si>
  <si>
    <t>01-44-23-c4-02424.0690</t>
  </si>
  <si>
    <t xml:space="preserve">810 NE 32nd Ter  Cape Coral, FL 33909 </t>
  </si>
  <si>
    <t>33909-4631</t>
  </si>
  <si>
    <t>Royal Oak</t>
  </si>
  <si>
    <t>33909-6249</t>
  </si>
  <si>
    <t>10025-6433</t>
  </si>
  <si>
    <t>33175-4526</t>
  </si>
  <si>
    <t>18-43-24-c4-05583.0170</t>
  </si>
  <si>
    <t>34119-4857</t>
  </si>
  <si>
    <t>Cape Coral Unit 84 Blk 5592 Pb 24 Pg 44 Lots 27 + 28</t>
  </si>
  <si>
    <t>List</t>
  </si>
  <si>
    <t>Cape Coral Unit 33 Blk.2287 Pb 16 Pg 57 Lots 21 + 22</t>
  </si>
  <si>
    <t xml:space="preserve">9321 Heath Rd  Colden, NY 14033-9604 </t>
  </si>
  <si>
    <t>George &amp; For Harding</t>
  </si>
  <si>
    <t>33909-4342</t>
  </si>
  <si>
    <t xml:space="preserve">3814 NE 23rd Pl </t>
  </si>
  <si>
    <t>Siesta Key</t>
  </si>
  <si>
    <t>08-44-24-c4-01535.0670</t>
  </si>
  <si>
    <t xml:space="preserve">1317 NE 5th Ave  Cape Coral, FL 33909 </t>
  </si>
  <si>
    <t xml:space="preserve">1475 Spring Creek Rd </t>
  </si>
  <si>
    <t>Cape Coral Unit 36 Blk 2333 Pb 16 Pg 130 Lots 23 + 24</t>
  </si>
  <si>
    <t xml:space="preserve">4006 NE 23rd Pl </t>
  </si>
  <si>
    <t>33909-1576</t>
  </si>
  <si>
    <t xml:space="preserve">2728 Garden Dr N #309, Lake Worth, FL 33461-2253 </t>
  </si>
  <si>
    <t>Buckingham Pk Re Blk B U-1 Blk 3 Pb 27 Pg 188 Lot 17</t>
  </si>
  <si>
    <t xml:space="preserve">3834 Huntley St  Fort Myers, FL 33905 </t>
  </si>
  <si>
    <t xml:space="preserve">276 Seaview Ave  Jersey City, NJ 07305-1717 </t>
  </si>
  <si>
    <t>Maria Kratounis</t>
  </si>
  <si>
    <t>Bass</t>
  </si>
  <si>
    <t>Francis &amp; Dominique Sulzer</t>
  </si>
  <si>
    <t>Cape Coral Unit 33 Blk 2235 Pb 16 Pg 52 Lots 49 + 50</t>
  </si>
  <si>
    <t>Albert &amp; Valerie Lee</t>
  </si>
  <si>
    <t>37363-8443</t>
  </si>
  <si>
    <t xml:space="preserve">10240 SW 215th St </t>
  </si>
  <si>
    <t>Abigail</t>
  </si>
  <si>
    <t>Willoughby Hills</t>
  </si>
  <si>
    <t>25-43-23-c2-02351.0030</t>
  </si>
  <si>
    <t>Palos Heights</t>
  </si>
  <si>
    <t>Diana Diwa</t>
  </si>
  <si>
    <t>03-44-26-01-00004.0010</t>
  </si>
  <si>
    <t xml:space="preserve">Av Principal Colinas De Valle </t>
  </si>
  <si>
    <t>17-43-24-c4-05767.0320</t>
  </si>
  <si>
    <t>PO Box 185</t>
  </si>
  <si>
    <t>19-43-24-c3-05612.0350</t>
  </si>
  <si>
    <t xml:space="preserve">2051 W California St </t>
  </si>
  <si>
    <t xml:space="preserve">308 Soaring Hawk St  Richland, WA 99352-8918 </t>
  </si>
  <si>
    <t>33909-5315</t>
  </si>
  <si>
    <t xml:space="preserve">5407 China Berry Rd </t>
  </si>
  <si>
    <t>Ivy Beloff</t>
  </si>
  <si>
    <t>Townline</t>
  </si>
  <si>
    <t>34116-7537</t>
  </si>
  <si>
    <t>Neshanic Station</t>
  </si>
  <si>
    <t>Cape Coral Unit 36 Blk 2327B Pb 16 Pg 128 Lots 26 Thru 29</t>
  </si>
  <si>
    <t>Cape Coral Unit 33 Blk.2238 Pb 16 Pg 52 Lots 43 + 44</t>
  </si>
  <si>
    <t>33901-6113</t>
  </si>
  <si>
    <t>Roza Arakelyan</t>
  </si>
  <si>
    <t>Cape Coral Unit 14 Blk.527 Pb 13 Pg 64 Lots 56 Thru 58</t>
  </si>
  <si>
    <t xml:space="preserve">384 County Road 308 </t>
  </si>
  <si>
    <t>33324-7466</t>
  </si>
  <si>
    <t>Sally</t>
  </si>
  <si>
    <t>11355-2238</t>
  </si>
  <si>
    <t>Holiday Travel Park Rv Condo Ph 1 Or 1557 Pg 1583 Unit 337</t>
  </si>
  <si>
    <t>Toan Phan</t>
  </si>
  <si>
    <t>De Castillo</t>
  </si>
  <si>
    <t>El Portal</t>
  </si>
  <si>
    <t xml:space="preserve">147 Ashbury Ave  El Cerrito, CA 94530-4110 </t>
  </si>
  <si>
    <t xml:space="preserve">11105 Evening Creek Dr E  San Diego, CA 92128-4013 </t>
  </si>
  <si>
    <t xml:space="preserve">141 Norfolk St 6c </t>
  </si>
  <si>
    <t>02648-2117</t>
  </si>
  <si>
    <t>Cape Coral Unit 33 Blk 2218 Pb 16 Pg 43 Lots 42 Thru 44</t>
  </si>
  <si>
    <t>10306-4324</t>
  </si>
  <si>
    <t>Greiman Gerald P Tr</t>
  </si>
  <si>
    <t xml:space="preserve">1705 NE 1st Pl </t>
  </si>
  <si>
    <t xml:space="preserve">3811 La Rue St </t>
  </si>
  <si>
    <t xml:space="preserve">3336 NE 21st Pl  Cape Coral, FL 33909 </t>
  </si>
  <si>
    <t>15683-2107</t>
  </si>
  <si>
    <t>29-43-26-05-00091.0130</t>
  </si>
  <si>
    <t>34734-4713</t>
  </si>
  <si>
    <t xml:space="preserve">2116 NE 20th Ter </t>
  </si>
  <si>
    <t>19454-4600</t>
  </si>
  <si>
    <t>11-44-25-06-0000d.0450</t>
  </si>
  <si>
    <t>Cheriot</t>
  </si>
  <si>
    <t xml:space="preserve">314 NE 27th Ter  Cape Coral, FL 33909 </t>
  </si>
  <si>
    <t>20-43-24-c3-05672.0510</t>
  </si>
  <si>
    <t>Cape Coral Unit 36 Blk 2341 Pb 16 Pg 121 Lots 79 + 80</t>
  </si>
  <si>
    <t xml:space="preserve">2017 NE 36th Ter </t>
  </si>
  <si>
    <t>Cape Coral Unit 32 Blk 2122 Pb 16 Pg 7 Lots 33 + 34</t>
  </si>
  <si>
    <t>50322-4153</t>
  </si>
  <si>
    <t>06-44-24-c3-02032.0030</t>
  </si>
  <si>
    <t xml:space="preserve">2119 NE Juanita Pl  Cape Coral, FL 33909 </t>
  </si>
  <si>
    <t>Louella</t>
  </si>
  <si>
    <t>19-43-24-c3-05613.0150</t>
  </si>
  <si>
    <t>29-43-24-c3-02254.0480</t>
  </si>
  <si>
    <t>40701-8907</t>
  </si>
  <si>
    <t>Bethina</t>
  </si>
  <si>
    <t>M1B 2J8</t>
  </si>
  <si>
    <t>Palmona Park Unit 1 Blk 35 Pb 7 Pg 54 Lot 1</t>
  </si>
  <si>
    <t>Claudia Madrid</t>
  </si>
  <si>
    <t>Morales</t>
  </si>
  <si>
    <t>41080-9791</t>
  </si>
  <si>
    <t xml:space="preserve">2830 Lantern Hill Ave  Brandon, FL 33511-2378 </t>
  </si>
  <si>
    <t>Cape Coral Unit 84 Blk 5560 Pb 24 Pg 32 Lots 15 + 16</t>
  </si>
  <si>
    <t>Glen View</t>
  </si>
  <si>
    <t>Cape Coral Unit 25 Blk 888 Pb 14 Pg 91 Lots 10 + 11</t>
  </si>
  <si>
    <t>Mission</t>
  </si>
  <si>
    <t>Sardinas</t>
  </si>
  <si>
    <t>Fountain View Rv Resort Or 1627 Pg 0179 Lot 188</t>
  </si>
  <si>
    <t>36-43-23-c3-02510.0050</t>
  </si>
  <si>
    <t>Vincent &amp; Beatrice Misuraca</t>
  </si>
  <si>
    <t>Flatwoods</t>
  </si>
  <si>
    <t xml:space="preserve">1741 Pacer Pl NW </t>
  </si>
  <si>
    <t>Alcovy</t>
  </si>
  <si>
    <t>Jesse &amp; Allene Wilson</t>
  </si>
  <si>
    <t>Uzes</t>
  </si>
  <si>
    <t xml:space="preserve">410 NE 31st Ter  Cape Coral, FL 33909 </t>
  </si>
  <si>
    <t>33185-5901</t>
  </si>
  <si>
    <t>Iona Gardens Pb 17 Pg 72 Blk E Lots 1 Thru 3 + S 25 Ft Of W 50 Ft Of Rsvd Area</t>
  </si>
  <si>
    <t>Ariz</t>
  </si>
  <si>
    <t>Lawrence &amp; Elizabeth Thoms</t>
  </si>
  <si>
    <t>Cape Coral Unit 87 Blk 5711 Pb 24 Pg 76 Lots 9 + 10</t>
  </si>
  <si>
    <t>12-44-23-c2-02381.0070</t>
  </si>
  <si>
    <t>23452-6213</t>
  </si>
  <si>
    <t>03-44-26-09-00042.0190</t>
  </si>
  <si>
    <t xml:space="preserve">7060 Glenridge Dr  Atlanta, GA 30328-2629 </t>
  </si>
  <si>
    <t xml:space="preserve">9722 Holmes Pl #306 </t>
  </si>
  <si>
    <t>Colden</t>
  </si>
  <si>
    <t xml:space="preserve">2106 NE 26th St  Cape Coral, FL 33909 </t>
  </si>
  <si>
    <t>Devi</t>
  </si>
  <si>
    <t xml:space="preserve">11032 Cynthia Cir </t>
  </si>
  <si>
    <t>32440-4029</t>
  </si>
  <si>
    <t>03-44-26-01-00001.0120</t>
  </si>
  <si>
    <t xml:space="preserve">3933 NE 19th Ave </t>
  </si>
  <si>
    <t>33909-6876</t>
  </si>
  <si>
    <t>Cape Coral Unit 31 Blk 2064 Pb 14 Pg 162 Lots 46 + 47</t>
  </si>
  <si>
    <t xml:space="preserve">20734 419th Ave  Iroquois, SD 57353-5600 </t>
  </si>
  <si>
    <t>Roberto &amp; Leisa Rincon</t>
  </si>
  <si>
    <t xml:space="preserve">1825 NE 41st St </t>
  </si>
  <si>
    <t xml:space="preserve">4221 Green Shanty Rd </t>
  </si>
  <si>
    <t>Cape Coral Unit 1 Part 2 Blk 12 Pb 11 Pg 36 Lots 15 Thru 18 Incl. + Port Between Lot + Canal As Desc In Or 965 Pg 495 Ex B</t>
  </si>
  <si>
    <t xml:space="preserve">7988 NW 200th St </t>
  </si>
  <si>
    <t>Jean &amp; Beatrice Toussaint</t>
  </si>
  <si>
    <t>Lehigh Acres Ut 14 E Pt Blk 81 Pb 26 Pg 19 Lot 19</t>
  </si>
  <si>
    <t xml:space="preserve">5950 Wellington Pl  Battle Creek, MI 49017-8426 </t>
  </si>
  <si>
    <t>33905-4402</t>
  </si>
  <si>
    <t>01-44-23-c1-02440.0290</t>
  </si>
  <si>
    <t xml:space="preserve">453 NE Juanita Ct  Cape Coral, FL 33909 </t>
  </si>
  <si>
    <t xml:space="preserve">6448 N Oak Park Ave 2n </t>
  </si>
  <si>
    <t xml:space="preserve">6117 Humboldt Ave  Fort Myers, FL 33905 </t>
  </si>
  <si>
    <t xml:space="preserve">3325 Crown Dr  Independence, KS 67301-1517 </t>
  </si>
  <si>
    <t xml:space="preserve">6960 Circle Dr  Fort Myers, FL 33905 </t>
  </si>
  <si>
    <t xml:space="preserve">650 E Vine Maple Lane Un  Union, WA 98592 </t>
  </si>
  <si>
    <t>33909-1522</t>
  </si>
  <si>
    <t>Barreiro</t>
  </si>
  <si>
    <t>Ryszard</t>
  </si>
  <si>
    <t>Coral Lakes Tract 3 Replat Block 7060 Lot 303 As Desc In Inst 2021000420375</t>
  </si>
  <si>
    <t xml:space="preserve">2116 NE 22nd Ave  Cape Coral, FL 33909 </t>
  </si>
  <si>
    <t>Edge Hill</t>
  </si>
  <si>
    <t xml:space="preserve">216 NE 9th Ter  Cape Coral, FL 33909 </t>
  </si>
  <si>
    <t>Rita</t>
  </si>
  <si>
    <t>Allert</t>
  </si>
  <si>
    <t xml:space="preserve">532 NE 12th St </t>
  </si>
  <si>
    <t>Rose Madera &amp; Thomas Miller</t>
  </si>
  <si>
    <t xml:space="preserve">1823 NE Van Loon Ter </t>
  </si>
  <si>
    <t>Cape Coral Unit 88 Blk 5799 Pb 24 Pg 137 Lots 55 + 56</t>
  </si>
  <si>
    <t xml:space="preserve">1712 NE Juanita Pl  Cape Coral, FL 33909 </t>
  </si>
  <si>
    <t>Cape Coral Unit 87 Blk 5689 Pb 24 Pg 83 Lots 53 + 54</t>
  </si>
  <si>
    <t>California</t>
  </si>
  <si>
    <t>Woodmount</t>
  </si>
  <si>
    <t>Ben</t>
  </si>
  <si>
    <t xml:space="preserve">615 Office 1301  Santiago, CL </t>
  </si>
  <si>
    <t>Robert &amp; Beverly Rosa</t>
  </si>
  <si>
    <t>B402</t>
  </si>
  <si>
    <t>33073-4739</t>
  </si>
  <si>
    <t>Kushnir</t>
  </si>
  <si>
    <t>Athina</t>
  </si>
  <si>
    <t>Tham</t>
  </si>
  <si>
    <t>98104-3702</t>
  </si>
  <si>
    <t>Poole</t>
  </si>
  <si>
    <t>Cape Coral Unit 33 Blk 2244 Pb 16 Pg 54 Lots 7 + 8</t>
  </si>
  <si>
    <t xml:space="preserve">304 NE 9th St </t>
  </si>
  <si>
    <t>Cape Coral Unit 87 Blk 5753 Pb 24 Pg 68 Lot 1</t>
  </si>
  <si>
    <t>Sakuntala Bishun &amp; Davey Lachman</t>
  </si>
  <si>
    <t>Cape Coral Unit 88 Blk 5796 Pb 24 Pg 131 Lot 4</t>
  </si>
  <si>
    <t xml:space="preserve">1911 NE 33rd St </t>
  </si>
  <si>
    <t xml:space="preserve">2109 NE 21st Pl  Cape Coral, FL 33909 </t>
  </si>
  <si>
    <t>60402-2935</t>
  </si>
  <si>
    <t>36-44-23-c3-00888.0160</t>
  </si>
  <si>
    <t xml:space="preserve">7 Rue Valery Chasson  Marignane, FR </t>
  </si>
  <si>
    <t>Lorena</t>
  </si>
  <si>
    <t xml:space="preserve">1987 Anniston Dr </t>
  </si>
  <si>
    <t>31-43-24-c3-02123.0290</t>
  </si>
  <si>
    <t>Broomfield</t>
  </si>
  <si>
    <t xml:space="preserve">821 NE 10th Ln  Cape Coral, FL 33909 </t>
  </si>
  <si>
    <t>33909-2206</t>
  </si>
  <si>
    <t>Ramo</t>
  </si>
  <si>
    <t xml:space="preserve">5 Cultural Park Blvd N </t>
  </si>
  <si>
    <t>18-43-24-c1-05695.0370</t>
  </si>
  <si>
    <t>Angelo Trodella</t>
  </si>
  <si>
    <t xml:space="preserve">13410 N 74th St  Omaha, NE 68122-1949 </t>
  </si>
  <si>
    <t xml:space="preserve">2040 NE 18th Ter </t>
  </si>
  <si>
    <t>Keego Harbor</t>
  </si>
  <si>
    <t xml:space="preserve">10 Dale Trl </t>
  </si>
  <si>
    <t>Cape Coral Unit 35 Blk 2414 Pb 16 Pg 107 Lots 38 + 39</t>
  </si>
  <si>
    <t xml:space="preserve">1203 Emerson Ave </t>
  </si>
  <si>
    <t>Amphibian</t>
  </si>
  <si>
    <t xml:space="preserve">913 NE Juanita Pl </t>
  </si>
  <si>
    <t xml:space="preserve">16 Cornerstone Rd  East Kingston, NH 03827-2079 </t>
  </si>
  <si>
    <t>Gwen</t>
  </si>
  <si>
    <t xml:space="preserve">1869 Highway 145 </t>
  </si>
  <si>
    <t xml:space="preserve">1225 NE 8th Pl </t>
  </si>
  <si>
    <t>Taipei City</t>
  </si>
  <si>
    <t>Romeo</t>
  </si>
  <si>
    <t xml:space="preserve">1206 Westwood Dr  Cape Coral, FL 33909 </t>
  </si>
  <si>
    <t xml:space="preserve">2129 NE 17th Ter </t>
  </si>
  <si>
    <t>R103</t>
  </si>
  <si>
    <t xml:space="preserve">12013 Greengate Dr </t>
  </si>
  <si>
    <t>Cypress Trail Rv Resort Ph 4-B As Desc In Inst# 2017000057565 Lot 301</t>
  </si>
  <si>
    <t>Cypress Woods Rv Resort Desc In Inst#2006-358211 Lot 140</t>
  </si>
  <si>
    <t>31-43-24-c1-02162.0550</t>
  </si>
  <si>
    <t>Edmund &amp; Ann Scanlan</t>
  </si>
  <si>
    <t xml:space="preserve">4147 NE 9th Ave  Cape Coral, FL 33909 </t>
  </si>
  <si>
    <t xml:space="preserve">5785 Brightwood Dr </t>
  </si>
  <si>
    <t>33907-2944</t>
  </si>
  <si>
    <t xml:space="preserve">5745 Riverside Dr </t>
  </si>
  <si>
    <t>Cape Coral Unit 32 Blk 2105 Pb 16 Pg 5 Lots 3 + 4</t>
  </si>
  <si>
    <t xml:space="preserve">4022 NE 9th Pl  Cape Coral, FL 33909 </t>
  </si>
  <si>
    <t xml:space="preserve">3109 N Biscayne Dr </t>
  </si>
  <si>
    <t xml:space="preserve">6911 37th Ave S  Seattle, WA 98118-6468 </t>
  </si>
  <si>
    <t>20619-4069</t>
  </si>
  <si>
    <t>For Holverson Trust</t>
  </si>
  <si>
    <t>Gdanski</t>
  </si>
  <si>
    <t xml:space="preserve">1041 NE 43rd Ter  Cape Coral, FL 33909 </t>
  </si>
  <si>
    <t xml:space="preserve">122 NE 12th Ln </t>
  </si>
  <si>
    <t xml:space="preserve">5567 Brightwood Dr </t>
  </si>
  <si>
    <t xml:space="preserve">14180 Chancellor St </t>
  </si>
  <si>
    <t>92649-4729</t>
  </si>
  <si>
    <t>Cape Coral Unit 33 Blk 2256 Pb 16 Pg 57 Lots 19 + 20</t>
  </si>
  <si>
    <t xml:space="preserve">151 Pulpit Rd  Bedford, NH 03110-4228 </t>
  </si>
  <si>
    <t>Bellerose</t>
  </si>
  <si>
    <t>Spring Hollow</t>
  </si>
  <si>
    <t>Cape Coral Unit 84 Blk 5557 Pb 24 Pg 32 Lots 39 Thru 41</t>
  </si>
  <si>
    <t xml:space="preserve">364 Fairview Ave </t>
  </si>
  <si>
    <t>Calle 139</t>
  </si>
  <si>
    <t>18-43-24-c1-05696.0170</t>
  </si>
  <si>
    <t>Charles &amp; Debra Anderson</t>
  </si>
  <si>
    <t>Cape Coral Unit 84 Blk 5563 Pb 24 Pg 37 Lots 11 + 12</t>
  </si>
  <si>
    <t xml:space="preserve">213 NE 25th St  Cape Coral, FL 33909 </t>
  </si>
  <si>
    <t>36862-3528</t>
  </si>
  <si>
    <t xml:space="preserve">3335 NE 13th Ave </t>
  </si>
  <si>
    <t>Gene Musso &amp; Krystyna Olson</t>
  </si>
  <si>
    <t>Lascala</t>
  </si>
  <si>
    <t xml:space="preserve">5780 Maplewood Ct  Fort Myers, FL 33905 </t>
  </si>
  <si>
    <t xml:space="preserve">177 Constitution Dr </t>
  </si>
  <si>
    <t>Ft Myers Shores Unit 3 Blk 42 Pb 10 Pg 27 Lots 37 + 38</t>
  </si>
  <si>
    <t xml:space="preserve">1508 NE 18th Pl </t>
  </si>
  <si>
    <t xml:space="preserve">714 Orlando St </t>
  </si>
  <si>
    <t>Guilliermina Powell</t>
  </si>
  <si>
    <t xml:space="preserve">2029 NE 25th St </t>
  </si>
  <si>
    <t xml:space="preserve">4600 NW Townline Rd </t>
  </si>
  <si>
    <t xml:space="preserve">5837 255th St </t>
  </si>
  <si>
    <t>48197-6100</t>
  </si>
  <si>
    <t xml:space="preserve">2841 NW 134th St  Opa Locka, FL 33054-4853 </t>
  </si>
  <si>
    <t>Cape Coral Unit 34 Blk 2448 Pb 16 Pg 81 Lots 81 + 82</t>
  </si>
  <si>
    <t>Cape Coral Unit 36 Blk 2318 Pb 16 Pg 130 Lots 35 + 36</t>
  </si>
  <si>
    <t>21050-1773</t>
  </si>
  <si>
    <t xml:space="preserve">15715 Stillwell Rd </t>
  </si>
  <si>
    <t>Cape Coral Unit 84 Blk 5559 Pb 24 Pg 33 Lot 11</t>
  </si>
  <si>
    <t xml:space="preserve">3435 Bee Ridge Rd #203 </t>
  </si>
  <si>
    <t>Olsen</t>
  </si>
  <si>
    <t>03-44-26-02-00010.0030</t>
  </si>
  <si>
    <t>Palmona Park Unit 1 Blk 39 Pb 7 Pg 54 Lot 12</t>
  </si>
  <si>
    <t>32-43-24-c3-02188.0380</t>
  </si>
  <si>
    <t>13069-4362</t>
  </si>
  <si>
    <t>01-44-23-c1-02450.0610</t>
  </si>
  <si>
    <t>Destinie</t>
  </si>
  <si>
    <t xml:space="preserve">16100 Tierra Plz  Fort Myers, FL 33908-3325 </t>
  </si>
  <si>
    <t>Mariano &amp; Ana Panizza</t>
  </si>
  <si>
    <t xml:space="preserve">1342 NE 33rd Ter  Cape Coral, FL 33909 </t>
  </si>
  <si>
    <t>Garnet &amp; Patrigna Pennant</t>
  </si>
  <si>
    <t xml:space="preserve">3740 NE 14th Ave  Cape Coral, FL 33909 </t>
  </si>
  <si>
    <t>Cape Coral Unit 36 Blk 2351 Pb 16 Pg 124 Lots 64 Thru 66</t>
  </si>
  <si>
    <t xml:space="preserve">6151 Stratton Rd  Fort Myers, FL 33905 </t>
  </si>
  <si>
    <t>19504-8812</t>
  </si>
  <si>
    <t>Klein</t>
  </si>
  <si>
    <t>01-44-25-l1-06000.0010</t>
  </si>
  <si>
    <t>Cape Coral Unit 32 Blk 2139 Pb 16 Pg 10 Lots 34 + 35</t>
  </si>
  <si>
    <t>Debetham</t>
  </si>
  <si>
    <t>Hayden</t>
  </si>
  <si>
    <t xml:space="preserve">1300 State Route 294  Marion, OH 43302-9604 </t>
  </si>
  <si>
    <t>Agan</t>
  </si>
  <si>
    <t>10463-1585</t>
  </si>
  <si>
    <t xml:space="preserve">766 Symmes Rd </t>
  </si>
  <si>
    <t>44240-6710</t>
  </si>
  <si>
    <t>Cape Coral Unit 2 Pt.3 Blk.226 Pb 11 Pg 39 Lots 9 + 10</t>
  </si>
  <si>
    <t xml:space="preserve">4110 Prospect Dr </t>
  </si>
  <si>
    <t>Cape Coral Unit 84 Blk 5551 Pb 24 Pg 39 Lot 52</t>
  </si>
  <si>
    <t xml:space="preserve">6121 Barkwood Ct </t>
  </si>
  <si>
    <t>Frohreich</t>
  </si>
  <si>
    <t>Gaines</t>
  </si>
  <si>
    <t>29715-8950</t>
  </si>
  <si>
    <t>Kevin &amp; Helaine Franco</t>
  </si>
  <si>
    <t xml:space="preserve">1805 NE 23rd St  Cape Coral, FL 33909 </t>
  </si>
  <si>
    <t xml:space="preserve">3353 NE 13th Pl </t>
  </si>
  <si>
    <t xml:space="preserve">4176 Derby Dr  Davie, FL 33330-4337 </t>
  </si>
  <si>
    <t>Middlebury</t>
  </si>
  <si>
    <t xml:space="preserve">3303 NE 13th Ave  Cape Coral, FL 33909 </t>
  </si>
  <si>
    <t xml:space="preserve">3213 SE 1st Ct </t>
  </si>
  <si>
    <t>Cape Coral Unit 17 Blk 1532 Pb 14 Pg 36 Lots 71 + 72</t>
  </si>
  <si>
    <t>32-43-26-16-0000c.0300</t>
  </si>
  <si>
    <t xml:space="preserve">324 NE 26th St </t>
  </si>
  <si>
    <t>29-43-24-c3-02267.0450</t>
  </si>
  <si>
    <t>44691-1292</t>
  </si>
  <si>
    <t>Rose Todd N &amp; Elizabeth E Tr</t>
  </si>
  <si>
    <t>Cape Coral Unit 31 Blk 2084 Pb 14 Pg 165 Lots 61 + 62</t>
  </si>
  <si>
    <t>Hicks</t>
  </si>
  <si>
    <t>Singh</t>
  </si>
  <si>
    <t>18-43-24-c3-05706.0480</t>
  </si>
  <si>
    <t>Irish</t>
  </si>
  <si>
    <t xml:space="preserve">71-1 Rowland Rd  Old Lyme, CT 06371-1540 </t>
  </si>
  <si>
    <t>Minh Chiem</t>
  </si>
  <si>
    <t xml:space="preserve">4116 NE 9th Ave </t>
  </si>
  <si>
    <t>33905-5713</t>
  </si>
  <si>
    <t>Ashira</t>
  </si>
  <si>
    <t>40504-2008</t>
  </si>
  <si>
    <t xml:space="preserve">3282 Laurel Dale Dr </t>
  </si>
  <si>
    <t>Amaryllis</t>
  </si>
  <si>
    <t>Chattha</t>
  </si>
  <si>
    <t xml:space="preserve">3832 Hollycrest St </t>
  </si>
  <si>
    <t xml:space="preserve">10 Redwing Ln  Levittown, NY 11756-2132 </t>
  </si>
  <si>
    <t>Anne-Marie Dhooge</t>
  </si>
  <si>
    <t xml:space="preserve">11074 Discovery Dr NW </t>
  </si>
  <si>
    <t>Cape Coral Unit 34 Blk 2441 Pb 16 Pg 81 Lots 29 + 30</t>
  </si>
  <si>
    <t xml:space="preserve">29392 Clark Dr </t>
  </si>
  <si>
    <t xml:space="preserve">51 James St  Kingston, PA 18704-4722 </t>
  </si>
  <si>
    <t>33909-5310</t>
  </si>
  <si>
    <t>92374-2787</t>
  </si>
  <si>
    <t xml:space="preserve">30 Allison Pl </t>
  </si>
  <si>
    <t>Brennan</t>
  </si>
  <si>
    <t>Yvonne</t>
  </si>
  <si>
    <t>10467-7602</t>
  </si>
  <si>
    <t>Cape Coral Unit 12 Blk 593 Pb 13 Pg 53 Lots 23 + 24</t>
  </si>
  <si>
    <t>Cape Coral Unit 33 Blk.2258 Pb 16 Pg 56 Lots 28 + 29</t>
  </si>
  <si>
    <t>18-43-24-c3-05743.0470</t>
  </si>
  <si>
    <t>Cheriel</t>
  </si>
  <si>
    <t xml:space="preserve">13350 Fourth St  Fort Myers, FL 33905 </t>
  </si>
  <si>
    <t xml:space="preserve">8 Arbor Ct  Irwin, PA 15642-5700 </t>
  </si>
  <si>
    <t>18-43-24-c1-05724.0110</t>
  </si>
  <si>
    <t>South Ozone Park</t>
  </si>
  <si>
    <t>Rife</t>
  </si>
  <si>
    <t>American &amp; Terence Oliver</t>
  </si>
  <si>
    <t xml:space="preserve">467 Ensign Rd </t>
  </si>
  <si>
    <t>PO Box 1</t>
  </si>
  <si>
    <t xml:space="preserve">17894 SW 35th St  Miramar, FL 33029-1673 </t>
  </si>
  <si>
    <t>33549-8747</t>
  </si>
  <si>
    <t>32750-3040</t>
  </si>
  <si>
    <t xml:space="preserve">1805 NE 23rd St </t>
  </si>
  <si>
    <t>Shamsher Shahabuddin &amp; Nadia Ladiwala</t>
  </si>
  <si>
    <t>Sojourn</t>
  </si>
  <si>
    <t>08-44-24-c2-01532.0710</t>
  </si>
  <si>
    <t>Farida</t>
  </si>
  <si>
    <t xml:space="preserve">2019 NE 34th St  Cape Coral, FL 33909 </t>
  </si>
  <si>
    <t>Ajax</t>
  </si>
  <si>
    <t>Roszkowski</t>
  </si>
  <si>
    <t xml:space="preserve">24 Peniston Ave  East Hanover, NJ 07936-3060 </t>
  </si>
  <si>
    <t xml:space="preserve">14311 Oviedo Pl </t>
  </si>
  <si>
    <t>20-43-24-c2-05656.0470</t>
  </si>
  <si>
    <t>Chesapeake</t>
  </si>
  <si>
    <t>Hyacinth</t>
  </si>
  <si>
    <t>Augustus</t>
  </si>
  <si>
    <t xml:space="preserve">2042 NE 4th Ter  Cape Coral, FL 33909 </t>
  </si>
  <si>
    <t>Michael &amp; Patricia Kniskern</t>
  </si>
  <si>
    <t xml:space="preserve">3850 E Double J Acres Rd  Labelle, FL 33935 </t>
  </si>
  <si>
    <t xml:space="preserve">841 Ridge Rd  Hanover, MD 21076 </t>
  </si>
  <si>
    <t>18-43-24-c3-05707.0280</t>
  </si>
  <si>
    <t>30557-2508</t>
  </si>
  <si>
    <t>Honeycutt Jacqueline Tr</t>
  </si>
  <si>
    <t>36-43-23-c2-02544.0460</t>
  </si>
  <si>
    <t>Clarendon</t>
  </si>
  <si>
    <t>03-44-26-11-00056.0190</t>
  </si>
  <si>
    <t>18-43-24-c1-05692.0230</t>
  </si>
  <si>
    <t>Manuel &amp; Leticia Crespo</t>
  </si>
  <si>
    <t>Pedro &amp; Beatriz Pi</t>
  </si>
  <si>
    <t>18-43-24-c2-05731.0420</t>
  </si>
  <si>
    <t>Bogato</t>
  </si>
  <si>
    <t xml:space="preserve">2230 NE 13th Ln  Cape Coral, FL 33909 </t>
  </si>
  <si>
    <t>11-44-25-10-00000.4820</t>
  </si>
  <si>
    <t xml:space="preserve">1435 Carleton Palm Ct </t>
  </si>
  <si>
    <t xml:space="preserve">500 SE 31st Ter  Cape Coral, FL 33904 </t>
  </si>
  <si>
    <t xml:space="preserve">222 NE 13th Ave  Cape Coral, FL 33909 </t>
  </si>
  <si>
    <t>Kingbird</t>
  </si>
  <si>
    <t>Nail</t>
  </si>
  <si>
    <t>11-44-25-08-00000.2590</t>
  </si>
  <si>
    <t>Littleton</t>
  </si>
  <si>
    <t xml:space="preserve">3720 Kelsey St  Fort Myers, FL 33905 </t>
  </si>
  <si>
    <t>Lehigh Acres Unit 2 Blk 9 Pb 26 Pg 4 Lots 14 + 15</t>
  </si>
  <si>
    <t xml:space="preserve">45 Kensington Blvd  Pleasant Ridge, MI 48069-1219 </t>
  </si>
  <si>
    <t>Piper</t>
  </si>
  <si>
    <t>Eydlin</t>
  </si>
  <si>
    <t>Eliashiv</t>
  </si>
  <si>
    <t>Betsy</t>
  </si>
  <si>
    <t>33173-4235</t>
  </si>
  <si>
    <t>18-43-24-c4-05679.0030</t>
  </si>
</sst>
</file>

<file path=xl/styles.xml><?xml version="1.0" encoding="utf-8"?>
<styleSheet xmlns="http://schemas.openxmlformats.org/spreadsheetml/2006/main">
  <numFmts count="0"/>
  <fonts count="18">
    <font>
      <sz val="11"/>
      <color theme="1"/>
      <name val="Calibri"/>
      <family val="2"/>
      <scheme val="minor"/>
    </font>
    <font>
      <sz val="11"/>
      <color rgb="FF000080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7" fontId="0" fillId="0" borderId="0" xfId="0"/>
    <xf numFmtId="8" fontId="0" fillId="0" borderId="0" xfId="0"/>
    <xf numFmtId="16" fontId="0" fillId="0" borderId="0" xfId="0"/>
    <xf numFmtId="12" fontId="0" fillId="0" borderId="0" xfId="0"/>
    <xf numFmtId="14" fontId="0" fillId="0" borderId="0" xfId="0"/>
    <xf numFmtId="18" fontId="0" fillId="0" border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AS6340"/>
  <sheetViews>
    <sheetView tabSelected="1" workbookViewId="0"/>
  </sheetViews>
  <sheetFormatPr defaultRowHeight="12.75"/>
  <sheetData>
    <row>
      <c t="s">
        <v>36186</v>
      </c>
      <c t="s">
        <v>38082</v>
      </c>
      <c t="s">
        <v>17087</v>
      </c>
      <c t="s">
        <v>2066</v>
      </c>
      <c t="s">
        <v>52866</v>
      </c>
      <c t="s">
        <v>42865</v>
      </c>
      <c t="s">
        <v>37056</v>
      </c>
      <c t="s">
        <v>47594</v>
      </c>
      <c t="s">
        <v>30872</v>
      </c>
      <c t="s">
        <v>16259</v>
      </c>
      <c t="s">
        <v>37974</v>
      </c>
      <c t="s">
        <v>27074</v>
      </c>
      <c t="s">
        <v>15133</v>
      </c>
      <c t="s">
        <v>45698</v>
      </c>
      <c t="s">
        <v>40109</v>
      </c>
      <c t="s">
        <v>29473</v>
      </c>
      <c t="s">
        <v>15448</v>
      </c>
      <c t="s">
        <v>57559</v>
      </c>
      <c t="s">
        <v>40194</v>
      </c>
      <c t="s">
        <v>34702</v>
      </c>
      <c t="s">
        <v>29106</v>
      </c>
      <c t="s">
        <v>10094</v>
      </c>
      <c t="s">
        <v>19315</v>
      </c>
      <c t="s">
        <v>44879</v>
      </c>
      <c t="s">
        <v>30961</v>
      </c>
      <c t="s">
        <v>29706</v>
      </c>
      <c t="s">
        <v>64559</v>
      </c>
      <c t="s">
        <v>64222</v>
      </c>
      <c t="s">
        <v>36221</v>
      </c>
      <c t="s">
        <v>62238</v>
      </c>
      <c t="s">
        <v>37073</v>
      </c>
      <c t="s">
        <v>48284</v>
      </c>
      <c t="s">
        <v>630</v>
      </c>
      <c t="s">
        <v>42149</v>
      </c>
      <c t="s">
        <v>63472</v>
      </c>
      <c t="s">
        <v>54217</v>
      </c>
      <c t="s">
        <v>4937</v>
      </c>
      <c t="s">
        <v>50009</v>
      </c>
      <c t="s">
        <v>39468</v>
      </c>
      <c t="s">
        <v>30263</v>
      </c>
      <c t="s">
        <v>42989</v>
      </c>
      <c t="s">
        <v>49121</v>
      </c>
      <c t="s">
        <v>31662</v>
      </c>
      <c t="s">
        <v>13888</v>
      </c>
      <c t="s">
        <v>21554</v>
      </c>
    </row>
    <row>
      <c t="s">
        <v>17594</v>
      </c>
      <c t="s">
        <v>39749</v>
      </c>
      <c t="s">
        <v>8947</v>
      </c>
      <c t="s">
        <v>29336</v>
      </c>
      <c t="s">
        <v>36162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2" s="1" t="str">
        <f ca="1">HYPERLINK("https://web.datatree.com/?/property?propertyId=31958516", "https://web.datatree.com/?/property?propertyId=31958516")</f>
        <v>https://web.datatree.com/?/property?propertyId=31958516</v>
      </c>
      <c r="Q2" t="s">
        <v>316</v>
      </c>
      <c>
        <v>0.29</v>
      </c>
      <c t="s">
        <v>5471</v>
      </c>
      <c t="s">
        <v>52615</v>
      </c>
      <c t="s">
        <v>62596</v>
      </c>
      <c t="s">
        <v>60243</v>
      </c>
      <c t="s">
        <v>26651</v>
      </c>
      <c t="s">
        <v>17857</v>
      </c>
      <c t="s">
        <v>20650</v>
      </c>
      <c t="s">
        <v>65059</v>
      </c>
      <c t="s">
        <v>39289</v>
      </c>
      <c>
        <v>33905</v>
      </c>
      <c t="s">
        <v>46523</v>
      </c>
      <c t="s">
        <v>48794</v>
      </c>
      <c t="s">
        <v>61341</v>
      </c>
      <c>
        <v>6440</v>
      </c>
      <c r="AI2" t="s">
        <v>53324</v>
      </c>
      <c t="s">
        <v>40123</v>
      </c>
      <c t="s">
        <v>48464</v>
      </c>
      <c t="s">
        <v>55393</v>
      </c>
      <c t="s">
        <v>16890</v>
      </c>
      <c t="s">
        <v>39289</v>
      </c>
      <c t="s">
        <v>66260</v>
      </c>
      <c t="s">
        <v>48506</v>
      </c>
      <c t="s">
        <v>3093</v>
      </c>
      <c t="s">
        <v>47981</v>
      </c>
    </row>
    <row>
      <c t="s">
        <v>42103</v>
      </c>
      <c t="s">
        <v>36751</v>
      </c>
      <c t="s">
        <v>2573</v>
      </c>
      <c t="s">
        <v>24872</v>
      </c>
      <c t="s">
        <v>15329</v>
      </c>
      <c s="3">
        <v>89033</v>
      </c>
      <c s="3">
        <v>89033</v>
      </c>
      <c s="3">
        <v>85921</v>
      </c>
      <c>
        <v>0</v>
      </c>
      <c s="3">
        <v>0</v>
      </c>
      <c s="3">
        <v>1173.97</v>
      </c>
      <c s="3">
        <v>89033</v>
      </c>
      <c r="O3" s="1" t="str">
        <f ca="1">HYPERLINK("https://web.datatree.com/?/property?propertyId=31958695", "https://web.datatree.com/?/property?propertyId=31958695")</f>
        <v>https://web.datatree.com/?/property?propertyId=31958695</v>
      </c>
      <c r="Q3" t="s">
        <v>316</v>
      </c>
      <c>
        <v>0.23</v>
      </c>
      <c t="s">
        <v>5471</v>
      </c>
      <c t="s">
        <v>46872</v>
      </c>
      <c t="s">
        <v>8077</v>
      </c>
      <c r="W3" t="s">
        <v>42581</v>
      </c>
      <c t="s">
        <v>44695</v>
      </c>
      <c t="s">
        <v>30941</v>
      </c>
      <c t="s">
        <v>65059</v>
      </c>
      <c t="s">
        <v>39289</v>
      </c>
      <c>
        <v>33905</v>
      </c>
      <c t="s">
        <v>32417</v>
      </c>
      <c t="s">
        <v>48794</v>
      </c>
      <c t="s">
        <v>41514</v>
      </c>
      <c r="AI3" t="s">
        <v>47117</v>
      </c>
      <c r="AL3" t="s">
        <v>51569</v>
      </c>
      <c t="s">
        <v>3112</v>
      </c>
      <c t="s">
        <v>17331</v>
      </c>
      <c>
        <v>35236</v>
      </c>
      <c t="s">
        <v>30062</v>
      </c>
      <c t="s">
        <v>3093</v>
      </c>
      <c t="s">
        <v>40698</v>
      </c>
    </row>
    <row>
      <c t="s">
        <v>17594</v>
      </c>
      <c t="s">
        <v>1173</v>
      </c>
      <c t="s">
        <v>48357</v>
      </c>
      <c t="s">
        <v>27992</v>
      </c>
      <c t="s">
        <v>54527</v>
      </c>
      <c s="3">
        <v>26250</v>
      </c>
      <c s="3">
        <v>26250</v>
      </c>
      <c s="3">
        <v>26250</v>
      </c>
      <c>
        <v>0</v>
      </c>
      <c s="3">
        <v>0</v>
      </c>
      <c s="3">
        <v>508.33</v>
      </c>
      <c s="3">
        <v>26250</v>
      </c>
      <c r="O4" s="1" t="str">
        <f ca="1">HYPERLINK("https://web.datatree.com/?/property?propertyId=31958916", "https://web.datatree.com/?/property?propertyId=31958916")</f>
        <v>https://web.datatree.com/?/property?propertyId=31958916</v>
      </c>
      <c r="Q4" t="s">
        <v>316</v>
      </c>
      <c>
        <v>0.226</v>
      </c>
      <c t="s">
        <v>5471</v>
      </c>
      <c t="s">
        <v>19660</v>
      </c>
      <c t="s">
        <v>1256</v>
      </c>
      <c t="s">
        <v>55339</v>
      </c>
      <c t="s">
        <v>1256</v>
      </c>
      <c t="s">
        <v>21742</v>
      </c>
      <c t="s">
        <v>42879</v>
      </c>
      <c t="s">
        <v>65059</v>
      </c>
      <c t="s">
        <v>39289</v>
      </c>
      <c>
        <v>33905</v>
      </c>
      <c t="s">
        <v>44096</v>
      </c>
      <c t="s">
        <v>48794</v>
      </c>
      <c t="s">
        <v>40379</v>
      </c>
      <c>
        <v>4018</v>
      </c>
      <c r="AI4" t="s">
        <v>6465</v>
      </c>
      <c t="s">
        <v>63316</v>
      </c>
      <c r="AL4" t="s">
        <v>56874</v>
      </c>
      <c t="s">
        <v>52374</v>
      </c>
      <c t="s">
        <v>39289</v>
      </c>
      <c t="s">
        <v>11309</v>
      </c>
      <c t="s">
        <v>43417</v>
      </c>
      <c t="s">
        <v>3093</v>
      </c>
      <c t="s">
        <v>65546</v>
      </c>
    </row>
    <row>
      <c t="s">
        <v>17594</v>
      </c>
      <c t="s">
        <v>56074</v>
      </c>
      <c t="s">
        <v>14354</v>
      </c>
      <c t="s">
        <v>11789</v>
      </c>
      <c t="s">
        <v>45831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" s="1" t="str">
        <f ca="1">HYPERLINK("https://web.datatree.com/?/property?propertyId=31959124", "https://web.datatree.com/?/property?propertyId=31959124")</f>
        <v>https://web.datatree.com/?/property?propertyId=31959124</v>
      </c>
      <c r="Q5" t="s">
        <v>316</v>
      </c>
      <c>
        <v>0.23</v>
      </c>
      <c t="s">
        <v>6175</v>
      </c>
      <c r="U5" t="s">
        <v>855</v>
      </c>
      <c t="s">
        <v>34344</v>
      </c>
      <c t="s">
        <v>56456</v>
      </c>
      <c t="s">
        <v>27271</v>
      </c>
      <c t="s">
        <v>41506</v>
      </c>
      <c t="s">
        <v>2517</v>
      </c>
      <c t="s">
        <v>39289</v>
      </c>
      <c>
        <v>33909</v>
      </c>
      <c t="s">
        <v>50857</v>
      </c>
      <c t="s">
        <v>48794</v>
      </c>
      <c t="s">
        <v>61537</v>
      </c>
      <c>
        <v>373</v>
      </c>
      <c r="AI5" t="s">
        <v>30525</v>
      </c>
      <c t="s">
        <v>45393</v>
      </c>
      <c r="AL5" t="s">
        <v>12583</v>
      </c>
      <c t="s">
        <v>12583</v>
      </c>
      <c t="s">
        <v>65451</v>
      </c>
      <c t="s">
        <v>33816</v>
      </c>
      <c t="s">
        <v>32746</v>
      </c>
      <c t="s">
        <v>3093</v>
      </c>
      <c t="s">
        <v>55620</v>
      </c>
    </row>
    <row>
      <c t="s">
        <v>17594</v>
      </c>
      <c t="s">
        <v>55112</v>
      </c>
      <c t="s">
        <v>63946</v>
      </c>
      <c t="s">
        <v>16300</v>
      </c>
      <c t="s">
        <v>54860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6" s="1" t="str">
        <f ca="1">HYPERLINK("https://web.datatree.com/?/property?propertyId=31959142", "https://web.datatree.com/?/property?propertyId=31959142")</f>
        <v>https://web.datatree.com/?/property?propertyId=31959142</v>
      </c>
      <c r="Q6" t="s">
        <v>316</v>
      </c>
      <c>
        <v>0.23</v>
      </c>
      <c t="s">
        <v>22490</v>
      </c>
      <c t="s">
        <v>50331</v>
      </c>
      <c t="s">
        <v>53961</v>
      </c>
      <c t="s">
        <v>39717</v>
      </c>
      <c t="s">
        <v>53961</v>
      </c>
      <c t="s">
        <v>1690</v>
      </c>
      <c t="s">
        <v>53663</v>
      </c>
      <c t="s">
        <v>2517</v>
      </c>
      <c t="s">
        <v>39289</v>
      </c>
      <c>
        <v>33909</v>
      </c>
      <c t="s">
        <v>20875</v>
      </c>
      <c t="s">
        <v>48794</v>
      </c>
      <c t="s">
        <v>8663</v>
      </c>
      <c>
        <v>10669</v>
      </c>
      <c r="AH6" t="s">
        <v>60953</v>
      </c>
      <c t="s">
        <v>55093</v>
      </c>
      <c t="s">
        <v>40123</v>
      </c>
      <c r="AL6" t="s">
        <v>30105</v>
      </c>
      <c t="s">
        <v>30105</v>
      </c>
      <c t="s">
        <v>50829</v>
      </c>
      <c t="s">
        <v>63612</v>
      </c>
      <c t="s">
        <v>35354</v>
      </c>
      <c t="s">
        <v>3093</v>
      </c>
      <c t="s">
        <v>10342</v>
      </c>
    </row>
    <row>
      <c t="s">
        <v>17594</v>
      </c>
      <c t="s">
        <v>9000</v>
      </c>
      <c t="s">
        <v>51310</v>
      </c>
      <c t="s">
        <v>58523</v>
      </c>
      <c t="s">
        <v>34238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7" s="1" t="str">
        <f ca="1">HYPERLINK("https://web.datatree.com/?/property?propertyId=31959434", "https://web.datatree.com/?/property?propertyId=31959434")</f>
        <v>https://web.datatree.com/?/property?propertyId=31959434</v>
      </c>
      <c r="Q7" t="s">
        <v>316</v>
      </c>
      <c>
        <v>0.23</v>
      </c>
      <c t="s">
        <v>6175</v>
      </c>
      <c t="s">
        <v>16200</v>
      </c>
      <c t="s">
        <v>48271</v>
      </c>
      <c t="s">
        <v>50865</v>
      </c>
      <c t="s">
        <v>48271</v>
      </c>
      <c t="s">
        <v>55813</v>
      </c>
      <c t="s">
        <v>66701</v>
      </c>
      <c t="s">
        <v>2517</v>
      </c>
      <c t="s">
        <v>39289</v>
      </c>
      <c>
        <v>33909</v>
      </c>
      <c t="s">
        <v>7931</v>
      </c>
      <c t="s">
        <v>48794</v>
      </c>
      <c t="s">
        <v>28012</v>
      </c>
      <c>
        <v>31575</v>
      </c>
      <c r="AI7" t="s">
        <v>36228</v>
      </c>
      <c t="s">
        <v>31192</v>
      </c>
      <c r="AL7" t="s">
        <v>57278</v>
      </c>
      <c t="s">
        <v>57278</v>
      </c>
      <c t="s">
        <v>51137</v>
      </c>
      <c t="s">
        <v>31789</v>
      </c>
      <c t="s">
        <v>11138</v>
      </c>
      <c t="s">
        <v>3093</v>
      </c>
      <c t="s">
        <v>31584</v>
      </c>
    </row>
    <row>
      <c t="s">
        <v>17594</v>
      </c>
      <c t="s">
        <v>15261</v>
      </c>
      <c t="s">
        <v>18973</v>
      </c>
      <c t="s">
        <v>27054</v>
      </c>
      <c t="s">
        <v>66926</v>
      </c>
      <c s="3">
        <v>44574</v>
      </c>
      <c s="3">
        <v>44574</v>
      </c>
      <c s="3">
        <v>37950</v>
      </c>
      <c>
        <v>0</v>
      </c>
      <c s="3">
        <v>0</v>
      </c>
      <c s="3">
        <v>1239.31</v>
      </c>
      <c s="3">
        <v>44574</v>
      </c>
      <c r="O8" s="1" t="str">
        <f ca="1">HYPERLINK("https://web.datatree.com/?/property?propertyId=31959551", "https://web.datatree.com/?/property?propertyId=31959551")</f>
        <v>https://web.datatree.com/?/property?propertyId=31959551</v>
      </c>
      <c r="Q8" t="s">
        <v>316</v>
      </c>
      <c>
        <v>0.409</v>
      </c>
      <c t="s">
        <v>6175</v>
      </c>
      <c t="s">
        <v>7343</v>
      </c>
      <c t="s">
        <v>65547</v>
      </c>
      <c t="s">
        <v>54411</v>
      </c>
      <c t="s">
        <v>53877</v>
      </c>
      <c t="s">
        <v>38458</v>
      </c>
      <c t="s">
        <v>52171</v>
      </c>
      <c t="s">
        <v>2517</v>
      </c>
      <c t="s">
        <v>39289</v>
      </c>
      <c>
        <v>33904</v>
      </c>
      <c t="s">
        <v>52212</v>
      </c>
      <c t="s">
        <v>48794</v>
      </c>
      <c t="s">
        <v>12582</v>
      </c>
      <c>
        <v>12353</v>
      </c>
      <c r="AI8" t="s">
        <v>5115</v>
      </c>
      <c t="s">
        <v>45393</v>
      </c>
      <c r="AL8" t="s">
        <v>4859</v>
      </c>
      <c t="s">
        <v>4859</v>
      </c>
      <c t="s">
        <v>39289</v>
      </c>
      <c t="s">
        <v>37567</v>
      </c>
      <c t="s">
        <v>15968</v>
      </c>
      <c t="s">
        <v>3093</v>
      </c>
      <c t="s">
        <v>62523</v>
      </c>
    </row>
    <row>
      <c t="s">
        <v>17594</v>
      </c>
      <c t="s">
        <v>11599</v>
      </c>
      <c t="s">
        <v>45510</v>
      </c>
      <c t="s">
        <v>15078</v>
      </c>
      <c t="s">
        <v>5906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9" s="1" t="str">
        <f ca="1">HYPERLINK("https://web.datatree.com/?/property?propertyId=31959645", "https://web.datatree.com/?/property?propertyId=31959645")</f>
        <v>https://web.datatree.com/?/property?propertyId=31959645</v>
      </c>
      <c r="Q9" t="s">
        <v>316</v>
      </c>
      <c>
        <v>0.23</v>
      </c>
      <c t="s">
        <v>6175</v>
      </c>
      <c t="s">
        <v>34601</v>
      </c>
      <c t="s">
        <v>39827</v>
      </c>
      <c t="s">
        <v>111</v>
      </c>
      <c t="s">
        <v>39827</v>
      </c>
      <c t="s">
        <v>23365</v>
      </c>
      <c t="s">
        <v>53663</v>
      </c>
      <c t="s">
        <v>2517</v>
      </c>
      <c t="s">
        <v>39289</v>
      </c>
      <c>
        <v>33909</v>
      </c>
      <c t="s">
        <v>39593</v>
      </c>
      <c t="s">
        <v>48794</v>
      </c>
      <c t="s">
        <v>59255</v>
      </c>
      <c>
        <v>40</v>
      </c>
      <c r="AI9" t="s">
        <v>33318</v>
      </c>
      <c t="s">
        <v>31192</v>
      </c>
      <c r="AL9" t="s">
        <v>21263</v>
      </c>
      <c r="AN9" t="s">
        <v>26016</v>
      </c>
      <c t="s">
        <v>10864</v>
      </c>
      <c t="s">
        <v>12241</v>
      </c>
      <c t="s">
        <v>3093</v>
      </c>
      <c t="s">
        <v>65312</v>
      </c>
    </row>
    <row>
      <c t="s">
        <v>17594</v>
      </c>
      <c t="s">
        <v>12150</v>
      </c>
      <c t="s">
        <v>51521</v>
      </c>
      <c t="s">
        <v>66328</v>
      </c>
      <c t="s">
        <v>3672</v>
      </c>
      <c s="3">
        <v>26290</v>
      </c>
      <c s="3">
        <v>26290</v>
      </c>
      <c s="3">
        <v>26290</v>
      </c>
      <c>
        <v>0</v>
      </c>
      <c s="3">
        <v>0</v>
      </c>
      <c s="3">
        <v>789.75</v>
      </c>
      <c s="3">
        <v>26290</v>
      </c>
      <c r="O10" s="1" t="str">
        <f ca="1">HYPERLINK("https://web.datatree.com/?/property?propertyId=31959713", "https://web.datatree.com/?/property?propertyId=31959713")</f>
        <v>https://web.datatree.com/?/property?propertyId=31959713</v>
      </c>
      <c r="Q10" t="s">
        <v>316</v>
      </c>
      <c>
        <v>0.23</v>
      </c>
      <c t="s">
        <v>22490</v>
      </c>
      <c t="s">
        <v>27704</v>
      </c>
      <c t="s">
        <v>47419</v>
      </c>
      <c r="X10" t="s">
        <v>59261</v>
      </c>
      <c t="s">
        <v>66701</v>
      </c>
      <c t="s">
        <v>2517</v>
      </c>
      <c t="s">
        <v>39289</v>
      </c>
      <c>
        <v>33909</v>
      </c>
      <c t="s">
        <v>3538</v>
      </c>
      <c t="s">
        <v>48794</v>
      </c>
      <c t="s">
        <v>20054</v>
      </c>
      <c>
        <v>1404</v>
      </c>
      <c r="AI10" t="s">
        <v>37798</v>
      </c>
      <c t="s">
        <v>31192</v>
      </c>
      <c r="AL10" t="s">
        <v>44151</v>
      </c>
      <c t="s">
        <v>44151</v>
      </c>
      <c t="s">
        <v>19878</v>
      </c>
      <c t="s">
        <v>38264</v>
      </c>
      <c t="s">
        <v>49977</v>
      </c>
      <c t="s">
        <v>3093</v>
      </c>
      <c t="s">
        <v>24510</v>
      </c>
    </row>
    <row>
      <c t="s">
        <v>17594</v>
      </c>
      <c t="s">
        <v>45991</v>
      </c>
      <c t="s">
        <v>37939</v>
      </c>
      <c t="s">
        <v>4526</v>
      </c>
      <c t="s">
        <v>51433</v>
      </c>
      <c s="3">
        <v>9240</v>
      </c>
      <c s="3">
        <v>9240</v>
      </c>
      <c s="3">
        <v>9240</v>
      </c>
      <c>
        <v>0</v>
      </c>
      <c s="3">
        <v>0</v>
      </c>
      <c s="3">
        <v>695.07</v>
      </c>
      <c s="3">
        <v>9240</v>
      </c>
      <c r="O11" s="1" t="str">
        <f ca="1">HYPERLINK("https://web.datatree.com/?/property?propertyId=31959801", "https://web.datatree.com/?/property?propertyId=31959801")</f>
        <v>https://web.datatree.com/?/property?propertyId=31959801</v>
      </c>
      <c r="Q11" t="s">
        <v>316</v>
      </c>
      <c>
        <v>0.344</v>
      </c>
      <c t="s">
        <v>22490</v>
      </c>
      <c t="s">
        <v>44349</v>
      </c>
      <c t="s">
        <v>11570</v>
      </c>
      <c t="s">
        <v>16184</v>
      </c>
      <c t="s">
        <v>11570</v>
      </c>
      <c t="s">
        <v>64157</v>
      </c>
      <c t="s">
        <v>55273</v>
      </c>
      <c t="s">
        <v>2517</v>
      </c>
      <c t="s">
        <v>39289</v>
      </c>
      <c>
        <v>33909</v>
      </c>
      <c>
        <v>33909</v>
      </c>
      <c t="s">
        <v>48794</v>
      </c>
      <c t="s">
        <v>46522</v>
      </c>
      <c>
        <v>3418</v>
      </c>
      <c r="AI11" t="s">
        <v>39881</v>
      </c>
      <c t="s">
        <v>31192</v>
      </c>
      <c r="AL11" t="s">
        <v>29964</v>
      </c>
      <c r="AN11" t="s">
        <v>51137</v>
      </c>
      <c t="s">
        <v>52677</v>
      </c>
      <c t="s">
        <v>27410</v>
      </c>
      <c t="s">
        <v>3093</v>
      </c>
      <c t="s">
        <v>38107</v>
      </c>
    </row>
    <row>
      <c t="s">
        <v>17594</v>
      </c>
      <c t="s">
        <v>28699</v>
      </c>
      <c t="s">
        <v>37018</v>
      </c>
      <c t="s">
        <v>71</v>
      </c>
      <c t="s">
        <v>27571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2" s="1" t="str">
        <f ca="1">HYPERLINK("https://web.datatree.com/?/property?propertyId=31960012", "https://web.datatree.com/?/property?propertyId=31960012")</f>
        <v>https://web.datatree.com/?/property?propertyId=31960012</v>
      </c>
      <c r="Q12" t="s">
        <v>316</v>
      </c>
      <c>
        <v>0.23</v>
      </c>
      <c t="s">
        <v>6175</v>
      </c>
      <c t="s">
        <v>33269</v>
      </c>
      <c t="s">
        <v>16807</v>
      </c>
      <c t="s">
        <v>15051</v>
      </c>
      <c t="s">
        <v>16807</v>
      </c>
      <c t="s">
        <v>4710</v>
      </c>
      <c t="s">
        <v>38550</v>
      </c>
      <c t="s">
        <v>2517</v>
      </c>
      <c t="s">
        <v>39289</v>
      </c>
      <c>
        <v>33909</v>
      </c>
      <c t="s">
        <v>12629</v>
      </c>
      <c t="s">
        <v>48794</v>
      </c>
      <c t="s">
        <v>21620</v>
      </c>
      <c>
        <v>46</v>
      </c>
      <c r="AI12" t="s">
        <v>66275</v>
      </c>
      <c t="s">
        <v>4985</v>
      </c>
      <c r="AL12" t="s">
        <v>22048</v>
      </c>
      <c r="AN12" t="s">
        <v>50917</v>
      </c>
      <c t="s">
        <v>37033</v>
      </c>
      <c t="s">
        <v>35508</v>
      </c>
      <c t="s">
        <v>3093</v>
      </c>
      <c t="s">
        <v>50469</v>
      </c>
    </row>
    <row>
      <c t="s">
        <v>17594</v>
      </c>
      <c t="s">
        <v>38398</v>
      </c>
      <c t="s">
        <v>53642</v>
      </c>
      <c t="s">
        <v>20968</v>
      </c>
      <c t="s">
        <v>34524</v>
      </c>
      <c s="3">
        <v>34028</v>
      </c>
      <c s="3">
        <v>34028</v>
      </c>
      <c s="3">
        <v>34028</v>
      </c>
      <c>
        <v>0</v>
      </c>
      <c s="3">
        <v>0</v>
      </c>
      <c s="3">
        <v>464.55</v>
      </c>
      <c s="3">
        <v>34028</v>
      </c>
      <c r="O13" s="1" t="str">
        <f ca="1">HYPERLINK("https://web.datatree.com/?/property?propertyId=31960236", "https://web.datatree.com/?/property?propertyId=31960236")</f>
        <v>https://web.datatree.com/?/property?propertyId=31960236</v>
      </c>
      <c r="Q13" t="s">
        <v>316</v>
      </c>
      <c>
        <v>0.138</v>
      </c>
      <c t="s">
        <v>5471</v>
      </c>
      <c t="s">
        <v>3293</v>
      </c>
      <c t="s">
        <v>46253</v>
      </c>
      <c t="s">
        <v>16893</v>
      </c>
      <c t="s">
        <v>46253</v>
      </c>
      <c t="s">
        <v>26090</v>
      </c>
      <c t="s">
        <v>19177</v>
      </c>
      <c t="s">
        <v>65059</v>
      </c>
      <c t="s">
        <v>39289</v>
      </c>
      <c>
        <v>33905</v>
      </c>
      <c>
        <v>33905</v>
      </c>
      <c t="s">
        <v>48794</v>
      </c>
      <c t="s">
        <v>49802</v>
      </c>
      <c>
        <v>28834</v>
      </c>
      <c r="AI13" t="s">
        <v>32272</v>
      </c>
      <c r="AL13" t="s">
        <v>51207</v>
      </c>
      <c t="s">
        <v>40227</v>
      </c>
      <c t="s">
        <v>58733</v>
      </c>
      <c t="s">
        <v>53018</v>
      </c>
      <c t="s">
        <v>14695</v>
      </c>
      <c t="s">
        <v>3093</v>
      </c>
      <c t="s">
        <v>61158</v>
      </c>
    </row>
    <row>
      <c t="s">
        <v>17594</v>
      </c>
      <c t="s">
        <v>19600</v>
      </c>
      <c t="s">
        <v>60191</v>
      </c>
      <c t="s">
        <v>60628</v>
      </c>
      <c t="s">
        <v>41730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4" s="1" t="str">
        <f ca="1">HYPERLINK("https://web.datatree.com/?/property?propertyId=31960317", "https://web.datatree.com/?/property?propertyId=31960317")</f>
        <v>https://web.datatree.com/?/property?propertyId=31960317</v>
      </c>
      <c r="Q14" t="s">
        <v>316</v>
      </c>
      <c>
        <v>0.23</v>
      </c>
      <c t="s">
        <v>6175</v>
      </c>
      <c t="s">
        <v>48755</v>
      </c>
      <c t="s">
        <v>28545</v>
      </c>
      <c t="s">
        <v>53608</v>
      </c>
      <c t="s">
        <v>28545</v>
      </c>
      <c t="s">
        <v>324</v>
      </c>
      <c t="s">
        <v>38550</v>
      </c>
      <c t="s">
        <v>2517</v>
      </c>
      <c t="s">
        <v>39289</v>
      </c>
      <c>
        <v>33909</v>
      </c>
      <c t="s">
        <v>55163</v>
      </c>
      <c t="s">
        <v>48794</v>
      </c>
      <c t="s">
        <v>48017</v>
      </c>
      <c>
        <v>260</v>
      </c>
      <c r="AI14" t="s">
        <v>16200</v>
      </c>
      <c t="s">
        <v>45393</v>
      </c>
      <c r="AL14" t="s">
        <v>18513</v>
      </c>
      <c r="AN14" t="s">
        <v>50917</v>
      </c>
      <c t="s">
        <v>2418</v>
      </c>
      <c t="s">
        <v>27553</v>
      </c>
      <c t="s">
        <v>3093</v>
      </c>
      <c t="s">
        <v>6896</v>
      </c>
    </row>
    <row>
      <c t="s">
        <v>17594</v>
      </c>
      <c t="s">
        <v>41654</v>
      </c>
      <c t="s">
        <v>32435</v>
      </c>
      <c t="s">
        <v>1815</v>
      </c>
      <c t="s">
        <v>36728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5" s="1" t="str">
        <f ca="1">HYPERLINK("https://web.datatree.com/?/property?propertyId=31960347", "https://web.datatree.com/?/property?propertyId=31960347")</f>
        <v>https://web.datatree.com/?/property?propertyId=31960347</v>
      </c>
      <c r="Q15" t="s">
        <v>316</v>
      </c>
      <c>
        <v>0.23</v>
      </c>
      <c t="s">
        <v>6175</v>
      </c>
      <c t="s">
        <v>51187</v>
      </c>
      <c t="s">
        <v>45794</v>
      </c>
      <c r="X15" t="s">
        <v>10076</v>
      </c>
      <c t="s">
        <v>14534</v>
      </c>
      <c t="s">
        <v>2517</v>
      </c>
      <c t="s">
        <v>39289</v>
      </c>
      <c>
        <v>33909</v>
      </c>
      <c t="s">
        <v>23079</v>
      </c>
      <c t="s">
        <v>48794</v>
      </c>
      <c t="s">
        <v>24434</v>
      </c>
      <c>
        <v>3600</v>
      </c>
      <c r="AI15" t="s">
        <v>46128</v>
      </c>
      <c t="s">
        <v>24900</v>
      </c>
      <c r="AL15" t="s">
        <v>21676</v>
      </c>
      <c t="s">
        <v>21676</v>
      </c>
      <c t="s">
        <v>39289</v>
      </c>
      <c t="s">
        <v>45354</v>
      </c>
      <c t="s">
        <v>44726</v>
      </c>
      <c t="s">
        <v>3093</v>
      </c>
      <c t="s">
        <v>17997</v>
      </c>
    </row>
    <row>
      <c t="s">
        <v>17594</v>
      </c>
      <c t="s">
        <v>17253</v>
      </c>
      <c t="s">
        <v>50694</v>
      </c>
      <c t="s">
        <v>11078</v>
      </c>
      <c t="s">
        <v>24605</v>
      </c>
      <c s="3">
        <v>47864</v>
      </c>
      <c s="3">
        <v>47864</v>
      </c>
      <c s="3">
        <v>17448</v>
      </c>
      <c>
        <v>0</v>
      </c>
      <c s="3">
        <v>0</v>
      </c>
      <c s="3">
        <v>857.63</v>
      </c>
      <c s="3">
        <v>47864</v>
      </c>
      <c r="O16" s="1" t="str">
        <f ca="1">HYPERLINK("https://web.datatree.com/?/property?propertyId=31960437", "https://web.datatree.com/?/property?propertyId=31960437")</f>
        <v>https://web.datatree.com/?/property?propertyId=31960437</v>
      </c>
      <c r="Q16" t="s">
        <v>316</v>
      </c>
      <c>
        <v>0.23</v>
      </c>
      <c t="s">
        <v>6175</v>
      </c>
      <c t="s">
        <v>6294</v>
      </c>
      <c t="s">
        <v>66839</v>
      </c>
      <c t="s">
        <v>14925</v>
      </c>
      <c t="s">
        <v>66839</v>
      </c>
      <c t="s">
        <v>34072</v>
      </c>
      <c t="s">
        <v>2542</v>
      </c>
      <c t="s">
        <v>2517</v>
      </c>
      <c t="s">
        <v>39289</v>
      </c>
      <c>
        <v>33904</v>
      </c>
      <c t="s">
        <v>25458</v>
      </c>
      <c t="s">
        <v>48794</v>
      </c>
      <c t="s">
        <v>44679</v>
      </c>
      <c>
        <v>618</v>
      </c>
      <c r="AI16" t="s">
        <v>346</v>
      </c>
      <c t="s">
        <v>29535</v>
      </c>
      <c r="AL16" t="s">
        <v>62708</v>
      </c>
      <c r="AN16" t="s">
        <v>58811</v>
      </c>
      <c t="s">
        <v>63283</v>
      </c>
      <c r="AQ16" t="s">
        <v>27814</v>
      </c>
      <c t="s">
        <v>13733</v>
      </c>
    </row>
    <row>
      <c t="s">
        <v>17594</v>
      </c>
      <c t="s">
        <v>51123</v>
      </c>
      <c t="s">
        <v>9967</v>
      </c>
      <c t="s">
        <v>15203</v>
      </c>
      <c t="s">
        <v>67132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17" s="1" t="str">
        <f ca="1">HYPERLINK("https://web.datatree.com/?/property?propertyId=31961066", "https://web.datatree.com/?/property?propertyId=31961066")</f>
        <v>https://web.datatree.com/?/property?propertyId=31961066</v>
      </c>
      <c r="Q17" t="s">
        <v>316</v>
      </c>
      <c>
        <v>0.23</v>
      </c>
      <c t="s">
        <v>6175</v>
      </c>
      <c t="s">
        <v>40249</v>
      </c>
      <c t="s">
        <v>53971</v>
      </c>
      <c t="s">
        <v>51844</v>
      </c>
      <c t="s">
        <v>40291</v>
      </c>
      <c t="s">
        <v>31827</v>
      </c>
      <c t="s">
        <v>66701</v>
      </c>
      <c t="s">
        <v>2517</v>
      </c>
      <c t="s">
        <v>39289</v>
      </c>
      <c>
        <v>33909</v>
      </c>
      <c t="s">
        <v>60365</v>
      </c>
      <c t="s">
        <v>48794</v>
      </c>
      <c t="s">
        <v>59851</v>
      </c>
      <c>
        <v>607</v>
      </c>
      <c r="AI17" t="s">
        <v>11711</v>
      </c>
      <c t="s">
        <v>40123</v>
      </c>
      <c r="AL17" t="s">
        <v>55393</v>
      </c>
      <c t="s">
        <v>18365</v>
      </c>
      <c t="s">
        <v>39289</v>
      </c>
      <c t="s">
        <v>12920</v>
      </c>
      <c t="s">
        <v>44726</v>
      </c>
      <c t="s">
        <v>3093</v>
      </c>
      <c t="s">
        <v>39318</v>
      </c>
    </row>
    <row>
      <c t="s">
        <v>17594</v>
      </c>
      <c t="s">
        <v>54476</v>
      </c>
      <c t="s">
        <v>34892</v>
      </c>
      <c t="s">
        <v>19667</v>
      </c>
      <c t="s">
        <v>53872</v>
      </c>
      <c s="3">
        <v>26249</v>
      </c>
      <c s="3">
        <v>26249</v>
      </c>
      <c s="3">
        <v>9339</v>
      </c>
      <c>
        <v>0</v>
      </c>
      <c s="3">
        <v>0</v>
      </c>
      <c s="3">
        <v>619.98</v>
      </c>
      <c s="3">
        <v>26249</v>
      </c>
      <c r="O18" s="1" t="str">
        <f ca="1">HYPERLINK("https://web.datatree.com/?/property?propertyId=31961580", "https://web.datatree.com/?/property?propertyId=31961580")</f>
        <v>https://web.datatree.com/?/property?propertyId=31961580</v>
      </c>
      <c r="Q18" t="s">
        <v>316</v>
      </c>
      <c>
        <v>0.241</v>
      </c>
      <c t="s">
        <v>6175</v>
      </c>
      <c t="s">
        <v>6209</v>
      </c>
      <c t="s">
        <v>49928</v>
      </c>
      <c r="X18" t="s">
        <v>27666</v>
      </c>
      <c t="s">
        <v>39082</v>
      </c>
      <c t="s">
        <v>2517</v>
      </c>
      <c t="s">
        <v>39289</v>
      </c>
      <c>
        <v>33909</v>
      </c>
      <c t="s">
        <v>1025</v>
      </c>
      <c t="s">
        <v>48794</v>
      </c>
      <c t="s">
        <v>7892</v>
      </c>
      <c>
        <v>14999</v>
      </c>
      <c r="AI18" t="s">
        <v>36695</v>
      </c>
      <c t="s">
        <v>39321</v>
      </c>
      <c r="AL18" t="s">
        <v>55393</v>
      </c>
      <c r="AN18" t="s">
        <v>39289</v>
      </c>
      <c t="s">
        <v>40156</v>
      </c>
      <c t="s">
        <v>51114</v>
      </c>
      <c t="s">
        <v>3093</v>
      </c>
      <c t="s">
        <v>19155</v>
      </c>
    </row>
    <row>
      <c t="s">
        <v>17594</v>
      </c>
      <c t="s">
        <v>54301</v>
      </c>
      <c t="s">
        <v>15903</v>
      </c>
      <c t="s">
        <v>16620</v>
      </c>
      <c t="s">
        <v>15703</v>
      </c>
      <c s="3">
        <v>7980</v>
      </c>
      <c s="3">
        <v>7980</v>
      </c>
      <c s="3">
        <v>7980</v>
      </c>
      <c>
        <v>0</v>
      </c>
      <c s="3">
        <v>0</v>
      </c>
      <c s="3">
        <v>660.2</v>
      </c>
      <c s="3">
        <v>7980</v>
      </c>
      <c r="O19" s="1" t="str">
        <f ca="1">HYPERLINK("https://web.datatree.com/?/property?propertyId=31961729", "https://web.datatree.com/?/property?propertyId=31961729")</f>
        <v>https://web.datatree.com/?/property?propertyId=31961729</v>
      </c>
      <c r="Q19" t="s">
        <v>316</v>
      </c>
      <c>
        <v>0.332</v>
      </c>
      <c t="s">
        <v>22490</v>
      </c>
      <c t="s">
        <v>2318</v>
      </c>
      <c t="s">
        <v>23878</v>
      </c>
      <c t="s">
        <v>41185</v>
      </c>
      <c t="s">
        <v>52101</v>
      </c>
      <c t="s">
        <v>25134</v>
      </c>
      <c t="s">
        <v>13829</v>
      </c>
      <c t="s">
        <v>2517</v>
      </c>
      <c t="s">
        <v>39289</v>
      </c>
      <c>
        <v>33909</v>
      </c>
      <c>
        <v>33909</v>
      </c>
      <c t="s">
        <v>48794</v>
      </c>
      <c t="s">
        <v>59818</v>
      </c>
      <c>
        <v>315</v>
      </c>
      <c r="AI19" t="s">
        <v>7968</v>
      </c>
      <c t="s">
        <v>31192</v>
      </c>
      <c r="AL19" t="s">
        <v>29206</v>
      </c>
      <c r="AN19" t="s">
        <v>63985</v>
      </c>
      <c t="s">
        <v>10182</v>
      </c>
      <c t="s">
        <v>62830</v>
      </c>
      <c t="s">
        <v>3093</v>
      </c>
      <c t="s">
        <v>44774</v>
      </c>
    </row>
    <row>
      <c t="s">
        <v>17594</v>
      </c>
      <c t="s">
        <v>51544</v>
      </c>
      <c t="s">
        <v>49766</v>
      </c>
      <c t="s">
        <v>25767</v>
      </c>
      <c t="s">
        <v>581</v>
      </c>
      <c s="3">
        <v>7600</v>
      </c>
      <c s="3">
        <v>7600</v>
      </c>
      <c s="3">
        <v>7600</v>
      </c>
      <c>
        <v>0</v>
      </c>
      <c s="3">
        <v>0</v>
      </c>
      <c s="3">
        <v>471.27</v>
      </c>
      <c s="3">
        <v>7600</v>
      </c>
      <c r="O20" s="1" t="str">
        <f ca="1">HYPERLINK("https://web.datatree.com/?/property?propertyId=31961767", "https://web.datatree.com/?/property?propertyId=31961767")</f>
        <v>https://web.datatree.com/?/property?propertyId=31961767</v>
      </c>
      <c r="Q20" t="s">
        <v>316</v>
      </c>
      <c>
        <v>0.23</v>
      </c>
      <c t="s">
        <v>6175</v>
      </c>
      <c t="s">
        <v>18995</v>
      </c>
      <c t="s">
        <v>39666</v>
      </c>
      <c t="s">
        <v>41542</v>
      </c>
      <c t="s">
        <v>41554</v>
      </c>
      <c t="s">
        <v>32416</v>
      </c>
      <c t="s">
        <v>13829</v>
      </c>
      <c t="s">
        <v>2517</v>
      </c>
      <c t="s">
        <v>39289</v>
      </c>
      <c>
        <v>33909</v>
      </c>
      <c t="s">
        <v>23187</v>
      </c>
      <c t="s">
        <v>48794</v>
      </c>
      <c t="s">
        <v>9586</v>
      </c>
      <c>
        <v>27082</v>
      </c>
      <c r="AI20" t="s">
        <v>28828</v>
      </c>
      <c t="s">
        <v>25963</v>
      </c>
      <c r="AL20" t="s">
        <v>30396</v>
      </c>
      <c t="s">
        <v>43210</v>
      </c>
      <c t="s">
        <v>39289</v>
      </c>
      <c t="s">
        <v>54603</v>
      </c>
      <c t="s">
        <v>47183</v>
      </c>
      <c t="s">
        <v>3093</v>
      </c>
      <c t="s">
        <v>27607</v>
      </c>
    </row>
    <row>
      <c t="s">
        <v>17594</v>
      </c>
      <c t="s">
        <v>38060</v>
      </c>
      <c t="s">
        <v>44785</v>
      </c>
      <c t="s">
        <v>35128</v>
      </c>
      <c t="s">
        <v>15512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1" s="1" t="str">
        <f ca="1">HYPERLINK("https://web.datatree.com/?/property?propertyId=31961936", "https://web.datatree.com/?/property?propertyId=31961936")</f>
        <v>https://web.datatree.com/?/property?propertyId=31961936</v>
      </c>
      <c r="Q21" t="s">
        <v>316</v>
      </c>
      <c>
        <v>0.23</v>
      </c>
      <c t="s">
        <v>6175</v>
      </c>
      <c t="s">
        <v>25867</v>
      </c>
      <c t="s">
        <v>55147</v>
      </c>
      <c r="X21" t="s">
        <v>40724</v>
      </c>
      <c t="s">
        <v>38550</v>
      </c>
      <c t="s">
        <v>2517</v>
      </c>
      <c t="s">
        <v>39289</v>
      </c>
      <c>
        <v>33909</v>
      </c>
      <c t="s">
        <v>56419</v>
      </c>
      <c t="s">
        <v>48794</v>
      </c>
      <c t="s">
        <v>50076</v>
      </c>
      <c>
        <v>7285</v>
      </c>
      <c r="AI21" t="s">
        <v>34731</v>
      </c>
      <c t="s">
        <v>40123</v>
      </c>
      <c r="AL21" t="s">
        <v>29515</v>
      </c>
      <c t="s">
        <v>29515</v>
      </c>
      <c t="s">
        <v>39289</v>
      </c>
      <c t="s">
        <v>64281</v>
      </c>
      <c t="s">
        <v>26416</v>
      </c>
      <c t="s">
        <v>3093</v>
      </c>
      <c t="s">
        <v>6602</v>
      </c>
    </row>
    <row>
      <c t="s">
        <v>17594</v>
      </c>
      <c t="s">
        <v>25401</v>
      </c>
      <c t="s">
        <v>52155</v>
      </c>
      <c t="s">
        <v>55356</v>
      </c>
      <c t="s">
        <v>5673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2" s="1" t="str">
        <f ca="1">HYPERLINK("https://web.datatree.com/?/property?propertyId=31962173", "https://web.datatree.com/?/property?propertyId=31962173")</f>
        <v>https://web.datatree.com/?/property?propertyId=31962173</v>
      </c>
      <c r="Q22" t="s">
        <v>316</v>
      </c>
      <c>
        <v>0.229</v>
      </c>
      <c t="s">
        <v>6175</v>
      </c>
      <c t="s">
        <v>1859</v>
      </c>
      <c t="s">
        <v>54773</v>
      </c>
      <c t="s">
        <v>21379</v>
      </c>
      <c t="s">
        <v>54773</v>
      </c>
      <c t="s">
        <v>31413</v>
      </c>
      <c t="s">
        <v>53675</v>
      </c>
      <c t="s">
        <v>2517</v>
      </c>
      <c t="s">
        <v>39289</v>
      </c>
      <c>
        <v>33909</v>
      </c>
      <c t="s">
        <v>38303</v>
      </c>
      <c t="s">
        <v>48794</v>
      </c>
      <c t="s">
        <v>2070</v>
      </c>
      <c>
        <v>3270</v>
      </c>
      <c r="AI22" t="s">
        <v>46939</v>
      </c>
      <c t="s">
        <v>45393</v>
      </c>
      <c r="AL22" t="s">
        <v>23311</v>
      </c>
      <c r="AN22" t="s">
        <v>56163</v>
      </c>
      <c t="s">
        <v>26956</v>
      </c>
      <c t="s">
        <v>47183</v>
      </c>
      <c t="s">
        <v>3093</v>
      </c>
      <c t="s">
        <v>19742</v>
      </c>
    </row>
    <row>
      <c t="s">
        <v>17594</v>
      </c>
      <c t="s">
        <v>64764</v>
      </c>
      <c t="s">
        <v>41028</v>
      </c>
      <c t="s">
        <v>60859</v>
      </c>
      <c t="s">
        <v>21795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23" s="1" t="str">
        <f ca="1">HYPERLINK("https://web.datatree.com/?/property?propertyId=31962266", "https://web.datatree.com/?/property?propertyId=31962266")</f>
        <v>https://web.datatree.com/?/property?propertyId=31962266</v>
      </c>
      <c r="Q23" t="s">
        <v>316</v>
      </c>
      <c>
        <v>0.23</v>
      </c>
      <c t="s">
        <v>15461</v>
      </c>
      <c t="s">
        <v>6209</v>
      </c>
      <c t="s">
        <v>15551</v>
      </c>
      <c r="X23" t="s">
        <v>60511</v>
      </c>
      <c t="s">
        <v>7113</v>
      </c>
      <c t="s">
        <v>2517</v>
      </c>
      <c t="s">
        <v>39289</v>
      </c>
      <c>
        <v>33909</v>
      </c>
      <c t="s">
        <v>50041</v>
      </c>
      <c t="s">
        <v>48794</v>
      </c>
      <c t="s">
        <v>13049</v>
      </c>
      <c>
        <v>17031</v>
      </c>
      <c r="AI23" t="s">
        <v>18679</v>
      </c>
      <c t="s">
        <v>40123</v>
      </c>
      <c r="AL23" t="s">
        <v>55393</v>
      </c>
      <c r="AN23" t="s">
        <v>39289</v>
      </c>
      <c t="s">
        <v>34043</v>
      </c>
      <c t="s">
        <v>53800</v>
      </c>
      <c t="s">
        <v>3093</v>
      </c>
      <c t="s">
        <v>56799</v>
      </c>
    </row>
    <row>
      <c t="s">
        <v>17594</v>
      </c>
      <c t="s">
        <v>12981</v>
      </c>
      <c t="s">
        <v>36820</v>
      </c>
      <c t="s">
        <v>33567</v>
      </c>
      <c t="s">
        <v>24875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24" s="1" t="str">
        <f ca="1">HYPERLINK("https://web.datatree.com/?/property?propertyId=31962794", "https://web.datatree.com/?/property?propertyId=31962794")</f>
        <v>https://web.datatree.com/?/property?propertyId=31962794</v>
      </c>
      <c r="Q24" t="s">
        <v>316</v>
      </c>
      <c>
        <v>0.23</v>
      </c>
      <c t="s">
        <v>6175</v>
      </c>
      <c t="s">
        <v>15429</v>
      </c>
      <c t="s">
        <v>50816</v>
      </c>
      <c r="X24" t="s">
        <v>18794</v>
      </c>
      <c t="s">
        <v>39082</v>
      </c>
      <c t="s">
        <v>2517</v>
      </c>
      <c t="s">
        <v>39289</v>
      </c>
      <c>
        <v>33909</v>
      </c>
      <c t="s">
        <v>10270</v>
      </c>
      <c t="s">
        <v>48794</v>
      </c>
      <c t="s">
        <v>51459</v>
      </c>
      <c>
        <v>28241</v>
      </c>
      <c r="AI24" t="s">
        <v>38865</v>
      </c>
      <c r="AL24" t="s">
        <v>64412</v>
      </c>
      <c t="s">
        <v>64412</v>
      </c>
      <c t="s">
        <v>65451</v>
      </c>
      <c t="s">
        <v>47295</v>
      </c>
      <c t="s">
        <v>3364</v>
      </c>
      <c t="s">
        <v>3093</v>
      </c>
      <c t="s">
        <v>31364</v>
      </c>
    </row>
    <row>
      <c t="s">
        <v>17594</v>
      </c>
      <c t="s">
        <v>8684</v>
      </c>
      <c t="s">
        <v>25825</v>
      </c>
      <c t="s">
        <v>23913</v>
      </c>
      <c t="s">
        <v>61193</v>
      </c>
      <c s="3">
        <v>10600</v>
      </c>
      <c s="3">
        <v>10600</v>
      </c>
      <c s="3">
        <v>10600</v>
      </c>
      <c>
        <v>0</v>
      </c>
      <c s="3">
        <v>0</v>
      </c>
      <c s="3">
        <v>708.33</v>
      </c>
      <c s="3">
        <v>10600</v>
      </c>
      <c r="O25" s="1" t="str">
        <f ca="1">HYPERLINK("https://web.datatree.com/?/property?propertyId=31962860", "https://web.datatree.com/?/property?propertyId=31962860")</f>
        <v>https://web.datatree.com/?/property?propertyId=31962860</v>
      </c>
      <c r="Q25" t="s">
        <v>316</v>
      </c>
      <c>
        <v>0.23</v>
      </c>
      <c t="s">
        <v>6175</v>
      </c>
      <c t="s">
        <v>35980</v>
      </c>
      <c t="s">
        <v>43112</v>
      </c>
      <c t="s">
        <v>29210</v>
      </c>
      <c t="s">
        <v>43112</v>
      </c>
      <c t="s">
        <v>34998</v>
      </c>
      <c t="s">
        <v>39082</v>
      </c>
      <c t="s">
        <v>2517</v>
      </c>
      <c t="s">
        <v>39289</v>
      </c>
      <c>
        <v>33909</v>
      </c>
      <c t="s">
        <v>40560</v>
      </c>
      <c t="s">
        <v>48794</v>
      </c>
      <c t="s">
        <v>57150</v>
      </c>
      <c>
        <v>8695</v>
      </c>
      <c r="AI25" t="s">
        <v>10859</v>
      </c>
      <c t="s">
        <v>41372</v>
      </c>
      <c>
        <v>4</v>
      </c>
      <c t="s">
        <v>54251</v>
      </c>
      <c t="s">
        <v>54251</v>
      </c>
      <c t="s">
        <v>39289</v>
      </c>
      <c t="s">
        <v>18104</v>
      </c>
      <c t="s">
        <v>4480</v>
      </c>
      <c t="s">
        <v>3093</v>
      </c>
      <c t="s">
        <v>42565</v>
      </c>
    </row>
    <row>
      <c t="s">
        <v>17594</v>
      </c>
      <c t="s">
        <v>20350</v>
      </c>
      <c t="s">
        <v>28190</v>
      </c>
      <c t="s">
        <v>12160</v>
      </c>
      <c t="s">
        <v>19692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6" s="1" t="str">
        <f ca="1">HYPERLINK("https://web.datatree.com/?/property?propertyId=31962936", "https://web.datatree.com/?/property?propertyId=31962936")</f>
        <v>https://web.datatree.com/?/property?propertyId=31962936</v>
      </c>
      <c r="Q26" t="s">
        <v>316</v>
      </c>
      <c>
        <v>0.23</v>
      </c>
      <c t="s">
        <v>6175</v>
      </c>
      <c r="U26" t="s">
        <v>51939</v>
      </c>
      <c t="s">
        <v>32401</v>
      </c>
      <c t="s">
        <v>14163</v>
      </c>
      <c t="s">
        <v>59091</v>
      </c>
      <c t="s">
        <v>2619</v>
      </c>
      <c t="s">
        <v>2517</v>
      </c>
      <c t="s">
        <v>39289</v>
      </c>
      <c>
        <v>33909</v>
      </c>
      <c t="s">
        <v>16979</v>
      </c>
      <c t="s">
        <v>48794</v>
      </c>
      <c t="s">
        <v>15673</v>
      </c>
      <c>
        <v>227</v>
      </c>
      <c r="AI26" t="s">
        <v>578</v>
      </c>
      <c t="s">
        <v>24900</v>
      </c>
      <c r="AL26" t="s">
        <v>23660</v>
      </c>
      <c r="AN26" t="s">
        <v>50917</v>
      </c>
      <c t="s">
        <v>25667</v>
      </c>
      <c t="s">
        <v>45980</v>
      </c>
      <c t="s">
        <v>3093</v>
      </c>
      <c t="s">
        <v>41296</v>
      </c>
    </row>
    <row>
      <c t="s">
        <v>17594</v>
      </c>
      <c t="s">
        <v>45748</v>
      </c>
      <c t="s">
        <v>57887</v>
      </c>
      <c t="s">
        <v>17324</v>
      </c>
      <c t="s">
        <v>19798</v>
      </c>
      <c s="3">
        <v>8425</v>
      </c>
      <c s="3">
        <v>8425</v>
      </c>
      <c s="3">
        <v>4972</v>
      </c>
      <c>
        <v>0</v>
      </c>
      <c s="3">
        <v>0</v>
      </c>
      <c s="3">
        <v>316.66</v>
      </c>
      <c s="3">
        <v>8425</v>
      </c>
      <c r="O27" s="1" t="str">
        <f ca="1">HYPERLINK("https://web.datatree.com/?/property?propertyId=31963206", "https://web.datatree.com/?/property?propertyId=31963206")</f>
        <v>https://web.datatree.com/?/property?propertyId=31963206</v>
      </c>
      <c r="Q27" t="s">
        <v>316</v>
      </c>
      <c>
        <v>0.242</v>
      </c>
      <c t="s">
        <v>5471</v>
      </c>
      <c t="s">
        <v>1611</v>
      </c>
      <c t="s">
        <v>55860</v>
      </c>
      <c r="X27" t="s">
        <v>30660</v>
      </c>
      <c t="s">
        <v>7871</v>
      </c>
      <c t="s">
        <v>65059</v>
      </c>
      <c t="s">
        <v>39289</v>
      </c>
      <c>
        <v>33905</v>
      </c>
      <c t="s">
        <v>15421</v>
      </c>
      <c t="s">
        <v>48794</v>
      </c>
      <c t="s">
        <v>64190</v>
      </c>
      <c>
        <v>204</v>
      </c>
      <c r="AI27" t="s">
        <v>5263</v>
      </c>
      <c t="s">
        <v>45620</v>
      </c>
      <c r="AL27" t="s">
        <v>64427</v>
      </c>
      <c r="AN27" t="s">
        <v>10804</v>
      </c>
      <c t="s">
        <v>35729</v>
      </c>
      <c t="s">
        <v>12251</v>
      </c>
      <c t="s">
        <v>3093</v>
      </c>
      <c t="s">
        <v>52498</v>
      </c>
    </row>
    <row>
      <c t="s">
        <v>17594</v>
      </c>
      <c t="s">
        <v>53071</v>
      </c>
      <c t="s">
        <v>21935</v>
      </c>
      <c t="s">
        <v>45641</v>
      </c>
      <c t="s">
        <v>32238</v>
      </c>
      <c s="3">
        <v>89012</v>
      </c>
      <c s="3">
        <v>78960</v>
      </c>
      <c s="3">
        <v>85139</v>
      </c>
      <c>
        <v>0</v>
      </c>
      <c s="3">
        <v>0</v>
      </c>
      <c s="3">
        <v>1320.75</v>
      </c>
      <c s="3">
        <v>89012</v>
      </c>
      <c r="O28" s="1" t="str">
        <f ca="1">HYPERLINK("https://web.datatree.com/?/property?propertyId=31963339", "https://web.datatree.com/?/property?propertyId=31963339")</f>
        <v>https://web.datatree.com/?/property?propertyId=31963339</v>
      </c>
      <c r="Q28" t="s">
        <v>316</v>
      </c>
      <c>
        <v>0.093</v>
      </c>
      <c t="s">
        <v>26492</v>
      </c>
      <c r="U28" t="s">
        <v>31251</v>
      </c>
      <c t="s">
        <v>11199</v>
      </c>
      <c t="s">
        <v>25463</v>
      </c>
      <c t="s">
        <v>13932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9842</v>
      </c>
      <c>
        <v>2811</v>
      </c>
      <c r="AI28" t="s">
        <v>18719</v>
      </c>
      <c t="s">
        <v>45620</v>
      </c>
      <c r="AL28" t="s">
        <v>17179</v>
      </c>
      <c t="s">
        <v>40227</v>
      </c>
      <c t="s">
        <v>49572</v>
      </c>
      <c t="s">
        <v>35194</v>
      </c>
      <c t="s">
        <v>43294</v>
      </c>
      <c t="s">
        <v>3093</v>
      </c>
      <c t="s">
        <v>37495</v>
      </c>
    </row>
    <row>
      <c t="s">
        <v>17594</v>
      </c>
      <c t="s">
        <v>62139</v>
      </c>
      <c t="s">
        <v>9004</v>
      </c>
      <c t="s">
        <v>16362</v>
      </c>
      <c t="s">
        <v>44165</v>
      </c>
      <c s="3">
        <v>390000</v>
      </c>
      <c s="3">
        <v>390000</v>
      </c>
      <c s="3">
        <v>330000</v>
      </c>
      <c>
        <v>0</v>
      </c>
      <c s="3">
        <v>0</v>
      </c>
      <c s="3">
        <v>4944.11</v>
      </c>
      <c s="3">
        <v>390000</v>
      </c>
      <c r="O29" s="1" t="str">
        <f ca="1">HYPERLINK("https://web.datatree.com/?/property?propertyId=31963389", "https://web.datatree.com/?/property?propertyId=31963389")</f>
        <v>https://web.datatree.com/?/property?propertyId=31963389</v>
      </c>
      <c r="Q29" t="s">
        <v>316</v>
      </c>
      <c>
        <v>0.656</v>
      </c>
      <c t="s">
        <v>29818</v>
      </c>
      <c r="U29" t="s">
        <v>1446</v>
      </c>
      <c t="s">
        <v>16893</v>
      </c>
      <c t="s">
        <v>25474</v>
      </c>
      <c t="s">
        <v>28585</v>
      </c>
      <c t="s">
        <v>24194</v>
      </c>
      <c t="s">
        <v>65059</v>
      </c>
      <c t="s">
        <v>39289</v>
      </c>
      <c>
        <v>33908</v>
      </c>
      <c t="s">
        <v>7099</v>
      </c>
      <c t="s">
        <v>48794</v>
      </c>
      <c t="s">
        <v>61531</v>
      </c>
      <c>
        <v>52</v>
      </c>
      <c r="AI29" t="s">
        <v>5085</v>
      </c>
      <c t="s">
        <v>55842</v>
      </c>
      <c r="AL29" t="s">
        <v>35789</v>
      </c>
      <c t="s">
        <v>35789</v>
      </c>
      <c t="s">
        <v>14509</v>
      </c>
      <c t="s">
        <v>1692</v>
      </c>
      <c t="s">
        <v>54916</v>
      </c>
      <c t="s">
        <v>3093</v>
      </c>
      <c t="s">
        <v>53109</v>
      </c>
    </row>
    <row>
      <c t="s">
        <v>17594</v>
      </c>
      <c t="s">
        <v>23618</v>
      </c>
      <c t="s">
        <v>35208</v>
      </c>
      <c t="s">
        <v>4043</v>
      </c>
      <c t="s">
        <v>58465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30" s="1" t="str">
        <f ca="1">HYPERLINK("https://web.datatree.com/?/property?propertyId=31963518", "https://web.datatree.com/?/property?propertyId=31963518")</f>
        <v>https://web.datatree.com/?/property?propertyId=31963518</v>
      </c>
      <c r="Q30" t="s">
        <v>316</v>
      </c>
      <c>
        <v>0.241</v>
      </c>
      <c t="s">
        <v>6175</v>
      </c>
      <c t="s">
        <v>43600</v>
      </c>
      <c t="s">
        <v>49521</v>
      </c>
      <c r="X30" t="s">
        <v>33289</v>
      </c>
      <c t="s">
        <v>10653</v>
      </c>
      <c t="s">
        <v>2517</v>
      </c>
      <c t="s">
        <v>39289</v>
      </c>
      <c>
        <v>33909</v>
      </c>
      <c t="s">
        <v>11160</v>
      </c>
      <c t="s">
        <v>48794</v>
      </c>
      <c t="s">
        <v>5418</v>
      </c>
      <c>
        <v>5590</v>
      </c>
      <c r="AI30" t="s">
        <v>17022</v>
      </c>
      <c t="s">
        <v>24900</v>
      </c>
      <c r="AL30" t="s">
        <v>29515</v>
      </c>
      <c r="AN30" t="s">
        <v>39289</v>
      </c>
      <c t="s">
        <v>8696</v>
      </c>
      <c t="s">
        <v>29069</v>
      </c>
      <c t="s">
        <v>3093</v>
      </c>
      <c t="s">
        <v>25936</v>
      </c>
    </row>
    <row>
      <c t="s">
        <v>17594</v>
      </c>
      <c t="s">
        <v>3632</v>
      </c>
      <c t="s">
        <v>19887</v>
      </c>
      <c t="s">
        <v>37720</v>
      </c>
      <c t="s">
        <v>66291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2014</v>
      </c>
      <c>
        <v>5930.6</v>
      </c>
      <c s="1" t="str">
        <f ca="1">HYPERLINK("https://web.datatree.com/?/property?propertyId=31963599", "https://web.datatree.com/?/property?propertyId=31963599")</f>
        <v>https://web.datatree.com/?/property?propertyId=31963599</v>
      </c>
      <c r="Q31" t="s">
        <v>316</v>
      </c>
      <c>
        <v>0.23</v>
      </c>
      <c t="s">
        <v>6175</v>
      </c>
      <c t="s">
        <v>30630</v>
      </c>
      <c t="s">
        <v>8586</v>
      </c>
      <c t="s">
        <v>63437</v>
      </c>
      <c t="s">
        <v>8586</v>
      </c>
      <c t="s">
        <v>28003</v>
      </c>
      <c t="s">
        <v>58797</v>
      </c>
      <c t="s">
        <v>2517</v>
      </c>
      <c t="s">
        <v>39289</v>
      </c>
      <c>
        <v>33909</v>
      </c>
      <c t="s">
        <v>48530</v>
      </c>
      <c t="s">
        <v>48794</v>
      </c>
      <c t="s">
        <v>10157</v>
      </c>
      <c>
        <v>19</v>
      </c>
      <c r="AI31" t="s">
        <v>33760</v>
      </c>
      <c t="s">
        <v>45393</v>
      </c>
      <c r="AL31" t="s">
        <v>19233</v>
      </c>
      <c r="AN31" t="s">
        <v>26016</v>
      </c>
      <c t="s">
        <v>51293</v>
      </c>
      <c t="s">
        <v>32746</v>
      </c>
      <c t="s">
        <v>3093</v>
      </c>
      <c t="s">
        <v>62948</v>
      </c>
    </row>
    <row>
      <c t="s">
        <v>17594</v>
      </c>
      <c t="s">
        <v>58583</v>
      </c>
      <c t="s">
        <v>53466</v>
      </c>
      <c t="s">
        <v>41979</v>
      </c>
      <c t="s">
        <v>41904</v>
      </c>
      <c s="3">
        <v>9587</v>
      </c>
      <c s="3">
        <v>9587</v>
      </c>
      <c s="3">
        <v>4972</v>
      </c>
      <c>
        <v>0</v>
      </c>
      <c s="3">
        <v>0</v>
      </c>
      <c s="3">
        <v>329.67</v>
      </c>
      <c s="3">
        <v>9587</v>
      </c>
      <c r="O32" s="1" t="str">
        <f ca="1">HYPERLINK("https://web.datatree.com/?/property?propertyId=31963657", "https://web.datatree.com/?/property?propertyId=31963657")</f>
        <v>https://web.datatree.com/?/property?propertyId=31963657</v>
      </c>
      <c r="Q32" t="s">
        <v>316</v>
      </c>
      <c>
        <v>0.34</v>
      </c>
      <c t="s">
        <v>5471</v>
      </c>
      <c t="s">
        <v>12659</v>
      </c>
      <c t="s">
        <v>66029</v>
      </c>
      <c r="X32" t="s">
        <v>21614</v>
      </c>
      <c t="s">
        <v>39098</v>
      </c>
      <c t="s">
        <v>65059</v>
      </c>
      <c t="s">
        <v>39289</v>
      </c>
      <c>
        <v>33905</v>
      </c>
      <c>
        <v>33905</v>
      </c>
      <c t="s">
        <v>48794</v>
      </c>
      <c t="s">
        <v>59168</v>
      </c>
      <c>
        <v>278</v>
      </c>
      <c r="AI32" t="s">
        <v>55690</v>
      </c>
      <c t="s">
        <v>24900</v>
      </c>
      <c r="AL32" t="s">
        <v>66317</v>
      </c>
      <c t="s">
        <v>40227</v>
      </c>
      <c t="s">
        <v>50917</v>
      </c>
      <c t="s">
        <v>57241</v>
      </c>
      <c t="s">
        <v>45980</v>
      </c>
      <c t="s">
        <v>3093</v>
      </c>
      <c t="s">
        <v>37444</v>
      </c>
    </row>
    <row>
      <c t="s">
        <v>17594</v>
      </c>
      <c t="s">
        <v>63154</v>
      </c>
      <c t="s">
        <v>7744</v>
      </c>
      <c t="s">
        <v>65840</v>
      </c>
      <c t="s">
        <v>61973</v>
      </c>
      <c s="3">
        <v>35991</v>
      </c>
      <c s="3">
        <v>35991</v>
      </c>
      <c s="3">
        <v>23166</v>
      </c>
      <c>
        <v>0</v>
      </c>
      <c s="3">
        <v>0</v>
      </c>
      <c s="3">
        <v>1039.58</v>
      </c>
      <c s="3">
        <v>35991</v>
      </c>
      <c r="O33" s="1" t="str">
        <f ca="1">HYPERLINK("https://web.datatree.com/?/property?propertyId=31963926", "https://web.datatree.com/?/property?propertyId=31963926")</f>
        <v>https://web.datatree.com/?/property?propertyId=31963926</v>
      </c>
      <c r="Q33" t="s">
        <v>316</v>
      </c>
      <c>
        <v>0.488</v>
      </c>
      <c t="s">
        <v>45031</v>
      </c>
      <c t="s">
        <v>51344</v>
      </c>
      <c t="s">
        <v>43112</v>
      </c>
      <c t="s">
        <v>34601</v>
      </c>
      <c t="s">
        <v>42637</v>
      </c>
      <c t="s">
        <v>34645</v>
      </c>
      <c t="s">
        <v>10653</v>
      </c>
      <c t="s">
        <v>2517</v>
      </c>
      <c t="s">
        <v>39289</v>
      </c>
      <c>
        <v>33909</v>
      </c>
      <c>
        <v>33909</v>
      </c>
      <c t="s">
        <v>48794</v>
      </c>
      <c t="s">
        <v>58650</v>
      </c>
      <c>
        <v>719</v>
      </c>
      <c r="AI33" t="s">
        <v>6874</v>
      </c>
      <c t="s">
        <v>24900</v>
      </c>
      <c r="AL33" t="s">
        <v>18513</v>
      </c>
      <c r="AN33" t="s">
        <v>50917</v>
      </c>
      <c t="s">
        <v>61274</v>
      </c>
      <c t="s">
        <v>64128</v>
      </c>
      <c t="s">
        <v>3093</v>
      </c>
      <c t="s">
        <v>56421</v>
      </c>
    </row>
    <row>
      <c t="s">
        <v>17594</v>
      </c>
      <c t="s">
        <v>30570</v>
      </c>
      <c t="s">
        <v>30058</v>
      </c>
      <c t="s">
        <v>57878</v>
      </c>
      <c t="s">
        <v>39194</v>
      </c>
      <c s="3">
        <v>178</v>
      </c>
      <c s="3">
        <v>178</v>
      </c>
      <c s="3">
        <v>178</v>
      </c>
      <c>
        <v>0</v>
      </c>
      <c s="3">
        <v>0</v>
      </c>
      <c r="L34" s="3">
        <v>178</v>
      </c>
      <c r="O34" s="1" t="str">
        <f ca="1">HYPERLINK("https://web.datatree.com/?/property?propertyId=31964261", "https://web.datatree.com/?/property?propertyId=31964261")</f>
        <v>https://web.datatree.com/?/property?propertyId=31964261</v>
      </c>
      <c r="Q34" t="s">
        <v>40482</v>
      </c>
      <c>
        <v>3.56</v>
      </c>
      <c t="s">
        <v>60849</v>
      </c>
      <c t="s">
        <v>64788</v>
      </c>
      <c t="s">
        <v>60690</v>
      </c>
      <c r="X34" t="s">
        <v>7984</v>
      </c>
      <c t="s">
        <v>18633</v>
      </c>
      <c t="s">
        <v>65059</v>
      </c>
      <c t="s">
        <v>39289</v>
      </c>
      <c>
        <v>33905</v>
      </c>
      <c>
        <v>33905</v>
      </c>
      <c t="s">
        <v>48794</v>
      </c>
      <c t="s">
        <v>27550</v>
      </c>
      <c>
        <v>6131</v>
      </c>
      <c r="AI34" t="s">
        <v>24202</v>
      </c>
      <c t="s">
        <v>45620</v>
      </c>
      <c>
        <v>100</v>
      </c>
      <c t="s">
        <v>3968</v>
      </c>
      <c t="s">
        <v>40227</v>
      </c>
      <c t="s">
        <v>39289</v>
      </c>
      <c t="s">
        <v>67042</v>
      </c>
      <c t="s">
        <v>53476</v>
      </c>
      <c t="s">
        <v>3093</v>
      </c>
      <c t="s">
        <v>33298</v>
      </c>
    </row>
    <row>
      <c t="s">
        <v>17594</v>
      </c>
      <c t="s">
        <v>51952</v>
      </c>
      <c t="s">
        <v>41297</v>
      </c>
      <c t="s">
        <v>2815</v>
      </c>
      <c t="s">
        <v>66191</v>
      </c>
      <c s="3">
        <v>8455</v>
      </c>
      <c s="3">
        <v>8455</v>
      </c>
      <c s="3">
        <v>4972</v>
      </c>
      <c>
        <v>0</v>
      </c>
      <c s="3">
        <v>0</v>
      </c>
      <c s="3">
        <v>316.66</v>
      </c>
      <c s="3">
        <v>8455</v>
      </c>
      <c r="O35" s="1" t="str">
        <f ca="1">HYPERLINK("https://web.datatree.com/?/property?propertyId=31964752", "https://web.datatree.com/?/property?propertyId=31964752")</f>
        <v>https://web.datatree.com/?/property?propertyId=31964752</v>
      </c>
      <c r="Q35" t="s">
        <v>316</v>
      </c>
      <c>
        <v>0.244</v>
      </c>
      <c t="s">
        <v>5471</v>
      </c>
      <c t="s">
        <v>51891</v>
      </c>
      <c t="s">
        <v>47553</v>
      </c>
      <c r="X35" t="s">
        <v>59054</v>
      </c>
      <c t="s">
        <v>6874</v>
      </c>
      <c t="s">
        <v>65059</v>
      </c>
      <c t="s">
        <v>39289</v>
      </c>
      <c>
        <v>33905</v>
      </c>
      <c t="s">
        <v>67191</v>
      </c>
      <c t="s">
        <v>48794</v>
      </c>
      <c t="s">
        <v>23606</v>
      </c>
      <c>
        <v>10341</v>
      </c>
      <c r="AI35" t="s">
        <v>61508</v>
      </c>
      <c t="s">
        <v>45393</v>
      </c>
      <c r="AL35" t="s">
        <v>55393</v>
      </c>
      <c r="AN35" t="s">
        <v>39289</v>
      </c>
      <c t="s">
        <v>29708</v>
      </c>
      <c t="s">
        <v>52393</v>
      </c>
      <c t="s">
        <v>3093</v>
      </c>
      <c t="s">
        <v>65075</v>
      </c>
    </row>
    <row>
      <c t="s">
        <v>17594</v>
      </c>
      <c t="s">
        <v>23558</v>
      </c>
      <c t="s">
        <v>65902</v>
      </c>
      <c t="s">
        <v>18265</v>
      </c>
      <c t="s">
        <v>31132</v>
      </c>
      <c s="3">
        <v>23101</v>
      </c>
      <c s="3">
        <v>23101</v>
      </c>
      <c s="3">
        <v>7629</v>
      </c>
      <c>
        <v>0</v>
      </c>
      <c s="3">
        <v>0</v>
      </c>
      <c s="3">
        <v>645.82</v>
      </c>
      <c s="3">
        <v>23101</v>
      </c>
      <c>
        <v>2018</v>
      </c>
      <c>
        <v>3712.98</v>
      </c>
      <c s="1" t="str">
        <f ca="1">HYPERLINK("https://web.datatree.com/?/property?propertyId=31964862", "https://web.datatree.com/?/property?propertyId=31964862")</f>
        <v>https://web.datatree.com/?/property?propertyId=31964862</v>
      </c>
      <c r="Q36" t="s">
        <v>316</v>
      </c>
      <c>
        <v>0.332</v>
      </c>
      <c t="s">
        <v>22490</v>
      </c>
      <c t="s">
        <v>51092</v>
      </c>
      <c t="s">
        <v>67185</v>
      </c>
      <c r="X36" t="s">
        <v>24519</v>
      </c>
      <c t="s">
        <v>61144</v>
      </c>
      <c t="s">
        <v>2517</v>
      </c>
      <c t="s">
        <v>39289</v>
      </c>
      <c>
        <v>33909</v>
      </c>
      <c t="s">
        <v>32787</v>
      </c>
      <c t="s">
        <v>48794</v>
      </c>
      <c t="s">
        <v>24513</v>
      </c>
      <c>
        <v>3222</v>
      </c>
      <c r="AI36" t="s">
        <v>62499</v>
      </c>
      <c t="s">
        <v>835</v>
      </c>
      <c r="AL36" t="s">
        <v>27398</v>
      </c>
      <c t="s">
        <v>45881</v>
      </c>
      <c t="s">
        <v>39289</v>
      </c>
      <c t="s">
        <v>30730</v>
      </c>
      <c t="s">
        <v>46114</v>
      </c>
      <c t="s">
        <v>3093</v>
      </c>
      <c t="s">
        <v>7906</v>
      </c>
    </row>
    <row>
      <c t="s">
        <v>17594</v>
      </c>
      <c t="s">
        <v>61483</v>
      </c>
      <c t="s">
        <v>21293</v>
      </c>
      <c t="s">
        <v>14756</v>
      </c>
      <c t="s">
        <v>9881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37" s="1" t="str">
        <f ca="1">HYPERLINK("https://web.datatree.com/?/property?propertyId=31964956", "https://web.datatree.com/?/property?propertyId=31964956")</f>
        <v>https://web.datatree.com/?/property?propertyId=31964956</v>
      </c>
      <c r="Q37" t="s">
        <v>316</v>
      </c>
      <c>
        <v>0.241</v>
      </c>
      <c t="s">
        <v>6175</v>
      </c>
      <c t="s">
        <v>12293</v>
      </c>
      <c t="s">
        <v>44394</v>
      </c>
      <c t="s">
        <v>14290</v>
      </c>
      <c t="s">
        <v>44394</v>
      </c>
      <c t="s">
        <v>30566</v>
      </c>
      <c t="s">
        <v>61850</v>
      </c>
      <c t="s">
        <v>2517</v>
      </c>
      <c t="s">
        <v>39289</v>
      </c>
      <c>
        <v>33909</v>
      </c>
      <c t="s">
        <v>64959</v>
      </c>
      <c t="s">
        <v>48794</v>
      </c>
      <c t="s">
        <v>8502</v>
      </c>
      <c>
        <v>273</v>
      </c>
      <c r="AI37" t="s">
        <v>46513</v>
      </c>
      <c t="s">
        <v>45393</v>
      </c>
      <c r="AL37" t="s">
        <v>8109</v>
      </c>
      <c r="AN37" t="s">
        <v>50917</v>
      </c>
      <c t="s">
        <v>38554</v>
      </c>
      <c t="s">
        <v>4480</v>
      </c>
      <c t="s">
        <v>3093</v>
      </c>
      <c t="s">
        <v>9692</v>
      </c>
    </row>
    <row>
      <c t="s">
        <v>17594</v>
      </c>
      <c t="s">
        <v>5230</v>
      </c>
      <c s="7" t="s">
        <v>31593</v>
      </c>
      <c t="s">
        <v>16515</v>
      </c>
      <c t="s">
        <v>5928</v>
      </c>
      <c s="3">
        <v>49760</v>
      </c>
      <c s="3">
        <v>49760</v>
      </c>
      <c s="3">
        <v>29476</v>
      </c>
      <c>
        <v>0</v>
      </c>
      <c s="3">
        <v>0</v>
      </c>
      <c s="3">
        <v>966.01</v>
      </c>
      <c s="3">
        <v>49760</v>
      </c>
      <c r="O38" s="1" t="str">
        <f ca="1">HYPERLINK("https://web.datatree.com/?/property?propertyId=31965235", "https://web.datatree.com/?/property?propertyId=31965235")</f>
        <v>https://web.datatree.com/?/property?propertyId=31965235</v>
      </c>
      <c r="Q38" t="s">
        <v>316</v>
      </c>
      <c>
        <v>0.23</v>
      </c>
      <c t="s">
        <v>22490</v>
      </c>
      <c r="U38" t="s">
        <v>10836</v>
      </c>
      <c t="s">
        <v>23807</v>
      </c>
      <c t="s">
        <v>33570</v>
      </c>
      <c t="s">
        <v>26476</v>
      </c>
      <c t="s">
        <v>34731</v>
      </c>
      <c t="s">
        <v>2517</v>
      </c>
      <c t="s">
        <v>39289</v>
      </c>
      <c>
        <v>33909</v>
      </c>
      <c t="s">
        <v>38851</v>
      </c>
      <c t="s">
        <v>48794</v>
      </c>
      <c t="s">
        <v>9477</v>
      </c>
      <c>
        <v>9</v>
      </c>
      <c r="AI38" t="s">
        <v>21500</v>
      </c>
      <c r="AL38" t="s">
        <v>9630</v>
      </c>
      <c r="AN38" t="s">
        <v>21017</v>
      </c>
      <c>
        <v>71063</v>
      </c>
      <c r="AQ38" t="s">
        <v>3093</v>
      </c>
      <c s="7" t="s">
        <v>2617</v>
      </c>
    </row>
    <row>
      <c t="s">
        <v>17594</v>
      </c>
      <c t="s">
        <v>27779</v>
      </c>
      <c t="s">
        <v>45504</v>
      </c>
      <c t="s">
        <v>50732</v>
      </c>
      <c t="s">
        <v>4429</v>
      </c>
      <c s="3">
        <v>8600</v>
      </c>
      <c s="3">
        <v>8600</v>
      </c>
      <c s="3">
        <v>8600</v>
      </c>
      <c>
        <v>0</v>
      </c>
      <c s="3">
        <v>0</v>
      </c>
      <c s="3">
        <v>2974.2</v>
      </c>
      <c s="3">
        <v>8600</v>
      </c>
      <c>
        <v>2021</v>
      </c>
      <c>
        <v>2985.25</v>
      </c>
      <c s="1" t="str">
        <f ca="1">HYPERLINK("https://web.datatree.com/?/property?propertyId=31965252", "https://web.datatree.com/?/property?propertyId=31965252")</f>
        <v>https://web.datatree.com/?/property?propertyId=31965252</v>
      </c>
      <c r="Q39" t="s">
        <v>316</v>
      </c>
      <c>
        <v>0.26</v>
      </c>
      <c t="s">
        <v>6175</v>
      </c>
      <c t="s">
        <v>64570</v>
      </c>
      <c t="s">
        <v>26121</v>
      </c>
      <c t="s">
        <v>4617</v>
      </c>
      <c t="s">
        <v>26121</v>
      </c>
      <c t="s">
        <v>13290</v>
      </c>
      <c t="s">
        <v>61865</v>
      </c>
      <c t="s">
        <v>2517</v>
      </c>
      <c t="s">
        <v>39289</v>
      </c>
      <c>
        <v>33909</v>
      </c>
      <c t="s">
        <v>8046</v>
      </c>
      <c t="s">
        <v>48794</v>
      </c>
      <c t="s">
        <v>33255</v>
      </c>
      <c>
        <v>260</v>
      </c>
      <c r="AI39" t="s">
        <v>56174</v>
      </c>
      <c t="s">
        <v>24900</v>
      </c>
      <c r="AL39" t="s">
        <v>66317</v>
      </c>
      <c r="AN39" t="s">
        <v>50917</v>
      </c>
      <c t="s">
        <v>56580</v>
      </c>
      <c t="s">
        <v>33029</v>
      </c>
      <c t="s">
        <v>3093</v>
      </c>
      <c t="s">
        <v>61169</v>
      </c>
    </row>
    <row>
      <c t="s">
        <v>17594</v>
      </c>
      <c t="s">
        <v>37815</v>
      </c>
      <c t="s">
        <v>44535</v>
      </c>
      <c t="s">
        <v>27356</v>
      </c>
      <c t="s">
        <v>21913</v>
      </c>
      <c s="3">
        <v>17765</v>
      </c>
      <c s="3">
        <v>17765</v>
      </c>
      <c s="3">
        <v>8470</v>
      </c>
      <c>
        <v>0</v>
      </c>
      <c s="3">
        <v>0</v>
      </c>
      <c s="3">
        <v>593.83</v>
      </c>
      <c s="3">
        <v>17765</v>
      </c>
      <c>
        <v>2021</v>
      </c>
      <c>
        <v>548.68</v>
      </c>
      <c s="1" t="str">
        <f ca="1">HYPERLINK("https://web.datatree.com/?/property?propertyId=31965410", "https://web.datatree.com/?/property?propertyId=31965410")</f>
        <v>https://web.datatree.com/?/property?propertyId=31965410</v>
      </c>
      <c r="Q40" t="s">
        <v>316</v>
      </c>
      <c>
        <v>0.251</v>
      </c>
      <c t="s">
        <v>6175</v>
      </c>
      <c t="s">
        <v>32056</v>
      </c>
      <c t="s">
        <v>19843</v>
      </c>
      <c r="X40" t="s">
        <v>30360</v>
      </c>
      <c t="s">
        <v>46469</v>
      </c>
      <c t="s">
        <v>2517</v>
      </c>
      <c t="s">
        <v>39289</v>
      </c>
      <c>
        <v>33909</v>
      </c>
      <c t="s">
        <v>27093</v>
      </c>
      <c t="s">
        <v>48794</v>
      </c>
      <c t="s">
        <v>22893</v>
      </c>
      <c>
        <v>1190</v>
      </c>
      <c r="AI40" t="s">
        <v>3265</v>
      </c>
      <c t="s">
        <v>45620</v>
      </c>
      <c r="AL40" t="s">
        <v>42347</v>
      </c>
      <c r="AN40" t="s">
        <v>26016</v>
      </c>
      <c t="s">
        <v>41824</v>
      </c>
      <c t="s">
        <v>26242</v>
      </c>
      <c t="s">
        <v>3093</v>
      </c>
      <c t="s">
        <v>24929</v>
      </c>
    </row>
    <row>
      <c t="s">
        <v>17594</v>
      </c>
      <c t="s">
        <v>1872</v>
      </c>
      <c t="s">
        <v>43033</v>
      </c>
      <c t="s">
        <v>26821</v>
      </c>
      <c t="s">
        <v>7324</v>
      </c>
      <c s="3">
        <v>7700</v>
      </c>
      <c s="3">
        <v>7700</v>
      </c>
      <c s="3">
        <v>7700</v>
      </c>
      <c>
        <v>0</v>
      </c>
      <c s="3">
        <v>0</v>
      </c>
      <c s="3">
        <v>561.47</v>
      </c>
      <c s="3">
        <v>7700</v>
      </c>
      <c r="O41" s="1" t="str">
        <f ca="1">HYPERLINK("https://web.datatree.com/?/property?propertyId=31965606", "https://web.datatree.com/?/property?propertyId=31965606")</f>
        <v>https://web.datatree.com/?/property?propertyId=31965606</v>
      </c>
      <c r="Q41" t="s">
        <v>316</v>
      </c>
      <c>
        <v>0.249</v>
      </c>
      <c t="s">
        <v>6175</v>
      </c>
      <c t="s">
        <v>64030</v>
      </c>
      <c t="s">
        <v>1898</v>
      </c>
      <c t="s">
        <v>13478</v>
      </c>
      <c t="s">
        <v>1898</v>
      </c>
      <c t="s">
        <v>55817</v>
      </c>
      <c t="s">
        <v>38550</v>
      </c>
      <c t="s">
        <v>2517</v>
      </c>
      <c t="s">
        <v>39289</v>
      </c>
      <c>
        <v>33909</v>
      </c>
      <c t="s">
        <v>25245</v>
      </c>
      <c t="s">
        <v>48794</v>
      </c>
      <c t="s">
        <v>47533</v>
      </c>
      <c>
        <v>7673</v>
      </c>
      <c r="AI41" t="s">
        <v>42668</v>
      </c>
      <c t="s">
        <v>39321</v>
      </c>
      <c r="AL41" t="s">
        <v>29515</v>
      </c>
      <c r="AN41" t="s">
        <v>39289</v>
      </c>
      <c t="s">
        <v>59951</v>
      </c>
      <c t="s">
        <v>49977</v>
      </c>
      <c t="s">
        <v>3093</v>
      </c>
      <c t="s">
        <v>60680</v>
      </c>
    </row>
    <row>
      <c t="s">
        <v>17594</v>
      </c>
      <c t="s">
        <v>24474</v>
      </c>
      <c t="s">
        <v>43500</v>
      </c>
      <c t="s">
        <v>2459</v>
      </c>
      <c t="s">
        <v>64250</v>
      </c>
      <c s="3">
        <v>8400</v>
      </c>
      <c s="3">
        <v>8400</v>
      </c>
      <c s="3">
        <v>8400</v>
      </c>
      <c>
        <v>0</v>
      </c>
      <c s="3">
        <v>0</v>
      </c>
      <c s="3">
        <v>623.3</v>
      </c>
      <c s="3">
        <v>8400</v>
      </c>
      <c r="O42" s="1" t="str">
        <f ca="1">HYPERLINK("https://web.datatree.com/?/property?propertyId=31966407", "https://web.datatree.com/?/property?propertyId=31966407")</f>
        <v>https://web.datatree.com/?/property?propertyId=31966407</v>
      </c>
      <c r="Q42" t="s">
        <v>316</v>
      </c>
      <c>
        <v>0.277</v>
      </c>
      <c t="s">
        <v>22490</v>
      </c>
      <c t="s">
        <v>38202</v>
      </c>
      <c t="s">
        <v>2653</v>
      </c>
      <c t="s">
        <v>49698</v>
      </c>
      <c t="s">
        <v>2653</v>
      </c>
      <c t="s">
        <v>54982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62013</v>
      </c>
      <c>
        <v>1010</v>
      </c>
      <c r="AI42" t="s">
        <v>41142</v>
      </c>
      <c t="s">
        <v>4985</v>
      </c>
      <c>
        <v>912</v>
      </c>
      <c t="s">
        <v>41642</v>
      </c>
      <c t="s">
        <v>41642</v>
      </c>
      <c t="s">
        <v>39289</v>
      </c>
      <c t="s">
        <v>17383</v>
      </c>
      <c t="s">
        <v>19978</v>
      </c>
      <c t="s">
        <v>3093</v>
      </c>
      <c t="s">
        <v>807</v>
      </c>
    </row>
    <row>
      <c t="s">
        <v>17594</v>
      </c>
      <c t="s">
        <v>62568</v>
      </c>
      <c t="s">
        <v>44470</v>
      </c>
      <c t="s">
        <v>64676</v>
      </c>
      <c t="s">
        <v>17346</v>
      </c>
      <c s="3">
        <v>20580</v>
      </c>
      <c s="3">
        <v>20580</v>
      </c>
      <c s="3">
        <v>10890</v>
      </c>
      <c>
        <v>0</v>
      </c>
      <c s="3">
        <v>0</v>
      </c>
      <c s="3">
        <v>918.54</v>
      </c>
      <c s="3">
        <v>20580</v>
      </c>
      <c>
        <v>2021</v>
      </c>
      <c>
        <v>884.41</v>
      </c>
      <c s="1" t="str">
        <f ca="1">HYPERLINK("https://web.datatree.com/?/property?propertyId=31967961", "https://web.datatree.com/?/property?propertyId=31967961")</f>
        <v>https://web.datatree.com/?/property?propertyId=31967961</v>
      </c>
      <c r="Q43" t="s">
        <v>316</v>
      </c>
      <c>
        <v>0.6</v>
      </c>
      <c t="s">
        <v>6175</v>
      </c>
      <c t="s">
        <v>6486</v>
      </c>
      <c t="s">
        <v>26878</v>
      </c>
      <c t="s">
        <v>4279</v>
      </c>
      <c t="s">
        <v>26878</v>
      </c>
      <c t="s">
        <v>618</v>
      </c>
      <c t="s">
        <v>13829</v>
      </c>
      <c t="s">
        <v>2517</v>
      </c>
      <c t="s">
        <v>39289</v>
      </c>
      <c>
        <v>33909</v>
      </c>
      <c t="s">
        <v>48991</v>
      </c>
      <c t="s">
        <v>48794</v>
      </c>
      <c t="s">
        <v>15369</v>
      </c>
      <c t="s">
        <v>11052</v>
      </c>
      <c r="AI43" t="s">
        <v>35895</v>
      </c>
      <c r="AL43" t="s">
        <v>45595</v>
      </c>
      <c r="AN43" t="s">
        <v>19878</v>
      </c>
      <c>
        <v>71776</v>
      </c>
      <c r="AR43" t="s">
        <v>47975</v>
      </c>
    </row>
    <row>
      <c t="s">
        <v>17594</v>
      </c>
      <c t="s">
        <v>51664</v>
      </c>
      <c t="s">
        <v>36460</v>
      </c>
      <c t="s">
        <v>2956</v>
      </c>
      <c t="s">
        <v>10459</v>
      </c>
      <c s="3">
        <v>23310</v>
      </c>
      <c s="3">
        <v>23310</v>
      </c>
      <c s="3">
        <v>10467</v>
      </c>
      <c>
        <v>0</v>
      </c>
      <c s="3">
        <v>0</v>
      </c>
      <c s="3">
        <v>709.56</v>
      </c>
      <c s="3">
        <v>23310</v>
      </c>
      <c r="O44" s="1" t="str">
        <f ca="1">HYPERLINK("https://web.datatree.com/?/property?propertyId=31967994", "https://web.datatree.com/?/property?propertyId=31967994")</f>
        <v>https://web.datatree.com/?/property?propertyId=31967994</v>
      </c>
      <c r="Q44" t="s">
        <v>316</v>
      </c>
      <c>
        <v>0.356</v>
      </c>
      <c t="s">
        <v>6175</v>
      </c>
      <c t="s">
        <v>20069</v>
      </c>
      <c t="s">
        <v>13824</v>
      </c>
      <c r="X44" t="s">
        <v>46611</v>
      </c>
      <c t="s">
        <v>61850</v>
      </c>
      <c t="s">
        <v>2517</v>
      </c>
      <c t="s">
        <v>39289</v>
      </c>
      <c>
        <v>33909</v>
      </c>
      <c t="s">
        <v>21032</v>
      </c>
      <c t="s">
        <v>48794</v>
      </c>
      <c t="s">
        <v>30348</v>
      </c>
      <c>
        <v>1573</v>
      </c>
      <c r="AI44" t="s">
        <v>35496</v>
      </c>
      <c t="s">
        <v>45620</v>
      </c>
      <c r="AL44" t="s">
        <v>28490</v>
      </c>
      <c t="s">
        <v>28490</v>
      </c>
      <c t="s">
        <v>39289</v>
      </c>
      <c t="s">
        <v>13562</v>
      </c>
      <c t="s">
        <v>1951</v>
      </c>
      <c t="s">
        <v>3093</v>
      </c>
      <c t="s">
        <v>60144</v>
      </c>
    </row>
    <row>
      <c t="s">
        <v>17594</v>
      </c>
      <c t="s">
        <v>12064</v>
      </c>
      <c t="s">
        <v>7610</v>
      </c>
      <c t="s">
        <v>21912</v>
      </c>
      <c t="s">
        <v>64104</v>
      </c>
      <c s="3">
        <v>84949</v>
      </c>
      <c s="3">
        <v>84949</v>
      </c>
      <c s="3">
        <v>84949</v>
      </c>
      <c>
        <v>0</v>
      </c>
      <c s="3">
        <v>0</v>
      </c>
      <c s="3">
        <v>1786.45</v>
      </c>
      <c s="3">
        <v>84949</v>
      </c>
      <c r="O45" s="1" t="str">
        <f ca="1">HYPERLINK("https://web.datatree.com/?/property?propertyId=31968939", "https://web.datatree.com/?/property?propertyId=31968939")</f>
        <v>https://web.datatree.com/?/property?propertyId=31968939</v>
      </c>
      <c r="Q45" t="s">
        <v>316</v>
      </c>
      <c>
        <v>0.259</v>
      </c>
      <c t="s">
        <v>22490</v>
      </c>
      <c t="s">
        <v>60407</v>
      </c>
      <c t="s">
        <v>50413</v>
      </c>
      <c r="X45" t="s">
        <v>12219</v>
      </c>
      <c t="s">
        <v>49074</v>
      </c>
      <c t="s">
        <v>2517</v>
      </c>
      <c t="s">
        <v>39289</v>
      </c>
      <c>
        <v>33904</v>
      </c>
      <c>
        <v>33904</v>
      </c>
      <c t="s">
        <v>48794</v>
      </c>
      <c t="s">
        <v>63580</v>
      </c>
      <c>
        <v>12774</v>
      </c>
      <c r="AI45" t="s">
        <v>4543</v>
      </c>
      <c t="s">
        <v>56275</v>
      </c>
      <c r="AL45" t="s">
        <v>24954</v>
      </c>
      <c t="s">
        <v>24954</v>
      </c>
      <c t="s">
        <v>48152</v>
      </c>
      <c t="s">
        <v>39411</v>
      </c>
      <c t="s">
        <v>23435</v>
      </c>
      <c t="s">
        <v>3093</v>
      </c>
      <c t="s">
        <v>12665</v>
      </c>
    </row>
    <row>
      <c t="s">
        <v>17594</v>
      </c>
      <c t="s">
        <v>43945</v>
      </c>
      <c t="s">
        <v>10052</v>
      </c>
      <c t="s">
        <v>26234</v>
      </c>
      <c t="s">
        <v>50624</v>
      </c>
      <c s="3">
        <v>18211</v>
      </c>
      <c s="3">
        <v>18211</v>
      </c>
      <c s="3">
        <v>8470</v>
      </c>
      <c>
        <v>0</v>
      </c>
      <c s="3">
        <v>0</v>
      </c>
      <c s="3">
        <v>583.05</v>
      </c>
      <c s="3">
        <v>18211</v>
      </c>
      <c r="O46" s="1" t="str">
        <f ca="1">HYPERLINK("https://web.datatree.com/?/property?propertyId=31969396", "https://web.datatree.com/?/property?propertyId=31969396")</f>
        <v>https://web.datatree.com/?/property?propertyId=31969396</v>
      </c>
      <c r="Q46" t="s">
        <v>316</v>
      </c>
      <c>
        <v>0.275</v>
      </c>
      <c t="s">
        <v>6175</v>
      </c>
      <c t="s">
        <v>59201</v>
      </c>
      <c t="s">
        <v>18497</v>
      </c>
      <c r="X46" t="s">
        <v>21229</v>
      </c>
      <c t="s">
        <v>64331</v>
      </c>
      <c t="s">
        <v>2517</v>
      </c>
      <c t="s">
        <v>39289</v>
      </c>
      <c>
        <v>33909</v>
      </c>
      <c t="s">
        <v>29671</v>
      </c>
      <c t="s">
        <v>48794</v>
      </c>
      <c t="s">
        <v>39452</v>
      </c>
      <c>
        <v>1117</v>
      </c>
      <c r="AI46" t="s">
        <v>24308</v>
      </c>
      <c t="s">
        <v>31192</v>
      </c>
      <c r="AL46" t="s">
        <v>26399</v>
      </c>
      <c r="AN46" t="s">
        <v>22275</v>
      </c>
      <c t="s">
        <v>16453</v>
      </c>
      <c t="s">
        <v>33029</v>
      </c>
      <c t="s">
        <v>3093</v>
      </c>
      <c t="s">
        <v>11901</v>
      </c>
    </row>
    <row>
      <c t="s">
        <v>17594</v>
      </c>
      <c t="s">
        <v>16299</v>
      </c>
      <c t="s">
        <v>9690</v>
      </c>
      <c t="s">
        <v>20719</v>
      </c>
      <c t="s">
        <v>44113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7" s="1" t="str">
        <f ca="1">HYPERLINK("https://web.datatree.com/?/property?propertyId=31969417", "https://web.datatree.com/?/property?propertyId=31969417")</f>
        <v>https://web.datatree.com/?/property?propertyId=31969417</v>
      </c>
      <c r="Q47" t="s">
        <v>316</v>
      </c>
      <c>
        <v>0.23</v>
      </c>
      <c t="s">
        <v>6175</v>
      </c>
      <c t="s">
        <v>44541</v>
      </c>
      <c t="s">
        <v>3217</v>
      </c>
      <c t="s">
        <v>27743</v>
      </c>
      <c t="s">
        <v>3217</v>
      </c>
      <c t="s">
        <v>22616</v>
      </c>
      <c t="s">
        <v>13829</v>
      </c>
      <c t="s">
        <v>2517</v>
      </c>
      <c t="s">
        <v>39289</v>
      </c>
      <c>
        <v>33909</v>
      </c>
      <c t="s">
        <v>52527</v>
      </c>
      <c t="s">
        <v>48794</v>
      </c>
      <c t="s">
        <v>9983</v>
      </c>
      <c>
        <v>440</v>
      </c>
      <c r="AI47" t="s">
        <v>40994</v>
      </c>
      <c t="s">
        <v>45393</v>
      </c>
      <c r="AL47" t="s">
        <v>35792</v>
      </c>
      <c r="AN47" t="s">
        <v>17134</v>
      </c>
      <c t="s">
        <v>34930</v>
      </c>
      <c t="s">
        <v>12241</v>
      </c>
      <c t="s">
        <v>3093</v>
      </c>
      <c t="s">
        <v>37354</v>
      </c>
    </row>
    <row>
      <c t="s">
        <v>17594</v>
      </c>
      <c t="s">
        <v>48913</v>
      </c>
      <c t="s">
        <v>53776</v>
      </c>
      <c t="s">
        <v>39145</v>
      </c>
      <c t="s">
        <v>49597</v>
      </c>
      <c s="3">
        <v>11411</v>
      </c>
      <c s="3">
        <v>11411</v>
      </c>
      <c s="3">
        <v>11411</v>
      </c>
      <c>
        <v>0</v>
      </c>
      <c s="3">
        <v>0</v>
      </c>
      <c s="3">
        <v>155.76</v>
      </c>
      <c s="3">
        <v>11411</v>
      </c>
      <c r="O48" s="1" t="str">
        <f ca="1">HYPERLINK("https://web.datatree.com/?/property?propertyId=31969640", "https://web.datatree.com/?/property?propertyId=31969640")</f>
        <v>https://web.datatree.com/?/property?propertyId=31969640</v>
      </c>
      <c r="Q48" t="s">
        <v>316</v>
      </c>
      <c>
        <v>0.15</v>
      </c>
      <c t="s">
        <v>5471</v>
      </c>
      <c r="U48" t="s">
        <v>25137</v>
      </c>
      <c t="s">
        <v>56222</v>
      </c>
      <c t="s">
        <v>43467</v>
      </c>
      <c t="s">
        <v>47926</v>
      </c>
      <c t="s">
        <v>22028</v>
      </c>
      <c t="s">
        <v>65059</v>
      </c>
      <c t="s">
        <v>39289</v>
      </c>
      <c>
        <v>33905</v>
      </c>
      <c>
        <v>33905</v>
      </c>
      <c t="s">
        <v>48794</v>
      </c>
      <c t="s">
        <v>46964</v>
      </c>
      <c>
        <v>2570</v>
      </c>
      <c r="AI48" t="s">
        <v>48589</v>
      </c>
      <c t="s">
        <v>45620</v>
      </c>
      <c r="AL48" t="s">
        <v>9092</v>
      </c>
      <c t="s">
        <v>40227</v>
      </c>
      <c t="s">
        <v>56163</v>
      </c>
      <c t="s">
        <v>42331</v>
      </c>
      <c t="s">
        <v>22455</v>
      </c>
      <c t="s">
        <v>3093</v>
      </c>
      <c t="s">
        <v>48997</v>
      </c>
    </row>
    <row>
      <c t="s">
        <v>17594</v>
      </c>
      <c t="s">
        <v>15433</v>
      </c>
      <c t="s">
        <v>41906</v>
      </c>
      <c t="s">
        <v>28066</v>
      </c>
      <c t="s">
        <v>26860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9" s="1" t="str">
        <f ca="1">HYPERLINK("https://web.datatree.com/?/property?propertyId=31970385", "https://web.datatree.com/?/property?propertyId=31970385")</f>
        <v>https://web.datatree.com/?/property?propertyId=31970385</v>
      </c>
      <c r="Q49" t="s">
        <v>316</v>
      </c>
      <c>
        <v>0.23</v>
      </c>
      <c t="s">
        <v>6175</v>
      </c>
      <c t="s">
        <v>53569</v>
      </c>
      <c t="s">
        <v>4235</v>
      </c>
      <c t="s">
        <v>2636</v>
      </c>
      <c t="s">
        <v>4235</v>
      </c>
      <c t="s">
        <v>31012</v>
      </c>
      <c t="s">
        <v>34731</v>
      </c>
      <c t="s">
        <v>2517</v>
      </c>
      <c t="s">
        <v>39289</v>
      </c>
      <c>
        <v>33909</v>
      </c>
      <c t="s">
        <v>20034</v>
      </c>
      <c t="s">
        <v>48794</v>
      </c>
      <c t="s">
        <v>57684</v>
      </c>
      <c>
        <v>312</v>
      </c>
      <c r="AI49" t="s">
        <v>35389</v>
      </c>
      <c t="s">
        <v>45393</v>
      </c>
      <c r="AL49" t="s">
        <v>48388</v>
      </c>
      <c r="AN49" t="s">
        <v>26016</v>
      </c>
      <c t="s">
        <v>10624</v>
      </c>
      <c t="s">
        <v>42082</v>
      </c>
      <c t="s">
        <v>3093</v>
      </c>
      <c t="s">
        <v>19641</v>
      </c>
    </row>
    <row>
      <c t="s">
        <v>17594</v>
      </c>
      <c t="s">
        <v>65756</v>
      </c>
      <c t="s">
        <v>13254</v>
      </c>
      <c t="s">
        <v>29963</v>
      </c>
      <c t="s">
        <v>59551</v>
      </c>
      <c s="3">
        <v>17781</v>
      </c>
      <c s="3">
        <v>17781</v>
      </c>
      <c s="3">
        <v>8910</v>
      </c>
      <c>
        <v>0</v>
      </c>
      <c s="3">
        <v>0</v>
      </c>
      <c s="3">
        <v>566.28</v>
      </c>
      <c s="3">
        <v>17781</v>
      </c>
      <c r="O50" s="1" t="str">
        <f ca="1">HYPERLINK("https://web.datatree.com/?/property?propertyId=31970552", "https://web.datatree.com/?/property?propertyId=31970552")</f>
        <v>https://web.datatree.com/?/property?propertyId=31970552</v>
      </c>
      <c r="Q50" t="s">
        <v>316</v>
      </c>
      <c>
        <v>0.241</v>
      </c>
      <c t="s">
        <v>6175</v>
      </c>
      <c t="s">
        <v>35872</v>
      </c>
      <c t="s">
        <v>1910</v>
      </c>
      <c r="X50" t="s">
        <v>42796</v>
      </c>
      <c t="s">
        <v>15510</v>
      </c>
      <c t="s">
        <v>2517</v>
      </c>
      <c t="s">
        <v>39289</v>
      </c>
      <c>
        <v>33909</v>
      </c>
      <c t="s">
        <v>19046</v>
      </c>
      <c t="s">
        <v>48794</v>
      </c>
      <c t="s">
        <v>26921</v>
      </c>
      <c>
        <v>106</v>
      </c>
      <c r="AI50" t="s">
        <v>50343</v>
      </c>
      <c t="s">
        <v>31192</v>
      </c>
      <c r="AL50" t="s">
        <v>55133</v>
      </c>
      <c r="AN50" t="s">
        <v>21017</v>
      </c>
      <c t="s">
        <v>54123</v>
      </c>
      <c t="s">
        <v>22455</v>
      </c>
      <c t="s">
        <v>3093</v>
      </c>
      <c t="s">
        <v>57006</v>
      </c>
    </row>
    <row>
      <c t="s">
        <v>17594</v>
      </c>
      <c t="s">
        <v>58855</v>
      </c>
      <c t="s">
        <v>43319</v>
      </c>
      <c t="s">
        <v>30488</v>
      </c>
      <c t="s">
        <v>41521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1" s="1" t="str">
        <f ca="1">HYPERLINK("https://web.datatree.com/?/property?propertyId=31970644", "https://web.datatree.com/?/property?propertyId=31970644")</f>
        <v>https://web.datatree.com/?/property?propertyId=31970644</v>
      </c>
      <c r="Q51" t="s">
        <v>316</v>
      </c>
      <c>
        <v>0.23</v>
      </c>
      <c t="s">
        <v>6175</v>
      </c>
      <c t="s">
        <v>32955</v>
      </c>
      <c t="s">
        <v>17314</v>
      </c>
      <c t="s">
        <v>14171</v>
      </c>
      <c t="s">
        <v>17314</v>
      </c>
      <c t="s">
        <v>62881</v>
      </c>
      <c t="s">
        <v>64331</v>
      </c>
      <c t="s">
        <v>2517</v>
      </c>
      <c t="s">
        <v>39289</v>
      </c>
      <c>
        <v>33909</v>
      </c>
      <c t="s">
        <v>54772</v>
      </c>
      <c t="s">
        <v>48794</v>
      </c>
      <c t="s">
        <v>41709</v>
      </c>
      <c>
        <v>650</v>
      </c>
      <c r="AI51" t="s">
        <v>41142</v>
      </c>
      <c t="s">
        <v>24900</v>
      </c>
      <c>
        <v>106</v>
      </c>
      <c t="s">
        <v>8109</v>
      </c>
      <c r="AN51" t="s">
        <v>50917</v>
      </c>
      <c t="s">
        <v>46632</v>
      </c>
      <c t="s">
        <v>62830</v>
      </c>
      <c t="s">
        <v>3093</v>
      </c>
      <c t="s">
        <v>7146</v>
      </c>
    </row>
    <row>
      <c t="s">
        <v>17594</v>
      </c>
      <c t="s">
        <v>65762</v>
      </c>
      <c t="s">
        <v>10725</v>
      </c>
      <c t="s">
        <v>2440</v>
      </c>
      <c t="s">
        <v>36876</v>
      </c>
      <c s="3">
        <v>8533</v>
      </c>
      <c s="3">
        <v>8533</v>
      </c>
      <c s="3">
        <v>4972</v>
      </c>
      <c>
        <v>0</v>
      </c>
      <c s="3">
        <v>0</v>
      </c>
      <c s="3">
        <v>317.96</v>
      </c>
      <c s="3">
        <v>8533</v>
      </c>
      <c>
        <v>2021</v>
      </c>
      <c>
        <v>311.6</v>
      </c>
      <c s="1" t="str">
        <f ca="1">HYPERLINK("https://web.datatree.com/?/property?propertyId=31970683", "https://web.datatree.com/?/property?propertyId=31970683")</f>
        <v>https://web.datatree.com/?/property?propertyId=31970683</v>
      </c>
      <c r="Q52" t="s">
        <v>316</v>
      </c>
      <c>
        <v>0.249</v>
      </c>
      <c t="s">
        <v>5471</v>
      </c>
      <c t="s">
        <v>50739</v>
      </c>
      <c t="s">
        <v>48345</v>
      </c>
      <c r="X52" t="s">
        <v>66607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8207</v>
      </c>
      <c>
        <v>1839</v>
      </c>
      <c r="AI52" t="s">
        <v>41911</v>
      </c>
      <c t="s">
        <v>24900</v>
      </c>
      <c t="s">
        <v>66396</v>
      </c>
      <c t="s">
        <v>6144</v>
      </c>
      <c r="AN52" t="s">
        <v>50917</v>
      </c>
      <c t="s">
        <v>3038</v>
      </c>
      <c t="s">
        <v>12241</v>
      </c>
      <c t="s">
        <v>3093</v>
      </c>
      <c t="s">
        <v>60646</v>
      </c>
    </row>
    <row>
      <c t="s">
        <v>17594</v>
      </c>
      <c t="s">
        <v>61370</v>
      </c>
      <c t="s">
        <v>41264</v>
      </c>
      <c t="s">
        <v>47710</v>
      </c>
      <c t="s">
        <v>52958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3" s="1" t="str">
        <f ca="1">HYPERLINK("https://web.datatree.com/?/property?propertyId=31970845", "https://web.datatree.com/?/property?propertyId=31970845")</f>
        <v>https://web.datatree.com/?/property?propertyId=31970845</v>
      </c>
      <c r="Q53" t="s">
        <v>316</v>
      </c>
      <c>
        <v>0.23</v>
      </c>
      <c t="s">
        <v>6175</v>
      </c>
      <c t="s">
        <v>64570</v>
      </c>
      <c t="s">
        <v>3827</v>
      </c>
      <c t="s">
        <v>13419</v>
      </c>
      <c t="s">
        <v>3827</v>
      </c>
      <c t="s">
        <v>45490</v>
      </c>
      <c t="s">
        <v>61865</v>
      </c>
      <c t="s">
        <v>2517</v>
      </c>
      <c t="s">
        <v>39289</v>
      </c>
      <c>
        <v>33909</v>
      </c>
      <c t="s">
        <v>9670</v>
      </c>
      <c t="s">
        <v>48794</v>
      </c>
      <c t="s">
        <v>37891</v>
      </c>
      <c>
        <v>1205</v>
      </c>
      <c r="AI53" t="s">
        <v>30303</v>
      </c>
      <c t="s">
        <v>835</v>
      </c>
      <c r="AL53" t="s">
        <v>8628</v>
      </c>
      <c r="AN53" t="s">
        <v>39289</v>
      </c>
      <c t="s">
        <v>7484</v>
      </c>
      <c t="s">
        <v>29183</v>
      </c>
      <c t="s">
        <v>3093</v>
      </c>
      <c t="s">
        <v>61284</v>
      </c>
    </row>
    <row>
      <c t="s">
        <v>17594</v>
      </c>
      <c t="s">
        <v>23634</v>
      </c>
      <c t="s">
        <v>17784</v>
      </c>
      <c t="s">
        <v>66367</v>
      </c>
      <c t="s">
        <v>64993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54" s="1" t="str">
        <f ca="1">HYPERLINK("https://web.datatree.com/?/property?propertyId=31971332", "https://web.datatree.com/?/property?propertyId=31971332")</f>
        <v>https://web.datatree.com/?/property?propertyId=31971332</v>
      </c>
      <c r="Q54" t="s">
        <v>316</v>
      </c>
      <c>
        <v>0.23</v>
      </c>
      <c t="s">
        <v>22490</v>
      </c>
      <c t="s">
        <v>44541</v>
      </c>
      <c t="s">
        <v>62107</v>
      </c>
      <c r="X54" t="s">
        <v>25982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51742</v>
      </c>
      <c>
        <v>7286</v>
      </c>
      <c r="AI54" t="s">
        <v>6873</v>
      </c>
      <c t="s">
        <v>1671</v>
      </c>
      <c r="AL54" t="s">
        <v>67262</v>
      </c>
      <c t="s">
        <v>67262</v>
      </c>
      <c t="s">
        <v>14798</v>
      </c>
      <c t="s">
        <v>9184</v>
      </c>
      <c t="s">
        <v>38085</v>
      </c>
      <c t="s">
        <v>3093</v>
      </c>
      <c t="s">
        <v>46405</v>
      </c>
    </row>
    <row>
      <c t="s">
        <v>17594</v>
      </c>
      <c t="s">
        <v>51171</v>
      </c>
      <c t="s">
        <v>23562</v>
      </c>
      <c t="s">
        <v>64897</v>
      </c>
      <c t="s">
        <v>27161</v>
      </c>
      <c s="3">
        <v>20002</v>
      </c>
      <c s="3">
        <v>20002</v>
      </c>
      <c s="3">
        <v>9339</v>
      </c>
      <c>
        <v>0</v>
      </c>
      <c s="3">
        <v>0</v>
      </c>
      <c s="3">
        <v>710.64</v>
      </c>
      <c s="3">
        <v>20002</v>
      </c>
      <c r="O55" s="1" t="str">
        <f ca="1">HYPERLINK("https://web.datatree.com/?/property?propertyId=31972128", "https://web.datatree.com/?/property?propertyId=31972128")</f>
        <v>https://web.datatree.com/?/property?propertyId=31972128</v>
      </c>
      <c r="Q55" t="s">
        <v>316</v>
      </c>
      <c>
        <v>0.23</v>
      </c>
      <c t="s">
        <v>6175</v>
      </c>
      <c t="s">
        <v>60671</v>
      </c>
      <c t="s">
        <v>3470</v>
      </c>
      <c r="X55" t="s">
        <v>7017</v>
      </c>
      <c t="s">
        <v>17022</v>
      </c>
      <c t="s">
        <v>2517</v>
      </c>
      <c t="s">
        <v>39289</v>
      </c>
      <c>
        <v>33909</v>
      </c>
      <c t="s">
        <v>43918</v>
      </c>
      <c t="s">
        <v>48794</v>
      </c>
      <c t="s">
        <v>39003</v>
      </c>
      <c>
        <v>51</v>
      </c>
      <c r="AI55" t="s">
        <v>35217</v>
      </c>
      <c t="s">
        <v>31192</v>
      </c>
      <c>
        <v>9</v>
      </c>
      <c t="s">
        <v>41642</v>
      </c>
      <c t="s">
        <v>41642</v>
      </c>
      <c t="s">
        <v>39289</v>
      </c>
      <c>
        <v>33069</v>
      </c>
      <c r="AQ55" t="s">
        <v>3093</v>
      </c>
      <c t="s">
        <v>13013</v>
      </c>
    </row>
    <row>
      <c t="s">
        <v>17594</v>
      </c>
      <c t="s">
        <v>56440</v>
      </c>
      <c t="s">
        <v>14764</v>
      </c>
      <c t="s">
        <v>54325</v>
      </c>
      <c t="s">
        <v>57812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56" s="1" t="str">
        <f ca="1">HYPERLINK("https://web.datatree.com/?/property?propertyId=31972178", "https://web.datatree.com/?/property?propertyId=31972178")</f>
        <v>https://web.datatree.com/?/property?propertyId=31972178</v>
      </c>
      <c r="Q56" t="s">
        <v>316</v>
      </c>
      <c>
        <v>0.23</v>
      </c>
      <c t="s">
        <v>22490</v>
      </c>
      <c t="s">
        <v>17165</v>
      </c>
      <c t="s">
        <v>23969</v>
      </c>
      <c r="X56" t="s">
        <v>38636</v>
      </c>
      <c t="s">
        <v>15510</v>
      </c>
      <c t="s">
        <v>2517</v>
      </c>
      <c t="s">
        <v>39289</v>
      </c>
      <c>
        <v>33909</v>
      </c>
      <c t="s">
        <v>7104</v>
      </c>
      <c t="s">
        <v>48794</v>
      </c>
      <c t="s">
        <v>24869</v>
      </c>
      <c>
        <v>2220</v>
      </c>
      <c r="AI56" t="s">
        <v>9719</v>
      </c>
      <c t="s">
        <v>41372</v>
      </c>
      <c r="AL56" t="s">
        <v>62986</v>
      </c>
      <c t="s">
        <v>62986</v>
      </c>
      <c t="s">
        <v>18236</v>
      </c>
      <c t="s">
        <v>3405</v>
      </c>
      <c t="s">
        <v>36006</v>
      </c>
      <c t="s">
        <v>3093</v>
      </c>
      <c t="s">
        <v>38964</v>
      </c>
    </row>
    <row>
      <c t="s">
        <v>17594</v>
      </c>
      <c t="s">
        <v>64359</v>
      </c>
      <c t="s">
        <v>55520</v>
      </c>
      <c t="s">
        <v>29398</v>
      </c>
      <c t="s">
        <v>65186</v>
      </c>
      <c s="3">
        <v>8700</v>
      </c>
      <c s="3">
        <v>8700</v>
      </c>
      <c s="3">
        <v>8700</v>
      </c>
      <c>
        <v>0</v>
      </c>
      <c s="3">
        <v>0</v>
      </c>
      <c s="3">
        <v>710.64</v>
      </c>
      <c s="3">
        <v>8700</v>
      </c>
      <c r="O57" s="1" t="str">
        <f ca="1">HYPERLINK("https://web.datatree.com/?/property?propertyId=31972225", "https://web.datatree.com/?/property?propertyId=31972225")</f>
        <v>https://web.datatree.com/?/property?propertyId=31972225</v>
      </c>
      <c r="Q57" t="s">
        <v>316</v>
      </c>
      <c>
        <v>0.23</v>
      </c>
      <c t="s">
        <v>6175</v>
      </c>
      <c t="s">
        <v>54692</v>
      </c>
      <c t="s">
        <v>50083</v>
      </c>
      <c t="s">
        <v>56577</v>
      </c>
      <c t="s">
        <v>50083</v>
      </c>
      <c t="s">
        <v>8493</v>
      </c>
      <c t="s">
        <v>17022</v>
      </c>
      <c t="s">
        <v>2517</v>
      </c>
      <c t="s">
        <v>39289</v>
      </c>
      <c>
        <v>33909</v>
      </c>
      <c t="s">
        <v>38471</v>
      </c>
      <c t="s">
        <v>48794</v>
      </c>
      <c t="s">
        <v>24741</v>
      </c>
      <c>
        <v>18</v>
      </c>
      <c r="AI57" t="s">
        <v>52918</v>
      </c>
      <c t="s">
        <v>1671</v>
      </c>
      <c r="AL57" t="s">
        <v>12112</v>
      </c>
      <c r="AN57" t="s">
        <v>64022</v>
      </c>
      <c t="s">
        <v>1212</v>
      </c>
      <c t="s">
        <v>49977</v>
      </c>
      <c t="s">
        <v>3093</v>
      </c>
      <c t="s">
        <v>38251</v>
      </c>
    </row>
    <row>
      <c t="s">
        <v>17594</v>
      </c>
      <c t="s">
        <v>58108</v>
      </c>
      <c t="s">
        <v>63119</v>
      </c>
      <c t="s">
        <v>3098</v>
      </c>
      <c t="s">
        <v>5905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8" s="1" t="str">
        <f ca="1">HYPERLINK("https://web.datatree.com/?/property?propertyId=31972359", "https://web.datatree.com/?/property?propertyId=31972359")</f>
        <v>https://web.datatree.com/?/property?propertyId=31972359</v>
      </c>
      <c r="Q58" t="s">
        <v>316</v>
      </c>
      <c>
        <v>0.23</v>
      </c>
      <c t="s">
        <v>22490</v>
      </c>
      <c t="s">
        <v>44466</v>
      </c>
      <c t="s">
        <v>23514</v>
      </c>
      <c t="s">
        <v>20506</v>
      </c>
      <c t="s">
        <v>23514</v>
      </c>
      <c t="s">
        <v>10433</v>
      </c>
      <c t="s">
        <v>24999</v>
      </c>
      <c t="s">
        <v>2517</v>
      </c>
      <c t="s">
        <v>39289</v>
      </c>
      <c>
        <v>33909</v>
      </c>
      <c t="s">
        <v>39002</v>
      </c>
      <c t="s">
        <v>48794</v>
      </c>
      <c t="s">
        <v>65297</v>
      </c>
      <c>
        <v>1234</v>
      </c>
      <c r="AI58" t="s">
        <v>64005</v>
      </c>
      <c t="s">
        <v>40123</v>
      </c>
      <c r="AL58" t="s">
        <v>29987</v>
      </c>
      <c r="AN58" t="s">
        <v>66651</v>
      </c>
      <c t="s">
        <v>5354</v>
      </c>
      <c t="s">
        <v>52247</v>
      </c>
      <c t="s">
        <v>3093</v>
      </c>
      <c t="s">
        <v>48346</v>
      </c>
    </row>
    <row>
      <c t="s">
        <v>17594</v>
      </c>
      <c t="s">
        <v>29013</v>
      </c>
      <c t="s">
        <v>35520</v>
      </c>
      <c t="s">
        <v>42228</v>
      </c>
      <c t="s">
        <v>42781</v>
      </c>
      <c s="3">
        <v>36604</v>
      </c>
      <c s="3">
        <v>36604</v>
      </c>
      <c s="3">
        <v>25466</v>
      </c>
      <c>
        <v>0</v>
      </c>
      <c s="3">
        <v>0</v>
      </c>
      <c s="3">
        <v>990.84</v>
      </c>
      <c s="3">
        <v>36604</v>
      </c>
      <c r="O59" s="1" t="str">
        <f ca="1">HYPERLINK("https://web.datatree.com/?/property?propertyId=31972407", "https://web.datatree.com/?/property?propertyId=31972407")</f>
        <v>https://web.datatree.com/?/property?propertyId=31972407</v>
      </c>
      <c r="Q59" t="s">
        <v>316</v>
      </c>
      <c>
        <v>0.344</v>
      </c>
      <c t="s">
        <v>6175</v>
      </c>
      <c t="s">
        <v>63047</v>
      </c>
      <c t="s">
        <v>39666</v>
      </c>
      <c t="s">
        <v>22592</v>
      </c>
      <c t="s">
        <v>39666</v>
      </c>
      <c t="s">
        <v>51223</v>
      </c>
      <c t="s">
        <v>5115</v>
      </c>
      <c t="s">
        <v>2517</v>
      </c>
      <c t="s">
        <v>39289</v>
      </c>
      <c>
        <v>33904</v>
      </c>
      <c t="s">
        <v>65240</v>
      </c>
      <c t="s">
        <v>48794</v>
      </c>
      <c t="s">
        <v>5965</v>
      </c>
      <c>
        <v>22755</v>
      </c>
      <c r="AI59" t="s">
        <v>66243</v>
      </c>
      <c t="s">
        <v>45620</v>
      </c>
      <c r="AL59" t="s">
        <v>59782</v>
      </c>
      <c r="AN59" t="s">
        <v>17134</v>
      </c>
      <c t="s">
        <v>62741</v>
      </c>
      <c t="s">
        <v>7207</v>
      </c>
      <c t="s">
        <v>3093</v>
      </c>
      <c t="s">
        <v>49468</v>
      </c>
    </row>
    <row>
      <c t="s">
        <v>17594</v>
      </c>
      <c t="s">
        <v>9545</v>
      </c>
      <c t="s">
        <v>9251</v>
      </c>
      <c t="s">
        <v>64279</v>
      </c>
      <c t="s">
        <v>35163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>
        <v>2021</v>
      </c>
      <c>
        <v>532.49</v>
      </c>
      <c s="1" t="str">
        <f ca="1">HYPERLINK("https://web.datatree.com/?/property?propertyId=31972416", "https://web.datatree.com/?/property?propertyId=31972416")</f>
        <v>https://web.datatree.com/?/property?propertyId=31972416</v>
      </c>
      <c r="Q60" t="s">
        <v>316</v>
      </c>
      <c>
        <v>0.23</v>
      </c>
      <c t="s">
        <v>22490</v>
      </c>
      <c t="s">
        <v>1840</v>
      </c>
      <c t="s">
        <v>49101</v>
      </c>
      <c t="s">
        <v>18849</v>
      </c>
      <c t="s">
        <v>48196</v>
      </c>
      <c t="s">
        <v>26030</v>
      </c>
      <c t="s">
        <v>57064</v>
      </c>
      <c t="s">
        <v>2517</v>
      </c>
      <c t="s">
        <v>39289</v>
      </c>
      <c>
        <v>33909</v>
      </c>
      <c t="s">
        <v>54528</v>
      </c>
      <c t="s">
        <v>48794</v>
      </c>
      <c t="s">
        <v>35908</v>
      </c>
      <c>
        <v>1018</v>
      </c>
      <c r="AI60" t="s">
        <v>7501</v>
      </c>
      <c t="s">
        <v>24900</v>
      </c>
      <c r="AL60" t="s">
        <v>12652</v>
      </c>
      <c r="AN60" t="s">
        <v>26304</v>
      </c>
      <c t="s">
        <v>52451</v>
      </c>
      <c t="s">
        <v>40645</v>
      </c>
      <c t="s">
        <v>3093</v>
      </c>
      <c t="s">
        <v>59312</v>
      </c>
    </row>
    <row>
      <c t="s">
        <v>17594</v>
      </c>
      <c t="s">
        <v>1126</v>
      </c>
      <c t="s">
        <v>53405</v>
      </c>
      <c t="s">
        <v>59112</v>
      </c>
      <c t="s">
        <v>7565</v>
      </c>
      <c s="3">
        <v>20469</v>
      </c>
      <c s="3">
        <v>20469</v>
      </c>
      <c s="3">
        <v>8030</v>
      </c>
      <c>
        <v>0</v>
      </c>
      <c s="3">
        <v>0</v>
      </c>
      <c s="3">
        <v>586.61</v>
      </c>
      <c s="3">
        <v>20469</v>
      </c>
      <c r="O61" s="1" t="str">
        <f ca="1">HYPERLINK("https://web.datatree.com/?/property?propertyId=31972454", "https://web.datatree.com/?/property?propertyId=31972454")</f>
        <v>https://web.datatree.com/?/property?propertyId=31972454</v>
      </c>
      <c r="Q61" t="s">
        <v>316</v>
      </c>
      <c>
        <v>0.255</v>
      </c>
      <c t="s">
        <v>22490</v>
      </c>
      <c t="s">
        <v>34795</v>
      </c>
      <c t="s">
        <v>6379</v>
      </c>
      <c r="X61" t="s">
        <v>26483</v>
      </c>
      <c t="s">
        <v>49122</v>
      </c>
      <c t="s">
        <v>2517</v>
      </c>
      <c t="s">
        <v>39289</v>
      </c>
      <c>
        <v>33909</v>
      </c>
      <c t="s">
        <v>30091</v>
      </c>
      <c t="s">
        <v>48794</v>
      </c>
      <c t="s">
        <v>11753</v>
      </c>
      <c>
        <v>15327</v>
      </c>
      <c r="AI61" t="s">
        <v>53904</v>
      </c>
      <c t="s">
        <v>4985</v>
      </c>
      <c r="AL61" t="s">
        <v>54986</v>
      </c>
      <c r="AN61" t="s">
        <v>18236</v>
      </c>
      <c t="s">
        <v>25299</v>
      </c>
      <c t="s">
        <v>34162</v>
      </c>
      <c t="s">
        <v>3093</v>
      </c>
      <c t="s">
        <v>23279</v>
      </c>
    </row>
    <row>
      <c t="s">
        <v>17594</v>
      </c>
      <c t="s">
        <v>27736</v>
      </c>
      <c t="s">
        <v>4744</v>
      </c>
      <c t="s">
        <v>60076</v>
      </c>
      <c t="s">
        <v>67035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62" s="1" t="str">
        <f ca="1">HYPERLINK("https://web.datatree.com/?/property?propertyId=31972775", "https://web.datatree.com/?/property?propertyId=31972775")</f>
        <v>https://web.datatree.com/?/property?propertyId=31972775</v>
      </c>
      <c r="Q62" t="s">
        <v>316</v>
      </c>
      <c>
        <v>0.23</v>
      </c>
      <c t="s">
        <v>6175</v>
      </c>
      <c t="s">
        <v>39139</v>
      </c>
      <c t="s">
        <v>21424</v>
      </c>
      <c r="X62" t="s">
        <v>2990</v>
      </c>
      <c t="s">
        <v>17022</v>
      </c>
      <c t="s">
        <v>2517</v>
      </c>
      <c t="s">
        <v>39289</v>
      </c>
      <c>
        <v>33909</v>
      </c>
      <c t="s">
        <v>34939</v>
      </c>
      <c t="s">
        <v>48794</v>
      </c>
      <c t="s">
        <v>20985</v>
      </c>
      <c>
        <v>12250</v>
      </c>
      <c r="AI62" t="s">
        <v>65540</v>
      </c>
      <c t="s">
        <v>40123</v>
      </c>
      <c>
        <v>108</v>
      </c>
      <c t="s">
        <v>55393</v>
      </c>
      <c t="s">
        <v>13598</v>
      </c>
      <c t="s">
        <v>39289</v>
      </c>
      <c t="s">
        <v>12773</v>
      </c>
      <c t="s">
        <v>61410</v>
      </c>
      <c t="s">
        <v>3093</v>
      </c>
      <c t="s">
        <v>6973</v>
      </c>
    </row>
    <row>
      <c t="s">
        <v>17594</v>
      </c>
      <c t="s">
        <v>3553</v>
      </c>
      <c t="s">
        <v>49109</v>
      </c>
      <c t="s">
        <v>41196</v>
      </c>
      <c t="s">
        <v>39029</v>
      </c>
      <c s="3">
        <v>131946</v>
      </c>
      <c s="3">
        <v>131946</v>
      </c>
      <c s="3">
        <v>65316</v>
      </c>
      <c>
        <v>0</v>
      </c>
      <c s="3">
        <v>0</v>
      </c>
      <c s="3">
        <v>1846.53</v>
      </c>
      <c s="3">
        <v>131946</v>
      </c>
      <c r="O63" s="1" t="str">
        <f ca="1">HYPERLINK("https://web.datatree.com/?/property?propertyId=31972807", "https://web.datatree.com/?/property?propertyId=31972807")</f>
        <v>https://web.datatree.com/?/property?propertyId=31972807</v>
      </c>
      <c r="Q63" t="s">
        <v>316</v>
      </c>
      <c>
        <v>0.266</v>
      </c>
      <c t="s">
        <v>22490</v>
      </c>
      <c t="s">
        <v>51563</v>
      </c>
      <c t="s">
        <v>45448</v>
      </c>
      <c r="X63" t="s">
        <v>35854</v>
      </c>
      <c t="s">
        <v>64331</v>
      </c>
      <c t="s">
        <v>2517</v>
      </c>
      <c t="s">
        <v>39289</v>
      </c>
      <c>
        <v>33904</v>
      </c>
      <c t="s">
        <v>25261</v>
      </c>
      <c t="s">
        <v>48794</v>
      </c>
      <c t="s">
        <v>61755</v>
      </c>
      <c>
        <v>420</v>
      </c>
      <c r="AI63" t="s">
        <v>10653</v>
      </c>
      <c t="s">
        <v>45393</v>
      </c>
      <c r="AL63" t="s">
        <v>30836</v>
      </c>
      <c t="s">
        <v>30836</v>
      </c>
      <c t="s">
        <v>50917</v>
      </c>
      <c t="s">
        <v>1554</v>
      </c>
      <c t="s">
        <v>26416</v>
      </c>
      <c t="s">
        <v>3093</v>
      </c>
      <c t="s">
        <v>50932</v>
      </c>
    </row>
    <row>
      <c t="s">
        <v>17594</v>
      </c>
      <c t="s">
        <v>15695</v>
      </c>
      <c t="s">
        <v>12812</v>
      </c>
      <c t="s">
        <v>63515</v>
      </c>
      <c t="s">
        <v>58371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>
        <v>2021</v>
      </c>
      <c>
        <v>534.29</v>
      </c>
      <c s="1" t="str">
        <f ca="1">HYPERLINK("https://web.datatree.com/?/property?propertyId=31973347", "https://web.datatree.com/?/property?propertyId=31973347")</f>
        <v>https://web.datatree.com/?/property?propertyId=31973347</v>
      </c>
      <c r="Q64" t="s">
        <v>316</v>
      </c>
      <c>
        <v>0.23</v>
      </c>
      <c t="s">
        <v>6175</v>
      </c>
      <c t="s">
        <v>21668</v>
      </c>
      <c t="s">
        <v>48113</v>
      </c>
      <c r="X64" t="s">
        <v>2301</v>
      </c>
      <c t="s">
        <v>13829</v>
      </c>
      <c t="s">
        <v>2517</v>
      </c>
      <c t="s">
        <v>39289</v>
      </c>
      <c>
        <v>33909</v>
      </c>
      <c t="s">
        <v>63226</v>
      </c>
      <c t="s">
        <v>48794</v>
      </c>
      <c t="s">
        <v>34127</v>
      </c>
      <c>
        <v>1034</v>
      </c>
      <c r="AI64" t="s">
        <v>2474</v>
      </c>
      <c t="s">
        <v>31192</v>
      </c>
      <c r="AL64" t="s">
        <v>2824</v>
      </c>
      <c r="AN64" t="s">
        <v>22275</v>
      </c>
      <c t="s">
        <v>33804</v>
      </c>
      <c t="s">
        <v>52247</v>
      </c>
      <c t="s">
        <v>3093</v>
      </c>
      <c t="s">
        <v>15066</v>
      </c>
    </row>
    <row>
      <c t="s">
        <v>17594</v>
      </c>
      <c t="s">
        <v>28120</v>
      </c>
      <c t="s">
        <v>21736</v>
      </c>
      <c t="s">
        <v>20055</v>
      </c>
      <c t="s">
        <v>45367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>
        <v>2021</v>
      </c>
      <c>
        <v>523.58</v>
      </c>
      <c s="1" t="str">
        <f ca="1">HYPERLINK("https://web.datatree.com/?/property?propertyId=31973585", "https://web.datatree.com/?/property?propertyId=31973585")</f>
        <v>https://web.datatree.com/?/property?propertyId=31973585</v>
      </c>
      <c r="Q65" t="s">
        <v>316</v>
      </c>
      <c>
        <v>0.23</v>
      </c>
      <c t="s">
        <v>6175</v>
      </c>
      <c t="s">
        <v>16558</v>
      </c>
      <c t="s">
        <v>10218</v>
      </c>
      <c r="X65" t="s">
        <v>65843</v>
      </c>
      <c t="s">
        <v>49674</v>
      </c>
      <c t="s">
        <v>2517</v>
      </c>
      <c t="s">
        <v>39289</v>
      </c>
      <c>
        <v>33909</v>
      </c>
      <c t="s">
        <v>41470</v>
      </c>
      <c t="s">
        <v>48794</v>
      </c>
      <c t="s">
        <v>56588</v>
      </c>
      <c>
        <v>507</v>
      </c>
      <c r="AI65" t="s">
        <v>49938</v>
      </c>
      <c t="s">
        <v>45393</v>
      </c>
      <c r="AL65" t="s">
        <v>7803</v>
      </c>
      <c r="AN65" t="s">
        <v>51137</v>
      </c>
      <c t="s">
        <v>18795</v>
      </c>
      <c t="s">
        <v>4797</v>
      </c>
      <c t="s">
        <v>3093</v>
      </c>
      <c t="s">
        <v>65329</v>
      </c>
    </row>
    <row>
      <c t="s">
        <v>17594</v>
      </c>
      <c t="s">
        <v>21574</v>
      </c>
      <c t="s">
        <v>3517</v>
      </c>
      <c t="s">
        <v>26698</v>
      </c>
      <c t="s">
        <v>2281</v>
      </c>
      <c s="3">
        <v>22736</v>
      </c>
      <c s="3">
        <v>22736</v>
      </c>
      <c s="3">
        <v>8800</v>
      </c>
      <c>
        <v>0</v>
      </c>
      <c s="3">
        <v>0</v>
      </c>
      <c s="3">
        <v>588.04</v>
      </c>
      <c s="3">
        <v>22736</v>
      </c>
      <c r="O66" s="1" t="str">
        <f ca="1">HYPERLINK("https://web.datatree.com/?/property?propertyId=31974001", "https://web.datatree.com/?/property?propertyId=31974001")</f>
        <v>https://web.datatree.com/?/property?propertyId=31974001</v>
      </c>
      <c r="Q66" t="s">
        <v>316</v>
      </c>
      <c>
        <v>0.244</v>
      </c>
      <c t="s">
        <v>22490</v>
      </c>
      <c t="s">
        <v>8006</v>
      </c>
      <c t="s">
        <v>10619</v>
      </c>
      <c r="X66" t="s">
        <v>36457</v>
      </c>
      <c t="s">
        <v>57064</v>
      </c>
      <c t="s">
        <v>2517</v>
      </c>
      <c t="s">
        <v>39289</v>
      </c>
      <c>
        <v>33909</v>
      </c>
      <c t="s">
        <v>19189</v>
      </c>
      <c t="s">
        <v>48794</v>
      </c>
      <c t="s">
        <v>48904</v>
      </c>
      <c>
        <v>4285</v>
      </c>
      <c r="AH66" t="s">
        <v>15376</v>
      </c>
      <c t="s">
        <v>47150</v>
      </c>
      <c t="s">
        <v>24900</v>
      </c>
      <c r="AL66" t="s">
        <v>11713</v>
      </c>
      <c r="AN66" t="s">
        <v>39289</v>
      </c>
      <c t="s">
        <v>23412</v>
      </c>
      <c t="s">
        <v>34025</v>
      </c>
      <c t="s">
        <v>3093</v>
      </c>
      <c t="s">
        <v>30095</v>
      </c>
    </row>
    <row>
      <c t="s">
        <v>42103</v>
      </c>
      <c t="s">
        <v>25619</v>
      </c>
      <c t="s">
        <v>5856</v>
      </c>
      <c t="s">
        <v>31675</v>
      </c>
      <c t="s">
        <v>65667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>
        <v>2020</v>
      </c>
      <c>
        <v>1084.29</v>
      </c>
      <c s="1" t="str">
        <f ca="1">HYPERLINK("https://web.datatree.com/?/property?propertyId=31974010", "https://web.datatree.com/?/property?propertyId=31974010")</f>
        <v>https://web.datatree.com/?/property?propertyId=31974010</v>
      </c>
      <c r="Q67" t="s">
        <v>316</v>
      </c>
      <c>
        <v>0.23</v>
      </c>
      <c t="s">
        <v>6175</v>
      </c>
      <c t="s">
        <v>37398</v>
      </c>
      <c t="s">
        <v>2084</v>
      </c>
      <c r="X67" t="s">
        <v>32522</v>
      </c>
      <c t="s">
        <v>2626</v>
      </c>
      <c t="s">
        <v>2517</v>
      </c>
      <c t="s">
        <v>39289</v>
      </c>
      <c>
        <v>33909</v>
      </c>
      <c t="s">
        <v>14234</v>
      </c>
      <c t="s">
        <v>48794</v>
      </c>
      <c t="s">
        <v>25807</v>
      </c>
      <c r="AI67" t="s">
        <v>4147</v>
      </c>
      <c r="AL67" t="s">
        <v>55393</v>
      </c>
      <c r="AN67" t="s">
        <v>39289</v>
      </c>
      <c t="s">
        <v>36503</v>
      </c>
      <c t="s">
        <v>24808</v>
      </c>
      <c t="s">
        <v>3093</v>
      </c>
      <c t="s">
        <v>56048</v>
      </c>
    </row>
    <row>
      <c t="s">
        <v>42103</v>
      </c>
      <c t="s">
        <v>52742</v>
      </c>
      <c t="s">
        <v>33477</v>
      </c>
      <c t="s">
        <v>40855</v>
      </c>
      <c t="s">
        <v>116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68" s="1" t="str">
        <f ca="1">HYPERLINK("https://web.datatree.com/?/property?propertyId=31974138", "https://web.datatree.com/?/property?propertyId=31974138")</f>
        <v>https://web.datatree.com/?/property?propertyId=31974138</v>
      </c>
      <c r="Q68" t="s">
        <v>316</v>
      </c>
      <c>
        <v>0.23</v>
      </c>
      <c t="s">
        <v>22490</v>
      </c>
      <c t="s">
        <v>42532</v>
      </c>
      <c t="s">
        <v>20866</v>
      </c>
      <c t="s">
        <v>23817</v>
      </c>
      <c t="s">
        <v>20866</v>
      </c>
      <c t="s">
        <v>55712</v>
      </c>
      <c t="s">
        <v>2619</v>
      </c>
      <c t="s">
        <v>2517</v>
      </c>
      <c t="s">
        <v>39289</v>
      </c>
      <c>
        <v>33909</v>
      </c>
      <c t="s">
        <v>27463</v>
      </c>
      <c t="s">
        <v>48794</v>
      </c>
      <c t="s">
        <v>65084</v>
      </c>
      <c r="AI68" t="s">
        <v>20470</v>
      </c>
      <c r="AN68" t="s">
        <v>19878</v>
      </c>
      <c>
        <v>38523</v>
      </c>
      <c r="AR68" t="s">
        <v>41955</v>
      </c>
    </row>
    <row>
      <c t="s">
        <v>17594</v>
      </c>
      <c t="s">
        <v>13992</v>
      </c>
      <c t="s">
        <v>32275</v>
      </c>
      <c t="s">
        <v>33455</v>
      </c>
      <c t="s">
        <v>45570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69" s="1" t="str">
        <f ca="1">HYPERLINK("https://web.datatree.com/?/property?propertyId=31974397", "https://web.datatree.com/?/property?propertyId=31974397")</f>
        <v>https://web.datatree.com/?/property?propertyId=31974397</v>
      </c>
      <c r="Q69" t="s">
        <v>316</v>
      </c>
      <c>
        <v>0.225</v>
      </c>
      <c t="s">
        <v>5471</v>
      </c>
      <c t="s">
        <v>16200</v>
      </c>
      <c t="s">
        <v>64703</v>
      </c>
      <c t="s">
        <v>4047</v>
      </c>
      <c t="s">
        <v>64703</v>
      </c>
      <c t="s">
        <v>37700</v>
      </c>
      <c t="s">
        <v>13500</v>
      </c>
      <c t="s">
        <v>65059</v>
      </c>
      <c t="s">
        <v>39289</v>
      </c>
      <c>
        <v>33905</v>
      </c>
      <c t="s">
        <v>23342</v>
      </c>
      <c t="s">
        <v>48794</v>
      </c>
      <c t="s">
        <v>4227</v>
      </c>
      <c>
        <v>221</v>
      </c>
      <c r="AI69" t="s">
        <v>37522</v>
      </c>
      <c t="s">
        <v>24900</v>
      </c>
      <c r="AL69" t="s">
        <v>16561</v>
      </c>
      <c t="s">
        <v>16561</v>
      </c>
      <c t="s">
        <v>50917</v>
      </c>
      <c t="s">
        <v>14690</v>
      </c>
      <c t="s">
        <v>25140</v>
      </c>
      <c t="s">
        <v>3093</v>
      </c>
      <c t="s">
        <v>49391</v>
      </c>
    </row>
    <row>
      <c t="s">
        <v>17594</v>
      </c>
      <c t="s">
        <v>52534</v>
      </c>
      <c t="s">
        <v>21222</v>
      </c>
      <c t="s">
        <v>37711</v>
      </c>
      <c t="s">
        <v>30557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70" s="1" t="str">
        <f ca="1">HYPERLINK("https://web.datatree.com/?/property?propertyId=31975308", "https://web.datatree.com/?/property?propertyId=31975308")</f>
        <v>https://web.datatree.com/?/property?propertyId=31975308</v>
      </c>
      <c r="Q70" t="s">
        <v>316</v>
      </c>
      <c>
        <v>0.244</v>
      </c>
      <c t="s">
        <v>6175</v>
      </c>
      <c t="s">
        <v>32009</v>
      </c>
      <c t="s">
        <v>67047</v>
      </c>
      <c t="s">
        <v>64201</v>
      </c>
      <c t="s">
        <v>67047</v>
      </c>
      <c t="s">
        <v>3294</v>
      </c>
      <c t="s">
        <v>44061</v>
      </c>
      <c t="s">
        <v>2517</v>
      </c>
      <c t="s">
        <v>39289</v>
      </c>
      <c>
        <v>33909</v>
      </c>
      <c t="s">
        <v>65622</v>
      </c>
      <c t="s">
        <v>48794</v>
      </c>
      <c t="s">
        <v>6500</v>
      </c>
      <c>
        <v>900</v>
      </c>
      <c r="AI70" t="s">
        <v>9162</v>
      </c>
      <c t="s">
        <v>45393</v>
      </c>
      <c r="AL70" t="s">
        <v>9927</v>
      </c>
      <c r="AN70" t="s">
        <v>3034</v>
      </c>
      <c t="s">
        <v>52594</v>
      </c>
      <c t="s">
        <v>44428</v>
      </c>
      <c t="s">
        <v>3093</v>
      </c>
      <c t="s">
        <v>62733</v>
      </c>
    </row>
    <row>
      <c t="s">
        <v>42103</v>
      </c>
      <c t="s">
        <v>47332</v>
      </c>
      <c t="s">
        <v>51854</v>
      </c>
      <c t="s">
        <v>67088</v>
      </c>
      <c t="s">
        <v>48416</v>
      </c>
      <c s="3">
        <v>20002</v>
      </c>
      <c s="3">
        <v>20002</v>
      </c>
      <c s="3">
        <v>9339</v>
      </c>
      <c>
        <v>0</v>
      </c>
      <c s="3">
        <v>0</v>
      </c>
      <c s="3">
        <v>800.71</v>
      </c>
      <c s="3">
        <v>20002</v>
      </c>
      <c>
        <v>2021</v>
      </c>
      <c>
        <v>728.08</v>
      </c>
      <c s="1" t="str">
        <f ca="1">HYPERLINK("https://web.datatree.com/?/property?propertyId=31975385", "https://web.datatree.com/?/property?propertyId=31975385")</f>
        <v>https://web.datatree.com/?/property?propertyId=31975385</v>
      </c>
      <c r="Q71" t="s">
        <v>316</v>
      </c>
      <c>
        <v>0.23</v>
      </c>
      <c t="s">
        <v>65422</v>
      </c>
      <c t="s">
        <v>44457</v>
      </c>
      <c t="s">
        <v>57267</v>
      </c>
      <c r="X71" t="s">
        <v>6627</v>
      </c>
      <c t="s">
        <v>17022</v>
      </c>
      <c t="s">
        <v>2517</v>
      </c>
      <c t="s">
        <v>39289</v>
      </c>
      <c>
        <v>33909</v>
      </c>
      <c t="s">
        <v>12862</v>
      </c>
      <c t="s">
        <v>48794</v>
      </c>
      <c t="s">
        <v>32561</v>
      </c>
      <c r="AI71" t="s">
        <v>59633</v>
      </c>
      <c r="AN71" t="s">
        <v>52339</v>
      </c>
      <c r="AR71" t="s">
        <v>42</v>
      </c>
    </row>
    <row>
      <c t="s">
        <v>17594</v>
      </c>
      <c t="s">
        <v>46416</v>
      </c>
      <c t="s">
        <v>60410</v>
      </c>
      <c t="s">
        <v>4342</v>
      </c>
      <c t="s">
        <v>42495</v>
      </c>
      <c s="3">
        <v>109248</v>
      </c>
      <c s="3">
        <v>93500</v>
      </c>
      <c s="3">
        <v>109248</v>
      </c>
      <c>
        <v>0</v>
      </c>
      <c s="3">
        <v>0</v>
      </c>
      <c s="3">
        <v>1640.52</v>
      </c>
      <c s="3">
        <v>109248</v>
      </c>
      <c r="O72" s="1" t="str">
        <f ca="1">HYPERLINK("https://web.datatree.com/?/property?propertyId=31976322", "https://web.datatree.com/?/property?propertyId=31976322")</f>
        <v>https://web.datatree.com/?/property?propertyId=31976322</v>
      </c>
      <c r="Q72" t="s">
        <v>316</v>
      </c>
      <c>
        <v>0.095</v>
      </c>
      <c t="s">
        <v>26492</v>
      </c>
      <c t="s">
        <v>21668</v>
      </c>
      <c t="s">
        <v>27604</v>
      </c>
      <c t="s">
        <v>63047</v>
      </c>
      <c r="X72" t="s">
        <v>26039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47517</v>
      </c>
      <c>
        <v>19</v>
      </c>
      <c r="AI72" t="s">
        <v>65286</v>
      </c>
      <c t="s">
        <v>29535</v>
      </c>
      <c r="AL72" t="s">
        <v>60736</v>
      </c>
      <c t="s">
        <v>40227</v>
      </c>
      <c t="s">
        <v>58811</v>
      </c>
      <c t="s">
        <v>57051</v>
      </c>
      <c r="AQ72" t="s">
        <v>27814</v>
      </c>
      <c t="s">
        <v>22909</v>
      </c>
    </row>
    <row>
      <c t="s">
        <v>17594</v>
      </c>
      <c t="s">
        <v>53730</v>
      </c>
      <c t="s">
        <v>56105</v>
      </c>
      <c t="s">
        <v>5620</v>
      </c>
      <c t="s">
        <v>16255</v>
      </c>
      <c s="3">
        <v>22041</v>
      </c>
      <c s="3">
        <v>22041</v>
      </c>
      <c s="3">
        <v>10230</v>
      </c>
      <c>
        <v>0</v>
      </c>
      <c s="3">
        <v>0</v>
      </c>
      <c s="3">
        <v>696.04</v>
      </c>
      <c s="3">
        <v>22041</v>
      </c>
      <c r="O73" s="1" t="str">
        <f ca="1">HYPERLINK("https://web.datatree.com/?/property?propertyId=31976422", "https://web.datatree.com/?/property?propertyId=31976422")</f>
        <v>https://web.datatree.com/?/property?propertyId=31976422</v>
      </c>
      <c r="Q73" t="s">
        <v>316</v>
      </c>
      <c>
        <v>0.344</v>
      </c>
      <c t="s">
        <v>42044</v>
      </c>
      <c t="s">
        <v>25273</v>
      </c>
      <c t="s">
        <v>30647</v>
      </c>
      <c r="X73" t="s">
        <v>41022</v>
      </c>
      <c t="s">
        <v>13478</v>
      </c>
      <c t="s">
        <v>2517</v>
      </c>
      <c t="s">
        <v>39289</v>
      </c>
      <c>
        <v>33909</v>
      </c>
      <c t="s">
        <v>35698</v>
      </c>
      <c t="s">
        <v>48794</v>
      </c>
      <c t="s">
        <v>33796</v>
      </c>
      <c>
        <v>5709</v>
      </c>
      <c r="AH73" t="s">
        <v>12549</v>
      </c>
      <c t="s">
        <v>34136</v>
      </c>
      <c t="s">
        <v>24900</v>
      </c>
      <c r="AL73" t="s">
        <v>21604</v>
      </c>
      <c t="s">
        <v>21604</v>
      </c>
      <c t="s">
        <v>50829</v>
      </c>
      <c t="s">
        <v>11489</v>
      </c>
      <c t="s">
        <v>32746</v>
      </c>
      <c t="s">
        <v>3093</v>
      </c>
      <c t="s">
        <v>55124</v>
      </c>
    </row>
    <row>
      <c t="s">
        <v>17594</v>
      </c>
      <c t="s">
        <v>25524</v>
      </c>
      <c t="s">
        <v>52244</v>
      </c>
      <c t="s">
        <v>4345</v>
      </c>
      <c t="s">
        <v>29456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74" s="1" t="str">
        <f ca="1">HYPERLINK("https://web.datatree.com/?/property?propertyId=31976452", "https://web.datatree.com/?/property?propertyId=31976452")</f>
        <v>https://web.datatree.com/?/property?propertyId=31976452</v>
      </c>
      <c r="Q74" t="s">
        <v>316</v>
      </c>
      <c>
        <v>0.23</v>
      </c>
      <c t="s">
        <v>22490</v>
      </c>
      <c t="s">
        <v>36884</v>
      </c>
      <c t="s">
        <v>65757</v>
      </c>
      <c t="s">
        <v>52701</v>
      </c>
      <c t="s">
        <v>65757</v>
      </c>
      <c t="s">
        <v>66038</v>
      </c>
      <c t="s">
        <v>49122</v>
      </c>
      <c t="s">
        <v>2517</v>
      </c>
      <c t="s">
        <v>39289</v>
      </c>
      <c>
        <v>33909</v>
      </c>
      <c t="s">
        <v>50675</v>
      </c>
      <c t="s">
        <v>48794</v>
      </c>
      <c t="s">
        <v>46887</v>
      </c>
      <c>
        <v>7810</v>
      </c>
      <c r="AI74" t="s">
        <v>23517</v>
      </c>
      <c t="s">
        <v>24900</v>
      </c>
      <c t="s">
        <v>18456</v>
      </c>
      <c t="s">
        <v>45059</v>
      </c>
      <c r="AN74" t="s">
        <v>50917</v>
      </c>
      <c t="s">
        <v>40958</v>
      </c>
      <c t="s">
        <v>23744</v>
      </c>
      <c t="s">
        <v>3093</v>
      </c>
      <c t="s">
        <v>9398</v>
      </c>
    </row>
    <row>
      <c t="s">
        <v>17594</v>
      </c>
      <c t="s">
        <v>35242</v>
      </c>
      <c t="s">
        <v>30578</v>
      </c>
      <c t="s">
        <v>1785</v>
      </c>
      <c t="s">
        <v>11477</v>
      </c>
      <c s="3">
        <v>410080</v>
      </c>
      <c s="3">
        <v>405004</v>
      </c>
      <c s="3">
        <v>326784</v>
      </c>
      <c>
        <v>0</v>
      </c>
      <c s="3">
        <v>0</v>
      </c>
      <c s="3">
        <v>6158.72</v>
      </c>
      <c s="3">
        <v>410080</v>
      </c>
      <c r="O75" s="1" t="str">
        <f ca="1">HYPERLINK("https://web.datatree.com/?/property?propertyId=31978486", "https://web.datatree.com/?/property?propertyId=31978486")</f>
        <v>https://web.datatree.com/?/property?propertyId=31978486</v>
      </c>
      <c r="Q75" t="s">
        <v>316</v>
      </c>
      <c>
        <v>0.339</v>
      </c>
      <c t="s">
        <v>22490</v>
      </c>
      <c t="s">
        <v>11540</v>
      </c>
      <c t="s">
        <v>52737</v>
      </c>
      <c r="X75" t="s">
        <v>48497</v>
      </c>
      <c t="s">
        <v>15510</v>
      </c>
      <c t="s">
        <v>2517</v>
      </c>
      <c t="s">
        <v>39289</v>
      </c>
      <c>
        <v>33904</v>
      </c>
      <c t="s">
        <v>17404</v>
      </c>
      <c t="s">
        <v>48794</v>
      </c>
      <c t="s">
        <v>66502</v>
      </c>
      <c>
        <v>4785</v>
      </c>
      <c r="AI75" t="s">
        <v>11948</v>
      </c>
      <c t="s">
        <v>40123</v>
      </c>
      <c r="AL75" t="s">
        <v>1661</v>
      </c>
      <c r="AN75" t="s">
        <v>51137</v>
      </c>
      <c t="s">
        <v>26508</v>
      </c>
      <c t="s">
        <v>39274</v>
      </c>
      <c t="s">
        <v>3093</v>
      </c>
      <c t="s">
        <v>24716</v>
      </c>
    </row>
    <row>
      <c t="s">
        <v>17594</v>
      </c>
      <c t="s">
        <v>5732</v>
      </c>
      <c t="s">
        <v>30537</v>
      </c>
      <c t="s">
        <v>21124</v>
      </c>
      <c t="s">
        <v>59646</v>
      </c>
      <c s="3">
        <v>26290</v>
      </c>
      <c s="3">
        <v>26290</v>
      </c>
      <c s="3">
        <v>12650</v>
      </c>
      <c>
        <v>0</v>
      </c>
      <c s="3">
        <v>0</v>
      </c>
      <c s="3">
        <v>675.67</v>
      </c>
      <c s="3">
        <v>26290</v>
      </c>
      <c r="O76" s="1" t="str">
        <f ca="1">HYPERLINK("https://web.datatree.com/?/property?propertyId=31978504", "https://web.datatree.com/?/property?propertyId=31978504")</f>
        <v>https://web.datatree.com/?/property?propertyId=31978504</v>
      </c>
      <c r="Q76" t="s">
        <v>316</v>
      </c>
      <c>
        <v>0.268</v>
      </c>
      <c t="s">
        <v>22490</v>
      </c>
      <c t="s">
        <v>45299</v>
      </c>
      <c t="s">
        <v>19427</v>
      </c>
      <c t="s">
        <v>21600</v>
      </c>
      <c t="s">
        <v>19427</v>
      </c>
      <c t="s">
        <v>44171</v>
      </c>
      <c t="s">
        <v>39082</v>
      </c>
      <c t="s">
        <v>2517</v>
      </c>
      <c t="s">
        <v>39289</v>
      </c>
      <c>
        <v>33909</v>
      </c>
      <c t="s">
        <v>46050</v>
      </c>
      <c t="s">
        <v>48794</v>
      </c>
      <c t="s">
        <v>8562</v>
      </c>
      <c>
        <v>1441</v>
      </c>
      <c r="AI76" t="s">
        <v>54353</v>
      </c>
      <c t="s">
        <v>55842</v>
      </c>
      <c r="AL76" t="s">
        <v>17856</v>
      </c>
      <c r="AN76" t="s">
        <v>50829</v>
      </c>
      <c t="s">
        <v>19759</v>
      </c>
      <c t="s">
        <v>35508</v>
      </c>
      <c t="s">
        <v>3093</v>
      </c>
      <c t="s">
        <v>2622</v>
      </c>
    </row>
    <row>
      <c t="s">
        <v>17594</v>
      </c>
      <c t="s">
        <v>11967</v>
      </c>
      <c t="s">
        <v>19929</v>
      </c>
      <c t="s">
        <v>39550</v>
      </c>
      <c t="s">
        <v>29262</v>
      </c>
      <c s="3">
        <v>14982</v>
      </c>
      <c s="3">
        <v>14982</v>
      </c>
      <c s="3">
        <v>10890</v>
      </c>
      <c>
        <v>0</v>
      </c>
      <c s="3">
        <v>0</v>
      </c>
      <c s="3">
        <v>385.07</v>
      </c>
      <c s="3">
        <v>14982</v>
      </c>
      <c r="O77" s="1" t="str">
        <f ca="1">HYPERLINK("https://web.datatree.com/?/property?propertyId=31979807", "https://web.datatree.com/?/property?propertyId=31979807")</f>
        <v>https://web.datatree.com/?/property?propertyId=31979807</v>
      </c>
      <c r="Q77" t="s">
        <v>316</v>
      </c>
      <c>
        <v>0.366</v>
      </c>
      <c t="s">
        <v>5471</v>
      </c>
      <c r="U77" t="s">
        <v>29249</v>
      </c>
      <c r="W77" t="s">
        <v>34566</v>
      </c>
      <c t="s">
        <v>48079</v>
      </c>
      <c t="s">
        <v>51919</v>
      </c>
      <c t="s">
        <v>65059</v>
      </c>
      <c t="s">
        <v>39289</v>
      </c>
      <c>
        <v>33905</v>
      </c>
      <c t="s">
        <v>21723</v>
      </c>
      <c t="s">
        <v>48794</v>
      </c>
      <c t="s">
        <v>37347</v>
      </c>
      <c>
        <v>2180</v>
      </c>
      <c r="AI77" t="s">
        <v>11467</v>
      </c>
      <c t="s">
        <v>45620</v>
      </c>
      <c r="AL77" t="s">
        <v>14309</v>
      </c>
      <c r="AN77" t="s">
        <v>19878</v>
      </c>
      <c t="s">
        <v>9408</v>
      </c>
      <c t="s">
        <v>42082</v>
      </c>
      <c t="s">
        <v>3093</v>
      </c>
      <c t="s">
        <v>41474</v>
      </c>
    </row>
    <row>
      <c t="s">
        <v>17594</v>
      </c>
      <c t="s">
        <v>57680</v>
      </c>
      <c t="s">
        <v>47581</v>
      </c>
      <c t="s">
        <v>16805</v>
      </c>
      <c t="s">
        <v>55772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78" s="1" t="str">
        <f ca="1">HYPERLINK("https://web.datatree.com/?/property?propertyId=31980054", "https://web.datatree.com/?/property?propertyId=31980054")</f>
        <v>https://web.datatree.com/?/property?propertyId=31980054</v>
      </c>
      <c r="Q78" t="s">
        <v>316</v>
      </c>
      <c>
        <v>0.245</v>
      </c>
      <c t="s">
        <v>6175</v>
      </c>
      <c t="s">
        <v>44319</v>
      </c>
      <c t="s">
        <v>14294</v>
      </c>
      <c t="s">
        <v>25330</v>
      </c>
      <c t="s">
        <v>28801</v>
      </c>
      <c t="s">
        <v>36136</v>
      </c>
      <c t="s">
        <v>29190</v>
      </c>
      <c t="s">
        <v>2517</v>
      </c>
      <c t="s">
        <v>39289</v>
      </c>
      <c>
        <v>33909</v>
      </c>
      <c t="s">
        <v>12866</v>
      </c>
      <c t="s">
        <v>48794</v>
      </c>
      <c t="s">
        <v>34827</v>
      </c>
      <c>
        <v>78</v>
      </c>
      <c r="AI78" t="s">
        <v>20938</v>
      </c>
      <c t="s">
        <v>45393</v>
      </c>
      <c r="AL78" t="s">
        <v>66317</v>
      </c>
      <c r="AN78" t="s">
        <v>50917</v>
      </c>
      <c t="s">
        <v>8873</v>
      </c>
      <c t="s">
        <v>23744</v>
      </c>
      <c t="s">
        <v>3093</v>
      </c>
      <c t="s">
        <v>3506</v>
      </c>
    </row>
    <row>
      <c t="s">
        <v>17594</v>
      </c>
      <c t="s">
        <v>6995</v>
      </c>
      <c t="s">
        <v>5735</v>
      </c>
      <c t="s">
        <v>60339</v>
      </c>
      <c t="s">
        <v>4291</v>
      </c>
      <c s="3">
        <v>31592</v>
      </c>
      <c s="3">
        <v>31592</v>
      </c>
      <c s="3">
        <v>11858</v>
      </c>
      <c>
        <v>0</v>
      </c>
      <c s="3">
        <v>0</v>
      </c>
      <c s="3">
        <v>2935.69</v>
      </c>
      <c s="3">
        <v>31592</v>
      </c>
      <c r="O79" s="1" t="str">
        <f ca="1">HYPERLINK("https://web.datatree.com/?/property?propertyId=31980363", "https://web.datatree.com/?/property?propertyId=31980363")</f>
        <v>https://web.datatree.com/?/property?propertyId=31980363</v>
      </c>
      <c r="Q79" t="s">
        <v>316</v>
      </c>
      <c>
        <v>0.23</v>
      </c>
      <c t="s">
        <v>22490</v>
      </c>
      <c t="s">
        <v>6075</v>
      </c>
      <c t="s">
        <v>18141</v>
      </c>
      <c r="X79" t="s">
        <v>62527</v>
      </c>
      <c t="s">
        <v>2626</v>
      </c>
      <c t="s">
        <v>2517</v>
      </c>
      <c t="s">
        <v>39289</v>
      </c>
      <c>
        <v>33909</v>
      </c>
      <c t="s">
        <v>33466</v>
      </c>
      <c t="s">
        <v>48794</v>
      </c>
      <c t="s">
        <v>55113</v>
      </c>
      <c>
        <v>11296</v>
      </c>
      <c r="AI79" t="s">
        <v>39638</v>
      </c>
      <c t="s">
        <v>1671</v>
      </c>
      <c r="AL79" t="s">
        <v>27398</v>
      </c>
      <c r="AN79" t="s">
        <v>39289</v>
      </c>
      <c t="s">
        <v>15801</v>
      </c>
      <c t="s">
        <v>16126</v>
      </c>
      <c t="s">
        <v>3093</v>
      </c>
      <c t="s">
        <v>56904</v>
      </c>
    </row>
    <row>
      <c t="s">
        <v>17594</v>
      </c>
      <c t="s">
        <v>44960</v>
      </c>
      <c t="s">
        <v>30338</v>
      </c>
      <c t="s">
        <v>5049</v>
      </c>
      <c t="s">
        <v>13520</v>
      </c>
      <c s="3">
        <v>24367</v>
      </c>
      <c s="3">
        <v>24367</v>
      </c>
      <c s="3">
        <v>9680</v>
      </c>
      <c>
        <v>0</v>
      </c>
      <c s="3">
        <v>0</v>
      </c>
      <c s="3">
        <v>655.24</v>
      </c>
      <c s="3">
        <v>24367</v>
      </c>
      <c r="O80" s="1" t="str">
        <f ca="1">HYPERLINK("https://web.datatree.com/?/property?propertyId=31980569", "https://web.datatree.com/?/property?propertyId=31980569")</f>
        <v>https://web.datatree.com/?/property?propertyId=31980569</v>
      </c>
      <c r="Q80" t="s">
        <v>316</v>
      </c>
      <c>
        <v>0.283</v>
      </c>
      <c t="s">
        <v>22490</v>
      </c>
      <c t="s">
        <v>22027</v>
      </c>
      <c t="s">
        <v>35456</v>
      </c>
      <c r="X80" t="s">
        <v>53798</v>
      </c>
      <c t="s">
        <v>57064</v>
      </c>
      <c t="s">
        <v>2517</v>
      </c>
      <c t="s">
        <v>39289</v>
      </c>
      <c>
        <v>33909</v>
      </c>
      <c t="s">
        <v>65748</v>
      </c>
      <c t="s">
        <v>48794</v>
      </c>
      <c t="s">
        <v>6505</v>
      </c>
      <c r="AI80" t="s">
        <v>6431</v>
      </c>
      <c r="AK80">
        <v>231</v>
      </c>
      <c t="s">
        <v>50039</v>
      </c>
      <c t="s">
        <v>19597</v>
      </c>
      <c t="s">
        <v>32657</v>
      </c>
      <c>
        <v>37138</v>
      </c>
      <c r="AR80" t="s">
        <v>63293</v>
      </c>
    </row>
    <row>
      <c t="s">
        <v>17594</v>
      </c>
      <c t="s">
        <v>38641</v>
      </c>
      <c t="s">
        <v>14916</v>
      </c>
      <c t="s">
        <v>14412</v>
      </c>
      <c t="s">
        <v>61448</v>
      </c>
      <c s="3">
        <v>7700</v>
      </c>
      <c s="3">
        <v>7700</v>
      </c>
      <c s="3">
        <v>7700</v>
      </c>
      <c>
        <v>0</v>
      </c>
      <c s="3">
        <v>0</v>
      </c>
      <c s="3">
        <v>561.47</v>
      </c>
      <c s="3">
        <v>7700</v>
      </c>
      <c r="O81" s="1" t="str">
        <f ca="1">HYPERLINK("https://web.datatree.com/?/property?propertyId=31981191", "https://web.datatree.com/?/property?propertyId=31981191")</f>
        <v>https://web.datatree.com/?/property?propertyId=31981191</v>
      </c>
      <c r="Q81" t="s">
        <v>316</v>
      </c>
      <c>
        <v>0.248</v>
      </c>
      <c t="s">
        <v>6175</v>
      </c>
      <c t="s">
        <v>63047</v>
      </c>
      <c t="s">
        <v>36996</v>
      </c>
      <c t="s">
        <v>48615</v>
      </c>
      <c t="s">
        <v>36996</v>
      </c>
      <c t="s">
        <v>31174</v>
      </c>
      <c t="s">
        <v>29190</v>
      </c>
      <c t="s">
        <v>2517</v>
      </c>
      <c t="s">
        <v>39289</v>
      </c>
      <c>
        <v>33909</v>
      </c>
      <c t="s">
        <v>6915</v>
      </c>
      <c t="s">
        <v>48794</v>
      </c>
      <c t="s">
        <v>56788</v>
      </c>
      <c>
        <v>27</v>
      </c>
      <c r="AI81" t="s">
        <v>46715</v>
      </c>
      <c t="s">
        <v>45620</v>
      </c>
      <c r="AL81" t="s">
        <v>36176</v>
      </c>
      <c r="AN81" t="s">
        <v>50917</v>
      </c>
      <c t="s">
        <v>24841</v>
      </c>
      <c t="s">
        <v>19978</v>
      </c>
      <c t="s">
        <v>3093</v>
      </c>
      <c t="s">
        <v>7318</v>
      </c>
    </row>
    <row>
      <c t="s">
        <v>17594</v>
      </c>
      <c t="s">
        <v>62973</v>
      </c>
      <c t="s">
        <v>3823</v>
      </c>
      <c t="s">
        <v>25998</v>
      </c>
      <c t="s">
        <v>58825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>
        <v>2021</v>
      </c>
      <c>
        <v>538.37</v>
      </c>
      <c s="1" t="str">
        <f ca="1">HYPERLINK("https://web.datatree.com/?/property?propertyId=31981589", "https://web.datatree.com/?/property?propertyId=31981589")</f>
        <v>https://web.datatree.com/?/property?propertyId=31981589</v>
      </c>
      <c r="Q82" t="s">
        <v>316</v>
      </c>
      <c>
        <v>0.244</v>
      </c>
      <c t="s">
        <v>6175</v>
      </c>
      <c t="s">
        <v>63066</v>
      </c>
      <c t="s">
        <v>21142</v>
      </c>
      <c t="s">
        <v>53622</v>
      </c>
      <c t="s">
        <v>21142</v>
      </c>
      <c t="s">
        <v>42220</v>
      </c>
      <c t="s">
        <v>17022</v>
      </c>
      <c t="s">
        <v>2517</v>
      </c>
      <c t="s">
        <v>39289</v>
      </c>
      <c>
        <v>33909</v>
      </c>
      <c t="s">
        <v>41985</v>
      </c>
      <c t="s">
        <v>48794</v>
      </c>
      <c t="s">
        <v>17551</v>
      </c>
      <c>
        <v>2217</v>
      </c>
      <c r="AI82" t="s">
        <v>9600</v>
      </c>
      <c t="s">
        <v>24900</v>
      </c>
      <c r="AL82" t="s">
        <v>21676</v>
      </c>
      <c t="s">
        <v>21676</v>
      </c>
      <c t="s">
        <v>39289</v>
      </c>
      <c t="s">
        <v>6690</v>
      </c>
      <c t="s">
        <v>22613</v>
      </c>
      <c t="s">
        <v>3093</v>
      </c>
      <c t="s">
        <v>46300</v>
      </c>
    </row>
    <row>
      <c t="s">
        <v>17594</v>
      </c>
      <c t="s">
        <v>63129</v>
      </c>
      <c t="s">
        <v>35844</v>
      </c>
      <c t="s">
        <v>62053</v>
      </c>
      <c t="s">
        <v>59987</v>
      </c>
      <c s="3">
        <v>7600</v>
      </c>
      <c s="3">
        <v>7600</v>
      </c>
      <c s="3">
        <v>7600</v>
      </c>
      <c>
        <v>0</v>
      </c>
      <c s="3">
        <v>0</v>
      </c>
      <c s="3">
        <v>595.21</v>
      </c>
      <c s="3">
        <v>7600</v>
      </c>
      <c r="O83" s="1" t="str">
        <f ca="1">HYPERLINK("https://web.datatree.com/?/property?propertyId=31981821", "https://web.datatree.com/?/property?propertyId=31981821")</f>
        <v>https://web.datatree.com/?/property?propertyId=31981821</v>
      </c>
      <c r="Q83" t="s">
        <v>316</v>
      </c>
      <c>
        <v>0.278</v>
      </c>
      <c t="s">
        <v>6175</v>
      </c>
      <c t="s">
        <v>29462</v>
      </c>
      <c t="s">
        <v>30230</v>
      </c>
      <c t="s">
        <v>11923</v>
      </c>
      <c t="s">
        <v>30230</v>
      </c>
      <c t="s">
        <v>53216</v>
      </c>
      <c t="s">
        <v>29190</v>
      </c>
      <c t="s">
        <v>2517</v>
      </c>
      <c t="s">
        <v>39289</v>
      </c>
      <c>
        <v>33909</v>
      </c>
      <c t="s">
        <v>61198</v>
      </c>
      <c t="s">
        <v>48794</v>
      </c>
      <c t="s">
        <v>37640</v>
      </c>
      <c>
        <v>71</v>
      </c>
      <c r="AI83" t="s">
        <v>2853</v>
      </c>
      <c t="s">
        <v>56275</v>
      </c>
      <c r="AL83" t="s">
        <v>50665</v>
      </c>
      <c r="AN83" t="s">
        <v>44551</v>
      </c>
      <c t="s">
        <v>13749</v>
      </c>
      <c t="s">
        <v>51100</v>
      </c>
      <c t="s">
        <v>3093</v>
      </c>
      <c t="s">
        <v>41788</v>
      </c>
    </row>
    <row>
      <c t="s">
        <v>17594</v>
      </c>
      <c t="s">
        <v>23250</v>
      </c>
      <c t="s">
        <v>30813</v>
      </c>
      <c t="s">
        <v>46234</v>
      </c>
      <c t="s">
        <v>1950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>
        <v>2021</v>
      </c>
      <c>
        <v>527.13</v>
      </c>
      <c s="1" t="str">
        <f ca="1">HYPERLINK("https://web.datatree.com/?/property?propertyId=31982179", "https://web.datatree.com/?/property?propertyId=31982179")</f>
        <v>https://web.datatree.com/?/property?propertyId=31982179</v>
      </c>
      <c r="Q84" t="s">
        <v>316</v>
      </c>
      <c>
        <v>0.23</v>
      </c>
      <c t="s">
        <v>6175</v>
      </c>
      <c t="s">
        <v>7972</v>
      </c>
      <c t="s">
        <v>2188</v>
      </c>
      <c r="X84" t="s">
        <v>22854</v>
      </c>
      <c t="s">
        <v>30928</v>
      </c>
      <c t="s">
        <v>2517</v>
      </c>
      <c t="s">
        <v>39289</v>
      </c>
      <c>
        <v>33909</v>
      </c>
      <c t="s">
        <v>51360</v>
      </c>
      <c t="s">
        <v>48794</v>
      </c>
      <c t="s">
        <v>37669</v>
      </c>
      <c>
        <v>39</v>
      </c>
      <c r="AI84" t="s">
        <v>31317</v>
      </c>
      <c r="AL84" t="s">
        <v>51623</v>
      </c>
      <c r="AN84" t="s">
        <v>19878</v>
      </c>
      <c>
        <v>64928</v>
      </c>
      <c r="AR84" t="s">
        <v>61636</v>
      </c>
    </row>
    <row>
      <c t="s">
        <v>17594</v>
      </c>
      <c t="s">
        <v>7455</v>
      </c>
      <c t="s">
        <v>29522</v>
      </c>
      <c t="s">
        <v>64900</v>
      </c>
      <c t="s">
        <v>56994</v>
      </c>
      <c s="3">
        <v>7500</v>
      </c>
      <c s="3">
        <v>7500</v>
      </c>
      <c s="3">
        <v>7500</v>
      </c>
      <c>
        <v>0</v>
      </c>
      <c s="3">
        <v>0</v>
      </c>
      <c s="3">
        <v>465.87</v>
      </c>
      <c s="3">
        <v>7500</v>
      </c>
      <c r="O85" s="1" t="str">
        <f ca="1">HYPERLINK("https://web.datatree.com/?/property?propertyId=31982548", "https://web.datatree.com/?/property?propertyId=31982548")</f>
        <v>https://web.datatree.com/?/property?propertyId=31982548</v>
      </c>
      <c r="Q85" t="s">
        <v>316</v>
      </c>
      <c>
        <v>0.23</v>
      </c>
      <c t="s">
        <v>6175</v>
      </c>
      <c t="s">
        <v>58113</v>
      </c>
      <c t="s">
        <v>20879</v>
      </c>
      <c t="s">
        <v>22450</v>
      </c>
      <c t="s">
        <v>20879</v>
      </c>
      <c t="s">
        <v>65630</v>
      </c>
      <c t="s">
        <v>61865</v>
      </c>
      <c t="s">
        <v>2517</v>
      </c>
      <c t="s">
        <v>39289</v>
      </c>
      <c>
        <v>33909</v>
      </c>
      <c t="s">
        <v>7700</v>
      </c>
      <c t="s">
        <v>48794</v>
      </c>
      <c t="s">
        <v>48522</v>
      </c>
      <c>
        <v>1530</v>
      </c>
      <c r="AI85" t="s">
        <v>53134</v>
      </c>
      <c t="s">
        <v>31192</v>
      </c>
      <c r="AL85" t="s">
        <v>12349</v>
      </c>
      <c r="AN85" t="s">
        <v>32576</v>
      </c>
      <c t="s">
        <v>63470</v>
      </c>
      <c t="s">
        <v>19978</v>
      </c>
      <c t="s">
        <v>3093</v>
      </c>
      <c t="s">
        <v>26136</v>
      </c>
    </row>
    <row>
      <c t="s">
        <v>17594</v>
      </c>
      <c t="s">
        <v>25390</v>
      </c>
      <c t="s">
        <v>56748</v>
      </c>
      <c t="s">
        <v>64917</v>
      </c>
      <c t="s">
        <v>13751</v>
      </c>
      <c s="3">
        <v>17800</v>
      </c>
      <c s="3">
        <v>17800</v>
      </c>
      <c s="3">
        <v>8360</v>
      </c>
      <c>
        <v>0</v>
      </c>
      <c s="3">
        <v>0</v>
      </c>
      <c s="3">
        <v>573.63</v>
      </c>
      <c s="3">
        <v>17800</v>
      </c>
      <c r="O86" s="1" t="str">
        <f ca="1">HYPERLINK("https://web.datatree.com/?/property?propertyId=31982834", "https://web.datatree.com/?/property?propertyId=31982834")</f>
        <v>https://web.datatree.com/?/property?propertyId=31982834</v>
      </c>
      <c r="Q86" t="s">
        <v>316</v>
      </c>
      <c>
        <v>0.255</v>
      </c>
      <c t="s">
        <v>6175</v>
      </c>
      <c t="s">
        <v>16200</v>
      </c>
      <c t="s">
        <v>1167</v>
      </c>
      <c r="X86" t="s">
        <v>18275</v>
      </c>
      <c t="s">
        <v>49122</v>
      </c>
      <c t="s">
        <v>2517</v>
      </c>
      <c t="s">
        <v>39289</v>
      </c>
      <c>
        <v>33909</v>
      </c>
      <c t="s">
        <v>23418</v>
      </c>
      <c t="s">
        <v>48794</v>
      </c>
      <c t="s">
        <v>47377</v>
      </c>
      <c r="AI86" t="s">
        <v>15737</v>
      </c>
      <c r="AL86" t="s">
        <v>35329</v>
      </c>
      <c r="AN86" t="s">
        <v>62780</v>
      </c>
      <c>
        <v>96206</v>
      </c>
      <c t="s">
        <v>4797</v>
      </c>
      <c t="s">
        <v>3093</v>
      </c>
      <c t="s">
        <v>13071</v>
      </c>
    </row>
    <row>
      <c t="s">
        <v>17594</v>
      </c>
      <c t="s">
        <v>52833</v>
      </c>
      <c t="s">
        <v>21304</v>
      </c>
      <c t="s">
        <v>18729</v>
      </c>
      <c t="s">
        <v>20140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87" s="1" t="str">
        <f ca="1">HYPERLINK("https://web.datatree.com/?/property?propertyId=31983011", "https://web.datatree.com/?/property?propertyId=31983011")</f>
        <v>https://web.datatree.com/?/property?propertyId=31983011</v>
      </c>
      <c r="Q87" t="s">
        <v>316</v>
      </c>
      <c>
        <v>0.23</v>
      </c>
      <c t="s">
        <v>22490</v>
      </c>
      <c t="s">
        <v>37194</v>
      </c>
      <c t="s">
        <v>17886</v>
      </c>
      <c t="s">
        <v>26069</v>
      </c>
      <c t="s">
        <v>17886</v>
      </c>
      <c t="s">
        <v>24580</v>
      </c>
      <c t="s">
        <v>60363</v>
      </c>
      <c t="s">
        <v>2517</v>
      </c>
      <c t="s">
        <v>39289</v>
      </c>
      <c>
        <v>33909</v>
      </c>
      <c t="s">
        <v>62150</v>
      </c>
      <c t="s">
        <v>48794</v>
      </c>
      <c t="s">
        <v>13504</v>
      </c>
      <c>
        <v>1690</v>
      </c>
      <c r="AI87" t="s">
        <v>41609</v>
      </c>
      <c t="s">
        <v>41372</v>
      </c>
      <c r="AL87" t="s">
        <v>51555</v>
      </c>
      <c r="AN87" t="s">
        <v>19878</v>
      </c>
      <c t="s">
        <v>11130</v>
      </c>
      <c t="s">
        <v>14695</v>
      </c>
      <c t="s">
        <v>3093</v>
      </c>
      <c t="s">
        <v>43934</v>
      </c>
    </row>
    <row>
      <c t="s">
        <v>17594</v>
      </c>
      <c t="s">
        <v>35494</v>
      </c>
      <c t="s">
        <v>10405</v>
      </c>
      <c t="s">
        <v>62406</v>
      </c>
      <c t="s">
        <v>59732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>
        <v>2015</v>
      </c>
      <c>
        <v>9161.9</v>
      </c>
      <c s="1" t="str">
        <f ca="1">HYPERLINK("https://web.datatree.com/?/property?propertyId=31983235", "https://web.datatree.com/?/property?propertyId=31983235")</f>
        <v>https://web.datatree.com/?/property?propertyId=31983235</v>
      </c>
      <c r="Q88" t="s">
        <v>316</v>
      </c>
      <c>
        <v>0.23</v>
      </c>
      <c t="s">
        <v>6175</v>
      </c>
      <c t="s">
        <v>4814</v>
      </c>
      <c t="s">
        <v>17122</v>
      </c>
      <c t="s">
        <v>65497</v>
      </c>
      <c t="s">
        <v>17122</v>
      </c>
      <c t="s">
        <v>4378</v>
      </c>
      <c t="s">
        <v>10653</v>
      </c>
      <c t="s">
        <v>2517</v>
      </c>
      <c t="s">
        <v>39289</v>
      </c>
      <c>
        <v>33909</v>
      </c>
      <c t="s">
        <v>19914</v>
      </c>
      <c t="s">
        <v>48794</v>
      </c>
      <c t="s">
        <v>22210</v>
      </c>
      <c>
        <v>70</v>
      </c>
      <c r="AI88" t="s">
        <v>28744</v>
      </c>
      <c t="s">
        <v>45393</v>
      </c>
      <c>
        <v>1</v>
      </c>
      <c t="s">
        <v>58856</v>
      </c>
      <c r="AN88" t="s">
        <v>14509</v>
      </c>
      <c t="s">
        <v>1348</v>
      </c>
      <c t="s">
        <v>53800</v>
      </c>
      <c t="s">
        <v>3093</v>
      </c>
      <c t="s">
        <v>21276</v>
      </c>
    </row>
    <row>
      <c t="s">
        <v>17594</v>
      </c>
      <c t="s">
        <v>46984</v>
      </c>
      <c t="s">
        <v>49790</v>
      </c>
      <c t="s">
        <v>9222</v>
      </c>
      <c t="s">
        <v>26618</v>
      </c>
      <c s="3">
        <v>8395</v>
      </c>
      <c s="3">
        <v>8395</v>
      </c>
      <c s="3">
        <v>8395</v>
      </c>
      <c>
        <v>0</v>
      </c>
      <c s="3">
        <v>0</v>
      </c>
      <c s="3">
        <v>644.82</v>
      </c>
      <c s="3">
        <v>8395</v>
      </c>
      <c r="O89" s="1" t="str">
        <f ca="1">HYPERLINK("https://web.datatree.com/?/property?propertyId=31983681", "https://web.datatree.com/?/property?propertyId=31983681")</f>
        <v>https://web.datatree.com/?/property?propertyId=31983681</v>
      </c>
      <c r="Q89" t="s">
        <v>316</v>
      </c>
      <c>
        <v>0.296</v>
      </c>
      <c t="s">
        <v>22490</v>
      </c>
      <c t="s">
        <v>552</v>
      </c>
      <c t="s">
        <v>9862</v>
      </c>
      <c t="s">
        <v>13419</v>
      </c>
      <c t="s">
        <v>9862</v>
      </c>
      <c t="s">
        <v>29098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61152</v>
      </c>
      <c>
        <v>1030</v>
      </c>
      <c r="AI89" t="s">
        <v>38860</v>
      </c>
      <c t="s">
        <v>45393</v>
      </c>
      <c r="AL89" t="s">
        <v>23242</v>
      </c>
      <c r="AN89" t="s">
        <v>18236</v>
      </c>
      <c t="s">
        <v>43990</v>
      </c>
      <c t="s">
        <v>14695</v>
      </c>
      <c t="s">
        <v>3093</v>
      </c>
      <c t="s">
        <v>23235</v>
      </c>
    </row>
    <row>
      <c t="s">
        <v>17594</v>
      </c>
      <c t="s">
        <v>50052</v>
      </c>
      <c t="s">
        <v>41588</v>
      </c>
      <c t="s">
        <v>30487</v>
      </c>
      <c t="s">
        <v>55693</v>
      </c>
      <c s="3">
        <v>8000</v>
      </c>
      <c s="3">
        <v>8000</v>
      </c>
      <c s="3">
        <v>8000</v>
      </c>
      <c>
        <v>0</v>
      </c>
      <c s="3">
        <v>0</v>
      </c>
      <c s="3">
        <v>517.07</v>
      </c>
      <c s="3">
        <v>8000</v>
      </c>
      <c r="O90" s="1" t="str">
        <f ca="1">HYPERLINK("https://web.datatree.com/?/property?propertyId=31983836", "https://web.datatree.com/?/property?propertyId=31983836")</f>
        <v>https://web.datatree.com/?/property?propertyId=31983836</v>
      </c>
      <c r="Q90" t="s">
        <v>316</v>
      </c>
      <c>
        <v>0.23</v>
      </c>
      <c t="s">
        <v>22490</v>
      </c>
      <c t="s">
        <v>64030</v>
      </c>
      <c t="s">
        <v>61905</v>
      </c>
      <c t="s">
        <v>6153</v>
      </c>
      <c t="s">
        <v>61905</v>
      </c>
      <c t="s">
        <v>53167</v>
      </c>
      <c t="s">
        <v>44061</v>
      </c>
      <c t="s">
        <v>2517</v>
      </c>
      <c t="s">
        <v>39289</v>
      </c>
      <c>
        <v>33909</v>
      </c>
      <c t="s">
        <v>877</v>
      </c>
      <c t="s">
        <v>48794</v>
      </c>
      <c t="s">
        <v>19476</v>
      </c>
      <c>
        <v>1000</v>
      </c>
      <c r="AI90" t="s">
        <v>10653</v>
      </c>
      <c t="s">
        <v>45393</v>
      </c>
      <c r="AL90" t="s">
        <v>55393</v>
      </c>
      <c t="s">
        <v>55393</v>
      </c>
      <c t="s">
        <v>39289</v>
      </c>
      <c t="s">
        <v>8182</v>
      </c>
      <c t="s">
        <v>32746</v>
      </c>
      <c t="s">
        <v>3093</v>
      </c>
      <c t="s">
        <v>10051</v>
      </c>
    </row>
    <row>
      <c t="s">
        <v>17594</v>
      </c>
      <c t="s">
        <v>31120</v>
      </c>
      <c t="s">
        <v>42797</v>
      </c>
      <c t="s">
        <v>23184</v>
      </c>
      <c t="s">
        <v>29724</v>
      </c>
      <c s="3">
        <v>8760</v>
      </c>
      <c s="3">
        <v>8760</v>
      </c>
      <c s="3">
        <v>8760</v>
      </c>
      <c>
        <v>0</v>
      </c>
      <c s="3">
        <v>0</v>
      </c>
      <c s="3">
        <v>697.52</v>
      </c>
      <c s="3">
        <v>8760</v>
      </c>
      <c r="O91" s="1" t="str">
        <f ca="1">HYPERLINK("https://web.datatree.com/?/property?propertyId=31984039", "https://web.datatree.com/?/property?propertyId=31984039")</f>
        <v>https://web.datatree.com/?/property?propertyId=31984039</v>
      </c>
      <c r="Q91" t="s">
        <v>316</v>
      </c>
      <c>
        <v>0.344</v>
      </c>
      <c t="s">
        <v>22490</v>
      </c>
      <c t="s">
        <v>27874</v>
      </c>
      <c t="s">
        <v>46687</v>
      </c>
      <c t="s">
        <v>39606</v>
      </c>
      <c t="s">
        <v>46687</v>
      </c>
      <c t="s">
        <v>21947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59502</v>
      </c>
      <c>
        <v>71</v>
      </c>
      <c r="AI91" t="s">
        <v>33025</v>
      </c>
      <c t="s">
        <v>45393</v>
      </c>
      <c r="AL91" t="s">
        <v>23870</v>
      </c>
      <c r="AN91" t="s">
        <v>27747</v>
      </c>
      <c t="s">
        <v>501</v>
      </c>
      <c t="s">
        <v>32746</v>
      </c>
      <c t="s">
        <v>3093</v>
      </c>
      <c t="s">
        <v>7356</v>
      </c>
    </row>
    <row>
      <c t="s">
        <v>17594</v>
      </c>
      <c t="s">
        <v>2667</v>
      </c>
      <c t="s">
        <v>29980</v>
      </c>
      <c t="s">
        <v>16986</v>
      </c>
      <c t="s">
        <v>44597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92" s="1" t="str">
        <f ca="1">HYPERLINK("https://web.datatree.com/?/property?propertyId=31984255", "https://web.datatree.com/?/property?propertyId=31984255")</f>
        <v>https://web.datatree.com/?/property?propertyId=31984255</v>
      </c>
      <c r="Q92" t="s">
        <v>316</v>
      </c>
      <c>
        <v>0.23</v>
      </c>
      <c t="s">
        <v>6175</v>
      </c>
      <c t="s">
        <v>52701</v>
      </c>
      <c t="s">
        <v>50078</v>
      </c>
      <c r="X92" t="s">
        <v>9204</v>
      </c>
      <c t="s">
        <v>61865</v>
      </c>
      <c t="s">
        <v>2517</v>
      </c>
      <c t="s">
        <v>39289</v>
      </c>
      <c>
        <v>33909</v>
      </c>
      <c t="s">
        <v>43059</v>
      </c>
      <c t="s">
        <v>48794</v>
      </c>
      <c t="s">
        <v>5404</v>
      </c>
      <c>
        <v>16800</v>
      </c>
      <c r="AI92" t="s">
        <v>66056</v>
      </c>
      <c t="s">
        <v>24900</v>
      </c>
      <c r="AL92" t="s">
        <v>29515</v>
      </c>
      <c t="s">
        <v>28635</v>
      </c>
      <c t="s">
        <v>39289</v>
      </c>
      <c t="s">
        <v>51242</v>
      </c>
      <c t="s">
        <v>3364</v>
      </c>
      <c t="s">
        <v>3093</v>
      </c>
      <c t="s">
        <v>51886</v>
      </c>
    </row>
    <row>
      <c t="s">
        <v>17594</v>
      </c>
      <c t="s">
        <v>33241</v>
      </c>
      <c t="s">
        <v>4631</v>
      </c>
      <c t="s">
        <v>26816</v>
      </c>
      <c t="s">
        <v>22798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93" s="1" t="str">
        <f ca="1">HYPERLINK("https://web.datatree.com/?/property?propertyId=31984403", "https://web.datatree.com/?/property?propertyId=31984403")</f>
        <v>https://web.datatree.com/?/property?propertyId=31984403</v>
      </c>
      <c r="Q93" t="s">
        <v>316</v>
      </c>
      <c>
        <v>0.23</v>
      </c>
      <c t="s">
        <v>45031</v>
      </c>
      <c t="s">
        <v>57711</v>
      </c>
      <c t="s">
        <v>47760</v>
      </c>
      <c r="X93" t="s">
        <v>14123</v>
      </c>
      <c t="s">
        <v>10653</v>
      </c>
      <c t="s">
        <v>2517</v>
      </c>
      <c t="s">
        <v>39289</v>
      </c>
      <c>
        <v>33909</v>
      </c>
      <c t="s">
        <v>57010</v>
      </c>
      <c t="s">
        <v>48794</v>
      </c>
      <c t="s">
        <v>43217</v>
      </c>
      <c t="s">
        <v>31495</v>
      </c>
      <c r="AI93" t="s">
        <v>3217</v>
      </c>
      <c t="s">
        <v>45393</v>
      </c>
      <c r="AL93" t="s">
        <v>28240</v>
      </c>
      <c r="AN93" t="s">
        <v>27747</v>
      </c>
      <c t="s">
        <v>33316</v>
      </c>
      <c t="s">
        <v>34162</v>
      </c>
      <c t="s">
        <v>3093</v>
      </c>
      <c t="s">
        <v>26933</v>
      </c>
    </row>
    <row>
      <c t="s">
        <v>17594</v>
      </c>
      <c t="s">
        <v>5152</v>
      </c>
      <c t="s">
        <v>14064</v>
      </c>
      <c t="s">
        <v>58614</v>
      </c>
      <c t="s">
        <v>33607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94" s="1" t="str">
        <f ca="1">HYPERLINK("https://web.datatree.com/?/property?propertyId=31984929", "https://web.datatree.com/?/property?propertyId=31984929")</f>
        <v>https://web.datatree.com/?/property?propertyId=31984929</v>
      </c>
      <c r="Q94" t="s">
        <v>316</v>
      </c>
      <c>
        <v>0.23</v>
      </c>
      <c t="s">
        <v>6175</v>
      </c>
      <c t="s">
        <v>26141</v>
      </c>
      <c t="s">
        <v>1355</v>
      </c>
      <c r="W94" t="s">
        <v>21555</v>
      </c>
      <c t="s">
        <v>64920</v>
      </c>
      <c t="s">
        <v>38550</v>
      </c>
      <c t="s">
        <v>2517</v>
      </c>
      <c t="s">
        <v>39289</v>
      </c>
      <c>
        <v>33909</v>
      </c>
      <c t="s">
        <v>43034</v>
      </c>
      <c t="s">
        <v>48794</v>
      </c>
      <c t="s">
        <v>27459</v>
      </c>
      <c>
        <v>1105</v>
      </c>
      <c r="AH94" t="s">
        <v>26580</v>
      </c>
      <c t="s">
        <v>56489</v>
      </c>
      <c r="AK94" t="s">
        <v>25384</v>
      </c>
      <c t="s">
        <v>17648</v>
      </c>
      <c r="AN94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52471</v>
      </c>
      <c t="s">
        <v>64870</v>
      </c>
      <c t="s">
        <v>26067</v>
      </c>
      <c t="s">
        <v>24531</v>
      </c>
      <c s="3">
        <v>26290</v>
      </c>
      <c s="3">
        <v>26290</v>
      </c>
      <c s="3">
        <v>12650</v>
      </c>
      <c>
        <v>0</v>
      </c>
      <c s="3">
        <v>0</v>
      </c>
      <c s="3">
        <v>2972.83</v>
      </c>
      <c s="3">
        <v>26290</v>
      </c>
      <c r="O95" s="1" t="str">
        <f ca="1">HYPERLINK("https://web.datatree.com/?/property?propertyId=31984997", "https://web.datatree.com/?/property?propertyId=31984997")</f>
        <v>https://web.datatree.com/?/property?propertyId=31984997</v>
      </c>
      <c r="Q95" t="s">
        <v>316</v>
      </c>
      <c>
        <v>0.243</v>
      </c>
      <c t="s">
        <v>22490</v>
      </c>
      <c t="s">
        <v>35237</v>
      </c>
      <c t="s">
        <v>60916</v>
      </c>
      <c t="s">
        <v>66263</v>
      </c>
      <c t="s">
        <v>60916</v>
      </c>
      <c t="s">
        <v>67005</v>
      </c>
      <c t="s">
        <v>61865</v>
      </c>
      <c t="s">
        <v>2517</v>
      </c>
      <c t="s">
        <v>39289</v>
      </c>
      <c>
        <v>33909</v>
      </c>
      <c t="s">
        <v>36219</v>
      </c>
      <c t="s">
        <v>48794</v>
      </c>
      <c t="s">
        <v>51345</v>
      </c>
      <c>
        <v>4195</v>
      </c>
      <c r="AI95" t="s">
        <v>9572</v>
      </c>
      <c t="s">
        <v>1671</v>
      </c>
      <c>
        <v>801</v>
      </c>
      <c t="s">
        <v>15179</v>
      </c>
      <c r="AN95" t="s">
        <v>39289</v>
      </c>
      <c t="s">
        <v>62054</v>
      </c>
      <c t="s">
        <v>7062</v>
      </c>
      <c t="s">
        <v>3093</v>
      </c>
      <c t="s">
        <v>3305</v>
      </c>
    </row>
    <row>
      <c t="s">
        <v>17594</v>
      </c>
      <c t="s">
        <v>10706</v>
      </c>
      <c t="s">
        <v>45527</v>
      </c>
      <c t="s">
        <v>36472</v>
      </c>
      <c t="s">
        <v>51685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96" s="1" t="str">
        <f ca="1">HYPERLINK("https://web.datatree.com/?/property?propertyId=31985355", "https://web.datatree.com/?/property?propertyId=31985355")</f>
        <v>https://web.datatree.com/?/property?propertyId=31985355</v>
      </c>
      <c r="Q96" t="s">
        <v>316</v>
      </c>
      <c>
        <v>0.23</v>
      </c>
      <c t="s">
        <v>6175</v>
      </c>
      <c t="s">
        <v>39139</v>
      </c>
      <c t="s">
        <v>56216</v>
      </c>
      <c r="X96" t="s">
        <v>32339</v>
      </c>
      <c t="s">
        <v>61850</v>
      </c>
      <c t="s">
        <v>2517</v>
      </c>
      <c t="s">
        <v>39289</v>
      </c>
      <c>
        <v>33909</v>
      </c>
      <c t="s">
        <v>61104</v>
      </c>
      <c t="s">
        <v>48794</v>
      </c>
      <c t="s">
        <v>5631</v>
      </c>
      <c>
        <v>7719</v>
      </c>
      <c r="AI96" t="s">
        <v>36511</v>
      </c>
      <c t="s">
        <v>40123</v>
      </c>
      <c r="AL96" t="s">
        <v>35792</v>
      </c>
      <c t="s">
        <v>6344</v>
      </c>
      <c t="s">
        <v>51087</v>
      </c>
      <c t="s">
        <v>42924</v>
      </c>
      <c t="s">
        <v>51249</v>
      </c>
      <c t="s">
        <v>3093</v>
      </c>
      <c t="s">
        <v>53905</v>
      </c>
    </row>
    <row>
      <c t="s">
        <v>17594</v>
      </c>
      <c t="s">
        <v>5957</v>
      </c>
      <c t="s">
        <v>26183</v>
      </c>
      <c t="s">
        <v>62258</v>
      </c>
      <c t="s">
        <v>25156</v>
      </c>
      <c s="3">
        <v>17781</v>
      </c>
      <c s="3">
        <v>17781</v>
      </c>
      <c s="3">
        <v>8910</v>
      </c>
      <c>
        <v>0</v>
      </c>
      <c s="3">
        <v>0</v>
      </c>
      <c s="3">
        <v>481.46</v>
      </c>
      <c s="3">
        <v>17781</v>
      </c>
      <c r="O97" s="1" t="str">
        <f ca="1">HYPERLINK("https://web.datatree.com/?/property?propertyId=31985458", "https://web.datatree.com/?/property?propertyId=31985458")</f>
        <v>https://web.datatree.com/?/property?propertyId=31985458</v>
      </c>
      <c r="Q97" t="s">
        <v>316</v>
      </c>
      <c>
        <v>0.241</v>
      </c>
      <c t="s">
        <v>6175</v>
      </c>
      <c t="s">
        <v>10361</v>
      </c>
      <c t="s">
        <v>111</v>
      </c>
      <c r="X97" t="s">
        <v>35305</v>
      </c>
      <c t="s">
        <v>49122</v>
      </c>
      <c t="s">
        <v>2517</v>
      </c>
      <c t="s">
        <v>39289</v>
      </c>
      <c>
        <v>33909</v>
      </c>
      <c t="s">
        <v>66543</v>
      </c>
      <c t="s">
        <v>48794</v>
      </c>
      <c t="s">
        <v>15634</v>
      </c>
      <c>
        <v>2501</v>
      </c>
      <c r="AI97" t="s">
        <v>53663</v>
      </c>
      <c t="s">
        <v>24900</v>
      </c>
      <c r="AL97" t="s">
        <v>34374</v>
      </c>
      <c t="s">
        <v>34374</v>
      </c>
      <c t="s">
        <v>39289</v>
      </c>
      <c t="s">
        <v>39576</v>
      </c>
      <c t="s">
        <v>17380</v>
      </c>
      <c t="s">
        <v>3093</v>
      </c>
      <c t="s">
        <v>46165</v>
      </c>
    </row>
    <row>
      <c t="s">
        <v>17594</v>
      </c>
      <c t="s">
        <v>49657</v>
      </c>
      <c t="s">
        <v>31830</v>
      </c>
      <c t="s">
        <v>52266</v>
      </c>
      <c t="s">
        <v>63569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537.87</v>
      </c>
      <c s="1" t="str">
        <f ca="1">HYPERLINK("https://web.datatree.com/?/property?propertyId=31986188", "https://web.datatree.com/?/property?propertyId=31986188")</f>
        <v>https://web.datatree.com/?/property?propertyId=31986188</v>
      </c>
      <c r="Q98" t="s">
        <v>316</v>
      </c>
      <c>
        <v>0.23</v>
      </c>
      <c t="s">
        <v>6175</v>
      </c>
      <c t="s">
        <v>2439</v>
      </c>
      <c t="s">
        <v>9592</v>
      </c>
      <c t="s">
        <v>43826</v>
      </c>
      <c t="s">
        <v>9592</v>
      </c>
      <c t="s">
        <v>39687</v>
      </c>
      <c t="s">
        <v>58797</v>
      </c>
      <c t="s">
        <v>2517</v>
      </c>
      <c t="s">
        <v>39289</v>
      </c>
      <c>
        <v>33909</v>
      </c>
      <c t="s">
        <v>62671</v>
      </c>
      <c t="s">
        <v>48794</v>
      </c>
      <c t="s">
        <v>20620</v>
      </c>
      <c>
        <v>860</v>
      </c>
      <c r="AI98" t="s">
        <v>5115</v>
      </c>
      <c t="s">
        <v>45393</v>
      </c>
      <c r="AL98" t="s">
        <v>29515</v>
      </c>
      <c r="AN98" t="s">
        <v>39289</v>
      </c>
      <c t="s">
        <v>26692</v>
      </c>
      <c t="s">
        <v>51249</v>
      </c>
      <c t="s">
        <v>3093</v>
      </c>
      <c t="s">
        <v>27682</v>
      </c>
    </row>
    <row>
      <c t="s">
        <v>42103</v>
      </c>
      <c t="s">
        <v>38022</v>
      </c>
      <c t="s">
        <v>16315</v>
      </c>
      <c t="s">
        <v>357</v>
      </c>
      <c t="s">
        <v>14436</v>
      </c>
      <c s="3">
        <v>20900</v>
      </c>
      <c s="3">
        <v>20900</v>
      </c>
      <c s="3">
        <v>10450</v>
      </c>
      <c>
        <v>0</v>
      </c>
      <c s="3">
        <v>0</v>
      </c>
      <c s="3">
        <v>597.57</v>
      </c>
      <c s="3">
        <v>20900</v>
      </c>
      <c r="O99" s="1" t="str">
        <f ca="1">HYPERLINK("https://web.datatree.com/?/property?propertyId=31986479", "https://web.datatree.com/?/property?propertyId=31986479")</f>
        <v>https://web.datatree.com/?/property?propertyId=31986479</v>
      </c>
      <c r="Q99" t="s">
        <v>316</v>
      </c>
      <c>
        <v>0.23</v>
      </c>
      <c t="s">
        <v>22490</v>
      </c>
      <c t="s">
        <v>29610</v>
      </c>
      <c t="s">
        <v>53148</v>
      </c>
      <c r="X99" t="s">
        <v>37904</v>
      </c>
      <c t="s">
        <v>23050</v>
      </c>
      <c t="s">
        <v>2517</v>
      </c>
      <c t="s">
        <v>39289</v>
      </c>
      <c>
        <v>33909</v>
      </c>
      <c t="s">
        <v>42248</v>
      </c>
      <c t="s">
        <v>48794</v>
      </c>
      <c t="s">
        <v>7493</v>
      </c>
      <c r="AI99" t="s">
        <v>39988</v>
      </c>
      <c r="AL99" t="s">
        <v>31196</v>
      </c>
      <c t="s">
        <v>31196</v>
      </c>
      <c t="s">
        <v>65451</v>
      </c>
      <c t="s">
        <v>27205</v>
      </c>
      <c t="s">
        <v>22417</v>
      </c>
      <c t="s">
        <v>3093</v>
      </c>
      <c t="s">
        <v>27672</v>
      </c>
    </row>
    <row>
      <c t="s">
        <v>17594</v>
      </c>
      <c t="s">
        <v>13903</v>
      </c>
      <c t="s">
        <v>21531</v>
      </c>
      <c t="s">
        <v>24710</v>
      </c>
      <c t="s">
        <v>16507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00" s="1" t="str">
        <f ca="1">HYPERLINK("https://web.datatree.com/?/property?propertyId=31986632", "https://web.datatree.com/?/property?propertyId=31986632")</f>
        <v>https://web.datatree.com/?/property?propertyId=31986632</v>
      </c>
      <c r="Q100" t="s">
        <v>316</v>
      </c>
      <c>
        <v>0.23</v>
      </c>
      <c t="s">
        <v>6175</v>
      </c>
      <c t="s">
        <v>45019</v>
      </c>
      <c t="s">
        <v>13080</v>
      </c>
      <c t="s">
        <v>10257</v>
      </c>
      <c t="s">
        <v>16918</v>
      </c>
      <c t="s">
        <v>2786</v>
      </c>
      <c t="s">
        <v>17022</v>
      </c>
      <c t="s">
        <v>2517</v>
      </c>
      <c t="s">
        <v>39289</v>
      </c>
      <c>
        <v>33909</v>
      </c>
      <c t="s">
        <v>41985</v>
      </c>
      <c t="s">
        <v>48794</v>
      </c>
      <c t="s">
        <v>41459</v>
      </c>
      <c>
        <v>21</v>
      </c>
      <c r="AI100" t="s">
        <v>6240</v>
      </c>
      <c t="s">
        <v>45393</v>
      </c>
      <c r="AL100" t="s">
        <v>61648</v>
      </c>
      <c r="AN100" t="s">
        <v>63985</v>
      </c>
      <c>
        <v>64354</v>
      </c>
      <c r="AR100" t="s">
        <v>29446</v>
      </c>
    </row>
    <row>
      <c t="s">
        <v>17594</v>
      </c>
      <c t="s">
        <v>12028</v>
      </c>
      <c t="s">
        <v>34077</v>
      </c>
      <c t="s">
        <v>66404</v>
      </c>
      <c t="s">
        <v>46690</v>
      </c>
      <c s="3">
        <v>24362</v>
      </c>
      <c s="3">
        <v>24362</v>
      </c>
      <c s="3">
        <v>8800</v>
      </c>
      <c>
        <v>0</v>
      </c>
      <c s="3">
        <v>0</v>
      </c>
      <c s="3">
        <v>645.53</v>
      </c>
      <c s="3">
        <v>24362</v>
      </c>
      <c r="O101" s="1" t="str">
        <f ca="1">HYPERLINK("https://web.datatree.com/?/property?propertyId=31986783", "https://web.datatree.com/?/property?propertyId=31986783")</f>
        <v>https://web.datatree.com/?/property?propertyId=31986783</v>
      </c>
      <c r="Q101" t="s">
        <v>316</v>
      </c>
      <c>
        <v>0.301</v>
      </c>
      <c t="s">
        <v>22490</v>
      </c>
      <c t="s">
        <v>34618</v>
      </c>
      <c t="s">
        <v>50065</v>
      </c>
      <c r="X101" t="s">
        <v>42715</v>
      </c>
      <c t="s">
        <v>23517</v>
      </c>
      <c t="s">
        <v>2517</v>
      </c>
      <c t="s">
        <v>39289</v>
      </c>
      <c>
        <v>33909</v>
      </c>
      <c t="s">
        <v>25791</v>
      </c>
      <c t="s">
        <v>48794</v>
      </c>
      <c t="s">
        <v>41888</v>
      </c>
      <c>
        <v>11200</v>
      </c>
      <c r="AI101" t="s">
        <v>65323</v>
      </c>
      <c t="s">
        <v>40123</v>
      </c>
      <c r="AL101" t="s">
        <v>29515</v>
      </c>
      <c r="AN101" t="s">
        <v>39289</v>
      </c>
      <c t="s">
        <v>14008</v>
      </c>
      <c t="s">
        <v>33029</v>
      </c>
      <c t="s">
        <v>3093</v>
      </c>
      <c t="s">
        <v>8746</v>
      </c>
    </row>
    <row>
      <c t="s">
        <v>17594</v>
      </c>
      <c t="s">
        <v>44021</v>
      </c>
      <c t="s">
        <v>14064</v>
      </c>
      <c t="s">
        <v>32972</v>
      </c>
      <c t="s">
        <v>128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102" s="1" t="str">
        <f ca="1">HYPERLINK("https://web.datatree.com/?/property?propertyId=31987011", "https://web.datatree.com/?/property?propertyId=31987011")</f>
        <v>https://web.datatree.com/?/property?propertyId=31987011</v>
      </c>
      <c r="Q102" t="s">
        <v>316</v>
      </c>
      <c>
        <v>0.23</v>
      </c>
      <c t="s">
        <v>6175</v>
      </c>
      <c t="s">
        <v>7533</v>
      </c>
      <c t="s">
        <v>7880</v>
      </c>
      <c r="X102" t="s">
        <v>26596</v>
      </c>
      <c t="s">
        <v>61865</v>
      </c>
      <c t="s">
        <v>2517</v>
      </c>
      <c t="s">
        <v>39289</v>
      </c>
      <c>
        <v>33909</v>
      </c>
      <c t="s">
        <v>39961</v>
      </c>
      <c t="s">
        <v>48794</v>
      </c>
      <c t="s">
        <v>65947</v>
      </c>
      <c>
        <v>1105</v>
      </c>
      <c r="AH102" t="s">
        <v>26580</v>
      </c>
      <c t="s">
        <v>56489</v>
      </c>
      <c r="AK102" t="s">
        <v>25384</v>
      </c>
      <c t="s">
        <v>17648</v>
      </c>
      <c t="s">
        <v>18092</v>
      </c>
      <c t="s">
        <v>3034</v>
      </c>
      <c t="s">
        <v>7785</v>
      </c>
      <c t="s">
        <v>19978</v>
      </c>
      <c t="s">
        <v>3093</v>
      </c>
      <c t="s">
        <v>38766</v>
      </c>
    </row>
    <row>
      <c t="s">
        <v>17594</v>
      </c>
      <c t="s">
        <v>44770</v>
      </c>
      <c t="s">
        <v>64521</v>
      </c>
      <c t="s">
        <v>24393</v>
      </c>
      <c t="s">
        <v>10794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>
        <v>2021</v>
      </c>
      <c>
        <v>587.28</v>
      </c>
      <c s="1" t="str">
        <f ca="1">HYPERLINK("https://web.datatree.com/?/property?propertyId=31987767", "https://web.datatree.com/?/property?propertyId=31987767")</f>
        <v>https://web.datatree.com/?/property?propertyId=31987767</v>
      </c>
      <c r="Q103" t="s">
        <v>316</v>
      </c>
      <c>
        <v>0.23</v>
      </c>
      <c t="s">
        <v>22490</v>
      </c>
      <c t="s">
        <v>42486</v>
      </c>
      <c t="s">
        <v>57180</v>
      </c>
      <c t="s">
        <v>42380</v>
      </c>
      <c t="s">
        <v>57180</v>
      </c>
      <c t="s">
        <v>27314</v>
      </c>
      <c t="s">
        <v>10653</v>
      </c>
      <c t="s">
        <v>2517</v>
      </c>
      <c t="s">
        <v>39289</v>
      </c>
      <c>
        <v>33909</v>
      </c>
      <c t="s">
        <v>36547</v>
      </c>
      <c t="s">
        <v>48794</v>
      </c>
      <c t="s">
        <v>63227</v>
      </c>
      <c>
        <v>43</v>
      </c>
      <c r="AI103" t="s">
        <v>42252</v>
      </c>
      <c r="AL103" t="s">
        <v>23242</v>
      </c>
      <c t="s">
        <v>23242</v>
      </c>
      <c t="s">
        <v>18236</v>
      </c>
      <c>
        <v>75011</v>
      </c>
      <c r="AR103" t="s">
        <v>30854</v>
      </c>
    </row>
    <row>
      <c t="s">
        <v>17594</v>
      </c>
      <c t="s">
        <v>5828</v>
      </c>
      <c t="s">
        <v>21611</v>
      </c>
      <c t="s">
        <v>42009</v>
      </c>
      <c t="s">
        <v>47645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104" s="1" t="str">
        <f ca="1">HYPERLINK("https://web.datatree.com/?/property?propertyId=31987970", "https://web.datatree.com/?/property?propertyId=31987970")</f>
        <v>https://web.datatree.com/?/property?propertyId=31987970</v>
      </c>
      <c r="Q104" t="s">
        <v>316</v>
      </c>
      <c>
        <v>0.237</v>
      </c>
      <c t="s">
        <v>6175</v>
      </c>
      <c r="U104" t="s">
        <v>59174</v>
      </c>
      <c t="s">
        <v>40578</v>
      </c>
      <c t="s">
        <v>55998</v>
      </c>
      <c t="s">
        <v>1881</v>
      </c>
      <c t="s">
        <v>39082</v>
      </c>
      <c t="s">
        <v>2517</v>
      </c>
      <c t="s">
        <v>39289</v>
      </c>
      <c>
        <v>33909</v>
      </c>
      <c t="s">
        <v>14613</v>
      </c>
      <c t="s">
        <v>48794</v>
      </c>
      <c t="s">
        <v>38954</v>
      </c>
      <c>
        <v>8805</v>
      </c>
      <c r="AH104" t="s">
        <v>26580</v>
      </c>
      <c t="s">
        <v>51647</v>
      </c>
      <c t="s">
        <v>56275</v>
      </c>
      <c>
        <v>117</v>
      </c>
      <c t="s">
        <v>11713</v>
      </c>
      <c t="s">
        <v>21149</v>
      </c>
      <c t="s">
        <v>39289</v>
      </c>
      <c t="s">
        <v>63484</v>
      </c>
      <c t="s">
        <v>49842</v>
      </c>
      <c t="s">
        <v>3093</v>
      </c>
      <c t="s">
        <v>12960</v>
      </c>
    </row>
    <row>
      <c t="s">
        <v>17594</v>
      </c>
      <c t="s">
        <v>3523</v>
      </c>
      <c t="s">
        <v>58178</v>
      </c>
      <c t="s">
        <v>66025</v>
      </c>
      <c t="s">
        <v>62581</v>
      </c>
      <c s="3">
        <v>26290</v>
      </c>
      <c s="3">
        <v>26290</v>
      </c>
      <c s="3">
        <v>26290</v>
      </c>
      <c>
        <v>0</v>
      </c>
      <c s="3">
        <v>0</v>
      </c>
      <c s="3">
        <v>793.79</v>
      </c>
      <c s="3">
        <v>26290</v>
      </c>
      <c r="O105" s="1" t="str">
        <f ca="1">HYPERLINK("https://web.datatree.com/?/property?propertyId=31988094", "https://web.datatree.com/?/property?propertyId=31988094")</f>
        <v>https://web.datatree.com/?/property?propertyId=31988094</v>
      </c>
      <c r="Q105" t="s">
        <v>316</v>
      </c>
      <c>
        <v>0.243</v>
      </c>
      <c t="s">
        <v>22490</v>
      </c>
      <c t="s">
        <v>19677</v>
      </c>
      <c t="s">
        <v>32426</v>
      </c>
      <c r="X105" t="s">
        <v>66932</v>
      </c>
      <c t="s">
        <v>2626</v>
      </c>
      <c t="s">
        <v>2517</v>
      </c>
      <c t="s">
        <v>39289</v>
      </c>
      <c>
        <v>33909</v>
      </c>
      <c t="s">
        <v>164</v>
      </c>
      <c t="s">
        <v>48794</v>
      </c>
      <c t="s">
        <v>49947</v>
      </c>
      <c>
        <v>411</v>
      </c>
      <c r="AI105" t="s">
        <v>57283</v>
      </c>
      <c t="s">
        <v>45620</v>
      </c>
      <c r="AL105" t="s">
        <v>38304</v>
      </c>
      <c t="s">
        <v>38304</v>
      </c>
      <c t="s">
        <v>22275</v>
      </c>
      <c t="s">
        <v>58595</v>
      </c>
      <c t="s">
        <v>15968</v>
      </c>
      <c t="s">
        <v>3093</v>
      </c>
      <c t="s">
        <v>38282</v>
      </c>
    </row>
    <row>
      <c t="s">
        <v>42103</v>
      </c>
      <c t="s">
        <v>62804</v>
      </c>
      <c t="s">
        <v>17976</v>
      </c>
      <c t="s">
        <v>5074</v>
      </c>
      <c t="s">
        <v>6423</v>
      </c>
      <c s="3">
        <v>8400</v>
      </c>
      <c s="3">
        <v>8400</v>
      </c>
      <c s="3">
        <v>8400</v>
      </c>
      <c>
        <v>0</v>
      </c>
      <c s="3">
        <v>0</v>
      </c>
      <c s="3">
        <v>749.86</v>
      </c>
      <c s="3">
        <v>8400</v>
      </c>
      <c r="O106" s="1" t="str">
        <f ca="1">HYPERLINK("https://web.datatree.com/?/property?propertyId=31988560", "https://web.datatree.com/?/property?propertyId=31988560")</f>
        <v>https://web.datatree.com/?/property?propertyId=31988560</v>
      </c>
      <c r="Q106" t="s">
        <v>316</v>
      </c>
      <c>
        <v>0.23</v>
      </c>
      <c t="s">
        <v>42044</v>
      </c>
      <c t="s">
        <v>47754</v>
      </c>
      <c t="s">
        <v>54541</v>
      </c>
      <c r="X106" t="s">
        <v>3944</v>
      </c>
      <c t="s">
        <v>39777</v>
      </c>
      <c t="s">
        <v>2517</v>
      </c>
      <c t="s">
        <v>39289</v>
      </c>
      <c>
        <v>33909</v>
      </c>
      <c t="s">
        <v>14487</v>
      </c>
      <c t="s">
        <v>48794</v>
      </c>
      <c t="s">
        <v>5381</v>
      </c>
      <c t="str">
        <f>"86-55"</f>
        <v>86-55</v>
      </c>
      <c r="AI106" t="s">
        <v>13665</v>
      </c>
      <c r="AK106">
        <v>28</v>
      </c>
      <c t="s">
        <v>26922</v>
      </c>
      <c r="AN106" t="s">
        <v>14798</v>
      </c>
      <c r="AQ106" t="s">
        <v>3093</v>
      </c>
      <c t="s">
        <v>35045</v>
      </c>
    </row>
    <row>
      <c t="s">
        <v>17594</v>
      </c>
      <c t="s">
        <v>36750</v>
      </c>
      <c t="s">
        <v>38468</v>
      </c>
      <c t="s">
        <v>12018</v>
      </c>
      <c t="s">
        <v>36350</v>
      </c>
      <c s="3">
        <v>9000</v>
      </c>
      <c s="3">
        <v>9000</v>
      </c>
      <c s="3">
        <v>9000</v>
      </c>
      <c>
        <v>0</v>
      </c>
      <c s="3">
        <v>0</v>
      </c>
      <c s="3">
        <v>709.78</v>
      </c>
      <c s="3">
        <v>9000</v>
      </c>
      <c r="O107" s="1" t="str">
        <f ca="1">HYPERLINK("https://web.datatree.com/?/property?propertyId=31988977", "https://web.datatree.com/?/property?propertyId=31988977")</f>
        <v>https://web.datatree.com/?/property?propertyId=31988977</v>
      </c>
      <c r="Q107" t="s">
        <v>316</v>
      </c>
      <c>
        <v>0.344</v>
      </c>
      <c t="s">
        <v>6175</v>
      </c>
      <c t="s">
        <v>64649</v>
      </c>
      <c t="s">
        <v>27348</v>
      </c>
      <c t="s">
        <v>10361</v>
      </c>
      <c t="s">
        <v>51733</v>
      </c>
      <c t="s">
        <v>44885</v>
      </c>
      <c t="s">
        <v>30928</v>
      </c>
      <c t="s">
        <v>2517</v>
      </c>
      <c t="s">
        <v>39289</v>
      </c>
      <c>
        <v>33909</v>
      </c>
      <c t="s">
        <v>8433</v>
      </c>
      <c t="s">
        <v>48794</v>
      </c>
      <c t="s">
        <v>16775</v>
      </c>
      <c>
        <v>2864</v>
      </c>
      <c r="AI107" t="s">
        <v>55374</v>
      </c>
      <c t="s">
        <v>31192</v>
      </c>
      <c r="AL107" t="s">
        <v>65597</v>
      </c>
      <c r="AN107" t="s">
        <v>51087</v>
      </c>
      <c t="s">
        <v>39592</v>
      </c>
      <c t="s">
        <v>49977</v>
      </c>
      <c t="s">
        <v>3093</v>
      </c>
      <c t="s">
        <v>49154</v>
      </c>
    </row>
    <row>
      <c t="s">
        <v>17594</v>
      </c>
      <c t="s">
        <v>56528</v>
      </c>
      <c t="s">
        <v>5959</v>
      </c>
      <c t="s">
        <v>21553</v>
      </c>
      <c t="s">
        <v>14960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08" s="1" t="str">
        <f ca="1">HYPERLINK("https://web.datatree.com/?/property?propertyId=31989020", "https://web.datatree.com/?/property?propertyId=31989020")</f>
        <v>https://web.datatree.com/?/property?propertyId=31989020</v>
      </c>
      <c r="Q108" t="s">
        <v>316</v>
      </c>
      <c>
        <v>0.23</v>
      </c>
      <c t="s">
        <v>6175</v>
      </c>
      <c t="s">
        <v>60671</v>
      </c>
      <c t="s">
        <v>44722</v>
      </c>
      <c t="s">
        <v>34805</v>
      </c>
      <c t="s">
        <v>44722</v>
      </c>
      <c t="s">
        <v>15439</v>
      </c>
      <c t="s">
        <v>66701</v>
      </c>
      <c t="s">
        <v>2517</v>
      </c>
      <c t="s">
        <v>39289</v>
      </c>
      <c>
        <v>33909</v>
      </c>
      <c t="s">
        <v>52331</v>
      </c>
      <c t="s">
        <v>48794</v>
      </c>
      <c t="s">
        <v>39434</v>
      </c>
      <c>
        <v>4110</v>
      </c>
      <c r="AI108" t="s">
        <v>18318</v>
      </c>
      <c t="s">
        <v>31192</v>
      </c>
      <c r="AL108" t="s">
        <v>22093</v>
      </c>
      <c r="AN108" t="s">
        <v>65451</v>
      </c>
      <c t="s">
        <v>56967</v>
      </c>
      <c t="s">
        <v>39566</v>
      </c>
      <c t="s">
        <v>3093</v>
      </c>
      <c t="s">
        <v>67164</v>
      </c>
    </row>
    <row>
      <c t="s">
        <v>17594</v>
      </c>
      <c t="s">
        <v>62326</v>
      </c>
      <c t="s">
        <v>26223</v>
      </c>
      <c t="s">
        <v>40763</v>
      </c>
      <c t="s">
        <v>5015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109" s="1" t="str">
        <f ca="1">HYPERLINK("https://web.datatree.com/?/property?propertyId=31989070", "https://web.datatree.com/?/property?propertyId=31989070")</f>
        <v>https://web.datatree.com/?/property?propertyId=31989070</v>
      </c>
      <c r="Q109" t="s">
        <v>316</v>
      </c>
      <c>
        <v>0.23</v>
      </c>
      <c t="s">
        <v>6175</v>
      </c>
      <c t="s">
        <v>8235</v>
      </c>
      <c t="s">
        <v>35791</v>
      </c>
      <c t="s">
        <v>28882</v>
      </c>
      <c t="s">
        <v>35791</v>
      </c>
      <c t="s">
        <v>10015</v>
      </c>
      <c t="s">
        <v>55273</v>
      </c>
      <c t="s">
        <v>2517</v>
      </c>
      <c t="s">
        <v>39289</v>
      </c>
      <c>
        <v>33909</v>
      </c>
      <c t="s">
        <v>48692</v>
      </c>
      <c t="s">
        <v>48794</v>
      </c>
      <c t="s">
        <v>7666</v>
      </c>
      <c>
        <v>11342</v>
      </c>
      <c r="AI109" t="s">
        <v>18289</v>
      </c>
      <c t="s">
        <v>45620</v>
      </c>
      <c r="AL109" t="s">
        <v>23828</v>
      </c>
      <c r="AN109" t="s">
        <v>39289</v>
      </c>
      <c t="s">
        <v>51659</v>
      </c>
      <c t="s">
        <v>39566</v>
      </c>
      <c t="s">
        <v>3093</v>
      </c>
      <c t="s">
        <v>15808</v>
      </c>
    </row>
    <row>
      <c t="s">
        <v>17594</v>
      </c>
      <c t="s">
        <v>14653</v>
      </c>
      <c t="s">
        <v>7537</v>
      </c>
      <c t="s">
        <v>1911</v>
      </c>
      <c t="s">
        <v>40029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110" s="1" t="str">
        <f ca="1">HYPERLINK("https://web.datatree.com/?/property?propertyId=31989843", "https://web.datatree.com/?/property?propertyId=31989843")</f>
        <v>https://web.datatree.com/?/property?propertyId=31989843</v>
      </c>
      <c r="Q110" t="s">
        <v>316</v>
      </c>
      <c>
        <v>0.23</v>
      </c>
      <c t="s">
        <v>22490</v>
      </c>
      <c t="s">
        <v>50154</v>
      </c>
      <c t="s">
        <v>6891</v>
      </c>
      <c r="X110" t="s">
        <v>50187</v>
      </c>
      <c t="s">
        <v>34136</v>
      </c>
      <c t="s">
        <v>2517</v>
      </c>
      <c t="s">
        <v>39289</v>
      </c>
      <c>
        <v>33909</v>
      </c>
      <c t="s">
        <v>6838</v>
      </c>
      <c t="s">
        <v>48794</v>
      </c>
      <c t="s">
        <v>7573</v>
      </c>
      <c>
        <v>1202</v>
      </c>
      <c r="AI110" t="s">
        <v>46128</v>
      </c>
      <c t="s">
        <v>24900</v>
      </c>
      <c r="AL110" t="s">
        <v>25857</v>
      </c>
      <c t="s">
        <v>25857</v>
      </c>
      <c t="s">
        <v>39289</v>
      </c>
      <c t="s">
        <v>38658</v>
      </c>
      <c t="s">
        <v>3364</v>
      </c>
      <c t="s">
        <v>3093</v>
      </c>
      <c t="s">
        <v>54327</v>
      </c>
    </row>
    <row>
      <c t="s">
        <v>17594</v>
      </c>
      <c t="s">
        <v>29859</v>
      </c>
      <c t="s">
        <v>63037</v>
      </c>
      <c t="s">
        <v>3922</v>
      </c>
      <c t="s">
        <v>49884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11" s="1" t="str">
        <f ca="1">HYPERLINK("https://web.datatree.com/?/property?propertyId=31990295", "https://web.datatree.com/?/property?propertyId=31990295")</f>
        <v>https://web.datatree.com/?/property?propertyId=31990295</v>
      </c>
      <c r="Q111" t="s">
        <v>316</v>
      </c>
      <c>
        <v>0.23</v>
      </c>
      <c t="s">
        <v>6175</v>
      </c>
      <c t="s">
        <v>42212</v>
      </c>
      <c t="s">
        <v>30230</v>
      </c>
      <c t="s">
        <v>56498</v>
      </c>
      <c t="s">
        <v>7240</v>
      </c>
      <c t="s">
        <v>20880</v>
      </c>
      <c t="s">
        <v>53663</v>
      </c>
      <c t="s">
        <v>2517</v>
      </c>
      <c t="s">
        <v>39289</v>
      </c>
      <c>
        <v>33909</v>
      </c>
      <c t="s">
        <v>32489</v>
      </c>
      <c t="s">
        <v>48794</v>
      </c>
      <c t="s">
        <v>18903</v>
      </c>
      <c>
        <v>7346</v>
      </c>
      <c r="AI111" t="s">
        <v>42936</v>
      </c>
      <c t="s">
        <v>55842</v>
      </c>
      <c r="AL111" t="s">
        <v>17200</v>
      </c>
      <c t="s">
        <v>17200</v>
      </c>
      <c t="s">
        <v>39289</v>
      </c>
      <c t="s">
        <v>32032</v>
      </c>
      <c t="s">
        <v>30520</v>
      </c>
      <c t="s">
        <v>3093</v>
      </c>
      <c t="s">
        <v>50432</v>
      </c>
    </row>
    <row>
      <c t="s">
        <v>17594</v>
      </c>
      <c t="s">
        <v>32562</v>
      </c>
      <c t="s">
        <v>8435</v>
      </c>
      <c t="s">
        <v>34951</v>
      </c>
      <c t="s">
        <v>23908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112" s="1" t="str">
        <f ca="1">HYPERLINK("https://web.datatree.com/?/property?propertyId=31990384", "https://web.datatree.com/?/property?propertyId=31990384")</f>
        <v>https://web.datatree.com/?/property?propertyId=31990384</v>
      </c>
      <c r="Q112" t="s">
        <v>316</v>
      </c>
      <c>
        <v>0.289</v>
      </c>
      <c t="s">
        <v>37489</v>
      </c>
      <c t="s">
        <v>35523</v>
      </c>
      <c t="s">
        <v>55613</v>
      </c>
      <c t="s">
        <v>29677</v>
      </c>
      <c t="s">
        <v>55613</v>
      </c>
      <c t="s">
        <v>49044</v>
      </c>
      <c t="s">
        <v>10854</v>
      </c>
      <c t="s">
        <v>65059</v>
      </c>
      <c t="s">
        <v>39289</v>
      </c>
      <c>
        <v>33905</v>
      </c>
      <c t="s">
        <v>8820</v>
      </c>
      <c t="s">
        <v>48794</v>
      </c>
      <c t="s">
        <v>19091</v>
      </c>
      <c>
        <v>97</v>
      </c>
      <c r="AI112" t="s">
        <v>41342</v>
      </c>
      <c t="s">
        <v>24900</v>
      </c>
      <c r="AL112" t="s">
        <v>43624</v>
      </c>
      <c r="AN112" t="s">
        <v>50917</v>
      </c>
      <c t="s">
        <v>64234</v>
      </c>
      <c t="s">
        <v>48506</v>
      </c>
      <c t="s">
        <v>3093</v>
      </c>
      <c t="s">
        <v>60260</v>
      </c>
    </row>
    <row>
      <c t="s">
        <v>17594</v>
      </c>
      <c t="s">
        <v>47036</v>
      </c>
      <c t="s">
        <v>36819</v>
      </c>
      <c t="s">
        <v>41533</v>
      </c>
      <c t="s">
        <v>3363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113" s="1" t="str">
        <f ca="1">HYPERLINK("https://web.datatree.com/?/property?propertyId=31990707", "https://web.datatree.com/?/property?propertyId=31990707")</f>
        <v>https://web.datatree.com/?/property?propertyId=31990707</v>
      </c>
      <c r="Q113" t="s">
        <v>316</v>
      </c>
      <c>
        <v>0.23</v>
      </c>
      <c t="s">
        <v>16350</v>
      </c>
      <c t="s">
        <v>15645</v>
      </c>
      <c t="s">
        <v>3535</v>
      </c>
      <c t="s">
        <v>30158</v>
      </c>
      <c t="s">
        <v>45794</v>
      </c>
      <c t="s">
        <v>64180</v>
      </c>
      <c t="s">
        <v>38550</v>
      </c>
      <c t="s">
        <v>2517</v>
      </c>
      <c t="s">
        <v>39289</v>
      </c>
      <c>
        <v>33909</v>
      </c>
      <c t="s">
        <v>34695</v>
      </c>
      <c t="s">
        <v>48794</v>
      </c>
      <c t="s">
        <v>44830</v>
      </c>
      <c>
        <v>264</v>
      </c>
      <c r="AI113" t="s">
        <v>62747</v>
      </c>
      <c t="s">
        <v>45620</v>
      </c>
      <c r="AL113" t="s">
        <v>16995</v>
      </c>
      <c t="s">
        <v>16995</v>
      </c>
      <c t="s">
        <v>3034</v>
      </c>
      <c t="s">
        <v>54917</v>
      </c>
      <c t="s">
        <v>34162</v>
      </c>
      <c t="s">
        <v>3093</v>
      </c>
      <c t="s">
        <v>31742</v>
      </c>
    </row>
    <row>
      <c t="s">
        <v>17594</v>
      </c>
      <c t="s">
        <v>57690</v>
      </c>
      <c t="s">
        <v>62514</v>
      </c>
      <c t="s">
        <v>35167</v>
      </c>
      <c t="s">
        <v>11119</v>
      </c>
      <c s="3">
        <v>22115</v>
      </c>
      <c s="3">
        <v>22115</v>
      </c>
      <c s="3">
        <v>10450</v>
      </c>
      <c>
        <v>0</v>
      </c>
      <c s="3">
        <v>0</v>
      </c>
      <c s="3">
        <v>651.52</v>
      </c>
      <c s="3">
        <v>22115</v>
      </c>
      <c r="O114" s="1" t="str">
        <f ca="1">HYPERLINK("https://web.datatree.com/?/property?propertyId=31991334", "https://web.datatree.com/?/property?propertyId=31991334")</f>
        <v>https://web.datatree.com/?/property?propertyId=31991334</v>
      </c>
      <c r="Q114" t="s">
        <v>316</v>
      </c>
      <c>
        <v>0.29</v>
      </c>
      <c t="s">
        <v>22490</v>
      </c>
      <c t="s">
        <v>5121</v>
      </c>
      <c t="s">
        <v>28022</v>
      </c>
      <c t="s">
        <v>45883</v>
      </c>
      <c t="s">
        <v>28022</v>
      </c>
      <c t="s">
        <v>13460</v>
      </c>
      <c t="s">
        <v>52171</v>
      </c>
      <c t="s">
        <v>2517</v>
      </c>
      <c t="s">
        <v>39289</v>
      </c>
      <c>
        <v>33909</v>
      </c>
      <c t="s">
        <v>60085</v>
      </c>
      <c t="s">
        <v>48794</v>
      </c>
      <c t="s">
        <v>42604</v>
      </c>
      <c>
        <v>3635</v>
      </c>
      <c r="AI114" t="s">
        <v>16809</v>
      </c>
      <c r="AL114" t="s">
        <v>26949</v>
      </c>
      <c r="AN114" t="s">
        <v>10804</v>
      </c>
      <c t="s">
        <v>32337</v>
      </c>
      <c t="s">
        <v>14695</v>
      </c>
      <c t="s">
        <v>3093</v>
      </c>
      <c t="s">
        <v>39686</v>
      </c>
    </row>
    <row>
      <c t="s">
        <v>17594</v>
      </c>
      <c t="s">
        <v>24043</v>
      </c>
      <c t="s">
        <v>40117</v>
      </c>
      <c t="s">
        <v>12601</v>
      </c>
      <c t="s">
        <v>31527</v>
      </c>
      <c s="3">
        <v>8600</v>
      </c>
      <c s="3">
        <v>8600</v>
      </c>
      <c s="3">
        <v>8490</v>
      </c>
      <c>
        <v>0</v>
      </c>
      <c s="3">
        <v>0</v>
      </c>
      <c s="3">
        <v>564</v>
      </c>
      <c s="3">
        <v>8600</v>
      </c>
      <c r="O115" s="1" t="str">
        <f ca="1">HYPERLINK("https://web.datatree.com/?/property?propertyId=31991778", "https://web.datatree.com/?/property?propertyId=31991778")</f>
        <v>https://web.datatree.com/?/property?propertyId=31991778</v>
      </c>
      <c r="Q115" t="s">
        <v>316</v>
      </c>
      <c>
        <v>0.23</v>
      </c>
      <c t="s">
        <v>42044</v>
      </c>
      <c t="s">
        <v>52254</v>
      </c>
      <c t="s">
        <v>55211</v>
      </c>
      <c t="s">
        <v>35237</v>
      </c>
      <c t="s">
        <v>62992</v>
      </c>
      <c t="s">
        <v>30736</v>
      </c>
      <c t="s">
        <v>7113</v>
      </c>
      <c t="s">
        <v>2517</v>
      </c>
      <c t="s">
        <v>39289</v>
      </c>
      <c>
        <v>33909</v>
      </c>
      <c t="s">
        <v>5757</v>
      </c>
      <c t="s">
        <v>48794</v>
      </c>
      <c t="s">
        <v>49659</v>
      </c>
      <c>
        <v>5001</v>
      </c>
      <c r="AI115" t="s">
        <v>33325</v>
      </c>
      <c t="s">
        <v>24900</v>
      </c>
      <c t="s">
        <v>56939</v>
      </c>
      <c t="s">
        <v>51776</v>
      </c>
      <c r="AN115" t="s">
        <v>39289</v>
      </c>
      <c t="s">
        <v>65382</v>
      </c>
      <c t="s">
        <v>40645</v>
      </c>
      <c t="s">
        <v>3093</v>
      </c>
      <c t="s">
        <v>44398</v>
      </c>
    </row>
    <row>
      <c t="s">
        <v>17594</v>
      </c>
      <c t="s">
        <v>29232</v>
      </c>
      <c t="s">
        <v>62559</v>
      </c>
      <c t="s">
        <v>39898</v>
      </c>
      <c t="s">
        <v>57037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16" s="1" t="str">
        <f ca="1">HYPERLINK("https://web.datatree.com/?/property?propertyId=31991946", "https://web.datatree.com/?/property?propertyId=31991946")</f>
        <v>https://web.datatree.com/?/property?propertyId=31991946</v>
      </c>
      <c r="Q116" t="s">
        <v>316</v>
      </c>
      <c>
        <v>0.23</v>
      </c>
      <c t="s">
        <v>6175</v>
      </c>
      <c t="s">
        <v>27181</v>
      </c>
      <c t="s">
        <v>10900</v>
      </c>
      <c r="X116" t="s">
        <v>51257</v>
      </c>
      <c t="s">
        <v>25017</v>
      </c>
      <c t="s">
        <v>2517</v>
      </c>
      <c t="s">
        <v>39289</v>
      </c>
      <c>
        <v>33909</v>
      </c>
      <c t="s">
        <v>4057</v>
      </c>
      <c t="s">
        <v>48794</v>
      </c>
      <c t="s">
        <v>55589</v>
      </c>
      <c r="AI116" t="s">
        <v>16780</v>
      </c>
      <c r="AK116">
        <v>137</v>
      </c>
      <c t="s">
        <v>39915</v>
      </c>
      <c t="s">
        <v>46764</v>
      </c>
      <c t="s">
        <v>27747</v>
      </c>
      <c>
        <v>2121</v>
      </c>
      <c r="AR116" t="s">
        <v>66655</v>
      </c>
    </row>
    <row>
      <c t="s">
        <v>17594</v>
      </c>
      <c t="s">
        <v>12301</v>
      </c>
      <c t="s">
        <v>12270</v>
      </c>
      <c t="s">
        <v>12881</v>
      </c>
      <c t="s">
        <v>794</v>
      </c>
      <c s="3">
        <v>52640</v>
      </c>
      <c s="3">
        <v>52640</v>
      </c>
      <c s="3">
        <v>52640</v>
      </c>
      <c>
        <v>0</v>
      </c>
      <c s="3">
        <v>0</v>
      </c>
      <c s="3">
        <v>1206.04</v>
      </c>
      <c s="3">
        <v>52640</v>
      </c>
      <c r="O117" s="1" t="str">
        <f ca="1">HYPERLINK("https://web.datatree.com/?/property?propertyId=31993648", "https://web.datatree.com/?/property?propertyId=31993648")</f>
        <v>https://web.datatree.com/?/property?propertyId=31993648</v>
      </c>
      <c r="Q117" t="s">
        <v>316</v>
      </c>
      <c>
        <v>0.23</v>
      </c>
      <c t="s">
        <v>22490</v>
      </c>
      <c t="s">
        <v>62098</v>
      </c>
      <c t="s">
        <v>43921</v>
      </c>
      <c t="s">
        <v>54573</v>
      </c>
      <c t="s">
        <v>43921</v>
      </c>
      <c t="s">
        <v>12307</v>
      </c>
      <c t="s">
        <v>53663</v>
      </c>
      <c t="s">
        <v>2517</v>
      </c>
      <c t="s">
        <v>39289</v>
      </c>
      <c>
        <v>33904</v>
      </c>
      <c t="s">
        <v>41157</v>
      </c>
      <c t="s">
        <v>48794</v>
      </c>
      <c t="s">
        <v>10761</v>
      </c>
      <c>
        <v>1087</v>
      </c>
      <c r="AI117" t="s">
        <v>42121</v>
      </c>
      <c t="s">
        <v>45620</v>
      </c>
      <c r="AL117" t="s">
        <v>19227</v>
      </c>
      <c t="s">
        <v>19227</v>
      </c>
      <c t="s">
        <v>4477</v>
      </c>
      <c t="s">
        <v>22972</v>
      </c>
      <c t="s">
        <v>702</v>
      </c>
      <c t="s">
        <v>3093</v>
      </c>
      <c t="s">
        <v>61612</v>
      </c>
    </row>
    <row>
      <c t="s">
        <v>17594</v>
      </c>
      <c t="s">
        <v>66287</v>
      </c>
      <c t="s">
        <v>32492</v>
      </c>
      <c t="s">
        <v>19758</v>
      </c>
      <c t="s">
        <v>35392</v>
      </c>
      <c s="3">
        <v>197676</v>
      </c>
      <c s="3">
        <v>197676</v>
      </c>
      <c s="3">
        <v>168300</v>
      </c>
      <c>
        <v>0</v>
      </c>
      <c s="3">
        <v>0</v>
      </c>
      <c s="3">
        <v>3241.08</v>
      </c>
      <c s="3">
        <v>197676</v>
      </c>
      <c r="O118" s="1" t="str">
        <f ca="1">HYPERLINK("https://web.datatree.com/?/property?propertyId=31993923", "https://web.datatree.com/?/property?propertyId=31993923")</f>
        <v>https://web.datatree.com/?/property?propertyId=31993923</v>
      </c>
      <c r="Q118" t="s">
        <v>316</v>
      </c>
      <c>
        <v>0.238</v>
      </c>
      <c t="s">
        <v>22490</v>
      </c>
      <c t="s">
        <v>61517</v>
      </c>
      <c t="s">
        <v>9788</v>
      </c>
      <c t="s">
        <v>21379</v>
      </c>
      <c t="s">
        <v>9788</v>
      </c>
      <c t="s">
        <v>46924</v>
      </c>
      <c t="s">
        <v>30928</v>
      </c>
      <c t="s">
        <v>2517</v>
      </c>
      <c t="s">
        <v>39289</v>
      </c>
      <c>
        <v>33904</v>
      </c>
      <c t="s">
        <v>65688</v>
      </c>
      <c t="s">
        <v>48794</v>
      </c>
      <c t="s">
        <v>28877</v>
      </c>
      <c>
        <v>155</v>
      </c>
      <c r="AI118" t="s">
        <v>46613</v>
      </c>
      <c r="AL118" t="s">
        <v>417</v>
      </c>
      <c r="AN118" t="s">
        <v>50917</v>
      </c>
      <c t="s">
        <v>47563</v>
      </c>
      <c t="s">
        <v>42082</v>
      </c>
      <c t="s">
        <v>3093</v>
      </c>
      <c t="s">
        <v>27644</v>
      </c>
    </row>
    <row>
      <c t="s">
        <v>17594</v>
      </c>
      <c t="s">
        <v>42755</v>
      </c>
      <c t="s">
        <v>15914</v>
      </c>
      <c t="s">
        <v>38110</v>
      </c>
      <c t="s">
        <v>42478</v>
      </c>
      <c s="3">
        <v>31592</v>
      </c>
      <c s="3">
        <v>31592</v>
      </c>
      <c s="3">
        <v>11858</v>
      </c>
      <c>
        <v>0</v>
      </c>
      <c s="3">
        <v>0</v>
      </c>
      <c s="3">
        <v>2935.69</v>
      </c>
      <c s="3">
        <v>31592</v>
      </c>
      <c r="O119" s="1" t="str">
        <f ca="1">HYPERLINK("https://web.datatree.com/?/property?propertyId=31994118", "https://web.datatree.com/?/property?propertyId=31994118")</f>
        <v>https://web.datatree.com/?/property?propertyId=31994118</v>
      </c>
      <c r="Q119" t="s">
        <v>316</v>
      </c>
      <c>
        <v>0.23</v>
      </c>
      <c t="s">
        <v>22490</v>
      </c>
      <c r="U119" t="s">
        <v>41712</v>
      </c>
      <c r="W119" t="s">
        <v>11786</v>
      </c>
      <c t="s">
        <v>6114</v>
      </c>
      <c t="s">
        <v>2626</v>
      </c>
      <c t="s">
        <v>2517</v>
      </c>
      <c t="s">
        <v>39289</v>
      </c>
      <c>
        <v>33909</v>
      </c>
      <c t="s">
        <v>15860</v>
      </c>
      <c t="s">
        <v>48794</v>
      </c>
      <c t="s">
        <v>65586</v>
      </c>
      <c>
        <v>123</v>
      </c>
      <c r="AI119" t="s">
        <v>31332</v>
      </c>
      <c t="s">
        <v>55842</v>
      </c>
      <c r="AL119" t="s">
        <v>10657</v>
      </c>
      <c r="AN119" t="s">
        <v>65451</v>
      </c>
      <c>
        <v>92211</v>
      </c>
      <c t="s">
        <v>24994</v>
      </c>
      <c t="s">
        <v>3093</v>
      </c>
      <c t="s">
        <v>35288</v>
      </c>
    </row>
    <row>
      <c t="s">
        <v>17594</v>
      </c>
      <c t="s">
        <v>5813</v>
      </c>
      <c t="s">
        <v>58218</v>
      </c>
      <c t="s">
        <v>40863</v>
      </c>
      <c t="s">
        <v>10817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20" s="1" t="str">
        <f ca="1">HYPERLINK("https://web.datatree.com/?/property?propertyId=31995065", "https://web.datatree.com/?/property?propertyId=31995065")</f>
        <v>https://web.datatree.com/?/property?propertyId=31995065</v>
      </c>
      <c r="Q120" t="s">
        <v>316</v>
      </c>
      <c>
        <v>0.23</v>
      </c>
      <c t="s">
        <v>6175</v>
      </c>
      <c t="s">
        <v>44541</v>
      </c>
      <c t="s">
        <v>10354</v>
      </c>
      <c t="s">
        <v>47656</v>
      </c>
      <c t="s">
        <v>10354</v>
      </c>
      <c t="s">
        <v>66040</v>
      </c>
      <c t="s">
        <v>49122</v>
      </c>
      <c t="s">
        <v>2517</v>
      </c>
      <c t="s">
        <v>39289</v>
      </c>
      <c>
        <v>33909</v>
      </c>
      <c t="s">
        <v>26150</v>
      </c>
      <c t="s">
        <v>48794</v>
      </c>
      <c t="s">
        <v>44833</v>
      </c>
      <c>
        <v>1024</v>
      </c>
      <c r="AI120" t="s">
        <v>57165</v>
      </c>
      <c t="s">
        <v>45620</v>
      </c>
      <c r="AL120" t="s">
        <v>50250</v>
      </c>
      <c r="AN120" t="s">
        <v>22275</v>
      </c>
      <c t="s">
        <v>51956</v>
      </c>
      <c t="s">
        <v>30106</v>
      </c>
      <c t="s">
        <v>3093</v>
      </c>
      <c t="s">
        <v>3862</v>
      </c>
    </row>
    <row>
      <c t="s">
        <v>17594</v>
      </c>
      <c t="s">
        <v>28769</v>
      </c>
      <c t="s">
        <v>31854</v>
      </c>
      <c t="s">
        <v>44717</v>
      </c>
      <c t="s">
        <v>55936</v>
      </c>
      <c s="3">
        <v>29708</v>
      </c>
      <c s="3">
        <v>25610</v>
      </c>
      <c s="3">
        <v>15641</v>
      </c>
      <c>
        <v>0</v>
      </c>
      <c s="3">
        <v>0</v>
      </c>
      <c s="3">
        <v>693.24</v>
      </c>
      <c s="3">
        <v>29708</v>
      </c>
      <c>
        <v>2021</v>
      </c>
      <c>
        <v>643.54</v>
      </c>
      <c s="1" t="str">
        <f ca="1">HYPERLINK("https://web.datatree.com/?/property?propertyId=31995983", "https://web.datatree.com/?/property?propertyId=31995983")</f>
        <v>https://web.datatree.com/?/property?propertyId=31995983</v>
      </c>
      <c r="Q121" t="s">
        <v>316</v>
      </c>
      <c>
        <v>0.23</v>
      </c>
      <c t="s">
        <v>22490</v>
      </c>
      <c t="s">
        <v>57425</v>
      </c>
      <c t="s">
        <v>49375</v>
      </c>
      <c t="s">
        <v>1995</v>
      </c>
      <c t="s">
        <v>45794</v>
      </c>
      <c t="s">
        <v>65430</v>
      </c>
      <c t="s">
        <v>22731</v>
      </c>
      <c t="s">
        <v>2517</v>
      </c>
      <c t="s">
        <v>39289</v>
      </c>
      <c>
        <v>33909</v>
      </c>
      <c>
        <v>33909</v>
      </c>
      <c t="s">
        <v>48794</v>
      </c>
      <c t="s">
        <v>42267</v>
      </c>
      <c>
        <v>6234</v>
      </c>
      <c r="AH121" t="s">
        <v>63047</v>
      </c>
      <c t="s">
        <v>3567</v>
      </c>
      <c t="s">
        <v>55842</v>
      </c>
      <c r="AL121" t="s">
        <v>3402</v>
      </c>
      <c r="AN121" t="s">
        <v>39289</v>
      </c>
      <c>
        <v>34203</v>
      </c>
      <c t="s">
        <v>780</v>
      </c>
      <c t="s">
        <v>3093</v>
      </c>
      <c t="s">
        <v>31588</v>
      </c>
    </row>
    <row>
      <c t="s">
        <v>17594</v>
      </c>
      <c t="s">
        <v>12989</v>
      </c>
      <c t="s">
        <v>1647</v>
      </c>
      <c t="s">
        <v>52118</v>
      </c>
      <c t="s">
        <v>25421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122" s="1" t="str">
        <f ca="1">HYPERLINK("https://web.datatree.com/?/property?propertyId=31996044", "https://web.datatree.com/?/property?propertyId=31996044")</f>
        <v>https://web.datatree.com/?/property?propertyId=31996044</v>
      </c>
      <c r="Q122" t="s">
        <v>316</v>
      </c>
      <c>
        <v>0.244</v>
      </c>
      <c t="s">
        <v>6175</v>
      </c>
      <c t="s">
        <v>5745</v>
      </c>
      <c t="s">
        <v>48315</v>
      </c>
      <c t="s">
        <v>51891</v>
      </c>
      <c t="s">
        <v>48315</v>
      </c>
      <c t="s">
        <v>11463</v>
      </c>
      <c t="s">
        <v>60363</v>
      </c>
      <c t="s">
        <v>2517</v>
      </c>
      <c t="s">
        <v>39289</v>
      </c>
      <c>
        <v>33909</v>
      </c>
      <c t="s">
        <v>18620</v>
      </c>
      <c t="s">
        <v>48794</v>
      </c>
      <c t="s">
        <v>42199</v>
      </c>
      <c>
        <v>20772</v>
      </c>
      <c r="AI122" t="s">
        <v>9604</v>
      </c>
      <c t="s">
        <v>55842</v>
      </c>
      <c r="AL122" t="s">
        <v>21971</v>
      </c>
      <c r="AN122" t="s">
        <v>65451</v>
      </c>
      <c t="s">
        <v>64860</v>
      </c>
      <c t="s">
        <v>34025</v>
      </c>
      <c t="s">
        <v>3093</v>
      </c>
      <c t="s">
        <v>5062</v>
      </c>
    </row>
    <row>
      <c t="s">
        <v>17594</v>
      </c>
      <c t="s">
        <v>5520</v>
      </c>
      <c t="s">
        <v>46436</v>
      </c>
      <c t="s">
        <v>18427</v>
      </c>
      <c t="s">
        <v>38749</v>
      </c>
      <c s="3">
        <v>86243</v>
      </c>
      <c s="3">
        <v>86243</v>
      </c>
      <c s="3">
        <v>62812</v>
      </c>
      <c>
        <v>0</v>
      </c>
      <c s="3">
        <v>0</v>
      </c>
      <c s="3">
        <v>880.76</v>
      </c>
      <c s="3">
        <v>86243</v>
      </c>
      <c r="O123" s="1" t="str">
        <f ca="1">HYPERLINK("https://web.datatree.com/?/property?propertyId=31996224", "https://web.datatree.com/?/property?propertyId=31996224")</f>
        <v>https://web.datatree.com/?/property?propertyId=31996224</v>
      </c>
      <c r="Q123" t="s">
        <v>316</v>
      </c>
      <c>
        <v>0.127</v>
      </c>
      <c t="s">
        <v>5471</v>
      </c>
      <c r="U123" t="s">
        <v>20483</v>
      </c>
      <c r="W123" t="s">
        <v>39390</v>
      </c>
      <c t="s">
        <v>25532</v>
      </c>
      <c t="s">
        <v>19177</v>
      </c>
      <c t="s">
        <v>65059</v>
      </c>
      <c t="s">
        <v>39289</v>
      </c>
      <c>
        <v>33905</v>
      </c>
      <c t="s">
        <v>11889</v>
      </c>
      <c t="s">
        <v>48794</v>
      </c>
      <c t="s">
        <v>20198</v>
      </c>
      <c>
        <v>2534</v>
      </c>
      <c r="AH123" t="s">
        <v>12549</v>
      </c>
      <c t="s">
        <v>43501</v>
      </c>
      <c t="s">
        <v>56275</v>
      </c>
      <c r="AL123" t="s">
        <v>14615</v>
      </c>
      <c t="s">
        <v>14615</v>
      </c>
      <c t="s">
        <v>50829</v>
      </c>
      <c t="s">
        <v>15973</v>
      </c>
      <c t="s">
        <v>14695</v>
      </c>
      <c t="s">
        <v>3093</v>
      </c>
      <c t="s">
        <v>9271</v>
      </c>
    </row>
    <row>
      <c t="s">
        <v>17594</v>
      </c>
      <c t="s">
        <v>47045</v>
      </c>
      <c t="s">
        <v>1321</v>
      </c>
      <c t="s">
        <v>22469</v>
      </c>
      <c t="s">
        <v>20977</v>
      </c>
      <c s="3">
        <v>15788</v>
      </c>
      <c s="3">
        <v>15788</v>
      </c>
      <c s="3">
        <v>8250</v>
      </c>
      <c>
        <v>0</v>
      </c>
      <c s="3">
        <v>0</v>
      </c>
      <c s="3">
        <v>568.23</v>
      </c>
      <c s="3">
        <v>15788</v>
      </c>
      <c r="O124" s="1" t="str">
        <f ca="1">HYPERLINK("https://web.datatree.com/?/property?propertyId=31996277", "https://web.datatree.com/?/property?propertyId=31996277")</f>
        <v>https://web.datatree.com/?/property?propertyId=31996277</v>
      </c>
      <c r="Q124" t="s">
        <v>316</v>
      </c>
      <c>
        <v>0.255</v>
      </c>
      <c t="s">
        <v>6175</v>
      </c>
      <c r="U124" t="s">
        <v>855</v>
      </c>
      <c t="s">
        <v>52701</v>
      </c>
      <c t="s">
        <v>37991</v>
      </c>
      <c t="s">
        <v>8329</v>
      </c>
      <c t="s">
        <v>34731</v>
      </c>
      <c t="s">
        <v>2517</v>
      </c>
      <c t="s">
        <v>39289</v>
      </c>
      <c>
        <v>33909</v>
      </c>
      <c t="s">
        <v>26632</v>
      </c>
      <c t="s">
        <v>48794</v>
      </c>
      <c t="s">
        <v>55647</v>
      </c>
      <c>
        <v>6900</v>
      </c>
      <c r="AI124" t="s">
        <v>42233</v>
      </c>
      <c t="s">
        <v>31192</v>
      </c>
      <c>
        <v>603</v>
      </c>
      <c t="s">
        <v>38297</v>
      </c>
      <c r="AN124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11147</v>
      </c>
      <c t="s">
        <v>38682</v>
      </c>
      <c t="s">
        <v>13142</v>
      </c>
      <c t="s">
        <v>58000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25" s="1" t="str">
        <f ca="1">HYPERLINK("https://web.datatree.com/?/property?propertyId=31996841", "https://web.datatree.com/?/property?propertyId=31996841")</f>
        <v>https://web.datatree.com/?/property?propertyId=31996841</v>
      </c>
      <c r="Q125" t="s">
        <v>316</v>
      </c>
      <c>
        <v>0.23</v>
      </c>
      <c t="s">
        <v>6175</v>
      </c>
      <c t="s">
        <v>13593</v>
      </c>
      <c t="s">
        <v>41145</v>
      </c>
      <c t="s">
        <v>1376</v>
      </c>
      <c t="s">
        <v>41145</v>
      </c>
      <c t="s">
        <v>18043</v>
      </c>
      <c t="s">
        <v>34731</v>
      </c>
      <c t="s">
        <v>2517</v>
      </c>
      <c t="s">
        <v>39289</v>
      </c>
      <c>
        <v>33909</v>
      </c>
      <c t="s">
        <v>12032</v>
      </c>
      <c t="s">
        <v>48794</v>
      </c>
      <c t="s">
        <v>51626</v>
      </c>
      <c>
        <v>19</v>
      </c>
      <c r="AI125" t="s">
        <v>48589</v>
      </c>
      <c t="s">
        <v>40123</v>
      </c>
      <c r="AL125" t="s">
        <v>17172</v>
      </c>
      <c r="AN125" t="s">
        <v>26016</v>
      </c>
      <c t="s">
        <v>54891</v>
      </c>
      <c t="s">
        <v>17380</v>
      </c>
      <c t="s">
        <v>3093</v>
      </c>
      <c t="s">
        <v>23792</v>
      </c>
    </row>
    <row>
      <c t="s">
        <v>17594</v>
      </c>
      <c t="s">
        <v>14531</v>
      </c>
      <c t="s">
        <v>32102</v>
      </c>
      <c t="s">
        <v>28470</v>
      </c>
      <c t="s">
        <v>38551</v>
      </c>
      <c s="3">
        <v>20482</v>
      </c>
      <c s="3">
        <v>20482</v>
      </c>
      <c s="3">
        <v>9599</v>
      </c>
      <c>
        <v>0</v>
      </c>
      <c s="3">
        <v>0</v>
      </c>
      <c s="3">
        <v>728.11</v>
      </c>
      <c s="3">
        <v>20482</v>
      </c>
      <c r="O126" s="1" t="str">
        <f ca="1">HYPERLINK("https://web.datatree.com/?/property?propertyId=31997633", "https://web.datatree.com/?/property?propertyId=31997633")</f>
        <v>https://web.datatree.com/?/property?propertyId=31997633</v>
      </c>
      <c r="Q126" t="s">
        <v>316</v>
      </c>
      <c>
        <v>0.396</v>
      </c>
      <c t="s">
        <v>6175</v>
      </c>
      <c t="s">
        <v>39994</v>
      </c>
      <c t="s">
        <v>7499</v>
      </c>
      <c t="s">
        <v>12240</v>
      </c>
      <c t="s">
        <v>7499</v>
      </c>
      <c t="s">
        <v>53808</v>
      </c>
      <c t="s">
        <v>22731</v>
      </c>
      <c t="s">
        <v>2517</v>
      </c>
      <c t="s">
        <v>39289</v>
      </c>
      <c>
        <v>33909</v>
      </c>
      <c t="s">
        <v>20816</v>
      </c>
      <c t="s">
        <v>48794</v>
      </c>
      <c t="s">
        <v>26807</v>
      </c>
      <c>
        <v>1103</v>
      </c>
      <c r="AI126" t="s">
        <v>20121</v>
      </c>
      <c t="s">
        <v>40123</v>
      </c>
      <c r="AL126" t="s">
        <v>26045</v>
      </c>
      <c r="AN126" t="s">
        <v>51087</v>
      </c>
      <c t="s">
        <v>36955</v>
      </c>
      <c t="s">
        <v>24994</v>
      </c>
      <c t="s">
        <v>3093</v>
      </c>
      <c t="s">
        <v>49374</v>
      </c>
    </row>
    <row>
      <c t="s">
        <v>17594</v>
      </c>
      <c t="s">
        <v>55858</v>
      </c>
      <c t="s">
        <v>28621</v>
      </c>
      <c t="s">
        <v>50017</v>
      </c>
      <c t="s">
        <v>66000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127" s="1" t="str">
        <f ca="1">HYPERLINK("https://web.datatree.com/?/property?propertyId=31997822", "https://web.datatree.com/?/property?propertyId=31997822")</f>
        <v>https://web.datatree.com/?/property?propertyId=31997822</v>
      </c>
      <c r="Q127" t="s">
        <v>316</v>
      </c>
      <c>
        <v>0.287</v>
      </c>
      <c t="s">
        <v>5471</v>
      </c>
      <c t="s">
        <v>43468</v>
      </c>
      <c t="s">
        <v>52502</v>
      </c>
      <c t="s">
        <v>29632</v>
      </c>
      <c t="s">
        <v>52502</v>
      </c>
      <c t="s">
        <v>23933</v>
      </c>
      <c t="s">
        <v>15518</v>
      </c>
      <c t="s">
        <v>65059</v>
      </c>
      <c t="s">
        <v>39289</v>
      </c>
      <c>
        <v>33905</v>
      </c>
      <c t="s">
        <v>34623</v>
      </c>
      <c t="s">
        <v>48794</v>
      </c>
      <c t="s">
        <v>2192</v>
      </c>
      <c>
        <v>3300</v>
      </c>
      <c r="AI127" t="s">
        <v>28452</v>
      </c>
      <c r="AK127" t="s">
        <v>56784</v>
      </c>
      <c t="s">
        <v>23828</v>
      </c>
      <c r="AN127" t="s">
        <v>39289</v>
      </c>
      <c t="s">
        <v>41738</v>
      </c>
      <c t="s">
        <v>25140</v>
      </c>
      <c t="s">
        <v>3093</v>
      </c>
      <c t="s">
        <v>7098</v>
      </c>
    </row>
    <row>
      <c t="s">
        <v>17594</v>
      </c>
      <c t="s">
        <v>60660</v>
      </c>
      <c t="s">
        <v>6639</v>
      </c>
      <c t="s">
        <v>65530</v>
      </c>
      <c t="s">
        <v>14970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28" s="1" t="str">
        <f ca="1">HYPERLINK("https://web.datatree.com/?/property?propertyId=31998111", "https://web.datatree.com/?/property?propertyId=31998111")</f>
        <v>https://web.datatree.com/?/property?propertyId=31998111</v>
      </c>
      <c r="Q128" t="s">
        <v>316</v>
      </c>
      <c>
        <v>0.233</v>
      </c>
      <c t="s">
        <v>6175</v>
      </c>
      <c t="s">
        <v>48755</v>
      </c>
      <c t="s">
        <v>49116</v>
      </c>
      <c t="s">
        <v>40579</v>
      </c>
      <c t="s">
        <v>49116</v>
      </c>
      <c t="s">
        <v>29151</v>
      </c>
      <c t="s">
        <v>29190</v>
      </c>
      <c t="s">
        <v>2517</v>
      </c>
      <c t="s">
        <v>39289</v>
      </c>
      <c>
        <v>33909</v>
      </c>
      <c t="s">
        <v>59647</v>
      </c>
      <c t="s">
        <v>48794</v>
      </c>
      <c t="s">
        <v>20718</v>
      </c>
      <c>
        <v>612</v>
      </c>
      <c r="AI128" t="s">
        <v>3567</v>
      </c>
      <c t="s">
        <v>24900</v>
      </c>
      <c r="AL128" t="s">
        <v>27911</v>
      </c>
      <c r="AN128" t="s">
        <v>26443</v>
      </c>
      <c t="s">
        <v>35513</v>
      </c>
      <c t="s">
        <v>14695</v>
      </c>
      <c t="s">
        <v>3093</v>
      </c>
      <c t="s">
        <v>61966</v>
      </c>
    </row>
    <row>
      <c t="s">
        <v>17594</v>
      </c>
      <c t="s">
        <v>32134</v>
      </c>
      <c t="s">
        <v>44518</v>
      </c>
      <c t="s">
        <v>58044</v>
      </c>
      <c t="s">
        <v>478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129" s="1" t="str">
        <f ca="1">HYPERLINK("https://web.datatree.com/?/property?propertyId=31998478", "https://web.datatree.com/?/property?propertyId=31998478")</f>
        <v>https://web.datatree.com/?/property?propertyId=31998478</v>
      </c>
      <c r="Q129" t="s">
        <v>316</v>
      </c>
      <c>
        <v>0.23</v>
      </c>
      <c t="s">
        <v>22490</v>
      </c>
      <c t="s">
        <v>1774</v>
      </c>
      <c t="s">
        <v>43112</v>
      </c>
      <c r="X129" t="s">
        <v>54297</v>
      </c>
      <c t="s">
        <v>53675</v>
      </c>
      <c t="s">
        <v>2517</v>
      </c>
      <c t="s">
        <v>39289</v>
      </c>
      <c>
        <v>33909</v>
      </c>
      <c t="s">
        <v>4594</v>
      </c>
      <c t="s">
        <v>48794</v>
      </c>
      <c t="s">
        <v>42806</v>
      </c>
      <c>
        <v>7773</v>
      </c>
      <c r="AI129" t="s">
        <v>36659</v>
      </c>
      <c t="s">
        <v>55842</v>
      </c>
      <c>
        <v>204</v>
      </c>
      <c t="s">
        <v>11713</v>
      </c>
      <c r="AN129" t="s">
        <v>39289</v>
      </c>
      <c t="s">
        <v>64294</v>
      </c>
      <c t="s">
        <v>56198</v>
      </c>
      <c t="s">
        <v>3093</v>
      </c>
      <c t="s">
        <v>21909</v>
      </c>
    </row>
    <row>
      <c t="s">
        <v>17594</v>
      </c>
      <c t="s">
        <v>35801</v>
      </c>
      <c t="s">
        <v>60347</v>
      </c>
      <c t="s">
        <v>20710</v>
      </c>
      <c t="s">
        <v>48341</v>
      </c>
      <c s="3">
        <v>75463</v>
      </c>
      <c s="3">
        <v>63500</v>
      </c>
      <c s="3">
        <v>73860</v>
      </c>
      <c>
        <v>0</v>
      </c>
      <c s="3">
        <v>0</v>
      </c>
      <c s="3">
        <v>1119.62</v>
      </c>
      <c s="3">
        <v>75463</v>
      </c>
      <c r="O130" s="1" t="str">
        <f ca="1">HYPERLINK("https://web.datatree.com/?/property?propertyId=31998638", "https://web.datatree.com/?/property?propertyId=31998638")</f>
        <v>https://web.datatree.com/?/property?propertyId=31998638</v>
      </c>
      <c r="Q130" t="s">
        <v>316</v>
      </c>
      <c>
        <v>0.095</v>
      </c>
      <c t="s">
        <v>26492</v>
      </c>
      <c r="U130" t="s">
        <v>6798</v>
      </c>
      <c r="W130" t="s">
        <v>62436</v>
      </c>
      <c t="s">
        <v>14049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41288</v>
      </c>
      <c>
        <v>403</v>
      </c>
      <c r="AI130" t="s">
        <v>1497</v>
      </c>
      <c t="s">
        <v>24900</v>
      </c>
      <c r="AL130" t="s">
        <v>62250</v>
      </c>
      <c t="s">
        <v>62250</v>
      </c>
      <c t="s">
        <v>27481</v>
      </c>
      <c t="s">
        <v>32227</v>
      </c>
      <c t="s">
        <v>26242</v>
      </c>
      <c t="s">
        <v>3093</v>
      </c>
      <c t="s">
        <v>14135</v>
      </c>
    </row>
    <row>
      <c t="s">
        <v>17594</v>
      </c>
      <c t="s">
        <v>54385</v>
      </c>
      <c t="s">
        <v>8814</v>
      </c>
      <c t="s">
        <v>64880</v>
      </c>
      <c t="s">
        <v>4957</v>
      </c>
      <c s="3">
        <v>7500</v>
      </c>
      <c s="3">
        <v>7500</v>
      </c>
      <c s="3">
        <v>7500</v>
      </c>
      <c>
        <v>0</v>
      </c>
      <c s="3">
        <v>0</v>
      </c>
      <c s="3">
        <v>543.05</v>
      </c>
      <c s="3">
        <v>7500</v>
      </c>
      <c r="O131" s="1" t="str">
        <f ca="1">HYPERLINK("https://web.datatree.com/?/property?propertyId=31999743", "https://web.datatree.com/?/property?propertyId=31999743")</f>
        <v>https://web.datatree.com/?/property?propertyId=31999743</v>
      </c>
      <c r="Q131" t="s">
        <v>316</v>
      </c>
      <c>
        <v>0.23</v>
      </c>
      <c t="s">
        <v>6175</v>
      </c>
      <c r="U131" t="s">
        <v>36756</v>
      </c>
      <c r="X131" t="s">
        <v>58027</v>
      </c>
      <c t="s">
        <v>49674</v>
      </c>
      <c t="s">
        <v>2517</v>
      </c>
      <c t="s">
        <v>39289</v>
      </c>
      <c>
        <v>33909</v>
      </c>
      <c t="s">
        <v>62954</v>
      </c>
      <c t="s">
        <v>48794</v>
      </c>
      <c t="s">
        <v>38002</v>
      </c>
      <c>
        <v>17171</v>
      </c>
      <c r="AI131" t="s">
        <v>22297</v>
      </c>
      <c t="s">
        <v>63235</v>
      </c>
      <c>
        <v>100</v>
      </c>
      <c t="s">
        <v>54986</v>
      </c>
      <c t="s">
        <v>54986</v>
      </c>
      <c t="s">
        <v>18236</v>
      </c>
      <c t="s">
        <v>37099</v>
      </c>
      <c t="s">
        <v>4491</v>
      </c>
      <c t="s">
        <v>3093</v>
      </c>
      <c t="s">
        <v>48760</v>
      </c>
    </row>
    <row>
      <c t="s">
        <v>17594</v>
      </c>
      <c t="s">
        <v>21669</v>
      </c>
      <c t="s">
        <v>11715</v>
      </c>
      <c t="s">
        <v>51383</v>
      </c>
      <c t="s">
        <v>3826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132" s="1" t="str">
        <f ca="1">HYPERLINK("https://web.datatree.com/?/property?propertyId=31999857", "https://web.datatree.com/?/property?propertyId=31999857")</f>
        <v>https://web.datatree.com/?/property?propertyId=31999857</v>
      </c>
      <c r="Q132" t="s">
        <v>316</v>
      </c>
      <c>
        <v>0.23</v>
      </c>
      <c t="s">
        <v>22490</v>
      </c>
      <c t="s">
        <v>24692</v>
      </c>
      <c t="s">
        <v>35124</v>
      </c>
      <c r="X132" t="s">
        <v>33638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33113</v>
      </c>
      <c>
        <v>2434</v>
      </c>
      <c r="AI132" t="s">
        <v>9748</v>
      </c>
      <c t="s">
        <v>31192</v>
      </c>
      <c r="AL132" t="s">
        <v>9025</v>
      </c>
      <c t="s">
        <v>9025</v>
      </c>
      <c t="s">
        <v>50917</v>
      </c>
      <c t="s">
        <v>37688</v>
      </c>
      <c t="s">
        <v>42082</v>
      </c>
      <c t="s">
        <v>3093</v>
      </c>
      <c t="s">
        <v>52553</v>
      </c>
    </row>
    <row>
      <c t="s">
        <v>17594</v>
      </c>
      <c t="s">
        <v>7425</v>
      </c>
      <c t="s">
        <v>2307</v>
      </c>
      <c t="s">
        <v>65027</v>
      </c>
      <c t="s">
        <v>11292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33" s="1" t="str">
        <f ca="1">HYPERLINK("https://web.datatree.com/?/property?propertyId=32000848", "https://web.datatree.com/?/property?propertyId=32000848")</f>
        <v>https://web.datatree.com/?/property?propertyId=32000848</v>
      </c>
      <c r="Q133" t="s">
        <v>316</v>
      </c>
      <c>
        <v>0.23</v>
      </c>
      <c t="s">
        <v>22490</v>
      </c>
      <c t="s">
        <v>47977</v>
      </c>
      <c t="s">
        <v>40336</v>
      </c>
      <c t="s">
        <v>47649</v>
      </c>
      <c t="s">
        <v>40336</v>
      </c>
      <c t="s">
        <v>60466</v>
      </c>
      <c t="s">
        <v>53675</v>
      </c>
      <c t="s">
        <v>2517</v>
      </c>
      <c t="s">
        <v>39289</v>
      </c>
      <c>
        <v>33909</v>
      </c>
      <c t="s">
        <v>20748</v>
      </c>
      <c t="s">
        <v>48794</v>
      </c>
      <c t="s">
        <v>50682</v>
      </c>
      <c>
        <v>16321</v>
      </c>
      <c r="AI133" t="s">
        <v>55273</v>
      </c>
      <c t="s">
        <v>45393</v>
      </c>
      <c r="AL133" t="s">
        <v>25857</v>
      </c>
      <c r="AN133" t="s">
        <v>39289</v>
      </c>
      <c t="s">
        <v>41178</v>
      </c>
      <c t="s">
        <v>27780</v>
      </c>
      <c t="s">
        <v>3093</v>
      </c>
      <c t="s">
        <v>3981</v>
      </c>
    </row>
    <row>
      <c t="s">
        <v>17594</v>
      </c>
      <c t="s">
        <v>2558</v>
      </c>
      <c t="s">
        <v>66644</v>
      </c>
      <c t="s">
        <v>47692</v>
      </c>
      <c t="s">
        <v>32213</v>
      </c>
      <c s="3">
        <v>7700</v>
      </c>
      <c s="3">
        <v>7700</v>
      </c>
      <c s="3">
        <v>7700</v>
      </c>
      <c>
        <v>0</v>
      </c>
      <c s="3">
        <v>0</v>
      </c>
      <c s="3">
        <v>640.64</v>
      </c>
      <c s="3">
        <v>7700</v>
      </c>
      <c r="O134" s="1" t="str">
        <f ca="1">HYPERLINK("https://web.datatree.com/?/property?propertyId=32000996", "https://web.datatree.com/?/property?propertyId=32000996")</f>
        <v>https://web.datatree.com/?/property?propertyId=32000996</v>
      </c>
      <c r="Q134" t="s">
        <v>316</v>
      </c>
      <c>
        <v>0.244</v>
      </c>
      <c t="s">
        <v>6175</v>
      </c>
      <c t="s">
        <v>65401</v>
      </c>
      <c t="s">
        <v>30870</v>
      </c>
      <c r="X134" t="s">
        <v>21077</v>
      </c>
      <c t="s">
        <v>22731</v>
      </c>
      <c t="s">
        <v>2517</v>
      </c>
      <c t="s">
        <v>39289</v>
      </c>
      <c>
        <v>33909</v>
      </c>
      <c t="s">
        <v>12017</v>
      </c>
      <c t="s">
        <v>48794</v>
      </c>
      <c t="s">
        <v>37853</v>
      </c>
      <c>
        <v>23502</v>
      </c>
      <c r="AI134" t="s">
        <v>59952</v>
      </c>
      <c t="s">
        <v>31192</v>
      </c>
      <c r="AL134" t="s">
        <v>27584</v>
      </c>
      <c r="AN134" t="s">
        <v>18236</v>
      </c>
      <c t="s">
        <v>34440</v>
      </c>
      <c t="s">
        <v>45980</v>
      </c>
      <c t="s">
        <v>3093</v>
      </c>
      <c t="s">
        <v>42538</v>
      </c>
    </row>
    <row>
      <c t="s">
        <v>17594</v>
      </c>
      <c t="s">
        <v>58999</v>
      </c>
      <c t="s">
        <v>45821</v>
      </c>
      <c t="s">
        <v>7299</v>
      </c>
      <c t="s">
        <v>4253</v>
      </c>
      <c s="3">
        <v>28210</v>
      </c>
      <c s="3">
        <v>28210</v>
      </c>
      <c s="3">
        <v>9079</v>
      </c>
      <c>
        <v>0</v>
      </c>
      <c s="3">
        <v>0</v>
      </c>
      <c s="3">
        <v>2278.13</v>
      </c>
      <c s="3">
        <v>28210</v>
      </c>
      <c r="O135" s="1" t="str">
        <f ca="1">HYPERLINK("https://web.datatree.com/?/property?propertyId=32001519", "https://web.datatree.com/?/property?propertyId=32001519")</f>
        <v>https://web.datatree.com/?/property?propertyId=32001519</v>
      </c>
      <c r="Q135" t="s">
        <v>316</v>
      </c>
      <c>
        <v>0.23</v>
      </c>
      <c t="s">
        <v>6175</v>
      </c>
      <c t="s">
        <v>50331</v>
      </c>
      <c t="s">
        <v>26269</v>
      </c>
      <c r="X135" t="s">
        <v>60686</v>
      </c>
      <c t="s">
        <v>58797</v>
      </c>
      <c t="s">
        <v>2517</v>
      </c>
      <c t="s">
        <v>39289</v>
      </c>
      <c>
        <v>33909</v>
      </c>
      <c t="s">
        <v>60687</v>
      </c>
      <c t="s">
        <v>48794</v>
      </c>
      <c t="s">
        <v>28866</v>
      </c>
      <c>
        <v>2848</v>
      </c>
      <c r="AI135" t="s">
        <v>7661</v>
      </c>
      <c t="s">
        <v>31192</v>
      </c>
      <c r="AL135" t="s">
        <v>39042</v>
      </c>
      <c t="s">
        <v>39042</v>
      </c>
      <c t="s">
        <v>65467</v>
      </c>
      <c t="s">
        <v>3263</v>
      </c>
      <c t="s">
        <v>54916</v>
      </c>
      <c t="s">
        <v>3093</v>
      </c>
      <c t="s">
        <v>10895</v>
      </c>
    </row>
    <row>
      <c t="s">
        <v>17594</v>
      </c>
      <c t="s">
        <v>40173</v>
      </c>
      <c t="s">
        <v>64304</v>
      </c>
      <c t="s">
        <v>2312</v>
      </c>
      <c t="s">
        <v>10103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36" s="1" t="str">
        <f ca="1">HYPERLINK("https://web.datatree.com/?/property?propertyId=32001775", "https://web.datatree.com/?/property?propertyId=32001775")</f>
        <v>https://web.datatree.com/?/property?propertyId=32001775</v>
      </c>
      <c r="Q136" t="s">
        <v>316</v>
      </c>
      <c>
        <v>0.23</v>
      </c>
      <c t="s">
        <v>6175</v>
      </c>
      <c t="s">
        <v>18849</v>
      </c>
      <c t="s">
        <v>66686</v>
      </c>
      <c t="s">
        <v>48526</v>
      </c>
      <c t="s">
        <v>66686</v>
      </c>
      <c t="s">
        <v>39092</v>
      </c>
      <c t="s">
        <v>34731</v>
      </c>
      <c t="s">
        <v>2517</v>
      </c>
      <c t="s">
        <v>39289</v>
      </c>
      <c>
        <v>33909</v>
      </c>
      <c t="s">
        <v>25669</v>
      </c>
      <c t="s">
        <v>48794</v>
      </c>
      <c t="s">
        <v>60416</v>
      </c>
      <c>
        <v>47</v>
      </c>
      <c r="AI136" t="s">
        <v>9120</v>
      </c>
      <c t="s">
        <v>24900</v>
      </c>
      <c r="AL136" t="s">
        <v>33911</v>
      </c>
      <c r="AN136" t="s">
        <v>27747</v>
      </c>
      <c t="s">
        <v>33150</v>
      </c>
      <c t="s">
        <v>63972</v>
      </c>
      <c t="s">
        <v>3093</v>
      </c>
      <c t="s">
        <v>25287</v>
      </c>
    </row>
    <row>
      <c t="s">
        <v>42103</v>
      </c>
      <c t="s">
        <v>48884</v>
      </c>
      <c t="s">
        <v>15118</v>
      </c>
      <c t="s">
        <v>1199</v>
      </c>
      <c t="s">
        <v>54822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37" s="1" t="str">
        <f ca="1">HYPERLINK("https://web.datatree.com/?/property?propertyId=32001869", "https://web.datatree.com/?/property?propertyId=32001869")</f>
        <v>https://web.datatree.com/?/property?propertyId=32001869</v>
      </c>
      <c r="Q137" t="s">
        <v>316</v>
      </c>
      <c>
        <v>0.23</v>
      </c>
      <c t="s">
        <v>6175</v>
      </c>
      <c t="s">
        <v>47754</v>
      </c>
      <c t="s">
        <v>1174</v>
      </c>
      <c t="s">
        <v>36061</v>
      </c>
      <c t="s">
        <v>1174</v>
      </c>
      <c t="s">
        <v>10969</v>
      </c>
      <c t="s">
        <v>25017</v>
      </c>
      <c t="s">
        <v>2517</v>
      </c>
      <c t="s">
        <v>39289</v>
      </c>
      <c>
        <v>33909</v>
      </c>
      <c t="s">
        <v>63939</v>
      </c>
      <c t="s">
        <v>48794</v>
      </c>
      <c t="s">
        <v>66319</v>
      </c>
      <c r="AI137" t="s">
        <v>34008</v>
      </c>
      <c r="AL137" t="s">
        <v>27801</v>
      </c>
      <c r="AN137" t="s">
        <v>50917</v>
      </c>
      <c>
        <v>10932</v>
      </c>
      <c t="s">
        <v>61509</v>
      </c>
      <c t="s">
        <v>3093</v>
      </c>
      <c t="s">
        <v>37013</v>
      </c>
    </row>
    <row>
      <c t="s">
        <v>17594</v>
      </c>
      <c t="s">
        <v>55021</v>
      </c>
      <c t="s">
        <v>66818</v>
      </c>
      <c t="s">
        <v>12093</v>
      </c>
      <c t="s">
        <v>55208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138" s="1" t="str">
        <f ca="1">HYPERLINK("https://web.datatree.com/?/property?propertyId=32001889", "https://web.datatree.com/?/property?propertyId=32001889")</f>
        <v>https://web.datatree.com/?/property?propertyId=32001889</v>
      </c>
      <c r="Q138" t="s">
        <v>316</v>
      </c>
      <c>
        <v>0.229</v>
      </c>
      <c t="s">
        <v>22490</v>
      </c>
      <c r="U138" t="s">
        <v>39908</v>
      </c>
      <c r="W138" t="s">
        <v>63594</v>
      </c>
      <c t="s">
        <v>5837</v>
      </c>
      <c t="s">
        <v>22731</v>
      </c>
      <c t="s">
        <v>2517</v>
      </c>
      <c t="s">
        <v>39289</v>
      </c>
      <c>
        <v>33909</v>
      </c>
      <c t="s">
        <v>12017</v>
      </c>
      <c t="s">
        <v>48794</v>
      </c>
      <c t="s">
        <v>11538</v>
      </c>
      <c>
        <v>2888</v>
      </c>
      <c r="AI138" t="s">
        <v>33335</v>
      </c>
      <c t="s">
        <v>45393</v>
      </c>
      <c r="AL138" t="s">
        <v>34919</v>
      </c>
      <c r="AN138" t="s">
        <v>50829</v>
      </c>
      <c t="s">
        <v>28360</v>
      </c>
      <c t="s">
        <v>4797</v>
      </c>
      <c t="s">
        <v>3093</v>
      </c>
      <c t="s">
        <v>59383</v>
      </c>
    </row>
    <row>
      <c t="s">
        <v>17594</v>
      </c>
      <c t="s">
        <v>45693</v>
      </c>
      <c t="s">
        <v>48498</v>
      </c>
      <c t="s">
        <v>2200</v>
      </c>
      <c t="s">
        <v>394</v>
      </c>
      <c s="3">
        <v>15788</v>
      </c>
      <c s="3">
        <v>15788</v>
      </c>
      <c s="3">
        <v>15788</v>
      </c>
      <c>
        <v>0</v>
      </c>
      <c s="3">
        <v>0</v>
      </c>
      <c s="3">
        <v>543.05</v>
      </c>
      <c s="3">
        <v>15788</v>
      </c>
      <c r="O139" s="1" t="str">
        <f ca="1">HYPERLINK("https://web.datatree.com/?/property?propertyId=32002835", "https://web.datatree.com/?/property?propertyId=32002835")</f>
        <v>https://web.datatree.com/?/property?propertyId=32002835</v>
      </c>
      <c r="Q139" t="s">
        <v>316</v>
      </c>
      <c>
        <v>0.244</v>
      </c>
      <c t="s">
        <v>6175</v>
      </c>
      <c t="s">
        <v>30728</v>
      </c>
      <c t="s">
        <v>39782</v>
      </c>
      <c t="s">
        <v>11223</v>
      </c>
      <c t="s">
        <v>39782</v>
      </c>
      <c t="s">
        <v>44238</v>
      </c>
      <c t="s">
        <v>25017</v>
      </c>
      <c t="s">
        <v>2517</v>
      </c>
      <c t="s">
        <v>39289</v>
      </c>
      <c>
        <v>33909</v>
      </c>
      <c t="s">
        <v>63309</v>
      </c>
      <c t="s">
        <v>48794</v>
      </c>
      <c t="s">
        <v>20245</v>
      </c>
      <c>
        <v>14564</v>
      </c>
      <c r="AI139" t="s">
        <v>19444</v>
      </c>
      <c t="s">
        <v>45620</v>
      </c>
      <c r="AL139" t="s">
        <v>56853</v>
      </c>
      <c r="AN139" t="s">
        <v>50829</v>
      </c>
      <c t="s">
        <v>11926</v>
      </c>
      <c t="s">
        <v>6042</v>
      </c>
      <c t="s">
        <v>3093</v>
      </c>
      <c t="s">
        <v>1607</v>
      </c>
    </row>
    <row>
      <c t="s">
        <v>42103</v>
      </c>
      <c t="s">
        <v>9428</v>
      </c>
      <c t="s">
        <v>42284</v>
      </c>
      <c t="s">
        <v>14510</v>
      </c>
      <c t="s">
        <v>26077</v>
      </c>
      <c s="3">
        <v>41529</v>
      </c>
      <c s="3">
        <v>38203</v>
      </c>
      <c s="3">
        <v>27055</v>
      </c>
      <c>
        <v>0</v>
      </c>
      <c s="3">
        <v>0</v>
      </c>
      <c s="3">
        <v>478.72</v>
      </c>
      <c s="3">
        <v>41529</v>
      </c>
      <c r="O140" s="1" t="str">
        <f ca="1">HYPERLINK("https://web.datatree.com/?/property?propertyId=32002934", "https://web.datatree.com/?/property?propertyId=32002934")</f>
        <v>https://web.datatree.com/?/property?propertyId=32002934</v>
      </c>
      <c r="Q140" t="s">
        <v>316</v>
      </c>
      <c>
        <v>0.048</v>
      </c>
      <c t="s">
        <v>54329</v>
      </c>
      <c t="s">
        <v>25238</v>
      </c>
      <c t="s">
        <v>57325</v>
      </c>
      <c r="X140" t="s">
        <v>19045</v>
      </c>
      <c t="s">
        <v>45631</v>
      </c>
      <c t="s">
        <v>54524</v>
      </c>
      <c t="s">
        <v>39289</v>
      </c>
      <c>
        <v>33903</v>
      </c>
      <c t="s">
        <v>302</v>
      </c>
      <c t="s">
        <v>48794</v>
      </c>
      <c t="s">
        <v>25237</v>
      </c>
      <c r="AI140" t="s">
        <v>6219</v>
      </c>
      <c r="AL140" t="s">
        <v>43686</v>
      </c>
      <c t="s">
        <v>65059</v>
      </c>
      <c t="s">
        <v>22275</v>
      </c>
      <c>
        <v>19375</v>
      </c>
      <c t="s">
        <v>22106</v>
      </c>
      <c t="s">
        <v>3093</v>
      </c>
      <c t="s">
        <v>29117</v>
      </c>
    </row>
    <row>
      <c t="s">
        <v>17594</v>
      </c>
      <c t="s">
        <v>42567</v>
      </c>
      <c t="s">
        <v>34616</v>
      </c>
      <c t="s">
        <v>16191</v>
      </c>
      <c t="s">
        <v>28986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141" s="1" t="str">
        <f ca="1">HYPERLINK("https://web.datatree.com/?/property?propertyId=32003267", "https://web.datatree.com/?/property?propertyId=32003267")</f>
        <v>https://web.datatree.com/?/property?propertyId=32003267</v>
      </c>
      <c r="Q141" t="s">
        <v>316</v>
      </c>
      <c>
        <v>0.23</v>
      </c>
      <c t="s">
        <v>6175</v>
      </c>
      <c t="s">
        <v>31337</v>
      </c>
      <c t="s">
        <v>32073</v>
      </c>
      <c r="X141" t="s">
        <v>3578</v>
      </c>
      <c t="s">
        <v>22731</v>
      </c>
      <c t="s">
        <v>2517</v>
      </c>
      <c t="s">
        <v>39289</v>
      </c>
      <c>
        <v>33909</v>
      </c>
      <c t="s">
        <v>59012</v>
      </c>
      <c t="s">
        <v>48794</v>
      </c>
      <c t="s">
        <v>40834</v>
      </c>
      <c>
        <v>305</v>
      </c>
      <c r="AI141" t="s">
        <v>8736</v>
      </c>
      <c t="s">
        <v>55842</v>
      </c>
      <c r="AL141" t="s">
        <v>55005</v>
      </c>
      <c r="AN141" t="s">
        <v>39289</v>
      </c>
      <c t="s">
        <v>15648</v>
      </c>
      <c t="s">
        <v>49977</v>
      </c>
      <c t="s">
        <v>3093</v>
      </c>
      <c t="s">
        <v>50859</v>
      </c>
    </row>
    <row>
      <c t="s">
        <v>17594</v>
      </c>
      <c t="s">
        <v>57581</v>
      </c>
      <c t="s">
        <v>50113</v>
      </c>
      <c t="s">
        <v>61168</v>
      </c>
      <c t="s">
        <v>11488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>
        <v>2021</v>
      </c>
      <c>
        <v>594.94</v>
      </c>
      <c s="1" t="str">
        <f ca="1">HYPERLINK("https://web.datatree.com/?/property?propertyId=32003884", "https://web.datatree.com/?/property?propertyId=32003884")</f>
        <v>https://web.datatree.com/?/property?propertyId=32003884</v>
      </c>
      <c r="Q142" t="s">
        <v>316</v>
      </c>
      <c>
        <v>0.23</v>
      </c>
      <c t="s">
        <v>6175</v>
      </c>
      <c t="s">
        <v>44541</v>
      </c>
      <c t="s">
        <v>48718</v>
      </c>
      <c r="X142" t="s">
        <v>31660</v>
      </c>
      <c t="s">
        <v>58797</v>
      </c>
      <c t="s">
        <v>2517</v>
      </c>
      <c t="s">
        <v>39289</v>
      </c>
      <c>
        <v>33909</v>
      </c>
      <c>
        <v>33909</v>
      </c>
      <c t="s">
        <v>48794</v>
      </c>
      <c t="s">
        <v>41951</v>
      </c>
      <c>
        <v>409</v>
      </c>
      <c r="AI142" t="s">
        <v>40191</v>
      </c>
      <c t="s">
        <v>24900</v>
      </c>
      <c r="AL142" t="s">
        <v>21273</v>
      </c>
      <c r="AN142" t="s">
        <v>26016</v>
      </c>
      <c t="s">
        <v>5016</v>
      </c>
      <c t="s">
        <v>26242</v>
      </c>
      <c t="s">
        <v>3093</v>
      </c>
      <c t="s">
        <v>63794</v>
      </c>
    </row>
    <row>
      <c t="s">
        <v>17594</v>
      </c>
      <c t="s">
        <v>29741</v>
      </c>
      <c t="s">
        <v>51357</v>
      </c>
      <c t="s">
        <v>21963</v>
      </c>
      <c t="s">
        <v>14684</v>
      </c>
      <c s="3">
        <v>9000</v>
      </c>
      <c s="3">
        <v>9000</v>
      </c>
      <c s="3">
        <v>9000</v>
      </c>
      <c>
        <v>0</v>
      </c>
      <c s="3">
        <v>0</v>
      </c>
      <c s="3">
        <v>709.78</v>
      </c>
      <c s="3">
        <v>9000</v>
      </c>
      <c>
        <v>2019</v>
      </c>
      <c>
        <v>653.16</v>
      </c>
      <c s="1" t="str">
        <f ca="1">HYPERLINK("https://web.datatree.com/?/property?propertyId=32004246", "https://web.datatree.com/?/property?propertyId=32004246")</f>
        <v>https://web.datatree.com/?/property?propertyId=32004246</v>
      </c>
      <c r="Q143" t="s">
        <v>316</v>
      </c>
      <c>
        <v>0.344</v>
      </c>
      <c t="s">
        <v>15461</v>
      </c>
      <c t="s">
        <v>64119</v>
      </c>
      <c t="s">
        <v>64983</v>
      </c>
      <c t="s">
        <v>52701</v>
      </c>
      <c t="s">
        <v>64983</v>
      </c>
      <c t="s">
        <v>39317</v>
      </c>
      <c t="s">
        <v>7113</v>
      </c>
      <c t="s">
        <v>2517</v>
      </c>
      <c t="s">
        <v>39289</v>
      </c>
      <c>
        <v>33909</v>
      </c>
      <c>
        <v>33909</v>
      </c>
      <c t="s">
        <v>48794</v>
      </c>
      <c t="s">
        <v>13532</v>
      </c>
      <c>
        <v>16764</v>
      </c>
      <c r="AI143" t="s">
        <v>18679</v>
      </c>
      <c t="s">
        <v>45393</v>
      </c>
      <c r="AL143" t="s">
        <v>25857</v>
      </c>
      <c t="s">
        <v>25857</v>
      </c>
      <c t="s">
        <v>39289</v>
      </c>
      <c t="s">
        <v>30097</v>
      </c>
      <c t="s">
        <v>52551</v>
      </c>
      <c t="s">
        <v>3093</v>
      </c>
      <c t="s">
        <v>6763</v>
      </c>
    </row>
    <row>
      <c t="s">
        <v>17594</v>
      </c>
      <c t="s">
        <v>45819</v>
      </c>
      <c s="2" t="s">
        <v>30744</v>
      </c>
      <c t="s">
        <v>65981</v>
      </c>
      <c t="s">
        <v>63967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144" s="1" t="str">
        <f ca="1">HYPERLINK("https://web.datatree.com/?/property?propertyId=32004374", "https://web.datatree.com/?/property?propertyId=32004374")</f>
        <v>https://web.datatree.com/?/property?propertyId=32004374</v>
      </c>
      <c r="Q144" t="s">
        <v>316</v>
      </c>
      <c>
        <v>0.23</v>
      </c>
      <c t="s">
        <v>6175</v>
      </c>
      <c t="s">
        <v>39139</v>
      </c>
      <c t="s">
        <v>20479</v>
      </c>
      <c r="X144" t="s">
        <v>9122</v>
      </c>
      <c t="s">
        <v>29190</v>
      </c>
      <c t="s">
        <v>2517</v>
      </c>
      <c t="s">
        <v>39289</v>
      </c>
      <c>
        <v>33909</v>
      </c>
      <c t="s">
        <v>32541</v>
      </c>
      <c t="s">
        <v>48794</v>
      </c>
      <c t="s">
        <v>46526</v>
      </c>
      <c>
        <v>6181</v>
      </c>
      <c r="AI144" t="s">
        <v>43257</v>
      </c>
      <c t="s">
        <v>45620</v>
      </c>
      <c>
        <v>104</v>
      </c>
      <c t="s">
        <v>29086</v>
      </c>
      <c r="AN144" t="s">
        <v>17134</v>
      </c>
      <c t="s">
        <v>36215</v>
      </c>
      <c t="s">
        <v>34162</v>
      </c>
      <c t="s">
        <v>3093</v>
      </c>
      <c s="2" t="s">
        <v>38199</v>
      </c>
    </row>
    <row>
      <c t="s">
        <v>17594</v>
      </c>
      <c t="s">
        <v>34133</v>
      </c>
      <c t="s">
        <v>4422</v>
      </c>
      <c t="s">
        <v>56615</v>
      </c>
      <c t="s">
        <v>56102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145" s="1" t="str">
        <f ca="1">HYPERLINK("https://web.datatree.com/?/property?propertyId=32004821", "https://web.datatree.com/?/property?propertyId=32004821")</f>
        <v>https://web.datatree.com/?/property?propertyId=32004821</v>
      </c>
      <c r="Q145" t="s">
        <v>316</v>
      </c>
      <c>
        <v>0.23</v>
      </c>
      <c t="s">
        <v>22490</v>
      </c>
      <c t="s">
        <v>10070</v>
      </c>
      <c t="s">
        <v>3309</v>
      </c>
      <c r="X145" t="s">
        <v>36156</v>
      </c>
      <c t="s">
        <v>44061</v>
      </c>
      <c t="s">
        <v>2517</v>
      </c>
      <c t="s">
        <v>39289</v>
      </c>
      <c>
        <v>33909</v>
      </c>
      <c t="s">
        <v>877</v>
      </c>
      <c t="s">
        <v>48794</v>
      </c>
      <c t="s">
        <v>31283</v>
      </c>
      <c>
        <v>24871</v>
      </c>
      <c r="AI145" t="s">
        <v>59330</v>
      </c>
      <c t="s">
        <v>31192</v>
      </c>
      <c r="AL145" t="s">
        <v>49614</v>
      </c>
      <c t="s">
        <v>25539</v>
      </c>
      <c t="s">
        <v>51087</v>
      </c>
      <c t="s">
        <v>60399</v>
      </c>
      <c t="s">
        <v>37774</v>
      </c>
      <c t="s">
        <v>3093</v>
      </c>
      <c t="s">
        <v>48030</v>
      </c>
    </row>
    <row>
      <c t="s">
        <v>17594</v>
      </c>
      <c t="s">
        <v>27033</v>
      </c>
      <c t="s">
        <v>65709</v>
      </c>
      <c t="s">
        <v>17526</v>
      </c>
      <c t="s">
        <v>60015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146" s="1" t="str">
        <f ca="1">HYPERLINK("https://web.datatree.com/?/property?propertyId=32004897", "https://web.datatree.com/?/property?propertyId=32004897")</f>
        <v>https://web.datatree.com/?/property?propertyId=32004897</v>
      </c>
      <c r="Q146" t="s">
        <v>316</v>
      </c>
      <c>
        <v>0.23</v>
      </c>
      <c t="s">
        <v>6175</v>
      </c>
      <c t="s">
        <v>20889</v>
      </c>
      <c t="s">
        <v>47024</v>
      </c>
      <c t="s">
        <v>52506</v>
      </c>
      <c t="s">
        <v>10835</v>
      </c>
      <c t="s">
        <v>53314</v>
      </c>
      <c t="s">
        <v>2619</v>
      </c>
      <c t="s">
        <v>2517</v>
      </c>
      <c t="s">
        <v>39289</v>
      </c>
      <c>
        <v>33909</v>
      </c>
      <c t="s">
        <v>50023</v>
      </c>
      <c t="s">
        <v>48794</v>
      </c>
      <c t="s">
        <v>42370</v>
      </c>
      <c>
        <v>14261</v>
      </c>
      <c r="AI146" t="s">
        <v>1527</v>
      </c>
      <c t="s">
        <v>24900</v>
      </c>
      <c r="AL146" t="s">
        <v>55393</v>
      </c>
      <c t="s">
        <v>13598</v>
      </c>
      <c t="s">
        <v>39289</v>
      </c>
      <c t="s">
        <v>13311</v>
      </c>
      <c t="s">
        <v>36802</v>
      </c>
      <c t="s">
        <v>3093</v>
      </c>
      <c t="s">
        <v>23770</v>
      </c>
    </row>
    <row>
      <c t="s">
        <v>17594</v>
      </c>
      <c t="s">
        <v>58226</v>
      </c>
      <c t="s">
        <v>26358</v>
      </c>
      <c t="s">
        <v>62296</v>
      </c>
      <c t="s">
        <v>24437</v>
      </c>
      <c s="3">
        <v>110520</v>
      </c>
      <c s="3">
        <v>100000</v>
      </c>
      <c s="3">
        <v>110520</v>
      </c>
      <c>
        <v>0</v>
      </c>
      <c s="3">
        <v>0</v>
      </c>
      <c s="3">
        <v>1659.56</v>
      </c>
      <c s="3">
        <v>110520</v>
      </c>
      <c r="O147" s="1" t="str">
        <f ca="1">HYPERLINK("https://web.datatree.com/?/property?propertyId=32004913", "https://web.datatree.com/?/property?propertyId=32004913")</f>
        <v>https://web.datatree.com/?/property?propertyId=32004913</v>
      </c>
      <c r="Q147" t="s">
        <v>316</v>
      </c>
      <c>
        <v>0.116</v>
      </c>
      <c t="s">
        <v>26492</v>
      </c>
      <c t="s">
        <v>44541</v>
      </c>
      <c t="s">
        <v>39496</v>
      </c>
      <c t="s">
        <v>22046</v>
      </c>
      <c t="s">
        <v>39496</v>
      </c>
      <c t="s">
        <v>15231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36889</v>
      </c>
      <c>
        <v>42970</v>
      </c>
      <c r="AI147" t="s">
        <v>4772</v>
      </c>
      <c t="s">
        <v>45620</v>
      </c>
      <c r="AL147" t="s">
        <v>51363</v>
      </c>
      <c t="s">
        <v>40227</v>
      </c>
      <c t="s">
        <v>51137</v>
      </c>
      <c t="s">
        <v>25409</v>
      </c>
      <c t="s">
        <v>52247</v>
      </c>
      <c t="s">
        <v>3093</v>
      </c>
      <c t="s">
        <v>15702</v>
      </c>
    </row>
    <row>
      <c t="s">
        <v>17594</v>
      </c>
      <c t="s">
        <v>54741</v>
      </c>
      <c t="s">
        <v>38840</v>
      </c>
      <c t="s">
        <v>23731</v>
      </c>
      <c t="s">
        <v>30414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48" s="1" t="str">
        <f ca="1">HYPERLINK("https://web.datatree.com/?/property?propertyId=32005291", "https://web.datatree.com/?/property?propertyId=32005291")</f>
        <v>https://web.datatree.com/?/property?propertyId=32005291</v>
      </c>
      <c r="Q148" t="s">
        <v>316</v>
      </c>
      <c>
        <v>0.244</v>
      </c>
      <c t="s">
        <v>42044</v>
      </c>
      <c t="s">
        <v>25384</v>
      </c>
      <c t="s">
        <v>9941</v>
      </c>
      <c t="s">
        <v>37949</v>
      </c>
      <c t="s">
        <v>9941</v>
      </c>
      <c t="s">
        <v>37906</v>
      </c>
      <c t="s">
        <v>14534</v>
      </c>
      <c t="s">
        <v>2517</v>
      </c>
      <c t="s">
        <v>39289</v>
      </c>
      <c>
        <v>33909</v>
      </c>
      <c>
        <v>33909</v>
      </c>
      <c t="s">
        <v>48794</v>
      </c>
      <c t="s">
        <v>55060</v>
      </c>
      <c>
        <v>7135</v>
      </c>
      <c r="AH148" t="s">
        <v>63047</v>
      </c>
      <c t="s">
        <v>5151</v>
      </c>
      <c t="s">
        <v>45620</v>
      </c>
      <c r="AL148" t="s">
        <v>36970</v>
      </c>
      <c r="AN148" t="s">
        <v>39289</v>
      </c>
      <c t="s">
        <v>25794</v>
      </c>
      <c t="s">
        <v>4491</v>
      </c>
      <c t="s">
        <v>3093</v>
      </c>
      <c t="s">
        <v>56296</v>
      </c>
    </row>
    <row>
      <c t="s">
        <v>17594</v>
      </c>
      <c t="s">
        <v>22812</v>
      </c>
      <c s="4" t="s">
        <v>43470</v>
      </c>
      <c t="s">
        <v>63576</v>
      </c>
      <c t="s">
        <v>41787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149" s="1" t="str">
        <f ca="1">HYPERLINK("https://web.datatree.com/?/property?propertyId=32006117", "https://web.datatree.com/?/property?propertyId=32006117")</f>
        <v>https://web.datatree.com/?/property?propertyId=32006117</v>
      </c>
      <c r="Q149" t="s">
        <v>316</v>
      </c>
      <c>
        <v>0.244</v>
      </c>
      <c t="s">
        <v>42044</v>
      </c>
      <c t="s">
        <v>22061</v>
      </c>
      <c t="s">
        <v>60168</v>
      </c>
      <c r="X149" t="s">
        <v>66417</v>
      </c>
      <c t="s">
        <v>61144</v>
      </c>
      <c t="s">
        <v>2517</v>
      </c>
      <c t="s">
        <v>39289</v>
      </c>
      <c>
        <v>33909</v>
      </c>
      <c t="s">
        <v>56696</v>
      </c>
      <c t="s">
        <v>48794</v>
      </c>
      <c t="s">
        <v>27707</v>
      </c>
      <c>
        <v>4</v>
      </c>
      <c r="AI149" t="s">
        <v>2466</v>
      </c>
      <c t="s">
        <v>40123</v>
      </c>
      <c r="AL149" t="s">
        <v>39535</v>
      </c>
      <c r="AN149" t="s">
        <v>50917</v>
      </c>
      <c t="s">
        <v>25913</v>
      </c>
      <c t="s">
        <v>14695</v>
      </c>
      <c t="s">
        <v>3093</v>
      </c>
      <c s="4" t="s">
        <v>10223</v>
      </c>
    </row>
    <row>
      <c t="s">
        <v>17594</v>
      </c>
      <c t="s">
        <v>19678</v>
      </c>
      <c t="s">
        <v>29689</v>
      </c>
      <c t="s">
        <v>59813</v>
      </c>
      <c t="s">
        <v>39163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150" s="1" t="str">
        <f ca="1">HYPERLINK("https://web.datatree.com/?/property?propertyId=32006573", "https://web.datatree.com/?/property?propertyId=32006573")</f>
        <v>https://web.datatree.com/?/property?propertyId=32006573</v>
      </c>
      <c r="Q150" t="s">
        <v>316</v>
      </c>
      <c>
        <v>0.23</v>
      </c>
      <c t="s">
        <v>45031</v>
      </c>
      <c t="s">
        <v>56458</v>
      </c>
      <c t="s">
        <v>38269</v>
      </c>
      <c t="s">
        <v>10361</v>
      </c>
      <c t="s">
        <v>38269</v>
      </c>
      <c t="s">
        <v>16705</v>
      </c>
      <c t="s">
        <v>22731</v>
      </c>
      <c t="s">
        <v>2517</v>
      </c>
      <c t="s">
        <v>39289</v>
      </c>
      <c>
        <v>33909</v>
      </c>
      <c t="s">
        <v>53291</v>
      </c>
      <c t="s">
        <v>48794</v>
      </c>
      <c t="s">
        <v>63922</v>
      </c>
      <c>
        <v>1966</v>
      </c>
      <c r="AI150" t="s">
        <v>43351</v>
      </c>
      <c t="s">
        <v>835</v>
      </c>
      <c r="AL150" t="s">
        <v>65980</v>
      </c>
      <c t="s">
        <v>63320</v>
      </c>
      <c t="s">
        <v>39289</v>
      </c>
      <c t="s">
        <v>64282</v>
      </c>
      <c t="s">
        <v>5652</v>
      </c>
      <c t="s">
        <v>3093</v>
      </c>
      <c t="s">
        <v>58215</v>
      </c>
    </row>
    <row>
      <c t="s">
        <v>17594</v>
      </c>
      <c t="s">
        <v>58747</v>
      </c>
      <c t="s">
        <v>37020</v>
      </c>
      <c t="s">
        <v>42344</v>
      </c>
      <c t="s">
        <v>24562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151" s="1" t="str">
        <f ca="1">HYPERLINK("https://web.datatree.com/?/property?propertyId=32007957", "https://web.datatree.com/?/property?propertyId=32007957")</f>
        <v>https://web.datatree.com/?/property?propertyId=32007957</v>
      </c>
      <c r="Q151" t="s">
        <v>316</v>
      </c>
      <c>
        <v>0.23</v>
      </c>
      <c t="s">
        <v>22490</v>
      </c>
      <c t="s">
        <v>33614</v>
      </c>
      <c t="s">
        <v>56203</v>
      </c>
      <c t="s">
        <v>25238</v>
      </c>
      <c t="s">
        <v>56203</v>
      </c>
      <c t="s">
        <v>22009</v>
      </c>
      <c t="s">
        <v>22731</v>
      </c>
      <c t="s">
        <v>2517</v>
      </c>
      <c t="s">
        <v>39289</v>
      </c>
      <c>
        <v>33909</v>
      </c>
      <c t="s">
        <v>31465</v>
      </c>
      <c t="s">
        <v>48794</v>
      </c>
      <c t="s">
        <v>265</v>
      </c>
      <c>
        <v>5597</v>
      </c>
      <c r="AI151" t="s">
        <v>58461</v>
      </c>
      <c t="s">
        <v>45620</v>
      </c>
      <c r="AL151" t="s">
        <v>41609</v>
      </c>
      <c r="AN151" t="s">
        <v>48152</v>
      </c>
      <c t="s">
        <v>6503</v>
      </c>
      <c t="s">
        <v>35643</v>
      </c>
      <c t="s">
        <v>3093</v>
      </c>
      <c t="s">
        <v>53459</v>
      </c>
    </row>
    <row>
      <c t="s">
        <v>17594</v>
      </c>
      <c t="s">
        <v>22494</v>
      </c>
      <c t="s">
        <v>39302</v>
      </c>
      <c t="s">
        <v>29721</v>
      </c>
      <c t="s">
        <v>8409</v>
      </c>
      <c s="3">
        <v>26832</v>
      </c>
      <c s="3">
        <v>26832</v>
      </c>
      <c s="3">
        <v>9599</v>
      </c>
      <c>
        <v>0</v>
      </c>
      <c s="3">
        <v>0</v>
      </c>
      <c s="3">
        <v>740.42</v>
      </c>
      <c s="3">
        <v>26832</v>
      </c>
      <c r="O152" s="1" t="str">
        <f ca="1">HYPERLINK("https://web.datatree.com/?/property?propertyId=32008210", "https://web.datatree.com/?/property?propertyId=32008210")</f>
        <v>https://web.datatree.com/?/property?propertyId=32008210</v>
      </c>
      <c r="Q152" t="s">
        <v>316</v>
      </c>
      <c>
        <v>0.376</v>
      </c>
      <c t="s">
        <v>28270</v>
      </c>
      <c t="s">
        <v>44541</v>
      </c>
      <c t="s">
        <v>26000</v>
      </c>
      <c r="X152" t="s">
        <v>8448</v>
      </c>
      <c t="s">
        <v>39082</v>
      </c>
      <c t="s">
        <v>2517</v>
      </c>
      <c t="s">
        <v>39289</v>
      </c>
      <c>
        <v>33909</v>
      </c>
      <c t="s">
        <v>11628</v>
      </c>
      <c t="s">
        <v>48794</v>
      </c>
      <c t="s">
        <v>65470</v>
      </c>
      <c>
        <v>170</v>
      </c>
      <c r="AI152" t="s">
        <v>22297</v>
      </c>
      <c t="s">
        <v>63235</v>
      </c>
      <c t="s">
        <v>25760</v>
      </c>
      <c t="s">
        <v>13397</v>
      </c>
      <c r="AN152" t="s">
        <v>50917</v>
      </c>
      <c t="s">
        <v>51070</v>
      </c>
      <c t="s">
        <v>60333</v>
      </c>
      <c t="s">
        <v>3093</v>
      </c>
      <c t="s">
        <v>15852</v>
      </c>
    </row>
    <row>
      <c t="s">
        <v>17594</v>
      </c>
      <c t="s">
        <v>26056</v>
      </c>
      <c t="s">
        <v>26024</v>
      </c>
      <c t="s">
        <v>25621</v>
      </c>
      <c t="s">
        <v>25773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153" s="1" t="str">
        <f ca="1">HYPERLINK("https://web.datatree.com/?/property?propertyId=32008529", "https://web.datatree.com/?/property?propertyId=32008529")</f>
        <v>https://web.datatree.com/?/property?propertyId=32008529</v>
      </c>
      <c r="Q153" t="s">
        <v>316</v>
      </c>
      <c>
        <v>0.23</v>
      </c>
      <c t="s">
        <v>6175</v>
      </c>
      <c r="U153" t="s">
        <v>9320</v>
      </c>
      <c t="s">
        <v>24692</v>
      </c>
      <c t="s">
        <v>19398</v>
      </c>
      <c t="s">
        <v>52568</v>
      </c>
      <c t="s">
        <v>18679</v>
      </c>
      <c t="s">
        <v>2517</v>
      </c>
      <c t="s">
        <v>39289</v>
      </c>
      <c>
        <v>33909</v>
      </c>
      <c t="s">
        <v>23339</v>
      </c>
      <c t="s">
        <v>48794</v>
      </c>
      <c t="s">
        <v>45482</v>
      </c>
      <c>
        <v>5024</v>
      </c>
      <c r="AI153" t="s">
        <v>9274</v>
      </c>
      <c t="s">
        <v>41372</v>
      </c>
      <c>
        <v>200</v>
      </c>
      <c t="s">
        <v>62109</v>
      </c>
      <c t="s">
        <v>62109</v>
      </c>
      <c t="s">
        <v>40451</v>
      </c>
      <c t="s">
        <v>7408</v>
      </c>
      <c t="s">
        <v>62845</v>
      </c>
      <c t="s">
        <v>3093</v>
      </c>
      <c t="s">
        <v>58613</v>
      </c>
    </row>
    <row>
      <c t="s">
        <v>17594</v>
      </c>
      <c t="s">
        <v>50004</v>
      </c>
      <c t="s">
        <v>3894</v>
      </c>
      <c t="s">
        <v>42008</v>
      </c>
      <c t="s">
        <v>49135</v>
      </c>
      <c s="3">
        <v>9210</v>
      </c>
      <c s="3">
        <v>9210</v>
      </c>
      <c s="3">
        <v>4972</v>
      </c>
      <c>
        <v>0</v>
      </c>
      <c s="3">
        <v>0</v>
      </c>
      <c s="3">
        <v>325.77</v>
      </c>
      <c s="3">
        <v>9210</v>
      </c>
      <c r="O154" s="1" t="str">
        <f ca="1">HYPERLINK("https://web.datatree.com/?/property?propertyId=32009979", "https://web.datatree.com/?/property?propertyId=32009979")</f>
        <v>https://web.datatree.com/?/property?propertyId=32009979</v>
      </c>
      <c r="Q154" t="s">
        <v>316</v>
      </c>
      <c>
        <v>0.314</v>
      </c>
      <c t="s">
        <v>5471</v>
      </c>
      <c t="s">
        <v>26023</v>
      </c>
      <c t="s">
        <v>43110</v>
      </c>
      <c r="X154" t="s">
        <v>39533</v>
      </c>
      <c t="s">
        <v>65695</v>
      </c>
      <c t="s">
        <v>65059</v>
      </c>
      <c t="s">
        <v>39289</v>
      </c>
      <c>
        <v>33905</v>
      </c>
      <c t="s">
        <v>27220</v>
      </c>
      <c t="s">
        <v>48794</v>
      </c>
      <c t="s">
        <v>10548</v>
      </c>
      <c>
        <v>22435</v>
      </c>
      <c r="AI154" t="s">
        <v>21250</v>
      </c>
      <c t="s">
        <v>835</v>
      </c>
      <c t="s">
        <v>5335</v>
      </c>
      <c t="s">
        <v>52434</v>
      </c>
      <c r="AN154" t="s">
        <v>39289</v>
      </c>
      <c t="s">
        <v>62998</v>
      </c>
      <c t="s">
        <v>40826</v>
      </c>
      <c t="s">
        <v>3093</v>
      </c>
      <c t="s">
        <v>44900</v>
      </c>
    </row>
    <row>
      <c t="s">
        <v>17594</v>
      </c>
      <c t="s">
        <v>61245</v>
      </c>
      <c t="s">
        <v>12179</v>
      </c>
      <c t="s">
        <v>5823</v>
      </c>
      <c t="s">
        <v>43065</v>
      </c>
      <c s="3">
        <v>23673</v>
      </c>
      <c s="3">
        <v>23673</v>
      </c>
      <c s="3">
        <v>9570</v>
      </c>
      <c>
        <v>0</v>
      </c>
      <c s="3">
        <v>0</v>
      </c>
      <c s="3">
        <v>625.56</v>
      </c>
      <c s="3">
        <v>23673</v>
      </c>
      <c r="O155" s="1" t="str">
        <f ca="1">HYPERLINK("https://web.datatree.com/?/property?propertyId=32010450", "https://web.datatree.com/?/property?propertyId=32010450")</f>
        <v>https://web.datatree.com/?/property?propertyId=32010450</v>
      </c>
      <c r="Q155" t="s">
        <v>316</v>
      </c>
      <c>
        <v>0.257</v>
      </c>
      <c t="s">
        <v>45031</v>
      </c>
      <c t="s">
        <v>61494</v>
      </c>
      <c t="s">
        <v>38052</v>
      </c>
      <c r="X155" t="s">
        <v>44081</v>
      </c>
      <c t="s">
        <v>22731</v>
      </c>
      <c t="s">
        <v>2517</v>
      </c>
      <c t="s">
        <v>39289</v>
      </c>
      <c>
        <v>33909</v>
      </c>
      <c t="s">
        <v>28155</v>
      </c>
      <c t="s">
        <v>48794</v>
      </c>
      <c t="s">
        <v>28929</v>
      </c>
      <c>
        <v>3940</v>
      </c>
      <c r="AI155" t="s">
        <v>55906</v>
      </c>
      <c t="s">
        <v>41372</v>
      </c>
      <c r="AL155" t="s">
        <v>28184</v>
      </c>
      <c r="AN155" t="s">
        <v>32576</v>
      </c>
      <c t="s">
        <v>66785</v>
      </c>
      <c t="s">
        <v>6081</v>
      </c>
      <c t="s">
        <v>3093</v>
      </c>
      <c t="s">
        <v>49840</v>
      </c>
    </row>
    <row>
      <c t="s">
        <v>17594</v>
      </c>
      <c t="s">
        <v>60795</v>
      </c>
      <c t="s">
        <v>64356</v>
      </c>
      <c t="s">
        <v>64752</v>
      </c>
      <c t="s">
        <v>36323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56" s="1" t="str">
        <f ca="1">HYPERLINK("https://web.datatree.com/?/property?propertyId=32010654", "https://web.datatree.com/?/property?propertyId=32010654")</f>
        <v>https://web.datatree.com/?/property?propertyId=32010654</v>
      </c>
      <c r="Q156" t="s">
        <v>316</v>
      </c>
      <c>
        <v>0.23</v>
      </c>
      <c t="s">
        <v>6175</v>
      </c>
      <c t="s">
        <v>2597</v>
      </c>
      <c t="s">
        <v>2953</v>
      </c>
      <c t="s">
        <v>58113</v>
      </c>
      <c t="s">
        <v>2953</v>
      </c>
      <c t="s">
        <v>39884</v>
      </c>
      <c t="s">
        <v>64331</v>
      </c>
      <c t="s">
        <v>2517</v>
      </c>
      <c t="s">
        <v>39289</v>
      </c>
      <c>
        <v>33909</v>
      </c>
      <c t="s">
        <v>39060</v>
      </c>
      <c t="s">
        <v>48794</v>
      </c>
      <c t="s">
        <v>56616</v>
      </c>
      <c>
        <v>5647</v>
      </c>
      <c r="AI156" t="s">
        <v>9748</v>
      </c>
      <c t="s">
        <v>45393</v>
      </c>
      <c r="AL156" t="s">
        <v>23828</v>
      </c>
      <c r="AN156" t="s">
        <v>39289</v>
      </c>
      <c t="s">
        <v>60808</v>
      </c>
      <c t="s">
        <v>3364</v>
      </c>
      <c t="s">
        <v>3093</v>
      </c>
      <c t="s">
        <v>64354</v>
      </c>
    </row>
    <row>
      <c t="s">
        <v>17594</v>
      </c>
      <c t="s">
        <v>52766</v>
      </c>
      <c t="s">
        <v>26611</v>
      </c>
      <c t="s">
        <v>47539</v>
      </c>
      <c t="s">
        <v>38020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>
        <v>2021</v>
      </c>
      <c>
        <v>591.97</v>
      </c>
      <c s="1" t="str">
        <f ca="1">HYPERLINK("https://web.datatree.com/?/property?propertyId=32010659", "https://web.datatree.com/?/property?propertyId=32010659")</f>
        <v>https://web.datatree.com/?/property?propertyId=32010659</v>
      </c>
      <c r="Q157" t="s">
        <v>316</v>
      </c>
      <c>
        <v>0.23</v>
      </c>
      <c t="s">
        <v>22490</v>
      </c>
      <c t="s">
        <v>60638</v>
      </c>
      <c t="s">
        <v>59777</v>
      </c>
      <c r="X157" t="s">
        <v>2634</v>
      </c>
      <c t="s">
        <v>49122</v>
      </c>
      <c t="s">
        <v>2517</v>
      </c>
      <c t="s">
        <v>39289</v>
      </c>
      <c>
        <v>33909</v>
      </c>
      <c>
        <v>33909</v>
      </c>
      <c t="s">
        <v>48794</v>
      </c>
      <c t="s">
        <v>17011</v>
      </c>
      <c>
        <v>2937</v>
      </c>
      <c r="AI157" t="s">
        <v>5115</v>
      </c>
      <c t="s">
        <v>45393</v>
      </c>
      <c r="AL157" t="s">
        <v>55393</v>
      </c>
      <c r="AN157" t="s">
        <v>39289</v>
      </c>
      <c t="s">
        <v>43818</v>
      </c>
      <c t="s">
        <v>39331</v>
      </c>
      <c t="s">
        <v>3093</v>
      </c>
      <c t="s">
        <v>11275</v>
      </c>
    </row>
    <row>
      <c t="s">
        <v>17594</v>
      </c>
      <c t="s">
        <v>57081</v>
      </c>
      <c t="s">
        <v>66110</v>
      </c>
      <c t="s">
        <v>56065</v>
      </c>
      <c t="s">
        <v>30669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158" s="1" t="str">
        <f ca="1">HYPERLINK("https://web.datatree.com/?/property?propertyId=32010797", "https://web.datatree.com/?/property?propertyId=32010797")</f>
        <v>https://web.datatree.com/?/property?propertyId=32010797</v>
      </c>
      <c r="Q158" t="s">
        <v>316</v>
      </c>
      <c>
        <v>0.23</v>
      </c>
      <c t="s">
        <v>22490</v>
      </c>
      <c t="s">
        <v>16753</v>
      </c>
      <c t="s">
        <v>45794</v>
      </c>
      <c r="X158" t="s">
        <v>5191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61817</v>
      </c>
      <c>
        <v>855</v>
      </c>
      <c r="AI158" t="s">
        <v>18408</v>
      </c>
      <c t="s">
        <v>835</v>
      </c>
      <c r="AL158" t="s">
        <v>49111</v>
      </c>
      <c r="AN158" t="s">
        <v>66651</v>
      </c>
      <c t="s">
        <v>62923</v>
      </c>
      <c t="s">
        <v>10634</v>
      </c>
      <c t="s">
        <v>3093</v>
      </c>
      <c t="s">
        <v>13547</v>
      </c>
    </row>
    <row>
      <c t="s">
        <v>17594</v>
      </c>
      <c t="s">
        <v>15819</v>
      </c>
      <c t="s">
        <v>36857</v>
      </c>
      <c t="s">
        <v>33717</v>
      </c>
      <c t="s">
        <v>43314</v>
      </c>
      <c s="3">
        <v>538560</v>
      </c>
      <c s="3">
        <v>538560</v>
      </c>
      <c s="3">
        <v>484000</v>
      </c>
      <c>
        <v>0</v>
      </c>
      <c s="3">
        <v>0</v>
      </c>
      <c s="3">
        <v>7428.54</v>
      </c>
      <c s="3">
        <v>538560</v>
      </c>
      <c r="O159" s="1" t="str">
        <f ca="1">HYPERLINK("https://web.datatree.com/?/property?propertyId=32010893", "https://web.datatree.com/?/property?propertyId=32010893")</f>
        <v>https://web.datatree.com/?/property?propertyId=32010893</v>
      </c>
      <c r="Q159" t="s">
        <v>316</v>
      </c>
      <c>
        <v>0.616</v>
      </c>
      <c t="s">
        <v>5471</v>
      </c>
      <c t="s">
        <v>27386</v>
      </c>
      <c t="s">
        <v>44321</v>
      </c>
      <c t="s">
        <v>47715</v>
      </c>
      <c t="s">
        <v>44321</v>
      </c>
      <c t="s">
        <v>14990</v>
      </c>
      <c t="s">
        <v>21000</v>
      </c>
      <c t="s">
        <v>54524</v>
      </c>
      <c t="s">
        <v>39289</v>
      </c>
      <c>
        <v>33903</v>
      </c>
      <c t="s">
        <v>56963</v>
      </c>
      <c t="s">
        <v>48794</v>
      </c>
      <c t="s">
        <v>61044</v>
      </c>
      <c>
        <v>17775</v>
      </c>
      <c r="AI159" t="s">
        <v>2771</v>
      </c>
      <c t="s">
        <v>4985</v>
      </c>
      <c>
        <v>106</v>
      </c>
      <c t="s">
        <v>36852</v>
      </c>
      <c t="s">
        <v>36852</v>
      </c>
      <c t="s">
        <v>4477</v>
      </c>
      <c t="s">
        <v>63413</v>
      </c>
      <c t="s">
        <v>37948</v>
      </c>
      <c t="s">
        <v>3093</v>
      </c>
      <c t="s">
        <v>30999</v>
      </c>
    </row>
    <row>
      <c t="s">
        <v>17594</v>
      </c>
      <c t="s">
        <v>4924</v>
      </c>
      <c t="s">
        <v>31438</v>
      </c>
      <c t="s">
        <v>38679</v>
      </c>
      <c t="s">
        <v>65103</v>
      </c>
      <c s="3">
        <v>22231</v>
      </c>
      <c s="3">
        <v>22231</v>
      </c>
      <c s="3">
        <v>7454</v>
      </c>
      <c>
        <v>0</v>
      </c>
      <c s="3">
        <v>0</v>
      </c>
      <c s="3">
        <v>393.21</v>
      </c>
      <c s="3">
        <v>22231</v>
      </c>
      <c r="O160" s="1" t="str">
        <f ca="1">HYPERLINK("https://web.datatree.com/?/property?propertyId=32010995", "https://web.datatree.com/?/property?propertyId=32010995")</f>
        <v>https://web.datatree.com/?/property?propertyId=32010995</v>
      </c>
      <c r="Q160" t="s">
        <v>316</v>
      </c>
      <c>
        <v>0.404</v>
      </c>
      <c t="s">
        <v>37489</v>
      </c>
      <c t="s">
        <v>17420</v>
      </c>
      <c t="s">
        <v>55219</v>
      </c>
      <c r="X160" t="s">
        <v>43971</v>
      </c>
      <c t="s">
        <v>18019</v>
      </c>
      <c t="s">
        <v>65059</v>
      </c>
      <c t="s">
        <v>39289</v>
      </c>
      <c>
        <v>33905</v>
      </c>
      <c>
        <v>33905</v>
      </c>
      <c t="s">
        <v>48794</v>
      </c>
      <c t="s">
        <v>18291</v>
      </c>
      <c r="AI160" t="s">
        <v>14329</v>
      </c>
      <c r="AL160" t="s">
        <v>48146</v>
      </c>
      <c t="s">
        <v>40227</v>
      </c>
      <c t="s">
        <v>32840</v>
      </c>
      <c r="AR160" t="s">
        <v>19162</v>
      </c>
    </row>
    <row>
      <c t="s">
        <v>17594</v>
      </c>
      <c t="s">
        <v>12685</v>
      </c>
      <c t="s">
        <v>25613</v>
      </c>
      <c t="s">
        <v>49832</v>
      </c>
      <c t="s">
        <v>51474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582.14</v>
      </c>
      <c s="1" t="str">
        <f ca="1">HYPERLINK("https://web.datatree.com/?/property?propertyId=32011013", "https://web.datatree.com/?/property?propertyId=32011013")</f>
        <v>https://web.datatree.com/?/property?propertyId=32011013</v>
      </c>
      <c r="Q161" t="s">
        <v>316</v>
      </c>
      <c>
        <v>0.23</v>
      </c>
      <c t="s">
        <v>6175</v>
      </c>
      <c t="s">
        <v>61517</v>
      </c>
      <c t="s">
        <v>57547</v>
      </c>
      <c t="s">
        <v>42532</v>
      </c>
      <c t="s">
        <v>57547</v>
      </c>
      <c t="s">
        <v>14362</v>
      </c>
      <c t="s">
        <v>2626</v>
      </c>
      <c t="s">
        <v>2517</v>
      </c>
      <c t="s">
        <v>39289</v>
      </c>
      <c>
        <v>33909</v>
      </c>
      <c t="s">
        <v>48080</v>
      </c>
      <c t="s">
        <v>48794</v>
      </c>
      <c t="s">
        <v>64399</v>
      </c>
      <c>
        <v>5644</v>
      </c>
      <c r="AI161" t="s">
        <v>43390</v>
      </c>
      <c t="s">
        <v>55842</v>
      </c>
      <c r="AL161" t="s">
        <v>17856</v>
      </c>
      <c r="AN161" t="s">
        <v>50829</v>
      </c>
      <c t="s">
        <v>43933</v>
      </c>
      <c t="s">
        <v>22302</v>
      </c>
      <c t="s">
        <v>3093</v>
      </c>
      <c t="s">
        <v>5659</v>
      </c>
    </row>
    <row>
      <c t="s">
        <v>17594</v>
      </c>
      <c t="s">
        <v>25672</v>
      </c>
      <c t="s">
        <v>7329</v>
      </c>
      <c t="s">
        <v>63908</v>
      </c>
      <c t="s">
        <v>15297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162" s="1" t="str">
        <f ca="1">HYPERLINK("https://web.datatree.com/?/property?propertyId=32011161", "https://web.datatree.com/?/property?propertyId=32011161")</f>
        <v>https://web.datatree.com/?/property?propertyId=32011161</v>
      </c>
      <c r="Q162" t="s">
        <v>316</v>
      </c>
      <c>
        <v>0.241</v>
      </c>
      <c t="s">
        <v>6175</v>
      </c>
      <c t="s">
        <v>32793</v>
      </c>
      <c t="s">
        <v>60947</v>
      </c>
      <c r="X162" t="s">
        <v>7656</v>
      </c>
      <c t="s">
        <v>50440</v>
      </c>
      <c t="s">
        <v>2517</v>
      </c>
      <c t="s">
        <v>39289</v>
      </c>
      <c>
        <v>33909</v>
      </c>
      <c t="s">
        <v>18259</v>
      </c>
      <c t="s">
        <v>48794</v>
      </c>
      <c t="s">
        <v>25034</v>
      </c>
      <c t="s">
        <v>14790</v>
      </c>
      <c r="AI162" t="s">
        <v>53663</v>
      </c>
      <c t="s">
        <v>45393</v>
      </c>
      <c r="AL162" t="s">
        <v>42655</v>
      </c>
      <c r="AN162" t="s">
        <v>19878</v>
      </c>
      <c t="s">
        <v>20518</v>
      </c>
      <c t="s">
        <v>55071</v>
      </c>
      <c t="s">
        <v>3093</v>
      </c>
      <c t="s">
        <v>7093</v>
      </c>
    </row>
    <row>
      <c t="s">
        <v>17594</v>
      </c>
      <c t="s">
        <v>24347</v>
      </c>
      <c t="s">
        <v>9020</v>
      </c>
      <c t="s">
        <v>23181</v>
      </c>
      <c t="s">
        <v>53461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>
        <v>2020</v>
      </c>
      <c>
        <v>1700.76</v>
      </c>
      <c s="1" t="str">
        <f ca="1">HYPERLINK("https://web.datatree.com/?/property?propertyId=32012115", "https://web.datatree.com/?/property?propertyId=32012115")</f>
        <v>https://web.datatree.com/?/property?propertyId=32012115</v>
      </c>
      <c r="Q163" t="s">
        <v>316</v>
      </c>
      <c>
        <v>0.23</v>
      </c>
      <c t="s">
        <v>6175</v>
      </c>
      <c t="s">
        <v>58276</v>
      </c>
      <c t="s">
        <v>13181</v>
      </c>
      <c r="X163" t="s">
        <v>28859</v>
      </c>
      <c t="s">
        <v>47150</v>
      </c>
      <c t="s">
        <v>2517</v>
      </c>
      <c t="s">
        <v>39289</v>
      </c>
      <c>
        <v>33909</v>
      </c>
      <c t="s">
        <v>1040</v>
      </c>
      <c t="s">
        <v>48794</v>
      </c>
      <c t="s">
        <v>61603</v>
      </c>
      <c>
        <v>10337</v>
      </c>
      <c r="AI163" t="s">
        <v>61865</v>
      </c>
      <c t="s">
        <v>45393</v>
      </c>
      <c r="AL163" t="s">
        <v>55393</v>
      </c>
      <c r="AN163" t="s">
        <v>39289</v>
      </c>
      <c t="s">
        <v>3878</v>
      </c>
      <c t="s">
        <v>23611</v>
      </c>
      <c t="s">
        <v>3093</v>
      </c>
      <c t="s">
        <v>22525</v>
      </c>
    </row>
    <row>
      <c t="s">
        <v>17594</v>
      </c>
      <c t="s">
        <v>25271</v>
      </c>
      <c t="s">
        <v>17558</v>
      </c>
      <c t="s">
        <v>10595</v>
      </c>
      <c t="s">
        <v>34553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164" s="1" t="str">
        <f ca="1">HYPERLINK("https://web.datatree.com/?/property?propertyId=32012212", "https://web.datatree.com/?/property?propertyId=32012212")</f>
        <v>https://web.datatree.com/?/property?propertyId=32012212</v>
      </c>
      <c r="Q164" t="s">
        <v>316</v>
      </c>
      <c>
        <v>0.23</v>
      </c>
      <c t="s">
        <v>6175</v>
      </c>
      <c t="s">
        <v>10361</v>
      </c>
      <c t="s">
        <v>19650</v>
      </c>
      <c r="X164" t="s">
        <v>55098</v>
      </c>
      <c t="s">
        <v>25017</v>
      </c>
      <c t="s">
        <v>2517</v>
      </c>
      <c t="s">
        <v>39289</v>
      </c>
      <c>
        <v>33909</v>
      </c>
      <c t="s">
        <v>13481</v>
      </c>
      <c t="s">
        <v>48794</v>
      </c>
      <c t="s">
        <v>10120</v>
      </c>
      <c>
        <v>270</v>
      </c>
      <c r="AI164" t="s">
        <v>4408</v>
      </c>
      <c t="s">
        <v>45620</v>
      </c>
      <c r="AL164" t="s">
        <v>66317</v>
      </c>
      <c r="AN164" t="s">
        <v>50917</v>
      </c>
      <c t="s">
        <v>57087</v>
      </c>
      <c t="s">
        <v>25140</v>
      </c>
      <c t="s">
        <v>3093</v>
      </c>
      <c t="s">
        <v>35865</v>
      </c>
    </row>
    <row>
      <c t="s">
        <v>17594</v>
      </c>
      <c t="s">
        <v>10783</v>
      </c>
      <c t="s">
        <v>28637</v>
      </c>
      <c t="s">
        <v>952</v>
      </c>
      <c t="s">
        <v>30626</v>
      </c>
      <c s="3">
        <v>67000</v>
      </c>
      <c s="3">
        <v>67000</v>
      </c>
      <c s="3">
        <v>67000</v>
      </c>
      <c>
        <v>0</v>
      </c>
      <c s="3">
        <v>0</v>
      </c>
      <c s="3">
        <v>914.66</v>
      </c>
      <c s="3">
        <v>67000</v>
      </c>
      <c>
        <v>2021</v>
      </c>
      <c>
        <v>920.63</v>
      </c>
      <c s="1" t="str">
        <f ca="1">HYPERLINK("https://web.datatree.com/?/property?propertyId=32012688", "https://web.datatree.com/?/property?propertyId=32012688")</f>
        <v>https://web.datatree.com/?/property?propertyId=32012688</v>
      </c>
      <c r="Q165" t="s">
        <v>316</v>
      </c>
      <c>
        <v>0.181</v>
      </c>
      <c t="s">
        <v>5471</v>
      </c>
      <c t="s">
        <v>36941</v>
      </c>
      <c t="s">
        <v>9825</v>
      </c>
      <c t="s">
        <v>26502</v>
      </c>
      <c t="s">
        <v>9825</v>
      </c>
      <c t="s">
        <v>476</v>
      </c>
      <c t="s">
        <v>48352</v>
      </c>
      <c t="s">
        <v>65059</v>
      </c>
      <c t="s">
        <v>39289</v>
      </c>
      <c>
        <v>33905</v>
      </c>
      <c t="s">
        <v>5853</v>
      </c>
      <c t="s">
        <v>48794</v>
      </c>
      <c t="s">
        <v>63871</v>
      </c>
      <c>
        <v>22</v>
      </c>
      <c r="AI165" t="s">
        <v>20838</v>
      </c>
      <c t="s">
        <v>24900</v>
      </c>
      <c r="AL165" t="s">
        <v>19114</v>
      </c>
      <c t="s">
        <v>19114</v>
      </c>
      <c t="s">
        <v>26016</v>
      </c>
      <c t="s">
        <v>66044</v>
      </c>
      <c t="s">
        <v>636</v>
      </c>
      <c t="s">
        <v>3093</v>
      </c>
      <c t="s">
        <v>2516</v>
      </c>
    </row>
    <row>
      <c t="s">
        <v>17594</v>
      </c>
      <c t="s">
        <v>53038</v>
      </c>
      <c t="s">
        <v>11402</v>
      </c>
      <c t="s">
        <v>41993</v>
      </c>
      <c t="s">
        <v>25056</v>
      </c>
      <c s="3">
        <v>22891</v>
      </c>
      <c s="3">
        <v>22891</v>
      </c>
      <c s="3">
        <v>9570</v>
      </c>
      <c>
        <v>0</v>
      </c>
      <c s="3">
        <v>0</v>
      </c>
      <c s="3">
        <v>603.98</v>
      </c>
      <c s="3">
        <v>22891</v>
      </c>
      <c r="O166" s="1" t="str">
        <f ca="1">HYPERLINK("https://web.datatree.com/?/property?propertyId=32012825", "https://web.datatree.com/?/property?propertyId=32012825")</f>
        <v>https://web.datatree.com/?/property?propertyId=32012825</v>
      </c>
      <c r="Q166" t="s">
        <v>316</v>
      </c>
      <c>
        <v>0.231</v>
      </c>
      <c t="s">
        <v>22490</v>
      </c>
      <c t="s">
        <v>50992</v>
      </c>
      <c t="s">
        <v>60805</v>
      </c>
      <c r="X166" t="s">
        <v>1503</v>
      </c>
      <c t="s">
        <v>41506</v>
      </c>
      <c t="s">
        <v>2517</v>
      </c>
      <c t="s">
        <v>39289</v>
      </c>
      <c>
        <v>33909</v>
      </c>
      <c t="s">
        <v>66034</v>
      </c>
      <c t="s">
        <v>48794</v>
      </c>
      <c t="s">
        <v>17636</v>
      </c>
      <c>
        <v>914</v>
      </c>
      <c r="AI166" t="s">
        <v>31044</v>
      </c>
      <c t="s">
        <v>55842</v>
      </c>
      <c r="AL166" t="s">
        <v>39334</v>
      </c>
      <c t="s">
        <v>54714</v>
      </c>
      <c t="s">
        <v>50917</v>
      </c>
      <c t="s">
        <v>16601</v>
      </c>
      <c t="s">
        <v>25140</v>
      </c>
      <c t="s">
        <v>3093</v>
      </c>
      <c t="s">
        <v>18241</v>
      </c>
    </row>
    <row>
      <c t="s">
        <v>17594</v>
      </c>
      <c t="s">
        <v>21122</v>
      </c>
      <c t="s">
        <v>49387</v>
      </c>
      <c t="s">
        <v>58303</v>
      </c>
      <c t="s">
        <v>59593</v>
      </c>
      <c s="3">
        <v>14982</v>
      </c>
      <c s="3">
        <v>14982</v>
      </c>
      <c s="3">
        <v>5840</v>
      </c>
      <c>
        <v>0</v>
      </c>
      <c s="3">
        <v>0</v>
      </c>
      <c s="3">
        <v>340.96</v>
      </c>
      <c s="3">
        <v>14982</v>
      </c>
      <c r="O167" s="1" t="str">
        <f ca="1">HYPERLINK("https://web.datatree.com/?/property?propertyId=32013000", "https://web.datatree.com/?/property?propertyId=32013000")</f>
        <v>https://web.datatree.com/?/property?propertyId=32013000</v>
      </c>
      <c r="Q167" t="s">
        <v>316</v>
      </c>
      <c>
        <v>0.283</v>
      </c>
      <c t="s">
        <v>5471</v>
      </c>
      <c t="s">
        <v>15209</v>
      </c>
      <c t="s">
        <v>63974</v>
      </c>
      <c t="s">
        <v>35663</v>
      </c>
      <c t="s">
        <v>63974</v>
      </c>
      <c t="s">
        <v>34109</v>
      </c>
      <c t="s">
        <v>51919</v>
      </c>
      <c t="s">
        <v>65059</v>
      </c>
      <c t="s">
        <v>39289</v>
      </c>
      <c>
        <v>33905</v>
      </c>
      <c>
        <v>33905</v>
      </c>
      <c t="s">
        <v>48794</v>
      </c>
      <c t="s">
        <v>31013</v>
      </c>
      <c>
        <v>525</v>
      </c>
      <c r="AI167" t="s">
        <v>47912</v>
      </c>
      <c t="s">
        <v>31192</v>
      </c>
      <c r="AL167" t="s">
        <v>23695</v>
      </c>
      <c t="s">
        <v>40227</v>
      </c>
      <c t="s">
        <v>39289</v>
      </c>
      <c t="s">
        <v>19950</v>
      </c>
      <c t="s">
        <v>19978</v>
      </c>
      <c t="s">
        <v>3093</v>
      </c>
      <c t="s">
        <v>20990</v>
      </c>
    </row>
    <row>
      <c t="s">
        <v>17594</v>
      </c>
      <c t="s">
        <v>33</v>
      </c>
      <c t="s">
        <v>62128</v>
      </c>
      <c t="s">
        <v>18939</v>
      </c>
      <c t="s">
        <v>53026</v>
      </c>
      <c s="3">
        <v>18246</v>
      </c>
      <c s="3">
        <v>18246</v>
      </c>
      <c s="3">
        <v>8910</v>
      </c>
      <c>
        <v>0</v>
      </c>
      <c s="3">
        <v>0</v>
      </c>
      <c s="3">
        <v>583.82</v>
      </c>
      <c s="3">
        <v>18246</v>
      </c>
      <c r="O168" s="1" t="str">
        <f ca="1">HYPERLINK("https://web.datatree.com/?/property?propertyId=32013010", "https://web.datatree.com/?/property?propertyId=32013010")</f>
        <v>https://web.datatree.com/?/property?propertyId=32013010</v>
      </c>
      <c r="Q168" t="s">
        <v>316</v>
      </c>
      <c>
        <v>0.255</v>
      </c>
      <c t="s">
        <v>6175</v>
      </c>
      <c t="s">
        <v>21772</v>
      </c>
      <c t="s">
        <v>9614</v>
      </c>
      <c t="s">
        <v>34153</v>
      </c>
      <c t="s">
        <v>9614</v>
      </c>
      <c t="s">
        <v>25145</v>
      </c>
      <c t="s">
        <v>49122</v>
      </c>
      <c t="s">
        <v>2517</v>
      </c>
      <c t="s">
        <v>39289</v>
      </c>
      <c>
        <v>33909</v>
      </c>
      <c t="s">
        <v>62611</v>
      </c>
      <c t="s">
        <v>48794</v>
      </c>
      <c t="s">
        <v>31700</v>
      </c>
      <c>
        <v>4864</v>
      </c>
      <c r="AI168" t="s">
        <v>32873</v>
      </c>
      <c t="s">
        <v>835</v>
      </c>
      <c r="AL168" t="s">
        <v>46187</v>
      </c>
      <c t="s">
        <v>21376</v>
      </c>
      <c t="s">
        <v>65451</v>
      </c>
      <c t="s">
        <v>2366</v>
      </c>
      <c t="s">
        <v>3228</v>
      </c>
      <c t="s">
        <v>3093</v>
      </c>
      <c t="s">
        <v>4658</v>
      </c>
    </row>
    <row>
      <c t="s">
        <v>17594</v>
      </c>
      <c t="s">
        <v>58734</v>
      </c>
      <c t="s">
        <v>13156</v>
      </c>
      <c t="s">
        <v>20387</v>
      </c>
      <c t="s">
        <v>32708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>
        <v>2021</v>
      </c>
      <c>
        <v>584.1</v>
      </c>
      <c s="1" t="str">
        <f ca="1">HYPERLINK("https://web.datatree.com/?/property?propertyId=32013047", "https://web.datatree.com/?/property?propertyId=32013047")</f>
        <v>https://web.datatree.com/?/property?propertyId=32013047</v>
      </c>
      <c r="Q169" t="s">
        <v>316</v>
      </c>
      <c>
        <v>0.23</v>
      </c>
      <c t="s">
        <v>6175</v>
      </c>
      <c t="s">
        <v>51166</v>
      </c>
      <c t="s">
        <v>20216</v>
      </c>
      <c t="s">
        <v>6753</v>
      </c>
      <c t="s">
        <v>20216</v>
      </c>
      <c t="s">
        <v>59002</v>
      </c>
      <c t="s">
        <v>22731</v>
      </c>
      <c t="s">
        <v>2517</v>
      </c>
      <c t="s">
        <v>39289</v>
      </c>
      <c>
        <v>33909</v>
      </c>
      <c t="s">
        <v>28652</v>
      </c>
      <c t="s">
        <v>48794</v>
      </c>
      <c t="s">
        <v>28489</v>
      </c>
      <c>
        <v>9618</v>
      </c>
      <c r="AI169" t="s">
        <v>61850</v>
      </c>
      <c t="s">
        <v>40123</v>
      </c>
      <c r="AL169" t="s">
        <v>25857</v>
      </c>
      <c r="AN169" t="s">
        <v>39289</v>
      </c>
      <c t="s">
        <v>27141</v>
      </c>
      <c t="s">
        <v>44843</v>
      </c>
      <c t="s">
        <v>3093</v>
      </c>
      <c t="s">
        <v>14043</v>
      </c>
    </row>
    <row>
      <c t="s">
        <v>17594</v>
      </c>
      <c t="s">
        <v>44145</v>
      </c>
      <c t="s">
        <v>43265</v>
      </c>
      <c t="s">
        <v>50638</v>
      </c>
      <c t="s">
        <v>477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527.13</v>
      </c>
      <c s="1" t="str">
        <f ca="1">HYPERLINK("https://web.datatree.com/?/property?propertyId=32013120", "https://web.datatree.com/?/property?propertyId=32013120")</f>
        <v>https://web.datatree.com/?/property?propertyId=32013120</v>
      </c>
      <c r="Q170" t="s">
        <v>316</v>
      </c>
      <c>
        <v>0.23</v>
      </c>
      <c t="s">
        <v>6175</v>
      </c>
      <c t="s">
        <v>48755</v>
      </c>
      <c t="s">
        <v>51964</v>
      </c>
      <c t="s">
        <v>43826</v>
      </c>
      <c t="s">
        <v>51964</v>
      </c>
      <c t="s">
        <v>50576</v>
      </c>
      <c t="s">
        <v>64331</v>
      </c>
      <c t="s">
        <v>2517</v>
      </c>
      <c t="s">
        <v>39289</v>
      </c>
      <c>
        <v>33909</v>
      </c>
      <c t="s">
        <v>54772</v>
      </c>
      <c t="s">
        <v>48794</v>
      </c>
      <c t="s">
        <v>23607</v>
      </c>
      <c>
        <v>14</v>
      </c>
      <c r="AI170" t="s">
        <v>14661</v>
      </c>
      <c r="AL170" t="s">
        <v>62922</v>
      </c>
      <c r="AN170" t="s">
        <v>65451</v>
      </c>
      <c t="s">
        <v>56834</v>
      </c>
      <c t="s">
        <v>39073</v>
      </c>
      <c t="s">
        <v>3093</v>
      </c>
      <c t="s">
        <v>1466</v>
      </c>
    </row>
    <row>
      <c t="s">
        <v>17594</v>
      </c>
      <c t="s">
        <v>19921</v>
      </c>
      <c t="s">
        <v>15724</v>
      </c>
      <c t="s">
        <v>35561</v>
      </c>
      <c t="s">
        <v>25411</v>
      </c>
      <c s="3">
        <v>29403</v>
      </c>
      <c s="3">
        <v>29403</v>
      </c>
      <c s="3">
        <v>9079</v>
      </c>
      <c>
        <v>0</v>
      </c>
      <c s="3">
        <v>0</v>
      </c>
      <c s="3">
        <v>1639.06</v>
      </c>
      <c s="3">
        <v>29403</v>
      </c>
      <c r="O171" s="1" t="str">
        <f ca="1">HYPERLINK("https://web.datatree.com/?/property?propertyId=32013351", "https://web.datatree.com/?/property?propertyId=32013351")</f>
        <v>https://web.datatree.com/?/property?propertyId=32013351</v>
      </c>
      <c r="Q171" t="s">
        <v>316</v>
      </c>
      <c>
        <v>0.248</v>
      </c>
      <c t="s">
        <v>6175</v>
      </c>
      <c t="s">
        <v>61844</v>
      </c>
      <c t="s">
        <v>29481</v>
      </c>
      <c r="X171" t="s">
        <v>31501</v>
      </c>
      <c t="s">
        <v>13478</v>
      </c>
      <c t="s">
        <v>2517</v>
      </c>
      <c t="s">
        <v>39289</v>
      </c>
      <c>
        <v>33909</v>
      </c>
      <c t="s">
        <v>38945</v>
      </c>
      <c t="s">
        <v>48794</v>
      </c>
      <c t="s">
        <v>47309</v>
      </c>
      <c>
        <v>2062</v>
      </c>
      <c r="AI171" t="s">
        <v>14534</v>
      </c>
      <c t="s">
        <v>45393</v>
      </c>
      <c r="AL171" t="s">
        <v>8109</v>
      </c>
      <c r="AN171" t="s">
        <v>50917</v>
      </c>
      <c t="s">
        <v>21043</v>
      </c>
      <c t="s">
        <v>53800</v>
      </c>
      <c t="s">
        <v>3093</v>
      </c>
      <c t="s">
        <v>50210</v>
      </c>
    </row>
    <row>
      <c t="s">
        <v>17594</v>
      </c>
      <c t="s">
        <v>43926</v>
      </c>
      <c t="s">
        <v>9228</v>
      </c>
      <c t="s">
        <v>34284</v>
      </c>
      <c t="s">
        <v>32933</v>
      </c>
      <c s="3">
        <v>74599</v>
      </c>
      <c s="3">
        <v>67250</v>
      </c>
      <c s="3">
        <v>71053</v>
      </c>
      <c>
        <v>0</v>
      </c>
      <c s="3">
        <v>0</v>
      </c>
      <c s="3">
        <v>1088.37</v>
      </c>
      <c s="3">
        <v>74599</v>
      </c>
      <c r="O172" s="1" t="str">
        <f ca="1">HYPERLINK("https://web.datatree.com/?/property?propertyId=32013377", "https://web.datatree.com/?/property?propertyId=32013377")</f>
        <v>https://web.datatree.com/?/property?propertyId=32013377</v>
      </c>
      <c r="Q172" t="s">
        <v>316</v>
      </c>
      <c>
        <v>0.096</v>
      </c>
      <c t="s">
        <v>26492</v>
      </c>
      <c t="s">
        <v>35571</v>
      </c>
      <c t="s">
        <v>6510</v>
      </c>
      <c t="s">
        <v>5831</v>
      </c>
      <c t="s">
        <v>6510</v>
      </c>
      <c t="s">
        <v>59354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2129</v>
      </c>
      <c>
        <v>31</v>
      </c>
      <c r="AI172" t="s">
        <v>15798</v>
      </c>
      <c t="s">
        <v>45393</v>
      </c>
      <c r="AL172" t="s">
        <v>57516</v>
      </c>
      <c t="s">
        <v>40227</v>
      </c>
      <c t="s">
        <v>10909</v>
      </c>
      <c t="s">
        <v>31491</v>
      </c>
      <c r="AQ172" t="s">
        <v>27814</v>
      </c>
      <c t="s">
        <v>24722</v>
      </c>
    </row>
    <row>
      <c t="s">
        <v>17594</v>
      </c>
      <c t="s">
        <v>58075</v>
      </c>
      <c t="s">
        <v>3566</v>
      </c>
      <c t="s">
        <v>12449</v>
      </c>
      <c t="s">
        <v>3004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173" s="1" t="str">
        <f ca="1">HYPERLINK("https://web.datatree.com/?/property?propertyId=32013668", "https://web.datatree.com/?/property?propertyId=32013668")</f>
        <v>https://web.datatree.com/?/property?propertyId=32013668</v>
      </c>
      <c r="Q173" t="s">
        <v>316</v>
      </c>
      <c>
        <v>0.23</v>
      </c>
      <c t="s">
        <v>16350</v>
      </c>
      <c t="s">
        <v>1800</v>
      </c>
      <c t="s">
        <v>5519</v>
      </c>
      <c r="X173" t="s">
        <v>3896</v>
      </c>
      <c t="s">
        <v>38550</v>
      </c>
      <c t="s">
        <v>2517</v>
      </c>
      <c t="s">
        <v>39289</v>
      </c>
      <c>
        <v>33909</v>
      </c>
      <c t="s">
        <v>65008</v>
      </c>
      <c t="s">
        <v>48794</v>
      </c>
      <c t="s">
        <v>29911</v>
      </c>
      <c>
        <v>422</v>
      </c>
      <c r="AI173" t="s">
        <v>48421</v>
      </c>
      <c t="s">
        <v>835</v>
      </c>
      <c r="AL173" t="s">
        <v>19425</v>
      </c>
      <c r="AN173" t="s">
        <v>66651</v>
      </c>
      <c t="s">
        <v>48569</v>
      </c>
      <c t="s">
        <v>42082</v>
      </c>
      <c t="s">
        <v>3093</v>
      </c>
      <c t="s">
        <v>53698</v>
      </c>
    </row>
    <row>
      <c t="s">
        <v>17594</v>
      </c>
      <c t="s">
        <v>728</v>
      </c>
      <c t="s">
        <v>31162</v>
      </c>
      <c t="s">
        <v>17718</v>
      </c>
      <c t="s">
        <v>7614</v>
      </c>
      <c s="3">
        <v>255000</v>
      </c>
      <c s="3">
        <v>255000</v>
      </c>
      <c s="3">
        <v>215050</v>
      </c>
      <c>
        <v>0</v>
      </c>
      <c s="3">
        <v>0</v>
      </c>
      <c r="L174" s="3">
        <v>255000</v>
      </c>
      <c r="O174" s="1" t="str">
        <f ca="1">HYPERLINK("https://web.datatree.com/?/property?propertyId=32014033", "https://web.datatree.com/?/property?propertyId=32014033")</f>
        <v>https://web.datatree.com/?/property?propertyId=32014033</v>
      </c>
      <c r="Q174" t="s">
        <v>316</v>
      </c>
      <c>
        <v>0.23</v>
      </c>
      <c t="s">
        <v>22490</v>
      </c>
      <c t="s">
        <v>40759</v>
      </c>
      <c t="s">
        <v>22948</v>
      </c>
      <c t="s">
        <v>37963</v>
      </c>
      <c t="s">
        <v>13915</v>
      </c>
      <c t="s">
        <v>54901</v>
      </c>
      <c t="s">
        <v>34136</v>
      </c>
      <c t="s">
        <v>2517</v>
      </c>
      <c t="s">
        <v>39289</v>
      </c>
      <c>
        <v>33904</v>
      </c>
      <c t="s">
        <v>12071</v>
      </c>
      <c t="s">
        <v>48794</v>
      </c>
      <c t="s">
        <v>17970</v>
      </c>
      <c>
        <v>745</v>
      </c>
      <c r="AI174" t="s">
        <v>20627</v>
      </c>
      <c t="s">
        <v>45620</v>
      </c>
      <c r="AL174" t="s">
        <v>44188</v>
      </c>
      <c r="AN174" t="s">
        <v>10909</v>
      </c>
      <c t="s">
        <v>60765</v>
      </c>
      <c r="AQ174" t="s">
        <v>27814</v>
      </c>
      <c t="s">
        <v>60975</v>
      </c>
    </row>
    <row>
      <c t="s">
        <v>17594</v>
      </c>
      <c s="2" t="s">
        <v>57039</v>
      </c>
      <c t="s">
        <v>20961</v>
      </c>
      <c t="s">
        <v>26187</v>
      </c>
      <c t="s">
        <v>10638</v>
      </c>
      <c s="3">
        <v>12544</v>
      </c>
      <c s="3">
        <v>12544</v>
      </c>
      <c s="3">
        <v>4952</v>
      </c>
      <c>
        <v>0</v>
      </c>
      <c s="3">
        <v>0</v>
      </c>
      <c s="3">
        <v>313.92</v>
      </c>
      <c s="3">
        <v>12544</v>
      </c>
      <c r="O175" s="1" t="str">
        <f ca="1">HYPERLINK("https://web.datatree.com/?/property?propertyId=32014479", "https://web.datatree.com/?/property?propertyId=32014479")</f>
        <v>https://web.datatree.com/?/property?propertyId=32014479</v>
      </c>
      <c r="Q175" t="s">
        <v>316</v>
      </c>
      <c>
        <v>0.221</v>
      </c>
      <c t="s">
        <v>5471</v>
      </c>
      <c t="s">
        <v>24692</v>
      </c>
      <c t="s">
        <v>15982</v>
      </c>
      <c r="X175" t="s">
        <v>56252</v>
      </c>
      <c t="s">
        <v>3722</v>
      </c>
      <c t="s">
        <v>65059</v>
      </c>
      <c t="s">
        <v>39289</v>
      </c>
      <c>
        <v>33905</v>
      </c>
      <c t="s">
        <v>3137</v>
      </c>
      <c t="s">
        <v>48794</v>
      </c>
      <c s="2" t="s">
        <v>36347</v>
      </c>
      <c>
        <v>6721</v>
      </c>
      <c r="AI175" t="s">
        <v>12916</v>
      </c>
      <c t="s">
        <v>24900</v>
      </c>
      <c r="AL175" t="s">
        <v>20218</v>
      </c>
      <c r="AN175" t="s">
        <v>50917</v>
      </c>
      <c t="s">
        <v>32409</v>
      </c>
      <c t="s">
        <v>11138</v>
      </c>
      <c t="s">
        <v>3093</v>
      </c>
      <c t="s">
        <v>28906</v>
      </c>
    </row>
    <row>
      <c t="s">
        <v>17594</v>
      </c>
      <c t="s">
        <v>35838</v>
      </c>
      <c t="s">
        <v>52950</v>
      </c>
      <c t="s">
        <v>6141</v>
      </c>
      <c t="s">
        <v>7161</v>
      </c>
      <c s="3">
        <v>25687</v>
      </c>
      <c s="3">
        <v>25687</v>
      </c>
      <c s="3">
        <v>9680</v>
      </c>
      <c>
        <v>0</v>
      </c>
      <c s="3">
        <v>0</v>
      </c>
      <c s="3">
        <v>659.46</v>
      </c>
      <c s="3">
        <v>25687</v>
      </c>
      <c r="O176" s="1" t="str">
        <f ca="1">HYPERLINK("https://web.datatree.com/?/property?propertyId=32014810", "https://web.datatree.com/?/property?propertyId=32014810")</f>
        <v>https://web.datatree.com/?/property?propertyId=32014810</v>
      </c>
      <c r="Q176" t="s">
        <v>316</v>
      </c>
      <c>
        <v>0.281</v>
      </c>
      <c t="s">
        <v>22490</v>
      </c>
      <c t="s">
        <v>40881</v>
      </c>
      <c t="s">
        <v>27873</v>
      </c>
      <c t="s">
        <v>43826</v>
      </c>
      <c t="s">
        <v>27873</v>
      </c>
      <c t="s">
        <v>51194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24781</v>
      </c>
      <c>
        <v>1350</v>
      </c>
      <c r="AI176" t="s">
        <v>41534</v>
      </c>
      <c t="s">
        <v>31192</v>
      </c>
      <c r="AL176" t="s">
        <v>12075</v>
      </c>
      <c r="AN176" t="s">
        <v>51137</v>
      </c>
      <c t="s">
        <v>5688</v>
      </c>
      <c t="s">
        <v>66620</v>
      </c>
      <c t="s">
        <v>3093</v>
      </c>
      <c t="s">
        <v>19243</v>
      </c>
    </row>
    <row>
      <c t="s">
        <v>17594</v>
      </c>
      <c t="s">
        <v>57509</v>
      </c>
      <c t="s">
        <v>25199</v>
      </c>
      <c t="s">
        <v>35977</v>
      </c>
      <c t="s">
        <v>27108</v>
      </c>
      <c s="3">
        <v>20900</v>
      </c>
      <c s="3">
        <v>20900</v>
      </c>
      <c s="3">
        <v>10450</v>
      </c>
      <c>
        <v>0</v>
      </c>
      <c s="3">
        <v>0</v>
      </c>
      <c s="3">
        <v>597.57</v>
      </c>
      <c s="3">
        <v>20900</v>
      </c>
      <c r="O177" s="1" t="str">
        <f ca="1">HYPERLINK("https://web.datatree.com/?/property?propertyId=32014891", "https://web.datatree.com/?/property?propertyId=32014891")</f>
        <v>https://web.datatree.com/?/property?propertyId=32014891</v>
      </c>
      <c r="Q177" t="s">
        <v>316</v>
      </c>
      <c>
        <v>0.23</v>
      </c>
      <c t="s">
        <v>22490</v>
      </c>
      <c t="s">
        <v>27351</v>
      </c>
      <c t="s">
        <v>12207</v>
      </c>
      <c t="s">
        <v>16200</v>
      </c>
      <c t="s">
        <v>12207</v>
      </c>
      <c t="s">
        <v>40699</v>
      </c>
      <c t="s">
        <v>50440</v>
      </c>
      <c t="s">
        <v>2517</v>
      </c>
      <c t="s">
        <v>39289</v>
      </c>
      <c>
        <v>33909</v>
      </c>
      <c>
        <v>33909</v>
      </c>
      <c t="s">
        <v>48794</v>
      </c>
      <c t="s">
        <v>43691</v>
      </c>
      <c>
        <v>26</v>
      </c>
      <c r="AI177" t="s">
        <v>47479</v>
      </c>
      <c t="s">
        <v>41372</v>
      </c>
      <c r="AL177" t="s">
        <v>3670</v>
      </c>
      <c r="AN177" t="s">
        <v>26016</v>
      </c>
      <c t="s">
        <v>61730</v>
      </c>
      <c t="s">
        <v>19978</v>
      </c>
      <c t="s">
        <v>3093</v>
      </c>
      <c t="s">
        <v>53204</v>
      </c>
    </row>
    <row>
      <c t="s">
        <v>17594</v>
      </c>
      <c t="s">
        <v>23541</v>
      </c>
      <c t="s">
        <v>35941</v>
      </c>
      <c t="s">
        <v>21461</v>
      </c>
      <c t="s">
        <v>39632</v>
      </c>
      <c s="3">
        <v>26249</v>
      </c>
      <c s="3">
        <v>26249</v>
      </c>
      <c s="3">
        <v>9339</v>
      </c>
      <c>
        <v>0</v>
      </c>
      <c s="3">
        <v>0</v>
      </c>
      <c s="3">
        <v>2880.21</v>
      </c>
      <c s="3">
        <v>26249</v>
      </c>
      <c r="O178" s="1" t="str">
        <f ca="1">HYPERLINK("https://web.datatree.com/?/property?propertyId=32015019", "https://web.datatree.com/?/property?propertyId=32015019")</f>
        <v>https://web.datatree.com/?/property?propertyId=32015019</v>
      </c>
      <c r="Q178" t="s">
        <v>316</v>
      </c>
      <c>
        <v>0.23</v>
      </c>
      <c t="s">
        <v>6175</v>
      </c>
      <c t="s">
        <v>2925</v>
      </c>
      <c t="s">
        <v>4033</v>
      </c>
      <c r="X178" t="s">
        <v>1708</v>
      </c>
      <c t="s">
        <v>18679</v>
      </c>
      <c t="s">
        <v>2517</v>
      </c>
      <c t="s">
        <v>39289</v>
      </c>
      <c>
        <v>33909</v>
      </c>
      <c t="s">
        <v>32051</v>
      </c>
      <c t="s">
        <v>48794</v>
      </c>
      <c t="s">
        <v>4568</v>
      </c>
      <c r="AI178" t="s">
        <v>34731</v>
      </c>
      <c r="AK178" t="s">
        <v>37613</v>
      </c>
      <c r="AN178" t="s">
        <v>7157</v>
      </c>
      <c r="AR178" t="s">
        <v>17714</v>
      </c>
    </row>
    <row>
      <c t="s">
        <v>17594</v>
      </c>
      <c t="s">
        <v>54144</v>
      </c>
      <c t="s">
        <v>19241</v>
      </c>
      <c t="s">
        <v>17298</v>
      </c>
      <c t="s">
        <v>24056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179" s="1" t="str">
        <f ca="1">HYPERLINK("https://web.datatree.com/?/property?propertyId=32015173", "https://web.datatree.com/?/property?propertyId=32015173")</f>
        <v>https://web.datatree.com/?/property?propertyId=32015173</v>
      </c>
      <c r="Q179" t="s">
        <v>316</v>
      </c>
      <c>
        <v>0.244</v>
      </c>
      <c t="s">
        <v>6175</v>
      </c>
      <c t="s">
        <v>9900</v>
      </c>
      <c t="s">
        <v>5267</v>
      </c>
      <c t="s">
        <v>66168</v>
      </c>
      <c t="s">
        <v>5267</v>
      </c>
      <c t="s">
        <v>63410</v>
      </c>
      <c t="s">
        <v>39777</v>
      </c>
      <c t="s">
        <v>2517</v>
      </c>
      <c t="s">
        <v>39289</v>
      </c>
      <c>
        <v>33909</v>
      </c>
      <c t="s">
        <v>1753</v>
      </c>
      <c t="s">
        <v>48794</v>
      </c>
      <c t="s">
        <v>33008</v>
      </c>
      <c>
        <v>3052</v>
      </c>
      <c r="AI179" t="s">
        <v>58200</v>
      </c>
      <c t="s">
        <v>39321</v>
      </c>
      <c r="AL179" t="s">
        <v>29560</v>
      </c>
      <c r="AN179" t="s">
        <v>39289</v>
      </c>
      <c t="s">
        <v>64397</v>
      </c>
      <c t="s">
        <v>13364</v>
      </c>
      <c t="s">
        <v>3093</v>
      </c>
      <c t="s">
        <v>52390</v>
      </c>
    </row>
    <row>
      <c t="s">
        <v>17594</v>
      </c>
      <c t="s">
        <v>60091</v>
      </c>
      <c t="s">
        <v>21856</v>
      </c>
      <c t="s">
        <v>65760</v>
      </c>
      <c t="s">
        <v>39776</v>
      </c>
      <c s="3">
        <v>18983</v>
      </c>
      <c s="3">
        <v>18983</v>
      </c>
      <c s="3">
        <v>14218</v>
      </c>
      <c>
        <v>0</v>
      </c>
      <c s="3">
        <v>0</v>
      </c>
      <c s="3">
        <v>247.8</v>
      </c>
      <c s="3">
        <v>18983</v>
      </c>
      <c>
        <v>2021</v>
      </c>
      <c>
        <v>266.42</v>
      </c>
      <c s="1" t="str">
        <f ca="1">HYPERLINK("https://web.datatree.com/?/property?propertyId=32015549", "https://web.datatree.com/?/property?propertyId=32015549")</f>
        <v>https://web.datatree.com/?/property?propertyId=32015549</v>
      </c>
      <c r="Q180" t="s">
        <v>316</v>
      </c>
      <c>
        <v>0.034</v>
      </c>
      <c t="s">
        <v>5471</v>
      </c>
      <c t="s">
        <v>64583</v>
      </c>
      <c t="s">
        <v>45387</v>
      </c>
      <c r="X180" t="s">
        <v>58674</v>
      </c>
      <c t="s">
        <v>35789</v>
      </c>
      <c t="s">
        <v>65059</v>
      </c>
      <c t="s">
        <v>39289</v>
      </c>
      <c>
        <v>33905</v>
      </c>
      <c t="s">
        <v>42041</v>
      </c>
      <c t="s">
        <v>48794</v>
      </c>
      <c t="s">
        <v>37182</v>
      </c>
      <c>
        <v>1279</v>
      </c>
      <c r="AI180" t="s">
        <v>41547</v>
      </c>
      <c t="s">
        <v>31192</v>
      </c>
      <c r="AL180" t="s">
        <v>8219</v>
      </c>
      <c t="s">
        <v>8219</v>
      </c>
      <c t="s">
        <v>51087</v>
      </c>
      <c t="s">
        <v>63465</v>
      </c>
      <c t="s">
        <v>12241</v>
      </c>
      <c t="s">
        <v>3093</v>
      </c>
      <c t="s">
        <v>1150</v>
      </c>
    </row>
    <row>
      <c t="s">
        <v>17594</v>
      </c>
      <c t="s">
        <v>21287</v>
      </c>
      <c t="s">
        <v>15906</v>
      </c>
      <c t="s">
        <v>8889</v>
      </c>
      <c t="s">
        <v>45668</v>
      </c>
      <c s="3">
        <v>8100</v>
      </c>
      <c s="3">
        <v>8100</v>
      </c>
      <c s="3">
        <v>8100</v>
      </c>
      <c>
        <v>0</v>
      </c>
      <c s="3">
        <v>0</v>
      </c>
      <c s="3">
        <v>649.01</v>
      </c>
      <c s="3">
        <v>8100</v>
      </c>
      <c r="O181" s="1" t="str">
        <f ca="1">HYPERLINK("https://web.datatree.com/?/property?propertyId=32015664", "https://web.datatree.com/?/property?propertyId=32015664")</f>
        <v>https://web.datatree.com/?/property?propertyId=32015664</v>
      </c>
      <c r="Q181" t="s">
        <v>316</v>
      </c>
      <c>
        <v>0.23</v>
      </c>
      <c t="s">
        <v>6175</v>
      </c>
      <c t="s">
        <v>2140</v>
      </c>
      <c t="s">
        <v>48794</v>
      </c>
      <c r="X181" t="s">
        <v>44754</v>
      </c>
      <c t="s">
        <v>60363</v>
      </c>
      <c t="s">
        <v>2517</v>
      </c>
      <c t="s">
        <v>39289</v>
      </c>
      <c>
        <v>33909</v>
      </c>
      <c t="s">
        <v>31273</v>
      </c>
      <c t="s">
        <v>48794</v>
      </c>
      <c t="s">
        <v>8996</v>
      </c>
      <c>
        <v>1231</v>
      </c>
      <c r="AI181" t="s">
        <v>45219</v>
      </c>
      <c t="s">
        <v>55842</v>
      </c>
      <c r="AL181" t="s">
        <v>45107</v>
      </c>
      <c t="s">
        <v>45107</v>
      </c>
      <c t="s">
        <v>65451</v>
      </c>
      <c t="s">
        <v>7787</v>
      </c>
      <c t="s">
        <v>48506</v>
      </c>
      <c t="s">
        <v>3093</v>
      </c>
      <c t="s">
        <v>54604</v>
      </c>
    </row>
    <row>
      <c t="s">
        <v>17594</v>
      </c>
      <c t="s">
        <v>2075</v>
      </c>
      <c t="s">
        <v>9916</v>
      </c>
      <c t="s">
        <v>10935</v>
      </c>
      <c t="s">
        <v>63574</v>
      </c>
      <c s="3">
        <v>118000</v>
      </c>
      <c s="3">
        <v>118000</v>
      </c>
      <c s="3">
        <v>118000</v>
      </c>
      <c>
        <v>0</v>
      </c>
      <c s="3">
        <v>0</v>
      </c>
      <c s="3">
        <v>2238.87</v>
      </c>
      <c s="3">
        <v>118000</v>
      </c>
      <c r="O182" s="1" t="str">
        <f ca="1">HYPERLINK("https://web.datatree.com/?/property?propertyId=32016781", "https://web.datatree.com/?/property?propertyId=32016781")</f>
        <v>https://web.datatree.com/?/property?propertyId=32016781</v>
      </c>
      <c r="Q182" t="s">
        <v>316</v>
      </c>
      <c>
        <v>0.393</v>
      </c>
      <c t="s">
        <v>22490</v>
      </c>
      <c t="s">
        <v>3174</v>
      </c>
      <c t="s">
        <v>51331</v>
      </c>
      <c t="s">
        <v>54573</v>
      </c>
      <c t="s">
        <v>51331</v>
      </c>
      <c t="s">
        <v>26662</v>
      </c>
      <c t="s">
        <v>39832</v>
      </c>
      <c t="s">
        <v>2517</v>
      </c>
      <c t="s">
        <v>39289</v>
      </c>
      <c>
        <v>33904</v>
      </c>
      <c t="s">
        <v>39595</v>
      </c>
      <c t="s">
        <v>48794</v>
      </c>
      <c t="s">
        <v>3055</v>
      </c>
      <c>
        <v>105</v>
      </c>
      <c r="AI182" t="s">
        <v>45209</v>
      </c>
      <c t="s">
        <v>31192</v>
      </c>
      <c r="AL182" t="s">
        <v>16471</v>
      </c>
      <c t="s">
        <v>3049</v>
      </c>
      <c t="s">
        <v>65467</v>
      </c>
      <c t="s">
        <v>20844</v>
      </c>
      <c t="s">
        <v>38085</v>
      </c>
      <c t="s">
        <v>3093</v>
      </c>
      <c t="s">
        <v>3391</v>
      </c>
    </row>
    <row>
      <c t="s">
        <v>17594</v>
      </c>
      <c t="s">
        <v>52491</v>
      </c>
      <c t="s">
        <v>64323</v>
      </c>
      <c t="s">
        <v>37312</v>
      </c>
      <c t="s">
        <v>52381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183" s="1" t="str">
        <f ca="1">HYPERLINK("https://web.datatree.com/?/property?propertyId=32017223", "https://web.datatree.com/?/property?propertyId=32017223")</f>
        <v>https://web.datatree.com/?/property?propertyId=32017223</v>
      </c>
      <c r="Q183" t="s">
        <v>316</v>
      </c>
      <c>
        <v>0.244</v>
      </c>
      <c t="s">
        <v>6175</v>
      </c>
      <c t="s">
        <v>9199</v>
      </c>
      <c t="s">
        <v>26147</v>
      </c>
      <c t="s">
        <v>775</v>
      </c>
      <c t="s">
        <v>26593</v>
      </c>
      <c t="s">
        <v>21924</v>
      </c>
      <c t="s">
        <v>38550</v>
      </c>
      <c t="s">
        <v>2517</v>
      </c>
      <c t="s">
        <v>39289</v>
      </c>
      <c>
        <v>33909</v>
      </c>
      <c t="s">
        <v>41198</v>
      </c>
      <c t="s">
        <v>48794</v>
      </c>
      <c t="s">
        <v>34027</v>
      </c>
      <c>
        <v>7350</v>
      </c>
      <c r="AI183" t="s">
        <v>52327</v>
      </c>
      <c t="s">
        <v>45620</v>
      </c>
      <c r="AL183" t="s">
        <v>48150</v>
      </c>
      <c t="s">
        <v>26023</v>
      </c>
      <c t="s">
        <v>39289</v>
      </c>
      <c t="s">
        <v>58104</v>
      </c>
      <c t="s">
        <v>32746</v>
      </c>
      <c t="s">
        <v>3093</v>
      </c>
      <c t="s">
        <v>6125</v>
      </c>
    </row>
    <row>
      <c t="s">
        <v>17594</v>
      </c>
      <c t="s">
        <v>67147</v>
      </c>
      <c t="s">
        <v>63440</v>
      </c>
      <c t="s">
        <v>7723</v>
      </c>
      <c t="s">
        <v>56214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84" s="1" t="str">
        <f ca="1">HYPERLINK("https://web.datatree.com/?/property?propertyId=32018111", "https://web.datatree.com/?/property?propertyId=32018111")</f>
        <v>https://web.datatree.com/?/property?propertyId=32018111</v>
      </c>
      <c r="Q184" t="s">
        <v>316</v>
      </c>
      <c>
        <v>0.23</v>
      </c>
      <c t="s">
        <v>6175</v>
      </c>
      <c t="s">
        <v>14827</v>
      </c>
      <c t="s">
        <v>43709</v>
      </c>
      <c t="s">
        <v>24381</v>
      </c>
      <c r="X184" t="s">
        <v>2774</v>
      </c>
      <c t="s">
        <v>49122</v>
      </c>
      <c t="s">
        <v>2517</v>
      </c>
      <c t="s">
        <v>39289</v>
      </c>
      <c>
        <v>33909</v>
      </c>
      <c t="s">
        <v>8498</v>
      </c>
      <c t="s">
        <v>48794</v>
      </c>
      <c t="s">
        <v>60990</v>
      </c>
      <c>
        <v>4405</v>
      </c>
      <c r="AI184" t="s">
        <v>55576</v>
      </c>
      <c t="s">
        <v>40123</v>
      </c>
      <c r="AL184" t="s">
        <v>54524</v>
      </c>
      <c r="AN184" t="s">
        <v>39289</v>
      </c>
      <c t="s">
        <v>40403</v>
      </c>
      <c t="s">
        <v>35070</v>
      </c>
      <c t="s">
        <v>3093</v>
      </c>
      <c t="s">
        <v>23697</v>
      </c>
    </row>
    <row>
      <c t="s">
        <v>17594</v>
      </c>
      <c t="s">
        <v>26833</v>
      </c>
      <c t="s">
        <v>8398</v>
      </c>
      <c t="s">
        <v>56417</v>
      </c>
      <c t="s">
        <v>4928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185" s="1" t="str">
        <f ca="1">HYPERLINK("https://web.datatree.com/?/property?propertyId=32018966", "https://web.datatree.com/?/property?propertyId=32018966")</f>
        <v>https://web.datatree.com/?/property?propertyId=32018966</v>
      </c>
      <c r="Q185" t="s">
        <v>316</v>
      </c>
      <c>
        <v>0.23</v>
      </c>
      <c t="s">
        <v>6175</v>
      </c>
      <c t="s">
        <v>65685</v>
      </c>
      <c t="s">
        <v>20391</v>
      </c>
      <c r="X185" t="s">
        <v>25799</v>
      </c>
      <c t="s">
        <v>33179</v>
      </c>
      <c t="s">
        <v>2517</v>
      </c>
      <c t="s">
        <v>39289</v>
      </c>
      <c>
        <v>33909</v>
      </c>
      <c t="s">
        <v>35900</v>
      </c>
      <c t="s">
        <v>48794</v>
      </c>
      <c t="s">
        <v>35984</v>
      </c>
      <c>
        <v>11666</v>
      </c>
      <c r="AI185" t="s">
        <v>53125</v>
      </c>
      <c t="s">
        <v>24900</v>
      </c>
      <c r="AL185" t="s">
        <v>29515</v>
      </c>
      <c r="AN185" t="s">
        <v>39289</v>
      </c>
      <c t="s">
        <v>28257</v>
      </c>
      <c t="s">
        <v>702</v>
      </c>
      <c t="s">
        <v>3093</v>
      </c>
      <c t="s">
        <v>56435</v>
      </c>
    </row>
    <row>
      <c t="s">
        <v>17594</v>
      </c>
      <c t="s">
        <v>57109</v>
      </c>
      <c t="s">
        <v>29903</v>
      </c>
      <c t="s">
        <v>53432</v>
      </c>
      <c t="s">
        <v>53703</v>
      </c>
      <c s="3">
        <v>9440</v>
      </c>
      <c s="3">
        <v>9440</v>
      </c>
      <c s="3">
        <v>4972</v>
      </c>
      <c>
        <v>0</v>
      </c>
      <c s="3">
        <v>0</v>
      </c>
      <c s="3">
        <v>323.16</v>
      </c>
      <c s="3">
        <v>9440</v>
      </c>
      <c r="O186" s="1" t="str">
        <f ca="1">HYPERLINK("https://web.datatree.com/?/property?propertyId=32020429", "https://web.datatree.com/?/property?propertyId=32020429")</f>
        <v>https://web.datatree.com/?/property?propertyId=32020429</v>
      </c>
      <c r="Q186" t="s">
        <v>316</v>
      </c>
      <c>
        <v>0.288</v>
      </c>
      <c t="s">
        <v>37489</v>
      </c>
      <c t="s">
        <v>1859</v>
      </c>
      <c t="s">
        <v>56288</v>
      </c>
      <c r="X186" t="s">
        <v>64459</v>
      </c>
      <c t="s">
        <v>51938</v>
      </c>
      <c t="s">
        <v>65059</v>
      </c>
      <c t="s">
        <v>39289</v>
      </c>
      <c>
        <v>33905</v>
      </c>
      <c t="s">
        <v>14530</v>
      </c>
      <c t="s">
        <v>48794</v>
      </c>
      <c t="s">
        <v>243</v>
      </c>
      <c>
        <v>810</v>
      </c>
      <c r="AI186" t="s">
        <v>65006</v>
      </c>
      <c t="s">
        <v>45393</v>
      </c>
      <c r="AL186" t="s">
        <v>17711</v>
      </c>
      <c r="AN186" t="s">
        <v>10909</v>
      </c>
      <c t="s">
        <v>35458</v>
      </c>
      <c r="AQ186" t="s">
        <v>27814</v>
      </c>
      <c t="s">
        <v>15093</v>
      </c>
    </row>
    <row>
      <c t="s">
        <v>17594</v>
      </c>
      <c t="s">
        <v>33052</v>
      </c>
      <c t="s">
        <v>12092</v>
      </c>
      <c t="s">
        <v>22405</v>
      </c>
      <c t="s">
        <v>42982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87" s="1" t="str">
        <f ca="1">HYPERLINK("https://web.datatree.com/?/property?propertyId=32020940", "https://web.datatree.com/?/property?propertyId=32020940")</f>
        <v>https://web.datatree.com/?/property?propertyId=32020940</v>
      </c>
      <c r="Q187" t="s">
        <v>316</v>
      </c>
      <c>
        <v>0.23</v>
      </c>
      <c t="s">
        <v>6175</v>
      </c>
      <c t="s">
        <v>30886</v>
      </c>
      <c t="s">
        <v>65381</v>
      </c>
      <c t="s">
        <v>47991</v>
      </c>
      <c t="s">
        <v>65381</v>
      </c>
      <c t="s">
        <v>62023</v>
      </c>
      <c t="s">
        <v>33893</v>
      </c>
      <c t="s">
        <v>2517</v>
      </c>
      <c t="s">
        <v>39289</v>
      </c>
      <c>
        <v>33909</v>
      </c>
      <c>
        <v>33909</v>
      </c>
      <c t="s">
        <v>48794</v>
      </c>
      <c t="s">
        <v>1262</v>
      </c>
      <c>
        <v>1052</v>
      </c>
      <c r="AI187" t="s">
        <v>2153</v>
      </c>
      <c t="s">
        <v>24900</v>
      </c>
      <c r="AL187" t="s">
        <v>7844</v>
      </c>
      <c r="AN187" t="s">
        <v>39289</v>
      </c>
      <c t="s">
        <v>50519</v>
      </c>
      <c t="s">
        <v>25140</v>
      </c>
      <c t="s">
        <v>3093</v>
      </c>
      <c t="s">
        <v>18983</v>
      </c>
    </row>
    <row>
      <c t="s">
        <v>17594</v>
      </c>
      <c t="s">
        <v>3803</v>
      </c>
      <c t="s">
        <v>59814</v>
      </c>
      <c t="s">
        <v>14076</v>
      </c>
      <c t="s">
        <v>7907</v>
      </c>
      <c s="3">
        <v>31592</v>
      </c>
      <c s="3">
        <v>31592</v>
      </c>
      <c s="3">
        <v>11858</v>
      </c>
      <c>
        <v>0</v>
      </c>
      <c s="3">
        <v>0</v>
      </c>
      <c s="3">
        <v>2935.69</v>
      </c>
      <c s="3">
        <v>31592</v>
      </c>
      <c r="O188" s="1" t="str">
        <f ca="1">HYPERLINK("https://web.datatree.com/?/property?propertyId=32021082", "https://web.datatree.com/?/property?propertyId=32021082")</f>
        <v>https://web.datatree.com/?/property?propertyId=32021082</v>
      </c>
      <c r="Q188" t="s">
        <v>316</v>
      </c>
      <c>
        <v>0.23</v>
      </c>
      <c t="s">
        <v>22490</v>
      </c>
      <c t="s">
        <v>16200</v>
      </c>
      <c t="s">
        <v>14394</v>
      </c>
      <c t="s">
        <v>15379</v>
      </c>
      <c t="s">
        <v>14394</v>
      </c>
      <c t="s">
        <v>26744</v>
      </c>
      <c t="s">
        <v>2626</v>
      </c>
      <c t="s">
        <v>2517</v>
      </c>
      <c t="s">
        <v>39289</v>
      </c>
      <c>
        <v>33909</v>
      </c>
      <c t="s">
        <v>15647</v>
      </c>
      <c t="s">
        <v>48794</v>
      </c>
      <c t="s">
        <v>13763</v>
      </c>
      <c>
        <v>17</v>
      </c>
      <c r="AI188" t="s">
        <v>16188</v>
      </c>
      <c t="s">
        <v>1671</v>
      </c>
      <c r="AL188" t="s">
        <v>11885</v>
      </c>
      <c t="s">
        <v>11885</v>
      </c>
      <c t="s">
        <v>14509</v>
      </c>
      <c t="s">
        <v>58024</v>
      </c>
      <c t="s">
        <v>19978</v>
      </c>
      <c t="s">
        <v>3093</v>
      </c>
      <c t="s">
        <v>14352</v>
      </c>
    </row>
    <row>
      <c t="s">
        <v>17594</v>
      </c>
      <c t="s">
        <v>31990</v>
      </c>
      <c t="s">
        <v>34536</v>
      </c>
      <c t="s">
        <v>14371</v>
      </c>
      <c t="s">
        <v>55175</v>
      </c>
      <c s="3">
        <v>90935</v>
      </c>
      <c s="3">
        <v>90935</v>
      </c>
      <c s="3">
        <v>67909</v>
      </c>
      <c>
        <v>0</v>
      </c>
      <c s="3">
        <v>0</v>
      </c>
      <c s="3">
        <v>1853.62</v>
      </c>
      <c s="3">
        <v>90935</v>
      </c>
      <c r="O189" s="1" t="str">
        <f ca="1">HYPERLINK("https://web.datatree.com/?/property?propertyId=32021255", "https://web.datatree.com/?/property?propertyId=32021255")</f>
        <v>https://web.datatree.com/?/property?propertyId=32021255</v>
      </c>
      <c r="Q189" t="s">
        <v>316</v>
      </c>
      <c>
        <v>0.248</v>
      </c>
      <c t="s">
        <v>22490</v>
      </c>
      <c t="s">
        <v>22723</v>
      </c>
      <c t="s">
        <v>66397</v>
      </c>
      <c r="X189" t="s">
        <v>4192</v>
      </c>
      <c t="s">
        <v>33335</v>
      </c>
      <c t="s">
        <v>2517</v>
      </c>
      <c t="s">
        <v>39289</v>
      </c>
      <c>
        <v>33904</v>
      </c>
      <c t="s">
        <v>16213</v>
      </c>
      <c t="s">
        <v>48794</v>
      </c>
      <c t="s">
        <v>49922</v>
      </c>
      <c>
        <v>10460</v>
      </c>
      <c r="AI189" t="s">
        <v>36695</v>
      </c>
      <c t="s">
        <v>45393</v>
      </c>
      <c r="AL189" t="s">
        <v>54251</v>
      </c>
      <c r="AN189" t="s">
        <v>39289</v>
      </c>
      <c t="s">
        <v>43000</v>
      </c>
      <c t="s">
        <v>12241</v>
      </c>
      <c t="s">
        <v>3093</v>
      </c>
      <c t="s">
        <v>50203</v>
      </c>
    </row>
    <row>
      <c t="s">
        <v>42103</v>
      </c>
      <c t="s">
        <v>57730</v>
      </c>
      <c t="s">
        <v>15896</v>
      </c>
      <c t="s">
        <v>5258</v>
      </c>
      <c t="s">
        <v>2575</v>
      </c>
      <c s="3">
        <v>45000</v>
      </c>
      <c s="3">
        <v>45000</v>
      </c>
      <c s="3">
        <v>19800</v>
      </c>
      <c>
        <v>0</v>
      </c>
      <c s="3">
        <v>0</v>
      </c>
      <c s="3">
        <v>3172.2</v>
      </c>
      <c s="3">
        <v>45000</v>
      </c>
      <c r="O190" s="1" t="str">
        <f ca="1">HYPERLINK("https://web.datatree.com/?/property?propertyId=32021364", "https://web.datatree.com/?/property?propertyId=32021364")</f>
        <v>https://web.datatree.com/?/property?propertyId=32021364</v>
      </c>
      <c r="Q190" t="s">
        <v>316</v>
      </c>
      <c>
        <v>0.247</v>
      </c>
      <c t="s">
        <v>22490</v>
      </c>
      <c t="s">
        <v>5568</v>
      </c>
      <c t="s">
        <v>54292</v>
      </c>
      <c r="X190" t="s">
        <v>44709</v>
      </c>
      <c t="s">
        <v>17022</v>
      </c>
      <c t="s">
        <v>2517</v>
      </c>
      <c t="s">
        <v>39289</v>
      </c>
      <c>
        <v>33909</v>
      </c>
      <c t="s">
        <v>7883</v>
      </c>
      <c t="s">
        <v>48794</v>
      </c>
      <c t="s">
        <v>21878</v>
      </c>
      <c r="AI190" t="s">
        <v>55342</v>
      </c>
      <c r="AL190" t="s">
        <v>19808</v>
      </c>
      <c r="AN190" t="s">
        <v>32576</v>
      </c>
      <c>
        <v>29687</v>
      </c>
      <c t="s">
        <v>14662</v>
      </c>
      <c t="s">
        <v>3093</v>
      </c>
      <c t="s">
        <v>27464</v>
      </c>
    </row>
    <row>
      <c t="s">
        <v>42103</v>
      </c>
      <c t="s">
        <v>17568</v>
      </c>
      <c t="s">
        <v>45932</v>
      </c>
      <c t="s">
        <v>19294</v>
      </c>
      <c t="s">
        <v>59985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191" s="1" t="str">
        <f ca="1">HYPERLINK("https://web.datatree.com/?/property?propertyId=32021511", "https://web.datatree.com/?/property?propertyId=32021511")</f>
        <v>https://web.datatree.com/?/property?propertyId=32021511</v>
      </c>
      <c r="Q191" t="s">
        <v>316</v>
      </c>
      <c>
        <v>0.23</v>
      </c>
      <c t="s">
        <v>6175</v>
      </c>
      <c t="s">
        <v>44697</v>
      </c>
      <c t="s">
        <v>58109</v>
      </c>
      <c r="X191" t="s">
        <v>38612</v>
      </c>
      <c t="s">
        <v>50440</v>
      </c>
      <c t="s">
        <v>2517</v>
      </c>
      <c t="s">
        <v>39289</v>
      </c>
      <c>
        <v>33909</v>
      </c>
      <c t="s">
        <v>4817</v>
      </c>
      <c t="s">
        <v>48794</v>
      </c>
      <c t="s">
        <v>43122</v>
      </c>
      <c r="AI191" t="s">
        <v>30847</v>
      </c>
      <c r="AL191" t="s">
        <v>8109</v>
      </c>
      <c r="AN191" t="s">
        <v>50917</v>
      </c>
      <c>
        <v>11238</v>
      </c>
      <c t="s">
        <v>31451</v>
      </c>
      <c t="s">
        <v>3093</v>
      </c>
      <c t="s">
        <v>14821</v>
      </c>
    </row>
    <row>
      <c t="s">
        <v>17594</v>
      </c>
      <c t="s">
        <v>47757</v>
      </c>
      <c t="s">
        <v>33448</v>
      </c>
      <c t="s">
        <v>27918</v>
      </c>
      <c t="s">
        <v>62327</v>
      </c>
      <c s="3">
        <v>9256</v>
      </c>
      <c s="3">
        <v>9256</v>
      </c>
      <c s="3">
        <v>4972</v>
      </c>
      <c>
        <v>0</v>
      </c>
      <c s="3">
        <v>0</v>
      </c>
      <c s="3">
        <v>315.35</v>
      </c>
      <c s="3">
        <v>9256</v>
      </c>
      <c r="O192" s="1" t="str">
        <f ca="1">HYPERLINK("https://web.datatree.com/?/property?propertyId=32021809", "https://web.datatree.com/?/property?propertyId=32021809")</f>
        <v>https://web.datatree.com/?/property?propertyId=32021809</v>
      </c>
      <c r="Q192" t="s">
        <v>316</v>
      </c>
      <c>
        <v>0.228</v>
      </c>
      <c t="s">
        <v>5471</v>
      </c>
      <c t="s">
        <v>35260</v>
      </c>
      <c t="s">
        <v>23417</v>
      </c>
      <c r="X192" t="s">
        <v>37161</v>
      </c>
      <c t="s">
        <v>6481</v>
      </c>
      <c t="s">
        <v>65059</v>
      </c>
      <c t="s">
        <v>39289</v>
      </c>
      <c>
        <v>33905</v>
      </c>
      <c t="s">
        <v>20035</v>
      </c>
      <c t="s">
        <v>48794</v>
      </c>
      <c t="s">
        <v>44798</v>
      </c>
      <c>
        <v>4640</v>
      </c>
      <c r="AI192" t="s">
        <v>59763</v>
      </c>
      <c t="s">
        <v>40123</v>
      </c>
      <c r="AL192" t="s">
        <v>50287</v>
      </c>
      <c r="AN192" t="s">
        <v>39289</v>
      </c>
      <c t="s">
        <v>31607</v>
      </c>
      <c t="s">
        <v>22613</v>
      </c>
      <c t="s">
        <v>3093</v>
      </c>
      <c t="s">
        <v>40250</v>
      </c>
    </row>
    <row>
      <c t="s">
        <v>17594</v>
      </c>
      <c t="s">
        <v>35605</v>
      </c>
      <c t="s">
        <v>26024</v>
      </c>
      <c t="s">
        <v>63832</v>
      </c>
      <c t="s">
        <v>26941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193" s="1" t="str">
        <f ca="1">HYPERLINK("https://web.datatree.com/?/property?propertyId=32021895", "https://web.datatree.com/?/property?propertyId=32021895")</f>
        <v>https://web.datatree.com/?/property?propertyId=32021895</v>
      </c>
      <c r="Q193" t="s">
        <v>316</v>
      </c>
      <c>
        <v>0.242</v>
      </c>
      <c t="s">
        <v>6175</v>
      </c>
      <c t="s">
        <v>58113</v>
      </c>
      <c t="s">
        <v>46450</v>
      </c>
      <c r="X193" t="s">
        <v>8612</v>
      </c>
      <c t="s">
        <v>17022</v>
      </c>
      <c t="s">
        <v>2517</v>
      </c>
      <c t="s">
        <v>39289</v>
      </c>
      <c>
        <v>33909</v>
      </c>
      <c t="s">
        <v>40704</v>
      </c>
      <c t="s">
        <v>48794</v>
      </c>
      <c t="s">
        <v>9831</v>
      </c>
      <c>
        <v>5024</v>
      </c>
      <c r="AI193" t="s">
        <v>9274</v>
      </c>
      <c t="s">
        <v>41372</v>
      </c>
      <c>
        <v>200</v>
      </c>
      <c t="s">
        <v>62109</v>
      </c>
      <c t="s">
        <v>62109</v>
      </c>
      <c t="s">
        <v>40451</v>
      </c>
      <c t="s">
        <v>7408</v>
      </c>
      <c t="s">
        <v>62845</v>
      </c>
      <c t="s">
        <v>3093</v>
      </c>
      <c t="s">
        <v>58613</v>
      </c>
    </row>
    <row>
      <c t="s">
        <v>17594</v>
      </c>
      <c t="s">
        <v>4827</v>
      </c>
      <c t="s">
        <v>20601</v>
      </c>
      <c t="s">
        <v>39284</v>
      </c>
      <c t="s">
        <v>37902</v>
      </c>
      <c s="3">
        <v>26250</v>
      </c>
      <c s="3">
        <v>26250</v>
      </c>
      <c s="3">
        <v>9433</v>
      </c>
      <c>
        <v>0</v>
      </c>
      <c s="3">
        <v>0</v>
      </c>
      <c s="3">
        <v>415.68</v>
      </c>
      <c s="3">
        <v>26250</v>
      </c>
      <c r="O194" s="1" t="str">
        <f ca="1">HYPERLINK("https://web.datatree.com/?/property?propertyId=32022159", "https://web.datatree.com/?/property?propertyId=32022159")</f>
        <v>https://web.datatree.com/?/property?propertyId=32022159</v>
      </c>
      <c r="Q194" t="s">
        <v>316</v>
      </c>
      <c>
        <v>0.248</v>
      </c>
      <c t="s">
        <v>5471</v>
      </c>
      <c t="s">
        <v>59339</v>
      </c>
      <c t="s">
        <v>11570</v>
      </c>
      <c r="X194" t="s">
        <v>11909</v>
      </c>
      <c t="s">
        <v>43940</v>
      </c>
      <c t="s">
        <v>65059</v>
      </c>
      <c t="s">
        <v>39289</v>
      </c>
      <c>
        <v>33905</v>
      </c>
      <c t="s">
        <v>12706</v>
      </c>
      <c t="s">
        <v>48794</v>
      </c>
      <c t="s">
        <v>26339</v>
      </c>
      <c>
        <v>220</v>
      </c>
      <c r="AI194" t="s">
        <v>5202</v>
      </c>
      <c t="s">
        <v>24900</v>
      </c>
      <c r="AL194" t="s">
        <v>26592</v>
      </c>
      <c r="AN194" t="s">
        <v>39289</v>
      </c>
      <c t="s">
        <v>4895</v>
      </c>
      <c t="s">
        <v>27780</v>
      </c>
      <c t="s">
        <v>3093</v>
      </c>
      <c t="s">
        <v>25499</v>
      </c>
    </row>
    <row>
      <c t="s">
        <v>17594</v>
      </c>
      <c t="s">
        <v>15766</v>
      </c>
      <c t="s">
        <v>50647</v>
      </c>
      <c t="s">
        <v>37373</v>
      </c>
      <c t="s">
        <v>56309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195" s="1" t="str">
        <f ca="1">HYPERLINK("https://web.datatree.com/?/property?propertyId=32022477", "https://web.datatree.com/?/property?propertyId=32022477")</f>
        <v>https://web.datatree.com/?/property?propertyId=32022477</v>
      </c>
      <c r="Q195" t="s">
        <v>316</v>
      </c>
      <c>
        <v>0.23</v>
      </c>
      <c t="s">
        <v>6175</v>
      </c>
      <c t="s">
        <v>33168</v>
      </c>
      <c t="s">
        <v>48450</v>
      </c>
      <c r="X195" t="s">
        <v>65589</v>
      </c>
      <c t="s">
        <v>66701</v>
      </c>
      <c t="s">
        <v>2517</v>
      </c>
      <c t="s">
        <v>39289</v>
      </c>
      <c>
        <v>33909</v>
      </c>
      <c t="s">
        <v>24626</v>
      </c>
      <c t="s">
        <v>48794</v>
      </c>
      <c t="s">
        <v>35044</v>
      </c>
      <c>
        <v>20</v>
      </c>
      <c r="AI195" t="s">
        <v>3938</v>
      </c>
      <c t="s">
        <v>45620</v>
      </c>
      <c r="AL195" t="s">
        <v>24373</v>
      </c>
      <c r="AN195" t="s">
        <v>22275</v>
      </c>
      <c t="s">
        <v>20495</v>
      </c>
      <c t="s">
        <v>42082</v>
      </c>
      <c t="s">
        <v>3093</v>
      </c>
      <c t="s">
        <v>40760</v>
      </c>
    </row>
    <row>
      <c t="s">
        <v>42103</v>
      </c>
      <c t="s">
        <v>8545</v>
      </c>
      <c t="s">
        <v>61211</v>
      </c>
      <c t="s">
        <v>12191</v>
      </c>
      <c t="s">
        <v>66023</v>
      </c>
      <c s="3">
        <v>7600</v>
      </c>
      <c s="3">
        <v>7600</v>
      </c>
      <c s="3">
        <v>7600</v>
      </c>
      <c>
        <v>0</v>
      </c>
      <c s="3">
        <v>0</v>
      </c>
      <c s="3">
        <v>636.05</v>
      </c>
      <c s="3">
        <v>7600</v>
      </c>
      <c r="O196" s="1" t="str">
        <f ca="1">HYPERLINK("https://web.datatree.com/?/property?propertyId=32023122", "https://web.datatree.com/?/property?propertyId=32023122")</f>
        <v>https://web.datatree.com/?/property?propertyId=32023122</v>
      </c>
      <c r="Q196" t="s">
        <v>316</v>
      </c>
      <c>
        <v>0.23</v>
      </c>
      <c t="s">
        <v>6175</v>
      </c>
      <c t="s">
        <v>14802</v>
      </c>
      <c t="s">
        <v>62538</v>
      </c>
      <c r="X196" t="s">
        <v>53171</v>
      </c>
      <c t="s">
        <v>49122</v>
      </c>
      <c t="s">
        <v>2517</v>
      </c>
      <c t="s">
        <v>39289</v>
      </c>
      <c>
        <v>33909</v>
      </c>
      <c t="s">
        <v>5480</v>
      </c>
      <c t="s">
        <v>48794</v>
      </c>
      <c t="s">
        <v>51160</v>
      </c>
      <c t="s">
        <v>51696</v>
      </c>
      <c r="AI196" t="s">
        <v>35986</v>
      </c>
      <c r="AL196" t="s">
        <v>62614</v>
      </c>
      <c r="AN196" t="s">
        <v>58864</v>
      </c>
      <c r="AQ196" t="s">
        <v>3093</v>
      </c>
      <c t="s">
        <v>9101</v>
      </c>
    </row>
    <row>
      <c t="s">
        <v>17594</v>
      </c>
      <c t="s">
        <v>15824</v>
      </c>
      <c t="s">
        <v>16568</v>
      </c>
      <c t="s">
        <v>59944</v>
      </c>
      <c t="s">
        <v>29011</v>
      </c>
      <c s="3">
        <v>40958</v>
      </c>
      <c s="3">
        <v>40698</v>
      </c>
      <c s="3">
        <v>26316</v>
      </c>
      <c>
        <v>0</v>
      </c>
      <c s="3">
        <v>0</v>
      </c>
      <c s="3">
        <v>473.66</v>
      </c>
      <c s="3">
        <v>40958</v>
      </c>
      <c r="O197" s="1" t="str">
        <f ca="1">HYPERLINK("https://web.datatree.com/?/property?propertyId=32023157", "https://web.datatree.com/?/property?propertyId=32023157")</f>
        <v>https://web.datatree.com/?/property?propertyId=32023157</v>
      </c>
      <c>
        <v>295</v>
      </c>
      <c t="s">
        <v>316</v>
      </c>
      <c>
        <v>0.048</v>
      </c>
      <c t="s">
        <v>54329</v>
      </c>
      <c t="s">
        <v>42212</v>
      </c>
      <c t="s">
        <v>9399</v>
      </c>
      <c t="s">
        <v>32675</v>
      </c>
      <c t="s">
        <v>9399</v>
      </c>
      <c t="s">
        <v>14844</v>
      </c>
      <c t="s">
        <v>41969</v>
      </c>
      <c t="s">
        <v>54524</v>
      </c>
      <c t="s">
        <v>39289</v>
      </c>
      <c>
        <v>33903</v>
      </c>
      <c t="s">
        <v>39040</v>
      </c>
      <c t="s">
        <v>48794</v>
      </c>
      <c t="s">
        <v>33783</v>
      </c>
      <c>
        <v>9744</v>
      </c>
      <c r="AI197" t="s">
        <v>17633</v>
      </c>
      <c t="s">
        <v>24900</v>
      </c>
      <c r="AL197" t="s">
        <v>40512</v>
      </c>
      <c t="s">
        <v>65059</v>
      </c>
      <c t="s">
        <v>51137</v>
      </c>
      <c t="s">
        <v>40546</v>
      </c>
      <c t="s">
        <v>62562</v>
      </c>
      <c t="s">
        <v>3093</v>
      </c>
      <c t="s">
        <v>56078</v>
      </c>
      <c>
        <v>1980</v>
      </c>
    </row>
    <row>
      <c t="s">
        <v>17594</v>
      </c>
      <c t="s">
        <v>17152</v>
      </c>
      <c t="s">
        <v>14612</v>
      </c>
      <c t="s">
        <v>51786</v>
      </c>
      <c t="s">
        <v>63343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198" s="1" t="str">
        <f ca="1">HYPERLINK("https://web.datatree.com/?/property?propertyId=32024058", "https://web.datatree.com/?/property?propertyId=32024058")</f>
        <v>https://web.datatree.com/?/property?propertyId=32024058</v>
      </c>
      <c r="Q198" t="s">
        <v>316</v>
      </c>
      <c>
        <v>0.23</v>
      </c>
      <c t="s">
        <v>22490</v>
      </c>
      <c r="U198" t="s">
        <v>15672</v>
      </c>
      <c r="W198" t="s">
        <v>16564</v>
      </c>
      <c t="s">
        <v>30075</v>
      </c>
      <c t="s">
        <v>2626</v>
      </c>
      <c t="s">
        <v>2517</v>
      </c>
      <c t="s">
        <v>39289</v>
      </c>
      <c>
        <v>33909</v>
      </c>
      <c t="s">
        <v>24238</v>
      </c>
      <c t="s">
        <v>48794</v>
      </c>
      <c t="s">
        <v>4372</v>
      </c>
      <c>
        <v>10151</v>
      </c>
      <c r="AI198" t="s">
        <v>7943</v>
      </c>
      <c t="s">
        <v>45393</v>
      </c>
      <c r="AL198" t="s">
        <v>55393</v>
      </c>
      <c r="AN198" t="s">
        <v>39289</v>
      </c>
      <c t="s">
        <v>8603</v>
      </c>
      <c t="s">
        <v>40826</v>
      </c>
      <c t="s">
        <v>3093</v>
      </c>
      <c t="s">
        <v>13352</v>
      </c>
    </row>
    <row>
      <c t="s">
        <v>17594</v>
      </c>
      <c t="s">
        <v>23931</v>
      </c>
      <c t="s">
        <v>19245</v>
      </c>
      <c t="s">
        <v>52389</v>
      </c>
      <c t="s">
        <v>38424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199" s="1" t="str">
        <f ca="1">HYPERLINK("https://web.datatree.com/?/property?propertyId=32024933", "https://web.datatree.com/?/property?propertyId=32024933")</f>
        <v>https://web.datatree.com/?/property?propertyId=32024933</v>
      </c>
      <c r="Q199" t="s">
        <v>316</v>
      </c>
      <c>
        <v>0.231</v>
      </c>
      <c t="s">
        <v>6175</v>
      </c>
      <c t="s">
        <v>19357</v>
      </c>
      <c t="s">
        <v>30405</v>
      </c>
      <c t="s">
        <v>49392</v>
      </c>
      <c t="s">
        <v>30405</v>
      </c>
      <c t="s">
        <v>14203</v>
      </c>
      <c t="s">
        <v>13829</v>
      </c>
      <c t="s">
        <v>2517</v>
      </c>
      <c t="s">
        <v>39289</v>
      </c>
      <c>
        <v>33909</v>
      </c>
      <c t="s">
        <v>9922</v>
      </c>
      <c t="s">
        <v>48794</v>
      </c>
      <c t="s">
        <v>12390</v>
      </c>
      <c>
        <v>3669</v>
      </c>
      <c r="AI199" t="s">
        <v>13719</v>
      </c>
      <c t="s">
        <v>63316</v>
      </c>
      <c t="s">
        <v>25384</v>
      </c>
      <c t="s">
        <v>53845</v>
      </c>
      <c t="s">
        <v>21385</v>
      </c>
      <c t="s">
        <v>9636</v>
      </c>
      <c>
        <v>99506</v>
      </c>
      <c r="AQ199" t="s">
        <v>3093</v>
      </c>
      <c t="s">
        <v>41023</v>
      </c>
    </row>
    <row>
      <c t="s">
        <v>17594</v>
      </c>
      <c t="s">
        <v>29433</v>
      </c>
      <c t="s">
        <v>47067</v>
      </c>
      <c t="s">
        <v>33344</v>
      </c>
      <c t="s">
        <v>48573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200" s="1" t="str">
        <f ca="1">HYPERLINK("https://web.datatree.com/?/property?propertyId=32025458", "https://web.datatree.com/?/property?propertyId=32025458")</f>
        <v>https://web.datatree.com/?/property?propertyId=32025458</v>
      </c>
      <c r="Q200" t="s">
        <v>316</v>
      </c>
      <c>
        <v>0.23</v>
      </c>
      <c t="s">
        <v>6175</v>
      </c>
      <c t="s">
        <v>62380</v>
      </c>
      <c t="s">
        <v>62676</v>
      </c>
      <c r="X200" t="s">
        <v>64074</v>
      </c>
      <c t="s">
        <v>39082</v>
      </c>
      <c t="s">
        <v>2517</v>
      </c>
      <c t="s">
        <v>39289</v>
      </c>
      <c>
        <v>33909</v>
      </c>
      <c t="s">
        <v>39205</v>
      </c>
      <c t="s">
        <v>48794</v>
      </c>
      <c t="s">
        <v>1334</v>
      </c>
      <c>
        <v>5105</v>
      </c>
      <c r="AI200" t="s">
        <v>43991</v>
      </c>
      <c t="s">
        <v>63316</v>
      </c>
      <c>
        <v>308</v>
      </c>
      <c t="s">
        <v>50237</v>
      </c>
      <c t="s">
        <v>50237</v>
      </c>
      <c t="s">
        <v>4477</v>
      </c>
      <c t="s">
        <v>60226</v>
      </c>
      <c t="s">
        <v>42082</v>
      </c>
      <c t="s">
        <v>3093</v>
      </c>
      <c t="s">
        <v>39077</v>
      </c>
    </row>
    <row>
      <c t="s">
        <v>17594</v>
      </c>
      <c t="s">
        <v>39246</v>
      </c>
      <c t="s">
        <v>6373</v>
      </c>
      <c t="s">
        <v>31335</v>
      </c>
      <c t="s">
        <v>37011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>
        <v>2021</v>
      </c>
      <c>
        <v>346.95</v>
      </c>
      <c s="1" t="str">
        <f ca="1">HYPERLINK("https://web.datatree.com/?/property?propertyId=32025941", "https://web.datatree.com/?/property?propertyId=32025941")</f>
        <v>https://web.datatree.com/?/property?propertyId=32025941</v>
      </c>
      <c r="Q201" t="s">
        <v>316</v>
      </c>
      <c>
        <v>0.229</v>
      </c>
      <c t="s">
        <v>5471</v>
      </c>
      <c t="s">
        <v>38202</v>
      </c>
      <c t="s">
        <v>54110</v>
      </c>
      <c t="s">
        <v>43826</v>
      </c>
      <c t="s">
        <v>54110</v>
      </c>
      <c t="s">
        <v>54549</v>
      </c>
      <c t="s">
        <v>48509</v>
      </c>
      <c t="s">
        <v>65059</v>
      </c>
      <c t="s">
        <v>39289</v>
      </c>
      <c>
        <v>33905</v>
      </c>
      <c t="s">
        <v>34214</v>
      </c>
      <c t="s">
        <v>48794</v>
      </c>
      <c t="s">
        <v>39222</v>
      </c>
      <c>
        <v>473</v>
      </c>
      <c r="AI201" t="s">
        <v>38774</v>
      </c>
      <c t="s">
        <v>24900</v>
      </c>
      <c r="AL201" t="s">
        <v>29206</v>
      </c>
      <c r="AN201" t="s">
        <v>22275</v>
      </c>
      <c t="s">
        <v>61827</v>
      </c>
      <c t="s">
        <v>4480</v>
      </c>
      <c t="s">
        <v>3093</v>
      </c>
      <c t="s">
        <v>17423</v>
      </c>
    </row>
    <row>
      <c t="s">
        <v>17594</v>
      </c>
      <c t="s">
        <v>35905</v>
      </c>
      <c t="s">
        <v>65855</v>
      </c>
      <c t="s">
        <v>20289</v>
      </c>
      <c t="s">
        <v>511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202" s="1" t="str">
        <f ca="1">HYPERLINK("https://web.datatree.com/?/property?propertyId=32026334", "https://web.datatree.com/?/property?propertyId=32026334")</f>
        <v>https://web.datatree.com/?/property?propertyId=32026334</v>
      </c>
      <c r="Q202" t="s">
        <v>316</v>
      </c>
      <c>
        <v>0.23</v>
      </c>
      <c t="s">
        <v>22490</v>
      </c>
      <c t="s">
        <v>5592</v>
      </c>
      <c t="s">
        <v>19326</v>
      </c>
      <c r="X202" t="s">
        <v>65974</v>
      </c>
      <c t="s">
        <v>11985</v>
      </c>
      <c t="s">
        <v>2517</v>
      </c>
      <c t="s">
        <v>39289</v>
      </c>
      <c>
        <v>33909</v>
      </c>
      <c>
        <v>33909</v>
      </c>
      <c t="s">
        <v>48794</v>
      </c>
      <c t="s">
        <v>48751</v>
      </c>
      <c>
        <v>601</v>
      </c>
      <c r="AI202" t="s">
        <v>17633</v>
      </c>
      <c t="s">
        <v>45393</v>
      </c>
      <c>
        <v>26</v>
      </c>
      <c t="s">
        <v>13397</v>
      </c>
      <c r="AN202" t="s">
        <v>50917</v>
      </c>
      <c t="s">
        <v>44453</v>
      </c>
      <c t="s">
        <v>32746</v>
      </c>
      <c t="s">
        <v>3093</v>
      </c>
      <c t="s">
        <v>32940</v>
      </c>
    </row>
    <row>
      <c t="s">
        <v>17594</v>
      </c>
      <c t="s">
        <v>13450</v>
      </c>
      <c t="s">
        <v>45047</v>
      </c>
      <c t="s">
        <v>49906</v>
      </c>
      <c t="s">
        <v>46299</v>
      </c>
      <c s="3">
        <v>20376</v>
      </c>
      <c s="3">
        <v>20376</v>
      </c>
      <c s="3">
        <v>9240</v>
      </c>
      <c>
        <v>0</v>
      </c>
      <c s="3">
        <v>0</v>
      </c>
      <c s="3">
        <v>584.18</v>
      </c>
      <c s="3">
        <v>20376</v>
      </c>
      <c r="O203" s="1" t="str">
        <f ca="1">HYPERLINK("https://web.datatree.com/?/property?propertyId=32026489", "https://web.datatree.com/?/property?propertyId=32026489")</f>
        <v>https://web.datatree.com/?/property?propertyId=32026489</v>
      </c>
      <c r="Q203" t="s">
        <v>316</v>
      </c>
      <c>
        <v>0.244</v>
      </c>
      <c t="s">
        <v>22490</v>
      </c>
      <c r="U203" t="s">
        <v>12574</v>
      </c>
      <c r="W203" t="s">
        <v>50833</v>
      </c>
      <c t="s">
        <v>20556</v>
      </c>
      <c t="s">
        <v>11985</v>
      </c>
      <c t="s">
        <v>2517</v>
      </c>
      <c t="s">
        <v>39289</v>
      </c>
      <c>
        <v>33909</v>
      </c>
      <c>
        <v>33909</v>
      </c>
      <c t="s">
        <v>48794</v>
      </c>
      <c t="s">
        <v>14577</v>
      </c>
      <c>
        <v>115</v>
      </c>
      <c r="AI203" t="s">
        <v>40961</v>
      </c>
      <c t="s">
        <v>45393</v>
      </c>
      <c r="AL203" t="s">
        <v>66801</v>
      </c>
      <c r="AN203" t="s">
        <v>27747</v>
      </c>
      <c t="s">
        <v>53201</v>
      </c>
      <c t="s">
        <v>39331</v>
      </c>
      <c t="s">
        <v>3093</v>
      </c>
      <c t="s">
        <v>46493</v>
      </c>
    </row>
    <row>
      <c t="s">
        <v>17594</v>
      </c>
      <c t="s">
        <v>23773</v>
      </c>
      <c t="s">
        <v>23473</v>
      </c>
      <c t="s">
        <v>2211</v>
      </c>
      <c t="s">
        <v>25951</v>
      </c>
      <c s="3">
        <v>8246</v>
      </c>
      <c s="3">
        <v>8246</v>
      </c>
      <c s="3">
        <v>4972</v>
      </c>
      <c>
        <v>0</v>
      </c>
      <c s="3">
        <v>0</v>
      </c>
      <c s="3">
        <v>315.35</v>
      </c>
      <c s="3">
        <v>8246</v>
      </c>
      <c r="O204" s="1" t="str">
        <f ca="1">HYPERLINK("https://web.datatree.com/?/property?propertyId=32026726", "https://web.datatree.com/?/property?propertyId=32026726")</f>
        <v>https://web.datatree.com/?/property?propertyId=32026726</v>
      </c>
      <c r="Q204" t="s">
        <v>316</v>
      </c>
      <c>
        <v>0.229</v>
      </c>
      <c t="s">
        <v>5471</v>
      </c>
      <c t="s">
        <v>43826</v>
      </c>
      <c t="s">
        <v>36865</v>
      </c>
      <c r="X204" t="s">
        <v>31638</v>
      </c>
      <c t="s">
        <v>48116</v>
      </c>
      <c t="s">
        <v>65059</v>
      </c>
      <c t="s">
        <v>39289</v>
      </c>
      <c>
        <v>33905</v>
      </c>
      <c t="s">
        <v>45822</v>
      </c>
      <c t="s">
        <v>48794</v>
      </c>
      <c t="s">
        <v>42136</v>
      </c>
      <c>
        <v>5808</v>
      </c>
      <c r="AI204" t="s">
        <v>38306</v>
      </c>
      <c t="s">
        <v>39321</v>
      </c>
      <c r="AL204" t="s">
        <v>54287</v>
      </c>
      <c r="AN204" t="s">
        <v>17134</v>
      </c>
      <c t="s">
        <v>63935</v>
      </c>
      <c t="s">
        <v>62701</v>
      </c>
      <c t="s">
        <v>3093</v>
      </c>
      <c t="s">
        <v>5670</v>
      </c>
    </row>
    <row>
      <c t="s">
        <v>17594</v>
      </c>
      <c t="s">
        <v>48163</v>
      </c>
      <c t="s">
        <v>37228</v>
      </c>
      <c t="s">
        <v>9549</v>
      </c>
      <c t="s">
        <v>27810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205" s="1" t="str">
        <f ca="1">HYPERLINK("https://web.datatree.com/?/property?propertyId=32027278", "https://web.datatree.com/?/property?propertyId=32027278")</f>
        <v>https://web.datatree.com/?/property?propertyId=32027278</v>
      </c>
      <c r="Q205" t="s">
        <v>316</v>
      </c>
      <c>
        <v>0.244</v>
      </c>
      <c t="s">
        <v>6175</v>
      </c>
      <c t="s">
        <v>35237</v>
      </c>
      <c t="s">
        <v>24430</v>
      </c>
      <c t="s">
        <v>44610</v>
      </c>
      <c t="s">
        <v>24430</v>
      </c>
      <c t="s">
        <v>61155</v>
      </c>
      <c t="s">
        <v>33179</v>
      </c>
      <c t="s">
        <v>2517</v>
      </c>
      <c t="s">
        <v>39289</v>
      </c>
      <c>
        <v>33909</v>
      </c>
      <c t="s">
        <v>59890</v>
      </c>
      <c t="s">
        <v>48794</v>
      </c>
      <c t="s">
        <v>43817</v>
      </c>
      <c>
        <v>8455</v>
      </c>
      <c r="AI205" t="s">
        <v>56596</v>
      </c>
      <c t="s">
        <v>45393</v>
      </c>
      <c r="AL205" t="s">
        <v>1121</v>
      </c>
      <c r="AN205" t="s">
        <v>39289</v>
      </c>
      <c t="s">
        <v>16448</v>
      </c>
      <c t="s">
        <v>23888</v>
      </c>
      <c t="s">
        <v>3093</v>
      </c>
      <c t="s">
        <v>58177</v>
      </c>
    </row>
    <row>
      <c t="s">
        <v>17594</v>
      </c>
      <c t="s">
        <v>31513</v>
      </c>
      <c t="s">
        <v>23537</v>
      </c>
      <c t="s">
        <v>47076</v>
      </c>
      <c t="s">
        <v>4095</v>
      </c>
      <c s="3">
        <v>41000</v>
      </c>
      <c s="3">
        <v>41000</v>
      </c>
      <c s="3">
        <v>13310</v>
      </c>
      <c>
        <v>0</v>
      </c>
      <c s="3">
        <v>0</v>
      </c>
      <c s="3">
        <v>832.96</v>
      </c>
      <c s="3">
        <v>41000</v>
      </c>
      <c r="O206" s="1" t="str">
        <f ca="1">HYPERLINK("https://web.datatree.com/?/property?propertyId=32027713", "https://web.datatree.com/?/property?propertyId=32027713")</f>
        <v>https://web.datatree.com/?/property?propertyId=32027713</v>
      </c>
      <c r="Q206" t="s">
        <v>316</v>
      </c>
      <c>
        <v>0.344</v>
      </c>
      <c t="s">
        <v>14479</v>
      </c>
      <c t="s">
        <v>49349</v>
      </c>
      <c t="s">
        <v>17365</v>
      </c>
      <c t="s">
        <v>52701</v>
      </c>
      <c t="s">
        <v>52915</v>
      </c>
      <c t="s">
        <v>7532</v>
      </c>
      <c t="s">
        <v>39082</v>
      </c>
      <c t="s">
        <v>2517</v>
      </c>
      <c t="s">
        <v>39289</v>
      </c>
      <c>
        <v>33909</v>
      </c>
      <c t="s">
        <v>58776</v>
      </c>
      <c t="s">
        <v>48794</v>
      </c>
      <c t="s">
        <v>54031</v>
      </c>
      <c>
        <v>218</v>
      </c>
      <c r="AI206" t="s">
        <v>61096</v>
      </c>
      <c t="s">
        <v>45393</v>
      </c>
      <c r="AL206" t="s">
        <v>29515</v>
      </c>
      <c r="AN206" t="s">
        <v>39289</v>
      </c>
      <c t="s">
        <v>39373</v>
      </c>
      <c t="s">
        <v>21201</v>
      </c>
      <c t="s">
        <v>3093</v>
      </c>
      <c t="s">
        <v>28176</v>
      </c>
    </row>
    <row>
      <c t="s">
        <v>17594</v>
      </c>
      <c t="s">
        <v>31779</v>
      </c>
      <c t="s">
        <v>54191</v>
      </c>
      <c t="s">
        <v>11211</v>
      </c>
      <c t="s">
        <v>18469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207" s="1" t="str">
        <f ca="1">HYPERLINK("https://web.datatree.com/?/property?propertyId=32028133", "https://web.datatree.com/?/property?propertyId=32028133")</f>
        <v>https://web.datatree.com/?/property?propertyId=32028133</v>
      </c>
      <c r="Q207" t="s">
        <v>316</v>
      </c>
      <c>
        <v>0.23</v>
      </c>
      <c t="s">
        <v>22490</v>
      </c>
      <c t="s">
        <v>27704</v>
      </c>
      <c t="s">
        <v>27706</v>
      </c>
      <c r="X207" t="s">
        <v>39577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56354</v>
      </c>
      <c>
        <v>1049</v>
      </c>
      <c r="AI207" t="s">
        <v>47935</v>
      </c>
      <c t="s">
        <v>31192</v>
      </c>
      <c r="AL207" t="s">
        <v>14910</v>
      </c>
      <c r="AN207" t="s">
        <v>22275</v>
      </c>
      <c t="s">
        <v>17437</v>
      </c>
      <c t="s">
        <v>26242</v>
      </c>
      <c t="s">
        <v>3093</v>
      </c>
      <c t="s">
        <v>39244</v>
      </c>
    </row>
    <row>
      <c t="s">
        <v>17594</v>
      </c>
      <c t="s">
        <v>8150</v>
      </c>
      <c t="s">
        <v>33492</v>
      </c>
      <c t="s">
        <v>33574</v>
      </c>
      <c t="s">
        <v>15035</v>
      </c>
      <c s="3">
        <v>31548</v>
      </c>
      <c s="3">
        <v>31548</v>
      </c>
      <c s="3">
        <v>31548</v>
      </c>
      <c>
        <v>0</v>
      </c>
      <c s="3">
        <v>0</v>
      </c>
      <c s="3">
        <v>967.21</v>
      </c>
      <c s="3">
        <v>31548</v>
      </c>
      <c r="O208" s="1" t="str">
        <f ca="1">HYPERLINK("https://web.datatree.com/?/property?propertyId=32028224", "https://web.datatree.com/?/property?propertyId=32028224")</f>
        <v>https://web.datatree.com/?/property?propertyId=32028224</v>
      </c>
      <c r="Q208" t="s">
        <v>316</v>
      </c>
      <c>
        <v>0.344</v>
      </c>
      <c t="s">
        <v>22490</v>
      </c>
      <c t="s">
        <v>44457</v>
      </c>
      <c t="s">
        <v>42746</v>
      </c>
      <c r="X208" t="s">
        <v>59469</v>
      </c>
      <c t="s">
        <v>2626</v>
      </c>
      <c t="s">
        <v>2517</v>
      </c>
      <c t="s">
        <v>39289</v>
      </c>
      <c>
        <v>33909</v>
      </c>
      <c t="s">
        <v>24238</v>
      </c>
      <c t="s">
        <v>48794</v>
      </c>
      <c t="s">
        <v>46296</v>
      </c>
      <c>
        <v>10337</v>
      </c>
      <c r="AI208" t="s">
        <v>24999</v>
      </c>
      <c t="s">
        <v>39321</v>
      </c>
      <c r="AL208" t="s">
        <v>46703</v>
      </c>
      <c t="s">
        <v>46703</v>
      </c>
      <c t="s">
        <v>39289</v>
      </c>
      <c t="s">
        <v>56199</v>
      </c>
      <c t="s">
        <v>39331</v>
      </c>
      <c t="s">
        <v>3093</v>
      </c>
      <c t="s">
        <v>31891</v>
      </c>
    </row>
    <row>
      <c t="s">
        <v>17594</v>
      </c>
      <c t="s">
        <v>63331</v>
      </c>
      <c t="s">
        <v>14524</v>
      </c>
      <c t="s">
        <v>67000</v>
      </c>
      <c t="s">
        <v>43376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2021</v>
      </c>
      <c>
        <v>348.45</v>
      </c>
      <c s="1" t="str">
        <f ca="1">HYPERLINK("https://web.datatree.com/?/property?propertyId=32028595", "https://web.datatree.com/?/property?propertyId=32028595")</f>
        <v>https://web.datatree.com/?/property?propertyId=32028595</v>
      </c>
      <c r="Q209" t="s">
        <v>316</v>
      </c>
      <c>
        <v>0.241</v>
      </c>
      <c t="s">
        <v>5471</v>
      </c>
      <c t="s">
        <v>35571</v>
      </c>
      <c t="s">
        <v>33494</v>
      </c>
      <c r="X209" t="s">
        <v>18812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64875</v>
      </c>
      <c>
        <v>13098</v>
      </c>
      <c r="AI209" t="s">
        <v>49015</v>
      </c>
      <c t="s">
        <v>45620</v>
      </c>
      <c>
        <v>1451</v>
      </c>
      <c t="s">
        <v>54986</v>
      </c>
      <c t="s">
        <v>54986</v>
      </c>
      <c t="s">
        <v>18236</v>
      </c>
      <c t="s">
        <v>41619</v>
      </c>
      <c t="s">
        <v>15968</v>
      </c>
      <c t="s">
        <v>3093</v>
      </c>
      <c t="s">
        <v>37105</v>
      </c>
    </row>
    <row>
      <c t="s">
        <v>42103</v>
      </c>
      <c t="s">
        <v>36359</v>
      </c>
      <c t="s">
        <v>19585</v>
      </c>
      <c t="s">
        <v>9352</v>
      </c>
      <c t="s">
        <v>36683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 r="O210" s="1" t="str">
        <f ca="1">HYPERLINK("https://web.datatree.com/?/property?propertyId=32029274", "https://web.datatree.com/?/property?propertyId=32029274")</f>
        <v>https://web.datatree.com/?/property?propertyId=32029274</v>
      </c>
      <c r="Q210" t="s">
        <v>316</v>
      </c>
      <c>
        <v>0.23</v>
      </c>
      <c t="s">
        <v>45031</v>
      </c>
      <c t="s">
        <v>35664</v>
      </c>
      <c t="s">
        <v>38500</v>
      </c>
      <c t="s">
        <v>22061</v>
      </c>
      <c t="s">
        <v>16250</v>
      </c>
      <c t="s">
        <v>63220</v>
      </c>
      <c t="s">
        <v>18679</v>
      </c>
      <c t="s">
        <v>2517</v>
      </c>
      <c t="s">
        <v>39289</v>
      </c>
      <c>
        <v>33909</v>
      </c>
      <c t="s">
        <v>1337</v>
      </c>
      <c t="s">
        <v>48794</v>
      </c>
      <c t="s">
        <v>29789</v>
      </c>
      <c t="str">
        <f>"E9-105"</f>
        <v>E9-105</v>
      </c>
      <c r="AI210" t="s">
        <v>59197</v>
      </c>
      <c r="AL210" t="s">
        <v>62807</v>
      </c>
      <c r="AN210" t="s">
        <v>54940</v>
      </c>
      <c r="AQ210" t="s">
        <v>3093</v>
      </c>
      <c t="s">
        <v>24812</v>
      </c>
    </row>
    <row>
      <c t="s">
        <v>17594</v>
      </c>
      <c t="s">
        <v>39057</v>
      </c>
      <c t="s">
        <v>36455</v>
      </c>
      <c t="s">
        <v>18663</v>
      </c>
      <c t="s">
        <v>41256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211" s="1" t="str">
        <f ca="1">HYPERLINK("https://web.datatree.com/?/property?propertyId=32029856", "https://web.datatree.com/?/property?propertyId=32029856")</f>
        <v>https://web.datatree.com/?/property?propertyId=32029856</v>
      </c>
      <c r="Q211" t="s">
        <v>316</v>
      </c>
      <c>
        <v>0.249</v>
      </c>
      <c t="s">
        <v>5471</v>
      </c>
      <c t="s">
        <v>47754</v>
      </c>
      <c t="s">
        <v>481</v>
      </c>
      <c t="s">
        <v>32675</v>
      </c>
      <c t="s">
        <v>29670</v>
      </c>
      <c t="s">
        <v>6810</v>
      </c>
      <c t="s">
        <v>18225</v>
      </c>
      <c t="s">
        <v>65059</v>
      </c>
      <c t="s">
        <v>39289</v>
      </c>
      <c>
        <v>33905</v>
      </c>
      <c t="s">
        <v>1710</v>
      </c>
      <c t="s">
        <v>48794</v>
      </c>
      <c t="s">
        <v>29296</v>
      </c>
      <c>
        <v>400</v>
      </c>
      <c r="AI211" t="s">
        <v>6328</v>
      </c>
      <c t="s">
        <v>24900</v>
      </c>
      <c r="AL211" t="s">
        <v>6365</v>
      </c>
      <c t="s">
        <v>6365</v>
      </c>
      <c t="s">
        <v>39289</v>
      </c>
      <c t="s">
        <v>18268</v>
      </c>
      <c t="s">
        <v>45980</v>
      </c>
      <c t="s">
        <v>3093</v>
      </c>
      <c t="s">
        <v>28032</v>
      </c>
    </row>
    <row>
      <c t="s">
        <v>17594</v>
      </c>
      <c t="s">
        <v>57695</v>
      </c>
      <c t="s">
        <v>42458</v>
      </c>
      <c t="s">
        <v>45386</v>
      </c>
      <c t="s">
        <v>41994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212" s="1" t="str">
        <f ca="1">HYPERLINK("https://web.datatree.com/?/property?propertyId=32029881", "https://web.datatree.com/?/property?propertyId=32029881")</f>
        <v>https://web.datatree.com/?/property?propertyId=32029881</v>
      </c>
      <c r="Q212" t="s">
        <v>316</v>
      </c>
      <c>
        <v>0.23</v>
      </c>
      <c t="s">
        <v>54449</v>
      </c>
      <c t="s">
        <v>18093</v>
      </c>
      <c t="s">
        <v>54907</v>
      </c>
      <c t="s">
        <v>22321</v>
      </c>
      <c t="s">
        <v>54907</v>
      </c>
      <c t="s">
        <v>26568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3227</v>
      </c>
      <c>
        <v>815</v>
      </c>
      <c r="AI212" t="s">
        <v>34253</v>
      </c>
      <c t="s">
        <v>40123</v>
      </c>
      <c r="AL212" t="s">
        <v>2407</v>
      </c>
      <c t="s">
        <v>2407</v>
      </c>
      <c t="s">
        <v>17134</v>
      </c>
      <c t="s">
        <v>39403</v>
      </c>
      <c t="s">
        <v>43294</v>
      </c>
      <c t="s">
        <v>3093</v>
      </c>
      <c t="s">
        <v>35143</v>
      </c>
    </row>
    <row>
      <c t="s">
        <v>17594</v>
      </c>
      <c t="s">
        <v>18083</v>
      </c>
      <c t="s">
        <v>34167</v>
      </c>
      <c t="s">
        <v>44703</v>
      </c>
      <c t="s">
        <v>20466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213" s="1" t="str">
        <f ca="1">HYPERLINK("https://web.datatree.com/?/property?propertyId=32029901", "https://web.datatree.com/?/property?propertyId=32029901")</f>
        <v>https://web.datatree.com/?/property?propertyId=32029901</v>
      </c>
      <c r="Q213" t="s">
        <v>316</v>
      </c>
      <c>
        <v>0.241</v>
      </c>
      <c t="s">
        <v>6175</v>
      </c>
      <c t="s">
        <v>48545</v>
      </c>
      <c t="s">
        <v>33768</v>
      </c>
      <c t="s">
        <v>3994</v>
      </c>
      <c t="s">
        <v>39371</v>
      </c>
      <c t="s">
        <v>3702</v>
      </c>
      <c t="s">
        <v>13829</v>
      </c>
      <c t="s">
        <v>2517</v>
      </c>
      <c t="s">
        <v>39289</v>
      </c>
      <c>
        <v>33909</v>
      </c>
      <c t="s">
        <v>53933</v>
      </c>
      <c t="s">
        <v>48794</v>
      </c>
      <c t="s">
        <v>2323</v>
      </c>
      <c>
        <v>3500</v>
      </c>
      <c r="AI213" t="s">
        <v>6365</v>
      </c>
      <c t="s">
        <v>41372</v>
      </c>
      <c r="AL213" t="s">
        <v>25848</v>
      </c>
      <c r="AN213" t="s">
        <v>17134</v>
      </c>
      <c t="s">
        <v>59189</v>
      </c>
      <c t="s">
        <v>6081</v>
      </c>
      <c t="s">
        <v>3093</v>
      </c>
      <c t="s">
        <v>59542</v>
      </c>
    </row>
    <row>
      <c t="s">
        <v>17594</v>
      </c>
      <c t="s">
        <v>48295</v>
      </c>
      <c t="s">
        <v>26423</v>
      </c>
      <c t="s">
        <v>23877</v>
      </c>
      <c t="s">
        <v>26318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214" s="1" t="str">
        <f ca="1">HYPERLINK("https://web.datatree.com/?/property?propertyId=32030024", "https://web.datatree.com/?/property?propertyId=32030024")</f>
        <v>https://web.datatree.com/?/property?propertyId=32030024</v>
      </c>
      <c r="Q214" t="s">
        <v>316</v>
      </c>
      <c>
        <v>0.23</v>
      </c>
      <c t="s">
        <v>22490</v>
      </c>
      <c t="s">
        <v>40985</v>
      </c>
      <c t="s">
        <v>7995</v>
      </c>
      <c r="X214" t="s">
        <v>35644</v>
      </c>
      <c t="s">
        <v>24999</v>
      </c>
      <c t="s">
        <v>2517</v>
      </c>
      <c t="s">
        <v>39289</v>
      </c>
      <c>
        <v>33909</v>
      </c>
      <c t="s">
        <v>20628</v>
      </c>
      <c t="s">
        <v>48794</v>
      </c>
      <c t="s">
        <v>24572</v>
      </c>
      <c>
        <v>24268</v>
      </c>
      <c r="AI214" t="s">
        <v>54398</v>
      </c>
      <c t="s">
        <v>55842</v>
      </c>
      <c r="AL214" t="s">
        <v>2102</v>
      </c>
      <c r="AN214" t="s">
        <v>51087</v>
      </c>
      <c t="s">
        <v>1309</v>
      </c>
      <c t="s">
        <v>33721</v>
      </c>
      <c t="s">
        <v>3093</v>
      </c>
      <c t="s">
        <v>38223</v>
      </c>
    </row>
    <row>
      <c t="s">
        <v>17594</v>
      </c>
      <c t="s">
        <v>46138</v>
      </c>
      <c t="s">
        <v>12875</v>
      </c>
      <c t="s">
        <v>6194</v>
      </c>
      <c t="s">
        <v>595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215" s="1" t="str">
        <f ca="1">HYPERLINK("https://web.datatree.com/?/property?propertyId=32030034", "https://web.datatree.com/?/property?propertyId=32030034")</f>
        <v>https://web.datatree.com/?/property?propertyId=32030034</v>
      </c>
      <c r="Q215" t="s">
        <v>316</v>
      </c>
      <c>
        <v>0.23</v>
      </c>
      <c t="s">
        <v>22490</v>
      </c>
      <c t="s">
        <v>3200</v>
      </c>
      <c t="s">
        <v>23787</v>
      </c>
      <c r="X215" t="s">
        <v>43860</v>
      </c>
      <c t="s">
        <v>24999</v>
      </c>
      <c t="s">
        <v>2517</v>
      </c>
      <c t="s">
        <v>39289</v>
      </c>
      <c>
        <v>33909</v>
      </c>
      <c t="s">
        <v>54711</v>
      </c>
      <c t="s">
        <v>48794</v>
      </c>
      <c t="s">
        <v>41489</v>
      </c>
      <c>
        <v>14</v>
      </c>
      <c r="AI215" t="s">
        <v>66690</v>
      </c>
      <c t="s">
        <v>40123</v>
      </c>
      <c r="AL215" t="s">
        <v>11150</v>
      </c>
      <c r="AN215" t="s">
        <v>26016</v>
      </c>
      <c t="s">
        <v>9796</v>
      </c>
      <c t="s">
        <v>53800</v>
      </c>
      <c t="s">
        <v>3093</v>
      </c>
      <c t="s">
        <v>49207</v>
      </c>
    </row>
    <row>
      <c t="s">
        <v>17594</v>
      </c>
      <c t="s">
        <v>34882</v>
      </c>
      <c t="s">
        <v>60054</v>
      </c>
      <c t="s">
        <v>36923</v>
      </c>
      <c t="s">
        <v>51765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216" s="1" t="str">
        <f ca="1">HYPERLINK("https://web.datatree.com/?/property?propertyId=32030409", "https://web.datatree.com/?/property?propertyId=32030409")</f>
        <v>https://web.datatree.com/?/property?propertyId=32030409</v>
      </c>
      <c r="Q216" t="s">
        <v>316</v>
      </c>
      <c>
        <v>0.23</v>
      </c>
      <c t="s">
        <v>6175</v>
      </c>
      <c t="s">
        <v>4996</v>
      </c>
      <c t="s">
        <v>2588</v>
      </c>
      <c r="W216" t="s">
        <v>38893</v>
      </c>
      <c t="s">
        <v>46811</v>
      </c>
      <c t="s">
        <v>46469</v>
      </c>
      <c t="s">
        <v>2517</v>
      </c>
      <c t="s">
        <v>39289</v>
      </c>
      <c>
        <v>33909</v>
      </c>
      <c t="s">
        <v>35074</v>
      </c>
      <c t="s">
        <v>48794</v>
      </c>
      <c t="s">
        <v>16337</v>
      </c>
      <c>
        <v>2716</v>
      </c>
      <c r="AI216" t="s">
        <v>14805</v>
      </c>
      <c t="s">
        <v>835</v>
      </c>
      <c r="AL216" t="s">
        <v>20687</v>
      </c>
      <c t="s">
        <v>20687</v>
      </c>
      <c t="s">
        <v>65451</v>
      </c>
      <c t="s">
        <v>48853</v>
      </c>
      <c t="s">
        <v>19978</v>
      </c>
      <c t="s">
        <v>3093</v>
      </c>
      <c t="s">
        <v>57401</v>
      </c>
    </row>
    <row>
      <c t="s">
        <v>17594</v>
      </c>
      <c t="s">
        <v>20685</v>
      </c>
      <c t="s">
        <v>23287</v>
      </c>
      <c t="s">
        <v>61731</v>
      </c>
      <c t="s">
        <v>37155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217" s="1" t="str">
        <f ca="1">HYPERLINK("https://web.datatree.com/?/property?propertyId=32030701", "https://web.datatree.com/?/property?propertyId=32030701")</f>
        <v>https://web.datatree.com/?/property?propertyId=32030701</v>
      </c>
      <c r="Q217" t="s">
        <v>316</v>
      </c>
      <c>
        <v>0.23</v>
      </c>
      <c t="s">
        <v>22490</v>
      </c>
      <c t="s">
        <v>7346</v>
      </c>
      <c t="s">
        <v>39982</v>
      </c>
      <c r="X217" t="s">
        <v>60961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52270</v>
      </c>
      <c>
        <v>1434</v>
      </c>
      <c r="AI217" t="s">
        <v>30764</v>
      </c>
      <c t="s">
        <v>31192</v>
      </c>
      <c>
        <v>106</v>
      </c>
      <c t="s">
        <v>30396</v>
      </c>
      <c t="s">
        <v>30396</v>
      </c>
      <c t="s">
        <v>39289</v>
      </c>
      <c t="s">
        <v>47543</v>
      </c>
      <c t="s">
        <v>56186</v>
      </c>
      <c t="s">
        <v>3093</v>
      </c>
      <c t="s">
        <v>53953</v>
      </c>
    </row>
    <row>
      <c t="s">
        <v>17594</v>
      </c>
      <c t="s">
        <v>55830</v>
      </c>
      <c t="s">
        <v>50264</v>
      </c>
      <c t="s">
        <v>380</v>
      </c>
      <c t="s">
        <v>7833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>
        <v>2020</v>
      </c>
      <c>
        <v>1094.67</v>
      </c>
      <c s="1" t="str">
        <f ca="1">HYPERLINK("https://web.datatree.com/?/property?propertyId=32030815", "https://web.datatree.com/?/property?propertyId=32030815")</f>
        <v>https://web.datatree.com/?/property?propertyId=32030815</v>
      </c>
      <c r="Q218" t="s">
        <v>316</v>
      </c>
      <c>
        <v>0.23</v>
      </c>
      <c t="s">
        <v>6175</v>
      </c>
      <c t="s">
        <v>63488</v>
      </c>
      <c t="s">
        <v>5509</v>
      </c>
      <c r="X218" t="s">
        <v>39810</v>
      </c>
      <c t="s">
        <v>49122</v>
      </c>
      <c t="s">
        <v>2517</v>
      </c>
      <c t="s">
        <v>39289</v>
      </c>
      <c>
        <v>33909</v>
      </c>
      <c t="s">
        <v>9249</v>
      </c>
      <c t="s">
        <v>48794</v>
      </c>
      <c t="s">
        <v>37770</v>
      </c>
      <c r="AI218" t="s">
        <v>23673</v>
      </c>
      <c r="AL218" t="s">
        <v>53927</v>
      </c>
      <c t="s">
        <v>53927</v>
      </c>
      <c t="s">
        <v>32576</v>
      </c>
      <c>
        <v>29250</v>
      </c>
      <c r="AR218" t="s">
        <v>13854</v>
      </c>
    </row>
    <row>
      <c t="s">
        <v>17594</v>
      </c>
      <c t="s">
        <v>27803</v>
      </c>
      <c t="s">
        <v>33956</v>
      </c>
      <c t="s">
        <v>10662</v>
      </c>
      <c t="s">
        <v>4804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219" s="1" t="str">
        <f ca="1">HYPERLINK("https://web.datatree.com/?/property?propertyId=32031202", "https://web.datatree.com/?/property?propertyId=32031202")</f>
        <v>https://web.datatree.com/?/property?propertyId=32031202</v>
      </c>
      <c r="Q219" t="s">
        <v>316</v>
      </c>
      <c>
        <v>0.23</v>
      </c>
      <c t="s">
        <v>6175</v>
      </c>
      <c t="s">
        <v>45883</v>
      </c>
      <c t="s">
        <v>32018</v>
      </c>
      <c t="s">
        <v>67208</v>
      </c>
      <c t="s">
        <v>32018</v>
      </c>
      <c t="s">
        <v>14287</v>
      </c>
      <c t="s">
        <v>29190</v>
      </c>
      <c t="s">
        <v>2517</v>
      </c>
      <c t="s">
        <v>39289</v>
      </c>
      <c>
        <v>33909</v>
      </c>
      <c t="s">
        <v>58606</v>
      </c>
      <c t="s">
        <v>48794</v>
      </c>
      <c t="s">
        <v>25898</v>
      </c>
      <c>
        <v>1411</v>
      </c>
      <c r="AI219" t="s">
        <v>2619</v>
      </c>
      <c t="s">
        <v>45393</v>
      </c>
      <c r="AL219" t="s">
        <v>66362</v>
      </c>
      <c r="AN219" t="s">
        <v>19878</v>
      </c>
      <c t="s">
        <v>43563</v>
      </c>
      <c t="s">
        <v>52247</v>
      </c>
      <c t="s">
        <v>3093</v>
      </c>
      <c t="s">
        <v>53771</v>
      </c>
    </row>
    <row>
      <c t="s">
        <v>17594</v>
      </c>
      <c t="s">
        <v>41082</v>
      </c>
      <c t="s">
        <v>7294</v>
      </c>
      <c t="s">
        <v>47238</v>
      </c>
      <c t="s">
        <v>11495</v>
      </c>
      <c s="3">
        <v>13500</v>
      </c>
      <c s="3">
        <v>13500</v>
      </c>
      <c s="3">
        <v>13500</v>
      </c>
      <c>
        <v>0</v>
      </c>
      <c s="3">
        <v>0</v>
      </c>
      <c r="L220" s="3">
        <v>13500</v>
      </c>
      <c r="O220" s="1" t="str">
        <f ca="1">HYPERLINK("https://web.datatree.com/?/property?propertyId=32031451", "https://web.datatree.com/?/property?propertyId=32031451")</f>
        <v>https://web.datatree.com/?/property?propertyId=32031451</v>
      </c>
      <c r="Q220" t="s">
        <v>316</v>
      </c>
      <c>
        <v>0.05</v>
      </c>
      <c t="s">
        <v>56068</v>
      </c>
      <c t="s">
        <v>34066</v>
      </c>
      <c t="s">
        <v>2076</v>
      </c>
      <c t="s">
        <v>54943</v>
      </c>
      <c t="s">
        <v>2076</v>
      </c>
      <c t="s">
        <v>4791</v>
      </c>
      <c t="s">
        <v>36639</v>
      </c>
      <c t="s">
        <v>2517</v>
      </c>
      <c t="s">
        <v>39289</v>
      </c>
      <c>
        <v>33909</v>
      </c>
      <c t="s">
        <v>10196</v>
      </c>
      <c t="s">
        <v>48794</v>
      </c>
      <c t="s">
        <v>24035</v>
      </c>
      <c>
        <v>2888</v>
      </c>
      <c r="AH220" t="s">
        <v>52165</v>
      </c>
      <c t="s">
        <v>50655</v>
      </c>
      <c t="s">
        <v>31192</v>
      </c>
      <c>
        <v>300</v>
      </c>
      <c t="s">
        <v>21604</v>
      </c>
      <c t="s">
        <v>34949</v>
      </c>
      <c t="s">
        <v>50829</v>
      </c>
      <c t="s">
        <v>10829</v>
      </c>
      <c t="s">
        <v>64128</v>
      </c>
      <c t="s">
        <v>3093</v>
      </c>
      <c t="s">
        <v>52037</v>
      </c>
    </row>
    <row>
      <c t="s">
        <v>17594</v>
      </c>
      <c t="s">
        <v>16210</v>
      </c>
      <c t="s">
        <v>56972</v>
      </c>
      <c t="s">
        <v>57900</v>
      </c>
      <c t="s">
        <v>15182</v>
      </c>
      <c s="3">
        <v>36210</v>
      </c>
      <c s="3">
        <v>36210</v>
      </c>
      <c s="3">
        <v>36210</v>
      </c>
      <c>
        <v>0</v>
      </c>
      <c s="3">
        <v>0</v>
      </c>
      <c s="3">
        <v>968.06</v>
      </c>
      <c s="3">
        <v>36210</v>
      </c>
      <c r="O221" s="1" t="str">
        <f ca="1">HYPERLINK("https://web.datatree.com/?/property?propertyId=32031516", "https://web.datatree.com/?/property?propertyId=32031516")</f>
        <v>https://web.datatree.com/?/property?propertyId=32031516</v>
      </c>
      <c r="Q221" t="s">
        <v>316</v>
      </c>
      <c>
        <v>0.255</v>
      </c>
      <c t="s">
        <v>65422</v>
      </c>
      <c t="s">
        <v>56498</v>
      </c>
      <c t="s">
        <v>46651</v>
      </c>
      <c r="X221" t="s">
        <v>66633</v>
      </c>
      <c t="s">
        <v>17022</v>
      </c>
      <c t="s">
        <v>2517</v>
      </c>
      <c t="s">
        <v>39289</v>
      </c>
      <c>
        <v>33909</v>
      </c>
      <c t="s">
        <v>4824</v>
      </c>
      <c t="s">
        <v>48794</v>
      </c>
      <c t="s">
        <v>56360</v>
      </c>
      <c>
        <v>11209</v>
      </c>
      <c r="AI221" t="s">
        <v>17278</v>
      </c>
      <c t="s">
        <v>45393</v>
      </c>
      <c r="AL221" t="s">
        <v>62422</v>
      </c>
      <c t="s">
        <v>62422</v>
      </c>
      <c t="s">
        <v>39289</v>
      </c>
      <c t="s">
        <v>35184</v>
      </c>
      <c t="s">
        <v>35205</v>
      </c>
      <c t="s">
        <v>3093</v>
      </c>
      <c t="s">
        <v>18639</v>
      </c>
    </row>
    <row>
      <c t="s">
        <v>17594</v>
      </c>
      <c t="s">
        <v>53673</v>
      </c>
      <c t="s">
        <v>12472</v>
      </c>
      <c t="s">
        <v>41830</v>
      </c>
      <c t="s">
        <v>19557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22" s="1" t="str">
        <f ca="1">HYPERLINK("https://web.datatree.com/?/property?propertyId=32031554", "https://web.datatree.com/?/property?propertyId=32031554")</f>
        <v>https://web.datatree.com/?/property?propertyId=32031554</v>
      </c>
      <c r="Q222" t="s">
        <v>316</v>
      </c>
      <c>
        <v>0.23</v>
      </c>
      <c t="s">
        <v>22490</v>
      </c>
      <c r="U222" t="s">
        <v>40758</v>
      </c>
      <c t="s">
        <v>3701</v>
      </c>
      <c t="s">
        <v>25885</v>
      </c>
      <c t="s">
        <v>49476</v>
      </c>
      <c t="s">
        <v>66701</v>
      </c>
      <c t="s">
        <v>2517</v>
      </c>
      <c t="s">
        <v>39289</v>
      </c>
      <c>
        <v>33909</v>
      </c>
      <c t="s">
        <v>48620</v>
      </c>
      <c t="s">
        <v>48794</v>
      </c>
      <c t="s">
        <v>50763</v>
      </c>
      <c>
        <v>1526</v>
      </c>
      <c r="AI222" t="s">
        <v>65745</v>
      </c>
      <c t="s">
        <v>45620</v>
      </c>
      <c r="AL222" t="s">
        <v>25712</v>
      </c>
      <c r="AN222" t="s">
        <v>32657</v>
      </c>
      <c t="s">
        <v>58859</v>
      </c>
      <c t="s">
        <v>702</v>
      </c>
      <c t="s">
        <v>3093</v>
      </c>
      <c t="s">
        <v>16068</v>
      </c>
    </row>
    <row>
      <c t="s">
        <v>17594</v>
      </c>
      <c t="s">
        <v>54259</v>
      </c>
      <c t="s">
        <v>33234</v>
      </c>
      <c t="s">
        <v>26009</v>
      </c>
      <c t="s">
        <v>20030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23" s="1" t="str">
        <f ca="1">HYPERLINK("https://web.datatree.com/?/property?propertyId=32031560", "https://web.datatree.com/?/property?propertyId=32031560")</f>
        <v>https://web.datatree.com/?/property?propertyId=32031560</v>
      </c>
      <c r="Q223" t="s">
        <v>316</v>
      </c>
      <c>
        <v>0.23</v>
      </c>
      <c t="s">
        <v>22490</v>
      </c>
      <c t="s">
        <v>64030</v>
      </c>
      <c t="s">
        <v>19806</v>
      </c>
      <c t="s">
        <v>52701</v>
      </c>
      <c t="s">
        <v>19806</v>
      </c>
      <c t="s">
        <v>11593</v>
      </c>
      <c t="s">
        <v>23517</v>
      </c>
      <c t="s">
        <v>2517</v>
      </c>
      <c t="s">
        <v>39289</v>
      </c>
      <c>
        <v>33909</v>
      </c>
      <c t="s">
        <v>8351</v>
      </c>
      <c t="s">
        <v>48794</v>
      </c>
      <c t="s">
        <v>32200</v>
      </c>
      <c>
        <v>769</v>
      </c>
      <c r="AH223" t="s">
        <v>57851</v>
      </c>
      <c>
        <v>210</v>
      </c>
      <c r="AL223" t="s">
        <v>2930</v>
      </c>
      <c r="AN223" t="s">
        <v>47028</v>
      </c>
      <c t="s">
        <v>36010</v>
      </c>
      <c t="s">
        <v>52247</v>
      </c>
      <c t="s">
        <v>3093</v>
      </c>
      <c t="s">
        <v>34749</v>
      </c>
    </row>
    <row>
      <c t="s">
        <v>17594</v>
      </c>
      <c t="s">
        <v>4881</v>
      </c>
      <c t="s">
        <v>5338</v>
      </c>
      <c t="s">
        <v>14194</v>
      </c>
      <c t="s">
        <v>64329</v>
      </c>
      <c s="3">
        <v>26250</v>
      </c>
      <c s="3">
        <v>26250</v>
      </c>
      <c s="3">
        <v>18975</v>
      </c>
      <c>
        <v>0</v>
      </c>
      <c s="3">
        <v>0</v>
      </c>
      <c s="3">
        <v>465.83</v>
      </c>
      <c s="3">
        <v>26250</v>
      </c>
      <c r="O224" s="1" t="str">
        <f ca="1">HYPERLINK("https://web.datatree.com/?/property?propertyId=32032073", "https://web.datatree.com/?/property?propertyId=32032073")</f>
        <v>https://web.datatree.com/?/property?propertyId=32032073</v>
      </c>
      <c r="Q224" t="s">
        <v>316</v>
      </c>
      <c>
        <v>0.217</v>
      </c>
      <c t="s">
        <v>5471</v>
      </c>
      <c t="s">
        <v>41917</v>
      </c>
      <c t="s">
        <v>32371</v>
      </c>
      <c r="X224" t="s">
        <v>55235</v>
      </c>
      <c t="s">
        <v>10881</v>
      </c>
      <c t="s">
        <v>65059</v>
      </c>
      <c t="s">
        <v>39289</v>
      </c>
      <c>
        <v>33905</v>
      </c>
      <c t="s">
        <v>24382</v>
      </c>
      <c t="s">
        <v>48794</v>
      </c>
      <c t="s">
        <v>24793</v>
      </c>
      <c>
        <v>1049</v>
      </c>
      <c r="AI224" t="s">
        <v>35712</v>
      </c>
      <c t="s">
        <v>24900</v>
      </c>
      <c r="AL224" t="s">
        <v>30396</v>
      </c>
      <c t="s">
        <v>30396</v>
      </c>
      <c t="s">
        <v>39289</v>
      </c>
      <c t="s">
        <v>45237</v>
      </c>
      <c t="s">
        <v>11950</v>
      </c>
      <c t="s">
        <v>3093</v>
      </c>
      <c t="s">
        <v>33977</v>
      </c>
    </row>
    <row>
      <c t="s">
        <v>17594</v>
      </c>
      <c t="s">
        <v>37709</v>
      </c>
      <c t="s">
        <v>24567</v>
      </c>
      <c t="s">
        <v>20762</v>
      </c>
      <c t="s">
        <v>7453</v>
      </c>
      <c s="3">
        <v>12878</v>
      </c>
      <c s="3">
        <v>12878</v>
      </c>
      <c s="3">
        <v>4972</v>
      </c>
      <c>
        <v>0</v>
      </c>
      <c s="3">
        <v>0</v>
      </c>
      <c s="3">
        <v>353.1</v>
      </c>
      <c s="3">
        <v>12878</v>
      </c>
      <c r="O225" s="1" t="str">
        <f ca="1">HYPERLINK("https://web.datatree.com/?/property?propertyId=32032174", "https://web.datatree.com/?/property?propertyId=32032174")</f>
        <v>https://web.datatree.com/?/property?propertyId=32032174</v>
      </c>
      <c r="Q225" t="s">
        <v>316</v>
      </c>
      <c>
        <v>0.519</v>
      </c>
      <c t="s">
        <v>5471</v>
      </c>
      <c t="s">
        <v>33084</v>
      </c>
      <c t="s">
        <v>49379</v>
      </c>
      <c r="X225" t="s">
        <v>786</v>
      </c>
      <c t="s">
        <v>17915</v>
      </c>
      <c t="s">
        <v>65059</v>
      </c>
      <c t="s">
        <v>39289</v>
      </c>
      <c>
        <v>33905</v>
      </c>
      <c>
        <v>33905</v>
      </c>
      <c t="s">
        <v>48794</v>
      </c>
      <c t="s">
        <v>3745</v>
      </c>
      <c>
        <v>600</v>
      </c>
      <c r="AI225" t="s">
        <v>24534</v>
      </c>
      <c t="s">
        <v>31192</v>
      </c>
      <c r="AL225" t="s">
        <v>62877</v>
      </c>
      <c t="s">
        <v>40227</v>
      </c>
      <c t="s">
        <v>39289</v>
      </c>
      <c t="s">
        <v>60481</v>
      </c>
      <c t="s">
        <v>12241</v>
      </c>
      <c t="s">
        <v>3093</v>
      </c>
      <c t="s">
        <v>11678</v>
      </c>
    </row>
    <row>
      <c t="s">
        <v>17594</v>
      </c>
      <c t="s">
        <v>9336</v>
      </c>
      <c t="s">
        <v>28788</v>
      </c>
      <c t="s">
        <v>24477</v>
      </c>
      <c t="s">
        <v>15615</v>
      </c>
      <c s="3">
        <v>24937</v>
      </c>
      <c s="3">
        <v>24937</v>
      </c>
      <c s="3">
        <v>9079</v>
      </c>
      <c>
        <v>0</v>
      </c>
      <c s="3">
        <v>0</v>
      </c>
      <c s="3">
        <v>2968.56</v>
      </c>
      <c s="3">
        <v>24937</v>
      </c>
      <c r="O226" s="1" t="str">
        <f ca="1">HYPERLINK("https://web.datatree.com/?/property?propertyId=32032176", "https://web.datatree.com/?/property?propertyId=32032176")</f>
        <v>https://web.datatree.com/?/property?propertyId=32032176</v>
      </c>
      <c r="Q226" t="s">
        <v>316</v>
      </c>
      <c>
        <v>0.244</v>
      </c>
      <c t="s">
        <v>37741</v>
      </c>
      <c t="s">
        <v>66846</v>
      </c>
      <c t="s">
        <v>15901</v>
      </c>
      <c t="s">
        <v>64500</v>
      </c>
      <c t="s">
        <v>15901</v>
      </c>
      <c t="s">
        <v>24636</v>
      </c>
      <c t="s">
        <v>2626</v>
      </c>
      <c t="s">
        <v>2517</v>
      </c>
      <c t="s">
        <v>39289</v>
      </c>
      <c>
        <v>33909</v>
      </c>
      <c t="s">
        <v>52998</v>
      </c>
      <c t="s">
        <v>48794</v>
      </c>
      <c t="s">
        <v>12411</v>
      </c>
      <c>
        <v>22102</v>
      </c>
      <c r="AI226" t="s">
        <v>18113</v>
      </c>
      <c t="s">
        <v>45393</v>
      </c>
      <c r="AL226" t="s">
        <v>36041</v>
      </c>
      <c r="AN226" t="s">
        <v>65451</v>
      </c>
      <c t="s">
        <v>33445</v>
      </c>
      <c t="s">
        <v>19978</v>
      </c>
      <c t="s">
        <v>3093</v>
      </c>
      <c t="s">
        <v>56305</v>
      </c>
    </row>
    <row>
      <c t="s">
        <v>17594</v>
      </c>
      <c t="s">
        <v>9709</v>
      </c>
      <c t="s">
        <v>61945</v>
      </c>
      <c t="s">
        <v>52095</v>
      </c>
      <c t="s">
        <v>51862</v>
      </c>
      <c s="3">
        <v>24367</v>
      </c>
      <c s="3">
        <v>24367</v>
      </c>
      <c s="3">
        <v>9680</v>
      </c>
      <c>
        <v>0</v>
      </c>
      <c s="3">
        <v>0</v>
      </c>
      <c s="3">
        <v>655.24</v>
      </c>
      <c s="3">
        <v>24367</v>
      </c>
      <c r="O227" s="1" t="str">
        <f ca="1">HYPERLINK("https://web.datatree.com/?/property?propertyId=32032616", "https://web.datatree.com/?/property?propertyId=32032616")</f>
        <v>https://web.datatree.com/?/property?propertyId=32032616</v>
      </c>
      <c r="Q227" t="s">
        <v>316</v>
      </c>
      <c>
        <v>0.291</v>
      </c>
      <c t="s">
        <v>22490</v>
      </c>
      <c t="s">
        <v>48780</v>
      </c>
      <c t="s">
        <v>41760</v>
      </c>
      <c r="X227" t="s">
        <v>37423</v>
      </c>
      <c t="s">
        <v>49674</v>
      </c>
      <c t="s">
        <v>2517</v>
      </c>
      <c t="s">
        <v>39289</v>
      </c>
      <c>
        <v>33909</v>
      </c>
      <c t="s">
        <v>58389</v>
      </c>
      <c t="s">
        <v>48794</v>
      </c>
      <c t="s">
        <v>42190</v>
      </c>
      <c>
        <v>10</v>
      </c>
      <c r="AI227" t="s">
        <v>5028</v>
      </c>
      <c t="s">
        <v>41372</v>
      </c>
      <c r="AL227" t="s">
        <v>20632</v>
      </c>
      <c r="AN227" t="s">
        <v>50917</v>
      </c>
      <c t="s">
        <v>22901</v>
      </c>
      <c t="s">
        <v>54916</v>
      </c>
      <c t="s">
        <v>3093</v>
      </c>
      <c t="s">
        <v>55636</v>
      </c>
    </row>
    <row>
      <c t="s">
        <v>17594</v>
      </c>
      <c t="s">
        <v>7256</v>
      </c>
      <c t="s">
        <v>19511</v>
      </c>
      <c t="s">
        <v>47765</v>
      </c>
      <c t="s">
        <v>30378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228" s="1" t="str">
        <f ca="1">HYPERLINK("https://web.datatree.com/?/property?propertyId=32033007", "https://web.datatree.com/?/property?propertyId=32033007")</f>
        <v>https://web.datatree.com/?/property?propertyId=32033007</v>
      </c>
      <c r="Q228" t="s">
        <v>316</v>
      </c>
      <c>
        <v>0.237</v>
      </c>
      <c t="s">
        <v>5471</v>
      </c>
      <c t="s">
        <v>35891</v>
      </c>
      <c t="s">
        <v>5100</v>
      </c>
      <c t="s">
        <v>52045</v>
      </c>
      <c t="s">
        <v>37654</v>
      </c>
      <c t="s">
        <v>24527</v>
      </c>
      <c t="s">
        <v>61415</v>
      </c>
      <c t="s">
        <v>65059</v>
      </c>
      <c t="s">
        <v>39289</v>
      </c>
      <c>
        <v>33905</v>
      </c>
      <c t="s">
        <v>52937</v>
      </c>
      <c t="s">
        <v>48794</v>
      </c>
      <c t="s">
        <v>65844</v>
      </c>
      <c>
        <v>4372</v>
      </c>
      <c r="AI228" t="s">
        <v>38438</v>
      </c>
      <c t="s">
        <v>835</v>
      </c>
      <c r="AL228" t="s">
        <v>3112</v>
      </c>
      <c t="s">
        <v>3112</v>
      </c>
      <c t="s">
        <v>17331</v>
      </c>
      <c t="s">
        <v>645</v>
      </c>
      <c t="s">
        <v>57614</v>
      </c>
      <c t="s">
        <v>3093</v>
      </c>
      <c t="s">
        <v>65812</v>
      </c>
    </row>
    <row>
      <c t="s">
        <v>17594</v>
      </c>
      <c t="s">
        <v>10592</v>
      </c>
      <c t="s">
        <v>29754</v>
      </c>
      <c t="s">
        <v>51204</v>
      </c>
      <c t="s">
        <v>35183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229" s="1" t="str">
        <f ca="1">HYPERLINK("https://web.datatree.com/?/property?propertyId=32033145", "https://web.datatree.com/?/property?propertyId=32033145")</f>
        <v>https://web.datatree.com/?/property?propertyId=32033145</v>
      </c>
      <c r="Q229" t="s">
        <v>316</v>
      </c>
      <c>
        <v>0.23</v>
      </c>
      <c t="s">
        <v>6175</v>
      </c>
      <c t="s">
        <v>66816</v>
      </c>
      <c t="s">
        <v>55683</v>
      </c>
      <c t="s">
        <v>552</v>
      </c>
      <c t="s">
        <v>17802</v>
      </c>
      <c t="s">
        <v>20780</v>
      </c>
      <c t="s">
        <v>33893</v>
      </c>
      <c t="s">
        <v>2517</v>
      </c>
      <c t="s">
        <v>39289</v>
      </c>
      <c>
        <v>33909</v>
      </c>
      <c>
        <v>33909</v>
      </c>
      <c t="s">
        <v>48794</v>
      </c>
      <c t="s">
        <v>31843</v>
      </c>
      <c>
        <v>777</v>
      </c>
      <c r="AI229" t="s">
        <v>54323</v>
      </c>
      <c t="s">
        <v>20615</v>
      </c>
      <c r="AL229" t="s">
        <v>39016</v>
      </c>
      <c t="s">
        <v>39016</v>
      </c>
      <c t="s">
        <v>50917</v>
      </c>
      <c t="s">
        <v>34857</v>
      </c>
      <c t="s">
        <v>21201</v>
      </c>
      <c t="s">
        <v>3093</v>
      </c>
      <c t="s">
        <v>16748</v>
      </c>
    </row>
    <row>
      <c t="s">
        <v>17594</v>
      </c>
      <c t="s">
        <v>729</v>
      </c>
      <c t="s">
        <v>12238</v>
      </c>
      <c t="s">
        <v>56503</v>
      </c>
      <c t="s">
        <v>7865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230" s="1" t="str">
        <f ca="1">HYPERLINK("https://web.datatree.com/?/property?propertyId=32033695", "https://web.datatree.com/?/property?propertyId=32033695")</f>
        <v>https://web.datatree.com/?/property?propertyId=32033695</v>
      </c>
      <c r="Q230" t="s">
        <v>316</v>
      </c>
      <c>
        <v>0.23</v>
      </c>
      <c t="s">
        <v>6175</v>
      </c>
      <c t="s">
        <v>2140</v>
      </c>
      <c t="s">
        <v>1143</v>
      </c>
      <c t="s">
        <v>26975</v>
      </c>
      <c t="s">
        <v>1143</v>
      </c>
      <c t="s">
        <v>15907</v>
      </c>
      <c t="s">
        <v>2619</v>
      </c>
      <c t="s">
        <v>2517</v>
      </c>
      <c t="s">
        <v>39289</v>
      </c>
      <c>
        <v>33909</v>
      </c>
      <c t="s">
        <v>23483</v>
      </c>
      <c t="s">
        <v>48794</v>
      </c>
      <c t="s">
        <v>4627</v>
      </c>
      <c>
        <v>44</v>
      </c>
      <c r="AI230" t="s">
        <v>28917</v>
      </c>
      <c t="s">
        <v>24900</v>
      </c>
      <c r="AL230" t="s">
        <v>6640</v>
      </c>
      <c t="s">
        <v>6640</v>
      </c>
      <c t="s">
        <v>26016</v>
      </c>
      <c t="s">
        <v>40101</v>
      </c>
      <c t="s">
        <v>54916</v>
      </c>
      <c t="s">
        <v>3093</v>
      </c>
      <c t="s">
        <v>52376</v>
      </c>
    </row>
    <row>
      <c t="s">
        <v>17594</v>
      </c>
      <c t="s">
        <v>29529</v>
      </c>
      <c t="s">
        <v>35713</v>
      </c>
      <c t="s">
        <v>12355</v>
      </c>
      <c t="s">
        <v>46903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>
        <v>2019</v>
      </c>
      <c>
        <v>2968.09</v>
      </c>
      <c s="1" t="str">
        <f ca="1">HYPERLINK("https://web.datatree.com/?/property?propertyId=32034029", "https://web.datatree.com/?/property?propertyId=32034029")</f>
        <v>https://web.datatree.com/?/property?propertyId=32034029</v>
      </c>
      <c r="Q231" t="s">
        <v>316</v>
      </c>
      <c>
        <v>0.23</v>
      </c>
      <c t="s">
        <v>22490</v>
      </c>
      <c t="s">
        <v>2873</v>
      </c>
      <c t="s">
        <v>40333</v>
      </c>
      <c r="X231" t="s">
        <v>35148</v>
      </c>
      <c t="s">
        <v>49122</v>
      </c>
      <c t="s">
        <v>2517</v>
      </c>
      <c t="s">
        <v>39289</v>
      </c>
      <c>
        <v>33909</v>
      </c>
      <c t="s">
        <v>51981</v>
      </c>
      <c t="s">
        <v>48794</v>
      </c>
      <c t="s">
        <v>47392</v>
      </c>
      <c>
        <v>203</v>
      </c>
      <c r="AI231" t="s">
        <v>17429</v>
      </c>
      <c t="s">
        <v>31192</v>
      </c>
      <c r="AL231" t="s">
        <v>8518</v>
      </c>
      <c r="AN231" t="s">
        <v>14798</v>
      </c>
      <c t="s">
        <v>65454</v>
      </c>
      <c t="s">
        <v>5652</v>
      </c>
      <c t="s">
        <v>3093</v>
      </c>
      <c t="s">
        <v>4223</v>
      </c>
    </row>
    <row>
      <c t="s">
        <v>17594</v>
      </c>
      <c t="s">
        <v>63909</v>
      </c>
      <c t="s">
        <v>37920</v>
      </c>
      <c t="s">
        <v>22320</v>
      </c>
      <c t="s">
        <v>32649</v>
      </c>
      <c s="3">
        <v>22736</v>
      </c>
      <c s="3">
        <v>22736</v>
      </c>
      <c s="3">
        <v>8800</v>
      </c>
      <c>
        <v>0</v>
      </c>
      <c s="3">
        <v>0</v>
      </c>
      <c s="3">
        <v>588.04</v>
      </c>
      <c s="3">
        <v>22736</v>
      </c>
      <c r="O232" s="1" t="str">
        <f ca="1">HYPERLINK("https://web.datatree.com/?/property?propertyId=32034730", "https://web.datatree.com/?/property?propertyId=32034730")</f>
        <v>https://web.datatree.com/?/property?propertyId=32034730</v>
      </c>
      <c r="Q232" t="s">
        <v>316</v>
      </c>
      <c>
        <v>0.244</v>
      </c>
      <c t="s">
        <v>22490</v>
      </c>
      <c t="s">
        <v>28189</v>
      </c>
      <c t="s">
        <v>8325</v>
      </c>
      <c r="X232" t="s">
        <v>13986</v>
      </c>
      <c t="s">
        <v>25017</v>
      </c>
      <c t="s">
        <v>2517</v>
      </c>
      <c t="s">
        <v>39289</v>
      </c>
      <c>
        <v>33909</v>
      </c>
      <c t="s">
        <v>26055</v>
      </c>
      <c t="s">
        <v>48794</v>
      </c>
      <c t="s">
        <v>30665</v>
      </c>
      <c>
        <v>533</v>
      </c>
      <c r="AI232" t="s">
        <v>18369</v>
      </c>
      <c t="s">
        <v>24900</v>
      </c>
      <c r="AL232" t="s">
        <v>25857</v>
      </c>
      <c r="AN232" t="s">
        <v>39289</v>
      </c>
      <c t="s">
        <v>10791</v>
      </c>
      <c t="s">
        <v>19978</v>
      </c>
      <c t="s">
        <v>3093</v>
      </c>
      <c t="s">
        <v>9889</v>
      </c>
    </row>
    <row>
      <c t="s">
        <v>17594</v>
      </c>
      <c t="s">
        <v>12686</v>
      </c>
      <c t="s">
        <v>46003</v>
      </c>
      <c t="s">
        <v>64719</v>
      </c>
      <c t="s">
        <v>33815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233" s="1" t="str">
        <f ca="1">HYPERLINK("https://web.datatree.com/?/property?propertyId=32035199", "https://web.datatree.com/?/property?propertyId=32035199")</f>
        <v>https://web.datatree.com/?/property?propertyId=32035199</v>
      </c>
      <c r="Q233" t="s">
        <v>316</v>
      </c>
      <c>
        <v>0.231</v>
      </c>
      <c t="s">
        <v>5471</v>
      </c>
      <c t="s">
        <v>52701</v>
      </c>
      <c t="s">
        <v>21171</v>
      </c>
      <c r="X233" t="s">
        <v>11821</v>
      </c>
      <c t="s">
        <v>20307</v>
      </c>
      <c t="s">
        <v>65059</v>
      </c>
      <c t="s">
        <v>39289</v>
      </c>
      <c>
        <v>33905</v>
      </c>
      <c t="s">
        <v>37241</v>
      </c>
      <c t="s">
        <v>48794</v>
      </c>
      <c t="s">
        <v>32819</v>
      </c>
      <c>
        <v>6423</v>
      </c>
      <c r="AI233" t="s">
        <v>33325</v>
      </c>
      <c t="s">
        <v>24900</v>
      </c>
      <c>
        <v>805</v>
      </c>
      <c t="s">
        <v>51776</v>
      </c>
      <c t="s">
        <v>51776</v>
      </c>
      <c t="s">
        <v>39289</v>
      </c>
      <c t="s">
        <v>39160</v>
      </c>
      <c t="s">
        <v>31626</v>
      </c>
      <c t="s">
        <v>3093</v>
      </c>
      <c t="s">
        <v>2009</v>
      </c>
    </row>
    <row>
      <c t="s">
        <v>17594</v>
      </c>
      <c t="s">
        <v>45937</v>
      </c>
      <c t="s">
        <v>7606</v>
      </c>
      <c t="s">
        <v>37223</v>
      </c>
      <c t="s">
        <v>23924</v>
      </c>
      <c s="3">
        <v>129661</v>
      </c>
      <c s="3">
        <v>129661</v>
      </c>
      <c s="3">
        <v>97629</v>
      </c>
      <c>
        <v>0</v>
      </c>
      <c s="3">
        <v>0</v>
      </c>
      <c s="3">
        <v>1615.29</v>
      </c>
      <c s="3">
        <v>129661</v>
      </c>
      <c r="O234" s="1" t="str">
        <f ca="1">HYPERLINK("https://web.datatree.com/?/property?propertyId=32036405", "https://web.datatree.com/?/property?propertyId=32036405")</f>
        <v>https://web.datatree.com/?/property?propertyId=32036405</v>
      </c>
      <c r="Q234" t="s">
        <v>316</v>
      </c>
      <c>
        <v>0.213</v>
      </c>
      <c t="s">
        <v>5471</v>
      </c>
      <c t="s">
        <v>44541</v>
      </c>
      <c t="s">
        <v>12283</v>
      </c>
      <c t="s">
        <v>60589</v>
      </c>
      <c t="s">
        <v>12283</v>
      </c>
      <c t="s">
        <v>15010</v>
      </c>
      <c t="s">
        <v>405</v>
      </c>
      <c t="s">
        <v>54524</v>
      </c>
      <c t="s">
        <v>39289</v>
      </c>
      <c>
        <v>33903</v>
      </c>
      <c>
        <v>33903</v>
      </c>
      <c t="s">
        <v>48794</v>
      </c>
      <c t="s">
        <v>42320</v>
      </c>
      <c>
        <v>10</v>
      </c>
      <c r="AI234" t="s">
        <v>33004</v>
      </c>
      <c t="s">
        <v>52965</v>
      </c>
      <c r="AL234" t="s">
        <v>56540</v>
      </c>
      <c t="s">
        <v>65059</v>
      </c>
      <c t="s">
        <v>7234</v>
      </c>
      <c>
        <v>0</v>
      </c>
      <c r="AR234" t="s">
        <v>30824</v>
      </c>
    </row>
    <row>
      <c t="s">
        <v>17594</v>
      </c>
      <c t="s">
        <v>8370</v>
      </c>
      <c t="s">
        <v>20721</v>
      </c>
      <c t="s">
        <v>46295</v>
      </c>
      <c t="s">
        <v>3870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35" s="1" t="str">
        <f ca="1">HYPERLINK("https://web.datatree.com/?/property?propertyId=32036425", "https://web.datatree.com/?/property?propertyId=32036425")</f>
        <v>https://web.datatree.com/?/property?propertyId=32036425</v>
      </c>
      <c r="Q235" t="s">
        <v>316</v>
      </c>
      <c>
        <v>0.23</v>
      </c>
      <c t="s">
        <v>65612</v>
      </c>
      <c t="s">
        <v>3408</v>
      </c>
      <c t="s">
        <v>45794</v>
      </c>
      <c t="s">
        <v>56203</v>
      </c>
      <c t="s">
        <v>53009</v>
      </c>
      <c t="s">
        <v>4479</v>
      </c>
      <c t="s">
        <v>11985</v>
      </c>
      <c t="s">
        <v>2517</v>
      </c>
      <c t="s">
        <v>39289</v>
      </c>
      <c>
        <v>33909</v>
      </c>
      <c t="s">
        <v>36263</v>
      </c>
      <c t="s">
        <v>48794</v>
      </c>
      <c t="s">
        <v>43481</v>
      </c>
      <c>
        <v>107</v>
      </c>
      <c r="AI235" t="s">
        <v>4445</v>
      </c>
      <c t="s">
        <v>4985</v>
      </c>
      <c r="AL235" t="s">
        <v>50860</v>
      </c>
      <c t="s">
        <v>50860</v>
      </c>
      <c t="s">
        <v>51087</v>
      </c>
      <c t="s">
        <v>18201</v>
      </c>
      <c t="s">
        <v>22613</v>
      </c>
      <c t="s">
        <v>3093</v>
      </c>
      <c t="s">
        <v>19967</v>
      </c>
    </row>
    <row>
      <c t="s">
        <v>17594</v>
      </c>
      <c t="s">
        <v>19275</v>
      </c>
      <c t="s">
        <v>18964</v>
      </c>
      <c t="s">
        <v>3687</v>
      </c>
      <c t="s">
        <v>39191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236" s="1" t="str">
        <f ca="1">HYPERLINK("https://web.datatree.com/?/property?propertyId=32036498", "https://web.datatree.com/?/property?propertyId=32036498")</f>
        <v>https://web.datatree.com/?/property?propertyId=32036498</v>
      </c>
      <c r="Q236" t="s">
        <v>316</v>
      </c>
      <c>
        <v>0.239</v>
      </c>
      <c t="s">
        <v>5471</v>
      </c>
      <c t="s">
        <v>45883</v>
      </c>
      <c t="s">
        <v>30230</v>
      </c>
      <c t="s">
        <v>5121</v>
      </c>
      <c t="s">
        <v>30230</v>
      </c>
      <c t="s">
        <v>55074</v>
      </c>
      <c t="s">
        <v>40660</v>
      </c>
      <c t="s">
        <v>65059</v>
      </c>
      <c t="s">
        <v>39289</v>
      </c>
      <c>
        <v>33905</v>
      </c>
      <c t="s">
        <v>26421</v>
      </c>
      <c t="s">
        <v>48794</v>
      </c>
      <c t="s">
        <v>40713</v>
      </c>
      <c>
        <v>303</v>
      </c>
      <c r="AI236" t="s">
        <v>34731</v>
      </c>
      <c t="s">
        <v>45393</v>
      </c>
      <c r="AL236" t="s">
        <v>62356</v>
      </c>
      <c r="AN236" t="s">
        <v>21017</v>
      </c>
      <c t="s">
        <v>61621</v>
      </c>
      <c t="s">
        <v>42082</v>
      </c>
      <c t="s">
        <v>3093</v>
      </c>
      <c t="s">
        <v>9221</v>
      </c>
    </row>
    <row>
      <c t="s">
        <v>17594</v>
      </c>
      <c t="s">
        <v>33071</v>
      </c>
      <c t="s">
        <v>25104</v>
      </c>
      <c t="s">
        <v>12063</v>
      </c>
      <c t="s">
        <v>1364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37" s="1" t="str">
        <f ca="1">HYPERLINK("https://web.datatree.com/?/property?propertyId=32036666", "https://web.datatree.com/?/property?propertyId=32036666")</f>
        <v>https://web.datatree.com/?/property?propertyId=32036666</v>
      </c>
      <c r="Q237" t="s">
        <v>316</v>
      </c>
      <c>
        <v>0.23</v>
      </c>
      <c t="s">
        <v>6175</v>
      </c>
      <c t="s">
        <v>24179</v>
      </c>
      <c t="s">
        <v>13075</v>
      </c>
      <c r="X237" t="s">
        <v>6137</v>
      </c>
      <c t="s">
        <v>15510</v>
      </c>
      <c t="s">
        <v>2517</v>
      </c>
      <c t="s">
        <v>39289</v>
      </c>
      <c>
        <v>33909</v>
      </c>
      <c t="s">
        <v>40797</v>
      </c>
      <c t="s">
        <v>48794</v>
      </c>
      <c t="s">
        <v>34311</v>
      </c>
      <c t="s">
        <v>955</v>
      </c>
      <c r="AI237" t="s">
        <v>33887</v>
      </c>
      <c t="s">
        <v>45620</v>
      </c>
      <c r="AL237" t="s">
        <v>1307</v>
      </c>
      <c t="s">
        <v>1307</v>
      </c>
      <c t="s">
        <v>26016</v>
      </c>
      <c t="s">
        <v>19021</v>
      </c>
      <c t="s">
        <v>60160</v>
      </c>
      <c t="s">
        <v>3093</v>
      </c>
      <c t="s">
        <v>17135</v>
      </c>
    </row>
    <row>
      <c t="s">
        <v>17594</v>
      </c>
      <c t="s">
        <v>32844</v>
      </c>
      <c t="s">
        <v>8789</v>
      </c>
      <c t="s">
        <v>13858</v>
      </c>
      <c t="s">
        <v>60043</v>
      </c>
      <c s="3">
        <v>8700</v>
      </c>
      <c s="3">
        <v>8700</v>
      </c>
      <c s="3">
        <v>8700</v>
      </c>
      <c>
        <v>0</v>
      </c>
      <c s="3">
        <v>0</v>
      </c>
      <c s="3">
        <v>606.84</v>
      </c>
      <c s="3">
        <v>8700</v>
      </c>
      <c r="O238" s="1" t="str">
        <f ca="1">HYPERLINK("https://web.datatree.com/?/property?propertyId=32036667", "https://web.datatree.com/?/property?propertyId=32036667")</f>
        <v>https://web.datatree.com/?/property?propertyId=32036667</v>
      </c>
      <c r="Q238" t="s">
        <v>316</v>
      </c>
      <c>
        <v>0.264</v>
      </c>
      <c t="s">
        <v>6175</v>
      </c>
      <c t="s">
        <v>35852</v>
      </c>
      <c t="s">
        <v>2004</v>
      </c>
      <c t="s">
        <v>35852</v>
      </c>
      <c r="X238" t="s">
        <v>49232</v>
      </c>
      <c t="s">
        <v>2619</v>
      </c>
      <c t="s">
        <v>2517</v>
      </c>
      <c t="s">
        <v>39289</v>
      </c>
      <c>
        <v>33909</v>
      </c>
      <c t="s">
        <v>16622</v>
      </c>
      <c t="s">
        <v>48794</v>
      </c>
      <c t="s">
        <v>44786</v>
      </c>
      <c>
        <v>7619</v>
      </c>
      <c r="AI238" t="s">
        <v>60018</v>
      </c>
      <c t="s">
        <v>24900</v>
      </c>
      <c r="AL238" t="s">
        <v>54286</v>
      </c>
      <c t="s">
        <v>54286</v>
      </c>
      <c t="s">
        <v>19878</v>
      </c>
      <c t="s">
        <v>28667</v>
      </c>
      <c t="s">
        <v>64128</v>
      </c>
      <c t="s">
        <v>3093</v>
      </c>
      <c t="s">
        <v>60336</v>
      </c>
    </row>
    <row>
      <c t="s">
        <v>17594</v>
      </c>
      <c t="s">
        <v>38256</v>
      </c>
      <c t="s">
        <v>48808</v>
      </c>
      <c t="s">
        <v>43564</v>
      </c>
      <c t="s">
        <v>10202</v>
      </c>
      <c s="3">
        <v>158125</v>
      </c>
      <c s="3">
        <v>158125</v>
      </c>
      <c s="3">
        <v>158125</v>
      </c>
      <c>
        <v>0</v>
      </c>
      <c s="3">
        <v>0</v>
      </c>
      <c s="3">
        <v>4388.71</v>
      </c>
      <c s="3">
        <v>158125</v>
      </c>
      <c r="O239" s="1" t="str">
        <f ca="1">HYPERLINK("https://web.datatree.com/?/property?propertyId=32036737", "https://web.datatree.com/?/property?propertyId=32036737")</f>
        <v>https://web.datatree.com/?/property?propertyId=32036737</v>
      </c>
      <c r="Q239" t="s">
        <v>316</v>
      </c>
      <c>
        <v>0.311</v>
      </c>
      <c t="s">
        <v>22490</v>
      </c>
      <c t="s">
        <v>56832</v>
      </c>
      <c t="s">
        <v>61916</v>
      </c>
      <c r="X239" t="s">
        <v>48166</v>
      </c>
      <c t="s">
        <v>29190</v>
      </c>
      <c t="s">
        <v>2517</v>
      </c>
      <c t="s">
        <v>39289</v>
      </c>
      <c>
        <v>33904</v>
      </c>
      <c t="s">
        <v>24224</v>
      </c>
      <c t="s">
        <v>48794</v>
      </c>
      <c t="s">
        <v>32826</v>
      </c>
      <c>
        <v>85</v>
      </c>
      <c r="AI239" t="s">
        <v>46992</v>
      </c>
      <c t="s">
        <v>48479</v>
      </c>
      <c r="AL239" t="s">
        <v>2407</v>
      </c>
      <c r="AN239" t="s">
        <v>10909</v>
      </c>
      <c t="s">
        <v>14191</v>
      </c>
      <c r="AQ239" t="s">
        <v>27814</v>
      </c>
      <c t="s">
        <v>65761</v>
      </c>
    </row>
    <row>
      <c t="s">
        <v>17594</v>
      </c>
      <c t="s">
        <v>13355</v>
      </c>
      <c t="s">
        <v>58236</v>
      </c>
      <c t="s">
        <v>27949</v>
      </c>
      <c t="s">
        <v>4890</v>
      </c>
      <c s="3">
        <v>20557</v>
      </c>
      <c s="3">
        <v>20557</v>
      </c>
      <c s="3">
        <v>13805</v>
      </c>
      <c>
        <v>0</v>
      </c>
      <c s="3">
        <v>0</v>
      </c>
      <c s="3">
        <v>244.21</v>
      </c>
      <c s="3">
        <v>20557</v>
      </c>
      <c r="O240" s="1" t="str">
        <f ca="1">HYPERLINK("https://web.datatree.com/?/property?propertyId=32037880", "https://web.datatree.com/?/property?propertyId=32037880")</f>
        <v>https://web.datatree.com/?/property?propertyId=32037880</v>
      </c>
      <c r="Q240" t="s">
        <v>316</v>
      </c>
      <c>
        <v>0.505</v>
      </c>
      <c t="s">
        <v>5471</v>
      </c>
      <c r="U240" t="s">
        <v>67245</v>
      </c>
      <c r="W240" t="s">
        <v>47970</v>
      </c>
      <c t="s">
        <v>3582</v>
      </c>
      <c t="s">
        <v>30886</v>
      </c>
      <c t="s">
        <v>65059</v>
      </c>
      <c t="s">
        <v>39289</v>
      </c>
      <c>
        <v>33905</v>
      </c>
      <c>
        <v>33905</v>
      </c>
      <c t="s">
        <v>48794</v>
      </c>
      <c t="s">
        <v>41509</v>
      </c>
      <c>
        <v>7370</v>
      </c>
      <c r="AH240" t="s">
        <v>63047</v>
      </c>
      <c t="s">
        <v>32151</v>
      </c>
      <c t="s">
        <v>4985</v>
      </c>
      <c t="s">
        <v>25384</v>
      </c>
      <c t="s">
        <v>59092</v>
      </c>
      <c t="s">
        <v>59092</v>
      </c>
      <c t="s">
        <v>32576</v>
      </c>
      <c t="s">
        <v>61799</v>
      </c>
      <c t="s">
        <v>62845</v>
      </c>
      <c t="s">
        <v>3093</v>
      </c>
      <c t="s">
        <v>56172</v>
      </c>
    </row>
    <row>
      <c t="s">
        <v>17594</v>
      </c>
      <c t="s">
        <v>48585</v>
      </c>
      <c t="s">
        <v>10248</v>
      </c>
      <c t="s">
        <v>33746</v>
      </c>
      <c t="s">
        <v>59100</v>
      </c>
      <c s="3">
        <v>8833</v>
      </c>
      <c s="3">
        <v>8833</v>
      </c>
      <c s="3">
        <v>4972</v>
      </c>
      <c>
        <v>0</v>
      </c>
      <c s="3">
        <v>0</v>
      </c>
      <c s="3">
        <v>317.96</v>
      </c>
      <c s="3">
        <v>8833</v>
      </c>
      <c r="O241" s="1" t="str">
        <f ca="1">HYPERLINK("https://web.datatree.com/?/property?propertyId=32038309", "https://web.datatree.com/?/property?propertyId=32038309")</f>
        <v>https://web.datatree.com/?/property?propertyId=32038309</v>
      </c>
      <c r="Q241" t="s">
        <v>316</v>
      </c>
      <c>
        <v>0.254</v>
      </c>
      <c t="s">
        <v>5471</v>
      </c>
      <c t="s">
        <v>578</v>
      </c>
      <c t="s">
        <v>21955</v>
      </c>
      <c r="X241" t="s">
        <v>57153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27752</v>
      </c>
      <c>
        <v>108</v>
      </c>
      <c r="AI241" t="s">
        <v>40862</v>
      </c>
      <c t="s">
        <v>40123</v>
      </c>
      <c r="AL241" t="s">
        <v>17200</v>
      </c>
      <c r="AN241" t="s">
        <v>24792</v>
      </c>
      <c t="s">
        <v>4413</v>
      </c>
      <c t="s">
        <v>17380</v>
      </c>
      <c t="s">
        <v>3093</v>
      </c>
      <c t="s">
        <v>25229</v>
      </c>
    </row>
    <row>
      <c t="s">
        <v>17594</v>
      </c>
      <c t="s">
        <v>32263</v>
      </c>
      <c t="s">
        <v>58464</v>
      </c>
      <c t="s">
        <v>21156</v>
      </c>
      <c t="s">
        <v>12879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242" s="1" t="str">
        <f ca="1">HYPERLINK("https://web.datatree.com/?/property?propertyId=32039176", "https://web.datatree.com/?/property?propertyId=32039176")</f>
        <v>https://web.datatree.com/?/property?propertyId=32039176</v>
      </c>
      <c r="Q242" t="s">
        <v>316</v>
      </c>
      <c>
        <v>0.241</v>
      </c>
      <c t="s">
        <v>6175</v>
      </c>
      <c r="U242" t="s">
        <v>53815</v>
      </c>
      <c t="s">
        <v>55174</v>
      </c>
      <c t="s">
        <v>1002</v>
      </c>
      <c t="s">
        <v>31518</v>
      </c>
      <c t="s">
        <v>15510</v>
      </c>
      <c t="s">
        <v>2517</v>
      </c>
      <c t="s">
        <v>39289</v>
      </c>
      <c>
        <v>33909</v>
      </c>
      <c t="s">
        <v>16385</v>
      </c>
      <c t="s">
        <v>48794</v>
      </c>
      <c t="s">
        <v>52683</v>
      </c>
      <c>
        <v>8880</v>
      </c>
      <c r="AI242" t="s">
        <v>18704</v>
      </c>
      <c t="s">
        <v>45620</v>
      </c>
      <c>
        <v>250</v>
      </c>
      <c t="s">
        <v>38297</v>
      </c>
      <c r="AN242" t="s">
        <v>27222</v>
      </c>
      <c t="s">
        <v>2778</v>
      </c>
      <c t="s">
        <v>35508</v>
      </c>
      <c t="s">
        <v>3093</v>
      </c>
      <c t="s">
        <v>13643</v>
      </c>
    </row>
    <row>
      <c t="s">
        <v>17594</v>
      </c>
      <c t="s">
        <v>33066</v>
      </c>
      <c t="s">
        <v>18215</v>
      </c>
      <c t="s">
        <v>41081</v>
      </c>
      <c t="s">
        <v>47724</v>
      </c>
      <c s="3">
        <v>7600</v>
      </c>
      <c s="3">
        <v>7600</v>
      </c>
      <c s="3">
        <v>7600</v>
      </c>
      <c>
        <v>0</v>
      </c>
      <c s="3">
        <v>0</v>
      </c>
      <c s="3">
        <v>577.67</v>
      </c>
      <c s="3">
        <v>7600</v>
      </c>
      <c r="O243" s="1" t="str">
        <f ca="1">HYPERLINK("https://web.datatree.com/?/property?propertyId=32039322", "https://web.datatree.com/?/property?propertyId=32039322")</f>
        <v>https://web.datatree.com/?/property?propertyId=32039322</v>
      </c>
      <c r="Q243" t="s">
        <v>316</v>
      </c>
      <c>
        <v>0.265</v>
      </c>
      <c t="s">
        <v>6175</v>
      </c>
      <c t="s">
        <v>10361</v>
      </c>
      <c t="s">
        <v>39769</v>
      </c>
      <c t="s">
        <v>43826</v>
      </c>
      <c t="s">
        <v>39769</v>
      </c>
      <c t="s">
        <v>35498</v>
      </c>
      <c t="s">
        <v>23517</v>
      </c>
      <c t="s">
        <v>2517</v>
      </c>
      <c t="s">
        <v>39289</v>
      </c>
      <c>
        <v>33909</v>
      </c>
      <c t="s">
        <v>23360</v>
      </c>
      <c t="s">
        <v>48794</v>
      </c>
      <c t="s">
        <v>34413</v>
      </c>
      <c>
        <v>3781</v>
      </c>
      <c r="AI243" t="s">
        <v>66574</v>
      </c>
      <c t="s">
        <v>31192</v>
      </c>
      <c r="AL243" t="s">
        <v>66562</v>
      </c>
      <c r="AN243" t="s">
        <v>17134</v>
      </c>
      <c t="s">
        <v>9339</v>
      </c>
      <c t="s">
        <v>12241</v>
      </c>
      <c t="s">
        <v>3093</v>
      </c>
      <c t="s">
        <v>44584</v>
      </c>
    </row>
    <row>
      <c t="s">
        <v>42103</v>
      </c>
      <c t="s">
        <v>65970</v>
      </c>
      <c t="s">
        <v>32527</v>
      </c>
      <c t="s">
        <v>53989</v>
      </c>
      <c t="s">
        <v>42317</v>
      </c>
      <c s="3">
        <v>7300</v>
      </c>
      <c s="3">
        <v>7300</v>
      </c>
      <c s="3">
        <v>7300</v>
      </c>
      <c>
        <v>0</v>
      </c>
      <c s="3">
        <v>0</v>
      </c>
      <c s="3">
        <v>686.53</v>
      </c>
      <c s="3">
        <v>7300</v>
      </c>
      <c r="O244" s="1" t="str">
        <f ca="1">HYPERLINK("https://web.datatree.com/?/property?propertyId=32039554", "https://web.datatree.com/?/property?propertyId=32039554")</f>
        <v>https://web.datatree.com/?/property?propertyId=32039554</v>
      </c>
      <c r="Q244" t="s">
        <v>316</v>
      </c>
      <c>
        <v>0.244</v>
      </c>
      <c t="s">
        <v>22490</v>
      </c>
      <c t="s">
        <v>63437</v>
      </c>
      <c t="s">
        <v>39666</v>
      </c>
      <c t="s">
        <v>18380</v>
      </c>
      <c t="s">
        <v>46648</v>
      </c>
      <c t="s">
        <v>10868</v>
      </c>
      <c t="s">
        <v>39082</v>
      </c>
      <c t="s">
        <v>2517</v>
      </c>
      <c t="s">
        <v>39289</v>
      </c>
      <c>
        <v>33909</v>
      </c>
      <c t="s">
        <v>39109</v>
      </c>
      <c t="s">
        <v>48794</v>
      </c>
      <c t="s">
        <v>43511</v>
      </c>
      <c t="s">
        <v>23449</v>
      </c>
      <c r="AI244" t="s">
        <v>49432</v>
      </c>
      <c r="AK244">
        <v>201</v>
      </c>
      <c t="s">
        <v>24310</v>
      </c>
      <c r="AN244" t="s">
        <v>14798</v>
      </c>
      <c r="AQ244" t="s">
        <v>3093</v>
      </c>
      <c t="s">
        <v>22098</v>
      </c>
    </row>
    <row>
      <c t="s">
        <v>17594</v>
      </c>
      <c t="s">
        <v>36128</v>
      </c>
      <c t="s">
        <v>19954</v>
      </c>
      <c t="s">
        <v>7751</v>
      </c>
      <c t="s">
        <v>64514</v>
      </c>
      <c s="3">
        <v>16597</v>
      </c>
      <c s="3">
        <v>16597</v>
      </c>
      <c s="3">
        <v>9339</v>
      </c>
      <c>
        <v>0</v>
      </c>
      <c s="3">
        <v>0</v>
      </c>
      <c s="3">
        <v>586.77</v>
      </c>
      <c s="3">
        <v>16597</v>
      </c>
      <c r="O245" s="1" t="str">
        <f ca="1">HYPERLINK("https://web.datatree.com/?/property?propertyId=32039770", "https://web.datatree.com/?/property?propertyId=32039770")</f>
        <v>https://web.datatree.com/?/property?propertyId=32039770</v>
      </c>
      <c r="Q245" t="s">
        <v>316</v>
      </c>
      <c>
        <v>0.23</v>
      </c>
      <c t="s">
        <v>65422</v>
      </c>
      <c t="s">
        <v>39139</v>
      </c>
      <c t="s">
        <v>21512</v>
      </c>
      <c r="X245" t="s">
        <v>10171</v>
      </c>
      <c t="s">
        <v>61850</v>
      </c>
      <c t="s">
        <v>2517</v>
      </c>
      <c t="s">
        <v>39289</v>
      </c>
      <c>
        <v>33909</v>
      </c>
      <c t="s">
        <v>4197</v>
      </c>
      <c t="s">
        <v>48794</v>
      </c>
      <c t="s">
        <v>26716</v>
      </c>
      <c>
        <v>5</v>
      </c>
      <c r="AI245" t="s">
        <v>21402</v>
      </c>
      <c r="AL245" t="s">
        <v>59649</v>
      </c>
      <c r="AN245" t="s">
        <v>65451</v>
      </c>
      <c t="s">
        <v>29055</v>
      </c>
      <c t="s">
        <v>35679</v>
      </c>
      <c t="s">
        <v>3093</v>
      </c>
      <c t="s">
        <v>21398</v>
      </c>
    </row>
    <row>
      <c t="s">
        <v>17594</v>
      </c>
      <c t="s">
        <v>22504</v>
      </c>
      <c t="s">
        <v>27641</v>
      </c>
      <c t="s">
        <v>32684</v>
      </c>
      <c t="s">
        <v>11311</v>
      </c>
      <c s="3">
        <v>24937</v>
      </c>
      <c s="3">
        <v>24937</v>
      </c>
      <c s="3">
        <v>24937</v>
      </c>
      <c>
        <v>0</v>
      </c>
      <c s="3">
        <v>0</v>
      </c>
      <c s="3">
        <v>814.24</v>
      </c>
      <c s="3">
        <v>24937</v>
      </c>
      <c r="O246" s="1" t="str">
        <f ca="1">HYPERLINK("https://web.datatree.com/?/property?propertyId=32040305", "https://web.datatree.com/?/property?propertyId=32040305")</f>
        <v>https://web.datatree.com/?/property?propertyId=32040305</v>
      </c>
      <c r="Q246" t="s">
        <v>316</v>
      </c>
      <c>
        <v>0.277</v>
      </c>
      <c t="s">
        <v>6175</v>
      </c>
      <c r="U246" t="s">
        <v>28064</v>
      </c>
      <c t="s">
        <v>51187</v>
      </c>
      <c t="s">
        <v>28717</v>
      </c>
      <c t="s">
        <v>33883</v>
      </c>
      <c t="s">
        <v>59356</v>
      </c>
      <c t="s">
        <v>2517</v>
      </c>
      <c t="s">
        <v>39289</v>
      </c>
      <c>
        <v>33909</v>
      </c>
      <c t="s">
        <v>46921</v>
      </c>
      <c t="s">
        <v>48794</v>
      </c>
      <c t="s">
        <v>56016</v>
      </c>
      <c>
        <v>9068</v>
      </c>
      <c r="AI246" t="s">
        <v>21988</v>
      </c>
      <c t="s">
        <v>31192</v>
      </c>
      <c r="AL246" t="s">
        <v>34557</v>
      </c>
      <c t="s">
        <v>34557</v>
      </c>
      <c t="s">
        <v>65451</v>
      </c>
      <c t="s">
        <v>11564</v>
      </c>
      <c t="s">
        <v>11138</v>
      </c>
      <c t="s">
        <v>3093</v>
      </c>
      <c t="s">
        <v>4954</v>
      </c>
    </row>
    <row>
      <c t="s">
        <v>17594</v>
      </c>
      <c t="s">
        <v>26859</v>
      </c>
      <c t="s">
        <v>35120</v>
      </c>
      <c t="s">
        <v>8794</v>
      </c>
      <c t="s">
        <v>67048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247" s="1" t="str">
        <f ca="1">HYPERLINK("https://web.datatree.com/?/property?propertyId=32040384", "https://web.datatree.com/?/property?propertyId=32040384")</f>
        <v>https://web.datatree.com/?/property?propertyId=32040384</v>
      </c>
      <c r="Q247" t="s">
        <v>316</v>
      </c>
      <c>
        <v>0.236</v>
      </c>
      <c t="s">
        <v>6175</v>
      </c>
      <c t="s">
        <v>33990</v>
      </c>
      <c t="s">
        <v>60425</v>
      </c>
      <c t="s">
        <v>64740</v>
      </c>
      <c t="s">
        <v>65910</v>
      </c>
      <c t="s">
        <v>43732</v>
      </c>
      <c t="s">
        <v>29190</v>
      </c>
      <c t="s">
        <v>2517</v>
      </c>
      <c t="s">
        <v>39289</v>
      </c>
      <c>
        <v>33909</v>
      </c>
      <c t="s">
        <v>29765</v>
      </c>
      <c t="s">
        <v>48794</v>
      </c>
      <c t="s">
        <v>61757</v>
      </c>
      <c>
        <v>11890</v>
      </c>
      <c r="AI247" t="s">
        <v>17022</v>
      </c>
      <c t="s">
        <v>45393</v>
      </c>
      <c>
        <v>503</v>
      </c>
      <c t="s">
        <v>55393</v>
      </c>
      <c t="s">
        <v>51647</v>
      </c>
      <c t="s">
        <v>39289</v>
      </c>
      <c t="s">
        <v>40693</v>
      </c>
      <c t="s">
        <v>13610</v>
      </c>
      <c t="s">
        <v>3093</v>
      </c>
      <c t="s">
        <v>22007</v>
      </c>
    </row>
    <row>
      <c t="s">
        <v>17594</v>
      </c>
      <c t="s">
        <v>27160</v>
      </c>
      <c t="s">
        <v>8116</v>
      </c>
      <c t="s">
        <v>14152</v>
      </c>
      <c t="s">
        <v>15554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>
        <v>2014</v>
      </c>
      <c>
        <v>4915.54</v>
      </c>
      <c s="1" t="str">
        <f ca="1">HYPERLINK("https://web.datatree.com/?/property?propertyId=32040953", "https://web.datatree.com/?/property?propertyId=32040953")</f>
        <v>https://web.datatree.com/?/property?propertyId=32040953</v>
      </c>
      <c r="Q248" t="s">
        <v>316</v>
      </c>
      <c>
        <v>0.289</v>
      </c>
      <c t="s">
        <v>5471</v>
      </c>
      <c t="s">
        <v>1949</v>
      </c>
      <c t="s">
        <v>49325</v>
      </c>
      <c r="X248" t="s">
        <v>60636</v>
      </c>
      <c t="s">
        <v>13500</v>
      </c>
      <c t="s">
        <v>65059</v>
      </c>
      <c t="s">
        <v>39289</v>
      </c>
      <c>
        <v>33905</v>
      </c>
      <c t="s">
        <v>23342</v>
      </c>
      <c t="s">
        <v>48794</v>
      </c>
      <c t="s">
        <v>20535</v>
      </c>
      <c>
        <v>1810</v>
      </c>
      <c r="AI248" t="s">
        <v>2626</v>
      </c>
      <c t="s">
        <v>24900</v>
      </c>
      <c r="AL248" t="s">
        <v>55393</v>
      </c>
      <c t="s">
        <v>55393</v>
      </c>
      <c t="s">
        <v>39289</v>
      </c>
      <c t="s">
        <v>36630</v>
      </c>
      <c t="s">
        <v>32746</v>
      </c>
      <c t="s">
        <v>3093</v>
      </c>
      <c t="s">
        <v>49890</v>
      </c>
    </row>
    <row>
      <c t="s">
        <v>17594</v>
      </c>
      <c t="s">
        <v>46376</v>
      </c>
      <c t="s">
        <v>29561</v>
      </c>
      <c t="s">
        <v>45006</v>
      </c>
      <c t="s">
        <v>5298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>
        <v>2019</v>
      </c>
      <c>
        <v>1735.4</v>
      </c>
      <c s="1" t="str">
        <f ca="1">HYPERLINK("https://web.datatree.com/?/property?propertyId=32042459", "https://web.datatree.com/?/property?propertyId=32042459")</f>
        <v>https://web.datatree.com/?/property?propertyId=32042459</v>
      </c>
      <c r="Q249" t="s">
        <v>316</v>
      </c>
      <c>
        <v>0.244</v>
      </c>
      <c t="s">
        <v>6175</v>
      </c>
      <c t="s">
        <v>8384</v>
      </c>
      <c t="s">
        <v>9314</v>
      </c>
      <c t="s">
        <v>1158</v>
      </c>
      <c t="s">
        <v>11716</v>
      </c>
      <c t="s">
        <v>46620</v>
      </c>
      <c t="s">
        <v>39082</v>
      </c>
      <c t="s">
        <v>2517</v>
      </c>
      <c t="s">
        <v>39289</v>
      </c>
      <c>
        <v>33909</v>
      </c>
      <c t="s">
        <v>36033</v>
      </c>
      <c t="s">
        <v>48794</v>
      </c>
      <c t="s">
        <v>34212</v>
      </c>
      <c>
        <v>7250</v>
      </c>
      <c r="AI249" t="s">
        <v>33395</v>
      </c>
      <c t="s">
        <v>31192</v>
      </c>
      <c r="AL249" t="s">
        <v>29515</v>
      </c>
      <c t="s">
        <v>28635</v>
      </c>
      <c t="s">
        <v>39289</v>
      </c>
      <c t="s">
        <v>22950</v>
      </c>
      <c t="s">
        <v>45980</v>
      </c>
      <c t="s">
        <v>3093</v>
      </c>
      <c t="s">
        <v>45973</v>
      </c>
    </row>
    <row>
      <c t="s">
        <v>17594</v>
      </c>
      <c t="s">
        <v>1525</v>
      </c>
      <c t="s">
        <v>7932</v>
      </c>
      <c t="s">
        <v>58521</v>
      </c>
      <c t="s">
        <v>42064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250" s="1" t="str">
        <f ca="1">HYPERLINK("https://web.datatree.com/?/property?propertyId=32042545", "https://web.datatree.com/?/property?propertyId=32042545")</f>
        <v>https://web.datatree.com/?/property?propertyId=32042545</v>
      </c>
      <c r="Q250" t="s">
        <v>316</v>
      </c>
      <c>
        <v>0.23</v>
      </c>
      <c t="s">
        <v>22490</v>
      </c>
      <c t="s">
        <v>53587</v>
      </c>
      <c t="s">
        <v>52320</v>
      </c>
      <c r="X250" t="s">
        <v>8840</v>
      </c>
      <c t="s">
        <v>22731</v>
      </c>
      <c t="s">
        <v>2517</v>
      </c>
      <c t="s">
        <v>39289</v>
      </c>
      <c>
        <v>33909</v>
      </c>
      <c t="s">
        <v>1652</v>
      </c>
      <c t="s">
        <v>48794</v>
      </c>
      <c t="s">
        <v>27895</v>
      </c>
      <c>
        <v>21</v>
      </c>
      <c r="AI250" t="s">
        <v>26479</v>
      </c>
      <c r="AL250" t="s">
        <v>48798</v>
      </c>
      <c r="AN250" t="s">
        <v>22478</v>
      </c>
      <c r="AR250" t="s">
        <v>19288</v>
      </c>
    </row>
    <row>
      <c t="s">
        <v>17594</v>
      </c>
      <c t="s">
        <v>35033</v>
      </c>
      <c t="s">
        <v>51014</v>
      </c>
      <c t="s">
        <v>558</v>
      </c>
      <c t="s">
        <v>62424</v>
      </c>
      <c s="3">
        <v>24450</v>
      </c>
      <c s="3">
        <v>24450</v>
      </c>
      <c s="3">
        <v>11000</v>
      </c>
      <c>
        <v>0</v>
      </c>
      <c s="3">
        <v>0</v>
      </c>
      <c s="3">
        <v>644.52</v>
      </c>
      <c s="3">
        <v>24450</v>
      </c>
      <c r="O251" s="1" t="str">
        <f ca="1">HYPERLINK("https://web.datatree.com/?/property?propertyId=32043169", "https://web.datatree.com/?/property?propertyId=32043169")</f>
        <v>https://web.datatree.com/?/property?propertyId=32043169</v>
      </c>
      <c r="Q251" t="s">
        <v>316</v>
      </c>
      <c>
        <v>0.255</v>
      </c>
      <c t="s">
        <v>22490</v>
      </c>
      <c t="s">
        <v>6294</v>
      </c>
      <c t="s">
        <v>1898</v>
      </c>
      <c t="s">
        <v>3293</v>
      </c>
      <c t="s">
        <v>1898</v>
      </c>
      <c t="s">
        <v>17918</v>
      </c>
      <c t="s">
        <v>22731</v>
      </c>
      <c t="s">
        <v>2517</v>
      </c>
      <c t="s">
        <v>39289</v>
      </c>
      <c>
        <v>33909</v>
      </c>
      <c t="s">
        <v>45803</v>
      </c>
      <c t="s">
        <v>48794</v>
      </c>
      <c t="s">
        <v>60218</v>
      </c>
      <c>
        <v>426</v>
      </c>
      <c r="AI251" t="s">
        <v>22464</v>
      </c>
      <c t="s">
        <v>45393</v>
      </c>
      <c r="AL251" t="s">
        <v>9654</v>
      </c>
      <c r="AN251" t="s">
        <v>26016</v>
      </c>
      <c t="s">
        <v>18103</v>
      </c>
      <c t="s">
        <v>1951</v>
      </c>
      <c t="s">
        <v>3093</v>
      </c>
      <c t="s">
        <v>4618</v>
      </c>
    </row>
    <row>
      <c t="s">
        <v>17594</v>
      </c>
      <c t="s">
        <v>18819</v>
      </c>
      <c t="s">
        <v>1914</v>
      </c>
      <c t="s">
        <v>39785</v>
      </c>
      <c t="s">
        <v>19019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252" s="1" t="str">
        <f ca="1">HYPERLINK("https://web.datatree.com/?/property?propertyId=32043355", "https://web.datatree.com/?/property?propertyId=32043355")</f>
        <v>https://web.datatree.com/?/property?propertyId=32043355</v>
      </c>
      <c r="Q252" t="s">
        <v>316</v>
      </c>
      <c>
        <v>0.23</v>
      </c>
      <c t="s">
        <v>6175</v>
      </c>
      <c t="s">
        <v>47991</v>
      </c>
      <c t="s">
        <v>8106</v>
      </c>
      <c r="X252" t="s">
        <v>22955</v>
      </c>
      <c t="s">
        <v>53663</v>
      </c>
      <c t="s">
        <v>2517</v>
      </c>
      <c t="s">
        <v>39289</v>
      </c>
      <c>
        <v>33909</v>
      </c>
      <c t="s">
        <v>10137</v>
      </c>
      <c t="s">
        <v>48794</v>
      </c>
      <c t="s">
        <v>47280</v>
      </c>
      <c>
        <v>5138</v>
      </c>
      <c r="AI252">
        <v>8</v>
      </c>
      <c t="s">
        <v>20065</v>
      </c>
      <c r="AL252" t="s">
        <v>26628</v>
      </c>
      <c r="AN252" t="s">
        <v>10909</v>
      </c>
      <c t="s">
        <v>10574</v>
      </c>
      <c r="AQ252" t="s">
        <v>27814</v>
      </c>
      <c t="s">
        <v>32312</v>
      </c>
    </row>
    <row>
      <c t="s">
        <v>17594</v>
      </c>
      <c t="s">
        <v>46738</v>
      </c>
      <c t="s">
        <v>7991</v>
      </c>
      <c t="s">
        <v>50271</v>
      </c>
      <c t="s">
        <v>31190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253" s="1" t="str">
        <f ca="1">HYPERLINK("https://web.datatree.com/?/property?propertyId=32043468", "https://web.datatree.com/?/property?propertyId=32043468")</f>
        <v>https://web.datatree.com/?/property?propertyId=32043468</v>
      </c>
      <c r="Q253" t="s">
        <v>316</v>
      </c>
      <c>
        <v>0.23</v>
      </c>
      <c t="s">
        <v>6175</v>
      </c>
      <c t="s">
        <v>8762</v>
      </c>
      <c t="s">
        <v>49690</v>
      </c>
      <c r="X253" t="s">
        <v>53208</v>
      </c>
      <c t="s">
        <v>14534</v>
      </c>
      <c t="s">
        <v>2517</v>
      </c>
      <c t="s">
        <v>39289</v>
      </c>
      <c>
        <v>33909</v>
      </c>
      <c t="s">
        <v>17081</v>
      </c>
      <c t="s">
        <v>48794</v>
      </c>
      <c t="s">
        <v>42984</v>
      </c>
      <c>
        <v>2346</v>
      </c>
      <c r="AI253" t="s">
        <v>6352</v>
      </c>
      <c t="s">
        <v>41372</v>
      </c>
      <c r="AL253" t="s">
        <v>34722</v>
      </c>
      <c t="s">
        <v>34722</v>
      </c>
      <c t="s">
        <v>39289</v>
      </c>
      <c t="s">
        <v>35511</v>
      </c>
      <c t="s">
        <v>45860</v>
      </c>
      <c t="s">
        <v>3093</v>
      </c>
      <c t="s">
        <v>23962</v>
      </c>
    </row>
    <row>
      <c t="s">
        <v>17594</v>
      </c>
      <c t="s">
        <v>15045</v>
      </c>
      <c t="s">
        <v>66915</v>
      </c>
      <c t="s">
        <v>30459</v>
      </c>
      <c t="s">
        <v>52482</v>
      </c>
      <c s="3">
        <v>15788</v>
      </c>
      <c s="3">
        <v>15788</v>
      </c>
      <c s="3">
        <v>15788</v>
      </c>
      <c>
        <v>0</v>
      </c>
      <c s="3">
        <v>0</v>
      </c>
      <c s="3">
        <v>576.49</v>
      </c>
      <c s="3">
        <v>15788</v>
      </c>
      <c r="O254" s="1" t="str">
        <f ca="1">HYPERLINK("https://web.datatree.com/?/property?propertyId=32043479", "https://web.datatree.com/?/property?propertyId=32043479")</f>
        <v>https://web.datatree.com/?/property?propertyId=32043479</v>
      </c>
      <c r="Q254" t="s">
        <v>316</v>
      </c>
      <c>
        <v>0.23</v>
      </c>
      <c t="s">
        <v>6175</v>
      </c>
      <c t="s">
        <v>19060</v>
      </c>
      <c t="s">
        <v>30873</v>
      </c>
      <c t="s">
        <v>47712</v>
      </c>
      <c t="s">
        <v>30873</v>
      </c>
      <c t="s">
        <v>10533</v>
      </c>
      <c t="s">
        <v>2626</v>
      </c>
      <c t="s">
        <v>2517</v>
      </c>
      <c t="s">
        <v>39289</v>
      </c>
      <c>
        <v>33909</v>
      </c>
      <c t="s">
        <v>14234</v>
      </c>
      <c t="s">
        <v>48794</v>
      </c>
      <c t="s">
        <v>11731</v>
      </c>
      <c>
        <v>308</v>
      </c>
      <c r="AI254" t="s">
        <v>46259</v>
      </c>
      <c t="s">
        <v>45393</v>
      </c>
      <c r="AL254" t="s">
        <v>14125</v>
      </c>
      <c t="s">
        <v>14125</v>
      </c>
      <c t="s">
        <v>4477</v>
      </c>
      <c t="s">
        <v>2300</v>
      </c>
      <c t="s">
        <v>30106</v>
      </c>
      <c t="s">
        <v>3093</v>
      </c>
      <c t="s">
        <v>49452</v>
      </c>
    </row>
    <row>
      <c t="s">
        <v>17594</v>
      </c>
      <c t="s">
        <v>46595</v>
      </c>
      <c t="s">
        <v>40773</v>
      </c>
      <c t="s">
        <v>10330</v>
      </c>
      <c t="s">
        <v>809</v>
      </c>
      <c s="3">
        <v>20472</v>
      </c>
      <c s="3">
        <v>20472</v>
      </c>
      <c s="3">
        <v>9130</v>
      </c>
      <c>
        <v>0</v>
      </c>
      <c s="3">
        <v>0</v>
      </c>
      <c s="3">
        <v>2845.95</v>
      </c>
      <c s="3">
        <v>20472</v>
      </c>
      <c>
        <v>2017</v>
      </c>
      <c>
        <v>17625.84</v>
      </c>
      <c s="1" t="str">
        <f ca="1">HYPERLINK("https://web.datatree.com/?/property?propertyId=32043624", "https://web.datatree.com/?/property?propertyId=32043624")</f>
        <v>https://web.datatree.com/?/property?propertyId=32043624</v>
      </c>
      <c r="Q255" t="s">
        <v>316</v>
      </c>
      <c>
        <v>0.23</v>
      </c>
      <c t="s">
        <v>22490</v>
      </c>
      <c t="s">
        <v>45883</v>
      </c>
      <c t="s">
        <v>60074</v>
      </c>
      <c t="s">
        <v>38445</v>
      </c>
      <c t="s">
        <v>60074</v>
      </c>
      <c t="s">
        <v>64142</v>
      </c>
      <c t="s">
        <v>10653</v>
      </c>
      <c t="s">
        <v>2517</v>
      </c>
      <c t="s">
        <v>39289</v>
      </c>
      <c>
        <v>33909</v>
      </c>
      <c t="s">
        <v>28813</v>
      </c>
      <c t="s">
        <v>48794</v>
      </c>
      <c t="s">
        <v>5087</v>
      </c>
      <c>
        <v>25</v>
      </c>
      <c r="AI255" t="s">
        <v>12485</v>
      </c>
      <c t="s">
        <v>45620</v>
      </c>
      <c r="AL255" t="s">
        <v>59574</v>
      </c>
      <c r="AN255" t="s">
        <v>14509</v>
      </c>
      <c t="s">
        <v>63128</v>
      </c>
      <c t="s">
        <v>31626</v>
      </c>
      <c t="s">
        <v>3093</v>
      </c>
      <c t="s">
        <v>35602</v>
      </c>
    </row>
    <row>
      <c t="s">
        <v>17594</v>
      </c>
      <c t="s">
        <v>24820</v>
      </c>
      <c t="s">
        <v>63686</v>
      </c>
      <c t="s">
        <v>57944</v>
      </c>
      <c t="s">
        <v>18567</v>
      </c>
      <c s="3">
        <v>8500</v>
      </c>
      <c s="3">
        <v>8500</v>
      </c>
      <c s="3">
        <v>8500</v>
      </c>
      <c>
        <v>0</v>
      </c>
      <c s="3">
        <v>0</v>
      </c>
      <c s="3">
        <v>2889.69</v>
      </c>
      <c s="3">
        <v>8500</v>
      </c>
      <c r="O256" s="1" t="str">
        <f ca="1">HYPERLINK("https://web.datatree.com/?/property?propertyId=32044799", "https://web.datatree.com/?/property?propertyId=32044799")</f>
        <v>https://web.datatree.com/?/property?propertyId=32044799</v>
      </c>
      <c r="Q256" t="s">
        <v>316</v>
      </c>
      <c>
        <v>0.241</v>
      </c>
      <c t="s">
        <v>6175</v>
      </c>
      <c t="s">
        <v>3293</v>
      </c>
      <c t="s">
        <v>25636</v>
      </c>
      <c t="s">
        <v>18484</v>
      </c>
      <c t="s">
        <v>25636</v>
      </c>
      <c t="s">
        <v>978</v>
      </c>
      <c t="s">
        <v>55273</v>
      </c>
      <c t="s">
        <v>2517</v>
      </c>
      <c t="s">
        <v>39289</v>
      </c>
      <c>
        <v>33909</v>
      </c>
      <c t="s">
        <v>27558</v>
      </c>
      <c t="s">
        <v>48794</v>
      </c>
      <c t="s">
        <v>30707</v>
      </c>
      <c>
        <v>307</v>
      </c>
      <c r="AI256" t="s">
        <v>64312</v>
      </c>
      <c t="s">
        <v>20615</v>
      </c>
      <c>
        <v>1026</v>
      </c>
      <c t="s">
        <v>50860</v>
      </c>
      <c t="s">
        <v>50860</v>
      </c>
      <c t="s">
        <v>51087</v>
      </c>
      <c t="s">
        <v>62017</v>
      </c>
      <c t="s">
        <v>17380</v>
      </c>
      <c t="s">
        <v>3093</v>
      </c>
      <c t="s">
        <v>57282</v>
      </c>
    </row>
    <row>
      <c t="s">
        <v>17594</v>
      </c>
      <c t="s">
        <v>132</v>
      </c>
      <c t="s">
        <v>13411</v>
      </c>
      <c t="s">
        <v>10005</v>
      </c>
      <c t="s">
        <v>52724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57" s="1" t="str">
        <f ca="1">HYPERLINK("https://web.datatree.com/?/property?propertyId=32045132", "https://web.datatree.com/?/property?propertyId=32045132")</f>
        <v>https://web.datatree.com/?/property?propertyId=32045132</v>
      </c>
      <c r="Q257" t="s">
        <v>316</v>
      </c>
      <c>
        <v>0.23</v>
      </c>
      <c t="s">
        <v>22490</v>
      </c>
      <c r="U257" t="s">
        <v>9776</v>
      </c>
      <c r="X257" t="s">
        <v>59927</v>
      </c>
      <c t="s">
        <v>5115</v>
      </c>
      <c t="s">
        <v>2517</v>
      </c>
      <c t="s">
        <v>39289</v>
      </c>
      <c>
        <v>33909</v>
      </c>
      <c t="s">
        <v>48283</v>
      </c>
      <c t="s">
        <v>48794</v>
      </c>
      <c t="s">
        <v>43772</v>
      </c>
      <c>
        <v>4767</v>
      </c>
      <c r="AI257" t="s">
        <v>23142</v>
      </c>
      <c t="s">
        <v>45393</v>
      </c>
      <c r="AL257" t="s">
        <v>27398</v>
      </c>
      <c t="s">
        <v>27398</v>
      </c>
      <c t="s">
        <v>39289</v>
      </c>
      <c t="s">
        <v>50951</v>
      </c>
      <c t="s">
        <v>55040</v>
      </c>
      <c t="s">
        <v>3093</v>
      </c>
      <c t="s">
        <v>51717</v>
      </c>
    </row>
    <row>
      <c t="s">
        <v>17594</v>
      </c>
      <c t="s">
        <v>65594</v>
      </c>
      <c t="s">
        <v>61075</v>
      </c>
      <c t="s">
        <v>49303</v>
      </c>
      <c t="s">
        <v>30116</v>
      </c>
      <c s="3">
        <v>13052</v>
      </c>
      <c s="3">
        <v>13052</v>
      </c>
      <c s="3">
        <v>4671</v>
      </c>
      <c>
        <v>0</v>
      </c>
      <c s="3">
        <v>0</v>
      </c>
      <c s="3">
        <v>369.91</v>
      </c>
      <c s="3">
        <v>13052</v>
      </c>
      <c>
        <v>2021</v>
      </c>
      <c>
        <v>400</v>
      </c>
      <c s="1" t="str">
        <f ca="1">HYPERLINK("https://web.datatree.com/?/property?propertyId=32045838", "https://web.datatree.com/?/property?propertyId=32045838")</f>
        <v>https://web.datatree.com/?/property?propertyId=32045838</v>
      </c>
      <c r="Q258" t="s">
        <v>316</v>
      </c>
      <c>
        <v>0.115</v>
      </c>
      <c t="s">
        <v>6175</v>
      </c>
      <c t="s">
        <v>51891</v>
      </c>
      <c t="s">
        <v>29304</v>
      </c>
      <c r="X258" t="s">
        <v>9945</v>
      </c>
      <c t="s">
        <v>47150</v>
      </c>
      <c t="s">
        <v>2517</v>
      </c>
      <c t="s">
        <v>39289</v>
      </c>
      <c>
        <v>33909</v>
      </c>
      <c t="s">
        <v>42580</v>
      </c>
      <c t="s">
        <v>48794</v>
      </c>
      <c t="s">
        <v>27038</v>
      </c>
      <c>
        <v>900</v>
      </c>
      <c r="AI258" t="s">
        <v>12229</v>
      </c>
      <c t="s">
        <v>40123</v>
      </c>
      <c r="AL258" t="s">
        <v>44071</v>
      </c>
      <c r="AN258" t="s">
        <v>50917</v>
      </c>
      <c t="s">
        <v>22251</v>
      </c>
      <c t="s">
        <v>16126</v>
      </c>
      <c t="s">
        <v>3093</v>
      </c>
      <c t="s">
        <v>7652</v>
      </c>
    </row>
    <row>
      <c t="s">
        <v>17594</v>
      </c>
      <c t="s">
        <v>28728</v>
      </c>
      <c t="s">
        <v>60311</v>
      </c>
      <c t="s">
        <v>28218</v>
      </c>
      <c t="s">
        <v>744</v>
      </c>
      <c s="3">
        <v>45000</v>
      </c>
      <c s="3">
        <v>45000</v>
      </c>
      <c s="3">
        <v>19800</v>
      </c>
      <c>
        <v>0</v>
      </c>
      <c s="3">
        <v>0</v>
      </c>
      <c s="3">
        <v>827.25</v>
      </c>
      <c s="3">
        <v>45000</v>
      </c>
      <c r="O259" s="1" t="str">
        <f ca="1">HYPERLINK("https://web.datatree.com/?/property?propertyId=32046181", "https://web.datatree.com/?/property?propertyId=32046181")</f>
        <v>https://web.datatree.com/?/property?propertyId=32046181</v>
      </c>
      <c r="Q259" t="s">
        <v>316</v>
      </c>
      <c>
        <v>0.23</v>
      </c>
      <c t="s">
        <v>22490</v>
      </c>
      <c t="s">
        <v>16064</v>
      </c>
      <c t="s">
        <v>45989</v>
      </c>
      <c t="s">
        <v>12869</v>
      </c>
      <c t="s">
        <v>45989</v>
      </c>
      <c t="s">
        <v>56960</v>
      </c>
      <c t="s">
        <v>53675</v>
      </c>
      <c t="s">
        <v>2517</v>
      </c>
      <c t="s">
        <v>39289</v>
      </c>
      <c>
        <v>33909</v>
      </c>
      <c t="s">
        <v>62395</v>
      </c>
      <c t="s">
        <v>48794</v>
      </c>
      <c t="s">
        <v>64468</v>
      </c>
      <c>
        <v>13875</v>
      </c>
      <c r="AH259" t="s">
        <v>60953</v>
      </c>
      <c t="s">
        <v>62772</v>
      </c>
      <c t="s">
        <v>45393</v>
      </c>
      <c r="AL259" t="s">
        <v>36662</v>
      </c>
      <c t="s">
        <v>36662</v>
      </c>
      <c t="s">
        <v>50829</v>
      </c>
      <c t="s">
        <v>27531</v>
      </c>
      <c t="s">
        <v>34171</v>
      </c>
      <c t="s">
        <v>3093</v>
      </c>
      <c t="s">
        <v>64489</v>
      </c>
    </row>
    <row>
      <c t="s">
        <v>42103</v>
      </c>
      <c t="s">
        <v>5190</v>
      </c>
      <c t="s">
        <v>20364</v>
      </c>
      <c t="s">
        <v>11104</v>
      </c>
      <c t="s">
        <v>33096</v>
      </c>
      <c s="3">
        <v>20472</v>
      </c>
      <c s="3">
        <v>20472</v>
      </c>
      <c s="3">
        <v>9130</v>
      </c>
      <c>
        <v>0</v>
      </c>
      <c s="3">
        <v>0</v>
      </c>
      <c s="3">
        <v>1937.39</v>
      </c>
      <c s="3">
        <v>20472</v>
      </c>
      <c r="O260" s="1" t="str">
        <f ca="1">HYPERLINK("https://web.datatree.com/?/property?propertyId=32046551", "https://web.datatree.com/?/property?propertyId=32046551")</f>
        <v>https://web.datatree.com/?/property?propertyId=32046551</v>
      </c>
      <c r="Q260" t="s">
        <v>316</v>
      </c>
      <c>
        <v>0.241</v>
      </c>
      <c t="s">
        <v>22490</v>
      </c>
      <c t="s">
        <v>20657</v>
      </c>
      <c t="s">
        <v>1973</v>
      </c>
      <c r="X260" t="s">
        <v>43567</v>
      </c>
      <c t="s">
        <v>18679</v>
      </c>
      <c t="s">
        <v>2517</v>
      </c>
      <c t="s">
        <v>39289</v>
      </c>
      <c>
        <v>33909</v>
      </c>
      <c t="s">
        <v>36946</v>
      </c>
      <c t="s">
        <v>48794</v>
      </c>
      <c t="s">
        <v>46554</v>
      </c>
      <c r="AI260" t="s">
        <v>14147</v>
      </c>
      <c r="AL260" t="s">
        <v>13397</v>
      </c>
      <c t="s">
        <v>13397</v>
      </c>
      <c t="s">
        <v>50917</v>
      </c>
      <c>
        <v>10101</v>
      </c>
      <c r="AR260" t="s">
        <v>13022</v>
      </c>
    </row>
    <row>
      <c t="s">
        <v>17594</v>
      </c>
      <c t="s">
        <v>9887</v>
      </c>
      <c t="s">
        <v>66591</v>
      </c>
      <c t="s">
        <v>8096</v>
      </c>
      <c t="s">
        <v>38244</v>
      </c>
      <c s="3">
        <v>24018</v>
      </c>
      <c s="3">
        <v>24018</v>
      </c>
      <c s="3">
        <v>9902</v>
      </c>
      <c>
        <v>0</v>
      </c>
      <c s="3">
        <v>0</v>
      </c>
      <c s="3">
        <v>464.17</v>
      </c>
      <c s="3">
        <v>24018</v>
      </c>
      <c r="O261" s="1" t="str">
        <f ca="1">HYPERLINK("https://web.datatree.com/?/property?propertyId=32046647", "https://web.datatree.com/?/property?propertyId=32046647")</f>
        <v>https://web.datatree.com/?/property?propertyId=32046647</v>
      </c>
      <c r="Q261" t="s">
        <v>316</v>
      </c>
      <c>
        <v>0.488</v>
      </c>
      <c t="s">
        <v>5471</v>
      </c>
      <c t="s">
        <v>27437</v>
      </c>
      <c t="s">
        <v>45770</v>
      </c>
      <c t="s">
        <v>4257</v>
      </c>
      <c t="s">
        <v>22942</v>
      </c>
      <c t="s">
        <v>4912</v>
      </c>
      <c t="s">
        <v>12246</v>
      </c>
      <c t="s">
        <v>65059</v>
      </c>
      <c t="s">
        <v>39289</v>
      </c>
      <c>
        <v>33905</v>
      </c>
      <c t="s">
        <v>64746</v>
      </c>
      <c t="s">
        <v>48794</v>
      </c>
      <c t="s">
        <v>60630</v>
      </c>
      <c>
        <v>7</v>
      </c>
      <c r="AI261" t="s">
        <v>11573</v>
      </c>
      <c t="s">
        <v>52137</v>
      </c>
      <c>
        <v>223</v>
      </c>
      <c t="s">
        <v>33855</v>
      </c>
      <c t="s">
        <v>58070</v>
      </c>
      <c t="s">
        <v>51087</v>
      </c>
      <c>
        <v>22044</v>
      </c>
      <c t="s">
        <v>66620</v>
      </c>
      <c t="s">
        <v>3093</v>
      </c>
      <c t="s">
        <v>2957</v>
      </c>
    </row>
    <row>
      <c t="s">
        <v>17594</v>
      </c>
      <c t="s">
        <v>24334</v>
      </c>
      <c t="s">
        <v>61187</v>
      </c>
      <c t="s">
        <v>7041</v>
      </c>
      <c t="s">
        <v>29188</v>
      </c>
      <c s="3">
        <v>39191</v>
      </c>
      <c s="3">
        <v>39191</v>
      </c>
      <c s="3">
        <v>18392</v>
      </c>
      <c>
        <v>0</v>
      </c>
      <c s="3">
        <v>0</v>
      </c>
      <c s="3">
        <v>829.16</v>
      </c>
      <c s="3">
        <v>39191</v>
      </c>
      <c r="O262" s="1" t="str">
        <f ca="1">HYPERLINK("https://web.datatree.com/?/property?propertyId=32046931", "https://web.datatree.com/?/property?propertyId=32046931")</f>
        <v>https://web.datatree.com/?/property?propertyId=32046931</v>
      </c>
      <c r="Q262" t="s">
        <v>316</v>
      </c>
      <c>
        <v>0.23</v>
      </c>
      <c t="s">
        <v>6175</v>
      </c>
      <c t="s">
        <v>16080</v>
      </c>
      <c t="s">
        <v>39666</v>
      </c>
      <c r="X262" t="s">
        <v>42910</v>
      </c>
      <c t="s">
        <v>29190</v>
      </c>
      <c t="s">
        <v>2517</v>
      </c>
      <c t="s">
        <v>39289</v>
      </c>
      <c>
        <v>33909</v>
      </c>
      <c t="s">
        <v>44170</v>
      </c>
      <c t="s">
        <v>48794</v>
      </c>
      <c t="s">
        <v>33915</v>
      </c>
      <c>
        <v>7819</v>
      </c>
      <c r="AI262" t="s">
        <v>5229</v>
      </c>
      <c t="s">
        <v>41372</v>
      </c>
      <c r="AL262" t="s">
        <v>15127</v>
      </c>
      <c r="AN262" t="s">
        <v>50917</v>
      </c>
      <c t="s">
        <v>53634</v>
      </c>
      <c t="s">
        <v>51249</v>
      </c>
      <c t="s">
        <v>3093</v>
      </c>
      <c t="s">
        <v>8377</v>
      </c>
    </row>
    <row>
      <c t="s">
        <v>17594</v>
      </c>
      <c t="s">
        <v>25364</v>
      </c>
      <c t="s">
        <v>28616</v>
      </c>
      <c t="s">
        <v>62746</v>
      </c>
      <c t="s">
        <v>51349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263" s="1" t="str">
        <f ca="1">HYPERLINK("https://web.datatree.com/?/property?propertyId=32047053", "https://web.datatree.com/?/property?propertyId=32047053")</f>
        <v>https://web.datatree.com/?/property?propertyId=32047053</v>
      </c>
      <c r="Q263" t="s">
        <v>316</v>
      </c>
      <c>
        <v>0.23</v>
      </c>
      <c t="s">
        <v>6175</v>
      </c>
      <c t="s">
        <v>60638</v>
      </c>
      <c t="s">
        <v>55020</v>
      </c>
      <c t="s">
        <v>9598</v>
      </c>
      <c t="s">
        <v>55020</v>
      </c>
      <c t="s">
        <v>27731</v>
      </c>
      <c t="s">
        <v>2626</v>
      </c>
      <c t="s">
        <v>2517</v>
      </c>
      <c t="s">
        <v>39289</v>
      </c>
      <c>
        <v>33909</v>
      </c>
      <c t="s">
        <v>54307</v>
      </c>
      <c t="s">
        <v>48794</v>
      </c>
      <c t="s">
        <v>1216</v>
      </c>
      <c>
        <v>603</v>
      </c>
      <c r="AI263" t="s">
        <v>23807</v>
      </c>
      <c t="s">
        <v>45620</v>
      </c>
      <c r="AL263" t="s">
        <v>26276</v>
      </c>
      <c r="AN263" t="s">
        <v>50917</v>
      </c>
      <c t="s">
        <v>26871</v>
      </c>
      <c t="s">
        <v>54916</v>
      </c>
      <c t="s">
        <v>3093</v>
      </c>
      <c t="s">
        <v>30789</v>
      </c>
    </row>
    <row>
      <c t="s">
        <v>17594</v>
      </c>
      <c t="s">
        <v>34515</v>
      </c>
      <c t="s">
        <v>3019</v>
      </c>
      <c t="s">
        <v>44303</v>
      </c>
      <c t="s">
        <v>839</v>
      </c>
      <c s="3">
        <v>12544</v>
      </c>
      <c s="3">
        <v>12544</v>
      </c>
      <c s="3">
        <v>12544</v>
      </c>
      <c>
        <v>0</v>
      </c>
      <c s="3">
        <v>0</v>
      </c>
      <c s="3">
        <v>363.89</v>
      </c>
      <c s="3">
        <v>12544</v>
      </c>
      <c r="O264" s="1" t="str">
        <f ca="1">HYPERLINK("https://web.datatree.com/?/property?propertyId=32047219", "https://web.datatree.com/?/property?propertyId=32047219")</f>
        <v>https://web.datatree.com/?/property?propertyId=32047219</v>
      </c>
      <c r="Q264" t="s">
        <v>316</v>
      </c>
      <c>
        <v>0.225</v>
      </c>
      <c t="s">
        <v>5471</v>
      </c>
      <c t="s">
        <v>64583</v>
      </c>
      <c t="s">
        <v>39583</v>
      </c>
      <c r="X264" t="s">
        <v>61710</v>
      </c>
      <c t="s">
        <v>19611</v>
      </c>
      <c t="s">
        <v>65059</v>
      </c>
      <c t="s">
        <v>39289</v>
      </c>
      <c>
        <v>33905</v>
      </c>
      <c t="s">
        <v>61387</v>
      </c>
      <c t="s">
        <v>48794</v>
      </c>
      <c t="s">
        <v>18709</v>
      </c>
      <c>
        <v>15431</v>
      </c>
      <c r="AI264" t="s">
        <v>62069</v>
      </c>
      <c t="s">
        <v>55842</v>
      </c>
      <c r="AL264" t="s">
        <v>20040</v>
      </c>
      <c t="s">
        <v>20040</v>
      </c>
      <c t="s">
        <v>19878</v>
      </c>
      <c t="s">
        <v>10646</v>
      </c>
      <c t="s">
        <v>4797</v>
      </c>
      <c t="s">
        <v>3093</v>
      </c>
      <c t="s">
        <v>46133</v>
      </c>
    </row>
    <row>
      <c t="s">
        <v>17594</v>
      </c>
      <c t="s">
        <v>26208</v>
      </c>
      <c t="s">
        <v>7592</v>
      </c>
      <c t="s">
        <v>43113</v>
      </c>
      <c t="s">
        <v>48044</v>
      </c>
      <c s="3">
        <v>91498</v>
      </c>
      <c s="3">
        <v>82500</v>
      </c>
      <c s="3">
        <v>83609</v>
      </c>
      <c>
        <v>0</v>
      </c>
      <c s="3">
        <v>0</v>
      </c>
      <c s="3">
        <v>1300.48</v>
      </c>
      <c s="3">
        <v>91498</v>
      </c>
      <c r="O265" s="1" t="str">
        <f ca="1">HYPERLINK("https://web.datatree.com/?/property?propertyId=32047227", "https://web.datatree.com/?/property?propertyId=32047227")</f>
        <v>https://web.datatree.com/?/property?propertyId=32047227</v>
      </c>
      <c r="Q265" t="s">
        <v>316</v>
      </c>
      <c>
        <v>0.122</v>
      </c>
      <c t="s">
        <v>26492</v>
      </c>
      <c t="s">
        <v>552</v>
      </c>
      <c t="s">
        <v>11693</v>
      </c>
      <c t="s">
        <v>52045</v>
      </c>
      <c t="s">
        <v>11693</v>
      </c>
      <c t="s">
        <v>40045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11981</v>
      </c>
      <c>
        <v>78</v>
      </c>
      <c r="AI265" t="s">
        <v>65647</v>
      </c>
      <c t="s">
        <v>45620</v>
      </c>
      <c r="AL265" t="s">
        <v>59016</v>
      </c>
      <c t="s">
        <v>40227</v>
      </c>
      <c t="s">
        <v>14509</v>
      </c>
      <c t="s">
        <v>54472</v>
      </c>
      <c t="s">
        <v>14695</v>
      </c>
      <c t="s">
        <v>3093</v>
      </c>
      <c t="s">
        <v>45053</v>
      </c>
    </row>
    <row>
      <c t="s">
        <v>17594</v>
      </c>
      <c t="s">
        <v>63542</v>
      </c>
      <c s="7" t="s">
        <v>25431</v>
      </c>
      <c t="s">
        <v>10110</v>
      </c>
      <c t="s">
        <v>41735</v>
      </c>
      <c s="3">
        <v>8479</v>
      </c>
      <c s="3">
        <v>8479</v>
      </c>
      <c s="3">
        <v>4972</v>
      </c>
      <c>
        <v>0</v>
      </c>
      <c s="3">
        <v>0</v>
      </c>
      <c s="3">
        <v>315.35</v>
      </c>
      <c s="3">
        <v>8479</v>
      </c>
      <c r="O266" s="1" t="str">
        <f ca="1">HYPERLINK("https://web.datatree.com/?/property?propertyId=32048328", "https://web.datatree.com/?/property?propertyId=32048328")</f>
        <v>https://web.datatree.com/?/property?propertyId=32048328</v>
      </c>
      <c r="Q266" t="s">
        <v>316</v>
      </c>
      <c>
        <v>0.228</v>
      </c>
      <c t="s">
        <v>5471</v>
      </c>
      <c t="s">
        <v>35852</v>
      </c>
      <c t="s">
        <v>32454</v>
      </c>
      <c r="X266" t="s">
        <v>42685</v>
      </c>
      <c t="s">
        <v>15518</v>
      </c>
      <c t="s">
        <v>65059</v>
      </c>
      <c t="s">
        <v>39289</v>
      </c>
      <c>
        <v>33905</v>
      </c>
      <c t="s">
        <v>34623</v>
      </c>
      <c t="s">
        <v>48794</v>
      </c>
      <c t="s">
        <v>15515</v>
      </c>
      <c>
        <v>5</v>
      </c>
      <c r="AI266" t="s">
        <v>6326</v>
      </c>
      <c t="s">
        <v>40123</v>
      </c>
      <c r="AL266" t="s">
        <v>47243</v>
      </c>
      <c t="s">
        <v>47243</v>
      </c>
      <c t="s">
        <v>50917</v>
      </c>
      <c t="s">
        <v>12327</v>
      </c>
      <c t="s">
        <v>49977</v>
      </c>
      <c t="s">
        <v>3093</v>
      </c>
      <c s="7" t="s">
        <v>60272</v>
      </c>
    </row>
    <row>
      <c t="s">
        <v>17594</v>
      </c>
      <c t="s">
        <v>13333</v>
      </c>
      <c t="s">
        <v>57203</v>
      </c>
      <c t="s">
        <v>62295</v>
      </c>
      <c t="s">
        <v>20786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67" s="1" t="str">
        <f ca="1">HYPERLINK("https://web.datatree.com/?/property?propertyId=32049196", "https://web.datatree.com/?/property?propertyId=32049196")</f>
        <v>https://web.datatree.com/?/property?propertyId=32049196</v>
      </c>
      <c r="Q267" t="s">
        <v>316</v>
      </c>
      <c>
        <v>0.23</v>
      </c>
      <c t="s">
        <v>6175</v>
      </c>
      <c t="s">
        <v>30261</v>
      </c>
      <c t="s">
        <v>45908</v>
      </c>
      <c r="X267" t="s">
        <v>37508</v>
      </c>
      <c t="s">
        <v>49674</v>
      </c>
      <c t="s">
        <v>2517</v>
      </c>
      <c t="s">
        <v>39289</v>
      </c>
      <c>
        <v>33909</v>
      </c>
      <c t="s">
        <v>31282</v>
      </c>
      <c t="s">
        <v>48794</v>
      </c>
      <c t="s">
        <v>30769</v>
      </c>
      <c>
        <v>43</v>
      </c>
      <c r="AI267" t="s">
        <v>44129</v>
      </c>
      <c t="s">
        <v>45620</v>
      </c>
      <c>
        <v>2</v>
      </c>
      <c t="s">
        <v>43887</v>
      </c>
      <c t="s">
        <v>24207</v>
      </c>
      <c t="s">
        <v>50917</v>
      </c>
      <c t="s">
        <v>33342</v>
      </c>
      <c t="s">
        <v>13449</v>
      </c>
      <c t="s">
        <v>3093</v>
      </c>
      <c t="s">
        <v>3281</v>
      </c>
    </row>
    <row>
      <c t="s">
        <v>17594</v>
      </c>
      <c t="s">
        <v>22866</v>
      </c>
      <c t="s">
        <v>49747</v>
      </c>
      <c t="s">
        <v>65435</v>
      </c>
      <c t="s">
        <v>33870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>
        <v>2021</v>
      </c>
      <c>
        <v>621.52</v>
      </c>
      <c s="1" t="str">
        <f ca="1">HYPERLINK("https://web.datatree.com/?/property?propertyId=32049755", "https://web.datatree.com/?/property?propertyId=32049755")</f>
        <v>https://web.datatree.com/?/property?propertyId=32049755</v>
      </c>
      <c r="Q268" t="s">
        <v>316</v>
      </c>
      <c>
        <v>0.23</v>
      </c>
      <c t="s">
        <v>45031</v>
      </c>
      <c t="s">
        <v>50754</v>
      </c>
      <c t="s">
        <v>55147</v>
      </c>
      <c r="X268" t="s">
        <v>32101</v>
      </c>
      <c t="s">
        <v>18679</v>
      </c>
      <c t="s">
        <v>2517</v>
      </c>
      <c t="s">
        <v>39289</v>
      </c>
      <c>
        <v>33909</v>
      </c>
      <c t="s">
        <v>7357</v>
      </c>
      <c t="s">
        <v>48794</v>
      </c>
      <c t="s">
        <v>19131</v>
      </c>
      <c>
        <v>303</v>
      </c>
      <c r="AI268" t="s">
        <v>21752</v>
      </c>
      <c r="AL268" t="s">
        <v>29857</v>
      </c>
      <c t="s">
        <v>29857</v>
      </c>
      <c t="s">
        <v>18236</v>
      </c>
      <c>
        <v>79705</v>
      </c>
      <c r="AQ268" t="s">
        <v>3093</v>
      </c>
      <c t="s">
        <v>32280</v>
      </c>
    </row>
    <row>
      <c t="s">
        <v>17594</v>
      </c>
      <c t="s">
        <v>53503</v>
      </c>
      <c t="s">
        <v>9580</v>
      </c>
      <c t="s">
        <v>55487</v>
      </c>
      <c t="s">
        <v>66966</v>
      </c>
      <c s="3">
        <v>8089</v>
      </c>
      <c s="3">
        <v>8089</v>
      </c>
      <c s="3">
        <v>3474</v>
      </c>
      <c>
        <v>0</v>
      </c>
      <c s="3">
        <v>0</v>
      </c>
      <c s="3">
        <v>81.14</v>
      </c>
      <c s="3">
        <v>8089</v>
      </c>
      <c r="O269" s="1" t="str">
        <f ca="1">HYPERLINK("https://web.datatree.com/?/property?propertyId=32051029", "https://web.datatree.com/?/property?propertyId=32051029")</f>
        <v>https://web.datatree.com/?/property?propertyId=32051029</v>
      </c>
      <c r="Q269" t="s">
        <v>316</v>
      </c>
      <c>
        <v>0.114</v>
      </c>
      <c t="s">
        <v>5471</v>
      </c>
      <c t="s">
        <v>42768</v>
      </c>
      <c t="s">
        <v>29736</v>
      </c>
      <c t="s">
        <v>64736</v>
      </c>
      <c t="s">
        <v>29736</v>
      </c>
      <c t="s">
        <v>51780</v>
      </c>
      <c t="s">
        <v>16673</v>
      </c>
      <c t="s">
        <v>54524</v>
      </c>
      <c t="s">
        <v>39289</v>
      </c>
      <c>
        <v>33903</v>
      </c>
      <c t="s">
        <v>8049</v>
      </c>
      <c t="s">
        <v>48794</v>
      </c>
      <c t="s">
        <v>51724</v>
      </c>
      <c>
        <v>60</v>
      </c>
      <c r="AI269" t="s">
        <v>7964</v>
      </c>
      <c t="s">
        <v>24900</v>
      </c>
      <c r="AL269" t="s">
        <v>14113</v>
      </c>
      <c r="AN269" t="s">
        <v>26016</v>
      </c>
      <c t="s">
        <v>20454</v>
      </c>
      <c t="s">
        <v>24994</v>
      </c>
      <c t="s">
        <v>3093</v>
      </c>
      <c t="s">
        <v>16193</v>
      </c>
    </row>
    <row>
      <c t="s">
        <v>17594</v>
      </c>
      <c t="s">
        <v>48992</v>
      </c>
      <c t="s">
        <v>3777</v>
      </c>
      <c t="s">
        <v>62502</v>
      </c>
      <c t="s">
        <v>66411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>
        <v>2021</v>
      </c>
      <c>
        <v>355.82</v>
      </c>
      <c s="1" t="str">
        <f ca="1">HYPERLINK("https://web.datatree.com/?/property?propertyId=32051159", "https://web.datatree.com/?/property?propertyId=32051159")</f>
        <v>https://web.datatree.com/?/property?propertyId=32051159</v>
      </c>
      <c r="Q270" t="s">
        <v>316</v>
      </c>
      <c>
        <v>0.296</v>
      </c>
      <c t="s">
        <v>5471</v>
      </c>
      <c t="s">
        <v>8762</v>
      </c>
      <c t="s">
        <v>13911</v>
      </c>
      <c t="s">
        <v>3965</v>
      </c>
      <c t="s">
        <v>13911</v>
      </c>
      <c t="s">
        <v>42037</v>
      </c>
      <c t="s">
        <v>48116</v>
      </c>
      <c t="s">
        <v>65059</v>
      </c>
      <c t="s">
        <v>39289</v>
      </c>
      <c>
        <v>33905</v>
      </c>
      <c t="s">
        <v>58591</v>
      </c>
      <c t="s">
        <v>48794</v>
      </c>
      <c t="s">
        <v>19036</v>
      </c>
      <c>
        <v>1792</v>
      </c>
      <c r="AI270" t="s">
        <v>56096</v>
      </c>
      <c t="s">
        <v>45620</v>
      </c>
      <c r="AL270" t="s">
        <v>45566</v>
      </c>
      <c r="AN270" t="s">
        <v>32657</v>
      </c>
      <c t="s">
        <v>34818</v>
      </c>
      <c t="s">
        <v>60160</v>
      </c>
      <c t="s">
        <v>3093</v>
      </c>
      <c t="s">
        <v>32216</v>
      </c>
    </row>
    <row>
      <c t="s">
        <v>17594</v>
      </c>
      <c t="s">
        <v>2290</v>
      </c>
      <c t="s">
        <v>40615</v>
      </c>
      <c t="s">
        <v>57515</v>
      </c>
      <c t="s">
        <v>30212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>
        <v>2020</v>
      </c>
      <c>
        <v>1827.63</v>
      </c>
      <c s="1" t="str">
        <f ca="1">HYPERLINK("https://web.datatree.com/?/property?propertyId=32051373", "https://web.datatree.com/?/property?propertyId=32051373")</f>
        <v>https://web.datatree.com/?/property?propertyId=32051373</v>
      </c>
      <c r="Q271" t="s">
        <v>316</v>
      </c>
      <c>
        <v>0.23</v>
      </c>
      <c t="s">
        <v>22490</v>
      </c>
      <c t="s">
        <v>52701</v>
      </c>
      <c t="s">
        <v>27924</v>
      </c>
      <c r="X271" t="s">
        <v>40485</v>
      </c>
      <c t="s">
        <v>22731</v>
      </c>
      <c t="s">
        <v>2517</v>
      </c>
      <c t="s">
        <v>39289</v>
      </c>
      <c>
        <v>33909</v>
      </c>
      <c t="s">
        <v>30216</v>
      </c>
      <c t="s">
        <v>48794</v>
      </c>
      <c t="s">
        <v>15889</v>
      </c>
      <c>
        <v>10900</v>
      </c>
      <c r="AI271" t="s">
        <v>54777</v>
      </c>
      <c t="s">
        <v>7412</v>
      </c>
      <c r="AL271" t="s">
        <v>42437</v>
      </c>
      <c r="AN271" t="s">
        <v>51087</v>
      </c>
      <c t="s">
        <v>3313</v>
      </c>
      <c t="s">
        <v>21054</v>
      </c>
      <c t="s">
        <v>3093</v>
      </c>
      <c t="s">
        <v>8224</v>
      </c>
    </row>
    <row>
      <c t="s">
        <v>17594</v>
      </c>
      <c t="s">
        <v>61141</v>
      </c>
      <c t="s">
        <v>33062</v>
      </c>
      <c t="s">
        <v>32072</v>
      </c>
      <c t="s">
        <v>9768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272" s="1" t="str">
        <f ca="1">HYPERLINK("https://web.datatree.com/?/property?propertyId=32052078", "https://web.datatree.com/?/property?propertyId=32052078")</f>
        <v>https://web.datatree.com/?/property?propertyId=32052078</v>
      </c>
      <c r="Q272" t="s">
        <v>316</v>
      </c>
      <c>
        <v>0.233</v>
      </c>
      <c t="s">
        <v>22490</v>
      </c>
      <c t="s">
        <v>15209</v>
      </c>
      <c t="s">
        <v>28992</v>
      </c>
      <c t="s">
        <v>16893</v>
      </c>
      <c t="s">
        <v>28992</v>
      </c>
      <c t="s">
        <v>875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21210</v>
      </c>
      <c>
        <v>44170</v>
      </c>
      <c r="AI272" t="s">
        <v>6875</v>
      </c>
      <c t="s">
        <v>31192</v>
      </c>
      <c r="AL272" t="s">
        <v>51207</v>
      </c>
      <c r="AN272" t="s">
        <v>51137</v>
      </c>
      <c t="s">
        <v>47921</v>
      </c>
      <c t="s">
        <v>4660</v>
      </c>
      <c t="s">
        <v>3093</v>
      </c>
      <c t="s">
        <v>26617</v>
      </c>
    </row>
    <row>
      <c t="s">
        <v>17594</v>
      </c>
      <c t="s">
        <v>25850</v>
      </c>
      <c t="s">
        <v>44318</v>
      </c>
      <c t="s">
        <v>10885</v>
      </c>
      <c t="s">
        <v>62554</v>
      </c>
      <c s="3">
        <v>2440</v>
      </c>
      <c s="3">
        <v>2440</v>
      </c>
      <c s="3">
        <v>2200</v>
      </c>
      <c>
        <v>0</v>
      </c>
      <c s="3">
        <v>0</v>
      </c>
      <c s="3">
        <v>91.99</v>
      </c>
      <c s="3">
        <v>2440</v>
      </c>
      <c>
        <v>2014</v>
      </c>
      <c>
        <v>6991.88</v>
      </c>
      <c s="1" t="str">
        <f ca="1">HYPERLINK("https://web.datatree.com/?/property?propertyId=32052361", "https://web.datatree.com/?/property?propertyId=32052361")</f>
        <v>https://web.datatree.com/?/property?propertyId=32052361</v>
      </c>
      <c r="Q273" t="s">
        <v>316</v>
      </c>
      <c>
        <v>0.099</v>
      </c>
      <c t="s">
        <v>5471</v>
      </c>
      <c r="U273" t="s">
        <v>46768</v>
      </c>
      <c r="X273" t="s">
        <v>27066</v>
      </c>
      <c t="s">
        <v>18468</v>
      </c>
      <c t="s">
        <v>65059</v>
      </c>
      <c t="s">
        <v>39289</v>
      </c>
      <c>
        <v>33905</v>
      </c>
      <c t="s">
        <v>12448</v>
      </c>
      <c t="s">
        <v>48794</v>
      </c>
      <c t="s">
        <v>10229</v>
      </c>
      <c>
        <v>16553</v>
      </c>
      <c r="AI273" t="s">
        <v>2619</v>
      </c>
      <c t="s">
        <v>45393</v>
      </c>
      <c r="AL273" t="s">
        <v>58503</v>
      </c>
      <c t="s">
        <v>40227</v>
      </c>
      <c t="s">
        <v>39289</v>
      </c>
      <c t="s">
        <v>10473</v>
      </c>
      <c t="s">
        <v>5652</v>
      </c>
      <c t="s">
        <v>3093</v>
      </c>
      <c t="s">
        <v>59666</v>
      </c>
    </row>
    <row>
      <c t="s">
        <v>42103</v>
      </c>
      <c t="s">
        <v>35989</v>
      </c>
      <c t="s">
        <v>11862</v>
      </c>
      <c t="s">
        <v>27856</v>
      </c>
      <c t="s">
        <v>482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274" s="1" t="str">
        <f ca="1">HYPERLINK("https://web.datatree.com/?/property?propertyId=32052420", "https://web.datatree.com/?/property?propertyId=32052420")</f>
        <v>https://web.datatree.com/?/property?propertyId=32052420</v>
      </c>
      <c r="Q274" t="s">
        <v>316</v>
      </c>
      <c>
        <v>0.23</v>
      </c>
      <c t="s">
        <v>6175</v>
      </c>
      <c t="s">
        <v>31966</v>
      </c>
      <c t="s">
        <v>46440</v>
      </c>
      <c t="s">
        <v>16558</v>
      </c>
      <c t="s">
        <v>46440</v>
      </c>
      <c t="s">
        <v>11235</v>
      </c>
      <c t="s">
        <v>13829</v>
      </c>
      <c t="s">
        <v>2517</v>
      </c>
      <c t="s">
        <v>39289</v>
      </c>
      <c>
        <v>33909</v>
      </c>
      <c t="s">
        <v>50718</v>
      </c>
      <c t="s">
        <v>48794</v>
      </c>
      <c t="s">
        <v>26472</v>
      </c>
      <c r="AI274" t="s">
        <v>33546</v>
      </c>
      <c r="AL274" t="s">
        <v>17611</v>
      </c>
      <c t="s">
        <v>17611</v>
      </c>
      <c t="s">
        <v>50829</v>
      </c>
      <c>
        <v>56619</v>
      </c>
      <c t="s">
        <v>15796</v>
      </c>
      <c t="s">
        <v>3093</v>
      </c>
      <c t="s">
        <v>52303</v>
      </c>
    </row>
    <row>
      <c t="s">
        <v>17594</v>
      </c>
      <c t="s">
        <v>40220</v>
      </c>
      <c t="s">
        <v>40668</v>
      </c>
      <c t="s">
        <v>23741</v>
      </c>
      <c t="s">
        <v>11792</v>
      </c>
      <c s="3">
        <v>8509</v>
      </c>
      <c s="3">
        <v>8509</v>
      </c>
      <c s="3">
        <v>4972</v>
      </c>
      <c>
        <v>0</v>
      </c>
      <c s="3">
        <v>0</v>
      </c>
      <c s="3">
        <v>315.35</v>
      </c>
      <c s="3">
        <v>8509</v>
      </c>
      <c r="O275" s="1" t="str">
        <f ca="1">HYPERLINK("https://web.datatree.com/?/property?propertyId=32052965", "https://web.datatree.com/?/property?propertyId=32052965")</f>
        <v>https://web.datatree.com/?/property?propertyId=32052965</v>
      </c>
      <c r="Q275" t="s">
        <v>316</v>
      </c>
      <c>
        <v>0.229</v>
      </c>
      <c t="s">
        <v>5471</v>
      </c>
      <c t="s">
        <v>56174</v>
      </c>
      <c t="s">
        <v>27904</v>
      </c>
      <c r="X275" t="s">
        <v>20582</v>
      </c>
      <c t="s">
        <v>20307</v>
      </c>
      <c t="s">
        <v>65059</v>
      </c>
      <c t="s">
        <v>39289</v>
      </c>
      <c>
        <v>33905</v>
      </c>
      <c t="s">
        <v>37241</v>
      </c>
      <c t="s">
        <v>48794</v>
      </c>
      <c t="s">
        <v>1010</v>
      </c>
      <c>
        <v>17</v>
      </c>
      <c r="AI275" t="s">
        <v>7724</v>
      </c>
      <c t="s">
        <v>55842</v>
      </c>
      <c r="AL275" t="s">
        <v>22964</v>
      </c>
      <c r="AN275" t="s">
        <v>19878</v>
      </c>
      <c t="s">
        <v>42487</v>
      </c>
      <c t="s">
        <v>14845</v>
      </c>
      <c t="s">
        <v>3093</v>
      </c>
      <c t="s">
        <v>31381</v>
      </c>
    </row>
    <row>
      <c t="s">
        <v>17594</v>
      </c>
      <c t="s">
        <v>5068</v>
      </c>
      <c t="s">
        <v>17956</v>
      </c>
      <c t="s">
        <v>55278</v>
      </c>
      <c t="s">
        <v>62985</v>
      </c>
      <c s="3">
        <v>7700</v>
      </c>
      <c s="3">
        <v>7700</v>
      </c>
      <c s="3">
        <v>7700</v>
      </c>
      <c>
        <v>0</v>
      </c>
      <c s="3">
        <v>0</v>
      </c>
      <c s="3">
        <v>640.64</v>
      </c>
      <c s="3">
        <v>7700</v>
      </c>
      <c r="O276" s="1" t="str">
        <f ca="1">HYPERLINK("https://web.datatree.com/?/property?propertyId=32052981", "https://web.datatree.com/?/property?propertyId=32052981")</f>
        <v>https://web.datatree.com/?/property?propertyId=32052981</v>
      </c>
      <c r="Q276" t="s">
        <v>316</v>
      </c>
      <c>
        <v>0.244</v>
      </c>
      <c t="s">
        <v>6175</v>
      </c>
      <c t="s">
        <v>17387</v>
      </c>
      <c t="s">
        <v>56965</v>
      </c>
      <c r="X276" t="s">
        <v>57293</v>
      </c>
      <c t="s">
        <v>30928</v>
      </c>
      <c t="s">
        <v>2517</v>
      </c>
      <c t="s">
        <v>39289</v>
      </c>
      <c>
        <v>33909</v>
      </c>
      <c t="s">
        <v>43546</v>
      </c>
      <c t="s">
        <v>48794</v>
      </c>
      <c t="s">
        <v>61614</v>
      </c>
      <c>
        <v>16999</v>
      </c>
      <c r="AI276" t="s">
        <v>61850</v>
      </c>
      <c t="s">
        <v>45393</v>
      </c>
      <c r="AL276" t="s">
        <v>25857</v>
      </c>
      <c t="s">
        <v>25857</v>
      </c>
      <c t="s">
        <v>39289</v>
      </c>
      <c t="s">
        <v>65115</v>
      </c>
      <c t="s">
        <v>52551</v>
      </c>
      <c t="s">
        <v>3093</v>
      </c>
      <c t="s">
        <v>49629</v>
      </c>
    </row>
    <row>
      <c t="s">
        <v>17594</v>
      </c>
      <c t="s">
        <v>17912</v>
      </c>
      <c t="s">
        <v>23832</v>
      </c>
      <c t="s">
        <v>55119</v>
      </c>
      <c t="s">
        <v>1029</v>
      </c>
      <c s="3">
        <v>39191</v>
      </c>
      <c s="3">
        <v>39191</v>
      </c>
      <c s="3">
        <v>32450</v>
      </c>
      <c>
        <v>0</v>
      </c>
      <c s="3">
        <v>0</v>
      </c>
      <c s="3">
        <v>973.16</v>
      </c>
      <c s="3">
        <v>39191</v>
      </c>
      <c r="O277" s="1" t="str">
        <f ca="1">HYPERLINK("https://web.datatree.com/?/property?propertyId=32053019", "https://web.datatree.com/?/property?propertyId=32053019")</f>
        <v>https://web.datatree.com/?/property?propertyId=32053019</v>
      </c>
      <c r="Q277" t="s">
        <v>316</v>
      </c>
      <c>
        <v>0.23</v>
      </c>
      <c t="s">
        <v>6175</v>
      </c>
      <c r="U277" t="s">
        <v>47408</v>
      </c>
      <c r="W277" t="s">
        <v>458</v>
      </c>
      <c t="s">
        <v>39784</v>
      </c>
      <c t="s">
        <v>22731</v>
      </c>
      <c t="s">
        <v>2517</v>
      </c>
      <c t="s">
        <v>39289</v>
      </c>
      <c>
        <v>33909</v>
      </c>
      <c t="s">
        <v>40904</v>
      </c>
      <c t="s">
        <v>48794</v>
      </c>
      <c t="s">
        <v>12145</v>
      </c>
      <c>
        <v>6520</v>
      </c>
      <c r="AH277" t="s">
        <v>63047</v>
      </c>
      <c t="s">
        <v>7594</v>
      </c>
      <c t="s">
        <v>55842</v>
      </c>
      <c r="AL277" t="s">
        <v>48150</v>
      </c>
      <c r="AN277" t="s">
        <v>39289</v>
      </c>
      <c t="s">
        <v>8951</v>
      </c>
      <c t="s">
        <v>27681</v>
      </c>
      <c t="s">
        <v>3093</v>
      </c>
      <c t="s">
        <v>16868</v>
      </c>
    </row>
    <row>
      <c t="s">
        <v>42103</v>
      </c>
      <c t="s">
        <v>62961</v>
      </c>
      <c t="s">
        <v>10245</v>
      </c>
      <c t="s">
        <v>35252</v>
      </c>
      <c t="s">
        <v>32804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278" s="1" t="str">
        <f ca="1">HYPERLINK("https://web.datatree.com/?/property?propertyId=32053212", "https://web.datatree.com/?/property?propertyId=32053212")</f>
        <v>https://web.datatree.com/?/property?propertyId=32053212</v>
      </c>
      <c r="Q278" t="s">
        <v>316</v>
      </c>
      <c>
        <v>0.23</v>
      </c>
      <c t="s">
        <v>6175</v>
      </c>
      <c t="s">
        <v>1599</v>
      </c>
      <c t="s">
        <v>24541</v>
      </c>
      <c t="s">
        <v>53790</v>
      </c>
      <c t="s">
        <v>12083</v>
      </c>
      <c t="s">
        <v>1681</v>
      </c>
      <c t="s">
        <v>2619</v>
      </c>
      <c t="s">
        <v>2517</v>
      </c>
      <c t="s">
        <v>39289</v>
      </c>
      <c>
        <v>33909</v>
      </c>
      <c t="s">
        <v>16622</v>
      </c>
      <c t="s">
        <v>48794</v>
      </c>
      <c t="s">
        <v>8581</v>
      </c>
      <c r="AI278" t="s">
        <v>37838</v>
      </c>
      <c r="AL278" t="s">
        <v>19083</v>
      </c>
      <c r="AN278" t="s">
        <v>10909</v>
      </c>
      <c t="s">
        <v>33014</v>
      </c>
      <c r="AQ278" t="s">
        <v>27814</v>
      </c>
      <c t="s">
        <v>35904</v>
      </c>
    </row>
    <row>
      <c t="s">
        <v>17594</v>
      </c>
      <c t="s">
        <v>4486</v>
      </c>
      <c t="s">
        <v>17370</v>
      </c>
      <c t="s">
        <v>53224</v>
      </c>
      <c t="s">
        <v>3808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79" s="1" t="str">
        <f ca="1">HYPERLINK("https://web.datatree.com/?/property?propertyId=32053293", "https://web.datatree.com/?/property?propertyId=32053293")</f>
        <v>https://web.datatree.com/?/property?propertyId=32053293</v>
      </c>
      <c r="Q279" t="s">
        <v>316</v>
      </c>
      <c>
        <v>0.23</v>
      </c>
      <c t="s">
        <v>45031</v>
      </c>
      <c t="s">
        <v>22650</v>
      </c>
      <c t="s">
        <v>26375</v>
      </c>
      <c t="s">
        <v>19120</v>
      </c>
      <c t="s">
        <v>30586</v>
      </c>
      <c t="s">
        <v>4704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2012</v>
      </c>
      <c>
        <v>5</v>
      </c>
      <c r="AI279" t="s">
        <v>17077</v>
      </c>
      <c t="s">
        <v>45393</v>
      </c>
      <c r="AL279" t="s">
        <v>14040</v>
      </c>
      <c r="AN279" t="s">
        <v>26016</v>
      </c>
      <c t="s">
        <v>13917</v>
      </c>
      <c t="s">
        <v>12241</v>
      </c>
      <c t="s">
        <v>3093</v>
      </c>
      <c t="s">
        <v>28371</v>
      </c>
    </row>
    <row>
      <c t="s">
        <v>17594</v>
      </c>
      <c t="s">
        <v>52887</v>
      </c>
      <c t="s">
        <v>63082</v>
      </c>
      <c t="s">
        <v>36233</v>
      </c>
      <c t="s">
        <v>9433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>
        <v>2021</v>
      </c>
      <c>
        <v>586.06</v>
      </c>
      <c s="1" t="str">
        <f ca="1">HYPERLINK("https://web.datatree.com/?/property?propertyId=32053370", "https://web.datatree.com/?/property?propertyId=32053370")</f>
        <v>https://web.datatree.com/?/property?propertyId=32053370</v>
      </c>
      <c r="Q280" t="s">
        <v>316</v>
      </c>
      <c>
        <v>0.23</v>
      </c>
      <c t="s">
        <v>6175</v>
      </c>
      <c t="s">
        <v>35571</v>
      </c>
      <c t="s">
        <v>17058</v>
      </c>
      <c r="X280" t="s">
        <v>5836</v>
      </c>
      <c t="s">
        <v>53663</v>
      </c>
      <c t="s">
        <v>2517</v>
      </c>
      <c t="s">
        <v>39289</v>
      </c>
      <c>
        <v>33909</v>
      </c>
      <c t="s">
        <v>60714</v>
      </c>
      <c t="s">
        <v>48794</v>
      </c>
      <c t="s">
        <v>57117</v>
      </c>
      <c>
        <v>7631</v>
      </c>
      <c r="AI280" t="s">
        <v>371</v>
      </c>
      <c t="s">
        <v>24900</v>
      </c>
      <c r="AL280" t="s">
        <v>20575</v>
      </c>
      <c r="AN280" t="s">
        <v>26304</v>
      </c>
      <c t="s">
        <v>20328</v>
      </c>
      <c t="s">
        <v>13449</v>
      </c>
      <c t="s">
        <v>3093</v>
      </c>
      <c t="s">
        <v>28694</v>
      </c>
    </row>
    <row>
      <c t="s">
        <v>17594</v>
      </c>
      <c t="s">
        <v>38429</v>
      </c>
      <c t="s">
        <v>45736</v>
      </c>
      <c t="s">
        <v>14053</v>
      </c>
      <c t="s">
        <v>52605</v>
      </c>
      <c s="3">
        <v>24937</v>
      </c>
      <c s="3">
        <v>24937</v>
      </c>
      <c s="3">
        <v>9079</v>
      </c>
      <c>
        <v>0</v>
      </c>
      <c s="3">
        <v>0</v>
      </c>
      <c s="3">
        <v>649.82</v>
      </c>
      <c s="3">
        <v>24937</v>
      </c>
      <c r="O281" s="1" t="str">
        <f ca="1">HYPERLINK("https://web.datatree.com/?/property?propertyId=32053628", "https://web.datatree.com/?/property?propertyId=32053628")</f>
        <v>https://web.datatree.com/?/property?propertyId=32053628</v>
      </c>
      <c r="Q281" t="s">
        <v>316</v>
      </c>
      <c>
        <v>0.242</v>
      </c>
      <c t="s">
        <v>6175</v>
      </c>
      <c t="s">
        <v>44319</v>
      </c>
      <c t="s">
        <v>11693</v>
      </c>
      <c t="s">
        <v>56498</v>
      </c>
      <c t="s">
        <v>11693</v>
      </c>
      <c t="s">
        <v>6331</v>
      </c>
      <c t="s">
        <v>13478</v>
      </c>
      <c t="s">
        <v>2517</v>
      </c>
      <c t="s">
        <v>39289</v>
      </c>
      <c>
        <v>33909</v>
      </c>
      <c t="s">
        <v>32424</v>
      </c>
      <c t="s">
        <v>48794</v>
      </c>
      <c t="s">
        <v>40528</v>
      </c>
      <c>
        <v>437</v>
      </c>
      <c r="AH281" t="s">
        <v>60953</v>
      </c>
      <c t="s">
        <v>64788</v>
      </c>
      <c t="s">
        <v>40123</v>
      </c>
      <c r="AL281" t="s">
        <v>34420</v>
      </c>
      <c r="AN281" t="s">
        <v>51087</v>
      </c>
      <c t="s">
        <v>60545</v>
      </c>
      <c t="s">
        <v>52393</v>
      </c>
      <c t="s">
        <v>3093</v>
      </c>
      <c t="s">
        <v>18598</v>
      </c>
    </row>
    <row>
      <c t="s">
        <v>17594</v>
      </c>
      <c t="s">
        <v>44865</v>
      </c>
      <c t="s">
        <v>10006</v>
      </c>
      <c t="s">
        <v>22229</v>
      </c>
      <c t="s">
        <v>14628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282" s="1" t="str">
        <f ca="1">HYPERLINK("https://web.datatree.com/?/property?propertyId=32053657", "https://web.datatree.com/?/property?propertyId=32053657")</f>
        <v>https://web.datatree.com/?/property?propertyId=32053657</v>
      </c>
      <c r="Q282" t="s">
        <v>316</v>
      </c>
      <c>
        <v>0.23</v>
      </c>
      <c t="s">
        <v>6175</v>
      </c>
      <c t="s">
        <v>11374</v>
      </c>
      <c t="s">
        <v>18048</v>
      </c>
      <c t="s">
        <v>54926</v>
      </c>
      <c t="s">
        <v>18048</v>
      </c>
      <c t="s">
        <v>51788</v>
      </c>
      <c t="s">
        <v>2626</v>
      </c>
      <c t="s">
        <v>2517</v>
      </c>
      <c t="s">
        <v>39289</v>
      </c>
      <c>
        <v>33909</v>
      </c>
      <c t="s">
        <v>45378</v>
      </c>
      <c t="s">
        <v>48794</v>
      </c>
      <c t="s">
        <v>1543</v>
      </c>
      <c>
        <v>7804</v>
      </c>
      <c r="AI282" t="s">
        <v>46469</v>
      </c>
      <c t="s">
        <v>24900</v>
      </c>
      <c r="AL282" t="s">
        <v>63688</v>
      </c>
      <c r="AN282" t="s">
        <v>50917</v>
      </c>
      <c t="s">
        <v>60060</v>
      </c>
      <c t="s">
        <v>42082</v>
      </c>
      <c t="s">
        <v>3093</v>
      </c>
      <c t="s">
        <v>17446</v>
      </c>
    </row>
    <row>
      <c t="s">
        <v>17594</v>
      </c>
      <c t="s">
        <v>60495</v>
      </c>
      <c t="s">
        <v>10126</v>
      </c>
      <c t="s">
        <v>43636</v>
      </c>
      <c t="s">
        <v>41895</v>
      </c>
      <c s="3">
        <v>76480</v>
      </c>
      <c s="3">
        <v>63500</v>
      </c>
      <c s="3">
        <v>75088</v>
      </c>
      <c>
        <v>0</v>
      </c>
      <c s="3">
        <v>0</v>
      </c>
      <c s="3">
        <v>1136.82</v>
      </c>
      <c s="3">
        <v>76480</v>
      </c>
      <c r="O283" s="1" t="str">
        <f ca="1">HYPERLINK("https://web.datatree.com/?/property?propertyId=32054158", "https://web.datatree.com/?/property?propertyId=32054158")</f>
        <v>https://web.datatree.com/?/property?propertyId=32054158</v>
      </c>
      <c r="Q283" t="s">
        <v>316</v>
      </c>
      <c>
        <v>0.109</v>
      </c>
      <c t="s">
        <v>26492</v>
      </c>
      <c t="s">
        <v>27874</v>
      </c>
      <c t="s">
        <v>37047</v>
      </c>
      <c t="s">
        <v>45883</v>
      </c>
      <c t="s">
        <v>34116</v>
      </c>
      <c t="s">
        <v>12500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32021</v>
      </c>
      <c>
        <v>325</v>
      </c>
      <c r="AI283" t="s">
        <v>29082</v>
      </c>
      <c t="s">
        <v>31192</v>
      </c>
      <c r="AL283" t="s">
        <v>43328</v>
      </c>
      <c t="s">
        <v>50699</v>
      </c>
      <c t="s">
        <v>22275</v>
      </c>
      <c t="s">
        <v>13777</v>
      </c>
      <c t="s">
        <v>34171</v>
      </c>
      <c t="s">
        <v>3093</v>
      </c>
      <c t="s">
        <v>16361</v>
      </c>
    </row>
    <row>
      <c t="s">
        <v>17594</v>
      </c>
      <c t="s">
        <v>24860</v>
      </c>
      <c t="s">
        <v>31870</v>
      </c>
      <c t="s">
        <v>66536</v>
      </c>
      <c t="s">
        <v>46182</v>
      </c>
      <c s="3">
        <v>61791</v>
      </c>
      <c s="3">
        <v>61791</v>
      </c>
      <c s="3">
        <v>11935</v>
      </c>
      <c>
        <v>0</v>
      </c>
      <c s="3">
        <v>0</v>
      </c>
      <c s="3">
        <v>218.29</v>
      </c>
      <c s="3">
        <v>61791</v>
      </c>
      <c r="O284" s="1" t="str">
        <f ca="1">HYPERLINK("https://web.datatree.com/?/property?propertyId=32054485", "https://web.datatree.com/?/property?propertyId=32054485")</f>
        <v>https://web.datatree.com/?/property?propertyId=32054485</v>
      </c>
      <c r="Q284" t="s">
        <v>316</v>
      </c>
      <c>
        <v>0.407</v>
      </c>
      <c t="s">
        <v>5471</v>
      </c>
      <c t="s">
        <v>46933</v>
      </c>
      <c t="s">
        <v>33619</v>
      </c>
      <c r="X284" t="s">
        <v>42553</v>
      </c>
      <c t="s">
        <v>13397</v>
      </c>
      <c t="s">
        <v>65059</v>
      </c>
      <c t="s">
        <v>39289</v>
      </c>
      <c>
        <v>33905</v>
      </c>
      <c t="s">
        <v>221</v>
      </c>
      <c t="s">
        <v>48794</v>
      </c>
      <c t="s">
        <v>46216</v>
      </c>
      <c>
        <v>2730</v>
      </c>
      <c r="AI284" t="s">
        <v>34386</v>
      </c>
      <c t="s">
        <v>24900</v>
      </c>
      <c t="s">
        <v>25384</v>
      </c>
      <c t="s">
        <v>17177</v>
      </c>
      <c r="AN284" t="s">
        <v>65451</v>
      </c>
      <c t="s">
        <v>12522</v>
      </c>
      <c t="s">
        <v>53800</v>
      </c>
      <c t="s">
        <v>3093</v>
      </c>
      <c t="s">
        <v>13134</v>
      </c>
    </row>
    <row>
      <c t="s">
        <v>42103</v>
      </c>
      <c t="s">
        <v>44687</v>
      </c>
      <c t="s">
        <v>7690</v>
      </c>
      <c t="s">
        <v>45532</v>
      </c>
      <c t="s">
        <v>17738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85" s="1" t="str">
        <f ca="1">HYPERLINK("https://web.datatree.com/?/property?propertyId=32055702", "https://web.datatree.com/?/property?propertyId=32055702")</f>
        <v>https://web.datatree.com/?/property?propertyId=32055702</v>
      </c>
      <c r="Q285" t="s">
        <v>316</v>
      </c>
      <c>
        <v>0.23</v>
      </c>
      <c t="s">
        <v>22490</v>
      </c>
      <c t="s">
        <v>39213</v>
      </c>
      <c t="s">
        <v>64366</v>
      </c>
      <c r="X285" t="s">
        <v>21501</v>
      </c>
      <c t="s">
        <v>53675</v>
      </c>
      <c t="s">
        <v>2517</v>
      </c>
      <c t="s">
        <v>39289</v>
      </c>
      <c>
        <v>33909</v>
      </c>
      <c t="s">
        <v>5939</v>
      </c>
      <c t="s">
        <v>48794</v>
      </c>
      <c t="s">
        <v>37912</v>
      </c>
      <c r="AI285" t="s">
        <v>10113</v>
      </c>
      <c r="AN285" t="s">
        <v>19878</v>
      </c>
      <c>
        <v>38523</v>
      </c>
      <c r="AR285" t="s">
        <v>40815</v>
      </c>
    </row>
    <row>
      <c t="s">
        <v>17594</v>
      </c>
      <c t="s">
        <v>6769</v>
      </c>
      <c t="s">
        <v>31032</v>
      </c>
      <c t="s">
        <v>33237</v>
      </c>
      <c t="s">
        <v>29861</v>
      </c>
      <c s="3">
        <v>26249</v>
      </c>
      <c s="3">
        <v>26249</v>
      </c>
      <c s="3">
        <v>9339</v>
      </c>
      <c>
        <v>0</v>
      </c>
      <c s="3">
        <v>0</v>
      </c>
      <c s="3">
        <v>2880.21</v>
      </c>
      <c s="3">
        <v>26249</v>
      </c>
      <c r="O286" s="1" t="str">
        <f ca="1">HYPERLINK("https://web.datatree.com/?/property?propertyId=32055715", "https://web.datatree.com/?/property?propertyId=32055715")</f>
        <v>https://web.datatree.com/?/property?propertyId=32055715</v>
      </c>
      <c r="Q286" t="s">
        <v>316</v>
      </c>
      <c>
        <v>0.23</v>
      </c>
      <c t="s">
        <v>6175</v>
      </c>
      <c t="s">
        <v>13491</v>
      </c>
      <c t="s">
        <v>48187</v>
      </c>
      <c r="X286" t="s">
        <v>56330</v>
      </c>
      <c t="s">
        <v>55273</v>
      </c>
      <c t="s">
        <v>2517</v>
      </c>
      <c t="s">
        <v>39289</v>
      </c>
      <c>
        <v>33909</v>
      </c>
      <c t="s">
        <v>58700</v>
      </c>
      <c t="s">
        <v>48794</v>
      </c>
      <c t="s">
        <v>52134</v>
      </c>
      <c>
        <v>302</v>
      </c>
      <c r="AI286" t="s">
        <v>25578</v>
      </c>
      <c t="s">
        <v>45393</v>
      </c>
      <c r="AL286" t="s">
        <v>10188</v>
      </c>
      <c r="AN286" t="s">
        <v>26016</v>
      </c>
      <c t="s">
        <v>10926</v>
      </c>
      <c t="s">
        <v>40645</v>
      </c>
      <c t="s">
        <v>3093</v>
      </c>
      <c t="s">
        <v>53883</v>
      </c>
    </row>
    <row>
      <c t="s">
        <v>17594</v>
      </c>
      <c t="s">
        <v>43616</v>
      </c>
      <c t="s">
        <v>57619</v>
      </c>
      <c t="s">
        <v>57896</v>
      </c>
      <c t="s">
        <v>10034</v>
      </c>
      <c s="3">
        <v>28407</v>
      </c>
      <c s="3">
        <v>28407</v>
      </c>
      <c s="3">
        <v>11484</v>
      </c>
      <c>
        <v>0</v>
      </c>
      <c s="3">
        <v>0</v>
      </c>
      <c s="3">
        <v>744.28</v>
      </c>
      <c s="3">
        <v>28407</v>
      </c>
      <c r="O287" s="1" t="str">
        <f ca="1">HYPERLINK("https://web.datatree.com/?/property?propertyId=32056746", "https://web.datatree.com/?/property?propertyId=32056746")</f>
        <v>https://web.datatree.com/?/property?propertyId=32056746</v>
      </c>
      <c r="Q287" t="s">
        <v>316</v>
      </c>
      <c>
        <v>0.344</v>
      </c>
      <c t="s">
        <v>16350</v>
      </c>
      <c t="s">
        <v>2249</v>
      </c>
      <c t="s">
        <v>64030</v>
      </c>
      <c t="s">
        <v>1859</v>
      </c>
      <c t="s">
        <v>64030</v>
      </c>
      <c t="s">
        <v>15651</v>
      </c>
      <c t="s">
        <v>38550</v>
      </c>
      <c t="s">
        <v>2517</v>
      </c>
      <c t="s">
        <v>39289</v>
      </c>
      <c>
        <v>33909</v>
      </c>
      <c t="s">
        <v>65008</v>
      </c>
      <c t="s">
        <v>48794</v>
      </c>
      <c t="s">
        <v>8755</v>
      </c>
      <c>
        <v>480</v>
      </c>
      <c r="AI287" t="s">
        <v>21</v>
      </c>
      <c t="s">
        <v>40123</v>
      </c>
      <c r="AL287" t="s">
        <v>27095</v>
      </c>
      <c r="AN287" t="s">
        <v>66651</v>
      </c>
      <c t="s">
        <v>45462</v>
      </c>
      <c t="s">
        <v>46906</v>
      </c>
      <c t="s">
        <v>3093</v>
      </c>
      <c t="s">
        <v>14276</v>
      </c>
    </row>
    <row>
      <c t="s">
        <v>17594</v>
      </c>
      <c t="s">
        <v>28980</v>
      </c>
      <c t="s">
        <v>39986</v>
      </c>
      <c t="s">
        <v>50911</v>
      </c>
      <c t="s">
        <v>34823</v>
      </c>
      <c s="3">
        <v>8600</v>
      </c>
      <c s="3">
        <v>8600</v>
      </c>
      <c s="3">
        <v>8600</v>
      </c>
      <c>
        <v>0</v>
      </c>
      <c s="3">
        <v>0</v>
      </c>
      <c s="3">
        <v>670.29</v>
      </c>
      <c s="3">
        <v>8600</v>
      </c>
      <c r="O288" s="1" t="str">
        <f ca="1">HYPERLINK("https://web.datatree.com/?/property?propertyId=32056783", "https://web.datatree.com/?/property?propertyId=32056783")</f>
        <v>https://web.datatree.com/?/property?propertyId=32056783</v>
      </c>
      <c r="Q288" t="s">
        <v>316</v>
      </c>
      <c>
        <v>0.244</v>
      </c>
      <c t="s">
        <v>6175</v>
      </c>
      <c t="s">
        <v>66812</v>
      </c>
      <c t="s">
        <v>16786</v>
      </c>
      <c t="s">
        <v>19064</v>
      </c>
      <c t="s">
        <v>16786</v>
      </c>
      <c t="s">
        <v>29931</v>
      </c>
      <c t="s">
        <v>34731</v>
      </c>
      <c t="s">
        <v>2517</v>
      </c>
      <c t="s">
        <v>39289</v>
      </c>
      <c>
        <v>33909</v>
      </c>
      <c t="s">
        <v>2274</v>
      </c>
      <c t="s">
        <v>48794</v>
      </c>
      <c t="s">
        <v>22838</v>
      </c>
      <c>
        <v>5390</v>
      </c>
      <c r="AI288" t="s">
        <v>53125</v>
      </c>
      <c t="s">
        <v>24900</v>
      </c>
      <c r="AL288" t="s">
        <v>55393</v>
      </c>
      <c t="s">
        <v>4897</v>
      </c>
      <c t="s">
        <v>39289</v>
      </c>
      <c t="s">
        <v>21691</v>
      </c>
      <c t="s">
        <v>49977</v>
      </c>
      <c t="s">
        <v>3093</v>
      </c>
      <c t="s">
        <v>15837</v>
      </c>
    </row>
    <row>
      <c t="s">
        <v>42103</v>
      </c>
      <c t="s">
        <v>60029</v>
      </c>
      <c t="s">
        <v>58403</v>
      </c>
      <c t="s">
        <v>43802</v>
      </c>
      <c t="s">
        <v>37098</v>
      </c>
      <c s="3">
        <v>111099</v>
      </c>
      <c s="3">
        <v>103750</v>
      </c>
      <c s="3">
        <v>111099</v>
      </c>
      <c>
        <v>0</v>
      </c>
      <c s="3">
        <v>0</v>
      </c>
      <c s="3">
        <v>1668.23</v>
      </c>
      <c s="3">
        <v>111099</v>
      </c>
      <c r="O289" s="1" t="str">
        <f ca="1">HYPERLINK("https://web.datatree.com/?/property?propertyId=32056979", "https://web.datatree.com/?/property?propertyId=32056979")</f>
        <v>https://web.datatree.com/?/property?propertyId=32056979</v>
      </c>
      <c r="Q289" t="s">
        <v>316</v>
      </c>
      <c>
        <v>0.124</v>
      </c>
      <c t="s">
        <v>26492</v>
      </c>
      <c t="s">
        <v>35571</v>
      </c>
      <c t="s">
        <v>27274</v>
      </c>
      <c t="s">
        <v>63623</v>
      </c>
      <c t="s">
        <v>4839</v>
      </c>
      <c t="s">
        <v>8476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43077</v>
      </c>
      <c r="AI289" t="s">
        <v>3759</v>
      </c>
      <c r="AL289" t="s">
        <v>11379</v>
      </c>
      <c t="s">
        <v>40227</v>
      </c>
      <c t="s">
        <v>22275</v>
      </c>
      <c>
        <v>18950</v>
      </c>
      <c t="s">
        <v>9590</v>
      </c>
      <c t="s">
        <v>3093</v>
      </c>
      <c t="s">
        <v>53059</v>
      </c>
    </row>
    <row>
      <c t="s">
        <v>17594</v>
      </c>
      <c t="s">
        <v>129</v>
      </c>
      <c t="s">
        <v>52024</v>
      </c>
      <c t="s">
        <v>25571</v>
      </c>
      <c t="s">
        <v>55063</v>
      </c>
      <c s="3">
        <v>7200</v>
      </c>
      <c s="3">
        <v>7200</v>
      </c>
      <c s="3">
        <v>7200</v>
      </c>
      <c>
        <v>0</v>
      </c>
      <c s="3">
        <v>0</v>
      </c>
      <c s="3">
        <v>513.78</v>
      </c>
      <c s="3">
        <v>7200</v>
      </c>
      <c r="O290" s="1" t="str">
        <f ca="1">HYPERLINK("https://web.datatree.com/?/property?propertyId=32057553", "https://web.datatree.com/?/property?propertyId=32057553")</f>
        <v>https://web.datatree.com/?/property?propertyId=32057553</v>
      </c>
      <c r="Q290" t="s">
        <v>316</v>
      </c>
      <c>
        <v>0.266</v>
      </c>
      <c t="s">
        <v>6175</v>
      </c>
      <c t="s">
        <v>3293</v>
      </c>
      <c t="s">
        <v>1940</v>
      </c>
      <c t="s">
        <v>47656</v>
      </c>
      <c t="s">
        <v>1940</v>
      </c>
      <c t="s">
        <v>56250</v>
      </c>
      <c t="s">
        <v>18679</v>
      </c>
      <c t="s">
        <v>2517</v>
      </c>
      <c t="s">
        <v>39289</v>
      </c>
      <c>
        <v>33909</v>
      </c>
      <c t="s">
        <v>53386</v>
      </c>
      <c t="s">
        <v>48794</v>
      </c>
      <c t="s">
        <v>26</v>
      </c>
      <c>
        <v>448</v>
      </c>
      <c r="AI290" t="s">
        <v>38642</v>
      </c>
      <c t="s">
        <v>40123</v>
      </c>
      <c r="AL290" t="s">
        <v>6263</v>
      </c>
      <c r="AN290" t="s">
        <v>39289</v>
      </c>
      <c t="s">
        <v>12954</v>
      </c>
      <c t="s">
        <v>40645</v>
      </c>
      <c t="s">
        <v>3093</v>
      </c>
      <c t="s">
        <v>6478</v>
      </c>
    </row>
    <row>
      <c t="s">
        <v>17594</v>
      </c>
      <c t="s">
        <v>27686</v>
      </c>
      <c t="s">
        <v>42360</v>
      </c>
      <c t="s">
        <v>42402</v>
      </c>
      <c t="s">
        <v>15341</v>
      </c>
      <c s="3">
        <v>16597</v>
      </c>
      <c s="3">
        <v>16597</v>
      </c>
      <c s="3">
        <v>16597</v>
      </c>
      <c>
        <v>0</v>
      </c>
      <c s="3">
        <v>0</v>
      </c>
      <c s="3">
        <v>636.6</v>
      </c>
      <c s="3">
        <v>16597</v>
      </c>
      <c r="O291" s="1" t="str">
        <f ca="1">HYPERLINK("https://web.datatree.com/?/property?propertyId=32059812", "https://web.datatree.com/?/property?propertyId=32059812")</f>
        <v>https://web.datatree.com/?/property?propertyId=32059812</v>
      </c>
      <c r="Q291" t="s">
        <v>316</v>
      </c>
      <c>
        <v>0.23</v>
      </c>
      <c t="s">
        <v>54449</v>
      </c>
      <c t="s">
        <v>49263</v>
      </c>
      <c t="s">
        <v>19420</v>
      </c>
      <c r="X291" t="s">
        <v>5908</v>
      </c>
      <c t="s">
        <v>38550</v>
      </c>
      <c t="s">
        <v>2517</v>
      </c>
      <c t="s">
        <v>39289</v>
      </c>
      <c>
        <v>33909</v>
      </c>
      <c t="s">
        <v>19232</v>
      </c>
      <c t="s">
        <v>48794</v>
      </c>
      <c t="s">
        <v>42147</v>
      </c>
      <c>
        <v>4413</v>
      </c>
      <c r="AH291" t="s">
        <v>15376</v>
      </c>
      <c t="s">
        <v>30928</v>
      </c>
      <c t="s">
        <v>41372</v>
      </c>
      <c r="AL291" t="s">
        <v>11713</v>
      </c>
      <c t="s">
        <v>21507</v>
      </c>
      <c t="s">
        <v>39289</v>
      </c>
      <c t="s">
        <v>48822</v>
      </c>
      <c t="s">
        <v>4797</v>
      </c>
      <c t="s">
        <v>3093</v>
      </c>
      <c t="s">
        <v>2229</v>
      </c>
    </row>
    <row>
      <c t="s">
        <v>17594</v>
      </c>
      <c t="s">
        <v>36152</v>
      </c>
      <c t="s">
        <v>64833</v>
      </c>
      <c t="s">
        <v>65603</v>
      </c>
      <c t="s">
        <v>31434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92" s="1" t="str">
        <f ca="1">HYPERLINK("https://web.datatree.com/?/property?propertyId=32060388", "https://web.datatree.com/?/property?propertyId=32060388")</f>
        <v>https://web.datatree.com/?/property?propertyId=32060388</v>
      </c>
      <c r="Q292" t="s">
        <v>316</v>
      </c>
      <c>
        <v>0.23</v>
      </c>
      <c t="s">
        <v>22490</v>
      </c>
      <c t="s">
        <v>45611</v>
      </c>
      <c t="s">
        <v>6645</v>
      </c>
      <c r="X292" t="s">
        <v>10409</v>
      </c>
      <c t="s">
        <v>49122</v>
      </c>
      <c t="s">
        <v>2517</v>
      </c>
      <c t="s">
        <v>39289</v>
      </c>
      <c>
        <v>33909</v>
      </c>
      <c t="s">
        <v>66432</v>
      </c>
      <c t="s">
        <v>48794</v>
      </c>
      <c t="s">
        <v>11847</v>
      </c>
      <c r="AL292" t="s">
        <v>59414</v>
      </c>
      <c r="AN292" t="s">
        <v>32840</v>
      </c>
    </row>
    <row>
      <c t="s">
        <v>17594</v>
      </c>
      <c t="s">
        <v>46146</v>
      </c>
      <c t="s">
        <v>51920</v>
      </c>
      <c t="s">
        <v>9472</v>
      </c>
      <c t="s">
        <v>29463</v>
      </c>
      <c s="3">
        <v>92250</v>
      </c>
      <c s="3">
        <v>92250</v>
      </c>
      <c s="3">
        <v>92250</v>
      </c>
      <c>
        <v>0</v>
      </c>
      <c s="3">
        <v>0</v>
      </c>
      <c s="3">
        <v>1567.97</v>
      </c>
      <c s="3">
        <v>92250</v>
      </c>
      <c r="O293" s="1" t="str">
        <f ca="1">HYPERLINK("https://web.datatree.com/?/property?propertyId=32060890", "https://web.datatree.com/?/property?propertyId=32060890")</f>
        <v>https://web.datatree.com/?/property?propertyId=32060890</v>
      </c>
      <c r="Q293" t="s">
        <v>316</v>
      </c>
      <c>
        <v>5</v>
      </c>
      <c t="s">
        <v>30497</v>
      </c>
      <c t="s">
        <v>15051</v>
      </c>
      <c t="s">
        <v>36748</v>
      </c>
      <c r="X293" t="s">
        <v>49204</v>
      </c>
      <c t="s">
        <v>36860</v>
      </c>
      <c t="s">
        <v>65059</v>
      </c>
      <c t="s">
        <v>39289</v>
      </c>
      <c>
        <v>33905</v>
      </c>
      <c t="s">
        <v>38592</v>
      </c>
      <c t="s">
        <v>48794</v>
      </c>
      <c t="s">
        <v>23240</v>
      </c>
      <c>
        <v>8621</v>
      </c>
      <c r="AI293" t="s">
        <v>52810</v>
      </c>
      <c t="s">
        <v>45620</v>
      </c>
      <c r="AL293" t="s">
        <v>831</v>
      </c>
      <c r="AN293" t="s">
        <v>65467</v>
      </c>
      <c t="s">
        <v>43392</v>
      </c>
      <c t="s">
        <v>49977</v>
      </c>
      <c t="s">
        <v>3093</v>
      </c>
      <c t="s">
        <v>45675</v>
      </c>
    </row>
    <row>
      <c t="s">
        <v>17594</v>
      </c>
      <c t="s">
        <v>7008</v>
      </c>
      <c t="s">
        <v>18266</v>
      </c>
      <c t="s">
        <v>53098</v>
      </c>
      <c t="s">
        <v>2109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94" s="1" t="str">
        <f ca="1">HYPERLINK("https://web.datatree.com/?/property?propertyId=32061037", "https://web.datatree.com/?/property?propertyId=32061037")</f>
        <v>https://web.datatree.com/?/property?propertyId=32061037</v>
      </c>
      <c r="Q294" t="s">
        <v>316</v>
      </c>
      <c>
        <v>0.23</v>
      </c>
      <c t="s">
        <v>45031</v>
      </c>
      <c t="s">
        <v>59171</v>
      </c>
      <c t="s">
        <v>19674</v>
      </c>
      <c t="s">
        <v>58876</v>
      </c>
      <c t="s">
        <v>19674</v>
      </c>
      <c t="s">
        <v>19926</v>
      </c>
      <c t="s">
        <v>38550</v>
      </c>
      <c t="s">
        <v>2517</v>
      </c>
      <c t="s">
        <v>39289</v>
      </c>
      <c>
        <v>33909</v>
      </c>
      <c t="s">
        <v>64368</v>
      </c>
      <c t="s">
        <v>48794</v>
      </c>
      <c t="s">
        <v>2680</v>
      </c>
      <c>
        <v>34</v>
      </c>
      <c r="AI294" t="s">
        <v>64000</v>
      </c>
      <c t="s">
        <v>45620</v>
      </c>
      <c r="AL294" t="s">
        <v>33178</v>
      </c>
      <c r="AN294" t="s">
        <v>10909</v>
      </c>
      <c t="s">
        <v>19771</v>
      </c>
      <c r="AQ294" t="s">
        <v>27814</v>
      </c>
      <c t="s">
        <v>13131</v>
      </c>
    </row>
    <row>
      <c t="s">
        <v>17594</v>
      </c>
      <c t="s">
        <v>28061</v>
      </c>
      <c t="s">
        <v>35502</v>
      </c>
      <c t="s">
        <v>25938</v>
      </c>
      <c t="s">
        <v>31305</v>
      </c>
      <c s="3">
        <v>29181</v>
      </c>
      <c s="3">
        <v>29181</v>
      </c>
      <c s="3">
        <v>11385</v>
      </c>
      <c>
        <v>0</v>
      </c>
      <c s="3">
        <v>0</v>
      </c>
      <c s="3">
        <v>743.33</v>
      </c>
      <c s="3">
        <v>29181</v>
      </c>
      <c r="O295" s="1" t="str">
        <f ca="1">HYPERLINK("https://web.datatree.com/?/property?propertyId=32061452", "https://web.datatree.com/?/property?propertyId=32061452")</f>
        <v>https://web.datatree.com/?/property?propertyId=32061452</v>
      </c>
      <c r="Q295" t="s">
        <v>316</v>
      </c>
      <c>
        <v>0.344</v>
      </c>
      <c t="s">
        <v>22490</v>
      </c>
      <c t="s">
        <v>30591</v>
      </c>
      <c t="s">
        <v>56374</v>
      </c>
      <c r="X295" t="s">
        <v>45290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29259</v>
      </c>
      <c r="AI295" t="s">
        <v>8213</v>
      </c>
      <c r="AL295" t="s">
        <v>13728</v>
      </c>
      <c r="AN295" t="s">
        <v>22478</v>
      </c>
      <c r="AR295" t="s">
        <v>22920</v>
      </c>
    </row>
    <row>
      <c t="s">
        <v>17594</v>
      </c>
      <c t="s">
        <v>16400</v>
      </c>
      <c t="s">
        <v>59202</v>
      </c>
      <c t="s">
        <v>197</v>
      </c>
      <c t="s">
        <v>36769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296" s="1" t="str">
        <f ca="1">HYPERLINK("https://web.datatree.com/?/property?propertyId=32061676", "https://web.datatree.com/?/property?propertyId=32061676")</f>
        <v>https://web.datatree.com/?/property?propertyId=32061676</v>
      </c>
      <c r="Q296" t="s">
        <v>316</v>
      </c>
      <c>
        <v>0.23</v>
      </c>
      <c t="s">
        <v>22490</v>
      </c>
      <c t="s">
        <v>52701</v>
      </c>
      <c t="s">
        <v>65759</v>
      </c>
      <c t="s">
        <v>48754</v>
      </c>
      <c t="s">
        <v>65759</v>
      </c>
      <c t="s">
        <v>33260</v>
      </c>
      <c t="s">
        <v>47150</v>
      </c>
      <c t="s">
        <v>2517</v>
      </c>
      <c t="s">
        <v>39289</v>
      </c>
      <c>
        <v>33909</v>
      </c>
      <c t="s">
        <v>57876</v>
      </c>
      <c t="s">
        <v>48794</v>
      </c>
      <c t="s">
        <v>54162</v>
      </c>
      <c>
        <v>255</v>
      </c>
      <c r="AI296" t="s">
        <v>64788</v>
      </c>
      <c t="s">
        <v>24900</v>
      </c>
      <c>
        <v>509</v>
      </c>
      <c t="s">
        <v>23788</v>
      </c>
      <c t="s">
        <v>23788</v>
      </c>
      <c t="s">
        <v>19878</v>
      </c>
      <c t="s">
        <v>32274</v>
      </c>
      <c t="s">
        <v>33029</v>
      </c>
      <c t="s">
        <v>3093</v>
      </c>
      <c t="s">
        <v>49133</v>
      </c>
    </row>
    <row>
      <c t="s">
        <v>17594</v>
      </c>
      <c t="s">
        <v>27729</v>
      </c>
      <c t="s">
        <v>57199</v>
      </c>
      <c t="s">
        <v>47232</v>
      </c>
      <c t="s">
        <v>5359</v>
      </c>
      <c s="3">
        <v>20900</v>
      </c>
      <c s="3">
        <v>20900</v>
      </c>
      <c s="3">
        <v>10450</v>
      </c>
      <c>
        <v>0</v>
      </c>
      <c s="3">
        <v>0</v>
      </c>
      <c s="3">
        <v>623.19</v>
      </c>
      <c s="3">
        <v>20900</v>
      </c>
      <c r="O297" s="1" t="str">
        <f ca="1">HYPERLINK("https://web.datatree.com/?/property?propertyId=32061759", "https://web.datatree.com/?/property?propertyId=32061759")</f>
        <v>https://web.datatree.com/?/property?propertyId=32061759</v>
      </c>
      <c r="Q297" t="s">
        <v>316</v>
      </c>
      <c>
        <v>0.264</v>
      </c>
      <c t="s">
        <v>22490</v>
      </c>
      <c t="s">
        <v>58801</v>
      </c>
      <c t="s">
        <v>55229</v>
      </c>
      <c t="s">
        <v>49227</v>
      </c>
      <c t="s">
        <v>55229</v>
      </c>
      <c t="s">
        <v>47571</v>
      </c>
      <c t="s">
        <v>50440</v>
      </c>
      <c t="s">
        <v>2517</v>
      </c>
      <c t="s">
        <v>39289</v>
      </c>
      <c>
        <v>33909</v>
      </c>
      <c t="s">
        <v>12258</v>
      </c>
      <c t="s">
        <v>48794</v>
      </c>
      <c t="s">
        <v>17522</v>
      </c>
      <c>
        <v>12</v>
      </c>
      <c r="AI297" t="s">
        <v>63478</v>
      </c>
      <c t="s">
        <v>45620</v>
      </c>
      <c r="AL297" t="s">
        <v>19488</v>
      </c>
      <c t="s">
        <v>19488</v>
      </c>
      <c t="s">
        <v>5859</v>
      </c>
      <c t="s">
        <v>65174</v>
      </c>
      <c t="s">
        <v>27780</v>
      </c>
      <c t="s">
        <v>3093</v>
      </c>
      <c t="s">
        <v>48066</v>
      </c>
    </row>
    <row>
      <c t="s">
        <v>17594</v>
      </c>
      <c t="s">
        <v>40425</v>
      </c>
      <c t="s">
        <v>20760</v>
      </c>
      <c t="s">
        <v>51907</v>
      </c>
      <c t="s">
        <v>21526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298" s="1" t="str">
        <f ca="1">HYPERLINK("https://web.datatree.com/?/property?propertyId=32062169", "https://web.datatree.com/?/property?propertyId=32062169")</f>
        <v>https://web.datatree.com/?/property?propertyId=32062169</v>
      </c>
      <c r="Q298" t="s">
        <v>316</v>
      </c>
      <c>
        <v>0.23</v>
      </c>
      <c t="s">
        <v>6175</v>
      </c>
      <c r="U298" t="s">
        <v>35315</v>
      </c>
      <c r="W298" t="s">
        <v>2793</v>
      </c>
      <c t="s">
        <v>43038</v>
      </c>
      <c t="s">
        <v>60363</v>
      </c>
      <c t="s">
        <v>2517</v>
      </c>
      <c t="s">
        <v>39289</v>
      </c>
      <c>
        <v>33909</v>
      </c>
      <c t="s">
        <v>28206</v>
      </c>
      <c t="s">
        <v>48794</v>
      </c>
      <c t="s">
        <v>36013</v>
      </c>
      <c>
        <v>1520</v>
      </c>
      <c r="AI298" t="s">
        <v>42128</v>
      </c>
      <c t="s">
        <v>1671</v>
      </c>
      <c>
        <v>10</v>
      </c>
      <c t="s">
        <v>21055</v>
      </c>
      <c t="s">
        <v>20575</v>
      </c>
      <c t="s">
        <v>27481</v>
      </c>
      <c t="s">
        <v>49902</v>
      </c>
      <c t="s">
        <v>702</v>
      </c>
      <c t="s">
        <v>3093</v>
      </c>
      <c t="s">
        <v>41147</v>
      </c>
    </row>
    <row>
      <c t="s">
        <v>17594</v>
      </c>
      <c t="s">
        <v>66390</v>
      </c>
      <c t="s">
        <v>22449</v>
      </c>
      <c t="s">
        <v>58202</v>
      </c>
      <c t="s">
        <v>60740</v>
      </c>
      <c s="3">
        <v>23012</v>
      </c>
      <c s="3">
        <v>23012</v>
      </c>
      <c s="3">
        <v>10450</v>
      </c>
      <c>
        <v>0</v>
      </c>
      <c s="3">
        <v>0</v>
      </c>
      <c s="3">
        <v>656.51</v>
      </c>
      <c s="3">
        <v>23012</v>
      </c>
      <c r="O299" s="1" t="str">
        <f ca="1">HYPERLINK("https://web.datatree.com/?/property?propertyId=32062777", "https://web.datatree.com/?/property?propertyId=32062777")</f>
        <v>https://web.datatree.com/?/property?propertyId=32062777</v>
      </c>
      <c r="Q299" t="s">
        <v>316</v>
      </c>
      <c>
        <v>0.292</v>
      </c>
      <c t="s">
        <v>22490</v>
      </c>
      <c t="s">
        <v>34511</v>
      </c>
      <c t="s">
        <v>5192</v>
      </c>
      <c t="s">
        <v>58703</v>
      </c>
      <c t="s">
        <v>5192</v>
      </c>
      <c t="s">
        <v>17197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22052</v>
      </c>
      <c>
        <v>5149</v>
      </c>
      <c r="AI299" t="s">
        <v>4763</v>
      </c>
      <c t="s">
        <v>835</v>
      </c>
      <c r="AL299" t="s">
        <v>66458</v>
      </c>
      <c t="s">
        <v>59849</v>
      </c>
      <c t="s">
        <v>39289</v>
      </c>
      <c t="s">
        <v>46385</v>
      </c>
      <c t="s">
        <v>52247</v>
      </c>
      <c t="s">
        <v>3093</v>
      </c>
      <c t="s">
        <v>26247</v>
      </c>
    </row>
    <row>
      <c t="s">
        <v>17594</v>
      </c>
      <c t="s">
        <v>17605</v>
      </c>
      <c t="s">
        <v>37992</v>
      </c>
      <c t="s">
        <v>33186</v>
      </c>
      <c t="s">
        <v>55065</v>
      </c>
      <c s="3">
        <v>22874</v>
      </c>
      <c s="3">
        <v>22874</v>
      </c>
      <c s="3">
        <v>9433</v>
      </c>
      <c>
        <v>0</v>
      </c>
      <c s="3">
        <v>0</v>
      </c>
      <c s="3">
        <v>413.07</v>
      </c>
      <c s="3">
        <v>22874</v>
      </c>
      <c>
        <v>2020</v>
      </c>
      <c>
        <v>1315.43</v>
      </c>
      <c s="1" t="str">
        <f ca="1">HYPERLINK("https://web.datatree.com/?/property?propertyId=32062821", "https://web.datatree.com/?/property?propertyId=32062821")</f>
        <v>https://web.datatree.com/?/property?propertyId=32062821</v>
      </c>
      <c r="Q300" t="s">
        <v>316</v>
      </c>
      <c>
        <v>0.233</v>
      </c>
      <c t="s">
        <v>5471</v>
      </c>
      <c t="s">
        <v>9092</v>
      </c>
      <c t="s">
        <v>22788</v>
      </c>
      <c r="X300" t="s">
        <v>42934</v>
      </c>
      <c t="s">
        <v>12246</v>
      </c>
      <c t="s">
        <v>65059</v>
      </c>
      <c t="s">
        <v>39289</v>
      </c>
      <c>
        <v>33905</v>
      </c>
      <c t="s">
        <v>5292</v>
      </c>
      <c t="s">
        <v>48794</v>
      </c>
      <c t="s">
        <v>30122</v>
      </c>
      <c>
        <v>11031</v>
      </c>
      <c r="AI300" t="s">
        <v>49674</v>
      </c>
      <c t="s">
        <v>45393</v>
      </c>
      <c>
        <v>1207</v>
      </c>
      <c t="s">
        <v>21676</v>
      </c>
      <c r="AN300" t="s">
        <v>39289</v>
      </c>
      <c t="s">
        <v>45857</v>
      </c>
      <c t="s">
        <v>54916</v>
      </c>
      <c t="s">
        <v>3093</v>
      </c>
      <c t="s">
        <v>55233</v>
      </c>
    </row>
    <row>
      <c t="s">
        <v>17594</v>
      </c>
      <c t="s">
        <v>51268</v>
      </c>
      <c t="s">
        <v>37649</v>
      </c>
      <c t="s">
        <v>62211</v>
      </c>
      <c t="s">
        <v>55768</v>
      </c>
      <c s="3">
        <v>54688</v>
      </c>
      <c s="3">
        <v>54688</v>
      </c>
      <c s="3">
        <v>20514</v>
      </c>
      <c>
        <v>0</v>
      </c>
      <c s="3">
        <v>0</v>
      </c>
      <c s="3">
        <v>887.49</v>
      </c>
      <c s="3">
        <v>54688</v>
      </c>
      <c r="O301" s="1" t="str">
        <f ca="1">HYPERLINK("https://web.datatree.com/?/property?propertyId=32062863", "https://web.datatree.com/?/property?propertyId=32062863")</f>
        <v>https://web.datatree.com/?/property?propertyId=32062863</v>
      </c>
      <c r="Q301" t="s">
        <v>316</v>
      </c>
      <c>
        <v>0.23</v>
      </c>
      <c t="s">
        <v>6175</v>
      </c>
      <c t="s">
        <v>45627</v>
      </c>
      <c t="s">
        <v>25584</v>
      </c>
      <c r="X301" t="s">
        <v>31470</v>
      </c>
      <c t="s">
        <v>28635</v>
      </c>
      <c t="s">
        <v>2517</v>
      </c>
      <c t="s">
        <v>39289</v>
      </c>
      <c>
        <v>33904</v>
      </c>
      <c t="s">
        <v>15514</v>
      </c>
      <c t="s">
        <v>48794</v>
      </c>
      <c t="s">
        <v>60010</v>
      </c>
      <c>
        <v>11620</v>
      </c>
      <c r="AI301" t="s">
        <v>41255</v>
      </c>
      <c t="s">
        <v>45393</v>
      </c>
      <c r="AL301" t="s">
        <v>15963</v>
      </c>
      <c r="AN301" t="s">
        <v>39289</v>
      </c>
      <c t="s">
        <v>25203</v>
      </c>
      <c t="s">
        <v>27780</v>
      </c>
      <c t="s">
        <v>3093</v>
      </c>
      <c t="s">
        <v>4936</v>
      </c>
    </row>
    <row>
      <c t="s">
        <v>42103</v>
      </c>
      <c t="s">
        <v>41869</v>
      </c>
      <c t="s">
        <v>50801</v>
      </c>
      <c t="s">
        <v>39364</v>
      </c>
      <c t="s">
        <v>22287</v>
      </c>
      <c s="3">
        <v>17276</v>
      </c>
      <c s="3">
        <v>17276</v>
      </c>
      <c s="3">
        <v>8470</v>
      </c>
      <c>
        <v>0</v>
      </c>
      <c s="3">
        <v>0</v>
      </c>
      <c s="3">
        <v>576.29</v>
      </c>
      <c s="3">
        <v>17276</v>
      </c>
      <c r="O302" s="1" t="str">
        <f ca="1">HYPERLINK("https://web.datatree.com/?/property?propertyId=32064086", "https://web.datatree.com/?/property?propertyId=32064086")</f>
        <v>https://web.datatree.com/?/property?propertyId=32064086</v>
      </c>
      <c r="Q302" t="s">
        <v>316</v>
      </c>
      <c>
        <v>0.241</v>
      </c>
      <c t="s">
        <v>6175</v>
      </c>
      <c t="s">
        <v>44610</v>
      </c>
      <c t="s">
        <v>23950</v>
      </c>
      <c r="X302" t="s">
        <v>16840</v>
      </c>
      <c t="s">
        <v>38550</v>
      </c>
      <c t="s">
        <v>2517</v>
      </c>
      <c t="s">
        <v>39289</v>
      </c>
      <c>
        <v>33909</v>
      </c>
      <c t="s">
        <v>5064</v>
      </c>
      <c t="s">
        <v>48794</v>
      </c>
      <c t="s">
        <v>65737</v>
      </c>
      <c r="AI302" t="s">
        <v>28426</v>
      </c>
      <c r="AL302" t="s">
        <v>47510</v>
      </c>
      <c r="AN302" t="s">
        <v>39289</v>
      </c>
      <c t="s">
        <v>12070</v>
      </c>
      <c t="s">
        <v>22666</v>
      </c>
      <c t="s">
        <v>3093</v>
      </c>
      <c t="s">
        <v>47506</v>
      </c>
    </row>
    <row>
      <c t="s">
        <v>17594</v>
      </c>
      <c t="s">
        <v>44306</v>
      </c>
      <c t="s">
        <v>29452</v>
      </c>
      <c t="s">
        <v>20060</v>
      </c>
      <c t="s">
        <v>16728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03" s="1" t="str">
        <f ca="1">HYPERLINK("https://web.datatree.com/?/property?propertyId=32064441", "https://web.datatree.com/?/property?propertyId=32064441")</f>
        <v>https://web.datatree.com/?/property?propertyId=32064441</v>
      </c>
      <c r="Q303" t="s">
        <v>316</v>
      </c>
      <c>
        <v>0.23</v>
      </c>
      <c t="s">
        <v>6175</v>
      </c>
      <c r="U303" t="s">
        <v>61541</v>
      </c>
      <c r="W303" t="s">
        <v>34959</v>
      </c>
      <c t="s">
        <v>57986</v>
      </c>
      <c t="s">
        <v>34731</v>
      </c>
      <c t="s">
        <v>2517</v>
      </c>
      <c t="s">
        <v>39289</v>
      </c>
      <c>
        <v>33909</v>
      </c>
      <c t="s">
        <v>2274</v>
      </c>
      <c t="s">
        <v>48794</v>
      </c>
      <c t="s">
        <v>27583</v>
      </c>
      <c>
        <v>2200</v>
      </c>
      <c r="AI303" t="s">
        <v>2244</v>
      </c>
      <c t="s">
        <v>31192</v>
      </c>
      <c r="AL303" t="s">
        <v>25403</v>
      </c>
      <c t="s">
        <v>25403</v>
      </c>
      <c t="s">
        <v>26443</v>
      </c>
      <c t="s">
        <v>38527</v>
      </c>
      <c t="s">
        <v>32746</v>
      </c>
      <c t="s">
        <v>3093</v>
      </c>
      <c t="s">
        <v>45536</v>
      </c>
    </row>
    <row>
      <c t="s">
        <v>17594</v>
      </c>
      <c t="s">
        <v>33998</v>
      </c>
      <c t="s">
        <v>48832</v>
      </c>
      <c t="s">
        <v>20522</v>
      </c>
      <c t="s">
        <v>23006</v>
      </c>
      <c s="3">
        <v>347325</v>
      </c>
      <c s="3">
        <v>347325</v>
      </c>
      <c s="3">
        <v>347325</v>
      </c>
      <c>
        <v>0</v>
      </c>
      <c s="3">
        <v>0</v>
      </c>
      <c s="3">
        <v>5834.85</v>
      </c>
      <c s="3">
        <v>347325</v>
      </c>
      <c r="O304" s="1" t="str">
        <f ca="1">HYPERLINK("https://web.datatree.com/?/property?propertyId=32064922", "https://web.datatree.com/?/property?propertyId=32064922")</f>
        <v>https://web.datatree.com/?/property?propertyId=32064922</v>
      </c>
      <c r="Q304" t="s">
        <v>316</v>
      </c>
      <c>
        <v>0.356</v>
      </c>
      <c t="s">
        <v>22490</v>
      </c>
      <c r="U304" t="s">
        <v>20189</v>
      </c>
      <c r="W304" t="s">
        <v>19030</v>
      </c>
      <c t="s">
        <v>10823</v>
      </c>
      <c t="s">
        <v>48578</v>
      </c>
      <c t="s">
        <v>2517</v>
      </c>
      <c t="s">
        <v>39289</v>
      </c>
      <c>
        <v>33904</v>
      </c>
      <c t="s">
        <v>20380</v>
      </c>
      <c t="s">
        <v>48794</v>
      </c>
      <c t="s">
        <v>65785</v>
      </c>
      <c>
        <v>2122</v>
      </c>
      <c r="AI304" t="s">
        <v>43669</v>
      </c>
      <c t="s">
        <v>24900</v>
      </c>
      <c r="AL304" t="s">
        <v>17856</v>
      </c>
      <c t="s">
        <v>28248</v>
      </c>
      <c t="s">
        <v>50829</v>
      </c>
      <c t="s">
        <v>52681</v>
      </c>
      <c t="s">
        <v>38085</v>
      </c>
      <c t="s">
        <v>3093</v>
      </c>
      <c t="s">
        <v>37624</v>
      </c>
    </row>
    <row>
      <c t="s">
        <v>17594</v>
      </c>
      <c t="s">
        <v>19121</v>
      </c>
      <c t="s">
        <v>43720</v>
      </c>
      <c t="s">
        <v>28009</v>
      </c>
      <c t="s">
        <v>43434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305" s="1" t="str">
        <f ca="1">HYPERLINK("https://web.datatree.com/?/property?propertyId=32065434", "https://web.datatree.com/?/property?propertyId=32065434")</f>
        <v>https://web.datatree.com/?/property?propertyId=32065434</v>
      </c>
      <c r="Q305" t="s">
        <v>316</v>
      </c>
      <c>
        <v>0.244</v>
      </c>
      <c t="s">
        <v>6175</v>
      </c>
      <c t="s">
        <v>43333</v>
      </c>
      <c t="s">
        <v>24432</v>
      </c>
      <c t="s">
        <v>49812</v>
      </c>
      <c t="s">
        <v>24432</v>
      </c>
      <c t="s">
        <v>45724</v>
      </c>
      <c t="s">
        <v>34731</v>
      </c>
      <c t="s">
        <v>2517</v>
      </c>
      <c t="s">
        <v>39289</v>
      </c>
      <c>
        <v>33909</v>
      </c>
      <c t="s">
        <v>57725</v>
      </c>
      <c t="s">
        <v>48794</v>
      </c>
      <c t="s">
        <v>5407</v>
      </c>
      <c>
        <v>312</v>
      </c>
      <c r="AI305" t="s">
        <v>57908</v>
      </c>
      <c t="s">
        <v>40123</v>
      </c>
      <c r="AL305" t="s">
        <v>55393</v>
      </c>
      <c r="AN305" t="s">
        <v>39289</v>
      </c>
      <c t="s">
        <v>4987</v>
      </c>
      <c t="s">
        <v>13449</v>
      </c>
      <c t="s">
        <v>3093</v>
      </c>
      <c t="s">
        <v>16965</v>
      </c>
    </row>
    <row>
      <c t="s">
        <v>17594</v>
      </c>
      <c t="s">
        <v>31839</v>
      </c>
      <c t="s">
        <v>18139</v>
      </c>
      <c t="s">
        <v>16653</v>
      </c>
      <c t="s">
        <v>58219</v>
      </c>
      <c s="3">
        <v>19848</v>
      </c>
      <c s="3">
        <v>19848</v>
      </c>
      <c s="3">
        <v>158</v>
      </c>
      <c>
        <v>0</v>
      </c>
      <c s="3">
        <v>0</v>
      </c>
      <c s="3">
        <v>114.69</v>
      </c>
      <c s="3">
        <v>19848</v>
      </c>
      <c r="O306" s="1" t="str">
        <f ca="1">HYPERLINK("https://web.datatree.com/?/property?propertyId=32066005", "https://web.datatree.com/?/property?propertyId=32066005")</f>
        <v>https://web.datatree.com/?/property?propertyId=32066005</v>
      </c>
      <c r="Q306" t="s">
        <v>316</v>
      </c>
      <c>
        <v>0.089</v>
      </c>
      <c t="s">
        <v>5471</v>
      </c>
      <c t="s">
        <v>37244</v>
      </c>
      <c t="s">
        <v>43320</v>
      </c>
      <c t="s">
        <v>25953</v>
      </c>
      <c t="s">
        <v>43320</v>
      </c>
      <c t="s">
        <v>66286</v>
      </c>
      <c t="s">
        <v>58278</v>
      </c>
      <c t="s">
        <v>65059</v>
      </c>
      <c t="s">
        <v>39289</v>
      </c>
      <c>
        <v>33908</v>
      </c>
      <c t="s">
        <v>64553</v>
      </c>
      <c t="s">
        <v>48794</v>
      </c>
      <c t="s">
        <v>4424</v>
      </c>
      <c>
        <v>1105</v>
      </c>
      <c r="AI306" t="s">
        <v>17356</v>
      </c>
      <c t="s">
        <v>55842</v>
      </c>
      <c r="AL306" t="s">
        <v>61489</v>
      </c>
      <c r="AN306" t="s">
        <v>32657</v>
      </c>
      <c t="s">
        <v>8620</v>
      </c>
      <c t="s">
        <v>32469</v>
      </c>
      <c t="s">
        <v>3093</v>
      </c>
      <c t="s">
        <v>23938</v>
      </c>
    </row>
    <row>
      <c t="s">
        <v>17594</v>
      </c>
      <c t="s">
        <v>14853</v>
      </c>
      <c t="s">
        <v>35104</v>
      </c>
      <c t="s">
        <v>21882</v>
      </c>
      <c t="s">
        <v>49919</v>
      </c>
      <c s="3">
        <v>17741</v>
      </c>
      <c s="3">
        <v>17741</v>
      </c>
      <c s="3">
        <v>17741</v>
      </c>
      <c>
        <v>0</v>
      </c>
      <c s="3">
        <v>0</v>
      </c>
      <c s="3">
        <v>488.16</v>
      </c>
      <c s="3">
        <v>17741</v>
      </c>
      <c>
        <v>2021</v>
      </c>
      <c>
        <v>517.64</v>
      </c>
      <c s="1" t="str">
        <f ca="1">HYPERLINK("https://web.datatree.com/?/property?propertyId=32066154", "https://web.datatree.com/?/property?propertyId=32066154")</f>
        <v>https://web.datatree.com/?/property?propertyId=32066154</v>
      </c>
      <c r="Q307" t="s">
        <v>316</v>
      </c>
      <c>
        <v>0.23</v>
      </c>
      <c t="s">
        <v>6175</v>
      </c>
      <c t="s">
        <v>23</v>
      </c>
      <c t="s">
        <v>45445</v>
      </c>
      <c t="s">
        <v>12915</v>
      </c>
      <c t="s">
        <v>38806</v>
      </c>
      <c t="s">
        <v>48131</v>
      </c>
      <c t="s">
        <v>18679</v>
      </c>
      <c t="s">
        <v>2517</v>
      </c>
      <c t="s">
        <v>39289</v>
      </c>
      <c>
        <v>33909</v>
      </c>
      <c t="s">
        <v>43301</v>
      </c>
      <c t="s">
        <v>48794</v>
      </c>
      <c t="s">
        <v>57543</v>
      </c>
      <c>
        <v>9060</v>
      </c>
      <c r="AI307" t="s">
        <v>17022</v>
      </c>
      <c t="s">
        <v>45393</v>
      </c>
      <c>
        <v>406</v>
      </c>
      <c t="s">
        <v>55393</v>
      </c>
      <c t="s">
        <v>18365</v>
      </c>
      <c t="s">
        <v>39289</v>
      </c>
      <c t="s">
        <v>45452</v>
      </c>
      <c t="s">
        <v>62983</v>
      </c>
      <c t="s">
        <v>3093</v>
      </c>
      <c t="s">
        <v>16972</v>
      </c>
    </row>
    <row>
      <c t="s">
        <v>17594</v>
      </c>
      <c t="s">
        <v>45678</v>
      </c>
      <c t="s">
        <v>60661</v>
      </c>
      <c t="s">
        <v>30500</v>
      </c>
      <c t="s">
        <v>9086</v>
      </c>
      <c s="3">
        <v>30340</v>
      </c>
      <c s="3">
        <v>30340</v>
      </c>
      <c s="3">
        <v>22000</v>
      </c>
      <c>
        <v>0</v>
      </c>
      <c s="3">
        <v>0</v>
      </c>
      <c s="3">
        <v>358.62</v>
      </c>
      <c s="3">
        <v>30340</v>
      </c>
      <c r="O308" s="1" t="str">
        <f ca="1">HYPERLINK("https://web.datatree.com/?/property?propertyId=32066651", "https://web.datatree.com/?/property?propertyId=32066651")</f>
        <v>https://web.datatree.com/?/property?propertyId=32066651</v>
      </c>
      <c r="Q308" t="s">
        <v>316</v>
      </c>
      <c>
        <v>0.051</v>
      </c>
      <c t="s">
        <v>54329</v>
      </c>
      <c t="s">
        <v>63182</v>
      </c>
      <c t="s">
        <v>14732</v>
      </c>
      <c t="s">
        <v>63182</v>
      </c>
      <c t="s">
        <v>14732</v>
      </c>
      <c t="s">
        <v>64620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15296</v>
      </c>
      <c>
        <v>1730</v>
      </c>
      <c r="AI308" t="s">
        <v>42426</v>
      </c>
      <c t="s">
        <v>31192</v>
      </c>
      <c r="AL308" t="s">
        <v>54121</v>
      </c>
      <c t="s">
        <v>61748</v>
      </c>
      <c t="s">
        <v>58733</v>
      </c>
      <c t="s">
        <v>1948</v>
      </c>
      <c t="s">
        <v>22311</v>
      </c>
      <c t="s">
        <v>3093</v>
      </c>
      <c t="s">
        <v>54512</v>
      </c>
    </row>
    <row>
      <c t="s">
        <v>17594</v>
      </c>
      <c t="s">
        <v>48089</v>
      </c>
      <c t="s">
        <v>41732</v>
      </c>
      <c t="s">
        <v>28971</v>
      </c>
      <c t="s">
        <v>45829</v>
      </c>
      <c s="3">
        <v>71278</v>
      </c>
      <c s="3">
        <v>63500</v>
      </c>
      <c s="3">
        <v>69325</v>
      </c>
      <c>
        <v>0</v>
      </c>
      <c s="3">
        <v>0</v>
      </c>
      <c s="3">
        <v>1053.64</v>
      </c>
      <c s="3">
        <v>71278</v>
      </c>
      <c r="O309" s="1" t="str">
        <f ca="1">HYPERLINK("https://web.datatree.com/?/property?propertyId=32066781", "https://web.datatree.com/?/property?propertyId=32066781")</f>
        <v>https://web.datatree.com/?/property?propertyId=32066781</v>
      </c>
      <c r="Q309" t="s">
        <v>316</v>
      </c>
      <c>
        <v>0.11</v>
      </c>
      <c t="s">
        <v>26492</v>
      </c>
      <c t="s">
        <v>31209</v>
      </c>
      <c t="s">
        <v>34170</v>
      </c>
      <c t="s">
        <v>17631</v>
      </c>
      <c t="s">
        <v>42575</v>
      </c>
      <c t="s">
        <v>31050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27869</v>
      </c>
      <c>
        <v>843</v>
      </c>
      <c r="AI309" t="s">
        <v>16200</v>
      </c>
      <c t="s">
        <v>24900</v>
      </c>
      <c r="AL309" t="s">
        <v>2704</v>
      </c>
      <c t="s">
        <v>40227</v>
      </c>
      <c t="s">
        <v>10909</v>
      </c>
      <c t="s">
        <v>36663</v>
      </c>
      <c r="AQ309" t="s">
        <v>27814</v>
      </c>
      <c t="s">
        <v>49003</v>
      </c>
    </row>
    <row>
      <c t="s">
        <v>17594</v>
      </c>
      <c t="s">
        <v>35133</v>
      </c>
      <c t="s">
        <v>47542</v>
      </c>
      <c t="s">
        <v>42257</v>
      </c>
      <c t="s">
        <v>17576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310" s="1" t="str">
        <f ca="1">HYPERLINK("https://web.datatree.com/?/property?propertyId=32066992", "https://web.datatree.com/?/property?propertyId=32066992")</f>
        <v>https://web.datatree.com/?/property?propertyId=32066992</v>
      </c>
      <c r="Q310" t="s">
        <v>316</v>
      </c>
      <c>
        <v>0.23</v>
      </c>
      <c t="s">
        <v>6175</v>
      </c>
      <c t="s">
        <v>552</v>
      </c>
      <c t="s">
        <v>37285</v>
      </c>
      <c t="s">
        <v>33832</v>
      </c>
      <c t="s">
        <v>37285</v>
      </c>
      <c t="s">
        <v>27112</v>
      </c>
      <c t="s">
        <v>53663</v>
      </c>
      <c t="s">
        <v>2517</v>
      </c>
      <c t="s">
        <v>39289</v>
      </c>
      <c>
        <v>33909</v>
      </c>
      <c t="s">
        <v>21967</v>
      </c>
      <c t="s">
        <v>48794</v>
      </c>
      <c t="s">
        <v>45062</v>
      </c>
      <c>
        <v>8940</v>
      </c>
      <c r="AI310" t="s">
        <v>56700</v>
      </c>
      <c t="s">
        <v>24900</v>
      </c>
      <c t="s">
        <v>22377</v>
      </c>
      <c t="s">
        <v>60064</v>
      </c>
      <c r="AN310" t="s">
        <v>50917</v>
      </c>
      <c t="s">
        <v>37178</v>
      </c>
      <c t="s">
        <v>4480</v>
      </c>
      <c t="s">
        <v>3093</v>
      </c>
      <c t="s">
        <v>19657</v>
      </c>
    </row>
    <row>
      <c t="s">
        <v>17594</v>
      </c>
      <c t="s">
        <v>12528</v>
      </c>
      <c t="s">
        <v>66296</v>
      </c>
      <c t="s">
        <v>29170</v>
      </c>
      <c t="s">
        <v>41020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11" s="1" t="str">
        <f ca="1">HYPERLINK("https://web.datatree.com/?/property?propertyId=32067215", "https://web.datatree.com/?/property?propertyId=32067215")</f>
        <v>https://web.datatree.com/?/property?propertyId=32067215</v>
      </c>
      <c r="Q311" t="s">
        <v>316</v>
      </c>
      <c>
        <v>0.23</v>
      </c>
      <c t="s">
        <v>65612</v>
      </c>
      <c t="s">
        <v>50200</v>
      </c>
      <c t="s">
        <v>23925</v>
      </c>
      <c t="s">
        <v>570</v>
      </c>
      <c t="s">
        <v>23925</v>
      </c>
      <c t="s">
        <v>38603</v>
      </c>
      <c t="s">
        <v>61850</v>
      </c>
      <c t="s">
        <v>2517</v>
      </c>
      <c t="s">
        <v>39289</v>
      </c>
      <c>
        <v>33909</v>
      </c>
      <c t="s">
        <v>44591</v>
      </c>
      <c t="s">
        <v>48794</v>
      </c>
      <c t="s">
        <v>38799</v>
      </c>
      <c>
        <v>20191</v>
      </c>
      <c r="AI311" t="s">
        <v>28635</v>
      </c>
      <c t="s">
        <v>31192</v>
      </c>
      <c>
        <v>1005</v>
      </c>
      <c t="s">
        <v>55393</v>
      </c>
      <c r="AN311" t="s">
        <v>39289</v>
      </c>
      <c t="s">
        <v>64509</v>
      </c>
      <c t="s">
        <v>12241</v>
      </c>
      <c t="s">
        <v>3093</v>
      </c>
      <c t="s">
        <v>17725</v>
      </c>
    </row>
    <row>
      <c t="s">
        <v>17594</v>
      </c>
      <c t="s">
        <v>19160</v>
      </c>
      <c t="s">
        <v>36886</v>
      </c>
      <c t="s">
        <v>17703</v>
      </c>
      <c t="s">
        <v>39715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12" s="1" t="str">
        <f ca="1">HYPERLINK("https://web.datatree.com/?/property?propertyId=32067502", "https://web.datatree.com/?/property?propertyId=32067502")</f>
        <v>https://web.datatree.com/?/property?propertyId=32067502</v>
      </c>
      <c r="Q312" t="s">
        <v>316</v>
      </c>
      <c>
        <v>0.23</v>
      </c>
      <c t="s">
        <v>22490</v>
      </c>
      <c t="s">
        <v>58737</v>
      </c>
      <c t="s">
        <v>24595</v>
      </c>
      <c t="s">
        <v>35512</v>
      </c>
      <c t="s">
        <v>24595</v>
      </c>
      <c t="s">
        <v>9099</v>
      </c>
      <c t="s">
        <v>25017</v>
      </c>
      <c t="s">
        <v>2517</v>
      </c>
      <c t="s">
        <v>39289</v>
      </c>
      <c>
        <v>33909</v>
      </c>
      <c t="s">
        <v>26055</v>
      </c>
      <c t="s">
        <v>48794</v>
      </c>
      <c t="s">
        <v>48951</v>
      </c>
      <c>
        <v>9054</v>
      </c>
      <c r="AI312" t="s">
        <v>52309</v>
      </c>
      <c t="s">
        <v>40123</v>
      </c>
      <c r="AL312" t="s">
        <v>15179</v>
      </c>
      <c r="AN312" t="s">
        <v>39289</v>
      </c>
      <c t="s">
        <v>8214</v>
      </c>
      <c t="s">
        <v>43294</v>
      </c>
      <c t="s">
        <v>3093</v>
      </c>
      <c t="s">
        <v>47366</v>
      </c>
    </row>
    <row>
      <c t="s">
        <v>17594</v>
      </c>
      <c t="s">
        <v>47934</v>
      </c>
      <c t="s">
        <v>20077</v>
      </c>
      <c t="s">
        <v>8691</v>
      </c>
      <c t="s">
        <v>46373</v>
      </c>
      <c s="3">
        <v>24856</v>
      </c>
      <c s="3">
        <v>24856</v>
      </c>
      <c s="3">
        <v>10049</v>
      </c>
      <c>
        <v>0</v>
      </c>
      <c s="3">
        <v>0</v>
      </c>
      <c s="3">
        <v>658.63</v>
      </c>
      <c s="3">
        <v>24856</v>
      </c>
      <c r="O313" s="1" t="str">
        <f ca="1">HYPERLINK("https://web.datatree.com/?/property?propertyId=32067616", "https://web.datatree.com/?/property?propertyId=32067616")</f>
        <v>https://web.datatree.com/?/property?propertyId=32067616</v>
      </c>
      <c r="Q313" t="s">
        <v>316</v>
      </c>
      <c>
        <v>0.278</v>
      </c>
      <c t="s">
        <v>45031</v>
      </c>
      <c t="s">
        <v>17254</v>
      </c>
      <c t="s">
        <v>20391</v>
      </c>
      <c t="s">
        <v>65412</v>
      </c>
      <c t="s">
        <v>7762</v>
      </c>
      <c t="s">
        <v>42421</v>
      </c>
      <c t="s">
        <v>22731</v>
      </c>
      <c t="s">
        <v>2517</v>
      </c>
      <c t="s">
        <v>39289</v>
      </c>
      <c>
        <v>33909</v>
      </c>
      <c t="s">
        <v>31091</v>
      </c>
      <c t="s">
        <v>48794</v>
      </c>
      <c t="s">
        <v>46879</v>
      </c>
      <c>
        <v>1221</v>
      </c>
      <c r="AI313" t="s">
        <v>61850</v>
      </c>
      <c t="s">
        <v>39321</v>
      </c>
      <c r="AL313" t="s">
        <v>46989</v>
      </c>
      <c t="s">
        <v>46989</v>
      </c>
      <c t="s">
        <v>39289</v>
      </c>
      <c t="s">
        <v>27544</v>
      </c>
      <c t="s">
        <v>44843</v>
      </c>
      <c t="s">
        <v>3093</v>
      </c>
      <c t="s">
        <v>239</v>
      </c>
    </row>
    <row>
      <c t="s">
        <v>17594</v>
      </c>
      <c t="s">
        <v>50866</v>
      </c>
      <c t="s">
        <v>55186</v>
      </c>
      <c t="s">
        <v>15383</v>
      </c>
      <c t="s">
        <v>17836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314" s="1" t="str">
        <f ca="1">HYPERLINK("https://web.datatree.com/?/property?propertyId=32067905", "https://web.datatree.com/?/property?propertyId=32067905")</f>
        <v>https://web.datatree.com/?/property?propertyId=32067905</v>
      </c>
      <c r="Q314" t="s">
        <v>316</v>
      </c>
      <c>
        <v>0.23</v>
      </c>
      <c t="s">
        <v>6175</v>
      </c>
      <c t="s">
        <v>20616</v>
      </c>
      <c t="s">
        <v>48923</v>
      </c>
      <c r="X314" t="s">
        <v>28886</v>
      </c>
      <c t="s">
        <v>49674</v>
      </c>
      <c t="s">
        <v>2517</v>
      </c>
      <c t="s">
        <v>39289</v>
      </c>
      <c>
        <v>33909</v>
      </c>
      <c t="s">
        <v>20754</v>
      </c>
      <c t="s">
        <v>48794</v>
      </c>
      <c t="s">
        <v>30281</v>
      </c>
      <c>
        <v>455</v>
      </c>
      <c r="AI314" t="s">
        <v>2626</v>
      </c>
      <c t="s">
        <v>24900</v>
      </c>
      <c t="s">
        <v>55144</v>
      </c>
      <c t="s">
        <v>22531</v>
      </c>
      <c r="AN314" t="s">
        <v>39289</v>
      </c>
      <c t="s">
        <v>25210</v>
      </c>
      <c t="s">
        <v>34025</v>
      </c>
      <c t="s">
        <v>3093</v>
      </c>
      <c t="s">
        <v>56746</v>
      </c>
    </row>
    <row>
      <c t="s">
        <v>17594</v>
      </c>
      <c t="s">
        <v>21857</v>
      </c>
      <c t="s">
        <v>33361</v>
      </c>
      <c t="s">
        <v>59289</v>
      </c>
      <c t="s">
        <v>29760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15" s="1" t="str">
        <f ca="1">HYPERLINK("https://web.datatree.com/?/property?propertyId=32067958", "https://web.datatree.com/?/property?propertyId=32067958")</f>
        <v>https://web.datatree.com/?/property?propertyId=32067958</v>
      </c>
      <c r="Q315" t="s">
        <v>316</v>
      </c>
      <c>
        <v>0.235</v>
      </c>
      <c t="s">
        <v>22490</v>
      </c>
      <c t="s">
        <v>981</v>
      </c>
      <c t="s">
        <v>31629</v>
      </c>
      <c r="X315" t="s">
        <v>27613</v>
      </c>
      <c t="s">
        <v>22731</v>
      </c>
      <c t="s">
        <v>2517</v>
      </c>
      <c t="s">
        <v>39289</v>
      </c>
      <c>
        <v>33909</v>
      </c>
      <c t="s">
        <v>34430</v>
      </c>
      <c t="s">
        <v>48794</v>
      </c>
      <c t="s">
        <v>5096</v>
      </c>
      <c r="AI315" t="s">
        <v>63162</v>
      </c>
      <c r="AK315">
        <v>8</v>
      </c>
      <c t="s">
        <v>64506</v>
      </c>
      <c r="AN315" t="s">
        <v>43247</v>
      </c>
      <c r="AR315" t="s">
        <v>61073</v>
      </c>
    </row>
    <row>
      <c t="s">
        <v>17594</v>
      </c>
      <c t="s">
        <v>61964</v>
      </c>
      <c t="s">
        <v>25750</v>
      </c>
      <c t="s">
        <v>58230</v>
      </c>
      <c t="s">
        <v>50472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16" s="1" t="str">
        <f ca="1">HYPERLINK("https://web.datatree.com/?/property?propertyId=32068155", "https://web.datatree.com/?/property?propertyId=32068155")</f>
        <v>https://web.datatree.com/?/property?propertyId=32068155</v>
      </c>
      <c r="Q316" t="s">
        <v>316</v>
      </c>
      <c>
        <v>0.23</v>
      </c>
      <c t="s">
        <v>22490</v>
      </c>
      <c t="s">
        <v>35571</v>
      </c>
      <c t="s">
        <v>14002</v>
      </c>
      <c r="X316" t="s">
        <v>27579</v>
      </c>
      <c t="s">
        <v>46469</v>
      </c>
      <c t="s">
        <v>2517</v>
      </c>
      <c t="s">
        <v>39289</v>
      </c>
      <c>
        <v>33909</v>
      </c>
      <c t="s">
        <v>21737</v>
      </c>
      <c t="s">
        <v>48794</v>
      </c>
      <c t="s">
        <v>38520</v>
      </c>
      <c>
        <v>540</v>
      </c>
      <c r="AI316" t="s">
        <v>2700</v>
      </c>
      <c t="s">
        <v>7620</v>
      </c>
      <c r="AL316" t="s">
        <v>9724</v>
      </c>
      <c t="s">
        <v>2517</v>
      </c>
      <c t="s">
        <v>9387</v>
      </c>
      <c>
        <v>33909</v>
      </c>
      <c t="s">
        <v>30049</v>
      </c>
      <c t="s">
        <v>3093</v>
      </c>
      <c t="s">
        <v>63653</v>
      </c>
    </row>
    <row>
      <c t="s">
        <v>17594</v>
      </c>
      <c t="s">
        <v>11306</v>
      </c>
      <c t="s">
        <v>41317</v>
      </c>
      <c t="s">
        <v>14223</v>
      </c>
      <c t="s">
        <v>40508</v>
      </c>
      <c s="3">
        <v>66</v>
      </c>
      <c s="3">
        <v>66</v>
      </c>
      <c s="3">
        <v>0</v>
      </c>
      <c>
        <v>0</v>
      </c>
      <c s="3">
        <v>0</v>
      </c>
      <c r="L317" s="3">
        <v>66</v>
      </c>
      <c r="O317" s="1" t="str">
        <f ca="1">HYPERLINK("https://web.datatree.com/?/property?propertyId=32068329", "https://web.datatree.com/?/property?propertyId=32068329")</f>
        <v>https://web.datatree.com/?/property?propertyId=32068329</v>
      </c>
      <c r="Q317" t="s">
        <v>40482</v>
      </c>
      <c>
        <v>1.32</v>
      </c>
      <c t="s">
        <v>37489</v>
      </c>
      <c t="s">
        <v>30015</v>
      </c>
      <c t="s">
        <v>49220</v>
      </c>
      <c r="X317" t="s">
        <v>23575</v>
      </c>
      <c t="s">
        <v>18633</v>
      </c>
      <c t="s">
        <v>65059</v>
      </c>
      <c t="s">
        <v>39289</v>
      </c>
      <c>
        <v>33908</v>
      </c>
      <c>
        <v>33908</v>
      </c>
      <c t="s">
        <v>48794</v>
      </c>
      <c t="s">
        <v>27550</v>
      </c>
      <c>
        <v>4530</v>
      </c>
      <c r="AI317" t="s">
        <v>51944</v>
      </c>
      <c t="s">
        <v>41372</v>
      </c>
      <c r="AL317" t="s">
        <v>36080</v>
      </c>
      <c t="s">
        <v>36686</v>
      </c>
      <c t="s">
        <v>39289</v>
      </c>
      <c t="s">
        <v>48203</v>
      </c>
      <c t="s">
        <v>59267</v>
      </c>
      <c t="s">
        <v>3093</v>
      </c>
      <c t="s">
        <v>33371</v>
      </c>
    </row>
    <row>
      <c t="s">
        <v>17594</v>
      </c>
      <c t="s">
        <v>58547</v>
      </c>
      <c t="s">
        <v>32397</v>
      </c>
      <c t="s">
        <v>5654</v>
      </c>
      <c t="s">
        <v>64727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18" s="1" t="str">
        <f ca="1">HYPERLINK("https://web.datatree.com/?/property?propertyId=32068339", "https://web.datatree.com/?/property?propertyId=32068339")</f>
        <v>https://web.datatree.com/?/property?propertyId=32068339</v>
      </c>
      <c r="Q318" t="s">
        <v>316</v>
      </c>
      <c>
        <v>0.23</v>
      </c>
      <c t="s">
        <v>6175</v>
      </c>
      <c t="s">
        <v>11082</v>
      </c>
      <c t="s">
        <v>22555</v>
      </c>
      <c t="s">
        <v>54501</v>
      </c>
      <c t="s">
        <v>22555</v>
      </c>
      <c t="s">
        <v>15721</v>
      </c>
      <c t="s">
        <v>25017</v>
      </c>
      <c t="s">
        <v>2517</v>
      </c>
      <c t="s">
        <v>39289</v>
      </c>
      <c>
        <v>33909</v>
      </c>
      <c t="s">
        <v>20125</v>
      </c>
      <c t="s">
        <v>48794</v>
      </c>
      <c t="s">
        <v>38242</v>
      </c>
      <c t="s">
        <v>61490</v>
      </c>
      <c r="AI318" t="s">
        <v>42946</v>
      </c>
      <c r="AL318" t="s">
        <v>62927</v>
      </c>
      <c t="s">
        <v>62927</v>
      </c>
      <c t="s">
        <v>39289</v>
      </c>
      <c>
        <v>34134</v>
      </c>
      <c r="AR318" t="s">
        <v>60607</v>
      </c>
    </row>
    <row>
      <c t="s">
        <v>17594</v>
      </c>
      <c t="s">
        <v>41319</v>
      </c>
      <c t="s">
        <v>43863</v>
      </c>
      <c t="s">
        <v>46510</v>
      </c>
      <c t="s">
        <v>8463</v>
      </c>
      <c s="3">
        <v>64740</v>
      </c>
      <c s="3">
        <v>64740</v>
      </c>
      <c s="3">
        <v>31126</v>
      </c>
      <c>
        <v>0</v>
      </c>
      <c s="3">
        <v>0</v>
      </c>
      <c s="3">
        <v>1052.96</v>
      </c>
      <c s="3">
        <v>64740</v>
      </c>
      <c r="O319" s="1" t="str">
        <f ca="1">HYPERLINK("https://web.datatree.com/?/property?propertyId=32068414", "https://web.datatree.com/?/property?propertyId=32068414")</f>
        <v>https://web.datatree.com/?/property?propertyId=32068414</v>
      </c>
      <c r="Q319" t="s">
        <v>316</v>
      </c>
      <c>
        <v>0.23</v>
      </c>
      <c t="s">
        <v>22490</v>
      </c>
      <c t="s">
        <v>64030</v>
      </c>
      <c t="s">
        <v>4089</v>
      </c>
      <c t="s">
        <v>37949</v>
      </c>
      <c t="s">
        <v>4089</v>
      </c>
      <c t="s">
        <v>7340</v>
      </c>
      <c t="s">
        <v>47150</v>
      </c>
      <c t="s">
        <v>2517</v>
      </c>
      <c t="s">
        <v>39289</v>
      </c>
      <c>
        <v>33909</v>
      </c>
      <c t="s">
        <v>33519</v>
      </c>
      <c t="s">
        <v>48794</v>
      </c>
      <c t="s">
        <v>3484</v>
      </c>
      <c>
        <v>7071</v>
      </c>
      <c r="AI319" t="s">
        <v>15458</v>
      </c>
      <c t="s">
        <v>45620</v>
      </c>
      <c>
        <v>333</v>
      </c>
      <c t="s">
        <v>1661</v>
      </c>
      <c r="AN319" t="s">
        <v>51137</v>
      </c>
      <c t="s">
        <v>20187</v>
      </c>
      <c t="s">
        <v>18692</v>
      </c>
      <c t="s">
        <v>3093</v>
      </c>
      <c t="s">
        <v>20204</v>
      </c>
    </row>
    <row>
      <c t="s">
        <v>17594</v>
      </c>
      <c t="s">
        <v>64300</v>
      </c>
      <c t="s">
        <v>18554</v>
      </c>
      <c t="s">
        <v>15317</v>
      </c>
      <c t="s">
        <v>64168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20" s="1" t="str">
        <f ca="1">HYPERLINK("https://web.datatree.com/?/property?propertyId=32068546", "https://web.datatree.com/?/property?propertyId=32068546")</f>
        <v>https://web.datatree.com/?/property?propertyId=32068546</v>
      </c>
      <c r="Q320" t="s">
        <v>316</v>
      </c>
      <c>
        <v>0.23</v>
      </c>
      <c t="s">
        <v>6175</v>
      </c>
      <c t="s">
        <v>64030</v>
      </c>
      <c t="s">
        <v>14755</v>
      </c>
      <c t="s">
        <v>52701</v>
      </c>
      <c t="s">
        <v>28989</v>
      </c>
      <c t="s">
        <v>20447</v>
      </c>
      <c t="s">
        <v>34731</v>
      </c>
      <c t="s">
        <v>2517</v>
      </c>
      <c t="s">
        <v>39289</v>
      </c>
      <c>
        <v>33909</v>
      </c>
      <c t="s">
        <v>55294</v>
      </c>
      <c t="s">
        <v>48794</v>
      </c>
      <c t="s">
        <v>64365</v>
      </c>
      <c>
        <v>408</v>
      </c>
      <c r="AI320" t="s">
        <v>57064</v>
      </c>
      <c t="s">
        <v>24900</v>
      </c>
      <c r="AL320" t="s">
        <v>55393</v>
      </c>
      <c r="AN320" t="s">
        <v>39289</v>
      </c>
      <c t="s">
        <v>40420</v>
      </c>
      <c t="s">
        <v>3364</v>
      </c>
      <c t="s">
        <v>3093</v>
      </c>
      <c t="s">
        <v>25655</v>
      </c>
    </row>
    <row>
      <c t="s">
        <v>17594</v>
      </c>
      <c t="s">
        <v>51136</v>
      </c>
      <c t="s">
        <v>49365</v>
      </c>
      <c t="s">
        <v>17688</v>
      </c>
      <c t="s">
        <v>57542</v>
      </c>
      <c s="3">
        <v>78957</v>
      </c>
      <c s="3">
        <v>70500</v>
      </c>
      <c s="3">
        <v>75600</v>
      </c>
      <c>
        <v>0</v>
      </c>
      <c s="3">
        <v>0</v>
      </c>
      <c s="3">
        <v>1155.42</v>
      </c>
      <c s="3">
        <v>78957</v>
      </c>
      <c r="O321" s="1" t="str">
        <f ca="1">HYPERLINK("https://web.datatree.com/?/property?propertyId=32068736", "https://web.datatree.com/?/property?propertyId=32068736")</f>
        <v>https://web.datatree.com/?/property?propertyId=32068736</v>
      </c>
      <c r="Q321" t="s">
        <v>316</v>
      </c>
      <c>
        <v>0.109</v>
      </c>
      <c t="s">
        <v>26492</v>
      </c>
      <c t="s">
        <v>14827</v>
      </c>
      <c t="s">
        <v>20425</v>
      </c>
      <c t="s">
        <v>11923</v>
      </c>
      <c t="s">
        <v>20425</v>
      </c>
      <c t="s">
        <v>3497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66403</v>
      </c>
      <c>
        <v>1014</v>
      </c>
      <c r="AI321" t="s">
        <v>33210</v>
      </c>
      <c t="s">
        <v>45620</v>
      </c>
      <c r="AL321" t="s">
        <v>8801</v>
      </c>
      <c t="s">
        <v>40227</v>
      </c>
      <c t="s">
        <v>22275</v>
      </c>
      <c t="s">
        <v>5182</v>
      </c>
      <c t="s">
        <v>22455</v>
      </c>
      <c t="s">
        <v>3093</v>
      </c>
      <c t="s">
        <v>43075</v>
      </c>
      <c>
        <v>2005</v>
      </c>
    </row>
    <row>
      <c t="s">
        <v>42103</v>
      </c>
      <c t="s">
        <v>60221</v>
      </c>
      <c t="s">
        <v>16501</v>
      </c>
      <c t="s">
        <v>57346</v>
      </c>
      <c t="s">
        <v>49808</v>
      </c>
      <c s="3">
        <v>15788</v>
      </c>
      <c s="3">
        <v>15788</v>
      </c>
      <c s="3">
        <v>8250</v>
      </c>
      <c>
        <v>0</v>
      </c>
      <c s="3">
        <v>0</v>
      </c>
      <c s="3">
        <v>568.23</v>
      </c>
      <c s="3">
        <v>15788</v>
      </c>
      <c r="O322" s="1" t="str">
        <f ca="1">HYPERLINK("https://web.datatree.com/?/property?propertyId=32068815", "https://web.datatree.com/?/property?propertyId=32068815")</f>
        <v>https://web.datatree.com/?/property?propertyId=32068815</v>
      </c>
      <c r="Q322" t="s">
        <v>316</v>
      </c>
      <c>
        <v>0.255</v>
      </c>
      <c t="s">
        <v>6175</v>
      </c>
      <c t="s">
        <v>60638</v>
      </c>
      <c t="s">
        <v>58264</v>
      </c>
      <c r="X322" t="s">
        <v>54479</v>
      </c>
      <c t="s">
        <v>25017</v>
      </c>
      <c t="s">
        <v>2517</v>
      </c>
      <c t="s">
        <v>39289</v>
      </c>
      <c>
        <v>33909</v>
      </c>
      <c t="s">
        <v>4057</v>
      </c>
      <c t="s">
        <v>48794</v>
      </c>
      <c t="s">
        <v>59133</v>
      </c>
      <c r="AI322" t="s">
        <v>12306</v>
      </c>
      <c r="AL322" t="s">
        <v>55393</v>
      </c>
      <c r="AN322" t="s">
        <v>39289</v>
      </c>
      <c t="s">
        <v>40741</v>
      </c>
      <c t="s">
        <v>44547</v>
      </c>
      <c t="s">
        <v>3093</v>
      </c>
      <c t="s">
        <v>5092</v>
      </c>
    </row>
    <row>
      <c t="s">
        <v>17594</v>
      </c>
      <c t="s">
        <v>17354</v>
      </c>
      <c t="s">
        <v>41682</v>
      </c>
      <c t="s">
        <v>16196</v>
      </c>
      <c t="s">
        <v>24122</v>
      </c>
      <c s="3">
        <v>16000</v>
      </c>
      <c s="3">
        <v>16000</v>
      </c>
      <c s="3">
        <v>7028</v>
      </c>
      <c>
        <v>0</v>
      </c>
      <c s="3">
        <v>0</v>
      </c>
      <c s="3">
        <v>171.54</v>
      </c>
      <c s="3">
        <v>16000</v>
      </c>
      <c r="O323" s="1" t="str">
        <f ca="1">HYPERLINK("https://web.datatree.com/?/property?propertyId=32068986", "https://web.datatree.com/?/property?propertyId=32068986")</f>
        <v>https://web.datatree.com/?/property?propertyId=32068986</v>
      </c>
      <c r="Q323" t="s">
        <v>316</v>
      </c>
      <c>
        <v>0.323</v>
      </c>
      <c t="s">
        <v>66399</v>
      </c>
      <c t="s">
        <v>19357</v>
      </c>
      <c t="s">
        <v>62331</v>
      </c>
      <c r="X323" t="s">
        <v>14428</v>
      </c>
      <c t="s">
        <v>14104</v>
      </c>
      <c t="s">
        <v>65059</v>
      </c>
      <c t="s">
        <v>39289</v>
      </c>
      <c>
        <v>33905</v>
      </c>
      <c t="s">
        <v>51740</v>
      </c>
      <c t="s">
        <v>48794</v>
      </c>
      <c t="s">
        <v>42249</v>
      </c>
      <c>
        <v>28501</v>
      </c>
      <c r="AI323" t="s">
        <v>55707</v>
      </c>
      <c t="s">
        <v>1671</v>
      </c>
      <c r="AL323" t="s">
        <v>8875</v>
      </c>
      <c r="AN323" t="s">
        <v>51137</v>
      </c>
      <c t="s">
        <v>42462</v>
      </c>
      <c t="s">
        <v>17380</v>
      </c>
      <c t="s">
        <v>3093</v>
      </c>
      <c t="s">
        <v>1749</v>
      </c>
    </row>
    <row>
      <c t="s">
        <v>42103</v>
      </c>
      <c t="s">
        <v>4801</v>
      </c>
      <c t="s">
        <v>64734</v>
      </c>
      <c t="s">
        <v>67139</v>
      </c>
      <c t="s">
        <v>52379</v>
      </c>
      <c s="3">
        <v>12544</v>
      </c>
      <c s="3">
        <v>12544</v>
      </c>
      <c s="3">
        <v>5985</v>
      </c>
      <c>
        <v>0</v>
      </c>
      <c s="3">
        <v>0</v>
      </c>
      <c s="3">
        <v>323.16</v>
      </c>
      <c s="3">
        <v>12544</v>
      </c>
      <c r="O324" s="1" t="str">
        <f ca="1">HYPERLINK("https://web.datatree.com/?/property?propertyId=32069041", "https://web.datatree.com/?/property?propertyId=32069041")</f>
        <v>https://web.datatree.com/?/property?propertyId=32069041</v>
      </c>
      <c r="Q324" t="s">
        <v>316</v>
      </c>
      <c>
        <v>0.24</v>
      </c>
      <c t="s">
        <v>5471</v>
      </c>
      <c t="s">
        <v>16200</v>
      </c>
      <c t="s">
        <v>65295</v>
      </c>
      <c r="X324" t="s">
        <v>19265</v>
      </c>
      <c t="s">
        <v>48116</v>
      </c>
      <c t="s">
        <v>65059</v>
      </c>
      <c t="s">
        <v>39289</v>
      </c>
      <c>
        <v>33905</v>
      </c>
      <c t="s">
        <v>58591</v>
      </c>
      <c t="s">
        <v>48794</v>
      </c>
      <c t="s">
        <v>43249</v>
      </c>
      <c r="AI324" t="s">
        <v>19840</v>
      </c>
      <c r="AL324" t="s">
        <v>65650</v>
      </c>
      <c t="s">
        <v>65650</v>
      </c>
      <c t="s">
        <v>460</v>
      </c>
      <c>
        <v>5468</v>
      </c>
      <c t="s">
        <v>15796</v>
      </c>
      <c t="s">
        <v>3093</v>
      </c>
      <c t="s">
        <v>45086</v>
      </c>
    </row>
    <row>
      <c t="s">
        <v>17594</v>
      </c>
      <c s="2" t="s">
        <v>7584</v>
      </c>
      <c t="s">
        <v>43578</v>
      </c>
      <c t="s">
        <v>61688</v>
      </c>
      <c t="s">
        <v>38590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325" s="1" t="str">
        <f ca="1">HYPERLINK("https://web.datatree.com/?/property?propertyId=32069183", "https://web.datatree.com/?/property?propertyId=32069183")</f>
        <v>https://web.datatree.com/?/property?propertyId=32069183</v>
      </c>
      <c r="Q325" t="s">
        <v>316</v>
      </c>
      <c>
        <v>0.281</v>
      </c>
      <c t="s">
        <v>5471</v>
      </c>
      <c t="s">
        <v>18849</v>
      </c>
      <c t="s">
        <v>14906</v>
      </c>
      <c t="s">
        <v>56743</v>
      </c>
      <c t="s">
        <v>14906</v>
      </c>
      <c t="s">
        <v>57557</v>
      </c>
      <c t="s">
        <v>3722</v>
      </c>
      <c t="s">
        <v>65059</v>
      </c>
      <c t="s">
        <v>39289</v>
      </c>
      <c>
        <v>33905</v>
      </c>
      <c>
        <v>33905</v>
      </c>
      <c t="s">
        <v>48794</v>
      </c>
      <c s="2" t="s">
        <v>64404</v>
      </c>
      <c>
        <v>642</v>
      </c>
      <c r="AI325" t="s">
        <v>33302</v>
      </c>
      <c t="s">
        <v>40123</v>
      </c>
      <c r="AL325" t="s">
        <v>63417</v>
      </c>
      <c t="s">
        <v>40227</v>
      </c>
      <c t="s">
        <v>39289</v>
      </c>
      <c t="s">
        <v>3837</v>
      </c>
      <c t="s">
        <v>58683</v>
      </c>
      <c t="s">
        <v>3093</v>
      </c>
      <c t="s">
        <v>36934</v>
      </c>
    </row>
    <row>
      <c t="s">
        <v>17594</v>
      </c>
      <c t="s">
        <v>9829</v>
      </c>
      <c t="s">
        <v>16429</v>
      </c>
      <c t="s">
        <v>17586</v>
      </c>
      <c t="s">
        <v>44578</v>
      </c>
      <c s="3">
        <v>54000</v>
      </c>
      <c s="3">
        <v>54000</v>
      </c>
      <c s="3">
        <v>10848</v>
      </c>
      <c>
        <v>0</v>
      </c>
      <c s="3">
        <v>0</v>
      </c>
      <c s="3">
        <v>757.46</v>
      </c>
      <c s="3">
        <v>54000</v>
      </c>
      <c r="O326" s="1" t="str">
        <f ca="1">HYPERLINK("https://web.datatree.com/?/property?propertyId=32069791", "https://web.datatree.com/?/property?propertyId=32069791")</f>
        <v>https://web.datatree.com/?/property?propertyId=32069791</v>
      </c>
      <c r="Q326" t="s">
        <v>316</v>
      </c>
      <c>
        <v>0.233</v>
      </c>
      <c t="s">
        <v>6175</v>
      </c>
      <c t="s">
        <v>33213</v>
      </c>
      <c t="s">
        <v>42713</v>
      </c>
      <c t="s">
        <v>66704</v>
      </c>
      <c t="s">
        <v>42713</v>
      </c>
      <c t="s">
        <v>40168</v>
      </c>
      <c t="s">
        <v>58797</v>
      </c>
      <c t="s">
        <v>2517</v>
      </c>
      <c t="s">
        <v>39289</v>
      </c>
      <c>
        <v>33909</v>
      </c>
      <c t="s">
        <v>43297</v>
      </c>
      <c t="s">
        <v>48794</v>
      </c>
      <c t="s">
        <v>47469</v>
      </c>
      <c>
        <v>275</v>
      </c>
      <c r="AI326" t="s">
        <v>57193</v>
      </c>
      <c t="s">
        <v>24900</v>
      </c>
      <c r="AL326" t="s">
        <v>55393</v>
      </c>
      <c r="AN326" t="s">
        <v>39289</v>
      </c>
      <c t="s">
        <v>22482</v>
      </c>
      <c t="s">
        <v>66797</v>
      </c>
      <c t="s">
        <v>3093</v>
      </c>
      <c t="s">
        <v>20115</v>
      </c>
    </row>
    <row>
      <c t="s">
        <v>17594</v>
      </c>
      <c t="s">
        <v>1880</v>
      </c>
      <c t="s">
        <v>15571</v>
      </c>
      <c t="s">
        <v>11658</v>
      </c>
      <c t="s">
        <v>65997</v>
      </c>
      <c s="3">
        <v>11250</v>
      </c>
      <c s="3">
        <v>11250</v>
      </c>
      <c s="3">
        <v>4840</v>
      </c>
      <c>
        <v>0</v>
      </c>
      <c s="3">
        <v>0</v>
      </c>
      <c s="3">
        <v>101.14</v>
      </c>
      <c s="3">
        <v>11250</v>
      </c>
      <c r="O327" s="1" t="str">
        <f ca="1">HYPERLINK("https://web.datatree.com/?/property?propertyId=32070062", "https://web.datatree.com/?/property?propertyId=32070062")</f>
        <v>https://web.datatree.com/?/property?propertyId=32070062</v>
      </c>
      <c r="Q327" t="s">
        <v>316</v>
      </c>
      <c>
        <v>0.141</v>
      </c>
      <c t="s">
        <v>36245</v>
      </c>
      <c t="s">
        <v>19527</v>
      </c>
      <c t="s">
        <v>3904</v>
      </c>
      <c r="X327" t="s">
        <v>2652</v>
      </c>
      <c t="s">
        <v>45903</v>
      </c>
      <c t="s">
        <v>65059</v>
      </c>
      <c t="s">
        <v>39289</v>
      </c>
      <c>
        <v>33905</v>
      </c>
      <c t="s">
        <v>18976</v>
      </c>
      <c t="s">
        <v>48794</v>
      </c>
      <c t="s">
        <v>39853</v>
      </c>
      <c>
        <v>11737</v>
      </c>
      <c r="AI327" t="s">
        <v>44061</v>
      </c>
      <c t="s">
        <v>45393</v>
      </c>
      <c r="AL327" t="s">
        <v>65608</v>
      </c>
      <c r="AN327" t="s">
        <v>39289</v>
      </c>
      <c t="s">
        <v>55293</v>
      </c>
      <c t="s">
        <v>49977</v>
      </c>
      <c t="s">
        <v>3093</v>
      </c>
      <c t="s">
        <v>40625</v>
      </c>
    </row>
    <row>
      <c t="s">
        <v>17594</v>
      </c>
      <c t="s">
        <v>48973</v>
      </c>
      <c t="s">
        <v>52</v>
      </c>
      <c t="s">
        <v>51881</v>
      </c>
      <c t="s">
        <v>50265</v>
      </c>
      <c s="3">
        <v>28210</v>
      </c>
      <c s="3">
        <v>28210</v>
      </c>
      <c s="3">
        <v>9079</v>
      </c>
      <c>
        <v>0</v>
      </c>
      <c s="3">
        <v>0</v>
      </c>
      <c s="3">
        <v>2910.05</v>
      </c>
      <c s="3">
        <v>28210</v>
      </c>
      <c r="O328" s="1" t="str">
        <f ca="1">HYPERLINK("https://web.datatree.com/?/property?propertyId=32071448", "https://web.datatree.com/?/property?propertyId=32071448")</f>
        <v>https://web.datatree.com/?/property?propertyId=32071448</v>
      </c>
      <c r="Q328" t="s">
        <v>316</v>
      </c>
      <c>
        <v>0.23</v>
      </c>
      <c t="s">
        <v>6175</v>
      </c>
      <c t="s">
        <v>64030</v>
      </c>
      <c t="s">
        <v>8528</v>
      </c>
      <c r="X328" t="s">
        <v>33576</v>
      </c>
      <c t="s">
        <v>34731</v>
      </c>
      <c t="s">
        <v>2517</v>
      </c>
      <c t="s">
        <v>39289</v>
      </c>
      <c>
        <v>33909</v>
      </c>
      <c t="s">
        <v>3028</v>
      </c>
      <c t="s">
        <v>48794</v>
      </c>
      <c t="s">
        <v>52860</v>
      </c>
      <c>
        <v>5555</v>
      </c>
      <c r="AI328" t="s">
        <v>33325</v>
      </c>
      <c t="s">
        <v>24900</v>
      </c>
      <c t="s">
        <v>19106</v>
      </c>
      <c t="s">
        <v>51776</v>
      </c>
      <c r="AN328" t="s">
        <v>39289</v>
      </c>
      <c t="s">
        <v>48635</v>
      </c>
      <c t="s">
        <v>23744</v>
      </c>
      <c t="s">
        <v>3093</v>
      </c>
      <c t="s">
        <v>57384</v>
      </c>
    </row>
    <row>
      <c t="s">
        <v>17594</v>
      </c>
      <c t="s">
        <v>7894</v>
      </c>
      <c t="s">
        <v>47556</v>
      </c>
      <c t="s">
        <v>58039</v>
      </c>
      <c t="s">
        <v>41419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29" s="1" t="str">
        <f ca="1">HYPERLINK("https://web.datatree.com/?/property?propertyId=32071590", "https://web.datatree.com/?/property?propertyId=32071590")</f>
        <v>https://web.datatree.com/?/property?propertyId=32071590</v>
      </c>
      <c r="Q329" t="s">
        <v>316</v>
      </c>
      <c>
        <v>0.23</v>
      </c>
      <c t="s">
        <v>6175</v>
      </c>
      <c t="s">
        <v>42397</v>
      </c>
      <c t="s">
        <v>38798</v>
      </c>
      <c t="s">
        <v>15051</v>
      </c>
      <c t="s">
        <v>38798</v>
      </c>
      <c t="s">
        <v>60574</v>
      </c>
      <c t="s">
        <v>39082</v>
      </c>
      <c t="s">
        <v>2517</v>
      </c>
      <c t="s">
        <v>39289</v>
      </c>
      <c>
        <v>33909</v>
      </c>
      <c t="s">
        <v>16023</v>
      </c>
      <c t="s">
        <v>48794</v>
      </c>
      <c t="s">
        <v>60485</v>
      </c>
      <c>
        <v>6324</v>
      </c>
      <c r="AI329" t="s">
        <v>26655</v>
      </c>
      <c t="s">
        <v>31192</v>
      </c>
      <c r="AL329" t="s">
        <v>15127</v>
      </c>
      <c r="AN329" t="s">
        <v>48152</v>
      </c>
      <c t="s">
        <v>6866</v>
      </c>
      <c t="s">
        <v>34171</v>
      </c>
      <c t="s">
        <v>3093</v>
      </c>
      <c t="s">
        <v>20708</v>
      </c>
    </row>
    <row>
      <c t="s">
        <v>17594</v>
      </c>
      <c t="s">
        <v>54475</v>
      </c>
      <c t="s">
        <v>53518</v>
      </c>
      <c t="s">
        <v>29998</v>
      </c>
      <c t="s">
        <v>17800</v>
      </c>
      <c s="3">
        <v>45000</v>
      </c>
      <c s="3">
        <v>45000</v>
      </c>
      <c s="3">
        <v>19800</v>
      </c>
      <c>
        <v>0</v>
      </c>
      <c s="3">
        <v>0</v>
      </c>
      <c s="3">
        <v>1771.11</v>
      </c>
      <c s="3">
        <v>45000</v>
      </c>
      <c r="O330" s="1" t="str">
        <f ca="1">HYPERLINK("https://web.datatree.com/?/property?propertyId=32071767", "https://web.datatree.com/?/property?propertyId=32071767")</f>
        <v>https://web.datatree.com/?/property?propertyId=32071767</v>
      </c>
      <c r="Q330" t="s">
        <v>316</v>
      </c>
      <c>
        <v>0.237</v>
      </c>
      <c t="s">
        <v>22490</v>
      </c>
      <c t="s">
        <v>48615</v>
      </c>
      <c t="s">
        <v>10354</v>
      </c>
      <c r="X330" t="s">
        <v>25259</v>
      </c>
      <c t="s">
        <v>17022</v>
      </c>
      <c t="s">
        <v>2517</v>
      </c>
      <c t="s">
        <v>39289</v>
      </c>
      <c>
        <v>33909</v>
      </c>
      <c t="s">
        <v>220</v>
      </c>
      <c t="s">
        <v>48794</v>
      </c>
      <c t="s">
        <v>2656</v>
      </c>
      <c>
        <v>879</v>
      </c>
      <c r="AH330" t="s">
        <v>60953</v>
      </c>
      <c t="s">
        <v>467</v>
      </c>
      <c t="s">
        <v>24900</v>
      </c>
      <c r="AL330" t="s">
        <v>48405</v>
      </c>
      <c r="AN330" t="s">
        <v>50829</v>
      </c>
      <c t="s">
        <v>34172</v>
      </c>
      <c t="s">
        <v>52247</v>
      </c>
      <c t="s">
        <v>3093</v>
      </c>
      <c t="s">
        <v>62734</v>
      </c>
    </row>
    <row>
      <c t="s">
        <v>17594</v>
      </c>
      <c t="s">
        <v>49687</v>
      </c>
      <c t="s">
        <v>37822</v>
      </c>
      <c t="s">
        <v>52774</v>
      </c>
      <c t="s">
        <v>33858</v>
      </c>
      <c s="3">
        <v>31592</v>
      </c>
      <c s="3">
        <v>31592</v>
      </c>
      <c s="3">
        <v>11858</v>
      </c>
      <c>
        <v>0</v>
      </c>
      <c s="3">
        <v>0</v>
      </c>
      <c s="3">
        <v>2935.69</v>
      </c>
      <c s="3">
        <v>31592</v>
      </c>
      <c r="O331" s="1" t="str">
        <f ca="1">HYPERLINK("https://web.datatree.com/?/property?propertyId=32071844", "https://web.datatree.com/?/property?propertyId=32071844")</f>
        <v>https://web.datatree.com/?/property?propertyId=32071844</v>
      </c>
      <c r="Q331" t="s">
        <v>316</v>
      </c>
      <c>
        <v>0.23</v>
      </c>
      <c t="s">
        <v>22490</v>
      </c>
      <c t="s">
        <v>46605</v>
      </c>
      <c t="s">
        <v>57654</v>
      </c>
      <c r="X331" t="s">
        <v>56336</v>
      </c>
      <c t="s">
        <v>2626</v>
      </c>
      <c t="s">
        <v>2517</v>
      </c>
      <c t="s">
        <v>39289</v>
      </c>
      <c>
        <v>33909</v>
      </c>
      <c t="s">
        <v>28709</v>
      </c>
      <c t="s">
        <v>48794</v>
      </c>
      <c t="s">
        <v>30320</v>
      </c>
      <c>
        <v>140</v>
      </c>
      <c r="AI331" t="s">
        <v>22046</v>
      </c>
      <c t="s">
        <v>31192</v>
      </c>
      <c r="AL331" t="s">
        <v>36176</v>
      </c>
      <c r="AN331" t="s">
        <v>50917</v>
      </c>
      <c t="s">
        <v>43787</v>
      </c>
      <c t="s">
        <v>42082</v>
      </c>
      <c t="s">
        <v>3093</v>
      </c>
      <c t="s">
        <v>9903</v>
      </c>
    </row>
    <row>
      <c t="s">
        <v>17594</v>
      </c>
      <c t="s">
        <v>25352</v>
      </c>
      <c t="s">
        <v>30395</v>
      </c>
      <c t="s">
        <v>18970</v>
      </c>
      <c t="s">
        <v>65375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32" s="1" t="str">
        <f ca="1">HYPERLINK("https://web.datatree.com/?/property?propertyId=32072238", "https://web.datatree.com/?/property?propertyId=32072238")</f>
        <v>https://web.datatree.com/?/property?propertyId=32072238</v>
      </c>
      <c r="Q332" t="s">
        <v>316</v>
      </c>
      <c>
        <v>0.23</v>
      </c>
      <c t="s">
        <v>22490</v>
      </c>
      <c t="s">
        <v>52880</v>
      </c>
      <c t="s">
        <v>61618</v>
      </c>
      <c t="s">
        <v>4868</v>
      </c>
      <c t="s">
        <v>61618</v>
      </c>
      <c t="s">
        <v>10514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1809</v>
      </c>
      <c>
        <v>540</v>
      </c>
      <c r="AI332" t="s">
        <v>8558</v>
      </c>
      <c t="s">
        <v>45393</v>
      </c>
      <c r="AL332" t="s">
        <v>607</v>
      </c>
      <c r="AN332" t="s">
        <v>50829</v>
      </c>
      <c t="s">
        <v>0</v>
      </c>
      <c t="s">
        <v>65563</v>
      </c>
      <c t="s">
        <v>3093</v>
      </c>
      <c t="s">
        <v>65394</v>
      </c>
    </row>
    <row>
      <c t="s">
        <v>17594</v>
      </c>
      <c t="s">
        <v>10720</v>
      </c>
      <c t="s">
        <v>29483</v>
      </c>
      <c t="s">
        <v>56640</v>
      </c>
      <c t="s">
        <v>13307</v>
      </c>
      <c s="3">
        <v>22041</v>
      </c>
      <c s="3">
        <v>22041</v>
      </c>
      <c s="3">
        <v>9599</v>
      </c>
      <c>
        <v>0</v>
      </c>
      <c s="3">
        <v>0</v>
      </c>
      <c s="3">
        <v>711.16</v>
      </c>
      <c s="3">
        <v>22041</v>
      </c>
      <c r="O333" s="1" t="str">
        <f ca="1">HYPERLINK("https://web.datatree.com/?/property?propertyId=32072245", "https://web.datatree.com/?/property?propertyId=32072245")</f>
        <v>https://web.datatree.com/?/property?propertyId=32072245</v>
      </c>
      <c r="Q333" t="s">
        <v>316</v>
      </c>
      <c>
        <v>0.367</v>
      </c>
      <c t="s">
        <v>42044</v>
      </c>
      <c t="s">
        <v>58113</v>
      </c>
      <c t="s">
        <v>29845</v>
      </c>
      <c r="X333" t="s">
        <v>58948</v>
      </c>
      <c t="s">
        <v>66701</v>
      </c>
      <c t="s">
        <v>2517</v>
      </c>
      <c t="s">
        <v>39289</v>
      </c>
      <c>
        <v>33909</v>
      </c>
      <c t="s">
        <v>9170</v>
      </c>
      <c t="s">
        <v>48794</v>
      </c>
      <c t="s">
        <v>47562</v>
      </c>
      <c>
        <v>1212</v>
      </c>
      <c r="AI333" t="s">
        <v>493</v>
      </c>
      <c t="s">
        <v>55842</v>
      </c>
      <c r="AL333" t="s">
        <v>32381</v>
      </c>
      <c t="s">
        <v>32381</v>
      </c>
      <c t="s">
        <v>39289</v>
      </c>
      <c t="s">
        <v>23391</v>
      </c>
      <c t="s">
        <v>49977</v>
      </c>
      <c t="s">
        <v>3093</v>
      </c>
      <c t="s">
        <v>46612</v>
      </c>
    </row>
    <row>
      <c t="s">
        <v>17594</v>
      </c>
      <c t="s">
        <v>26496</v>
      </c>
      <c t="s">
        <v>41604</v>
      </c>
      <c t="s">
        <v>29203</v>
      </c>
      <c t="s">
        <v>9171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34" s="1" t="str">
        <f ca="1">HYPERLINK("https://web.datatree.com/?/property?propertyId=32072413", "https://web.datatree.com/?/property?propertyId=32072413")</f>
        <v>https://web.datatree.com/?/property?propertyId=32072413</v>
      </c>
      <c r="Q334" t="s">
        <v>316</v>
      </c>
      <c>
        <v>0.23</v>
      </c>
      <c t="s">
        <v>6175</v>
      </c>
      <c t="s">
        <v>947</v>
      </c>
      <c t="s">
        <v>25102</v>
      </c>
      <c t="s">
        <v>38997</v>
      </c>
      <c t="s">
        <v>25102</v>
      </c>
      <c t="s">
        <v>4532</v>
      </c>
      <c t="s">
        <v>60363</v>
      </c>
      <c t="s">
        <v>2517</v>
      </c>
      <c t="s">
        <v>39289</v>
      </c>
      <c>
        <v>33909</v>
      </c>
      <c t="s">
        <v>28541</v>
      </c>
      <c t="s">
        <v>48794</v>
      </c>
      <c t="s">
        <v>35823</v>
      </c>
      <c>
        <v>46</v>
      </c>
      <c r="AI334" t="s">
        <v>50164</v>
      </c>
      <c t="s">
        <v>41372</v>
      </c>
      <c r="AL334" t="s">
        <v>47292</v>
      </c>
      <c r="AN334" t="s">
        <v>50917</v>
      </c>
      <c t="s">
        <v>65850</v>
      </c>
      <c t="s">
        <v>17380</v>
      </c>
      <c t="s">
        <v>3093</v>
      </c>
      <c t="s">
        <v>25947</v>
      </c>
    </row>
    <row>
      <c t="s">
        <v>42103</v>
      </c>
      <c t="s">
        <v>10654</v>
      </c>
      <c t="s">
        <v>15708</v>
      </c>
      <c t="s">
        <v>19062</v>
      </c>
      <c t="s">
        <v>3242</v>
      </c>
      <c s="3">
        <v>38750</v>
      </c>
      <c s="3">
        <v>38750</v>
      </c>
      <c s="3">
        <v>17050</v>
      </c>
      <c>
        <v>0</v>
      </c>
      <c s="3">
        <v>0</v>
      </c>
      <c s="3">
        <v>764.36</v>
      </c>
      <c s="3">
        <v>38750</v>
      </c>
      <c r="O335" s="1" t="str">
        <f ca="1">HYPERLINK("https://web.datatree.com/?/property?propertyId=32072796", "https://web.datatree.com/?/property?propertyId=32072796")</f>
        <v>https://web.datatree.com/?/property?propertyId=32072796</v>
      </c>
      <c r="Q335" t="s">
        <v>316</v>
      </c>
      <c>
        <v>0.23</v>
      </c>
      <c t="s">
        <v>22490</v>
      </c>
      <c t="s">
        <v>50666</v>
      </c>
      <c t="s">
        <v>63115</v>
      </c>
      <c t="s">
        <v>63182</v>
      </c>
      <c t="s">
        <v>63115</v>
      </c>
      <c t="s">
        <v>56147</v>
      </c>
      <c t="s">
        <v>38550</v>
      </c>
      <c t="s">
        <v>2517</v>
      </c>
      <c t="s">
        <v>39289</v>
      </c>
      <c>
        <v>33909</v>
      </c>
      <c t="s">
        <v>4887</v>
      </c>
      <c t="s">
        <v>48794</v>
      </c>
      <c t="s">
        <v>46155</v>
      </c>
      <c r="AI335" t="s">
        <v>4463</v>
      </c>
      <c r="AL335" t="s">
        <v>47297</v>
      </c>
      <c r="AN335" t="s">
        <v>460</v>
      </c>
      <c>
        <v>5649</v>
      </c>
      <c t="s">
        <v>61509</v>
      </c>
      <c t="s">
        <v>3093</v>
      </c>
      <c t="s">
        <v>63433</v>
      </c>
    </row>
    <row>
      <c t="s">
        <v>17594</v>
      </c>
      <c t="s">
        <v>20663</v>
      </c>
      <c t="s">
        <v>37560</v>
      </c>
      <c t="s">
        <v>29193</v>
      </c>
      <c t="s">
        <v>22012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336" s="1" t="str">
        <f ca="1">HYPERLINK("https://web.datatree.com/?/property?propertyId=32072985", "https://web.datatree.com/?/property?propertyId=32072985")</f>
        <v>https://web.datatree.com/?/property?propertyId=32072985</v>
      </c>
      <c r="Q336" t="s">
        <v>316</v>
      </c>
      <c>
        <v>0.23</v>
      </c>
      <c t="s">
        <v>22490</v>
      </c>
      <c t="s">
        <v>49812</v>
      </c>
      <c t="s">
        <v>21780</v>
      </c>
      <c r="X336" t="s">
        <v>29855</v>
      </c>
      <c t="s">
        <v>49674</v>
      </c>
      <c t="s">
        <v>2517</v>
      </c>
      <c t="s">
        <v>39289</v>
      </c>
      <c>
        <v>33909</v>
      </c>
      <c t="s">
        <v>39350</v>
      </c>
      <c t="s">
        <v>48794</v>
      </c>
      <c t="s">
        <v>46499</v>
      </c>
      <c>
        <v>2004</v>
      </c>
      <c r="AI336" t="s">
        <v>61747</v>
      </c>
      <c t="s">
        <v>40123</v>
      </c>
      <c r="AL336" t="s">
        <v>45726</v>
      </c>
      <c r="AN336" t="s">
        <v>19878</v>
      </c>
      <c t="s">
        <v>6134</v>
      </c>
      <c t="s">
        <v>64128</v>
      </c>
      <c t="s">
        <v>3093</v>
      </c>
      <c t="s">
        <v>66045</v>
      </c>
    </row>
    <row>
      <c t="s">
        <v>17594</v>
      </c>
      <c t="s">
        <v>66035</v>
      </c>
      <c t="s">
        <v>11604</v>
      </c>
      <c t="s">
        <v>30723</v>
      </c>
      <c t="s">
        <v>66431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605.74</v>
      </c>
      <c s="1" t="str">
        <f ca="1">HYPERLINK("https://web.datatree.com/?/property?propertyId=32073365", "https://web.datatree.com/?/property?propertyId=32073365")</f>
        <v>https://web.datatree.com/?/property?propertyId=32073365</v>
      </c>
      <c r="Q337" t="s">
        <v>316</v>
      </c>
      <c>
        <v>0.234</v>
      </c>
      <c t="s">
        <v>22490</v>
      </c>
      <c t="s">
        <v>18746</v>
      </c>
      <c t="s">
        <v>40190</v>
      </c>
      <c r="X337" t="s">
        <v>25929</v>
      </c>
      <c t="s">
        <v>41506</v>
      </c>
      <c t="s">
        <v>2517</v>
      </c>
      <c t="s">
        <v>39289</v>
      </c>
      <c>
        <v>33909</v>
      </c>
      <c t="s">
        <v>45688</v>
      </c>
      <c t="s">
        <v>48794</v>
      </c>
      <c t="s">
        <v>39256</v>
      </c>
      <c>
        <v>5325</v>
      </c>
      <c r="AI337" t="s">
        <v>43229</v>
      </c>
      <c t="s">
        <v>41372</v>
      </c>
      <c r="AL337" t="s">
        <v>44172</v>
      </c>
      <c r="AN337" t="s">
        <v>10804</v>
      </c>
      <c t="s">
        <v>38477</v>
      </c>
      <c t="s">
        <v>58683</v>
      </c>
      <c t="s">
        <v>3093</v>
      </c>
      <c t="s">
        <v>39105</v>
      </c>
    </row>
    <row>
      <c t="s">
        <v>17594</v>
      </c>
      <c t="s">
        <v>41304</v>
      </c>
      <c t="s">
        <v>57435</v>
      </c>
      <c t="s">
        <v>8824</v>
      </c>
      <c t="s">
        <v>59768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>
        <v>2019</v>
      </c>
      <c>
        <v>4042.11</v>
      </c>
      <c s="1" t="str">
        <f ca="1">HYPERLINK("https://web.datatree.com/?/property?propertyId=32073870", "https://web.datatree.com/?/property?propertyId=32073870")</f>
        <v>https://web.datatree.com/?/property?propertyId=32073870</v>
      </c>
      <c r="Q338" t="s">
        <v>316</v>
      </c>
      <c>
        <v>0.244</v>
      </c>
      <c t="s">
        <v>6175</v>
      </c>
      <c t="s">
        <v>15171</v>
      </c>
      <c t="s">
        <v>34170</v>
      </c>
      <c r="X338" t="s">
        <v>65434</v>
      </c>
      <c t="s">
        <v>49674</v>
      </c>
      <c t="s">
        <v>2517</v>
      </c>
      <c t="s">
        <v>39289</v>
      </c>
      <c>
        <v>33909</v>
      </c>
      <c t="s">
        <v>24637</v>
      </c>
      <c t="s">
        <v>48794</v>
      </c>
      <c t="s">
        <v>44866</v>
      </c>
      <c>
        <v>4858</v>
      </c>
      <c r="AH338" t="s">
        <v>12549</v>
      </c>
      <c t="s">
        <v>64331</v>
      </c>
      <c t="s">
        <v>45393</v>
      </c>
      <c t="s">
        <v>65625</v>
      </c>
      <c t="s">
        <v>6449</v>
      </c>
      <c r="AN338" t="s">
        <v>51087</v>
      </c>
      <c t="s">
        <v>28618</v>
      </c>
      <c t="s">
        <v>32746</v>
      </c>
      <c t="s">
        <v>3093</v>
      </c>
      <c t="s">
        <v>1893</v>
      </c>
    </row>
    <row>
      <c t="s">
        <v>17594</v>
      </c>
      <c t="s">
        <v>45</v>
      </c>
      <c t="s">
        <v>10213</v>
      </c>
      <c t="s">
        <v>22630</v>
      </c>
      <c t="s">
        <v>55939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39" s="1" t="str">
        <f ca="1">HYPERLINK("https://web.datatree.com/?/property?propertyId=32073954", "https://web.datatree.com/?/property?propertyId=32073954")</f>
        <v>https://web.datatree.com/?/property?propertyId=32073954</v>
      </c>
      <c r="Q339" t="s">
        <v>316</v>
      </c>
      <c>
        <v>0.23</v>
      </c>
      <c t="s">
        <v>22490</v>
      </c>
      <c t="s">
        <v>50992</v>
      </c>
      <c t="s">
        <v>61519</v>
      </c>
      <c t="s">
        <v>43240</v>
      </c>
      <c t="s">
        <v>61519</v>
      </c>
      <c t="s">
        <v>55652</v>
      </c>
      <c t="s">
        <v>2626</v>
      </c>
      <c t="s">
        <v>2517</v>
      </c>
      <c t="s">
        <v>39289</v>
      </c>
      <c>
        <v>33909</v>
      </c>
      <c>
        <v>33909</v>
      </c>
      <c t="s">
        <v>48794</v>
      </c>
      <c t="s">
        <v>61136</v>
      </c>
      <c>
        <v>10113</v>
      </c>
      <c r="AI339" t="s">
        <v>22224</v>
      </c>
      <c t="s">
        <v>1671</v>
      </c>
      <c r="AL339" t="s">
        <v>57220</v>
      </c>
      <c t="s">
        <v>57220</v>
      </c>
      <c t="s">
        <v>9387</v>
      </c>
      <c t="s">
        <v>58984</v>
      </c>
      <c t="s">
        <v>63810</v>
      </c>
      <c t="s">
        <v>3093</v>
      </c>
      <c t="s">
        <v>7954</v>
      </c>
    </row>
    <row>
      <c t="s">
        <v>17594</v>
      </c>
      <c t="s">
        <v>27823</v>
      </c>
      <c t="s">
        <v>27110</v>
      </c>
      <c t="s">
        <v>28522</v>
      </c>
      <c t="s">
        <v>43533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340" s="1" t="str">
        <f ca="1">HYPERLINK("https://web.datatree.com/?/property?propertyId=32074278", "https://web.datatree.com/?/property?propertyId=32074278")</f>
        <v>https://web.datatree.com/?/property?propertyId=32074278</v>
      </c>
      <c r="Q340" t="s">
        <v>316</v>
      </c>
      <c>
        <v>0.23</v>
      </c>
      <c t="s">
        <v>22490</v>
      </c>
      <c r="U340" t="s">
        <v>50529</v>
      </c>
      <c r="W340" t="s">
        <v>62329</v>
      </c>
      <c t="s">
        <v>63684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43938</v>
      </c>
      <c>
        <v>71</v>
      </c>
      <c r="AI340" t="s">
        <v>48012</v>
      </c>
      <c t="s">
        <v>31192</v>
      </c>
      <c r="AL340" t="s">
        <v>57134</v>
      </c>
      <c r="AN340" t="s">
        <v>26016</v>
      </c>
      <c t="s">
        <v>60361</v>
      </c>
      <c t="s">
        <v>48506</v>
      </c>
      <c t="s">
        <v>3093</v>
      </c>
      <c t="s">
        <v>57750</v>
      </c>
    </row>
    <row>
      <c t="s">
        <v>17594</v>
      </c>
      <c t="s">
        <v>23314</v>
      </c>
      <c t="s">
        <v>49783</v>
      </c>
      <c t="s">
        <v>37570</v>
      </c>
      <c t="s">
        <v>16691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41" s="1" t="str">
        <f ca="1">HYPERLINK("https://web.datatree.com/?/property?propertyId=32074707", "https://web.datatree.com/?/property?propertyId=32074707")</f>
        <v>https://web.datatree.com/?/property?propertyId=32074707</v>
      </c>
      <c r="Q341" t="s">
        <v>316</v>
      </c>
      <c>
        <v>0.23</v>
      </c>
      <c t="s">
        <v>58725</v>
      </c>
      <c t="s">
        <v>24692</v>
      </c>
      <c t="s">
        <v>52144</v>
      </c>
      <c t="s">
        <v>26502</v>
      </c>
      <c t="s">
        <v>7704</v>
      </c>
      <c t="s">
        <v>15018</v>
      </c>
      <c t="s">
        <v>57064</v>
      </c>
      <c t="s">
        <v>2517</v>
      </c>
      <c t="s">
        <v>39289</v>
      </c>
      <c>
        <v>33909</v>
      </c>
      <c t="s">
        <v>57833</v>
      </c>
      <c t="s">
        <v>48794</v>
      </c>
      <c t="s">
        <v>41168</v>
      </c>
      <c>
        <v>4715</v>
      </c>
      <c r="AI341" t="s">
        <v>33872</v>
      </c>
      <c t="s">
        <v>705</v>
      </c>
      <c r="AL341" t="s">
        <v>42150</v>
      </c>
      <c r="AN341" t="s">
        <v>17134</v>
      </c>
      <c t="s">
        <v>7881</v>
      </c>
      <c t="s">
        <v>14695</v>
      </c>
      <c t="s">
        <v>3093</v>
      </c>
      <c t="s">
        <v>33424</v>
      </c>
    </row>
    <row>
      <c t="s">
        <v>17594</v>
      </c>
      <c t="s">
        <v>65592</v>
      </c>
      <c s="7" t="s">
        <v>53062</v>
      </c>
      <c t="s">
        <v>14570</v>
      </c>
      <c t="s">
        <v>59877</v>
      </c>
      <c s="3">
        <v>36604</v>
      </c>
      <c s="3">
        <v>36604</v>
      </c>
      <c s="3">
        <v>25466</v>
      </c>
      <c>
        <v>0</v>
      </c>
      <c s="3">
        <v>0</v>
      </c>
      <c s="3">
        <v>990.84</v>
      </c>
      <c s="3">
        <v>36604</v>
      </c>
      <c r="O342" s="1" t="str">
        <f ca="1">HYPERLINK("https://web.datatree.com/?/property?propertyId=32074731", "https://web.datatree.com/?/property?propertyId=32074731")</f>
        <v>https://web.datatree.com/?/property?propertyId=32074731</v>
      </c>
      <c r="Q342" t="s">
        <v>316</v>
      </c>
      <c>
        <v>0.344</v>
      </c>
      <c t="s">
        <v>65422</v>
      </c>
      <c t="s">
        <v>29195</v>
      </c>
      <c t="s">
        <v>8244</v>
      </c>
      <c t="s">
        <v>25035</v>
      </c>
      <c t="s">
        <v>8244</v>
      </c>
      <c t="s">
        <v>37632</v>
      </c>
      <c t="s">
        <v>39082</v>
      </c>
      <c t="s">
        <v>2517</v>
      </c>
      <c t="s">
        <v>39289</v>
      </c>
      <c>
        <v>33904</v>
      </c>
      <c t="s">
        <v>64259</v>
      </c>
      <c t="s">
        <v>48794</v>
      </c>
      <c t="s">
        <v>17457</v>
      </c>
      <c>
        <v>3</v>
      </c>
      <c r="AI342" t="s">
        <v>38815</v>
      </c>
      <c t="s">
        <v>31192</v>
      </c>
      <c r="AL342" t="s">
        <v>28240</v>
      </c>
      <c r="AN342" t="s">
        <v>27747</v>
      </c>
      <c t="s">
        <v>55179</v>
      </c>
      <c t="s">
        <v>25140</v>
      </c>
      <c t="s">
        <v>3093</v>
      </c>
      <c s="7" t="s">
        <v>63371</v>
      </c>
    </row>
    <row>
      <c t="s">
        <v>17594</v>
      </c>
      <c t="s">
        <v>23525</v>
      </c>
      <c t="s">
        <v>23806</v>
      </c>
      <c t="s">
        <v>63389</v>
      </c>
      <c t="s">
        <v>9767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43" s="1" t="str">
        <f ca="1">HYPERLINK("https://web.datatree.com/?/property?propertyId=32075560", "https://web.datatree.com/?/property?propertyId=32075560")</f>
        <v>https://web.datatree.com/?/property?propertyId=32075560</v>
      </c>
      <c r="Q343" t="s">
        <v>316</v>
      </c>
      <c>
        <v>0.23</v>
      </c>
      <c t="s">
        <v>22490</v>
      </c>
      <c t="s">
        <v>552</v>
      </c>
      <c t="s">
        <v>31111</v>
      </c>
      <c r="X343" t="s">
        <v>56006</v>
      </c>
      <c t="s">
        <v>30928</v>
      </c>
      <c t="s">
        <v>2517</v>
      </c>
      <c t="s">
        <v>39289</v>
      </c>
      <c>
        <v>33909</v>
      </c>
      <c t="s">
        <v>58845</v>
      </c>
      <c t="s">
        <v>48794</v>
      </c>
      <c t="s">
        <v>22937</v>
      </c>
      <c>
        <v>20</v>
      </c>
      <c r="AI343" t="s">
        <v>48890</v>
      </c>
      <c r="AL343" t="s">
        <v>1193</v>
      </c>
      <c r="AN343" t="s">
        <v>63985</v>
      </c>
      <c>
        <v>53797</v>
      </c>
      <c r="AR343" t="s">
        <v>35862</v>
      </c>
    </row>
    <row>
      <c t="s">
        <v>17594</v>
      </c>
      <c t="s">
        <v>40605</v>
      </c>
      <c t="s">
        <v>32605</v>
      </c>
      <c t="s">
        <v>48230</v>
      </c>
      <c t="s">
        <v>8087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344" s="1" t="str">
        <f ca="1">HYPERLINK("https://web.datatree.com/?/property?propertyId=32075565", "https://web.datatree.com/?/property?propertyId=32075565")</f>
        <v>https://web.datatree.com/?/property?propertyId=32075565</v>
      </c>
      <c r="Q344" t="s">
        <v>316</v>
      </c>
      <c>
        <v>0.276</v>
      </c>
      <c t="s">
        <v>5471</v>
      </c>
      <c r="U344" t="s">
        <v>42894</v>
      </c>
      <c r="X344" t="s">
        <v>9392</v>
      </c>
      <c t="s">
        <v>10854</v>
      </c>
      <c t="s">
        <v>65059</v>
      </c>
      <c t="s">
        <v>39289</v>
      </c>
      <c>
        <v>33905</v>
      </c>
      <c t="s">
        <v>423</v>
      </c>
      <c t="s">
        <v>48794</v>
      </c>
      <c t="s">
        <v>38935</v>
      </c>
      <c>
        <v>38701</v>
      </c>
      <c r="AI344" t="s">
        <v>18230</v>
      </c>
      <c t="s">
        <v>45620</v>
      </c>
      <c>
        <v>195</v>
      </c>
      <c t="s">
        <v>31249</v>
      </c>
      <c r="AN344" t="s">
        <v>51137</v>
      </c>
      <c t="s">
        <v>65154</v>
      </c>
      <c t="s">
        <v>6081</v>
      </c>
      <c t="s">
        <v>3093</v>
      </c>
      <c t="s">
        <v>20706</v>
      </c>
    </row>
    <row>
      <c t="s">
        <v>17594</v>
      </c>
      <c t="s">
        <v>13757</v>
      </c>
      <c t="s">
        <v>53272</v>
      </c>
      <c t="s">
        <v>39455</v>
      </c>
      <c t="s">
        <v>40509</v>
      </c>
      <c s="3">
        <v>24856</v>
      </c>
      <c s="3">
        <v>24856</v>
      </c>
      <c s="3">
        <v>10049</v>
      </c>
      <c>
        <v>0</v>
      </c>
      <c s="3">
        <v>0</v>
      </c>
      <c s="3">
        <v>709.86</v>
      </c>
      <c s="3">
        <v>24856</v>
      </c>
      <c r="O345" s="1" t="str">
        <f ca="1">HYPERLINK("https://web.datatree.com/?/property?propertyId=32075702", "https://web.datatree.com/?/property?propertyId=32075702")</f>
        <v>https://web.datatree.com/?/property?propertyId=32075702</v>
      </c>
      <c r="Q345" t="s">
        <v>316</v>
      </c>
      <c>
        <v>0.344</v>
      </c>
      <c t="s">
        <v>45031</v>
      </c>
      <c t="s">
        <v>58113</v>
      </c>
      <c t="s">
        <v>44529</v>
      </c>
      <c t="s">
        <v>53622</v>
      </c>
      <c t="s">
        <v>44529</v>
      </c>
      <c t="s">
        <v>61313</v>
      </c>
      <c t="s">
        <v>30928</v>
      </c>
      <c t="s">
        <v>2517</v>
      </c>
      <c t="s">
        <v>39289</v>
      </c>
      <c>
        <v>33909</v>
      </c>
      <c t="s">
        <v>38928</v>
      </c>
      <c t="s">
        <v>48794</v>
      </c>
      <c t="s">
        <v>58961</v>
      </c>
      <c>
        <v>16333</v>
      </c>
      <c r="AI345" t="s">
        <v>37478</v>
      </c>
      <c t="s">
        <v>45393</v>
      </c>
      <c r="AL345" t="s">
        <v>3906</v>
      </c>
      <c t="s">
        <v>3906</v>
      </c>
      <c t="s">
        <v>50829</v>
      </c>
      <c t="s">
        <v>46678</v>
      </c>
      <c t="s">
        <v>22455</v>
      </c>
      <c t="s">
        <v>3093</v>
      </c>
      <c t="s">
        <v>56058</v>
      </c>
    </row>
    <row>
      <c t="s">
        <v>42103</v>
      </c>
      <c t="s">
        <v>41612</v>
      </c>
      <c t="s">
        <v>60593</v>
      </c>
      <c t="s">
        <v>55518</v>
      </c>
      <c t="s">
        <v>60675</v>
      </c>
      <c s="3">
        <v>28407</v>
      </c>
      <c s="3">
        <v>28407</v>
      </c>
      <c s="3">
        <v>11484</v>
      </c>
      <c>
        <v>0</v>
      </c>
      <c s="3">
        <v>0</v>
      </c>
      <c s="3">
        <v>744.28</v>
      </c>
      <c s="3">
        <v>28407</v>
      </c>
      <c r="O346" s="1" t="str">
        <f ca="1">HYPERLINK("https://web.datatree.com/?/property?propertyId=32075831", "https://web.datatree.com/?/property?propertyId=32075831")</f>
        <v>https://web.datatree.com/?/property?propertyId=32075831</v>
      </c>
      <c r="Q346" t="s">
        <v>316</v>
      </c>
      <c>
        <v>0.344</v>
      </c>
      <c t="s">
        <v>22490</v>
      </c>
      <c t="s">
        <v>57107</v>
      </c>
      <c t="s">
        <v>20881</v>
      </c>
      <c t="s">
        <v>30846</v>
      </c>
      <c t="s">
        <v>49567</v>
      </c>
      <c t="s">
        <v>38501</v>
      </c>
      <c t="s">
        <v>53663</v>
      </c>
      <c t="s">
        <v>2517</v>
      </c>
      <c t="s">
        <v>39289</v>
      </c>
      <c>
        <v>33909</v>
      </c>
      <c t="s">
        <v>24575</v>
      </c>
      <c t="s">
        <v>48794</v>
      </c>
      <c t="s">
        <v>57128</v>
      </c>
      <c r="AI346" t="s">
        <v>20021</v>
      </c>
      <c r="AL346" t="s">
        <v>14120</v>
      </c>
      <c r="AN346" t="s">
        <v>9533</v>
      </c>
      <c t="s">
        <v>37601</v>
      </c>
      <c t="s">
        <v>52202</v>
      </c>
      <c t="s">
        <v>3093</v>
      </c>
      <c t="s">
        <v>46870</v>
      </c>
    </row>
    <row>
      <c t="s">
        <v>17594</v>
      </c>
      <c t="s">
        <v>56019</v>
      </c>
      <c t="s">
        <v>43476</v>
      </c>
      <c t="s">
        <v>59637</v>
      </c>
      <c t="s">
        <v>64714</v>
      </c>
      <c s="3">
        <v>7936</v>
      </c>
      <c s="3">
        <v>7936</v>
      </c>
      <c s="3">
        <v>4972</v>
      </c>
      <c>
        <v>0</v>
      </c>
      <c s="3">
        <v>0</v>
      </c>
      <c s="3">
        <v>317.96</v>
      </c>
      <c s="3">
        <v>7936</v>
      </c>
      <c r="O347" s="1" t="str">
        <f ca="1">HYPERLINK("https://web.datatree.com/?/property?propertyId=32076028", "https://web.datatree.com/?/property?propertyId=32076028")</f>
        <v>https://web.datatree.com/?/property?propertyId=32076028</v>
      </c>
      <c r="Q347" t="s">
        <v>316</v>
      </c>
      <c>
        <v>0.245</v>
      </c>
      <c t="s">
        <v>5471</v>
      </c>
      <c t="s">
        <v>44541</v>
      </c>
      <c t="s">
        <v>65119</v>
      </c>
      <c r="X347" t="s">
        <v>34002</v>
      </c>
      <c t="s">
        <v>20650</v>
      </c>
      <c t="s">
        <v>65059</v>
      </c>
      <c t="s">
        <v>39289</v>
      </c>
      <c>
        <v>33905</v>
      </c>
      <c t="s">
        <v>16834</v>
      </c>
      <c t="s">
        <v>48794</v>
      </c>
      <c t="s">
        <v>48372</v>
      </c>
      <c>
        <v>2915</v>
      </c>
      <c r="AI347" t="s">
        <v>62652</v>
      </c>
      <c t="s">
        <v>45620</v>
      </c>
      <c r="AL347" t="s">
        <v>9025</v>
      </c>
      <c r="AN347" t="s">
        <v>50917</v>
      </c>
      <c t="s">
        <v>2615</v>
      </c>
      <c t="s">
        <v>61719</v>
      </c>
      <c t="s">
        <v>3093</v>
      </c>
      <c t="s">
        <v>41388</v>
      </c>
    </row>
    <row>
      <c t="s">
        <v>17594</v>
      </c>
      <c t="s">
        <v>32091</v>
      </c>
      <c t="s">
        <v>25602</v>
      </c>
      <c t="s">
        <v>54979</v>
      </c>
      <c t="s">
        <v>30860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48" s="1" t="str">
        <f ca="1">HYPERLINK("https://web.datatree.com/?/property?propertyId=32076136", "https://web.datatree.com/?/property?propertyId=32076136")</f>
        <v>https://web.datatree.com/?/property?propertyId=32076136</v>
      </c>
      <c r="Q348" t="s">
        <v>316</v>
      </c>
      <c>
        <v>0.231</v>
      </c>
      <c t="s">
        <v>6175</v>
      </c>
      <c t="s">
        <v>44157</v>
      </c>
      <c t="s">
        <v>51653</v>
      </c>
      <c r="X348" t="s">
        <v>33799</v>
      </c>
      <c t="s">
        <v>55273</v>
      </c>
      <c t="s">
        <v>2517</v>
      </c>
      <c t="s">
        <v>39289</v>
      </c>
      <c>
        <v>33909</v>
      </c>
      <c t="s">
        <v>15750</v>
      </c>
      <c t="s">
        <v>48794</v>
      </c>
      <c t="s">
        <v>47354</v>
      </c>
      <c>
        <v>5134</v>
      </c>
      <c r="AI348" t="s">
        <v>39832</v>
      </c>
      <c t="s">
        <v>24900</v>
      </c>
      <c t="s">
        <v>35356</v>
      </c>
      <c t="s">
        <v>38842</v>
      </c>
      <c r="AN348" t="s">
        <v>50917</v>
      </c>
      <c t="s">
        <v>12614</v>
      </c>
      <c t="s">
        <v>34162</v>
      </c>
      <c t="s">
        <v>3093</v>
      </c>
      <c t="s">
        <v>49394</v>
      </c>
    </row>
    <row>
      <c t="s">
        <v>17594</v>
      </c>
      <c t="s">
        <v>13302</v>
      </c>
      <c t="s">
        <v>10771</v>
      </c>
      <c t="s">
        <v>33375</v>
      </c>
      <c t="s">
        <v>12666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49" s="1" t="str">
        <f ca="1">HYPERLINK("https://web.datatree.com/?/property?propertyId=32076247", "https://web.datatree.com/?/property?propertyId=32076247")</f>
        <v>https://web.datatree.com/?/property?propertyId=32076247</v>
      </c>
      <c r="Q349" t="s">
        <v>316</v>
      </c>
      <c>
        <v>0.245</v>
      </c>
      <c t="s">
        <v>5471</v>
      </c>
      <c t="s">
        <v>49241</v>
      </c>
      <c t="s">
        <v>18851</v>
      </c>
      <c r="X349" t="s">
        <v>13256</v>
      </c>
      <c t="s">
        <v>20199</v>
      </c>
      <c t="s">
        <v>65059</v>
      </c>
      <c t="s">
        <v>39289</v>
      </c>
      <c>
        <v>33905</v>
      </c>
      <c t="s">
        <v>37524</v>
      </c>
      <c t="s">
        <v>48794</v>
      </c>
      <c t="s">
        <v>11650</v>
      </c>
      <c>
        <v>1631</v>
      </c>
      <c r="AI349" t="s">
        <v>44490</v>
      </c>
      <c t="s">
        <v>55910</v>
      </c>
      <c r="AL349" t="s">
        <v>6799</v>
      </c>
      <c t="s">
        <v>55820</v>
      </c>
      <c t="s">
        <v>17134</v>
      </c>
      <c t="s">
        <v>24361</v>
      </c>
      <c t="s">
        <v>22455</v>
      </c>
      <c t="s">
        <v>3093</v>
      </c>
      <c t="s">
        <v>21929</v>
      </c>
    </row>
    <row>
      <c t="s">
        <v>17594</v>
      </c>
      <c t="s">
        <v>49836</v>
      </c>
      <c t="s">
        <v>894</v>
      </c>
      <c t="s">
        <v>18617</v>
      </c>
      <c t="s">
        <v>32582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537.87</v>
      </c>
      <c s="1" t="str">
        <f ca="1">HYPERLINK("https://web.datatree.com/?/property?propertyId=32076455", "https://web.datatree.com/?/property?propertyId=32076455")</f>
        <v>https://web.datatree.com/?/property?propertyId=32076455</v>
      </c>
      <c r="Q350" t="s">
        <v>316</v>
      </c>
      <c>
        <v>0.23</v>
      </c>
      <c t="s">
        <v>6175</v>
      </c>
      <c r="U350" t="s">
        <v>44751</v>
      </c>
      <c r="W350" t="s">
        <v>21581</v>
      </c>
      <c t="s">
        <v>20383</v>
      </c>
      <c t="s">
        <v>66701</v>
      </c>
      <c t="s">
        <v>2517</v>
      </c>
      <c t="s">
        <v>39289</v>
      </c>
      <c>
        <v>33909</v>
      </c>
      <c t="s">
        <v>48136</v>
      </c>
      <c t="s">
        <v>48794</v>
      </c>
      <c t="s">
        <v>2822</v>
      </c>
      <c>
        <v>7520</v>
      </c>
      <c r="AI350" t="s">
        <v>43521</v>
      </c>
      <c t="s">
        <v>45620</v>
      </c>
      <c r="AL350" t="s">
        <v>15179</v>
      </c>
      <c r="AN350" t="s">
        <v>39289</v>
      </c>
      <c t="s">
        <v>1882</v>
      </c>
      <c t="s">
        <v>50779</v>
      </c>
      <c t="s">
        <v>3093</v>
      </c>
      <c t="s">
        <v>25525</v>
      </c>
    </row>
    <row>
      <c t="s">
        <v>17594</v>
      </c>
      <c t="s">
        <v>39615</v>
      </c>
      <c t="s">
        <v>29907</v>
      </c>
      <c t="s">
        <v>44784</v>
      </c>
      <c t="s">
        <v>16959</v>
      </c>
      <c s="3">
        <v>21918</v>
      </c>
      <c s="3">
        <v>21918</v>
      </c>
      <c s="3">
        <v>10780</v>
      </c>
      <c>
        <v>0</v>
      </c>
      <c s="3">
        <v>0</v>
      </c>
      <c s="3">
        <v>605.28</v>
      </c>
      <c s="3">
        <v>21918</v>
      </c>
      <c r="O351" s="1" t="str">
        <f ca="1">HYPERLINK("https://web.datatree.com/?/property?propertyId=32077066", "https://web.datatree.com/?/property?propertyId=32077066")</f>
        <v>https://web.datatree.com/?/property?propertyId=32077066</v>
      </c>
      <c r="Q351" t="s">
        <v>316</v>
      </c>
      <c>
        <v>0.344</v>
      </c>
      <c t="s">
        <v>6175</v>
      </c>
      <c t="s">
        <v>6375</v>
      </c>
      <c t="s">
        <v>52299</v>
      </c>
      <c t="s">
        <v>91</v>
      </c>
      <c t="s">
        <v>52299</v>
      </c>
      <c t="s">
        <v>61653</v>
      </c>
      <c t="s">
        <v>15510</v>
      </c>
      <c t="s">
        <v>2517</v>
      </c>
      <c t="s">
        <v>39289</v>
      </c>
      <c>
        <v>33909</v>
      </c>
      <c t="s">
        <v>3770</v>
      </c>
      <c t="s">
        <v>48794</v>
      </c>
      <c t="s">
        <v>23255</v>
      </c>
      <c>
        <v>10310</v>
      </c>
      <c r="AI351" t="s">
        <v>53125</v>
      </c>
      <c t="s">
        <v>45393</v>
      </c>
      <c r="AL351" t="s">
        <v>5312</v>
      </c>
      <c t="s">
        <v>13397</v>
      </c>
      <c t="s">
        <v>50917</v>
      </c>
      <c t="s">
        <v>37134</v>
      </c>
      <c t="s">
        <v>53660</v>
      </c>
      <c t="s">
        <v>3093</v>
      </c>
      <c t="s">
        <v>19858</v>
      </c>
    </row>
    <row>
      <c t="s">
        <v>42103</v>
      </c>
      <c t="s">
        <v>36155</v>
      </c>
      <c t="s">
        <v>50975</v>
      </c>
      <c t="s">
        <v>18250</v>
      </c>
      <c t="s">
        <v>13971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352" s="1" t="str">
        <f ca="1">HYPERLINK("https://web.datatree.com/?/property?propertyId=32077981", "https://web.datatree.com/?/property?propertyId=32077981")</f>
        <v>https://web.datatree.com/?/property?propertyId=32077981</v>
      </c>
      <c r="Q352" t="s">
        <v>316</v>
      </c>
      <c>
        <v>0.23</v>
      </c>
      <c t="s">
        <v>6175</v>
      </c>
      <c t="s">
        <v>44541</v>
      </c>
      <c t="s">
        <v>43598</v>
      </c>
      <c r="X352" t="s">
        <v>51768</v>
      </c>
      <c t="s">
        <v>49122</v>
      </c>
      <c t="s">
        <v>2517</v>
      </c>
      <c t="s">
        <v>39289</v>
      </c>
      <c>
        <v>33909</v>
      </c>
      <c t="s">
        <v>53067</v>
      </c>
      <c t="s">
        <v>48794</v>
      </c>
      <c t="s">
        <v>6630</v>
      </c>
      <c r="AI352" t="s">
        <v>23200</v>
      </c>
      <c r="AL352" t="s">
        <v>11811</v>
      </c>
      <c r="AN352" t="s">
        <v>18594</v>
      </c>
      <c>
        <v>58374</v>
      </c>
      <c t="s">
        <v>61509</v>
      </c>
      <c t="s">
        <v>3093</v>
      </c>
      <c t="s">
        <v>40472</v>
      </c>
    </row>
    <row>
      <c t="s">
        <v>17594</v>
      </c>
      <c t="s">
        <v>37353</v>
      </c>
      <c t="s">
        <v>39439</v>
      </c>
      <c t="s">
        <v>35084</v>
      </c>
      <c t="s">
        <v>52922</v>
      </c>
      <c s="3">
        <v>8100</v>
      </c>
      <c s="3">
        <v>8100</v>
      </c>
      <c s="3">
        <v>8100</v>
      </c>
      <c>
        <v>0</v>
      </c>
      <c s="3">
        <v>0</v>
      </c>
      <c s="3">
        <v>587.86</v>
      </c>
      <c s="3">
        <v>8100</v>
      </c>
      <c r="O353" s="1" t="str">
        <f ca="1">HYPERLINK("https://web.datatree.com/?/property?propertyId=32077997", "https://web.datatree.com/?/property?propertyId=32077997")</f>
        <v>https://web.datatree.com/?/property?propertyId=32077997</v>
      </c>
      <c r="Q353" t="s">
        <v>316</v>
      </c>
      <c>
        <v>0.259</v>
      </c>
      <c t="s">
        <v>6175</v>
      </c>
      <c t="s">
        <v>54692</v>
      </c>
      <c t="s">
        <v>5762</v>
      </c>
      <c t="s">
        <v>54692</v>
      </c>
      <c t="s">
        <v>5762</v>
      </c>
      <c t="s">
        <v>13053</v>
      </c>
      <c t="s">
        <v>23517</v>
      </c>
      <c t="s">
        <v>2517</v>
      </c>
      <c t="s">
        <v>39289</v>
      </c>
      <c>
        <v>33909</v>
      </c>
      <c t="s">
        <v>6822</v>
      </c>
      <c t="s">
        <v>48794</v>
      </c>
      <c t="s">
        <v>37428</v>
      </c>
      <c>
        <v>4351</v>
      </c>
      <c r="AI353" t="s">
        <v>60104</v>
      </c>
      <c t="s">
        <v>24900</v>
      </c>
      <c r="AL353" t="s">
        <v>51776</v>
      </c>
      <c r="AN353" t="s">
        <v>39289</v>
      </c>
      <c t="s">
        <v>14364</v>
      </c>
      <c t="s">
        <v>54916</v>
      </c>
      <c t="s">
        <v>3093</v>
      </c>
      <c t="s">
        <v>13149</v>
      </c>
    </row>
    <row>
      <c t="s">
        <v>17594</v>
      </c>
      <c t="s">
        <v>9645</v>
      </c>
      <c t="s">
        <v>41171</v>
      </c>
      <c t="s">
        <v>43456</v>
      </c>
      <c t="s">
        <v>21488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354" s="1" t="str">
        <f ca="1">HYPERLINK("https://web.datatree.com/?/property?propertyId=32078010", "https://web.datatree.com/?/property?propertyId=32078010")</f>
        <v>https://web.datatree.com/?/property?propertyId=32078010</v>
      </c>
      <c r="Q354" t="s">
        <v>316</v>
      </c>
      <c>
        <v>0.23</v>
      </c>
      <c t="s">
        <v>6175</v>
      </c>
      <c t="s">
        <v>34704</v>
      </c>
      <c t="s">
        <v>47267</v>
      </c>
      <c r="X354" t="s">
        <v>43701</v>
      </c>
      <c t="s">
        <v>58797</v>
      </c>
      <c t="s">
        <v>2517</v>
      </c>
      <c t="s">
        <v>39289</v>
      </c>
      <c>
        <v>33909</v>
      </c>
      <c t="s">
        <v>29221</v>
      </c>
      <c t="s">
        <v>48794</v>
      </c>
      <c t="s">
        <v>14541</v>
      </c>
      <c>
        <v>400</v>
      </c>
      <c r="AI354" t="s">
        <v>46091</v>
      </c>
      <c t="s">
        <v>45620</v>
      </c>
      <c r="AL354" t="s">
        <v>35285</v>
      </c>
      <c r="AN354" t="s">
        <v>14509</v>
      </c>
      <c t="s">
        <v>7961</v>
      </c>
      <c t="s">
        <v>23744</v>
      </c>
      <c t="s">
        <v>3093</v>
      </c>
      <c t="s">
        <v>1018</v>
      </c>
    </row>
    <row>
      <c t="s">
        <v>17594</v>
      </c>
      <c t="s">
        <v>12927</v>
      </c>
      <c s="4" t="s">
        <v>65660</v>
      </c>
      <c t="s">
        <v>21768</v>
      </c>
      <c t="s">
        <v>40627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55" s="1" t="str">
        <f ca="1">HYPERLINK("https://web.datatree.com/?/property?propertyId=32078285", "https://web.datatree.com/?/property?propertyId=32078285")</f>
        <v>https://web.datatree.com/?/property?propertyId=32078285</v>
      </c>
      <c r="Q355" t="s">
        <v>316</v>
      </c>
      <c>
        <v>0.229</v>
      </c>
      <c t="s">
        <v>42044</v>
      </c>
      <c t="s">
        <v>16558</v>
      </c>
      <c t="s">
        <v>12385</v>
      </c>
      <c r="X355" t="s">
        <v>7076</v>
      </c>
      <c t="s">
        <v>61865</v>
      </c>
      <c t="s">
        <v>2517</v>
      </c>
      <c t="s">
        <v>39289</v>
      </c>
      <c>
        <v>33909</v>
      </c>
      <c t="s">
        <v>64773</v>
      </c>
      <c t="s">
        <v>48794</v>
      </c>
      <c t="s">
        <v>62796</v>
      </c>
      <c>
        <v>6</v>
      </c>
      <c r="AI355" t="s">
        <v>5995</v>
      </c>
      <c t="s">
        <v>1671</v>
      </c>
      <c r="AL355" t="s">
        <v>12562</v>
      </c>
      <c r="AN355" t="s">
        <v>27747</v>
      </c>
      <c t="s">
        <v>45150</v>
      </c>
      <c t="s">
        <v>26242</v>
      </c>
      <c t="s">
        <v>3093</v>
      </c>
      <c s="4" t="s">
        <v>52332</v>
      </c>
    </row>
    <row>
      <c t="s">
        <v>17594</v>
      </c>
      <c t="s">
        <v>18984</v>
      </c>
      <c t="s">
        <v>47403</v>
      </c>
      <c t="s">
        <v>1784</v>
      </c>
      <c t="s">
        <v>29759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356" s="1" t="str">
        <f ca="1">HYPERLINK("https://web.datatree.com/?/property?propertyId=32078548", "https://web.datatree.com/?/property?propertyId=32078548")</f>
        <v>https://web.datatree.com/?/property?propertyId=32078548</v>
      </c>
      <c r="Q356" t="s">
        <v>316</v>
      </c>
      <c>
        <v>0.255</v>
      </c>
      <c t="s">
        <v>6175</v>
      </c>
      <c t="s">
        <v>54943</v>
      </c>
      <c t="s">
        <v>7572</v>
      </c>
      <c t="s">
        <v>42395</v>
      </c>
      <c t="s">
        <v>7572</v>
      </c>
      <c t="s">
        <v>28527</v>
      </c>
      <c t="s">
        <v>58797</v>
      </c>
      <c t="s">
        <v>2517</v>
      </c>
      <c t="s">
        <v>39289</v>
      </c>
      <c>
        <v>33909</v>
      </c>
      <c t="s">
        <v>227</v>
      </c>
      <c t="s">
        <v>48794</v>
      </c>
      <c t="s">
        <v>13534</v>
      </c>
      <c>
        <v>1319</v>
      </c>
      <c r="AI356" t="s">
        <v>62164</v>
      </c>
      <c t="s">
        <v>45620</v>
      </c>
      <c r="AL356" t="s">
        <v>6640</v>
      </c>
      <c t="s">
        <v>6640</v>
      </c>
      <c t="s">
        <v>26016</v>
      </c>
      <c t="s">
        <v>7716</v>
      </c>
      <c t="s">
        <v>38014</v>
      </c>
      <c t="s">
        <v>3093</v>
      </c>
      <c t="s">
        <v>49852</v>
      </c>
    </row>
    <row>
      <c t="s">
        <v>17594</v>
      </c>
      <c t="s">
        <v>32220</v>
      </c>
      <c t="s">
        <v>25671</v>
      </c>
      <c t="s">
        <v>67180</v>
      </c>
      <c t="s">
        <v>32497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57" s="1" t="str">
        <f ca="1">HYPERLINK("https://web.datatree.com/?/property?propertyId=32078568", "https://web.datatree.com/?/property?propertyId=32078568")</f>
        <v>https://web.datatree.com/?/property?propertyId=32078568</v>
      </c>
      <c r="Q357" t="s">
        <v>316</v>
      </c>
      <c>
        <v>0.23</v>
      </c>
      <c t="s">
        <v>6175</v>
      </c>
      <c r="U357" t="s">
        <v>41446</v>
      </c>
      <c r="W357" t="s">
        <v>30905</v>
      </c>
      <c t="s">
        <v>19463</v>
      </c>
      <c t="s">
        <v>41506</v>
      </c>
      <c t="s">
        <v>2517</v>
      </c>
      <c t="s">
        <v>39289</v>
      </c>
      <c>
        <v>33909</v>
      </c>
      <c t="s">
        <v>27393</v>
      </c>
      <c t="s">
        <v>48794</v>
      </c>
      <c t="s">
        <v>8060</v>
      </c>
      <c>
        <v>9705</v>
      </c>
      <c r="AI357" t="s">
        <v>29237</v>
      </c>
      <c t="s">
        <v>24900</v>
      </c>
      <c r="AL357" t="s">
        <v>43181</v>
      </c>
      <c r="AN357" t="s">
        <v>54650</v>
      </c>
      <c t="s">
        <v>5795</v>
      </c>
      <c t="s">
        <v>35354</v>
      </c>
      <c t="s">
        <v>3093</v>
      </c>
      <c t="s">
        <v>17367</v>
      </c>
    </row>
    <row>
      <c t="s">
        <v>17594</v>
      </c>
      <c t="s">
        <v>59817</v>
      </c>
      <c t="s">
        <v>2167</v>
      </c>
      <c t="s">
        <v>20290</v>
      </c>
      <c t="s">
        <v>21125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58" s="1" t="str">
        <f ca="1">HYPERLINK("https://web.datatree.com/?/property?propertyId=32079170", "https://web.datatree.com/?/property?propertyId=32079170")</f>
        <v>https://web.datatree.com/?/property?propertyId=32079170</v>
      </c>
      <c r="Q358" t="s">
        <v>316</v>
      </c>
      <c>
        <v>0.235</v>
      </c>
      <c t="s">
        <v>5471</v>
      </c>
      <c t="s">
        <v>21670</v>
      </c>
      <c t="s">
        <v>36096</v>
      </c>
      <c t="s">
        <v>34140</v>
      </c>
      <c t="s">
        <v>36096</v>
      </c>
      <c t="s">
        <v>5974</v>
      </c>
      <c t="s">
        <v>61415</v>
      </c>
      <c t="s">
        <v>65059</v>
      </c>
      <c t="s">
        <v>39289</v>
      </c>
      <c>
        <v>33905</v>
      </c>
      <c t="s">
        <v>52937</v>
      </c>
      <c t="s">
        <v>48794</v>
      </c>
      <c t="s">
        <v>61708</v>
      </c>
      <c>
        <v>255</v>
      </c>
      <c r="AI358" t="s">
        <v>37531</v>
      </c>
      <c t="s">
        <v>45620</v>
      </c>
      <c r="AL358" t="s">
        <v>2897</v>
      </c>
      <c r="AN358" t="s">
        <v>22275</v>
      </c>
      <c t="s">
        <v>11508</v>
      </c>
      <c t="s">
        <v>44428</v>
      </c>
      <c t="s">
        <v>3093</v>
      </c>
      <c t="s">
        <v>65818</v>
      </c>
    </row>
    <row>
      <c t="s">
        <v>17594</v>
      </c>
      <c t="s">
        <v>54686</v>
      </c>
      <c t="s">
        <v>3793</v>
      </c>
      <c t="s">
        <v>65607</v>
      </c>
      <c t="s">
        <v>18664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59" s="1" t="str">
        <f ca="1">HYPERLINK("https://web.datatree.com/?/property?propertyId=32079457", "https://web.datatree.com/?/property?propertyId=32079457")</f>
        <v>https://web.datatree.com/?/property?propertyId=32079457</v>
      </c>
      <c r="Q359" t="s">
        <v>316</v>
      </c>
      <c>
        <v>0.23</v>
      </c>
      <c t="s">
        <v>6175</v>
      </c>
      <c t="s">
        <v>9900</v>
      </c>
      <c t="s">
        <v>43257</v>
      </c>
      <c r="X359" t="s">
        <v>61931</v>
      </c>
      <c t="s">
        <v>24999</v>
      </c>
      <c t="s">
        <v>2517</v>
      </c>
      <c t="s">
        <v>39289</v>
      </c>
      <c>
        <v>33909</v>
      </c>
      <c t="s">
        <v>59699</v>
      </c>
      <c t="s">
        <v>48794</v>
      </c>
      <c t="s">
        <v>52484</v>
      </c>
      <c>
        <v>1837</v>
      </c>
      <c r="AI359" t="s">
        <v>54122</v>
      </c>
      <c t="s">
        <v>45620</v>
      </c>
      <c r="AL359" t="s">
        <v>31985</v>
      </c>
      <c r="AN359" t="s">
        <v>17134</v>
      </c>
      <c t="s">
        <v>49033</v>
      </c>
      <c t="s">
        <v>60160</v>
      </c>
      <c t="s">
        <v>3093</v>
      </c>
      <c t="s">
        <v>56672</v>
      </c>
    </row>
    <row>
      <c t="s">
        <v>17594</v>
      </c>
      <c t="s">
        <v>56460</v>
      </c>
      <c t="s">
        <v>49896</v>
      </c>
      <c t="s">
        <v>14307</v>
      </c>
      <c t="s">
        <v>54040</v>
      </c>
      <c s="3">
        <v>26249</v>
      </c>
      <c s="3">
        <v>26249</v>
      </c>
      <c s="3">
        <v>12100</v>
      </c>
      <c>
        <v>0</v>
      </c>
      <c s="3">
        <v>0</v>
      </c>
      <c s="3">
        <v>2976.7</v>
      </c>
      <c s="3">
        <v>26249</v>
      </c>
      <c r="O360" s="1" t="str">
        <f ca="1">HYPERLINK("https://web.datatree.com/?/property?propertyId=32079766", "https://web.datatree.com/?/property?propertyId=32079766")</f>
        <v>https://web.datatree.com/?/property?propertyId=32079766</v>
      </c>
      <c r="Q360" t="s">
        <v>316</v>
      </c>
      <c>
        <v>0.244</v>
      </c>
      <c t="s">
        <v>45031</v>
      </c>
      <c t="s">
        <v>44541</v>
      </c>
      <c t="s">
        <v>33142</v>
      </c>
      <c r="X360" t="s">
        <v>66290</v>
      </c>
      <c t="s">
        <v>55273</v>
      </c>
      <c t="s">
        <v>2517</v>
      </c>
      <c t="s">
        <v>39289</v>
      </c>
      <c>
        <v>33909</v>
      </c>
      <c t="s">
        <v>64933</v>
      </c>
      <c t="s">
        <v>48794</v>
      </c>
      <c t="s">
        <v>36548</v>
      </c>
      <c>
        <v>1313</v>
      </c>
      <c r="AI360" t="s">
        <v>40709</v>
      </c>
      <c t="s">
        <v>31192</v>
      </c>
      <c r="AL360" t="s">
        <v>37196</v>
      </c>
      <c r="AN360" t="s">
        <v>39289</v>
      </c>
      <c t="s">
        <v>65882</v>
      </c>
      <c t="s">
        <v>49977</v>
      </c>
      <c t="s">
        <v>3093</v>
      </c>
      <c t="s">
        <v>30708</v>
      </c>
    </row>
    <row>
      <c t="s">
        <v>17594</v>
      </c>
      <c t="s">
        <v>24131</v>
      </c>
      <c t="s">
        <v>667</v>
      </c>
      <c t="s">
        <v>64313</v>
      </c>
      <c t="s">
        <v>47895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361" s="1" t="str">
        <f ca="1">HYPERLINK("https://web.datatree.com/?/property?propertyId=32079784", "https://web.datatree.com/?/property?propertyId=32079784")</f>
        <v>https://web.datatree.com/?/property?propertyId=32079784</v>
      </c>
      <c r="Q361" t="s">
        <v>316</v>
      </c>
      <c>
        <v>0.241</v>
      </c>
      <c t="s">
        <v>22490</v>
      </c>
      <c t="s">
        <v>53572</v>
      </c>
      <c t="s">
        <v>30969</v>
      </c>
      <c r="X361" t="s">
        <v>60917</v>
      </c>
      <c t="s">
        <v>49122</v>
      </c>
      <c t="s">
        <v>2517</v>
      </c>
      <c t="s">
        <v>39289</v>
      </c>
      <c>
        <v>33909</v>
      </c>
      <c t="s">
        <v>8002</v>
      </c>
      <c t="s">
        <v>48794</v>
      </c>
      <c t="s">
        <v>59257</v>
      </c>
      <c t="str">
        <f>"45-215"</f>
        <v>45-215</v>
      </c>
      <c r="AI361" t="s">
        <v>58959</v>
      </c>
      <c t="s">
        <v>45393</v>
      </c>
      <c r="AL361" t="s">
        <v>50943</v>
      </c>
      <c t="s">
        <v>50943</v>
      </c>
      <c t="s">
        <v>43132</v>
      </c>
      <c t="s">
        <v>2101</v>
      </c>
      <c t="s">
        <v>52393</v>
      </c>
      <c t="s">
        <v>3093</v>
      </c>
      <c t="s">
        <v>14797</v>
      </c>
    </row>
    <row>
      <c t="s">
        <v>17594</v>
      </c>
      <c t="s">
        <v>28021</v>
      </c>
      <c t="s">
        <v>28926</v>
      </c>
      <c t="s">
        <v>52120</v>
      </c>
      <c t="s">
        <v>13538</v>
      </c>
      <c s="3">
        <v>36210</v>
      </c>
      <c s="3">
        <v>36210</v>
      </c>
      <c s="3">
        <v>9339</v>
      </c>
      <c>
        <v>0</v>
      </c>
      <c s="3">
        <v>0</v>
      </c>
      <c s="3">
        <v>700.95</v>
      </c>
      <c s="3">
        <v>36210</v>
      </c>
      <c r="O362" s="1" t="str">
        <f ca="1">HYPERLINK("https://web.datatree.com/?/property?propertyId=32079887", "https://web.datatree.com/?/property?propertyId=32079887")</f>
        <v>https://web.datatree.com/?/property?propertyId=32079887</v>
      </c>
      <c r="Q362" t="s">
        <v>316</v>
      </c>
      <c>
        <v>0.275</v>
      </c>
      <c t="s">
        <v>32782</v>
      </c>
      <c t="s">
        <v>9649</v>
      </c>
      <c t="s">
        <v>39666</v>
      </c>
      <c r="X362" t="s">
        <v>39971</v>
      </c>
      <c t="s">
        <v>8669</v>
      </c>
      <c t="s">
        <v>2517</v>
      </c>
      <c t="s">
        <v>39289</v>
      </c>
      <c>
        <v>33909</v>
      </c>
      <c t="s">
        <v>5156</v>
      </c>
      <c t="s">
        <v>48794</v>
      </c>
      <c t="s">
        <v>41572</v>
      </c>
      <c>
        <v>207</v>
      </c>
      <c r="AI362" t="s">
        <v>14792</v>
      </c>
      <c t="s">
        <v>31192</v>
      </c>
      <c r="AL362" t="s">
        <v>44088</v>
      </c>
      <c t="s">
        <v>33272</v>
      </c>
      <c t="s">
        <v>39289</v>
      </c>
      <c>
        <v>32081</v>
      </c>
      <c t="s">
        <v>56028</v>
      </c>
      <c t="s">
        <v>3093</v>
      </c>
      <c t="s">
        <v>41729</v>
      </c>
    </row>
    <row>
      <c t="s">
        <v>17594</v>
      </c>
      <c t="s">
        <v>2090</v>
      </c>
      <c t="s">
        <v>66407</v>
      </c>
      <c t="s">
        <v>66887</v>
      </c>
      <c t="s">
        <v>21637</v>
      </c>
      <c s="3">
        <v>41248</v>
      </c>
      <c s="3">
        <v>41248</v>
      </c>
      <c s="3">
        <v>41248</v>
      </c>
      <c>
        <v>0</v>
      </c>
      <c s="3">
        <v>0</v>
      </c>
      <c s="3">
        <v>1127.08</v>
      </c>
      <c s="3">
        <v>41248</v>
      </c>
      <c r="O363" s="1" t="str">
        <f ca="1">HYPERLINK("https://web.datatree.com/?/property?propertyId=32080039", "https://web.datatree.com/?/property?propertyId=32080039")</f>
        <v>https://web.datatree.com/?/property?propertyId=32080039</v>
      </c>
      <c r="Q363" t="s">
        <v>316</v>
      </c>
      <c>
        <v>0.23</v>
      </c>
      <c t="s">
        <v>22490</v>
      </c>
      <c t="s">
        <v>14667</v>
      </c>
      <c t="s">
        <v>7000</v>
      </c>
      <c t="s">
        <v>30550</v>
      </c>
      <c t="s">
        <v>7000</v>
      </c>
      <c t="s">
        <v>13921</v>
      </c>
      <c t="s">
        <v>34731</v>
      </c>
      <c t="s">
        <v>2517</v>
      </c>
      <c t="s">
        <v>39289</v>
      </c>
      <c>
        <v>33909</v>
      </c>
      <c t="s">
        <v>22741</v>
      </c>
      <c t="s">
        <v>48794</v>
      </c>
      <c t="s">
        <v>40399</v>
      </c>
      <c>
        <v>133</v>
      </c>
      <c r="AI363" t="s">
        <v>55144</v>
      </c>
      <c r="AL363" t="s">
        <v>57314</v>
      </c>
      <c r="AN363" t="s">
        <v>50917</v>
      </c>
      <c>
        <v>13158</v>
      </c>
      <c r="AR363" t="s">
        <v>58211</v>
      </c>
    </row>
    <row>
      <c t="s">
        <v>17594</v>
      </c>
      <c t="s">
        <v>10572</v>
      </c>
      <c t="s">
        <v>3223</v>
      </c>
      <c t="s">
        <v>40133</v>
      </c>
      <c t="s">
        <v>64301</v>
      </c>
      <c s="3">
        <v>20472</v>
      </c>
      <c s="3">
        <v>20472</v>
      </c>
      <c s="3">
        <v>9130</v>
      </c>
      <c>
        <v>0</v>
      </c>
      <c s="3">
        <v>0</v>
      </c>
      <c s="3">
        <v>607.3</v>
      </c>
      <c s="3">
        <v>20472</v>
      </c>
      <c r="O364" s="1" t="str">
        <f ca="1">HYPERLINK("https://web.datatree.com/?/property?propertyId=32080260", "https://web.datatree.com/?/property?propertyId=32080260")</f>
        <v>https://web.datatree.com/?/property?propertyId=32080260</v>
      </c>
      <c r="Q364" t="s">
        <v>316</v>
      </c>
      <c>
        <v>0.266</v>
      </c>
      <c t="s">
        <v>45031</v>
      </c>
      <c t="s">
        <v>50819</v>
      </c>
      <c t="s">
        <v>40538</v>
      </c>
      <c t="s">
        <v>67208</v>
      </c>
      <c t="s">
        <v>40538</v>
      </c>
      <c t="s">
        <v>38008</v>
      </c>
      <c t="s">
        <v>22731</v>
      </c>
      <c t="s">
        <v>2517</v>
      </c>
      <c t="s">
        <v>39289</v>
      </c>
      <c>
        <v>33909</v>
      </c>
      <c t="s">
        <v>10393</v>
      </c>
      <c t="s">
        <v>48794</v>
      </c>
      <c t="s">
        <v>58920</v>
      </c>
      <c>
        <v>812</v>
      </c>
      <c r="AI364" t="s">
        <v>54428</v>
      </c>
      <c t="s">
        <v>45393</v>
      </c>
      <c r="AL364" t="s">
        <v>6449</v>
      </c>
      <c r="AN364" t="s">
        <v>51087</v>
      </c>
      <c t="s">
        <v>11094</v>
      </c>
      <c t="s">
        <v>4797</v>
      </c>
      <c t="s">
        <v>3093</v>
      </c>
      <c t="s">
        <v>10468</v>
      </c>
    </row>
    <row>
      <c t="s">
        <v>17594</v>
      </c>
      <c t="s">
        <v>20839</v>
      </c>
      <c t="s">
        <v>57250</v>
      </c>
      <c t="s">
        <v>27654</v>
      </c>
      <c t="s">
        <v>4104</v>
      </c>
      <c s="3">
        <v>8395</v>
      </c>
      <c s="3">
        <v>8395</v>
      </c>
      <c s="3">
        <v>8395</v>
      </c>
      <c>
        <v>0</v>
      </c>
      <c s="3">
        <v>0</v>
      </c>
      <c s="3">
        <v>662.36</v>
      </c>
      <c s="3">
        <v>8395</v>
      </c>
      <c r="O365" s="1" t="str">
        <f ca="1">HYPERLINK("https://web.datatree.com/?/property?propertyId=32080437", "https://web.datatree.com/?/property?propertyId=32080437")</f>
        <v>https://web.datatree.com/?/property?propertyId=32080437</v>
      </c>
      <c r="Q365" t="s">
        <v>316</v>
      </c>
      <c>
        <v>0.308</v>
      </c>
      <c t="s">
        <v>22490</v>
      </c>
      <c t="s">
        <v>24409</v>
      </c>
      <c t="s">
        <v>38103</v>
      </c>
      <c t="s">
        <v>1599</v>
      </c>
      <c t="s">
        <v>38103</v>
      </c>
      <c t="s">
        <v>24659</v>
      </c>
      <c t="s">
        <v>23517</v>
      </c>
      <c t="s">
        <v>2517</v>
      </c>
      <c t="s">
        <v>39289</v>
      </c>
      <c>
        <v>33909</v>
      </c>
      <c t="s">
        <v>29934</v>
      </c>
      <c t="s">
        <v>48794</v>
      </c>
      <c t="s">
        <v>4580</v>
      </c>
      <c>
        <v>45</v>
      </c>
      <c r="AI365" t="s">
        <v>5929</v>
      </c>
      <c t="s">
        <v>24900</v>
      </c>
      <c r="AL365" t="s">
        <v>46985</v>
      </c>
      <c r="AN365" t="s">
        <v>50917</v>
      </c>
      <c t="s">
        <v>26115</v>
      </c>
      <c t="s">
        <v>19978</v>
      </c>
      <c t="s">
        <v>3093</v>
      </c>
      <c t="s">
        <v>2127</v>
      </c>
    </row>
    <row>
      <c t="s">
        <v>17594</v>
      </c>
      <c t="s">
        <v>50998</v>
      </c>
      <c t="s">
        <v>57280</v>
      </c>
      <c t="s">
        <v>26633</v>
      </c>
      <c t="s">
        <v>19656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66" s="1" t="str">
        <f ca="1">HYPERLINK("https://web.datatree.com/?/property?propertyId=32080570", "https://web.datatree.com/?/property?propertyId=32080570")</f>
        <v>https://web.datatree.com/?/property?propertyId=32080570</v>
      </c>
      <c r="Q366" t="s">
        <v>316</v>
      </c>
      <c>
        <v>0.23</v>
      </c>
      <c t="s">
        <v>6175</v>
      </c>
      <c t="s">
        <v>48755</v>
      </c>
      <c t="s">
        <v>14444</v>
      </c>
      <c t="s">
        <v>21379</v>
      </c>
      <c t="s">
        <v>14444</v>
      </c>
      <c t="s">
        <v>12061</v>
      </c>
      <c t="s">
        <v>61850</v>
      </c>
      <c t="s">
        <v>2517</v>
      </c>
      <c t="s">
        <v>39289</v>
      </c>
      <c>
        <v>33909</v>
      </c>
      <c t="s">
        <v>13847</v>
      </c>
      <c t="s">
        <v>48794</v>
      </c>
      <c t="s">
        <v>136</v>
      </c>
      <c>
        <v>3104</v>
      </c>
      <c r="AI366" t="s">
        <v>17972</v>
      </c>
      <c t="s">
        <v>41372</v>
      </c>
      <c r="AL366" t="s">
        <v>43181</v>
      </c>
      <c r="AN366" t="s">
        <v>54650</v>
      </c>
      <c t="s">
        <v>63808</v>
      </c>
      <c t="s">
        <v>53800</v>
      </c>
      <c t="s">
        <v>3093</v>
      </c>
      <c t="s">
        <v>4982</v>
      </c>
    </row>
    <row>
      <c t="s">
        <v>17594</v>
      </c>
      <c t="s">
        <v>5216</v>
      </c>
      <c t="s">
        <v>10809</v>
      </c>
      <c t="s">
        <v>52708</v>
      </c>
      <c t="s">
        <v>15145</v>
      </c>
      <c s="3">
        <v>8000</v>
      </c>
      <c s="3">
        <v>8000</v>
      </c>
      <c s="3">
        <v>8000</v>
      </c>
      <c>
        <v>0</v>
      </c>
      <c s="3">
        <v>0</v>
      </c>
      <c s="3">
        <v>609.97</v>
      </c>
      <c s="3">
        <v>8000</v>
      </c>
      <c r="O367" s="1" t="str">
        <f ca="1">HYPERLINK("https://web.datatree.com/?/property?propertyId=32080577", "https://web.datatree.com/?/property?propertyId=32080577")</f>
        <v>https://web.datatree.com/?/property?propertyId=32080577</v>
      </c>
      <c r="Q367" t="s">
        <v>316</v>
      </c>
      <c>
        <v>0.264</v>
      </c>
      <c t="s">
        <v>22490</v>
      </c>
      <c t="s">
        <v>14560</v>
      </c>
      <c t="s">
        <v>47156</v>
      </c>
      <c t="s">
        <v>1599</v>
      </c>
      <c t="s">
        <v>47156</v>
      </c>
      <c t="s">
        <v>1438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31797</v>
      </c>
      <c>
        <v>619</v>
      </c>
      <c r="AI367" t="s">
        <v>25102</v>
      </c>
      <c t="s">
        <v>45393</v>
      </c>
      <c>
        <v>609</v>
      </c>
      <c t="s">
        <v>53927</v>
      </c>
      <c t="s">
        <v>53927</v>
      </c>
      <c t="s">
        <v>32576</v>
      </c>
      <c t="s">
        <v>44544</v>
      </c>
      <c t="s">
        <v>27780</v>
      </c>
      <c t="s">
        <v>3093</v>
      </c>
      <c t="s">
        <v>50313</v>
      </c>
    </row>
    <row>
      <c t="s">
        <v>17594</v>
      </c>
      <c t="s">
        <v>42636</v>
      </c>
      <c t="s">
        <v>10687</v>
      </c>
      <c t="s">
        <v>35505</v>
      </c>
      <c t="s">
        <v>21107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68" s="1" t="str">
        <f ca="1">HYPERLINK("https://web.datatree.com/?/property?propertyId=32080606", "https://web.datatree.com/?/property?propertyId=32080606")</f>
        <v>https://web.datatree.com/?/property?propertyId=32080606</v>
      </c>
      <c r="Q368" t="s">
        <v>316</v>
      </c>
      <c>
        <v>0.23</v>
      </c>
      <c t="s">
        <v>22490</v>
      </c>
      <c t="s">
        <v>44457</v>
      </c>
      <c t="s">
        <v>38846</v>
      </c>
      <c t="s">
        <v>24760</v>
      </c>
      <c t="s">
        <v>38846</v>
      </c>
      <c t="s">
        <v>7135</v>
      </c>
      <c t="s">
        <v>7594</v>
      </c>
      <c t="s">
        <v>2517</v>
      </c>
      <c t="s">
        <v>39289</v>
      </c>
      <c>
        <v>33909</v>
      </c>
      <c t="s">
        <v>7225</v>
      </c>
      <c t="s">
        <v>48794</v>
      </c>
      <c t="s">
        <v>5552</v>
      </c>
      <c>
        <v>54</v>
      </c>
      <c r="AI368" t="s">
        <v>35060</v>
      </c>
      <c t="s">
        <v>55842</v>
      </c>
      <c r="AL368" t="s">
        <v>62149</v>
      </c>
      <c r="AN368" t="s">
        <v>39289</v>
      </c>
      <c t="s">
        <v>8368</v>
      </c>
      <c t="s">
        <v>14845</v>
      </c>
      <c t="s">
        <v>3093</v>
      </c>
      <c t="s">
        <v>49180</v>
      </c>
    </row>
    <row>
      <c t="s">
        <v>17594</v>
      </c>
      <c t="s">
        <v>54677</v>
      </c>
      <c t="s">
        <v>23678</v>
      </c>
      <c t="s">
        <v>35901</v>
      </c>
      <c t="s">
        <v>6611</v>
      </c>
      <c s="3">
        <v>8500</v>
      </c>
      <c s="3">
        <v>8500</v>
      </c>
      <c s="3">
        <v>8500</v>
      </c>
      <c>
        <v>0</v>
      </c>
      <c s="3">
        <v>0</v>
      </c>
      <c s="3">
        <v>576.1</v>
      </c>
      <c s="3">
        <v>8500</v>
      </c>
      <c r="O369" s="1" t="str">
        <f ca="1">HYPERLINK("https://web.datatree.com/?/property?propertyId=32080705", "https://web.datatree.com/?/property?propertyId=32080705")</f>
        <v>https://web.datatree.com/?/property?propertyId=32080705</v>
      </c>
      <c r="Q369" t="s">
        <v>316</v>
      </c>
      <c>
        <v>0.23</v>
      </c>
      <c t="s">
        <v>6175</v>
      </c>
      <c t="s">
        <v>58895</v>
      </c>
      <c t="s">
        <v>21690</v>
      </c>
      <c t="s">
        <v>16200</v>
      </c>
      <c t="s">
        <v>4772</v>
      </c>
      <c t="s">
        <v>36130</v>
      </c>
      <c t="s">
        <v>53663</v>
      </c>
      <c t="s">
        <v>2517</v>
      </c>
      <c t="s">
        <v>39289</v>
      </c>
      <c>
        <v>33909</v>
      </c>
      <c t="s">
        <v>44062</v>
      </c>
      <c t="s">
        <v>48794</v>
      </c>
      <c t="s">
        <v>67124</v>
      </c>
      <c>
        <v>363</v>
      </c>
      <c r="AI369" t="s">
        <v>47920</v>
      </c>
      <c t="s">
        <v>24900</v>
      </c>
      <c>
        <v>1</v>
      </c>
      <c t="s">
        <v>39044</v>
      </c>
      <c t="s">
        <v>39236</v>
      </c>
      <c t="s">
        <v>26016</v>
      </c>
      <c t="s">
        <v>23057</v>
      </c>
      <c t="s">
        <v>61719</v>
      </c>
      <c t="s">
        <v>3093</v>
      </c>
      <c t="s">
        <v>32002</v>
      </c>
    </row>
    <row>
      <c t="s">
        <v>17594</v>
      </c>
      <c t="s">
        <v>11842</v>
      </c>
      <c t="s">
        <v>31103</v>
      </c>
      <c t="s">
        <v>35534</v>
      </c>
      <c t="s">
        <v>60533</v>
      </c>
      <c s="3">
        <v>26290</v>
      </c>
      <c s="3">
        <v>26290</v>
      </c>
      <c s="3">
        <v>12650</v>
      </c>
      <c>
        <v>0</v>
      </c>
      <c s="3">
        <v>0</v>
      </c>
      <c s="3">
        <v>2847.04</v>
      </c>
      <c s="3">
        <v>26290</v>
      </c>
      <c r="O370" s="1" t="str">
        <f ca="1">HYPERLINK("https://web.datatree.com/?/property?propertyId=32080812", "https://web.datatree.com/?/property?propertyId=32080812")</f>
        <v>https://web.datatree.com/?/property?propertyId=32080812</v>
      </c>
      <c r="Q370" t="s">
        <v>316</v>
      </c>
      <c>
        <v>0.23</v>
      </c>
      <c t="s">
        <v>22490</v>
      </c>
      <c t="s">
        <v>44776</v>
      </c>
      <c t="s">
        <v>22477</v>
      </c>
      <c r="X370" t="s">
        <v>489</v>
      </c>
      <c t="s">
        <v>17022</v>
      </c>
      <c t="s">
        <v>2517</v>
      </c>
      <c t="s">
        <v>39289</v>
      </c>
      <c>
        <v>33909</v>
      </c>
      <c t="s">
        <v>40449</v>
      </c>
      <c t="s">
        <v>48794</v>
      </c>
      <c t="s">
        <v>28839</v>
      </c>
      <c>
        <v>2222</v>
      </c>
      <c r="AI370" t="s">
        <v>25144</v>
      </c>
      <c t="s">
        <v>24900</v>
      </c>
      <c r="AL370" t="s">
        <v>6144</v>
      </c>
      <c t="s">
        <v>13397</v>
      </c>
      <c t="s">
        <v>50917</v>
      </c>
      <c t="s">
        <v>57660</v>
      </c>
      <c t="s">
        <v>53800</v>
      </c>
      <c t="s">
        <v>3093</v>
      </c>
      <c t="s">
        <v>36866</v>
      </c>
    </row>
    <row>
      <c t="s">
        <v>17594</v>
      </c>
      <c t="s">
        <v>2732</v>
      </c>
      <c t="s">
        <v>42255</v>
      </c>
      <c t="s">
        <v>4514</v>
      </c>
      <c t="s">
        <v>32974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371" s="1" t="str">
        <f ca="1">HYPERLINK("https://web.datatree.com/?/property?propertyId=32080904", "https://web.datatree.com/?/property?propertyId=32080904")</f>
        <v>https://web.datatree.com/?/property?propertyId=32080904</v>
      </c>
      <c r="Q371" t="s">
        <v>316</v>
      </c>
      <c>
        <v>0.23</v>
      </c>
      <c t="s">
        <v>45031</v>
      </c>
      <c t="s">
        <v>9357</v>
      </c>
      <c t="s">
        <v>14301</v>
      </c>
      <c t="s">
        <v>64990</v>
      </c>
      <c t="s">
        <v>14301</v>
      </c>
      <c t="s">
        <v>51174</v>
      </c>
      <c t="s">
        <v>55273</v>
      </c>
      <c t="s">
        <v>2517</v>
      </c>
      <c t="s">
        <v>39289</v>
      </c>
      <c>
        <v>33909</v>
      </c>
      <c t="s">
        <v>58602</v>
      </c>
      <c t="s">
        <v>48794</v>
      </c>
      <c t="s">
        <v>66172</v>
      </c>
      <c>
        <v>3</v>
      </c>
      <c r="AI371" t="s">
        <v>52690</v>
      </c>
      <c r="AL371" t="s">
        <v>34482</v>
      </c>
      <c r="AN371" t="s">
        <v>32840</v>
      </c>
      <c r="AR371" t="s">
        <v>10496</v>
      </c>
    </row>
    <row>
      <c t="s">
        <v>17594</v>
      </c>
      <c t="s">
        <v>47602</v>
      </c>
      <c t="s">
        <v>52383</v>
      </c>
      <c t="s">
        <v>57339</v>
      </c>
      <c t="s">
        <v>66597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372" s="1" t="str">
        <f ca="1">HYPERLINK("https://web.datatree.com/?/property?propertyId=32080944", "https://web.datatree.com/?/property?propertyId=32080944")</f>
        <v>https://web.datatree.com/?/property?propertyId=32080944</v>
      </c>
      <c r="Q372" t="s">
        <v>316</v>
      </c>
      <c>
        <v>0.23</v>
      </c>
      <c t="s">
        <v>6175</v>
      </c>
      <c t="s">
        <v>172</v>
      </c>
      <c t="s">
        <v>60947</v>
      </c>
      <c t="s">
        <v>22997</v>
      </c>
      <c t="s">
        <v>53</v>
      </c>
      <c t="s">
        <v>27424</v>
      </c>
      <c t="s">
        <v>5115</v>
      </c>
      <c t="s">
        <v>2517</v>
      </c>
      <c t="s">
        <v>39289</v>
      </c>
      <c>
        <v>33904</v>
      </c>
      <c t="s">
        <v>29121</v>
      </c>
      <c t="s">
        <v>48794</v>
      </c>
      <c t="s">
        <v>11541</v>
      </c>
      <c>
        <v>42</v>
      </c>
      <c r="AI372" t="s">
        <v>17179</v>
      </c>
      <c t="s">
        <v>24900</v>
      </c>
      <c r="AL372" t="s">
        <v>25241</v>
      </c>
      <c r="AN372" t="s">
        <v>7234</v>
      </c>
      <c>
        <v>0</v>
      </c>
      <c r="AR372" t="s">
        <v>18800</v>
      </c>
    </row>
    <row>
      <c t="s">
        <v>17594</v>
      </c>
      <c t="s">
        <v>29280</v>
      </c>
      <c t="s">
        <v>17335</v>
      </c>
      <c t="s">
        <v>53363</v>
      </c>
      <c t="s">
        <v>23466</v>
      </c>
      <c s="3">
        <v>23012</v>
      </c>
      <c s="3">
        <v>23012</v>
      </c>
      <c s="3">
        <v>10450</v>
      </c>
      <c>
        <v>0</v>
      </c>
      <c s="3">
        <v>0</v>
      </c>
      <c s="3">
        <v>613.35</v>
      </c>
      <c s="3">
        <v>23012</v>
      </c>
      <c r="O373" s="1" t="str">
        <f ca="1">HYPERLINK("https://web.datatree.com/?/property?propertyId=32081008", "https://web.datatree.com/?/property?propertyId=32081008")</f>
        <v>https://web.datatree.com/?/property?propertyId=32081008</v>
      </c>
      <c r="Q373" t="s">
        <v>316</v>
      </c>
      <c>
        <v>0.244</v>
      </c>
      <c t="s">
        <v>16350</v>
      </c>
      <c t="s">
        <v>17254</v>
      </c>
      <c t="s">
        <v>51556</v>
      </c>
      <c r="X373" t="s">
        <v>56686</v>
      </c>
      <c t="s">
        <v>38550</v>
      </c>
      <c t="s">
        <v>2517</v>
      </c>
      <c t="s">
        <v>39289</v>
      </c>
      <c>
        <v>33909</v>
      </c>
      <c t="s">
        <v>9143</v>
      </c>
      <c t="s">
        <v>48794</v>
      </c>
      <c t="s">
        <v>54985</v>
      </c>
      <c>
        <v>12161</v>
      </c>
      <c r="AI373" t="s">
        <v>63103</v>
      </c>
      <c t="s">
        <v>56275</v>
      </c>
      <c r="AL373" t="s">
        <v>32207</v>
      </c>
      <c t="s">
        <v>32207</v>
      </c>
      <c t="s">
        <v>39289</v>
      </c>
      <c t="s">
        <v>57575</v>
      </c>
      <c t="s">
        <v>29069</v>
      </c>
      <c t="s">
        <v>3093</v>
      </c>
      <c t="s">
        <v>19941</v>
      </c>
    </row>
    <row>
      <c t="s">
        <v>17594</v>
      </c>
      <c t="s">
        <v>58980</v>
      </c>
      <c t="s">
        <v>10678</v>
      </c>
      <c t="s">
        <v>6659</v>
      </c>
      <c t="s">
        <v>20161</v>
      </c>
      <c s="3">
        <v>19131</v>
      </c>
      <c s="3">
        <v>19131</v>
      </c>
      <c s="3">
        <v>9680</v>
      </c>
      <c>
        <v>0</v>
      </c>
      <c s="3">
        <v>0</v>
      </c>
      <c s="3">
        <v>581.75</v>
      </c>
      <c s="3">
        <v>19131</v>
      </c>
      <c r="O374" s="1" t="str">
        <f ca="1">HYPERLINK("https://web.datatree.com/?/property?propertyId=32081927", "https://web.datatree.com/?/property?propertyId=32081927")</f>
        <v>https://web.datatree.com/?/property?propertyId=32081927</v>
      </c>
      <c r="Q374" t="s">
        <v>316</v>
      </c>
      <c>
        <v>0.23</v>
      </c>
      <c t="s">
        <v>42044</v>
      </c>
      <c t="s">
        <v>30291</v>
      </c>
      <c t="s">
        <v>46398</v>
      </c>
      <c t="s">
        <v>28654</v>
      </c>
      <c t="s">
        <v>46398</v>
      </c>
      <c t="s">
        <v>7298</v>
      </c>
      <c t="s">
        <v>61865</v>
      </c>
      <c t="s">
        <v>2517</v>
      </c>
      <c t="s">
        <v>39289</v>
      </c>
      <c>
        <v>33909</v>
      </c>
      <c t="s">
        <v>31321</v>
      </c>
      <c t="s">
        <v>48794</v>
      </c>
      <c t="s">
        <v>52617</v>
      </c>
      <c>
        <v>32</v>
      </c>
      <c r="AI374" t="s">
        <v>48118</v>
      </c>
      <c r="AL374" t="s">
        <v>35525</v>
      </c>
      <c r="AN374" t="s">
        <v>40580</v>
      </c>
      <c>
        <v>0</v>
      </c>
      <c r="AR374" t="s">
        <v>57805</v>
      </c>
    </row>
    <row>
      <c t="s">
        <v>17594</v>
      </c>
      <c t="s">
        <v>61157</v>
      </c>
      <c t="s">
        <v>7596</v>
      </c>
      <c t="s">
        <v>34185</v>
      </c>
      <c t="s">
        <v>46180</v>
      </c>
      <c s="3">
        <v>7344</v>
      </c>
      <c s="3">
        <v>7344</v>
      </c>
      <c s="3">
        <v>6600</v>
      </c>
      <c>
        <v>0</v>
      </c>
      <c s="3">
        <v>0</v>
      </c>
      <c s="3">
        <v>102.6</v>
      </c>
      <c s="3">
        <v>7344</v>
      </c>
      <c r="O375" s="1" t="str">
        <f ca="1">HYPERLINK("https://web.datatree.com/?/property?propertyId=32082013", "https://web.datatree.com/?/property?propertyId=32082013")</f>
        <v>https://web.datatree.com/?/property?propertyId=32082013</v>
      </c>
      <c r="Q375" t="s">
        <v>316</v>
      </c>
      <c>
        <v>0.383</v>
      </c>
      <c t="s">
        <v>30497</v>
      </c>
      <c r="U375" t="s">
        <v>62892</v>
      </c>
      <c r="X375" t="s">
        <v>9191</v>
      </c>
      <c t="s">
        <v>59096</v>
      </c>
      <c t="s">
        <v>54524</v>
      </c>
      <c t="s">
        <v>39289</v>
      </c>
      <c>
        <v>33903</v>
      </c>
      <c t="s">
        <v>58666</v>
      </c>
      <c t="s">
        <v>48794</v>
      </c>
      <c t="s">
        <v>12946</v>
      </c>
      <c>
        <v>280</v>
      </c>
      <c r="AI375" t="s">
        <v>33629</v>
      </c>
      <c t="s">
        <v>24900</v>
      </c>
      <c t="s">
        <v>51831</v>
      </c>
      <c t="s">
        <v>49275</v>
      </c>
      <c t="s">
        <v>30450</v>
      </c>
      <c t="s">
        <v>19878</v>
      </c>
      <c t="s">
        <v>60788</v>
      </c>
      <c r="AQ375" t="s">
        <v>3093</v>
      </c>
      <c t="s">
        <v>53739</v>
      </c>
    </row>
    <row>
      <c t="s">
        <v>17594</v>
      </c>
      <c t="s">
        <v>13617</v>
      </c>
      <c t="s">
        <v>25644</v>
      </c>
      <c t="s">
        <v>46625</v>
      </c>
      <c t="s">
        <v>10672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376" s="1" t="str">
        <f ca="1">HYPERLINK("https://web.datatree.com/?/property?propertyId=32082799", "https://web.datatree.com/?/property?propertyId=32082799")</f>
        <v>https://web.datatree.com/?/property?propertyId=32082799</v>
      </c>
      <c r="Q376" t="s">
        <v>316</v>
      </c>
      <c>
        <v>0.23</v>
      </c>
      <c t="s">
        <v>6175</v>
      </c>
      <c t="s">
        <v>60671</v>
      </c>
      <c t="s">
        <v>25772</v>
      </c>
      <c r="X376" t="s">
        <v>3605</v>
      </c>
      <c t="s">
        <v>39082</v>
      </c>
      <c t="s">
        <v>2517</v>
      </c>
      <c t="s">
        <v>39289</v>
      </c>
      <c>
        <v>33909</v>
      </c>
      <c t="s">
        <v>5545</v>
      </c>
      <c t="s">
        <v>48794</v>
      </c>
      <c t="s">
        <v>8488</v>
      </c>
      <c>
        <v>1435</v>
      </c>
      <c r="AI376" t="s">
        <v>51013</v>
      </c>
      <c t="s">
        <v>45620</v>
      </c>
      <c r="AL376" t="s">
        <v>8109</v>
      </c>
      <c t="s">
        <v>13397</v>
      </c>
      <c t="s">
        <v>50917</v>
      </c>
      <c t="s">
        <v>37740</v>
      </c>
      <c t="s">
        <v>33029</v>
      </c>
      <c t="s">
        <v>3093</v>
      </c>
      <c t="s">
        <v>23622</v>
      </c>
    </row>
    <row>
      <c t="s">
        <v>17594</v>
      </c>
      <c t="s">
        <v>11459</v>
      </c>
      <c t="s">
        <v>48663</v>
      </c>
      <c t="s">
        <v>40247</v>
      </c>
      <c t="s">
        <v>54000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377" s="1" t="str">
        <f ca="1">HYPERLINK("https://web.datatree.com/?/property?propertyId=32083320", "https://web.datatree.com/?/property?propertyId=32083320")</f>
        <v>https://web.datatree.com/?/property?propertyId=32083320</v>
      </c>
      <c r="Q377" t="s">
        <v>316</v>
      </c>
      <c>
        <v>0.23</v>
      </c>
      <c t="s">
        <v>6175</v>
      </c>
      <c t="s">
        <v>15051</v>
      </c>
      <c t="s">
        <v>21241</v>
      </c>
      <c r="X377" t="s">
        <v>32564</v>
      </c>
      <c t="s">
        <v>34731</v>
      </c>
      <c t="s">
        <v>2517</v>
      </c>
      <c t="s">
        <v>39289</v>
      </c>
      <c>
        <v>33909</v>
      </c>
      <c t="s">
        <v>66255</v>
      </c>
      <c t="s">
        <v>48794</v>
      </c>
      <c t="s">
        <v>39798</v>
      </c>
      <c>
        <v>4445</v>
      </c>
      <c r="AI377" t="s">
        <v>48175</v>
      </c>
      <c r="AL377" t="s">
        <v>27806</v>
      </c>
      <c r="AN377" t="s">
        <v>50917</v>
      </c>
      <c t="s">
        <v>31313</v>
      </c>
      <c r="AQ377" t="s">
        <v>3093</v>
      </c>
      <c t="s">
        <v>56188</v>
      </c>
    </row>
    <row>
      <c t="s">
        <v>17594</v>
      </c>
      <c t="s">
        <v>8200</v>
      </c>
      <c t="s">
        <v>47101</v>
      </c>
      <c t="s">
        <v>52335</v>
      </c>
      <c t="s">
        <v>41900</v>
      </c>
      <c s="3">
        <v>41248</v>
      </c>
      <c s="3">
        <v>41248</v>
      </c>
      <c s="3">
        <v>29476</v>
      </c>
      <c>
        <v>0</v>
      </c>
      <c s="3">
        <v>0</v>
      </c>
      <c s="3">
        <v>966.01</v>
      </c>
      <c s="3">
        <v>41248</v>
      </c>
      <c r="O378" s="1" t="str">
        <f ca="1">HYPERLINK("https://web.datatree.com/?/property?propertyId=32083334", "https://web.datatree.com/?/property?propertyId=32083334")</f>
        <v>https://web.datatree.com/?/property?propertyId=32083334</v>
      </c>
      <c r="Q378" t="s">
        <v>316</v>
      </c>
      <c>
        <v>0.23</v>
      </c>
      <c t="s">
        <v>32050</v>
      </c>
      <c t="s">
        <v>63623</v>
      </c>
      <c t="s">
        <v>43133</v>
      </c>
      <c t="s">
        <v>27704</v>
      </c>
      <c t="s">
        <v>43133</v>
      </c>
      <c t="s">
        <v>63592</v>
      </c>
      <c t="s">
        <v>34731</v>
      </c>
      <c t="s">
        <v>2517</v>
      </c>
      <c t="s">
        <v>39289</v>
      </c>
      <c>
        <v>33909</v>
      </c>
      <c t="s">
        <v>3934</v>
      </c>
      <c t="s">
        <v>48794</v>
      </c>
      <c t="s">
        <v>25899</v>
      </c>
      <c>
        <v>110</v>
      </c>
      <c r="AI378" t="s">
        <v>34344</v>
      </c>
      <c t="s">
        <v>31192</v>
      </c>
      <c r="AL378" t="s">
        <v>60381</v>
      </c>
      <c r="AN378" t="s">
        <v>22275</v>
      </c>
      <c t="s">
        <v>40806</v>
      </c>
      <c t="s">
        <v>15968</v>
      </c>
      <c t="s">
        <v>3093</v>
      </c>
      <c t="s">
        <v>10180</v>
      </c>
    </row>
    <row>
      <c t="s">
        <v>17594</v>
      </c>
      <c t="s">
        <v>42681</v>
      </c>
      <c t="s">
        <v>2613</v>
      </c>
      <c t="s">
        <v>33265</v>
      </c>
      <c t="s">
        <v>3195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379" s="1" t="str">
        <f ca="1">HYPERLINK("https://web.datatree.com/?/property?propertyId=32083346", "https://web.datatree.com/?/property?propertyId=32083346")</f>
        <v>https://web.datatree.com/?/property?propertyId=32083346</v>
      </c>
      <c r="Q379" t="s">
        <v>316</v>
      </c>
      <c>
        <v>0.23</v>
      </c>
      <c t="s">
        <v>22490</v>
      </c>
      <c t="s">
        <v>2140</v>
      </c>
      <c t="s">
        <v>42929</v>
      </c>
      <c r="X379" t="s">
        <v>43687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6094</v>
      </c>
      <c>
        <v>15</v>
      </c>
      <c r="AI379" t="s">
        <v>25384</v>
      </c>
      <c r="AL379" t="s">
        <v>42081</v>
      </c>
      <c r="AN379" t="s">
        <v>63985</v>
      </c>
      <c>
        <v>91278</v>
      </c>
      <c r="AR379" t="s">
        <v>26474</v>
      </c>
    </row>
    <row>
      <c t="s">
        <v>17594</v>
      </c>
      <c t="s">
        <v>35584</v>
      </c>
      <c t="s">
        <v>38622</v>
      </c>
      <c t="s">
        <v>62453</v>
      </c>
      <c t="s">
        <v>5697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380" s="1" t="str">
        <f ca="1">HYPERLINK("https://web.datatree.com/?/property?propertyId=32083673", "https://web.datatree.com/?/property?propertyId=32083673")</f>
        <v>https://web.datatree.com/?/property?propertyId=32083673</v>
      </c>
      <c r="Q380" t="s">
        <v>316</v>
      </c>
      <c>
        <v>0.23</v>
      </c>
      <c t="s">
        <v>6175</v>
      </c>
      <c t="s">
        <v>44541</v>
      </c>
      <c t="s">
        <v>37100</v>
      </c>
      <c r="X380" t="s">
        <v>1356</v>
      </c>
      <c t="s">
        <v>39082</v>
      </c>
      <c t="s">
        <v>2517</v>
      </c>
      <c t="s">
        <v>39289</v>
      </c>
      <c>
        <v>33909</v>
      </c>
      <c t="s">
        <v>10270</v>
      </c>
      <c t="s">
        <v>48794</v>
      </c>
      <c t="s">
        <v>20515</v>
      </c>
      <c>
        <v>13121</v>
      </c>
      <c r="AI380" t="s">
        <v>48571</v>
      </c>
      <c t="s">
        <v>31192</v>
      </c>
      <c r="AL380" t="s">
        <v>57278</v>
      </c>
      <c r="AN380" t="s">
        <v>51137</v>
      </c>
      <c t="s">
        <v>6014</v>
      </c>
      <c t="s">
        <v>45980</v>
      </c>
      <c t="s">
        <v>3093</v>
      </c>
      <c t="s">
        <v>57855</v>
      </c>
    </row>
    <row>
      <c t="s">
        <v>42103</v>
      </c>
      <c t="s">
        <v>47116</v>
      </c>
      <c t="s">
        <v>31713</v>
      </c>
      <c t="s">
        <v>27877</v>
      </c>
      <c t="s">
        <v>10372</v>
      </c>
      <c s="3">
        <v>8329</v>
      </c>
      <c s="3">
        <v>8329</v>
      </c>
      <c s="3">
        <v>5594</v>
      </c>
      <c>
        <v>0</v>
      </c>
      <c s="3">
        <v>0</v>
      </c>
      <c s="3">
        <v>98.96</v>
      </c>
      <c s="3">
        <v>8329</v>
      </c>
      <c>
        <v>2020</v>
      </c>
      <c>
        <v>379.94</v>
      </c>
      <c s="1" t="str">
        <f ca="1">HYPERLINK("https://web.datatree.com/?/property?propertyId=32083823", "https://web.datatree.com/?/property?propertyId=32083823")</f>
        <v>https://web.datatree.com/?/property?propertyId=32083823</v>
      </c>
      <c r="Q381" t="s">
        <v>316</v>
      </c>
      <c>
        <v>0.165</v>
      </c>
      <c t="s">
        <v>5471</v>
      </c>
      <c t="s">
        <v>34563</v>
      </c>
      <c t="s">
        <v>47988</v>
      </c>
      <c t="s">
        <v>20090</v>
      </c>
      <c t="s">
        <v>39091</v>
      </c>
      <c t="s">
        <v>48741</v>
      </c>
      <c t="s">
        <v>6617</v>
      </c>
      <c t="s">
        <v>65059</v>
      </c>
      <c t="s">
        <v>39289</v>
      </c>
      <c>
        <v>33905</v>
      </c>
      <c t="s">
        <v>22271</v>
      </c>
      <c t="s">
        <v>48794</v>
      </c>
      <c t="s">
        <v>30924</v>
      </c>
      <c r="AI381" t="s">
        <v>35450</v>
      </c>
      <c r="AL381" t="s">
        <v>11713</v>
      </c>
      <c r="AN381" t="s">
        <v>39289</v>
      </c>
      <c>
        <v>34101</v>
      </c>
      <c t="s">
        <v>4447</v>
      </c>
      <c t="s">
        <v>3093</v>
      </c>
      <c t="s">
        <v>66086</v>
      </c>
    </row>
    <row>
      <c t="s">
        <v>17594</v>
      </c>
      <c t="s">
        <v>33907</v>
      </c>
      <c t="s">
        <v>1677</v>
      </c>
      <c t="s">
        <v>30092</v>
      </c>
      <c t="s">
        <v>8694</v>
      </c>
      <c s="3">
        <v>26525</v>
      </c>
      <c s="3">
        <v>26525</v>
      </c>
      <c s="3">
        <v>20514</v>
      </c>
      <c>
        <v>0</v>
      </c>
      <c s="3">
        <v>0</v>
      </c>
      <c s="3">
        <v>770.46</v>
      </c>
      <c s="3">
        <v>26525</v>
      </c>
      <c r="O382" s="1" t="str">
        <f ca="1">HYPERLINK("https://web.datatree.com/?/property?propertyId=32083875", "https://web.datatree.com/?/property?propertyId=32083875")</f>
        <v>https://web.datatree.com/?/property?propertyId=32083875</v>
      </c>
      <c r="Q382" t="s">
        <v>316</v>
      </c>
      <c>
        <v>0.23</v>
      </c>
      <c t="s">
        <v>6175</v>
      </c>
      <c t="s">
        <v>4814</v>
      </c>
      <c t="s">
        <v>55138</v>
      </c>
      <c t="s">
        <v>26023</v>
      </c>
      <c t="s">
        <v>55138</v>
      </c>
      <c t="s">
        <v>54487</v>
      </c>
      <c t="s">
        <v>49674</v>
      </c>
      <c t="s">
        <v>2517</v>
      </c>
      <c t="s">
        <v>39289</v>
      </c>
      <c>
        <v>33904</v>
      </c>
      <c t="s">
        <v>23374</v>
      </c>
      <c t="s">
        <v>48794</v>
      </c>
      <c t="s">
        <v>46774</v>
      </c>
      <c>
        <v>12</v>
      </c>
      <c r="AI382" t="s">
        <v>43452</v>
      </c>
      <c r="AL382" t="s">
        <v>32128</v>
      </c>
      <c r="AN382" t="s">
        <v>1972</v>
      </c>
      <c r="AR382" t="s">
        <v>31867</v>
      </c>
    </row>
    <row>
      <c t="s">
        <v>17594</v>
      </c>
      <c t="s">
        <v>48246</v>
      </c>
      <c t="s">
        <v>35636</v>
      </c>
      <c t="s">
        <v>30795</v>
      </c>
      <c t="s">
        <v>17573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83" s="1" t="str">
        <f ca="1">HYPERLINK("https://web.datatree.com/?/property?propertyId=32083936", "https://web.datatree.com/?/property?propertyId=32083936")</f>
        <v>https://web.datatree.com/?/property?propertyId=32083936</v>
      </c>
      <c r="Q383" t="s">
        <v>316</v>
      </c>
      <c>
        <v>0.23</v>
      </c>
      <c t="s">
        <v>22490</v>
      </c>
      <c t="s">
        <v>40990</v>
      </c>
      <c t="s">
        <v>33378</v>
      </c>
      <c r="X383" t="s">
        <v>15710</v>
      </c>
      <c t="s">
        <v>10653</v>
      </c>
      <c t="s">
        <v>2517</v>
      </c>
      <c t="s">
        <v>39289</v>
      </c>
      <c>
        <v>33909</v>
      </c>
      <c t="s">
        <v>30438</v>
      </c>
      <c t="s">
        <v>48794</v>
      </c>
      <c t="s">
        <v>37300</v>
      </c>
      <c>
        <v>10</v>
      </c>
      <c r="AI383" t="s">
        <v>65863</v>
      </c>
      <c r="AL383" t="s">
        <v>54350</v>
      </c>
      <c r="AN383" t="s">
        <v>66651</v>
      </c>
      <c>
        <v>30625</v>
      </c>
      <c r="AR383" t="s">
        <v>2214</v>
      </c>
    </row>
    <row>
      <c t="s">
        <v>17594</v>
      </c>
      <c t="s">
        <v>7841</v>
      </c>
      <c t="s">
        <v>42841</v>
      </c>
      <c t="s">
        <v>635</v>
      </c>
      <c t="s">
        <v>2860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84" s="1" t="str">
        <f ca="1">HYPERLINK("https://web.datatree.com/?/property?propertyId=32083943", "https://web.datatree.com/?/property?propertyId=32083943")</f>
        <v>https://web.datatree.com/?/property?propertyId=32083943</v>
      </c>
      <c r="Q384" t="s">
        <v>316</v>
      </c>
      <c>
        <v>0.23</v>
      </c>
      <c t="s">
        <v>22490</v>
      </c>
      <c r="U384" t="s">
        <v>6176</v>
      </c>
      <c r="W384" t="s">
        <v>45508</v>
      </c>
      <c t="s">
        <v>50027</v>
      </c>
      <c t="s">
        <v>2619</v>
      </c>
      <c t="s">
        <v>2517</v>
      </c>
      <c t="s">
        <v>39289</v>
      </c>
      <c>
        <v>33909</v>
      </c>
      <c t="s">
        <v>43005</v>
      </c>
      <c t="s">
        <v>48794</v>
      </c>
      <c t="s">
        <v>55882</v>
      </c>
      <c>
        <v>5555</v>
      </c>
      <c r="AI384" t="s">
        <v>53258</v>
      </c>
      <c t="s">
        <v>39321</v>
      </c>
      <c r="AL384" t="s">
        <v>62020</v>
      </c>
      <c t="s">
        <v>62020</v>
      </c>
      <c t="s">
        <v>39289</v>
      </c>
      <c t="s">
        <v>65319</v>
      </c>
      <c t="s">
        <v>4797</v>
      </c>
      <c t="s">
        <v>3093</v>
      </c>
      <c t="s">
        <v>19661</v>
      </c>
    </row>
    <row>
      <c t="s">
        <v>17594</v>
      </c>
      <c t="s">
        <v>33443</v>
      </c>
      <c t="s">
        <v>42475</v>
      </c>
      <c t="s">
        <v>64475</v>
      </c>
      <c t="s">
        <v>39457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385" s="1" t="str">
        <f ca="1">HYPERLINK("https://web.datatree.com/?/property?propertyId=32084590", "https://web.datatree.com/?/property?propertyId=32084590")</f>
        <v>https://web.datatree.com/?/property?propertyId=32084590</v>
      </c>
      <c r="Q385" t="s">
        <v>316</v>
      </c>
      <c>
        <v>0.23</v>
      </c>
      <c t="s">
        <v>6175</v>
      </c>
      <c t="s">
        <v>51256</v>
      </c>
      <c t="s">
        <v>9592</v>
      </c>
      <c t="s">
        <v>53382</v>
      </c>
      <c t="s">
        <v>9592</v>
      </c>
      <c t="s">
        <v>36399</v>
      </c>
      <c t="s">
        <v>53663</v>
      </c>
      <c t="s">
        <v>2517</v>
      </c>
      <c t="s">
        <v>39289</v>
      </c>
      <c>
        <v>33909</v>
      </c>
      <c t="s">
        <v>52549</v>
      </c>
      <c t="s">
        <v>48794</v>
      </c>
      <c t="s">
        <v>8553</v>
      </c>
      <c>
        <v>3733</v>
      </c>
      <c r="AI385" t="s">
        <v>16431</v>
      </c>
      <c t="s">
        <v>24900</v>
      </c>
      <c r="AL385" t="s">
        <v>38297</v>
      </c>
      <c t="s">
        <v>37981</v>
      </c>
      <c t="s">
        <v>27222</v>
      </c>
      <c t="s">
        <v>52849</v>
      </c>
      <c t="s">
        <v>26416</v>
      </c>
      <c t="s">
        <v>3093</v>
      </c>
      <c t="s">
        <v>25753</v>
      </c>
    </row>
    <row>
      <c t="s">
        <v>17594</v>
      </c>
      <c t="s">
        <v>29716</v>
      </c>
      <c t="s">
        <v>58751</v>
      </c>
      <c t="s">
        <v>46810</v>
      </c>
      <c t="s">
        <v>25386</v>
      </c>
      <c s="3">
        <v>17097</v>
      </c>
      <c s="3">
        <v>17097</v>
      </c>
      <c s="3">
        <v>8470</v>
      </c>
      <c>
        <v>0</v>
      </c>
      <c s="3">
        <v>0</v>
      </c>
      <c s="3">
        <v>557.43</v>
      </c>
      <c s="3">
        <v>17097</v>
      </c>
      <c r="O386" s="1" t="str">
        <f ca="1">HYPERLINK("https://web.datatree.com/?/property?propertyId=32084727", "https://web.datatree.com/?/property?propertyId=32084727")</f>
        <v>https://web.datatree.com/?/property?propertyId=32084727</v>
      </c>
      <c r="Q386" t="s">
        <v>316</v>
      </c>
      <c>
        <v>0.244</v>
      </c>
      <c t="s">
        <v>6175</v>
      </c>
      <c t="s">
        <v>33621</v>
      </c>
      <c t="s">
        <v>61569</v>
      </c>
      <c r="X386" t="s">
        <v>58279</v>
      </c>
      <c t="s">
        <v>13065</v>
      </c>
      <c t="s">
        <v>2517</v>
      </c>
      <c t="s">
        <v>39289</v>
      </c>
      <c>
        <v>33909</v>
      </c>
      <c t="s">
        <v>14948</v>
      </c>
      <c t="s">
        <v>48794</v>
      </c>
      <c t="s">
        <v>56821</v>
      </c>
      <c>
        <v>1840</v>
      </c>
      <c r="AI386" t="s">
        <v>48326</v>
      </c>
      <c t="s">
        <v>4985</v>
      </c>
      <c r="AL386" t="s">
        <v>6640</v>
      </c>
      <c r="AN386" t="s">
        <v>26016</v>
      </c>
      <c t="s">
        <v>6414</v>
      </c>
      <c t="s">
        <v>49842</v>
      </c>
      <c t="s">
        <v>3093</v>
      </c>
      <c t="s">
        <v>9619</v>
      </c>
    </row>
    <row>
      <c t="s">
        <v>17594</v>
      </c>
      <c t="s">
        <v>9269</v>
      </c>
      <c t="s">
        <v>17405</v>
      </c>
      <c t="s">
        <v>50329</v>
      </c>
      <c t="s">
        <v>19706</v>
      </c>
      <c s="3">
        <v>16728</v>
      </c>
      <c s="3">
        <v>16728</v>
      </c>
      <c s="3">
        <v>9075</v>
      </c>
      <c>
        <v>0</v>
      </c>
      <c s="3">
        <v>0</v>
      </c>
      <c s="3">
        <v>553.9</v>
      </c>
      <c s="3">
        <v>16728</v>
      </c>
      <c r="O387" s="1" t="str">
        <f ca="1">HYPERLINK("https://web.datatree.com/?/property?propertyId=32085556", "https://web.datatree.com/?/property?propertyId=32085556")</f>
        <v>https://web.datatree.com/?/property?propertyId=32085556</v>
      </c>
      <c r="Q387" t="s">
        <v>316</v>
      </c>
      <c>
        <v>0.23</v>
      </c>
      <c t="s">
        <v>6175</v>
      </c>
      <c t="s">
        <v>52701</v>
      </c>
      <c t="s">
        <v>33248</v>
      </c>
      <c r="X387" t="s">
        <v>17679</v>
      </c>
      <c t="s">
        <v>66701</v>
      </c>
      <c t="s">
        <v>2517</v>
      </c>
      <c t="s">
        <v>39289</v>
      </c>
      <c>
        <v>33909</v>
      </c>
      <c t="s">
        <v>22127</v>
      </c>
      <c t="s">
        <v>48794</v>
      </c>
      <c t="s">
        <v>3231</v>
      </c>
      <c>
        <v>4402</v>
      </c>
      <c r="AI387" t="s">
        <v>53596</v>
      </c>
      <c t="s">
        <v>24900</v>
      </c>
      <c r="AL387" t="s">
        <v>23311</v>
      </c>
      <c r="AN387" t="s">
        <v>56163</v>
      </c>
      <c t="s">
        <v>15186</v>
      </c>
      <c t="s">
        <v>62830</v>
      </c>
      <c t="s">
        <v>3093</v>
      </c>
      <c t="s">
        <v>22880</v>
      </c>
    </row>
    <row>
      <c t="s">
        <v>17594</v>
      </c>
      <c t="s">
        <v>36328</v>
      </c>
      <c t="s">
        <v>61858</v>
      </c>
      <c t="s">
        <v>4182</v>
      </c>
      <c t="s">
        <v>27457</v>
      </c>
      <c s="3">
        <v>54780</v>
      </c>
      <c s="3">
        <v>54780</v>
      </c>
      <c s="3">
        <v>9599</v>
      </c>
      <c>
        <v>0</v>
      </c>
      <c s="3">
        <v>0</v>
      </c>
      <c s="3">
        <v>837.44</v>
      </c>
      <c s="3">
        <v>54780</v>
      </c>
      <c r="O388" s="1" t="str">
        <f ca="1">HYPERLINK("https://web.datatree.com/?/property?propertyId=32085680", "https://web.datatree.com/?/property?propertyId=32085680")</f>
        <v>https://web.datatree.com/?/property?propertyId=32085680</v>
      </c>
      <c r="Q388" t="s">
        <v>316</v>
      </c>
      <c>
        <v>0.413</v>
      </c>
      <c t="s">
        <v>42438</v>
      </c>
      <c t="s">
        <v>2140</v>
      </c>
      <c t="s">
        <v>52727</v>
      </c>
      <c r="X388" t="s">
        <v>60027</v>
      </c>
      <c t="s">
        <v>8669</v>
      </c>
      <c t="s">
        <v>2517</v>
      </c>
      <c t="s">
        <v>39289</v>
      </c>
      <c>
        <v>33909</v>
      </c>
      <c t="s">
        <v>5156</v>
      </c>
      <c t="s">
        <v>48794</v>
      </c>
      <c t="s">
        <v>62066</v>
      </c>
      <c>
        <v>912</v>
      </c>
      <c r="AI388" t="s">
        <v>55720</v>
      </c>
      <c t="s">
        <v>24900</v>
      </c>
      <c r="AL388" t="s">
        <v>39770</v>
      </c>
      <c r="AN388" t="s">
        <v>26016</v>
      </c>
      <c t="s">
        <v>30794</v>
      </c>
      <c t="s">
        <v>32746</v>
      </c>
      <c t="s">
        <v>3093</v>
      </c>
      <c t="s">
        <v>40782</v>
      </c>
    </row>
    <row>
      <c t="s">
        <v>17594</v>
      </c>
      <c t="s">
        <v>15125</v>
      </c>
      <c s="2" t="s">
        <v>36530</v>
      </c>
      <c t="s">
        <v>12917</v>
      </c>
      <c t="s">
        <v>7621</v>
      </c>
      <c s="3">
        <v>24566</v>
      </c>
      <c s="3">
        <v>24566</v>
      </c>
      <c s="3">
        <v>10956</v>
      </c>
      <c>
        <v>0</v>
      </c>
      <c s="3">
        <v>0</v>
      </c>
      <c s="3">
        <v>721.56</v>
      </c>
      <c s="3">
        <v>24566</v>
      </c>
      <c r="O389" s="1" t="str">
        <f ca="1">HYPERLINK("https://web.datatree.com/?/property?propertyId=32086184", "https://web.datatree.com/?/property?propertyId=32086184")</f>
        <v>https://web.datatree.com/?/property?propertyId=32086184</v>
      </c>
      <c r="Q389" t="s">
        <v>316</v>
      </c>
      <c>
        <v>0.351</v>
      </c>
      <c t="s">
        <v>45031</v>
      </c>
      <c r="U389" t="s">
        <v>20972</v>
      </c>
      <c r="W389" t="s">
        <v>26919</v>
      </c>
      <c t="s">
        <v>55821</v>
      </c>
      <c t="s">
        <v>47150</v>
      </c>
      <c t="s">
        <v>2517</v>
      </c>
      <c t="s">
        <v>39289</v>
      </c>
      <c>
        <v>33909</v>
      </c>
      <c t="s">
        <v>19793</v>
      </c>
      <c t="s">
        <v>48794</v>
      </c>
      <c t="s">
        <v>6954</v>
      </c>
      <c>
        <v>2459</v>
      </c>
      <c r="AI389" t="s">
        <v>2466</v>
      </c>
      <c t="s">
        <v>835</v>
      </c>
      <c r="AL389" t="s">
        <v>968</v>
      </c>
      <c r="AN389" t="s">
        <v>39289</v>
      </c>
      <c t="s">
        <v>20250</v>
      </c>
      <c t="s">
        <v>9570</v>
      </c>
      <c t="s">
        <v>3093</v>
      </c>
      <c s="2" t="s">
        <v>42234</v>
      </c>
    </row>
    <row>
      <c t="s">
        <v>17594</v>
      </c>
      <c t="s">
        <v>28485</v>
      </c>
      <c t="s">
        <v>7583</v>
      </c>
      <c t="s">
        <v>64295</v>
      </c>
      <c t="s">
        <v>42083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90" s="1" t="str">
        <f ca="1">HYPERLINK("https://web.datatree.com/?/property?propertyId=32086560", "https://web.datatree.com/?/property?propertyId=32086560")</f>
        <v>https://web.datatree.com/?/property?propertyId=32086560</v>
      </c>
      <c r="Q390" t="s">
        <v>316</v>
      </c>
      <c>
        <v>0.23</v>
      </c>
      <c t="s">
        <v>6175</v>
      </c>
      <c t="s">
        <v>55603</v>
      </c>
      <c t="s">
        <v>8657</v>
      </c>
      <c r="X390" t="s">
        <v>16435</v>
      </c>
      <c t="s">
        <v>30928</v>
      </c>
      <c t="s">
        <v>2517</v>
      </c>
      <c t="s">
        <v>39289</v>
      </c>
      <c>
        <v>33909</v>
      </c>
      <c t="s">
        <v>23431</v>
      </c>
      <c t="s">
        <v>48794</v>
      </c>
      <c t="s">
        <v>62146</v>
      </c>
      <c>
        <v>2301</v>
      </c>
      <c r="AI390" t="s">
        <v>18478</v>
      </c>
      <c t="s">
        <v>1671</v>
      </c>
      <c>
        <v>1506</v>
      </c>
      <c t="s">
        <v>28490</v>
      </c>
      <c t="s">
        <v>28490</v>
      </c>
      <c t="s">
        <v>39289</v>
      </c>
      <c t="s">
        <v>63044</v>
      </c>
      <c t="s">
        <v>7361</v>
      </c>
      <c t="s">
        <v>3093</v>
      </c>
      <c t="s">
        <v>41334</v>
      </c>
    </row>
    <row>
      <c t="s">
        <v>17594</v>
      </c>
      <c t="s">
        <v>32035</v>
      </c>
      <c t="s">
        <v>20764</v>
      </c>
      <c t="s">
        <v>16521</v>
      </c>
      <c t="s">
        <v>22588</v>
      </c>
      <c s="3">
        <v>15788</v>
      </c>
      <c s="3">
        <v>15788</v>
      </c>
      <c s="3">
        <v>8250</v>
      </c>
      <c>
        <v>0</v>
      </c>
      <c s="3">
        <v>0</v>
      </c>
      <c s="3">
        <v>554.73</v>
      </c>
      <c s="3">
        <v>15788</v>
      </c>
      <c r="O391" s="1" t="str">
        <f ca="1">HYPERLINK("https://web.datatree.com/?/property?propertyId=32087412", "https://web.datatree.com/?/property?propertyId=32087412")</f>
        <v>https://web.datatree.com/?/property?propertyId=32087412</v>
      </c>
      <c r="Q391" t="s">
        <v>316</v>
      </c>
      <c>
        <v>0.25</v>
      </c>
      <c t="s">
        <v>6175</v>
      </c>
      <c t="s">
        <v>64413</v>
      </c>
      <c t="s">
        <v>58843</v>
      </c>
      <c r="X391" t="s">
        <v>8952</v>
      </c>
      <c t="s">
        <v>13065</v>
      </c>
      <c t="s">
        <v>2517</v>
      </c>
      <c t="s">
        <v>39289</v>
      </c>
      <c>
        <v>33909</v>
      </c>
      <c t="s">
        <v>27416</v>
      </c>
      <c t="s">
        <v>48794</v>
      </c>
      <c t="s">
        <v>7681</v>
      </c>
      <c>
        <v>31</v>
      </c>
      <c r="AI391" t="s">
        <v>58688</v>
      </c>
      <c t="s">
        <v>24900</v>
      </c>
      <c r="AL391" t="s">
        <v>13883</v>
      </c>
      <c r="AN391" t="s">
        <v>10909</v>
      </c>
      <c t="s">
        <v>41655</v>
      </c>
      <c r="AQ391" t="s">
        <v>27814</v>
      </c>
      <c t="s">
        <v>34364</v>
      </c>
    </row>
    <row>
      <c t="s">
        <v>17594</v>
      </c>
      <c t="s">
        <v>32310</v>
      </c>
      <c t="s">
        <v>46258</v>
      </c>
      <c t="s">
        <v>22124</v>
      </c>
      <c t="s">
        <v>5334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392" s="1" t="str">
        <f ca="1">HYPERLINK("https://web.datatree.com/?/property?propertyId=32087994", "https://web.datatree.com/?/property?propertyId=32087994")</f>
        <v>https://web.datatree.com/?/property?propertyId=32087994</v>
      </c>
      <c r="Q392" t="s">
        <v>316</v>
      </c>
      <c>
        <v>0.241</v>
      </c>
      <c t="s">
        <v>6175</v>
      </c>
      <c t="s">
        <v>3612</v>
      </c>
      <c t="s">
        <v>11530</v>
      </c>
      <c r="X392" t="s">
        <v>28702</v>
      </c>
      <c t="s">
        <v>13065</v>
      </c>
      <c t="s">
        <v>2517</v>
      </c>
      <c t="s">
        <v>39289</v>
      </c>
      <c>
        <v>33909</v>
      </c>
      <c t="s">
        <v>18531</v>
      </c>
      <c t="s">
        <v>48794</v>
      </c>
      <c t="s">
        <v>445</v>
      </c>
      <c>
        <v>46</v>
      </c>
      <c r="AI392" t="s">
        <v>37788</v>
      </c>
      <c t="s">
        <v>45393</v>
      </c>
      <c r="AL392" t="s">
        <v>31522</v>
      </c>
      <c r="AN392" t="s">
        <v>19878</v>
      </c>
      <c>
        <v>38523</v>
      </c>
      <c r="AR392" t="s">
        <v>11384</v>
      </c>
    </row>
    <row>
      <c t="s">
        <v>17594</v>
      </c>
      <c t="s">
        <v>44598</v>
      </c>
      <c t="s">
        <v>5344</v>
      </c>
      <c t="s">
        <v>26471</v>
      </c>
      <c t="s">
        <v>63372</v>
      </c>
      <c s="3">
        <v>88417</v>
      </c>
      <c s="3">
        <v>74250</v>
      </c>
      <c s="3">
        <v>88417</v>
      </c>
      <c>
        <v>0</v>
      </c>
      <c s="3">
        <v>0</v>
      </c>
      <c s="3">
        <v>1328.63</v>
      </c>
      <c s="3">
        <v>88417</v>
      </c>
      <c r="O393" s="1" t="str">
        <f ca="1">HYPERLINK("https://web.datatree.com/?/property?propertyId=32088025", "https://web.datatree.com/?/property?propertyId=32088025")</f>
        <v>https://web.datatree.com/?/property?propertyId=32088025</v>
      </c>
      <c r="Q393" t="s">
        <v>316</v>
      </c>
      <c>
        <v>0.103</v>
      </c>
      <c t="s">
        <v>26492</v>
      </c>
      <c r="U393" t="s">
        <v>50175</v>
      </c>
      <c r="W393" t="s">
        <v>44095</v>
      </c>
      <c t="s">
        <v>31141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27711</v>
      </c>
      <c>
        <v>8063</v>
      </c>
      <c r="AI393" t="s">
        <v>34620</v>
      </c>
      <c t="s">
        <v>45620</v>
      </c>
      <c r="AL393" t="s">
        <v>42404</v>
      </c>
      <c t="s">
        <v>40227</v>
      </c>
      <c t="s">
        <v>51087</v>
      </c>
      <c t="s">
        <v>7643</v>
      </c>
      <c t="s">
        <v>56028</v>
      </c>
      <c t="s">
        <v>3093</v>
      </c>
      <c t="s">
        <v>58432</v>
      </c>
    </row>
    <row>
      <c t="s">
        <v>42103</v>
      </c>
      <c t="s">
        <v>14551</v>
      </c>
      <c t="s">
        <v>29832</v>
      </c>
      <c t="s">
        <v>29458</v>
      </c>
      <c t="s">
        <v>50892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>
        <v>2021</v>
      </c>
      <c>
        <v>544.98</v>
      </c>
      <c s="1" t="str">
        <f ca="1">HYPERLINK("https://web.datatree.com/?/property?propertyId=32089225", "https://web.datatree.com/?/property?propertyId=32089225")</f>
        <v>https://web.datatree.com/?/property?propertyId=32089225</v>
      </c>
      <c r="Q394" t="s">
        <v>316</v>
      </c>
      <c>
        <v>0.23</v>
      </c>
      <c t="s">
        <v>22490</v>
      </c>
      <c t="s">
        <v>28993</v>
      </c>
      <c t="s">
        <v>48003</v>
      </c>
      <c t="s">
        <v>39135</v>
      </c>
      <c t="s">
        <v>20579</v>
      </c>
      <c t="s">
        <v>53718</v>
      </c>
      <c t="s">
        <v>41506</v>
      </c>
      <c t="s">
        <v>2517</v>
      </c>
      <c t="s">
        <v>39289</v>
      </c>
      <c>
        <v>33909</v>
      </c>
      <c t="s">
        <v>318</v>
      </c>
      <c t="s">
        <v>48794</v>
      </c>
      <c t="s">
        <v>13845</v>
      </c>
      <c t="s">
        <v>2261</v>
      </c>
      <c r="AI394" t="s">
        <v>40981</v>
      </c>
      <c r="AL394" t="s">
        <v>19220</v>
      </c>
      <c r="AN394" t="s">
        <v>14798</v>
      </c>
      <c r="AQ394" t="s">
        <v>3093</v>
      </c>
      <c t="s">
        <v>46788</v>
      </c>
    </row>
    <row>
      <c t="s">
        <v>17594</v>
      </c>
      <c t="s">
        <v>19651</v>
      </c>
      <c t="s">
        <v>16661</v>
      </c>
      <c t="s">
        <v>13508</v>
      </c>
      <c t="s">
        <v>63927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95" s="1" t="str">
        <f ca="1">HYPERLINK("https://web.datatree.com/?/property?propertyId=32090005", "https://web.datatree.com/?/property?propertyId=32090005")</f>
        <v>https://web.datatree.com/?/property?propertyId=32090005</v>
      </c>
      <c r="Q395" t="s">
        <v>316</v>
      </c>
      <c>
        <v>0.23</v>
      </c>
      <c t="s">
        <v>22490</v>
      </c>
      <c t="s">
        <v>19112</v>
      </c>
      <c t="s">
        <v>54444</v>
      </c>
      <c r="X395" t="s">
        <v>59900</v>
      </c>
      <c t="s">
        <v>25017</v>
      </c>
      <c t="s">
        <v>2517</v>
      </c>
      <c t="s">
        <v>39289</v>
      </c>
      <c>
        <v>33909</v>
      </c>
      <c t="s">
        <v>33712</v>
      </c>
      <c t="s">
        <v>48794</v>
      </c>
      <c t="s">
        <v>42927</v>
      </c>
      <c>
        <v>2099</v>
      </c>
      <c r="AI395" t="s">
        <v>13928</v>
      </c>
      <c t="s">
        <v>45620</v>
      </c>
      <c r="AL395" t="s">
        <v>46183</v>
      </c>
      <c r="AN395" t="s">
        <v>3034</v>
      </c>
      <c t="s">
        <v>94</v>
      </c>
      <c t="s">
        <v>14695</v>
      </c>
      <c t="s">
        <v>3093</v>
      </c>
      <c t="s">
        <v>23452</v>
      </c>
    </row>
    <row>
      <c t="s">
        <v>42103</v>
      </c>
      <c t="s">
        <v>15003</v>
      </c>
      <c t="s">
        <v>41798</v>
      </c>
      <c t="s">
        <v>57732</v>
      </c>
      <c t="s">
        <v>63324</v>
      </c>
      <c s="3">
        <v>1200</v>
      </c>
      <c s="3">
        <v>1200</v>
      </c>
      <c s="3">
        <v>1200</v>
      </c>
      <c>
        <v>0</v>
      </c>
      <c s="3">
        <v>0</v>
      </c>
      <c s="3">
        <v>263.9</v>
      </c>
      <c s="3">
        <v>1200</v>
      </c>
      <c r="O396" s="1" t="str">
        <f ca="1">HYPERLINK("https://web.datatree.com/?/property?propertyId=32090295", "https://web.datatree.com/?/property?propertyId=32090295")</f>
        <v>https://web.datatree.com/?/property?propertyId=32090295</v>
      </c>
      <c r="Q396" t="s">
        <v>316</v>
      </c>
      <c>
        <v>0.09</v>
      </c>
      <c t="s">
        <v>42044</v>
      </c>
      <c t="s">
        <v>31447</v>
      </c>
      <c t="s">
        <v>21783</v>
      </c>
      <c r="X396" t="s">
        <v>48069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8472</v>
      </c>
      <c r="AI396" t="s">
        <v>32485</v>
      </c>
      <c t="s">
        <v>29535</v>
      </c>
      <c t="s">
        <v>63106</v>
      </c>
      <c t="s">
        <v>25991</v>
      </c>
      <c r="AN396" t="s">
        <v>58811</v>
      </c>
      <c t="s">
        <v>9160</v>
      </c>
      <c r="AQ396" t="s">
        <v>27814</v>
      </c>
      <c t="s">
        <v>11394</v>
      </c>
    </row>
    <row>
      <c t="s">
        <v>17594</v>
      </c>
      <c t="s">
        <v>12254</v>
      </c>
      <c t="s">
        <v>57250</v>
      </c>
      <c t="s">
        <v>39414</v>
      </c>
      <c t="s">
        <v>11141</v>
      </c>
      <c s="3">
        <v>52640</v>
      </c>
      <c s="3">
        <v>52640</v>
      </c>
      <c s="3">
        <v>12100</v>
      </c>
      <c>
        <v>0</v>
      </c>
      <c s="3">
        <v>0</v>
      </c>
      <c s="3">
        <v>790.85</v>
      </c>
      <c s="3">
        <v>52640</v>
      </c>
      <c r="O397" s="1" t="str">
        <f ca="1">HYPERLINK("https://web.datatree.com/?/property?propertyId=32090642", "https://web.datatree.com/?/property?propertyId=32090642")</f>
        <v>https://web.datatree.com/?/property?propertyId=32090642</v>
      </c>
      <c r="Q397" t="s">
        <v>316</v>
      </c>
      <c>
        <v>0.23</v>
      </c>
      <c t="s">
        <v>22490</v>
      </c>
      <c t="s">
        <v>24409</v>
      </c>
      <c t="s">
        <v>38103</v>
      </c>
      <c t="s">
        <v>5759</v>
      </c>
      <c t="s">
        <v>38103</v>
      </c>
      <c t="s">
        <v>57664</v>
      </c>
      <c t="s">
        <v>49122</v>
      </c>
      <c t="s">
        <v>2517</v>
      </c>
      <c t="s">
        <v>39289</v>
      </c>
      <c>
        <v>33909</v>
      </c>
      <c t="s">
        <v>62323</v>
      </c>
      <c t="s">
        <v>48794</v>
      </c>
      <c t="s">
        <v>38628</v>
      </c>
      <c>
        <v>45</v>
      </c>
      <c r="AI397" t="s">
        <v>5929</v>
      </c>
      <c t="s">
        <v>24900</v>
      </c>
      <c r="AL397" t="s">
        <v>46985</v>
      </c>
      <c r="AN397" t="s">
        <v>50917</v>
      </c>
      <c t="s">
        <v>26115</v>
      </c>
      <c t="s">
        <v>19978</v>
      </c>
      <c t="s">
        <v>3093</v>
      </c>
      <c t="s">
        <v>2127</v>
      </c>
    </row>
    <row>
      <c t="s">
        <v>17594</v>
      </c>
      <c t="s">
        <v>22407</v>
      </c>
      <c t="s">
        <v>10187</v>
      </c>
      <c t="s">
        <v>27741</v>
      </c>
      <c t="s">
        <v>40416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98" s="1" t="str">
        <f ca="1">HYPERLINK("https://web.datatree.com/?/property?propertyId=32090656", "https://web.datatree.com/?/property?propertyId=32090656")</f>
        <v>https://web.datatree.com/?/property?propertyId=32090656</v>
      </c>
      <c r="Q398" t="s">
        <v>316</v>
      </c>
      <c>
        <v>0.23</v>
      </c>
      <c t="s">
        <v>22490</v>
      </c>
      <c t="s">
        <v>60395</v>
      </c>
      <c t="s">
        <v>62287</v>
      </c>
      <c r="X398" t="s">
        <v>49921</v>
      </c>
      <c t="s">
        <v>34136</v>
      </c>
      <c t="s">
        <v>2517</v>
      </c>
      <c t="s">
        <v>39289</v>
      </c>
      <c>
        <v>33909</v>
      </c>
      <c t="s">
        <v>35247</v>
      </c>
      <c t="s">
        <v>48794</v>
      </c>
      <c t="s">
        <v>3848</v>
      </c>
      <c>
        <v>112</v>
      </c>
      <c r="AI398" t="s">
        <v>34416</v>
      </c>
      <c t="s">
        <v>31192</v>
      </c>
      <c r="AL398" t="s">
        <v>55438</v>
      </c>
      <c t="s">
        <v>55438</v>
      </c>
      <c t="s">
        <v>39289</v>
      </c>
      <c t="s">
        <v>38207</v>
      </c>
      <c t="s">
        <v>42945</v>
      </c>
      <c t="s">
        <v>3093</v>
      </c>
      <c t="s">
        <v>2361</v>
      </c>
    </row>
    <row>
      <c t="s">
        <v>17594</v>
      </c>
      <c t="s">
        <v>65018</v>
      </c>
      <c t="s">
        <v>33972</v>
      </c>
      <c t="s">
        <v>18997</v>
      </c>
      <c t="s">
        <v>37537</v>
      </c>
      <c s="3">
        <v>7500</v>
      </c>
      <c s="3">
        <v>7500</v>
      </c>
      <c s="3">
        <v>7500</v>
      </c>
      <c>
        <v>0</v>
      </c>
      <c s="3">
        <v>0</v>
      </c>
      <c s="3">
        <v>519.76</v>
      </c>
      <c s="3">
        <v>7500</v>
      </c>
      <c>
        <v>2019</v>
      </c>
      <c>
        <v>2673.07</v>
      </c>
      <c s="1" t="str">
        <f ca="1">HYPERLINK("https://web.datatree.com/?/property?propertyId=32090968", "https://web.datatree.com/?/property?propertyId=32090968")</f>
        <v>https://web.datatree.com/?/property?propertyId=32090968</v>
      </c>
      <c r="Q399" t="s">
        <v>316</v>
      </c>
      <c>
        <v>0.255</v>
      </c>
      <c t="s">
        <v>6175</v>
      </c>
      <c t="s">
        <v>17631</v>
      </c>
      <c t="s">
        <v>58169</v>
      </c>
      <c t="s">
        <v>54961</v>
      </c>
      <c t="s">
        <v>66222</v>
      </c>
      <c t="s">
        <v>31904</v>
      </c>
      <c t="s">
        <v>2626</v>
      </c>
      <c t="s">
        <v>2517</v>
      </c>
      <c t="s">
        <v>39289</v>
      </c>
      <c>
        <v>33909</v>
      </c>
      <c t="s">
        <v>48080</v>
      </c>
      <c t="s">
        <v>48794</v>
      </c>
      <c t="s">
        <v>45728</v>
      </c>
      <c>
        <v>145</v>
      </c>
      <c r="AI399" t="s">
        <v>66071</v>
      </c>
      <c t="s">
        <v>63316</v>
      </c>
      <c t="s">
        <v>17013</v>
      </c>
      <c t="s">
        <v>8109</v>
      </c>
      <c t="s">
        <v>13397</v>
      </c>
      <c t="s">
        <v>50917</v>
      </c>
      <c t="s">
        <v>57522</v>
      </c>
      <c t="s">
        <v>39331</v>
      </c>
      <c t="s">
        <v>3093</v>
      </c>
      <c t="s">
        <v>7891</v>
      </c>
    </row>
    <row>
      <c t="s">
        <v>17594</v>
      </c>
      <c t="s">
        <v>51032</v>
      </c>
      <c t="s">
        <v>5415</v>
      </c>
      <c t="s">
        <v>14837</v>
      </c>
      <c t="s">
        <v>61588</v>
      </c>
      <c s="3">
        <v>35622</v>
      </c>
      <c s="3">
        <v>35379</v>
      </c>
      <c s="3">
        <v>35554</v>
      </c>
      <c>
        <v>0</v>
      </c>
      <c s="3">
        <v>0</v>
      </c>
      <c s="3">
        <v>493.12</v>
      </c>
      <c s="3">
        <v>35622</v>
      </c>
      <c r="O400" s="1" t="str">
        <f ca="1">HYPERLINK("https://web.datatree.com/?/property?propertyId=32091691", "https://web.datatree.com/?/property?propertyId=32091691")</f>
        <v>https://web.datatree.com/?/property?propertyId=32091691</v>
      </c>
      <c r="Q400" t="s">
        <v>316</v>
      </c>
      <c>
        <v>0.046</v>
      </c>
      <c t="s">
        <v>54329</v>
      </c>
      <c t="s">
        <v>34458</v>
      </c>
      <c t="s">
        <v>29635</v>
      </c>
      <c r="X400" t="s">
        <v>7184</v>
      </c>
      <c t="s">
        <v>38537</v>
      </c>
      <c t="s">
        <v>65059</v>
      </c>
      <c t="s">
        <v>39289</v>
      </c>
      <c>
        <v>33908</v>
      </c>
      <c>
        <v>33908</v>
      </c>
      <c t="s">
        <v>48794</v>
      </c>
      <c t="s">
        <v>27028</v>
      </c>
      <c>
        <v>1921</v>
      </c>
      <c r="AI400" t="s">
        <v>46414</v>
      </c>
      <c t="s">
        <v>45620</v>
      </c>
      <c r="AL400" t="s">
        <v>59060</v>
      </c>
      <c r="AN400" t="s">
        <v>10909</v>
      </c>
      <c t="s">
        <v>26669</v>
      </c>
      <c r="AQ400" t="s">
        <v>27814</v>
      </c>
      <c t="s">
        <v>45469</v>
      </c>
      <c>
        <v>1984</v>
      </c>
    </row>
    <row>
      <c t="s">
        <v>17594</v>
      </c>
      <c t="s">
        <v>46060</v>
      </c>
      <c t="s">
        <v>40434</v>
      </c>
      <c t="s">
        <v>54748</v>
      </c>
      <c t="s">
        <v>13955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582.14</v>
      </c>
      <c s="1" t="str">
        <f ca="1">HYPERLINK("https://web.datatree.com/?/property?propertyId=32091910", "https://web.datatree.com/?/property?propertyId=32091910")</f>
        <v>https://web.datatree.com/?/property?propertyId=32091910</v>
      </c>
      <c r="Q401" t="s">
        <v>316</v>
      </c>
      <c>
        <v>0.23</v>
      </c>
      <c t="s">
        <v>42044</v>
      </c>
      <c t="s">
        <v>8762</v>
      </c>
      <c t="s">
        <v>7127</v>
      </c>
      <c t="s">
        <v>21379</v>
      </c>
      <c t="s">
        <v>7127</v>
      </c>
      <c t="s">
        <v>28742</v>
      </c>
      <c t="s">
        <v>13478</v>
      </c>
      <c t="s">
        <v>2517</v>
      </c>
      <c t="s">
        <v>39289</v>
      </c>
      <c>
        <v>33909</v>
      </c>
      <c t="s">
        <v>51450</v>
      </c>
      <c t="s">
        <v>48794</v>
      </c>
      <c t="s">
        <v>3570</v>
      </c>
      <c>
        <v>1</v>
      </c>
      <c r="AI401" t="s">
        <v>177</v>
      </c>
      <c t="s">
        <v>45393</v>
      </c>
      <c r="AL401" t="s">
        <v>46985</v>
      </c>
      <c r="AN401" t="s">
        <v>50917</v>
      </c>
      <c t="s">
        <v>35951</v>
      </c>
      <c t="s">
        <v>64128</v>
      </c>
      <c t="s">
        <v>3093</v>
      </c>
      <c t="s">
        <v>61932</v>
      </c>
    </row>
    <row>
      <c t="s">
        <v>17594</v>
      </c>
      <c t="s">
        <v>40018</v>
      </c>
      <c t="s">
        <v>13402</v>
      </c>
      <c t="s">
        <v>24063</v>
      </c>
      <c t="s">
        <v>12444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402" s="1" t="str">
        <f ca="1">HYPERLINK("https://web.datatree.com/?/property?propertyId=32092261", "https://web.datatree.com/?/property?propertyId=32092261")</f>
        <v>https://web.datatree.com/?/property?propertyId=32092261</v>
      </c>
      <c r="Q402" t="s">
        <v>316</v>
      </c>
      <c>
        <v>0.23</v>
      </c>
      <c t="s">
        <v>22490</v>
      </c>
      <c r="U402" t="s">
        <v>31498</v>
      </c>
      <c r="W402" t="s">
        <v>26020</v>
      </c>
      <c t="s">
        <v>66632</v>
      </c>
      <c t="s">
        <v>49122</v>
      </c>
      <c t="s">
        <v>2517</v>
      </c>
      <c t="s">
        <v>39289</v>
      </c>
      <c>
        <v>33909</v>
      </c>
      <c t="s">
        <v>8002</v>
      </c>
      <c t="s">
        <v>48794</v>
      </c>
      <c t="s">
        <v>47357</v>
      </c>
      <c>
        <v>812</v>
      </c>
      <c r="AI402" t="s">
        <v>17178</v>
      </c>
      <c t="s">
        <v>31192</v>
      </c>
      <c r="AL402" t="s">
        <v>27475</v>
      </c>
      <c r="AN402" t="s">
        <v>17134</v>
      </c>
      <c t="s">
        <v>33093</v>
      </c>
      <c t="s">
        <v>43313</v>
      </c>
      <c t="s">
        <v>3093</v>
      </c>
      <c t="s">
        <v>20696</v>
      </c>
    </row>
    <row>
      <c t="s">
        <v>42103</v>
      </c>
      <c t="s">
        <v>14101</v>
      </c>
      <c t="s">
        <v>58512</v>
      </c>
      <c t="s">
        <v>59992</v>
      </c>
      <c t="s">
        <v>49710</v>
      </c>
      <c s="3">
        <v>11250</v>
      </c>
      <c s="3">
        <v>11250</v>
      </c>
      <c s="3">
        <v>5324</v>
      </c>
      <c>
        <v>0</v>
      </c>
      <c s="3">
        <v>0</v>
      </c>
      <c s="3">
        <v>105.69</v>
      </c>
      <c s="3">
        <v>11250</v>
      </c>
      <c r="O403" s="1" t="str">
        <f ca="1">HYPERLINK("https://web.datatree.com/?/property?propertyId=32092281", "https://web.datatree.com/?/property?propertyId=32092281")</f>
        <v>https://web.datatree.com/?/property?propertyId=32092281</v>
      </c>
      <c r="Q403" t="s">
        <v>316</v>
      </c>
      <c>
        <v>0.181</v>
      </c>
      <c t="s">
        <v>5471</v>
      </c>
      <c t="s">
        <v>57869</v>
      </c>
      <c t="s">
        <v>37259</v>
      </c>
      <c r="X403" t="s">
        <v>56071</v>
      </c>
      <c t="s">
        <v>10524</v>
      </c>
      <c t="s">
        <v>65059</v>
      </c>
      <c t="s">
        <v>39289</v>
      </c>
      <c>
        <v>33905</v>
      </c>
      <c t="s">
        <v>1014</v>
      </c>
      <c t="s">
        <v>48794</v>
      </c>
      <c t="s">
        <v>54832</v>
      </c>
      <c r="AI403" t="s">
        <v>24978</v>
      </c>
      <c r="AL403" t="s">
        <v>9137</v>
      </c>
      <c r="AN403" t="s">
        <v>26443</v>
      </c>
      <c>
        <v>50078</v>
      </c>
      <c t="s">
        <v>61509</v>
      </c>
      <c t="s">
        <v>3093</v>
      </c>
      <c t="s">
        <v>32261</v>
      </c>
    </row>
    <row>
      <c t="s">
        <v>17594</v>
      </c>
      <c t="s">
        <v>19403</v>
      </c>
      <c t="s">
        <v>57554</v>
      </c>
      <c t="s">
        <v>18486</v>
      </c>
      <c t="s">
        <v>60664</v>
      </c>
      <c s="3">
        <v>81364</v>
      </c>
      <c s="3">
        <v>63500</v>
      </c>
      <c s="3">
        <v>79301</v>
      </c>
      <c>
        <v>0</v>
      </c>
      <c s="3">
        <v>0</v>
      </c>
      <c s="3">
        <v>1203.62</v>
      </c>
      <c s="3">
        <v>81364</v>
      </c>
      <c r="O404" s="1" t="str">
        <f ca="1">HYPERLINK("https://web.datatree.com/?/property?propertyId=32092579", "https://web.datatree.com/?/property?propertyId=32092579")</f>
        <v>https://web.datatree.com/?/property?propertyId=32092579</v>
      </c>
      <c r="Q404" t="s">
        <v>316</v>
      </c>
      <c>
        <v>0.094</v>
      </c>
      <c t="s">
        <v>26492</v>
      </c>
      <c t="s">
        <v>35571</v>
      </c>
      <c t="s">
        <v>42118</v>
      </c>
      <c t="s">
        <v>26314</v>
      </c>
      <c t="s">
        <v>42118</v>
      </c>
      <c t="s">
        <v>3508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32394</v>
      </c>
      <c>
        <v>10420</v>
      </c>
      <c r="AI404" t="s">
        <v>10308</v>
      </c>
      <c t="s">
        <v>45620</v>
      </c>
      <c r="AL404" t="s">
        <v>58655</v>
      </c>
      <c t="s">
        <v>40227</v>
      </c>
      <c t="s">
        <v>22275</v>
      </c>
      <c t="s">
        <v>16479</v>
      </c>
      <c t="s">
        <v>14695</v>
      </c>
      <c t="s">
        <v>3093</v>
      </c>
      <c t="s">
        <v>32327</v>
      </c>
    </row>
    <row>
      <c t="s">
        <v>17594</v>
      </c>
      <c t="s">
        <v>35372</v>
      </c>
      <c t="s">
        <v>18624</v>
      </c>
      <c t="s">
        <v>62595</v>
      </c>
      <c t="s">
        <v>8316</v>
      </c>
      <c s="3">
        <v>19990</v>
      </c>
      <c s="3">
        <v>19990</v>
      </c>
      <c s="3">
        <v>19990</v>
      </c>
      <c>
        <v>0</v>
      </c>
      <c s="3">
        <v>0</v>
      </c>
      <c s="3">
        <v>609.45</v>
      </c>
      <c s="3">
        <v>19990</v>
      </c>
      <c r="O405" s="1" t="str">
        <f ca="1">HYPERLINK("https://web.datatree.com/?/property?propertyId=32092897", "https://web.datatree.com/?/property?propertyId=32092897")</f>
        <v>https://web.datatree.com/?/property?propertyId=32092897</v>
      </c>
      <c r="Q405" t="s">
        <v>316</v>
      </c>
      <c>
        <v>0.23</v>
      </c>
      <c t="s">
        <v>22490</v>
      </c>
      <c t="s">
        <v>50343</v>
      </c>
      <c t="s">
        <v>30230</v>
      </c>
      <c t="s">
        <v>38445</v>
      </c>
      <c t="s">
        <v>30230</v>
      </c>
      <c t="s">
        <v>65060</v>
      </c>
      <c t="s">
        <v>53675</v>
      </c>
      <c t="s">
        <v>2517</v>
      </c>
      <c t="s">
        <v>39289</v>
      </c>
      <c>
        <v>33909</v>
      </c>
      <c t="s">
        <v>29773</v>
      </c>
      <c t="s">
        <v>48794</v>
      </c>
      <c t="s">
        <v>40174</v>
      </c>
      <c>
        <v>2409</v>
      </c>
      <c r="AI405" t="s">
        <v>64331</v>
      </c>
      <c t="s">
        <v>45393</v>
      </c>
      <c r="AL405" t="s">
        <v>2517</v>
      </c>
      <c t="s">
        <v>26641</v>
      </c>
      <c t="s">
        <v>39289</v>
      </c>
      <c t="s">
        <v>64396</v>
      </c>
      <c t="s">
        <v>48506</v>
      </c>
      <c t="s">
        <v>3093</v>
      </c>
      <c t="s">
        <v>12944</v>
      </c>
    </row>
    <row>
      <c t="s">
        <v>42103</v>
      </c>
      <c t="s">
        <v>9436</v>
      </c>
      <c t="s">
        <v>43904</v>
      </c>
      <c t="s">
        <v>17025</v>
      </c>
      <c t="s">
        <v>47791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06" s="1" t="str">
        <f ca="1">HYPERLINK("https://web.datatree.com/?/property?propertyId=32092928", "https://web.datatree.com/?/property?propertyId=32092928")</f>
        <v>https://web.datatree.com/?/property?propertyId=32092928</v>
      </c>
      <c r="Q406" t="s">
        <v>316</v>
      </c>
      <c>
        <v>0.23</v>
      </c>
      <c t="s">
        <v>22490</v>
      </c>
      <c t="s">
        <v>30720</v>
      </c>
      <c t="s">
        <v>57724</v>
      </c>
      <c t="s">
        <v>44058</v>
      </c>
      <c t="s">
        <v>57724</v>
      </c>
      <c t="s">
        <v>24281</v>
      </c>
      <c t="s">
        <v>24999</v>
      </c>
      <c t="s">
        <v>2517</v>
      </c>
      <c t="s">
        <v>39289</v>
      </c>
      <c>
        <v>33909</v>
      </c>
      <c t="s">
        <v>39242</v>
      </c>
      <c t="s">
        <v>48794</v>
      </c>
      <c t="s">
        <v>50573</v>
      </c>
      <c r="AI406" t="s">
        <v>63187</v>
      </c>
      <c r="AN406" t="s">
        <v>45933</v>
      </c>
      <c r="AR406" t="s">
        <v>41391</v>
      </c>
    </row>
    <row>
      <c t="s">
        <v>17594</v>
      </c>
      <c t="s">
        <v>62160</v>
      </c>
      <c t="s">
        <v>26457</v>
      </c>
      <c t="s">
        <v>50392</v>
      </c>
      <c t="s">
        <v>47129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407" s="1" t="str">
        <f ca="1">HYPERLINK("https://web.datatree.com/?/property?propertyId=32092987", "https://web.datatree.com/?/property?propertyId=32092987")</f>
        <v>https://web.datatree.com/?/property?propertyId=32092987</v>
      </c>
      <c r="Q407" t="s">
        <v>316</v>
      </c>
      <c>
        <v>0.23</v>
      </c>
      <c t="s">
        <v>6175</v>
      </c>
      <c t="s">
        <v>43826</v>
      </c>
      <c t="s">
        <v>36487</v>
      </c>
      <c r="X407" t="s">
        <v>21677</v>
      </c>
      <c t="s">
        <v>59763</v>
      </c>
      <c t="s">
        <v>2517</v>
      </c>
      <c t="s">
        <v>39289</v>
      </c>
      <c>
        <v>33909</v>
      </c>
      <c t="s">
        <v>59804</v>
      </c>
      <c t="s">
        <v>48794</v>
      </c>
      <c t="s">
        <v>12462</v>
      </c>
      <c>
        <v>11</v>
      </c>
      <c r="AI407" t="s">
        <v>38714</v>
      </c>
      <c t="s">
        <v>31192</v>
      </c>
      <c r="AL407" t="s">
        <v>46211</v>
      </c>
      <c r="AN407" t="s">
        <v>27747</v>
      </c>
      <c t="s">
        <v>62212</v>
      </c>
      <c t="s">
        <v>4797</v>
      </c>
      <c t="s">
        <v>3093</v>
      </c>
      <c t="s">
        <v>11814</v>
      </c>
    </row>
    <row>
      <c t="s">
        <v>17594</v>
      </c>
      <c t="s">
        <v>30573</v>
      </c>
      <c t="s">
        <v>66004</v>
      </c>
      <c t="s">
        <v>3510</v>
      </c>
      <c t="s">
        <v>4573</v>
      </c>
      <c s="3">
        <v>26464</v>
      </c>
      <c s="3">
        <v>26464</v>
      </c>
      <c s="3">
        <v>12018</v>
      </c>
      <c>
        <v>0</v>
      </c>
      <c s="3">
        <v>0</v>
      </c>
      <c s="3">
        <v>738.94</v>
      </c>
      <c s="3">
        <v>26464</v>
      </c>
      <c r="O408" s="1" t="str">
        <f ca="1">HYPERLINK("https://web.datatree.com/?/property?propertyId=32093103", "https://web.datatree.com/?/property?propertyId=32093103")</f>
        <v>https://web.datatree.com/?/property?propertyId=32093103</v>
      </c>
      <c r="Q408" t="s">
        <v>316</v>
      </c>
      <c>
        <v>0.344</v>
      </c>
      <c t="s">
        <v>45031</v>
      </c>
      <c t="s">
        <v>4754</v>
      </c>
      <c t="s">
        <v>29129</v>
      </c>
      <c r="X408" t="s">
        <v>31421</v>
      </c>
      <c t="s">
        <v>18679</v>
      </c>
      <c t="s">
        <v>2517</v>
      </c>
      <c t="s">
        <v>39289</v>
      </c>
      <c>
        <v>33909</v>
      </c>
      <c t="s">
        <v>7357</v>
      </c>
      <c t="s">
        <v>48794</v>
      </c>
      <c t="s">
        <v>18741</v>
      </c>
      <c>
        <v>9380</v>
      </c>
      <c r="AI408" t="s">
        <v>14776</v>
      </c>
      <c t="s">
        <v>45393</v>
      </c>
      <c r="AL408" t="s">
        <v>46989</v>
      </c>
      <c t="s">
        <v>46989</v>
      </c>
      <c t="s">
        <v>39289</v>
      </c>
      <c>
        <v>33316</v>
      </c>
      <c r="AQ408" t="s">
        <v>3093</v>
      </c>
      <c t="s">
        <v>39922</v>
      </c>
    </row>
    <row>
      <c t="s">
        <v>17594</v>
      </c>
      <c t="s">
        <v>39538</v>
      </c>
      <c t="s">
        <v>47070</v>
      </c>
      <c t="s">
        <v>40131</v>
      </c>
      <c t="s">
        <v>34485</v>
      </c>
      <c s="3">
        <v>7780</v>
      </c>
      <c s="3">
        <v>7780</v>
      </c>
      <c s="3">
        <v>5225</v>
      </c>
      <c>
        <v>0</v>
      </c>
      <c s="3">
        <v>0</v>
      </c>
      <c s="3">
        <v>92.43</v>
      </c>
      <c s="3">
        <v>7780</v>
      </c>
      <c>
        <v>2021</v>
      </c>
      <c>
        <v>116.55</v>
      </c>
      <c s="1" t="str">
        <f ca="1">HYPERLINK("https://web.datatree.com/?/property?propertyId=32093318", "https://web.datatree.com/?/property?propertyId=32093318")</f>
        <v>https://web.datatree.com/?/property?propertyId=32093318</v>
      </c>
      <c r="Q409" t="s">
        <v>316</v>
      </c>
      <c>
        <v>0.112</v>
      </c>
      <c t="s">
        <v>5471</v>
      </c>
      <c r="U409" t="s">
        <v>7969</v>
      </c>
      <c t="s">
        <v>11199</v>
      </c>
      <c t="s">
        <v>15209</v>
      </c>
      <c t="s">
        <v>66572</v>
      </c>
      <c t="s">
        <v>5630</v>
      </c>
      <c t="s">
        <v>65059</v>
      </c>
      <c t="s">
        <v>39289</v>
      </c>
      <c>
        <v>33905</v>
      </c>
      <c t="s">
        <v>3912</v>
      </c>
      <c t="s">
        <v>48794</v>
      </c>
      <c t="s">
        <v>29662</v>
      </c>
      <c>
        <v>9502</v>
      </c>
      <c r="AI409" t="s">
        <v>2567</v>
      </c>
      <c t="s">
        <v>24900</v>
      </c>
      <c r="AL409" t="s">
        <v>40925</v>
      </c>
      <c r="AN409" t="s">
        <v>65467</v>
      </c>
      <c t="s">
        <v>50170</v>
      </c>
      <c t="s">
        <v>27780</v>
      </c>
      <c t="s">
        <v>3093</v>
      </c>
      <c t="s">
        <v>63424</v>
      </c>
    </row>
    <row>
      <c t="s">
        <v>17594</v>
      </c>
      <c t="s">
        <v>7210</v>
      </c>
      <c t="s">
        <v>52876</v>
      </c>
      <c t="s">
        <v>15897</v>
      </c>
      <c t="s">
        <v>22614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>
        <v>2021</v>
      </c>
      <c>
        <v>593.96</v>
      </c>
      <c s="1" t="str">
        <f ca="1">HYPERLINK("https://web.datatree.com/?/property?propertyId=32094596", "https://web.datatree.com/?/property?propertyId=32094596")</f>
        <v>https://web.datatree.com/?/property?propertyId=32094596</v>
      </c>
      <c r="Q410" t="s">
        <v>316</v>
      </c>
      <c>
        <v>0.23</v>
      </c>
      <c t="s">
        <v>6175</v>
      </c>
      <c t="s">
        <v>27117</v>
      </c>
      <c t="s">
        <v>8384</v>
      </c>
      <c r="X410" t="s">
        <v>6877</v>
      </c>
      <c t="s">
        <v>17022</v>
      </c>
      <c t="s">
        <v>2517</v>
      </c>
      <c t="s">
        <v>39289</v>
      </c>
      <c>
        <v>33909</v>
      </c>
      <c t="s">
        <v>64028</v>
      </c>
      <c t="s">
        <v>48794</v>
      </c>
      <c t="s">
        <v>11399</v>
      </c>
      <c>
        <v>8521</v>
      </c>
      <c r="AI410" t="s">
        <v>34731</v>
      </c>
      <c t="s">
        <v>24900</v>
      </c>
      <c r="AL410" t="s">
        <v>40928</v>
      </c>
      <c r="AN410" t="s">
        <v>26016</v>
      </c>
      <c t="s">
        <v>48130</v>
      </c>
      <c t="s">
        <v>31626</v>
      </c>
      <c t="s">
        <v>3093</v>
      </c>
      <c t="s">
        <v>11029</v>
      </c>
    </row>
    <row>
      <c t="s">
        <v>17594</v>
      </c>
      <c t="s">
        <v>22281</v>
      </c>
      <c t="s">
        <v>19995</v>
      </c>
      <c t="s">
        <v>59629</v>
      </c>
      <c t="s">
        <v>14731</v>
      </c>
      <c s="3">
        <v>28210</v>
      </c>
      <c s="3">
        <v>28210</v>
      </c>
      <c s="3">
        <v>8712</v>
      </c>
      <c>
        <v>0</v>
      </c>
      <c s="3">
        <v>0</v>
      </c>
      <c s="3">
        <v>566.28</v>
      </c>
      <c s="3">
        <v>28210</v>
      </c>
      <c r="O411" s="1" t="str">
        <f ca="1">HYPERLINK("https://web.datatree.com/?/property?propertyId=32095183", "https://web.datatree.com/?/property?propertyId=32095183")</f>
        <v>https://web.datatree.com/?/property?propertyId=32095183</v>
      </c>
      <c r="Q411" t="s">
        <v>316</v>
      </c>
      <c>
        <v>0.23</v>
      </c>
      <c t="s">
        <v>6175</v>
      </c>
      <c t="s">
        <v>21379</v>
      </c>
      <c t="s">
        <v>18314</v>
      </c>
      <c r="X411" t="s">
        <v>27127</v>
      </c>
      <c t="s">
        <v>17022</v>
      </c>
      <c t="s">
        <v>2517</v>
      </c>
      <c t="s">
        <v>39289</v>
      </c>
      <c>
        <v>33909</v>
      </c>
      <c t="s">
        <v>40449</v>
      </c>
      <c t="s">
        <v>48794</v>
      </c>
      <c t="s">
        <v>44089</v>
      </c>
      <c>
        <v>11925</v>
      </c>
      <c r="AI411" t="s">
        <v>34731</v>
      </c>
      <c t="s">
        <v>24900</v>
      </c>
      <c t="s">
        <v>44616</v>
      </c>
      <c t="s">
        <v>55393</v>
      </c>
      <c t="s">
        <v>28490</v>
      </c>
      <c t="s">
        <v>39289</v>
      </c>
      <c t="s">
        <v>6216</v>
      </c>
      <c t="s">
        <v>18692</v>
      </c>
      <c t="s">
        <v>3093</v>
      </c>
      <c t="s">
        <v>6021</v>
      </c>
    </row>
    <row>
      <c t="s">
        <v>17594</v>
      </c>
      <c t="s">
        <v>41441</v>
      </c>
      <c t="s">
        <v>64178</v>
      </c>
      <c t="s">
        <v>5487</v>
      </c>
      <c t="s">
        <v>42786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412" s="1" t="str">
        <f ca="1">HYPERLINK("https://web.datatree.com/?/property?propertyId=32095472", "https://web.datatree.com/?/property?propertyId=32095472")</f>
        <v>https://web.datatree.com/?/property?propertyId=32095472</v>
      </c>
      <c r="Q412" t="s">
        <v>316</v>
      </c>
      <c>
        <v>0.23</v>
      </c>
      <c t="s">
        <v>22490</v>
      </c>
      <c t="s">
        <v>13342</v>
      </c>
      <c t="s">
        <v>7612</v>
      </c>
      <c r="X412" t="s">
        <v>24703</v>
      </c>
      <c t="s">
        <v>29190</v>
      </c>
      <c t="s">
        <v>2517</v>
      </c>
      <c t="s">
        <v>39289</v>
      </c>
      <c>
        <v>33909</v>
      </c>
      <c t="s">
        <v>28674</v>
      </c>
      <c t="s">
        <v>48794</v>
      </c>
      <c t="s">
        <v>44323</v>
      </c>
      <c>
        <v>8040</v>
      </c>
      <c r="AI412" t="s">
        <v>58014</v>
      </c>
      <c t="s">
        <v>1671</v>
      </c>
      <c r="AL412" t="s">
        <v>48150</v>
      </c>
      <c r="AN412" t="s">
        <v>39289</v>
      </c>
      <c t="s">
        <v>61069</v>
      </c>
      <c t="s">
        <v>17093</v>
      </c>
      <c t="s">
        <v>3093</v>
      </c>
      <c t="s">
        <v>59535</v>
      </c>
    </row>
    <row>
      <c t="s">
        <v>17594</v>
      </c>
      <c t="s">
        <v>22565</v>
      </c>
      <c t="s">
        <v>29945</v>
      </c>
      <c t="s">
        <v>60</v>
      </c>
      <c t="s">
        <v>24169</v>
      </c>
      <c s="3">
        <v>153232</v>
      </c>
      <c s="3">
        <v>153232</v>
      </c>
      <c s="3">
        <v>153232</v>
      </c>
      <c>
        <v>0</v>
      </c>
      <c s="3">
        <v>0</v>
      </c>
      <c s="3">
        <v>2490.77</v>
      </c>
      <c s="3">
        <v>153232</v>
      </c>
      <c r="O413" s="1" t="str">
        <f ca="1">HYPERLINK("https://web.datatree.com/?/property?propertyId=32096860", "https://web.datatree.com/?/property?propertyId=32096860")</f>
        <v>https://web.datatree.com/?/property?propertyId=32096860</v>
      </c>
      <c r="Q413" t="s">
        <v>316</v>
      </c>
      <c>
        <v>0.287</v>
      </c>
      <c t="s">
        <v>6175</v>
      </c>
      <c r="U413" t="s">
        <v>65815</v>
      </c>
      <c t="s">
        <v>33168</v>
      </c>
      <c t="s">
        <v>63248</v>
      </c>
      <c t="s">
        <v>31041</v>
      </c>
      <c t="s">
        <v>35789</v>
      </c>
      <c t="s">
        <v>2517</v>
      </c>
      <c t="s">
        <v>39289</v>
      </c>
      <c>
        <v>33904</v>
      </c>
      <c t="s">
        <v>38750</v>
      </c>
      <c t="s">
        <v>48794</v>
      </c>
      <c t="s">
        <v>13035</v>
      </c>
      <c>
        <v>1070</v>
      </c>
      <c r="AI413" t="s">
        <v>40129</v>
      </c>
      <c t="s">
        <v>31192</v>
      </c>
      <c>
        <v>101</v>
      </c>
      <c t="s">
        <v>51808</v>
      </c>
      <c t="s">
        <v>51808</v>
      </c>
      <c t="s">
        <v>14798</v>
      </c>
      <c t="s">
        <v>16301</v>
      </c>
      <c t="s">
        <v>62830</v>
      </c>
      <c t="s">
        <v>3093</v>
      </c>
      <c t="s">
        <v>34687</v>
      </c>
    </row>
    <row>
      <c t="s">
        <v>17594</v>
      </c>
      <c t="s">
        <v>15637</v>
      </c>
      <c t="s">
        <v>10893</v>
      </c>
      <c t="s">
        <v>50007</v>
      </c>
      <c t="s">
        <v>62382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414" s="1" t="str">
        <f ca="1">HYPERLINK("https://web.datatree.com/?/property?propertyId=32097165", "https://web.datatree.com/?/property?propertyId=32097165")</f>
        <v>https://web.datatree.com/?/property?propertyId=32097165</v>
      </c>
      <c r="Q414" t="s">
        <v>316</v>
      </c>
      <c>
        <v>0.23</v>
      </c>
      <c t="s">
        <v>6175</v>
      </c>
      <c t="s">
        <v>57869</v>
      </c>
      <c t="s">
        <v>41697</v>
      </c>
      <c r="X414" t="s">
        <v>56873</v>
      </c>
      <c t="s">
        <v>10653</v>
      </c>
      <c t="s">
        <v>2517</v>
      </c>
      <c t="s">
        <v>39289</v>
      </c>
      <c>
        <v>33909</v>
      </c>
      <c t="s">
        <v>36799</v>
      </c>
      <c t="s">
        <v>48794</v>
      </c>
      <c t="s">
        <v>9758</v>
      </c>
      <c>
        <v>3706</v>
      </c>
      <c r="AI414" t="s">
        <v>2646</v>
      </c>
      <c r="AK414" t="s">
        <v>28898</v>
      </c>
      <c t="s">
        <v>21600</v>
      </c>
      <c r="AN414" t="s">
        <v>65451</v>
      </c>
      <c t="s">
        <v>41121</v>
      </c>
      <c t="s">
        <v>43294</v>
      </c>
      <c t="s">
        <v>3093</v>
      </c>
      <c t="s">
        <v>1304</v>
      </c>
    </row>
    <row>
      <c t="s">
        <v>17594</v>
      </c>
      <c t="s">
        <v>9518</v>
      </c>
      <c t="s">
        <v>13817</v>
      </c>
      <c t="s">
        <v>45912</v>
      </c>
      <c t="s">
        <v>25244</v>
      </c>
      <c s="3">
        <v>17859</v>
      </c>
      <c s="3">
        <v>17859</v>
      </c>
      <c s="3">
        <v>8910</v>
      </c>
      <c>
        <v>0</v>
      </c>
      <c s="3">
        <v>0</v>
      </c>
      <c s="3">
        <v>566.28</v>
      </c>
      <c s="3">
        <v>17859</v>
      </c>
      <c r="O415" s="1" t="str">
        <f ca="1">HYPERLINK("https://web.datatree.com/?/property?propertyId=32097352", "https://web.datatree.com/?/property?propertyId=32097352")</f>
        <v>https://web.datatree.com/?/property?propertyId=32097352</v>
      </c>
      <c r="Q415" t="s">
        <v>316</v>
      </c>
      <c>
        <v>0.244</v>
      </c>
      <c t="s">
        <v>6175</v>
      </c>
      <c t="s">
        <v>44150</v>
      </c>
      <c t="s">
        <v>63937</v>
      </c>
      <c r="X415" t="s">
        <v>32392</v>
      </c>
      <c t="s">
        <v>15510</v>
      </c>
      <c t="s">
        <v>2517</v>
      </c>
      <c t="s">
        <v>39289</v>
      </c>
      <c>
        <v>33909</v>
      </c>
      <c t="s">
        <v>49520</v>
      </c>
      <c t="s">
        <v>48794</v>
      </c>
      <c t="s">
        <v>36111</v>
      </c>
      <c>
        <v>259</v>
      </c>
      <c r="AI415" t="s">
        <v>33179</v>
      </c>
      <c t="s">
        <v>45393</v>
      </c>
      <c r="AL415" t="s">
        <v>61009</v>
      </c>
      <c r="AN415" t="s">
        <v>26016</v>
      </c>
      <c t="s">
        <v>16160</v>
      </c>
      <c t="s">
        <v>21201</v>
      </c>
      <c t="s">
        <v>3093</v>
      </c>
      <c t="s">
        <v>13438</v>
      </c>
    </row>
    <row>
      <c t="s">
        <v>17594</v>
      </c>
      <c t="s">
        <v>17604</v>
      </c>
      <c t="s">
        <v>12647</v>
      </c>
      <c t="s">
        <v>63359</v>
      </c>
      <c t="s">
        <v>14431</v>
      </c>
      <c s="3">
        <v>14982</v>
      </c>
      <c s="3">
        <v>14982</v>
      </c>
      <c s="3">
        <v>5840</v>
      </c>
      <c>
        <v>0</v>
      </c>
      <c s="3">
        <v>0</v>
      </c>
      <c s="3">
        <v>342.26</v>
      </c>
      <c s="3">
        <v>14982</v>
      </c>
      <c r="O416" s="1" t="str">
        <f ca="1">HYPERLINK("https://web.datatree.com/?/property?propertyId=32098105", "https://web.datatree.com/?/property?propertyId=32098105")</f>
        <v>https://web.datatree.com/?/property?propertyId=32098105</v>
      </c>
      <c r="Q416" t="s">
        <v>316</v>
      </c>
      <c>
        <v>0.293</v>
      </c>
      <c t="s">
        <v>37489</v>
      </c>
      <c t="s">
        <v>52039</v>
      </c>
      <c t="s">
        <v>46764</v>
      </c>
      <c t="s">
        <v>56714</v>
      </c>
      <c t="s">
        <v>46764</v>
      </c>
      <c t="s">
        <v>25367</v>
      </c>
      <c t="s">
        <v>51919</v>
      </c>
      <c t="s">
        <v>65059</v>
      </c>
      <c t="s">
        <v>39289</v>
      </c>
      <c>
        <v>33905</v>
      </c>
      <c>
        <v>33905</v>
      </c>
      <c t="s">
        <v>48794</v>
      </c>
      <c t="s">
        <v>43001</v>
      </c>
      <c>
        <v>12339</v>
      </c>
      <c r="AI416" t="s">
        <v>30230</v>
      </c>
      <c t="s">
        <v>45620</v>
      </c>
      <c r="AL416" t="s">
        <v>31044</v>
      </c>
      <c t="s">
        <v>40227</v>
      </c>
      <c t="s">
        <v>18236</v>
      </c>
      <c t="s">
        <v>9529</v>
      </c>
      <c t="s">
        <v>30106</v>
      </c>
      <c t="s">
        <v>3093</v>
      </c>
      <c t="s">
        <v>2713</v>
      </c>
    </row>
    <row>
      <c t="s">
        <v>17594</v>
      </c>
      <c t="s">
        <v>49523</v>
      </c>
      <c t="s">
        <v>18678</v>
      </c>
      <c t="s">
        <v>26960</v>
      </c>
      <c t="s">
        <v>45197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17" s="1" t="str">
        <f ca="1">HYPERLINK("https://web.datatree.com/?/property?propertyId=32098322", "https://web.datatree.com/?/property?propertyId=32098322")</f>
        <v>https://web.datatree.com/?/property?propertyId=32098322</v>
      </c>
      <c r="Q417" t="s">
        <v>316</v>
      </c>
      <c>
        <v>0.23</v>
      </c>
      <c t="s">
        <v>6175</v>
      </c>
      <c t="s">
        <v>61517</v>
      </c>
      <c t="s">
        <v>47502</v>
      </c>
      <c t="s">
        <v>39210</v>
      </c>
      <c t="s">
        <v>7707</v>
      </c>
      <c t="s">
        <v>56996</v>
      </c>
      <c t="s">
        <v>34731</v>
      </c>
      <c t="s">
        <v>2517</v>
      </c>
      <c t="s">
        <v>39289</v>
      </c>
      <c>
        <v>33909</v>
      </c>
      <c t="s">
        <v>27174</v>
      </c>
      <c t="s">
        <v>48794</v>
      </c>
      <c t="s">
        <v>19524</v>
      </c>
      <c>
        <v>817</v>
      </c>
      <c r="AI417" t="s">
        <v>29275</v>
      </c>
      <c t="s">
        <v>45393</v>
      </c>
      <c r="AL417" t="s">
        <v>19286</v>
      </c>
      <c r="AN417" t="s">
        <v>39289</v>
      </c>
      <c t="s">
        <v>24461</v>
      </c>
      <c t="s">
        <v>35508</v>
      </c>
      <c t="s">
        <v>3093</v>
      </c>
      <c t="s">
        <v>30796</v>
      </c>
    </row>
    <row>
      <c t="s">
        <v>17594</v>
      </c>
      <c t="s">
        <v>28036</v>
      </c>
      <c t="s">
        <v>64163</v>
      </c>
      <c t="s">
        <v>32357</v>
      </c>
      <c t="s">
        <v>59568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18" s="1" t="str">
        <f ca="1">HYPERLINK("https://web.datatree.com/?/property?propertyId=32098643", "https://web.datatree.com/?/property?propertyId=32098643")</f>
        <v>https://web.datatree.com/?/property?propertyId=32098643</v>
      </c>
      <c r="Q418" t="s">
        <v>316</v>
      </c>
      <c>
        <v>0.23</v>
      </c>
      <c t="s">
        <v>6175</v>
      </c>
      <c t="s">
        <v>4348</v>
      </c>
      <c t="s">
        <v>38729</v>
      </c>
      <c t="s">
        <v>18934</v>
      </c>
      <c t="s">
        <v>38729</v>
      </c>
      <c t="s">
        <v>16413</v>
      </c>
      <c t="s">
        <v>23517</v>
      </c>
      <c t="s">
        <v>2517</v>
      </c>
      <c t="s">
        <v>39289</v>
      </c>
      <c>
        <v>33909</v>
      </c>
      <c t="s">
        <v>58741</v>
      </c>
      <c t="s">
        <v>48794</v>
      </c>
      <c t="s">
        <v>27228</v>
      </c>
      <c>
        <v>27141</v>
      </c>
      <c r="AI418" t="s">
        <v>30478</v>
      </c>
      <c t="s">
        <v>31192</v>
      </c>
      <c r="AL418" t="s">
        <v>60705</v>
      </c>
      <c r="AN418" t="s">
        <v>51087</v>
      </c>
      <c t="s">
        <v>21363</v>
      </c>
      <c t="s">
        <v>60160</v>
      </c>
      <c t="s">
        <v>3093</v>
      </c>
      <c t="s">
        <v>363</v>
      </c>
    </row>
    <row>
      <c t="s">
        <v>17594</v>
      </c>
      <c t="s">
        <v>33935</v>
      </c>
      <c t="s">
        <v>61798</v>
      </c>
      <c t="s">
        <v>11101</v>
      </c>
      <c t="s">
        <v>18152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>
        <v>2021</v>
      </c>
      <c>
        <v>393.2</v>
      </c>
      <c s="1" t="str">
        <f ca="1">HYPERLINK("https://web.datatree.com/?/property?propertyId=32098888", "https://web.datatree.com/?/property?propertyId=32098888")</f>
        <v>https://web.datatree.com/?/property?propertyId=32098888</v>
      </c>
      <c r="Q419" t="s">
        <v>316</v>
      </c>
      <c>
        <v>0.228</v>
      </c>
      <c t="s">
        <v>5471</v>
      </c>
      <c t="s">
        <v>552</v>
      </c>
      <c t="s">
        <v>705</v>
      </c>
      <c t="s">
        <v>27351</v>
      </c>
      <c t="s">
        <v>705</v>
      </c>
      <c t="s">
        <v>13452</v>
      </c>
      <c t="s">
        <v>17750</v>
      </c>
      <c t="s">
        <v>65059</v>
      </c>
      <c t="s">
        <v>39289</v>
      </c>
      <c>
        <v>33905</v>
      </c>
      <c t="s">
        <v>46457</v>
      </c>
      <c t="s">
        <v>48794</v>
      </c>
      <c t="s">
        <v>54298</v>
      </c>
      <c>
        <v>1</v>
      </c>
      <c r="AI419" t="s">
        <v>38639</v>
      </c>
      <c t="s">
        <v>40123</v>
      </c>
      <c r="AL419" t="s">
        <v>58662</v>
      </c>
      <c r="AN419" t="s">
        <v>50917</v>
      </c>
      <c t="s">
        <v>60830</v>
      </c>
      <c t="s">
        <v>17380</v>
      </c>
      <c t="s">
        <v>3093</v>
      </c>
      <c t="s">
        <v>27811</v>
      </c>
    </row>
    <row>
      <c t="s">
        <v>17594</v>
      </c>
      <c t="s">
        <v>33018</v>
      </c>
      <c t="s">
        <v>8982</v>
      </c>
      <c t="s">
        <v>30201</v>
      </c>
      <c t="s">
        <v>32597</v>
      </c>
      <c s="3">
        <v>731898</v>
      </c>
      <c s="3">
        <v>731898</v>
      </c>
      <c s="3">
        <v>612700</v>
      </c>
      <c>
        <v>0</v>
      </c>
      <c s="3">
        <v>0</v>
      </c>
      <c s="3">
        <v>10743.84</v>
      </c>
      <c s="3">
        <v>731898</v>
      </c>
      <c r="O420" s="1" t="str">
        <f ca="1">HYPERLINK("https://web.datatree.com/?/property?propertyId=32099428", "https://web.datatree.com/?/property?propertyId=32099428")</f>
        <v>https://web.datatree.com/?/property?propertyId=32099428</v>
      </c>
      <c r="Q420" t="s">
        <v>316</v>
      </c>
      <c>
        <v>0.291</v>
      </c>
      <c t="s">
        <v>22490</v>
      </c>
      <c t="s">
        <v>16811</v>
      </c>
      <c t="s">
        <v>75</v>
      </c>
      <c t="s">
        <v>62501</v>
      </c>
      <c t="s">
        <v>75</v>
      </c>
      <c t="s">
        <v>6610</v>
      </c>
      <c t="s">
        <v>50133</v>
      </c>
      <c t="s">
        <v>2517</v>
      </c>
      <c t="s">
        <v>39289</v>
      </c>
      <c>
        <v>33904</v>
      </c>
      <c t="s">
        <v>8542</v>
      </c>
      <c t="s">
        <v>48794</v>
      </c>
      <c t="s">
        <v>60281</v>
      </c>
      <c>
        <v>74</v>
      </c>
      <c r="AI420" t="s">
        <v>49905</v>
      </c>
      <c r="AL420" t="s">
        <v>45754</v>
      </c>
      <c t="s">
        <v>45754</v>
      </c>
      <c t="s">
        <v>64156</v>
      </c>
      <c>
        <v>83209</v>
      </c>
      <c r="AR420" t="s">
        <v>10477</v>
      </c>
    </row>
    <row>
      <c t="s">
        <v>17594</v>
      </c>
      <c t="s">
        <v>62248</v>
      </c>
      <c t="s">
        <v>51596</v>
      </c>
      <c t="s">
        <v>9087</v>
      </c>
      <c t="s">
        <v>48371</v>
      </c>
      <c s="3">
        <v>71224</v>
      </c>
      <c s="3">
        <v>63500</v>
      </c>
      <c s="3">
        <v>69264</v>
      </c>
      <c>
        <v>0</v>
      </c>
      <c s="3">
        <v>0</v>
      </c>
      <c s="3">
        <v>1052.78</v>
      </c>
      <c s="3">
        <v>71224</v>
      </c>
      <c r="O421" s="1" t="str">
        <f ca="1">HYPERLINK("https://web.datatree.com/?/property?propertyId=32099946", "https://web.datatree.com/?/property?propertyId=32099946")</f>
        <v>https://web.datatree.com/?/property?propertyId=32099946</v>
      </c>
      <c r="Q421" t="s">
        <v>316</v>
      </c>
      <c>
        <v>0.11</v>
      </c>
      <c t="s">
        <v>26492</v>
      </c>
      <c t="s">
        <v>30728</v>
      </c>
      <c t="s">
        <v>5679</v>
      </c>
      <c t="s">
        <v>65351</v>
      </c>
      <c t="s">
        <v>5679</v>
      </c>
      <c t="s">
        <v>56780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31877</v>
      </c>
      <c>
        <v>106</v>
      </c>
      <c r="AI421" t="s">
        <v>25968</v>
      </c>
      <c t="s">
        <v>56275</v>
      </c>
      <c r="AL421" t="s">
        <v>8558</v>
      </c>
      <c t="s">
        <v>40227</v>
      </c>
      <c t="s">
        <v>51137</v>
      </c>
      <c t="s">
        <v>48103</v>
      </c>
      <c t="s">
        <v>52247</v>
      </c>
      <c t="s">
        <v>3093</v>
      </c>
      <c t="s">
        <v>6225</v>
      </c>
      <c>
        <v>2005</v>
      </c>
    </row>
    <row>
      <c t="s">
        <v>17594</v>
      </c>
      <c t="s">
        <v>32728</v>
      </c>
      <c t="s">
        <v>5420</v>
      </c>
      <c t="s">
        <v>14500</v>
      </c>
      <c t="s">
        <v>49671</v>
      </c>
      <c s="3">
        <v>208412</v>
      </c>
      <c s="3">
        <v>193485</v>
      </c>
      <c s="3">
        <v>120964</v>
      </c>
      <c>
        <v>0</v>
      </c>
      <c s="3">
        <v>0</v>
      </c>
      <c s="3">
        <v>2390.92</v>
      </c>
      <c s="3">
        <v>208412</v>
      </c>
      <c>
        <v>2020</v>
      </c>
      <c>
        <v>11752.36</v>
      </c>
      <c s="1" t="str">
        <f ca="1">HYPERLINK("https://web.datatree.com/?/property?propertyId=32099968", "https://web.datatree.com/?/property?propertyId=32099968")</f>
        <v>https://web.datatree.com/?/property?propertyId=32099968</v>
      </c>
      <c r="Q422" t="s">
        <v>316</v>
      </c>
      <c>
        <v>0.23</v>
      </c>
      <c t="s">
        <v>22490</v>
      </c>
      <c t="s">
        <v>2140</v>
      </c>
      <c t="s">
        <v>3987</v>
      </c>
      <c r="X422" t="s">
        <v>7863</v>
      </c>
      <c t="s">
        <v>5115</v>
      </c>
      <c t="s">
        <v>2517</v>
      </c>
      <c t="s">
        <v>39289</v>
      </c>
      <c>
        <v>33904</v>
      </c>
      <c t="s">
        <v>6446</v>
      </c>
      <c t="s">
        <v>48794</v>
      </c>
      <c t="s">
        <v>63984</v>
      </c>
      <c r="AI422" t="s">
        <v>64495</v>
      </c>
      <c r="AL422" t="s">
        <v>8522</v>
      </c>
      <c r="AN422" t="s">
        <v>7234</v>
      </c>
      <c>
        <v>0</v>
      </c>
      <c r="AR422" t="s">
        <v>868</v>
      </c>
    </row>
    <row>
      <c t="s">
        <v>17594</v>
      </c>
      <c t="s">
        <v>5665</v>
      </c>
      <c t="s">
        <v>29361</v>
      </c>
      <c t="s">
        <v>41449</v>
      </c>
      <c t="s">
        <v>23013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423" s="1" t="str">
        <f ca="1">HYPERLINK("https://web.datatree.com/?/property?propertyId=32100055", "https://web.datatree.com/?/property?propertyId=32100055")</f>
        <v>https://web.datatree.com/?/property?propertyId=32100055</v>
      </c>
      <c r="Q423" t="s">
        <v>316</v>
      </c>
      <c>
        <v>0.23</v>
      </c>
      <c t="s">
        <v>6175</v>
      </c>
      <c t="s">
        <v>66846</v>
      </c>
      <c t="s">
        <v>20908</v>
      </c>
      <c t="s">
        <v>47715</v>
      </c>
      <c t="s">
        <v>20908</v>
      </c>
      <c t="s">
        <v>7809</v>
      </c>
      <c t="s">
        <v>39082</v>
      </c>
      <c t="s">
        <v>2517</v>
      </c>
      <c t="s">
        <v>39289</v>
      </c>
      <c>
        <v>33909</v>
      </c>
      <c t="s">
        <v>48455</v>
      </c>
      <c t="s">
        <v>48794</v>
      </c>
      <c t="s">
        <v>47139</v>
      </c>
      <c>
        <v>707</v>
      </c>
      <c r="AI423" t="s">
        <v>52918</v>
      </c>
      <c t="s">
        <v>64789</v>
      </c>
      <c r="AL423" t="s">
        <v>41482</v>
      </c>
      <c r="AN423" t="s">
        <v>66651</v>
      </c>
      <c t="s">
        <v>31087</v>
      </c>
      <c t="s">
        <v>4175</v>
      </c>
      <c t="s">
        <v>3093</v>
      </c>
      <c t="s">
        <v>44443</v>
      </c>
    </row>
    <row>
      <c t="s">
        <v>17594</v>
      </c>
      <c t="s">
        <v>5285</v>
      </c>
      <c t="s">
        <v>11335</v>
      </c>
      <c t="s">
        <v>15549</v>
      </c>
      <c t="s">
        <v>45094</v>
      </c>
      <c s="3">
        <v>19990</v>
      </c>
      <c s="3">
        <v>19990</v>
      </c>
      <c s="3">
        <v>10450</v>
      </c>
      <c>
        <v>0</v>
      </c>
      <c s="3">
        <v>0</v>
      </c>
      <c s="3">
        <v>597.57</v>
      </c>
      <c s="3">
        <v>19990</v>
      </c>
      <c r="O424" s="1" t="str">
        <f ca="1">HYPERLINK("https://web.datatree.com/?/property?propertyId=32100688", "https://web.datatree.com/?/property?propertyId=32100688")</f>
        <v>https://web.datatree.com/?/property?propertyId=32100688</v>
      </c>
      <c r="Q424" t="s">
        <v>316</v>
      </c>
      <c>
        <v>0.23</v>
      </c>
      <c t="s">
        <v>22490</v>
      </c>
      <c t="s">
        <v>57869</v>
      </c>
      <c t="s">
        <v>45919</v>
      </c>
      <c r="X424" t="s">
        <v>47319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37392</v>
      </c>
      <c>
        <v>35</v>
      </c>
      <c r="AI424" t="s">
        <v>65955</v>
      </c>
      <c t="s">
        <v>31192</v>
      </c>
      <c>
        <v>415</v>
      </c>
      <c t="s">
        <v>31482</v>
      </c>
      <c r="AN424" t="s">
        <v>19878</v>
      </c>
      <c t="s">
        <v>52685</v>
      </c>
      <c t="s">
        <v>22613</v>
      </c>
      <c t="s">
        <v>3093</v>
      </c>
      <c t="s">
        <v>64980</v>
      </c>
    </row>
    <row>
      <c t="s">
        <v>17594</v>
      </c>
      <c t="s">
        <v>14623</v>
      </c>
      <c t="s">
        <v>32635</v>
      </c>
      <c t="s">
        <v>37540</v>
      </c>
      <c t="s">
        <v>50556</v>
      </c>
      <c s="3">
        <v>81007</v>
      </c>
      <c s="3">
        <v>76242</v>
      </c>
      <c s="3">
        <v>78551</v>
      </c>
      <c>
        <v>0</v>
      </c>
      <c s="3">
        <v>0</v>
      </c>
      <c s="3">
        <v>1071.2</v>
      </c>
      <c s="3">
        <v>81007</v>
      </c>
      <c r="O425" s="1" t="str">
        <f ca="1">HYPERLINK("https://web.datatree.com/?/property?propertyId=32100852", "https://web.datatree.com/?/property?propertyId=32100852")</f>
        <v>https://web.datatree.com/?/property?propertyId=32100852</v>
      </c>
      <c r="Q425" t="s">
        <v>316</v>
      </c>
      <c>
        <v>0.148</v>
      </c>
      <c t="s">
        <v>5471</v>
      </c>
      <c t="s">
        <v>47977</v>
      </c>
      <c t="s">
        <v>56329</v>
      </c>
      <c r="X425" t="s">
        <v>14688</v>
      </c>
      <c t="s">
        <v>20898</v>
      </c>
      <c t="s">
        <v>65059</v>
      </c>
      <c t="s">
        <v>39289</v>
      </c>
      <c>
        <v>33905</v>
      </c>
      <c>
        <v>33905</v>
      </c>
      <c t="s">
        <v>48794</v>
      </c>
      <c t="s">
        <v>2872</v>
      </c>
      <c>
        <v>21739</v>
      </c>
      <c r="AI425" t="s">
        <v>22297</v>
      </c>
      <c t="s">
        <v>31192</v>
      </c>
      <c r="AL425" t="s">
        <v>29086</v>
      </c>
      <c t="s">
        <v>40227</v>
      </c>
      <c t="s">
        <v>17134</v>
      </c>
      <c t="s">
        <v>17969</v>
      </c>
      <c t="s">
        <v>40645</v>
      </c>
      <c t="s">
        <v>3093</v>
      </c>
      <c t="s">
        <v>20823</v>
      </c>
    </row>
    <row>
      <c t="s">
        <v>17594</v>
      </c>
      <c t="s">
        <v>17291</v>
      </c>
      <c t="s">
        <v>30656</v>
      </c>
      <c t="s">
        <v>16189</v>
      </c>
      <c t="s">
        <v>3232</v>
      </c>
      <c s="3">
        <v>28210</v>
      </c>
      <c s="3">
        <v>28210</v>
      </c>
      <c s="3">
        <v>9079</v>
      </c>
      <c>
        <v>0</v>
      </c>
      <c s="3">
        <v>0</v>
      </c>
      <c s="3">
        <v>2910.05</v>
      </c>
      <c s="3">
        <v>28210</v>
      </c>
      <c r="O426" s="1" t="str">
        <f ca="1">HYPERLINK("https://web.datatree.com/?/property?propertyId=32102232", "https://web.datatree.com/?/property?propertyId=32102232")</f>
        <v>https://web.datatree.com/?/property?propertyId=32102232</v>
      </c>
      <c r="Q426" t="s">
        <v>316</v>
      </c>
      <c>
        <v>0.23</v>
      </c>
      <c t="s">
        <v>6175</v>
      </c>
      <c t="s">
        <v>64106</v>
      </c>
      <c t="s">
        <v>34349</v>
      </c>
      <c r="X426" t="s">
        <v>32611</v>
      </c>
      <c t="s">
        <v>66701</v>
      </c>
      <c t="s">
        <v>2517</v>
      </c>
      <c t="s">
        <v>39289</v>
      </c>
      <c>
        <v>33909</v>
      </c>
      <c t="s">
        <v>59783</v>
      </c>
      <c t="s">
        <v>48794</v>
      </c>
      <c t="s">
        <v>65353</v>
      </c>
      <c>
        <v>99</v>
      </c>
      <c r="AI426" t="s">
        <v>47572</v>
      </c>
      <c t="s">
        <v>45393</v>
      </c>
      <c r="AL426" t="s">
        <v>12112</v>
      </c>
      <c r="AN426" t="s">
        <v>27747</v>
      </c>
      <c t="s">
        <v>42985</v>
      </c>
      <c t="s">
        <v>34162</v>
      </c>
      <c t="s">
        <v>3093</v>
      </c>
      <c t="s">
        <v>19314</v>
      </c>
    </row>
    <row>
      <c t="s">
        <v>17594</v>
      </c>
      <c t="s">
        <v>39078</v>
      </c>
      <c t="s">
        <v>1367</v>
      </c>
      <c t="s">
        <v>46533</v>
      </c>
      <c t="s">
        <v>25992</v>
      </c>
      <c s="3">
        <v>140867</v>
      </c>
      <c s="3">
        <v>140867</v>
      </c>
      <c s="3">
        <v>140867</v>
      </c>
      <c>
        <v>0</v>
      </c>
      <c s="3">
        <v>0</v>
      </c>
      <c s="3">
        <v>1897.72</v>
      </c>
      <c s="3">
        <v>140867</v>
      </c>
      <c>
        <v>2021</v>
      </c>
      <c>
        <v>1472.69</v>
      </c>
      <c s="1" t="str">
        <f ca="1">HYPERLINK("https://web.datatree.com/?/property?propertyId=32102316", "https://web.datatree.com/?/property?propertyId=32102316")</f>
        <v>https://web.datatree.com/?/property?propertyId=32102316</v>
      </c>
      <c r="Q427" t="s">
        <v>316</v>
      </c>
      <c>
        <v>11.22</v>
      </c>
      <c t="s">
        <v>30497</v>
      </c>
      <c t="s">
        <v>47362</v>
      </c>
      <c t="s">
        <v>34217</v>
      </c>
      <c t="s">
        <v>62589</v>
      </c>
      <c t="s">
        <v>45794</v>
      </c>
      <c t="s">
        <v>40973</v>
      </c>
      <c t="s">
        <v>21849</v>
      </c>
      <c t="s">
        <v>65059</v>
      </c>
      <c t="s">
        <v>39289</v>
      </c>
      <c>
        <v>33905</v>
      </c>
      <c t="s">
        <v>29447</v>
      </c>
      <c t="s">
        <v>48794</v>
      </c>
      <c t="s">
        <v>62752</v>
      </c>
      <c>
        <v>5668</v>
      </c>
      <c r="AI427" t="s">
        <v>22211</v>
      </c>
      <c t="s">
        <v>56275</v>
      </c>
      <c r="AL427" t="s">
        <v>33453</v>
      </c>
      <c t="s">
        <v>19597</v>
      </c>
      <c t="s">
        <v>32657</v>
      </c>
      <c t="s">
        <v>1645</v>
      </c>
      <c t="s">
        <v>49695</v>
      </c>
      <c t="s">
        <v>3093</v>
      </c>
      <c t="s">
        <v>7887</v>
      </c>
    </row>
    <row>
      <c t="s">
        <v>17594</v>
      </c>
      <c t="s">
        <v>15979</v>
      </c>
      <c t="s">
        <v>27401</v>
      </c>
      <c t="s">
        <v>1640</v>
      </c>
      <c t="s">
        <v>32953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 r="O428" s="1" t="str">
        <f ca="1">HYPERLINK("https://web.datatree.com/?/property?propertyId=32102633", "https://web.datatree.com/?/property?propertyId=32102633")</f>
        <v>https://web.datatree.com/?/property?propertyId=32102633</v>
      </c>
      <c r="Q428" t="s">
        <v>316</v>
      </c>
      <c>
        <v>0.244</v>
      </c>
      <c t="s">
        <v>6175</v>
      </c>
      <c t="s">
        <v>30490</v>
      </c>
      <c t="s">
        <v>64322</v>
      </c>
      <c t="s">
        <v>28505</v>
      </c>
      <c t="s">
        <v>64322</v>
      </c>
      <c t="s">
        <v>19603</v>
      </c>
      <c t="s">
        <v>18679</v>
      </c>
      <c t="s">
        <v>2517</v>
      </c>
      <c t="s">
        <v>39289</v>
      </c>
      <c>
        <v>33909</v>
      </c>
      <c t="s">
        <v>25376</v>
      </c>
      <c t="s">
        <v>48794</v>
      </c>
      <c t="s">
        <v>57494</v>
      </c>
      <c>
        <v>33</v>
      </c>
      <c r="AI428" t="s">
        <v>41846</v>
      </c>
      <c t="s">
        <v>1671</v>
      </c>
      <c r="AL428" t="s">
        <v>27755</v>
      </c>
      <c r="AN428" t="s">
        <v>50917</v>
      </c>
      <c t="s">
        <v>24985</v>
      </c>
      <c t="s">
        <v>1951</v>
      </c>
      <c t="s">
        <v>3093</v>
      </c>
      <c t="s">
        <v>39751</v>
      </c>
    </row>
    <row>
      <c t="s">
        <v>17594</v>
      </c>
      <c t="s">
        <v>11194</v>
      </c>
      <c t="s">
        <v>49024</v>
      </c>
      <c t="s">
        <v>43149</v>
      </c>
      <c t="s">
        <v>30714</v>
      </c>
      <c s="3">
        <v>14183</v>
      </c>
      <c s="3">
        <v>14183</v>
      </c>
      <c s="3">
        <v>14183</v>
      </c>
      <c>
        <v>0</v>
      </c>
      <c s="3">
        <v>0</v>
      </c>
      <c s="3">
        <v>212.34</v>
      </c>
      <c s="3">
        <v>14183</v>
      </c>
      <c r="O429" s="1" t="str">
        <f ca="1">HYPERLINK("https://web.datatree.com/?/property?propertyId=32102902", "https://web.datatree.com/?/property?propertyId=32102902")</f>
        <v>https://web.datatree.com/?/property?propertyId=32102902</v>
      </c>
      <c r="Q429" t="s">
        <v>316</v>
      </c>
      <c>
        <v>0.107</v>
      </c>
      <c t="s">
        <v>23582</v>
      </c>
      <c t="s">
        <v>552</v>
      </c>
      <c t="s">
        <v>45782</v>
      </c>
      <c t="s">
        <v>54548</v>
      </c>
      <c t="s">
        <v>45782</v>
      </c>
      <c t="s">
        <v>64726</v>
      </c>
      <c t="s">
        <v>53438</v>
      </c>
      <c t="s">
        <v>65059</v>
      </c>
      <c t="s">
        <v>39289</v>
      </c>
      <c>
        <v>33905</v>
      </c>
      <c t="s">
        <v>22824</v>
      </c>
      <c t="s">
        <v>48794</v>
      </c>
      <c t="s">
        <v>443</v>
      </c>
      <c>
        <v>71433</v>
      </c>
      <c r="AI429" t="s">
        <v>50729</v>
      </c>
      <c t="s">
        <v>45620</v>
      </c>
      <c r="AL429" t="s">
        <v>30742</v>
      </c>
      <c r="AN429" t="s">
        <v>51137</v>
      </c>
      <c t="s">
        <v>3321</v>
      </c>
      <c t="s">
        <v>52247</v>
      </c>
      <c t="s">
        <v>3093</v>
      </c>
      <c t="s">
        <v>26262</v>
      </c>
    </row>
    <row>
      <c t="s">
        <v>17594</v>
      </c>
      <c t="s">
        <v>21541</v>
      </c>
      <c t="s">
        <v>18352</v>
      </c>
      <c t="s">
        <v>13864</v>
      </c>
      <c t="s">
        <v>8859</v>
      </c>
      <c s="3">
        <v>8400</v>
      </c>
      <c s="3">
        <v>8400</v>
      </c>
      <c s="3">
        <v>8400</v>
      </c>
      <c>
        <v>0</v>
      </c>
      <c s="3">
        <v>0</v>
      </c>
      <c s="3">
        <v>588.22</v>
      </c>
      <c s="3">
        <v>8400</v>
      </c>
      <c r="O430" s="1" t="str">
        <f ca="1">HYPERLINK("https://web.datatree.com/?/property?propertyId=32103121", "https://web.datatree.com/?/property?propertyId=32103121")</f>
        <v>https://web.datatree.com/?/property?propertyId=32103121</v>
      </c>
      <c r="Q430" t="s">
        <v>316</v>
      </c>
      <c>
        <v>0.25</v>
      </c>
      <c t="s">
        <v>22490</v>
      </c>
      <c t="s">
        <v>19912</v>
      </c>
      <c t="s">
        <v>41714</v>
      </c>
      <c r="X430" t="s">
        <v>4555</v>
      </c>
      <c t="s">
        <v>34136</v>
      </c>
      <c t="s">
        <v>2517</v>
      </c>
      <c t="s">
        <v>39289</v>
      </c>
      <c>
        <v>33909</v>
      </c>
      <c t="s">
        <v>14463</v>
      </c>
      <c t="s">
        <v>48794</v>
      </c>
      <c t="s">
        <v>27496</v>
      </c>
      <c>
        <v>6610</v>
      </c>
      <c r="AI430" t="s">
        <v>29775</v>
      </c>
      <c t="s">
        <v>45393</v>
      </c>
      <c r="AL430" t="s">
        <v>23828</v>
      </c>
      <c t="s">
        <v>23828</v>
      </c>
      <c t="s">
        <v>39289</v>
      </c>
      <c t="s">
        <v>50228</v>
      </c>
      <c t="s">
        <v>43446</v>
      </c>
      <c t="s">
        <v>3093</v>
      </c>
      <c t="s">
        <v>22663</v>
      </c>
    </row>
    <row>
      <c t="s">
        <v>17594</v>
      </c>
      <c t="s">
        <v>61449</v>
      </c>
      <c t="s">
        <v>32928</v>
      </c>
      <c t="s">
        <v>5925</v>
      </c>
      <c t="s">
        <v>45834</v>
      </c>
      <c s="3">
        <v>8400</v>
      </c>
      <c s="3">
        <v>8400</v>
      </c>
      <c s="3">
        <v>8400</v>
      </c>
      <c>
        <v>0</v>
      </c>
      <c s="3">
        <v>0</v>
      </c>
      <c s="3">
        <v>620.44</v>
      </c>
      <c s="3">
        <v>8400</v>
      </c>
      <c r="O431" s="1" t="str">
        <f ca="1">HYPERLINK("https://web.datatree.com/?/property?propertyId=32103265", "https://web.datatree.com/?/property?propertyId=32103265")</f>
        <v>https://web.datatree.com/?/property?propertyId=32103265</v>
      </c>
      <c r="Q431" t="s">
        <v>316</v>
      </c>
      <c>
        <v>0.23</v>
      </c>
      <c t="s">
        <v>42044</v>
      </c>
      <c t="s">
        <v>3481</v>
      </c>
      <c t="s">
        <v>30664</v>
      </c>
      <c r="X431" t="s">
        <v>53057</v>
      </c>
      <c t="s">
        <v>7113</v>
      </c>
      <c t="s">
        <v>2517</v>
      </c>
      <c t="s">
        <v>39289</v>
      </c>
      <c>
        <v>33909</v>
      </c>
      <c t="s">
        <v>28696</v>
      </c>
      <c t="s">
        <v>48794</v>
      </c>
      <c t="s">
        <v>5819</v>
      </c>
      <c>
        <v>5002</v>
      </c>
      <c r="AI431" t="s">
        <v>63306</v>
      </c>
      <c t="s">
        <v>45393</v>
      </c>
      <c>
        <v>2</v>
      </c>
      <c t="s">
        <v>45506</v>
      </c>
      <c t="s">
        <v>13397</v>
      </c>
      <c t="s">
        <v>50917</v>
      </c>
      <c t="s">
        <v>62703</v>
      </c>
      <c t="s">
        <v>23744</v>
      </c>
      <c t="s">
        <v>3093</v>
      </c>
      <c t="s">
        <v>34690</v>
      </c>
    </row>
    <row>
      <c t="s">
        <v>17594</v>
      </c>
      <c t="s">
        <v>61984</v>
      </c>
      <c t="s">
        <v>41465</v>
      </c>
      <c t="s">
        <v>10840</v>
      </c>
      <c t="s">
        <v>66019</v>
      </c>
      <c s="3">
        <v>14830</v>
      </c>
      <c s="3">
        <v>14830</v>
      </c>
      <c s="3">
        <v>12991</v>
      </c>
      <c>
        <v>0</v>
      </c>
      <c s="3">
        <v>0</v>
      </c>
      <c s="3">
        <v>187.56</v>
      </c>
      <c s="3">
        <v>14830</v>
      </c>
      <c r="O432" s="1" t="str">
        <f ca="1">HYPERLINK("https://web.datatree.com/?/property?propertyId=32103834", "https://web.datatree.com/?/property?propertyId=32103834")</f>
        <v>https://web.datatree.com/?/property?propertyId=32103834</v>
      </c>
      <c r="Q432" t="s">
        <v>316</v>
      </c>
      <c>
        <v>0.22</v>
      </c>
      <c t="s">
        <v>5471</v>
      </c>
      <c t="s">
        <v>5789</v>
      </c>
      <c t="s">
        <v>31064</v>
      </c>
      <c t="s">
        <v>23659</v>
      </c>
      <c t="s">
        <v>2076</v>
      </c>
      <c t="s">
        <v>30903</v>
      </c>
      <c t="s">
        <v>31083</v>
      </c>
      <c t="s">
        <v>65059</v>
      </c>
      <c t="s">
        <v>39289</v>
      </c>
      <c>
        <v>33905</v>
      </c>
      <c t="s">
        <v>58069</v>
      </c>
      <c t="s">
        <v>48794</v>
      </c>
      <c t="s">
        <v>27498</v>
      </c>
      <c>
        <v>20</v>
      </c>
      <c r="AI432" t="s">
        <v>40594</v>
      </c>
      <c t="s">
        <v>55842</v>
      </c>
      <c r="AL432" t="s">
        <v>60879</v>
      </c>
      <c t="s">
        <v>60879</v>
      </c>
      <c t="s">
        <v>51137</v>
      </c>
      <c t="s">
        <v>36325</v>
      </c>
      <c t="s">
        <v>18692</v>
      </c>
      <c t="s">
        <v>3093</v>
      </c>
      <c t="s">
        <v>10831</v>
      </c>
    </row>
    <row>
      <c t="s">
        <v>17594</v>
      </c>
      <c t="s">
        <v>26201</v>
      </c>
      <c t="s">
        <v>25690</v>
      </c>
      <c t="s">
        <v>51963</v>
      </c>
      <c t="s">
        <v>66808</v>
      </c>
      <c s="3">
        <v>24937</v>
      </c>
      <c s="3">
        <v>24937</v>
      </c>
      <c s="3">
        <v>9079</v>
      </c>
      <c>
        <v>0</v>
      </c>
      <c s="3">
        <v>0</v>
      </c>
      <c s="3">
        <v>2910.05</v>
      </c>
      <c s="3">
        <v>24937</v>
      </c>
      <c r="O433" s="1" t="str">
        <f ca="1">HYPERLINK("https://web.datatree.com/?/property?propertyId=32104497", "https://web.datatree.com/?/property?propertyId=32104497")</f>
        <v>https://web.datatree.com/?/property?propertyId=32104497</v>
      </c>
      <c r="Q433" t="s">
        <v>316</v>
      </c>
      <c>
        <v>0.23</v>
      </c>
      <c t="s">
        <v>6175</v>
      </c>
      <c t="s">
        <v>20069</v>
      </c>
      <c t="s">
        <v>65015</v>
      </c>
      <c t="s">
        <v>32707</v>
      </c>
      <c t="s">
        <v>9592</v>
      </c>
      <c t="s">
        <v>65600</v>
      </c>
      <c t="s">
        <v>61865</v>
      </c>
      <c t="s">
        <v>2517</v>
      </c>
      <c t="s">
        <v>39289</v>
      </c>
      <c>
        <v>33909</v>
      </c>
      <c t="s">
        <v>12076</v>
      </c>
      <c t="s">
        <v>48794</v>
      </c>
      <c t="s">
        <v>5585</v>
      </c>
      <c>
        <v>7021</v>
      </c>
      <c r="AI433" t="s">
        <v>65677</v>
      </c>
      <c t="s">
        <v>24900</v>
      </c>
      <c r="AL433" t="s">
        <v>40928</v>
      </c>
      <c r="AN433" t="s">
        <v>26016</v>
      </c>
      <c t="s">
        <v>36620</v>
      </c>
      <c t="s">
        <v>66620</v>
      </c>
      <c t="s">
        <v>3093</v>
      </c>
      <c t="s">
        <v>22345</v>
      </c>
    </row>
    <row>
      <c t="s">
        <v>17594</v>
      </c>
      <c t="s">
        <v>32761</v>
      </c>
      <c t="s">
        <v>33297</v>
      </c>
      <c t="s">
        <v>45156</v>
      </c>
      <c t="s">
        <v>6227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34" s="1" t="str">
        <f ca="1">HYPERLINK("https://web.datatree.com/?/property?propertyId=32104635", "https://web.datatree.com/?/property?propertyId=32104635")</f>
        <v>https://web.datatree.com/?/property?propertyId=32104635</v>
      </c>
      <c r="Q434" t="s">
        <v>316</v>
      </c>
      <c>
        <v>0.23</v>
      </c>
      <c t="s">
        <v>6175</v>
      </c>
      <c t="s">
        <v>26000</v>
      </c>
      <c t="s">
        <v>24727</v>
      </c>
      <c r="X434" t="s">
        <v>17502</v>
      </c>
      <c t="s">
        <v>41506</v>
      </c>
      <c t="s">
        <v>2517</v>
      </c>
      <c t="s">
        <v>39289</v>
      </c>
      <c>
        <v>33909</v>
      </c>
      <c t="s">
        <v>50857</v>
      </c>
      <c t="s">
        <v>48794</v>
      </c>
      <c t="s">
        <v>3697</v>
      </c>
      <c>
        <v>4010</v>
      </c>
      <c r="AH434" t="s">
        <v>26580</v>
      </c>
      <c t="s">
        <v>49777</v>
      </c>
      <c t="s">
        <v>24900</v>
      </c>
      <c r="AL434" t="s">
        <v>65653</v>
      </c>
      <c t="s">
        <v>65653</v>
      </c>
      <c t="s">
        <v>39289</v>
      </c>
      <c t="s">
        <v>58167</v>
      </c>
      <c t="s">
        <v>26242</v>
      </c>
      <c t="s">
        <v>3093</v>
      </c>
      <c t="s">
        <v>22272</v>
      </c>
    </row>
    <row>
      <c t="s">
        <v>17594</v>
      </c>
      <c t="s">
        <v>1231</v>
      </c>
      <c t="s">
        <v>19970</v>
      </c>
      <c t="s">
        <v>29359</v>
      </c>
      <c t="s">
        <v>19311</v>
      </c>
      <c s="3">
        <v>34780</v>
      </c>
      <c s="3">
        <v>34780</v>
      </c>
      <c s="3">
        <v>29205</v>
      </c>
      <c>
        <v>0</v>
      </c>
      <c s="3">
        <v>0</v>
      </c>
      <c s="3">
        <v>942.57</v>
      </c>
      <c s="3">
        <v>34780</v>
      </c>
      <c r="O435" s="1" t="str">
        <f ca="1">HYPERLINK("https://web.datatree.com/?/property?propertyId=32105502", "https://web.datatree.com/?/property?propertyId=32105502")</f>
        <v>https://web.datatree.com/?/property?propertyId=32105502</v>
      </c>
      <c r="Q435" t="s">
        <v>316</v>
      </c>
      <c>
        <v>0.253</v>
      </c>
      <c t="s">
        <v>6175</v>
      </c>
      <c t="s">
        <v>4868</v>
      </c>
      <c t="s">
        <v>20879</v>
      </c>
      <c t="s">
        <v>64201</v>
      </c>
      <c t="s">
        <v>41448</v>
      </c>
      <c t="s">
        <v>21576</v>
      </c>
      <c t="s">
        <v>14534</v>
      </c>
      <c t="s">
        <v>2517</v>
      </c>
      <c t="s">
        <v>39289</v>
      </c>
      <c>
        <v>33909</v>
      </c>
      <c t="s">
        <v>29614</v>
      </c>
      <c t="s">
        <v>48794</v>
      </c>
      <c t="s">
        <v>11065</v>
      </c>
      <c>
        <v>121</v>
      </c>
      <c r="AI435" t="s">
        <v>2626</v>
      </c>
      <c t="s">
        <v>45393</v>
      </c>
      <c r="AL435" t="s">
        <v>14323</v>
      </c>
      <c r="AN435" t="s">
        <v>50917</v>
      </c>
      <c t="s">
        <v>35132</v>
      </c>
      <c t="s">
        <v>32746</v>
      </c>
      <c t="s">
        <v>3093</v>
      </c>
      <c t="s">
        <v>31061</v>
      </c>
    </row>
    <row>
      <c t="s">
        <v>17594</v>
      </c>
      <c t="s">
        <v>38858</v>
      </c>
      <c t="s">
        <v>58830</v>
      </c>
      <c t="s">
        <v>23150</v>
      </c>
      <c t="s">
        <v>6863</v>
      </c>
      <c s="3">
        <v>14982</v>
      </c>
      <c s="3">
        <v>14982</v>
      </c>
      <c s="3">
        <v>8843</v>
      </c>
      <c>
        <v>0</v>
      </c>
      <c s="3">
        <v>0</v>
      </c>
      <c s="3">
        <v>356.34</v>
      </c>
      <c s="3">
        <v>14982</v>
      </c>
      <c r="O436" s="1" t="str">
        <f ca="1">HYPERLINK("https://web.datatree.com/?/property?propertyId=32105534", "https://web.datatree.com/?/property?propertyId=32105534")</f>
        <v>https://web.datatree.com/?/property?propertyId=32105534</v>
      </c>
      <c r="Q436" t="s">
        <v>316</v>
      </c>
      <c>
        <v>0.247</v>
      </c>
      <c t="s">
        <v>5471</v>
      </c>
      <c t="s">
        <v>12497</v>
      </c>
      <c t="s">
        <v>3297</v>
      </c>
      <c t="s">
        <v>21921</v>
      </c>
      <c t="s">
        <v>55877</v>
      </c>
      <c t="s">
        <v>15676</v>
      </c>
      <c t="s">
        <v>51919</v>
      </c>
      <c t="s">
        <v>65059</v>
      </c>
      <c t="s">
        <v>39289</v>
      </c>
      <c>
        <v>33905</v>
      </c>
      <c t="s">
        <v>27263</v>
      </c>
      <c t="s">
        <v>48794</v>
      </c>
      <c t="s">
        <v>52422</v>
      </c>
      <c>
        <v>42</v>
      </c>
      <c r="AI436" t="s">
        <v>22624</v>
      </c>
      <c t="s">
        <v>4151</v>
      </c>
      <c r="AL436" t="s">
        <v>2407</v>
      </c>
      <c r="AN436" t="s">
        <v>10909</v>
      </c>
      <c t="s">
        <v>56095</v>
      </c>
      <c r="AQ436" t="s">
        <v>27814</v>
      </c>
      <c t="s">
        <v>65139</v>
      </c>
    </row>
    <row>
      <c t="s">
        <v>42103</v>
      </c>
      <c t="s">
        <v>11869</v>
      </c>
      <c t="s">
        <v>33477</v>
      </c>
      <c t="s">
        <v>31081</v>
      </c>
      <c t="s">
        <v>48023</v>
      </c>
      <c s="3">
        <v>7700</v>
      </c>
      <c s="3">
        <v>7700</v>
      </c>
      <c s="3">
        <v>7700</v>
      </c>
      <c>
        <v>0</v>
      </c>
      <c s="3">
        <v>0</v>
      </c>
      <c s="3">
        <v>626.2</v>
      </c>
      <c s="3">
        <v>7700</v>
      </c>
      <c r="O437" s="1" t="str">
        <f ca="1">HYPERLINK("https://web.datatree.com/?/property?propertyId=32105709", "https://web.datatree.com/?/property?propertyId=32105709")</f>
        <v>https://web.datatree.com/?/property?propertyId=32105709</v>
      </c>
      <c r="Q437" t="s">
        <v>316</v>
      </c>
      <c>
        <v>0.327</v>
      </c>
      <c t="s">
        <v>6175</v>
      </c>
      <c t="s">
        <v>5559</v>
      </c>
      <c t="s">
        <v>6910</v>
      </c>
      <c r="X437" t="s">
        <v>2375</v>
      </c>
      <c t="s">
        <v>22731</v>
      </c>
      <c t="s">
        <v>2517</v>
      </c>
      <c t="s">
        <v>39289</v>
      </c>
      <c>
        <v>33909</v>
      </c>
      <c t="s">
        <v>42328</v>
      </c>
      <c t="s">
        <v>48794</v>
      </c>
      <c t="s">
        <v>57906</v>
      </c>
      <c r="AI437" t="s">
        <v>20470</v>
      </c>
      <c r="AN437" t="s">
        <v>19878</v>
      </c>
      <c>
        <v>38523</v>
      </c>
      <c r="AR437" t="s">
        <v>41955</v>
      </c>
    </row>
    <row>
      <c t="s">
        <v>17594</v>
      </c>
      <c t="s">
        <v>53110</v>
      </c>
      <c t="s">
        <v>36344</v>
      </c>
      <c t="s">
        <v>1569</v>
      </c>
      <c t="s">
        <v>9981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38" s="1" t="str">
        <f ca="1">HYPERLINK("https://web.datatree.com/?/property?propertyId=32106011", "https://web.datatree.com/?/property?propertyId=32106011")</f>
        <v>https://web.datatree.com/?/property?propertyId=32106011</v>
      </c>
      <c r="Q438" t="s">
        <v>316</v>
      </c>
      <c>
        <v>0.231</v>
      </c>
      <c t="s">
        <v>6175</v>
      </c>
      <c t="s">
        <v>47977</v>
      </c>
      <c t="s">
        <v>40083</v>
      </c>
      <c t="s">
        <v>2140</v>
      </c>
      <c t="s">
        <v>40083</v>
      </c>
      <c t="s">
        <v>51731</v>
      </c>
      <c t="s">
        <v>13829</v>
      </c>
      <c t="s">
        <v>2517</v>
      </c>
      <c t="s">
        <v>39289</v>
      </c>
      <c>
        <v>33909</v>
      </c>
      <c t="s">
        <v>58456</v>
      </c>
      <c t="s">
        <v>48794</v>
      </c>
      <c t="s">
        <v>49334</v>
      </c>
      <c>
        <v>12045</v>
      </c>
      <c r="AI438" t="s">
        <v>63710</v>
      </c>
      <c t="s">
        <v>31192</v>
      </c>
      <c r="AL438" t="s">
        <v>11558</v>
      </c>
      <c r="AN438" t="s">
        <v>50829</v>
      </c>
      <c t="s">
        <v>27564</v>
      </c>
      <c t="s">
        <v>35479</v>
      </c>
      <c t="s">
        <v>3093</v>
      </c>
      <c t="s">
        <v>13889</v>
      </c>
    </row>
    <row>
      <c t="s">
        <v>17594</v>
      </c>
      <c t="s">
        <v>40857</v>
      </c>
      <c t="s">
        <v>18788</v>
      </c>
      <c t="s">
        <v>5498</v>
      </c>
      <c t="s">
        <v>51561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439" s="1" t="str">
        <f ca="1">HYPERLINK("https://web.datatree.com/?/property?propertyId=32106075", "https://web.datatree.com/?/property?propertyId=32106075")</f>
        <v>https://web.datatree.com/?/property?propertyId=32106075</v>
      </c>
      <c r="Q439" t="s">
        <v>316</v>
      </c>
      <c>
        <v>0.23</v>
      </c>
      <c t="s">
        <v>45031</v>
      </c>
      <c t="s">
        <v>5903</v>
      </c>
      <c t="s">
        <v>12369</v>
      </c>
      <c r="X439" t="s">
        <v>10038</v>
      </c>
      <c t="s">
        <v>2619</v>
      </c>
      <c t="s">
        <v>2517</v>
      </c>
      <c t="s">
        <v>39289</v>
      </c>
      <c>
        <v>33909</v>
      </c>
      <c t="s">
        <v>37237</v>
      </c>
      <c t="s">
        <v>48794</v>
      </c>
      <c t="s">
        <v>18996</v>
      </c>
      <c>
        <v>36</v>
      </c>
      <c r="AI439" t="s">
        <v>27827</v>
      </c>
      <c r="AL439" t="s">
        <v>18930</v>
      </c>
      <c r="AN439" t="s">
        <v>32840</v>
      </c>
      <c r="AR439" t="s">
        <v>28587</v>
      </c>
    </row>
    <row>
      <c t="s">
        <v>17594</v>
      </c>
      <c t="s">
        <v>53129</v>
      </c>
      <c t="s">
        <v>40939</v>
      </c>
      <c t="s">
        <v>22104</v>
      </c>
      <c t="s">
        <v>23692</v>
      </c>
      <c s="3">
        <v>29279</v>
      </c>
      <c s="3">
        <v>29279</v>
      </c>
      <c s="3">
        <v>21204</v>
      </c>
      <c>
        <v>0</v>
      </c>
      <c s="3">
        <v>0</v>
      </c>
      <c s="3">
        <v>341.15</v>
      </c>
      <c s="3">
        <v>29279</v>
      </c>
      <c r="O440" s="1" t="str">
        <f ca="1">HYPERLINK("https://web.datatree.com/?/property?propertyId=32106461", "https://web.datatree.com/?/property?propertyId=32106461")</f>
        <v>https://web.datatree.com/?/property?propertyId=32106461</v>
      </c>
      <c r="Q440" t="s">
        <v>316</v>
      </c>
      <c>
        <v>0.29</v>
      </c>
      <c t="s">
        <v>5471</v>
      </c>
      <c t="s">
        <v>48755</v>
      </c>
      <c t="s">
        <v>52113</v>
      </c>
      <c t="s">
        <v>41819</v>
      </c>
      <c t="s">
        <v>52113</v>
      </c>
      <c t="s">
        <v>21266</v>
      </c>
      <c t="s">
        <v>34463</v>
      </c>
      <c t="s">
        <v>65059</v>
      </c>
      <c t="s">
        <v>39289</v>
      </c>
      <c>
        <v>33908</v>
      </c>
      <c t="s">
        <v>55086</v>
      </c>
      <c t="s">
        <v>48794</v>
      </c>
      <c t="s">
        <v>29825</v>
      </c>
      <c>
        <v>2227</v>
      </c>
      <c r="AI440" t="s">
        <v>33179</v>
      </c>
      <c t="s">
        <v>24900</v>
      </c>
      <c r="AL440" t="s">
        <v>35789</v>
      </c>
      <c r="AN440" t="s">
        <v>19878</v>
      </c>
      <c t="s">
        <v>43919</v>
      </c>
      <c t="s">
        <v>27780</v>
      </c>
      <c t="s">
        <v>3093</v>
      </c>
      <c t="s">
        <v>2404</v>
      </c>
    </row>
    <row>
      <c t="s">
        <v>17594</v>
      </c>
      <c t="s">
        <v>12378</v>
      </c>
      <c t="s">
        <v>39418</v>
      </c>
      <c t="s">
        <v>9723</v>
      </c>
      <c t="s">
        <v>48602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441" s="1" t="str">
        <f ca="1">HYPERLINK("https://web.datatree.com/?/property?propertyId=32106505", "https://web.datatree.com/?/property?propertyId=32106505")</f>
        <v>https://web.datatree.com/?/property?propertyId=32106505</v>
      </c>
      <c r="Q441" t="s">
        <v>316</v>
      </c>
      <c>
        <v>0.23</v>
      </c>
      <c t="s">
        <v>6175</v>
      </c>
      <c t="s">
        <v>20155</v>
      </c>
      <c t="s">
        <v>62844</v>
      </c>
      <c r="X441" t="s">
        <v>61250</v>
      </c>
      <c t="s">
        <v>49122</v>
      </c>
      <c t="s">
        <v>2517</v>
      </c>
      <c t="s">
        <v>39289</v>
      </c>
      <c>
        <v>33909</v>
      </c>
      <c t="s">
        <v>45543</v>
      </c>
      <c t="s">
        <v>48794</v>
      </c>
      <c t="s">
        <v>11764</v>
      </c>
      <c>
        <v>5211</v>
      </c>
      <c r="AI441" t="s">
        <v>29618</v>
      </c>
      <c t="s">
        <v>31192</v>
      </c>
      <c r="AL441" t="s">
        <v>4859</v>
      </c>
      <c t="s">
        <v>4859</v>
      </c>
      <c t="s">
        <v>39289</v>
      </c>
      <c t="s">
        <v>34552</v>
      </c>
      <c t="s">
        <v>57360</v>
      </c>
      <c t="s">
        <v>3093</v>
      </c>
      <c t="s">
        <v>35701</v>
      </c>
    </row>
    <row>
      <c t="s">
        <v>17594</v>
      </c>
      <c t="s">
        <v>16131</v>
      </c>
      <c t="s">
        <v>13497</v>
      </c>
      <c t="s">
        <v>28062</v>
      </c>
      <c t="s">
        <v>9071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442" s="1" t="str">
        <f ca="1">HYPERLINK("https://web.datatree.com/?/property?propertyId=32106996", "https://web.datatree.com/?/property?propertyId=32106996")</f>
        <v>https://web.datatree.com/?/property?propertyId=32106996</v>
      </c>
      <c r="Q442" t="s">
        <v>316</v>
      </c>
      <c>
        <v>0.229</v>
      </c>
      <c t="s">
        <v>22490</v>
      </c>
      <c t="s">
        <v>27351</v>
      </c>
      <c t="s">
        <v>33525</v>
      </c>
      <c r="X442" t="s">
        <v>29638</v>
      </c>
      <c t="s">
        <v>22731</v>
      </c>
      <c t="s">
        <v>2517</v>
      </c>
      <c t="s">
        <v>39289</v>
      </c>
      <c>
        <v>33909</v>
      </c>
      <c t="s">
        <v>53581</v>
      </c>
      <c t="s">
        <v>48794</v>
      </c>
      <c t="s">
        <v>31942</v>
      </c>
      <c>
        <v>223</v>
      </c>
      <c r="AI442" t="s">
        <v>44351</v>
      </c>
      <c t="s">
        <v>45393</v>
      </c>
      <c r="AL442" t="s">
        <v>5879</v>
      </c>
      <c r="AN442" t="s">
        <v>27747</v>
      </c>
      <c t="s">
        <v>46794</v>
      </c>
      <c t="s">
        <v>34162</v>
      </c>
      <c t="s">
        <v>3093</v>
      </c>
      <c t="s">
        <v>66780</v>
      </c>
    </row>
    <row>
      <c t="s">
        <v>17594</v>
      </c>
      <c t="s">
        <v>44759</v>
      </c>
      <c t="s">
        <v>63671</v>
      </c>
      <c t="s">
        <v>3607</v>
      </c>
      <c t="s">
        <v>37556</v>
      </c>
      <c s="3">
        <v>5237</v>
      </c>
      <c s="3">
        <v>5237</v>
      </c>
      <c s="3">
        <v>5237</v>
      </c>
      <c>
        <v>0</v>
      </c>
      <c s="3">
        <v>0</v>
      </c>
      <c s="3">
        <v>81.53</v>
      </c>
      <c s="3">
        <v>5237</v>
      </c>
      <c r="O443" s="1" t="str">
        <f ca="1">HYPERLINK("https://web.datatree.com/?/property?propertyId=32107644", "https://web.datatree.com/?/property?propertyId=32107644")</f>
        <v>https://web.datatree.com/?/property?propertyId=32107644</v>
      </c>
      <c r="Q443" t="s">
        <v>316</v>
      </c>
      <c>
        <v>0.165</v>
      </c>
      <c t="s">
        <v>5471</v>
      </c>
      <c t="s">
        <v>1859</v>
      </c>
      <c t="s">
        <v>52069</v>
      </c>
      <c t="s">
        <v>3293</v>
      </c>
      <c t="s">
        <v>52069</v>
      </c>
      <c t="s">
        <v>22420</v>
      </c>
      <c t="s">
        <v>61779</v>
      </c>
      <c t="s">
        <v>65059</v>
      </c>
      <c t="s">
        <v>39289</v>
      </c>
      <c>
        <v>33905</v>
      </c>
      <c t="s">
        <v>43540</v>
      </c>
      <c t="s">
        <v>48794</v>
      </c>
      <c t="s">
        <v>11152</v>
      </c>
      <c>
        <v>6965</v>
      </c>
      <c r="AH443" t="s">
        <v>57851</v>
      </c>
      <c t="s">
        <v>55516</v>
      </c>
      <c r="AL443" t="s">
        <v>52434</v>
      </c>
      <c r="AN443" t="s">
        <v>39289</v>
      </c>
      <c t="s">
        <v>12761</v>
      </c>
      <c t="s">
        <v>4480</v>
      </c>
      <c t="s">
        <v>3093</v>
      </c>
      <c t="s">
        <v>17907</v>
      </c>
    </row>
    <row>
      <c t="s">
        <v>17594</v>
      </c>
      <c t="s">
        <v>7417</v>
      </c>
      <c t="s">
        <v>18069</v>
      </c>
      <c t="s">
        <v>56249</v>
      </c>
      <c t="s">
        <v>49891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444" s="1" t="str">
        <f ca="1">HYPERLINK("https://web.datatree.com/?/property?propertyId=32109086", "https://web.datatree.com/?/property?propertyId=32109086")</f>
        <v>https://web.datatree.com/?/property?propertyId=32109086</v>
      </c>
      <c r="Q444" t="s">
        <v>316</v>
      </c>
      <c>
        <v>0.23</v>
      </c>
      <c t="s">
        <v>22490</v>
      </c>
      <c t="s">
        <v>40404</v>
      </c>
      <c t="s">
        <v>19806</v>
      </c>
      <c r="X444" t="s">
        <v>9752</v>
      </c>
      <c t="s">
        <v>49674</v>
      </c>
      <c t="s">
        <v>2517</v>
      </c>
      <c t="s">
        <v>39289</v>
      </c>
      <c>
        <v>33909</v>
      </c>
      <c t="s">
        <v>53215</v>
      </c>
      <c t="s">
        <v>48794</v>
      </c>
      <c t="s">
        <v>16909</v>
      </c>
      <c>
        <v>70</v>
      </c>
      <c r="AI444" t="s">
        <v>32884</v>
      </c>
      <c t="s">
        <v>31192</v>
      </c>
      <c r="AL444" t="s">
        <v>34793</v>
      </c>
      <c r="AN444" t="s">
        <v>27747</v>
      </c>
      <c t="s">
        <v>26740</v>
      </c>
      <c t="s">
        <v>44428</v>
      </c>
      <c t="s">
        <v>3093</v>
      </c>
      <c t="s">
        <v>22120</v>
      </c>
    </row>
    <row>
      <c t="s">
        <v>17594</v>
      </c>
      <c t="s">
        <v>30018</v>
      </c>
      <c t="s">
        <v>43659</v>
      </c>
      <c t="s">
        <v>19969</v>
      </c>
      <c t="s">
        <v>47053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445" s="1" t="str">
        <f ca="1">HYPERLINK("https://web.datatree.com/?/property?propertyId=32109377", "https://web.datatree.com/?/property?propertyId=32109377")</f>
        <v>https://web.datatree.com/?/property?propertyId=32109377</v>
      </c>
      <c r="Q445" t="s">
        <v>316</v>
      </c>
      <c>
        <v>0.229</v>
      </c>
      <c t="s">
        <v>6175</v>
      </c>
      <c t="s">
        <v>3293</v>
      </c>
      <c t="s">
        <v>9704</v>
      </c>
      <c t="s">
        <v>25185</v>
      </c>
      <c t="s">
        <v>54552</v>
      </c>
      <c t="s">
        <v>33002</v>
      </c>
      <c t="s">
        <v>33893</v>
      </c>
      <c t="s">
        <v>2517</v>
      </c>
      <c t="s">
        <v>39289</v>
      </c>
      <c>
        <v>33909</v>
      </c>
      <c t="s">
        <v>46945</v>
      </c>
      <c t="s">
        <v>48794</v>
      </c>
      <c t="s">
        <v>2687</v>
      </c>
      <c>
        <v>7551</v>
      </c>
      <c r="AI445" t="s">
        <v>19841</v>
      </c>
      <c t="s">
        <v>45393</v>
      </c>
      <c r="AL445" t="s">
        <v>24373</v>
      </c>
      <c t="s">
        <v>65339</v>
      </c>
      <c t="s">
        <v>22275</v>
      </c>
      <c t="s">
        <v>58881</v>
      </c>
      <c t="s">
        <v>7361</v>
      </c>
      <c t="s">
        <v>3093</v>
      </c>
      <c t="s">
        <v>45254</v>
      </c>
    </row>
    <row>
      <c t="s">
        <v>17594</v>
      </c>
      <c t="s">
        <v>28793</v>
      </c>
      <c t="s">
        <v>18631</v>
      </c>
      <c t="s">
        <v>55934</v>
      </c>
      <c t="s">
        <v>2878</v>
      </c>
      <c s="3">
        <v>7300</v>
      </c>
      <c s="3">
        <v>7300</v>
      </c>
      <c s="3">
        <v>7300</v>
      </c>
      <c>
        <v>0</v>
      </c>
      <c s="3">
        <v>0</v>
      </c>
      <c s="3">
        <v>590.65</v>
      </c>
      <c s="3">
        <v>7300</v>
      </c>
      <c r="O446" s="1" t="str">
        <f ca="1">HYPERLINK("https://web.datatree.com/?/property?propertyId=32109420", "https://web.datatree.com/?/property?propertyId=32109420")</f>
        <v>https://web.datatree.com/?/property?propertyId=32109420</v>
      </c>
      <c r="Q446" t="s">
        <v>316</v>
      </c>
      <c>
        <v>0.259</v>
      </c>
      <c t="s">
        <v>65612</v>
      </c>
      <c t="s">
        <v>8444</v>
      </c>
      <c t="s">
        <v>13317</v>
      </c>
      <c t="s">
        <v>5831</v>
      </c>
      <c t="s">
        <v>13317</v>
      </c>
      <c t="s">
        <v>50236</v>
      </c>
      <c t="s">
        <v>52171</v>
      </c>
      <c t="s">
        <v>2517</v>
      </c>
      <c t="s">
        <v>39289</v>
      </c>
      <c>
        <v>33904</v>
      </c>
      <c t="s">
        <v>23544</v>
      </c>
      <c t="s">
        <v>48794</v>
      </c>
      <c t="s">
        <v>65665</v>
      </c>
      <c>
        <v>16907</v>
      </c>
      <c r="AI446" t="s">
        <v>15898</v>
      </c>
      <c t="s">
        <v>31192</v>
      </c>
      <c r="AL446" t="s">
        <v>13020</v>
      </c>
      <c r="AN446" t="s">
        <v>50917</v>
      </c>
      <c t="s">
        <v>65205</v>
      </c>
      <c t="s">
        <v>7062</v>
      </c>
      <c t="s">
        <v>3093</v>
      </c>
      <c t="s">
        <v>44105</v>
      </c>
    </row>
    <row>
      <c t="s">
        <v>17594</v>
      </c>
      <c t="s">
        <v>61637</v>
      </c>
      <c t="s">
        <v>11440</v>
      </c>
      <c t="s">
        <v>32572</v>
      </c>
      <c t="s">
        <v>14900</v>
      </c>
      <c s="3">
        <v>12544</v>
      </c>
      <c s="3">
        <v>12544</v>
      </c>
      <c s="3">
        <v>5853</v>
      </c>
      <c>
        <v>0</v>
      </c>
      <c s="3">
        <v>0</v>
      </c>
      <c s="3">
        <v>321.01</v>
      </c>
      <c s="3">
        <v>12544</v>
      </c>
      <c r="O447" s="1" t="str">
        <f ca="1">HYPERLINK("https://web.datatree.com/?/property?propertyId=32109535", "https://web.datatree.com/?/property?propertyId=32109535")</f>
        <v>https://web.datatree.com/?/property?propertyId=32109535</v>
      </c>
      <c r="Q447" t="s">
        <v>316</v>
      </c>
      <c>
        <v>0.229</v>
      </c>
      <c t="s">
        <v>5471</v>
      </c>
      <c r="U447" t="s">
        <v>855</v>
      </c>
      <c t="s">
        <v>39374</v>
      </c>
      <c t="s">
        <v>30614</v>
      </c>
      <c t="s">
        <v>540</v>
      </c>
      <c t="s">
        <v>48509</v>
      </c>
      <c t="s">
        <v>65059</v>
      </c>
      <c t="s">
        <v>39289</v>
      </c>
      <c>
        <v>33905</v>
      </c>
      <c t="s">
        <v>34214</v>
      </c>
      <c t="s">
        <v>48794</v>
      </c>
      <c t="s">
        <v>56869</v>
      </c>
      <c>
        <v>801</v>
      </c>
      <c r="AI447" t="s">
        <v>30990</v>
      </c>
      <c t="s">
        <v>45620</v>
      </c>
      <c r="AL447" t="s">
        <v>36665</v>
      </c>
      <c t="s">
        <v>16513</v>
      </c>
      <c t="s">
        <v>26016</v>
      </c>
      <c t="s">
        <v>58531</v>
      </c>
      <c t="s">
        <v>62830</v>
      </c>
      <c t="s">
        <v>3093</v>
      </c>
      <c t="s">
        <v>10792</v>
      </c>
    </row>
    <row>
      <c t="s">
        <v>17594</v>
      </c>
      <c t="s">
        <v>46293</v>
      </c>
      <c t="s">
        <v>47873</v>
      </c>
      <c t="s">
        <v>66512</v>
      </c>
      <c t="s">
        <v>9329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448" s="1" t="str">
        <f ca="1">HYPERLINK("https://web.datatree.com/?/property?propertyId=32110030", "https://web.datatree.com/?/property?propertyId=32110030")</f>
        <v>https://web.datatree.com/?/property?propertyId=32110030</v>
      </c>
      <c r="Q448" t="s">
        <v>316</v>
      </c>
      <c>
        <v>0.23</v>
      </c>
      <c t="s">
        <v>6175</v>
      </c>
      <c t="s">
        <v>52701</v>
      </c>
      <c t="s">
        <v>43112</v>
      </c>
      <c r="X448" t="s">
        <v>15447</v>
      </c>
      <c t="s">
        <v>34731</v>
      </c>
      <c t="s">
        <v>2517</v>
      </c>
      <c t="s">
        <v>39289</v>
      </c>
      <c>
        <v>33909</v>
      </c>
      <c t="s">
        <v>41553</v>
      </c>
      <c t="s">
        <v>48794</v>
      </c>
      <c t="s">
        <v>62622</v>
      </c>
      <c>
        <v>9816</v>
      </c>
      <c r="AI448" t="s">
        <v>64673</v>
      </c>
      <c t="s">
        <v>45393</v>
      </c>
      <c r="AL448" t="s">
        <v>55393</v>
      </c>
      <c r="AN448" t="s">
        <v>39289</v>
      </c>
      <c t="s">
        <v>27217</v>
      </c>
      <c t="s">
        <v>64128</v>
      </c>
      <c t="s">
        <v>3093</v>
      </c>
      <c t="s">
        <v>6522</v>
      </c>
    </row>
    <row>
      <c t="s">
        <v>42103</v>
      </c>
      <c t="s">
        <v>42696</v>
      </c>
      <c t="s">
        <v>39743</v>
      </c>
      <c t="s">
        <v>19031</v>
      </c>
      <c t="s">
        <v>17646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449" s="1" t="str">
        <f ca="1">HYPERLINK("https://web.datatree.com/?/property?propertyId=32110126", "https://web.datatree.com/?/property?propertyId=32110126")</f>
        <v>https://web.datatree.com/?/property?propertyId=32110126</v>
      </c>
      <c r="Q449" t="s">
        <v>316</v>
      </c>
      <c>
        <v>0.23</v>
      </c>
      <c t="s">
        <v>22490</v>
      </c>
      <c r="U449" t="s">
        <v>29418</v>
      </c>
      <c t="s">
        <v>44319</v>
      </c>
      <c t="s">
        <v>29213</v>
      </c>
      <c t="s">
        <v>27840</v>
      </c>
      <c t="s">
        <v>39082</v>
      </c>
      <c t="s">
        <v>2517</v>
      </c>
      <c t="s">
        <v>39289</v>
      </c>
      <c>
        <v>33909</v>
      </c>
      <c t="s">
        <v>46050</v>
      </c>
      <c t="s">
        <v>48794</v>
      </c>
      <c t="s">
        <v>6931</v>
      </c>
      <c r="AI449" t="s">
        <v>36744</v>
      </c>
      <c r="AL449" t="s">
        <v>66360</v>
      </c>
      <c t="s">
        <v>66360</v>
      </c>
      <c t="s">
        <v>43132</v>
      </c>
      <c t="s">
        <v>54044</v>
      </c>
      <c t="s">
        <v>665</v>
      </c>
      <c t="s">
        <v>3093</v>
      </c>
      <c t="s">
        <v>30559</v>
      </c>
    </row>
    <row>
      <c t="s">
        <v>17594</v>
      </c>
      <c t="s">
        <v>18684</v>
      </c>
      <c t="s">
        <v>54262</v>
      </c>
      <c t="s">
        <v>53152</v>
      </c>
      <c t="s">
        <v>58414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450" s="1" t="str">
        <f ca="1">HYPERLINK("https://web.datatree.com/?/property?propertyId=32110982", "https://web.datatree.com/?/property?propertyId=32110982")</f>
        <v>https://web.datatree.com/?/property?propertyId=32110982</v>
      </c>
      <c r="Q450" t="s">
        <v>316</v>
      </c>
      <c>
        <v>0.23</v>
      </c>
      <c t="s">
        <v>6175</v>
      </c>
      <c t="s">
        <v>44457</v>
      </c>
      <c t="s">
        <v>42614</v>
      </c>
      <c r="X450" t="s">
        <v>59348</v>
      </c>
      <c t="s">
        <v>34731</v>
      </c>
      <c t="s">
        <v>2517</v>
      </c>
      <c t="s">
        <v>39289</v>
      </c>
      <c>
        <v>33909</v>
      </c>
      <c t="s">
        <v>12032</v>
      </c>
      <c t="s">
        <v>48794</v>
      </c>
      <c t="s">
        <v>65237</v>
      </c>
      <c>
        <v>236</v>
      </c>
      <c r="AI450" t="s">
        <v>33745</v>
      </c>
      <c t="s">
        <v>24900</v>
      </c>
      <c>
        <v>1</v>
      </c>
      <c t="s">
        <v>33745</v>
      </c>
      <c r="AN450" t="s">
        <v>26016</v>
      </c>
      <c t="s">
        <v>34148</v>
      </c>
      <c t="s">
        <v>48506</v>
      </c>
      <c t="s">
        <v>3093</v>
      </c>
      <c t="s">
        <v>5150</v>
      </c>
    </row>
    <row>
      <c t="s">
        <v>17594</v>
      </c>
      <c t="s">
        <v>16107</v>
      </c>
      <c t="s">
        <v>65000</v>
      </c>
      <c t="s">
        <v>48035</v>
      </c>
      <c t="s">
        <v>48865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451" s="1" t="str">
        <f ca="1">HYPERLINK("https://web.datatree.com/?/property?propertyId=32111825", "https://web.datatree.com/?/property?propertyId=32111825")</f>
        <v>https://web.datatree.com/?/property?propertyId=32111825</v>
      </c>
      <c r="Q451" t="s">
        <v>316</v>
      </c>
      <c>
        <v>0.23</v>
      </c>
      <c t="s">
        <v>22490</v>
      </c>
      <c t="s">
        <v>52701</v>
      </c>
      <c t="s">
        <v>32403</v>
      </c>
      <c r="X451" t="s">
        <v>30748</v>
      </c>
      <c t="s">
        <v>38550</v>
      </c>
      <c t="s">
        <v>2517</v>
      </c>
      <c t="s">
        <v>39289</v>
      </c>
      <c>
        <v>33909</v>
      </c>
      <c t="s">
        <v>40205</v>
      </c>
      <c t="s">
        <v>48794</v>
      </c>
      <c t="s">
        <v>2554</v>
      </c>
      <c>
        <v>2380</v>
      </c>
      <c r="AI451" t="s">
        <v>52608</v>
      </c>
      <c t="s">
        <v>45620</v>
      </c>
      <c r="AL451" t="s">
        <v>40956</v>
      </c>
      <c r="AN451" t="s">
        <v>66651</v>
      </c>
      <c t="s">
        <v>11323</v>
      </c>
      <c t="s">
        <v>12251</v>
      </c>
      <c t="s">
        <v>3093</v>
      </c>
      <c t="s">
        <v>29740</v>
      </c>
    </row>
    <row>
      <c t="s">
        <v>17594</v>
      </c>
      <c t="s">
        <v>12337</v>
      </c>
      <c t="s">
        <v>44526</v>
      </c>
      <c t="s">
        <v>28162</v>
      </c>
      <c t="s">
        <v>64958</v>
      </c>
      <c s="3">
        <v>20867</v>
      </c>
      <c s="3">
        <v>20867</v>
      </c>
      <c s="3">
        <v>9240</v>
      </c>
      <c>
        <v>0</v>
      </c>
      <c s="3">
        <v>0</v>
      </c>
      <c s="3">
        <v>605.76</v>
      </c>
      <c s="3">
        <v>20867</v>
      </c>
      <c r="O452" s="1" t="str">
        <f ca="1">HYPERLINK("https://web.datatree.com/?/property?propertyId=32111935", "https://web.datatree.com/?/property?propertyId=32111935")</f>
        <v>https://web.datatree.com/?/property?propertyId=32111935</v>
      </c>
      <c r="Q452" t="s">
        <v>316</v>
      </c>
      <c>
        <v>0.263</v>
      </c>
      <c t="s">
        <v>22490</v>
      </c>
      <c t="s">
        <v>24179</v>
      </c>
      <c t="s">
        <v>39666</v>
      </c>
      <c r="X452" t="s">
        <v>51513</v>
      </c>
      <c t="s">
        <v>47150</v>
      </c>
      <c t="s">
        <v>2517</v>
      </c>
      <c t="s">
        <v>39289</v>
      </c>
      <c>
        <v>33909</v>
      </c>
      <c t="s">
        <v>46758</v>
      </c>
      <c t="s">
        <v>48794</v>
      </c>
      <c t="s">
        <v>66693</v>
      </c>
      <c>
        <v>273</v>
      </c>
      <c r="AI452" t="s">
        <v>58045</v>
      </c>
      <c t="s">
        <v>31192</v>
      </c>
      <c r="AL452" t="s">
        <v>4394</v>
      </c>
      <c r="AN452" t="s">
        <v>50917</v>
      </c>
      <c t="s">
        <v>14851</v>
      </c>
      <c t="s">
        <v>39073</v>
      </c>
      <c t="s">
        <v>3093</v>
      </c>
      <c t="s">
        <v>9523</v>
      </c>
    </row>
    <row>
      <c t="s">
        <v>17594</v>
      </c>
      <c t="s">
        <v>28393</v>
      </c>
      <c t="s">
        <v>55284</v>
      </c>
      <c t="s">
        <v>30688</v>
      </c>
      <c t="s">
        <v>40882</v>
      </c>
      <c s="3">
        <v>13715</v>
      </c>
      <c s="3">
        <v>13715</v>
      </c>
      <c s="3">
        <v>6948</v>
      </c>
      <c>
        <v>0</v>
      </c>
      <c s="3">
        <v>0</v>
      </c>
      <c s="3">
        <v>148.58</v>
      </c>
      <c s="3">
        <v>13715</v>
      </c>
      <c r="O453" s="1" t="str">
        <f ca="1">HYPERLINK("https://web.datatree.com/?/property?propertyId=32112098", "https://web.datatree.com/?/property?propertyId=32112098")</f>
        <v>https://web.datatree.com/?/property?propertyId=32112098</v>
      </c>
      <c r="Q453" t="s">
        <v>316</v>
      </c>
      <c>
        <v>0.228</v>
      </c>
      <c t="s">
        <v>5471</v>
      </c>
      <c t="s">
        <v>53004</v>
      </c>
      <c t="s">
        <v>65010</v>
      </c>
      <c r="X453" t="s">
        <v>41921</v>
      </c>
      <c t="s">
        <v>13255</v>
      </c>
      <c t="s">
        <v>54524</v>
      </c>
      <c t="s">
        <v>39289</v>
      </c>
      <c>
        <v>33903</v>
      </c>
      <c t="s">
        <v>28415</v>
      </c>
      <c t="s">
        <v>48794</v>
      </c>
      <c t="s">
        <v>64239</v>
      </c>
      <c>
        <v>12919</v>
      </c>
      <c r="AH453" t="s">
        <v>57851</v>
      </c>
      <c t="s">
        <v>49777</v>
      </c>
      <c t="s">
        <v>24900</v>
      </c>
      <c r="AL453" t="s">
        <v>61940</v>
      </c>
      <c r="AN453" t="s">
        <v>19878</v>
      </c>
      <c t="s">
        <v>48411</v>
      </c>
      <c t="s">
        <v>51083</v>
      </c>
      <c t="s">
        <v>3093</v>
      </c>
      <c t="s">
        <v>10941</v>
      </c>
    </row>
    <row>
      <c t="s">
        <v>17594</v>
      </c>
      <c t="s">
        <v>12941</v>
      </c>
      <c t="s">
        <v>43267</v>
      </c>
      <c t="s">
        <v>23428</v>
      </c>
      <c t="s">
        <v>27907</v>
      </c>
      <c s="3">
        <v>22152</v>
      </c>
      <c s="3">
        <v>22152</v>
      </c>
      <c s="3">
        <v>8800</v>
      </c>
      <c>
        <v>0</v>
      </c>
      <c s="3">
        <v>0</v>
      </c>
      <c s="3">
        <v>588.04</v>
      </c>
      <c s="3">
        <v>22152</v>
      </c>
      <c r="O454" s="1" t="str">
        <f ca="1">HYPERLINK("https://web.datatree.com/?/property?propertyId=32112198", "https://web.datatree.com/?/property?propertyId=32112198")</f>
        <v>https://web.datatree.com/?/property?propertyId=32112198</v>
      </c>
      <c r="Q454" t="s">
        <v>316</v>
      </c>
      <c>
        <v>0.244</v>
      </c>
      <c t="s">
        <v>22490</v>
      </c>
      <c r="U454" t="s">
        <v>6649</v>
      </c>
      <c t="s">
        <v>21068</v>
      </c>
      <c t="s">
        <v>58692</v>
      </c>
      <c t="s">
        <v>58694</v>
      </c>
      <c t="s">
        <v>66701</v>
      </c>
      <c t="s">
        <v>2517</v>
      </c>
      <c t="s">
        <v>39289</v>
      </c>
      <c>
        <v>33909</v>
      </c>
      <c t="s">
        <v>53169</v>
      </c>
      <c t="s">
        <v>48794</v>
      </c>
      <c t="s">
        <v>18712</v>
      </c>
      <c>
        <v>5679</v>
      </c>
      <c r="AI454" t="s">
        <v>65964</v>
      </c>
      <c t="s">
        <v>56275</v>
      </c>
      <c r="AL454" t="s">
        <v>16124</v>
      </c>
      <c t="s">
        <v>16124</v>
      </c>
      <c t="s">
        <v>51137</v>
      </c>
      <c t="s">
        <v>64498</v>
      </c>
      <c t="s">
        <v>1951</v>
      </c>
      <c t="s">
        <v>3093</v>
      </c>
      <c t="s">
        <v>11632</v>
      </c>
    </row>
    <row>
      <c t="s">
        <v>17594</v>
      </c>
      <c t="s">
        <v>58269</v>
      </c>
      <c t="s">
        <v>48719</v>
      </c>
      <c t="s">
        <v>59122</v>
      </c>
      <c t="s">
        <v>60861</v>
      </c>
      <c s="3">
        <v>99128</v>
      </c>
      <c s="3">
        <v>86250</v>
      </c>
      <c s="3">
        <v>86338</v>
      </c>
      <c>
        <v>0</v>
      </c>
      <c s="3">
        <v>0</v>
      </c>
      <c s="3">
        <v>1368.58</v>
      </c>
      <c s="3">
        <v>99128</v>
      </c>
      <c r="O455" s="1" t="str">
        <f ca="1">HYPERLINK("https://web.datatree.com/?/property?propertyId=32112496", "https://web.datatree.com/?/property?propertyId=32112496")</f>
        <v>https://web.datatree.com/?/property?propertyId=32112496</v>
      </c>
      <c r="Q455" t="s">
        <v>316</v>
      </c>
      <c>
        <v>0.095</v>
      </c>
      <c t="s">
        <v>26492</v>
      </c>
      <c t="s">
        <v>50331</v>
      </c>
      <c t="s">
        <v>45248</v>
      </c>
      <c t="s">
        <v>39786</v>
      </c>
      <c t="s">
        <v>45248</v>
      </c>
      <c t="s">
        <v>41106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2144</v>
      </c>
      <c>
        <v>6948</v>
      </c>
      <c r="AI455" t="s">
        <v>11223</v>
      </c>
      <c t="s">
        <v>31192</v>
      </c>
      <c r="AL455" t="s">
        <v>17179</v>
      </c>
      <c t="s">
        <v>40227</v>
      </c>
      <c t="s">
        <v>49572</v>
      </c>
      <c t="s">
        <v>40621</v>
      </c>
      <c t="s">
        <v>22455</v>
      </c>
      <c t="s">
        <v>3093</v>
      </c>
      <c t="s">
        <v>3001</v>
      </c>
    </row>
    <row>
      <c t="s">
        <v>17594</v>
      </c>
      <c t="s">
        <v>1404</v>
      </c>
      <c t="s">
        <v>48714</v>
      </c>
      <c t="s">
        <v>11438</v>
      </c>
      <c t="s">
        <v>13739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56" s="1" t="str">
        <f ca="1">HYPERLINK("https://web.datatree.com/?/property?propertyId=32112741", "https://web.datatree.com/?/property?propertyId=32112741")</f>
        <v>https://web.datatree.com/?/property?propertyId=32112741</v>
      </c>
      <c r="Q456" t="s">
        <v>316</v>
      </c>
      <c>
        <v>0.23</v>
      </c>
      <c t="s">
        <v>22490</v>
      </c>
      <c t="s">
        <v>27630</v>
      </c>
      <c t="s">
        <v>58668</v>
      </c>
      <c r="X456" t="s">
        <v>38832</v>
      </c>
      <c t="s">
        <v>53663</v>
      </c>
      <c t="s">
        <v>2517</v>
      </c>
      <c t="s">
        <v>39289</v>
      </c>
      <c>
        <v>33909</v>
      </c>
      <c t="s">
        <v>23117</v>
      </c>
      <c t="s">
        <v>48794</v>
      </c>
      <c t="s">
        <v>40893</v>
      </c>
      <c>
        <v>1404</v>
      </c>
      <c r="AI456" t="s">
        <v>31709</v>
      </c>
      <c t="s">
        <v>45393</v>
      </c>
      <c r="AL456" t="s">
        <v>5275</v>
      </c>
      <c t="s">
        <v>5275</v>
      </c>
      <c t="s">
        <v>49572</v>
      </c>
      <c t="s">
        <v>36960</v>
      </c>
      <c t="s">
        <v>54916</v>
      </c>
      <c t="s">
        <v>3093</v>
      </c>
      <c t="s">
        <v>15830</v>
      </c>
    </row>
    <row>
      <c t="s">
        <v>17594</v>
      </c>
      <c t="s">
        <v>5605</v>
      </c>
      <c t="s">
        <v>42849</v>
      </c>
      <c t="s">
        <v>8226</v>
      </c>
      <c t="s">
        <v>34132</v>
      </c>
      <c s="3">
        <v>47864</v>
      </c>
      <c s="3">
        <v>47864</v>
      </c>
      <c s="3">
        <v>17448</v>
      </c>
      <c>
        <v>0</v>
      </c>
      <c s="3">
        <v>0</v>
      </c>
      <c s="3">
        <v>857.63</v>
      </c>
      <c s="3">
        <v>47864</v>
      </c>
      <c r="O457" s="1" t="str">
        <f ca="1">HYPERLINK("https://web.datatree.com/?/property?propertyId=32113257", "https://web.datatree.com/?/property?propertyId=32113257")</f>
        <v>https://web.datatree.com/?/property?propertyId=32113257</v>
      </c>
      <c r="Q457" t="s">
        <v>316</v>
      </c>
      <c>
        <v>0.23</v>
      </c>
      <c t="s">
        <v>6175</v>
      </c>
      <c t="s">
        <v>18380</v>
      </c>
      <c t="s">
        <v>45530</v>
      </c>
      <c t="s">
        <v>35852</v>
      </c>
      <c t="s">
        <v>45530</v>
      </c>
      <c t="s">
        <v>27030</v>
      </c>
      <c t="s">
        <v>7959</v>
      </c>
      <c t="s">
        <v>2517</v>
      </c>
      <c t="s">
        <v>39289</v>
      </c>
      <c>
        <v>33904</v>
      </c>
      <c t="s">
        <v>40856</v>
      </c>
      <c t="s">
        <v>48794</v>
      </c>
      <c t="s">
        <v>4472</v>
      </c>
      <c>
        <v>95</v>
      </c>
      <c r="AI457" t="s">
        <v>65311</v>
      </c>
      <c t="s">
        <v>41372</v>
      </c>
      <c r="AL457" t="s">
        <v>20938</v>
      </c>
      <c t="s">
        <v>20938</v>
      </c>
      <c t="s">
        <v>14509</v>
      </c>
      <c t="s">
        <v>4779</v>
      </c>
      <c t="s">
        <v>12241</v>
      </c>
      <c t="s">
        <v>3093</v>
      </c>
      <c t="s">
        <v>1979</v>
      </c>
    </row>
    <row>
      <c t="s">
        <v>17594</v>
      </c>
      <c t="s">
        <v>21052</v>
      </c>
      <c t="s">
        <v>18118</v>
      </c>
      <c t="s">
        <v>8897</v>
      </c>
      <c t="s">
        <v>34227</v>
      </c>
      <c s="3">
        <v>26250</v>
      </c>
      <c s="3">
        <v>26250</v>
      </c>
      <c s="3">
        <v>9433</v>
      </c>
      <c>
        <v>0</v>
      </c>
      <c s="3">
        <v>0</v>
      </c>
      <c s="3">
        <v>411.77</v>
      </c>
      <c s="3">
        <v>26250</v>
      </c>
      <c r="O458" s="1" t="str">
        <f ca="1">HYPERLINK("https://web.datatree.com/?/property?propertyId=32114078", "https://web.datatree.com/?/property?propertyId=32114078")</f>
        <v>https://web.datatree.com/?/property?propertyId=32114078</v>
      </c>
      <c r="Q458" t="s">
        <v>316</v>
      </c>
      <c>
        <v>0.218</v>
      </c>
      <c t="s">
        <v>5471</v>
      </c>
      <c t="s">
        <v>60671</v>
      </c>
      <c t="s">
        <v>44376</v>
      </c>
      <c t="s">
        <v>48320</v>
      </c>
      <c t="s">
        <v>44376</v>
      </c>
      <c t="s">
        <v>6334</v>
      </c>
      <c t="s">
        <v>10881</v>
      </c>
      <c t="s">
        <v>65059</v>
      </c>
      <c t="s">
        <v>39289</v>
      </c>
      <c>
        <v>33905</v>
      </c>
      <c t="s">
        <v>24382</v>
      </c>
      <c t="s">
        <v>48794</v>
      </c>
      <c t="s">
        <v>59355</v>
      </c>
      <c>
        <v>1720</v>
      </c>
      <c r="AI458" t="s">
        <v>24472</v>
      </c>
      <c t="s">
        <v>24900</v>
      </c>
      <c r="AL458" t="s">
        <v>53029</v>
      </c>
      <c t="s">
        <v>53029</v>
      </c>
      <c t="s">
        <v>39289</v>
      </c>
      <c t="s">
        <v>13970</v>
      </c>
      <c t="s">
        <v>33029</v>
      </c>
      <c t="s">
        <v>3093</v>
      </c>
      <c t="s">
        <v>3296</v>
      </c>
    </row>
    <row>
      <c t="s">
        <v>42103</v>
      </c>
      <c t="s">
        <v>16500</v>
      </c>
      <c t="s">
        <v>62802</v>
      </c>
      <c t="s">
        <v>26575</v>
      </c>
      <c t="s">
        <v>301</v>
      </c>
      <c s="3">
        <v>46987</v>
      </c>
      <c s="3">
        <v>46987</v>
      </c>
      <c s="3">
        <v>43072</v>
      </c>
      <c>
        <v>0</v>
      </c>
      <c s="3">
        <v>0</v>
      </c>
      <c s="3">
        <v>666.62</v>
      </c>
      <c s="3">
        <v>46987</v>
      </c>
      <c r="O459" s="1" t="str">
        <f ca="1">HYPERLINK("https://web.datatree.com/?/property?propertyId=32114711", "https://web.datatree.com/?/property?propertyId=32114711")</f>
        <v>https://web.datatree.com/?/property?propertyId=32114711</v>
      </c>
      <c r="Q459" t="s">
        <v>316</v>
      </c>
      <c>
        <v>0.295</v>
      </c>
      <c t="s">
        <v>30497</v>
      </c>
      <c t="s">
        <v>3293</v>
      </c>
      <c t="s">
        <v>61472</v>
      </c>
      <c t="s">
        <v>53622</v>
      </c>
      <c t="s">
        <v>61472</v>
      </c>
      <c t="s">
        <v>6589</v>
      </c>
      <c t="s">
        <v>60040</v>
      </c>
      <c t="s">
        <v>65059</v>
      </c>
      <c t="s">
        <v>39289</v>
      </c>
      <c>
        <v>33905</v>
      </c>
      <c t="s">
        <v>37511</v>
      </c>
      <c t="s">
        <v>48794</v>
      </c>
      <c t="s">
        <v>36401</v>
      </c>
      <c r="AI459" t="s">
        <v>56792</v>
      </c>
      <c r="AL459" t="s">
        <v>45974</v>
      </c>
      <c r="AN459" t="s">
        <v>5982</v>
      </c>
      <c t="s">
        <v>14056</v>
      </c>
      <c t="s">
        <v>665</v>
      </c>
      <c t="s">
        <v>3093</v>
      </c>
      <c t="s">
        <v>22145</v>
      </c>
    </row>
    <row>
      <c t="s">
        <v>17594</v>
      </c>
      <c t="s">
        <v>5157</v>
      </c>
      <c t="s">
        <v>34617</v>
      </c>
      <c t="s">
        <v>45547</v>
      </c>
      <c t="s">
        <v>54565</v>
      </c>
      <c s="3">
        <v>9947</v>
      </c>
      <c s="3">
        <v>9947</v>
      </c>
      <c s="3">
        <v>7700</v>
      </c>
      <c>
        <v>0</v>
      </c>
      <c s="3">
        <v>0</v>
      </c>
      <c s="3">
        <v>145.78</v>
      </c>
      <c s="3">
        <v>9947</v>
      </c>
      <c r="O460" s="1" t="str">
        <f ca="1">HYPERLINK("https://web.datatree.com/?/property?propertyId=32114856", "https://web.datatree.com/?/property?propertyId=32114856")</f>
        <v>https://web.datatree.com/?/property?propertyId=32114856</v>
      </c>
      <c r="Q460" t="s">
        <v>316</v>
      </c>
      <c>
        <v>0.164</v>
      </c>
      <c t="s">
        <v>8155</v>
      </c>
      <c t="s">
        <v>41154</v>
      </c>
      <c t="s">
        <v>806</v>
      </c>
      <c r="X460" t="s">
        <v>62330</v>
      </c>
      <c t="s">
        <v>12532</v>
      </c>
      <c t="s">
        <v>65059</v>
      </c>
      <c t="s">
        <v>39289</v>
      </c>
      <c>
        <v>33901</v>
      </c>
      <c t="s">
        <v>18821</v>
      </c>
      <c t="s">
        <v>48794</v>
      </c>
      <c t="s">
        <v>59725</v>
      </c>
      <c>
        <v>3811</v>
      </c>
      <c r="AH460" t="s">
        <v>6851</v>
      </c>
      <c t="s">
        <v>34731</v>
      </c>
      <c t="s">
        <v>24900</v>
      </c>
      <c r="AL460" t="s">
        <v>11713</v>
      </c>
      <c r="AN460" t="s">
        <v>39289</v>
      </c>
      <c t="s">
        <v>12218</v>
      </c>
      <c t="s">
        <v>26143</v>
      </c>
      <c t="s">
        <v>3093</v>
      </c>
      <c t="s">
        <v>8484</v>
      </c>
    </row>
    <row>
      <c t="s">
        <v>17594</v>
      </c>
      <c t="s">
        <v>60183</v>
      </c>
      <c t="s">
        <v>4222</v>
      </c>
      <c t="s">
        <v>45217</v>
      </c>
      <c t="s">
        <v>53861</v>
      </c>
      <c s="3">
        <v>9947</v>
      </c>
      <c s="3">
        <v>9947</v>
      </c>
      <c s="3">
        <v>4392</v>
      </c>
      <c>
        <v>0</v>
      </c>
      <c s="3">
        <v>0</v>
      </c>
      <c s="3">
        <v>106.89</v>
      </c>
      <c s="3">
        <v>9947</v>
      </c>
      <c r="O461" s="1" t="str">
        <f ca="1">HYPERLINK("https://web.datatree.com/?/property?propertyId=32115004", "https://web.datatree.com/?/property?propertyId=32115004")</f>
        <v>https://web.datatree.com/?/property?propertyId=32115004</v>
      </c>
      <c r="Q461" t="s">
        <v>316</v>
      </c>
      <c>
        <v>0.172</v>
      </c>
      <c t="s">
        <v>66399</v>
      </c>
      <c t="s">
        <v>58137</v>
      </c>
      <c t="s">
        <v>39139</v>
      </c>
      <c r="X461" t="s">
        <v>10479</v>
      </c>
      <c t="s">
        <v>5279</v>
      </c>
      <c t="s">
        <v>65059</v>
      </c>
      <c t="s">
        <v>39289</v>
      </c>
      <c>
        <v>33901</v>
      </c>
      <c t="s">
        <v>22459</v>
      </c>
      <c t="s">
        <v>48794</v>
      </c>
      <c t="s">
        <v>6710</v>
      </c>
      <c>
        <v>5340</v>
      </c>
      <c r="AI461" t="s">
        <v>54969</v>
      </c>
      <c t="s">
        <v>24900</v>
      </c>
      <c r="AL461" t="s">
        <v>60419</v>
      </c>
      <c t="s">
        <v>60419</v>
      </c>
      <c t="s">
        <v>65467</v>
      </c>
      <c t="s">
        <v>49475</v>
      </c>
      <c t="s">
        <v>51114</v>
      </c>
      <c t="s">
        <v>3093</v>
      </c>
      <c t="s">
        <v>55167</v>
      </c>
    </row>
    <row>
      <c t="s">
        <v>17594</v>
      </c>
      <c t="s">
        <v>56772</v>
      </c>
      <c t="s">
        <v>2358</v>
      </c>
      <c t="s">
        <v>42536</v>
      </c>
      <c t="s">
        <v>52337</v>
      </c>
      <c s="3">
        <v>13433</v>
      </c>
      <c s="3">
        <v>13433</v>
      </c>
      <c s="3">
        <v>13433</v>
      </c>
      <c>
        <v>0</v>
      </c>
      <c s="3">
        <v>0</v>
      </c>
      <c s="3">
        <v>691.57</v>
      </c>
      <c s="3">
        <v>13433</v>
      </c>
      <c r="O462" s="1" t="str">
        <f ca="1">HYPERLINK("https://web.datatree.com/?/property?propertyId=32115071", "https://web.datatree.com/?/property?propertyId=32115071")</f>
        <v>https://web.datatree.com/?/property?propertyId=32115071</v>
      </c>
      <c r="Q462" t="s">
        <v>316</v>
      </c>
      <c>
        <v>0.273</v>
      </c>
      <c t="s">
        <v>22490</v>
      </c>
      <c t="s">
        <v>53572</v>
      </c>
      <c t="s">
        <v>36945</v>
      </c>
      <c r="X462" t="s">
        <v>25833</v>
      </c>
      <c t="s">
        <v>24999</v>
      </c>
      <c t="s">
        <v>2517</v>
      </c>
      <c t="s">
        <v>39289</v>
      </c>
      <c>
        <v>33904</v>
      </c>
      <c t="s">
        <v>14253</v>
      </c>
      <c t="s">
        <v>48794</v>
      </c>
      <c t="s">
        <v>51079</v>
      </c>
      <c>
        <v>166</v>
      </c>
      <c r="AI462" t="s">
        <v>18640</v>
      </c>
      <c t="s">
        <v>41372</v>
      </c>
      <c r="AL462" t="s">
        <v>60790</v>
      </c>
      <c r="AN462" t="s">
        <v>32576</v>
      </c>
      <c t="s">
        <v>60608</v>
      </c>
      <c t="s">
        <v>60160</v>
      </c>
      <c t="s">
        <v>3093</v>
      </c>
      <c t="s">
        <v>18807</v>
      </c>
    </row>
    <row>
      <c t="s">
        <v>17594</v>
      </c>
      <c t="s">
        <v>35243</v>
      </c>
      <c t="s">
        <v>1321</v>
      </c>
      <c t="s">
        <v>57754</v>
      </c>
      <c t="s">
        <v>15947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463" s="1" t="str">
        <f ca="1">HYPERLINK("https://web.datatree.com/?/property?propertyId=32115561", "https://web.datatree.com/?/property?propertyId=32115561")</f>
        <v>https://web.datatree.com/?/property?propertyId=32115561</v>
      </c>
      <c r="Q463" t="s">
        <v>316</v>
      </c>
      <c>
        <v>0.23</v>
      </c>
      <c t="s">
        <v>6175</v>
      </c>
      <c t="s">
        <v>33321</v>
      </c>
      <c t="s">
        <v>47098</v>
      </c>
      <c r="W463" t="s">
        <v>855</v>
      </c>
      <c t="s">
        <v>27535</v>
      </c>
      <c t="s">
        <v>41506</v>
      </c>
      <c t="s">
        <v>2517</v>
      </c>
      <c t="s">
        <v>39289</v>
      </c>
      <c>
        <v>33909</v>
      </c>
      <c t="s">
        <v>27393</v>
      </c>
      <c t="s">
        <v>48794</v>
      </c>
      <c t="s">
        <v>45918</v>
      </c>
      <c>
        <v>6900</v>
      </c>
      <c r="AI463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35077</v>
      </c>
      <c t="s">
        <v>11882</v>
      </c>
      <c t="s">
        <v>152</v>
      </c>
      <c t="s">
        <v>29960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64" s="1" t="str">
        <f ca="1">HYPERLINK("https://web.datatree.com/?/property?propertyId=32116231", "https://web.datatree.com/?/property?propertyId=32116231")</f>
        <v>https://web.datatree.com/?/property?propertyId=32116231</v>
      </c>
      <c r="Q464" t="s">
        <v>316</v>
      </c>
      <c>
        <v>0.239</v>
      </c>
      <c t="s">
        <v>5471</v>
      </c>
      <c t="s">
        <v>63758</v>
      </c>
      <c t="s">
        <v>27876</v>
      </c>
      <c t="s">
        <v>36899</v>
      </c>
      <c t="s">
        <v>27876</v>
      </c>
      <c t="s">
        <v>33544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63408</v>
      </c>
      <c>
        <v>246</v>
      </c>
      <c r="AI464" t="s">
        <v>25565</v>
      </c>
      <c t="s">
        <v>55842</v>
      </c>
      <c r="AL464" t="s">
        <v>40137</v>
      </c>
      <c r="AN464" t="s">
        <v>51087</v>
      </c>
      <c t="s">
        <v>19834</v>
      </c>
      <c t="s">
        <v>45860</v>
      </c>
      <c t="s">
        <v>3093</v>
      </c>
      <c t="s">
        <v>3414</v>
      </c>
    </row>
    <row>
      <c t="s">
        <v>17594</v>
      </c>
      <c t="s">
        <v>52641</v>
      </c>
      <c t="s">
        <v>13168</v>
      </c>
      <c t="s">
        <v>65627</v>
      </c>
      <c t="s">
        <v>40443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65" s="1" t="str">
        <f ca="1">HYPERLINK("https://web.datatree.com/?/property?propertyId=32116250", "https://web.datatree.com/?/property?propertyId=32116250")</f>
        <v>https://web.datatree.com/?/property?propertyId=32116250</v>
      </c>
      <c r="Q465" t="s">
        <v>316</v>
      </c>
      <c>
        <v>0.23</v>
      </c>
      <c t="s">
        <v>6175</v>
      </c>
      <c t="s">
        <v>33213</v>
      </c>
      <c t="s">
        <v>9592</v>
      </c>
      <c t="s">
        <v>24270</v>
      </c>
      <c t="s">
        <v>9592</v>
      </c>
      <c t="s">
        <v>31340</v>
      </c>
      <c t="s">
        <v>5115</v>
      </c>
      <c t="s">
        <v>2517</v>
      </c>
      <c t="s">
        <v>39289</v>
      </c>
      <c>
        <v>33909</v>
      </c>
      <c t="s">
        <v>18402</v>
      </c>
      <c t="s">
        <v>48794</v>
      </c>
      <c t="s">
        <v>65720</v>
      </c>
      <c>
        <v>4624</v>
      </c>
      <c r="AI465" t="s">
        <v>6328</v>
      </c>
      <c t="s">
        <v>41372</v>
      </c>
      <c r="AL465" t="s">
        <v>55393</v>
      </c>
      <c r="AN465" t="s">
        <v>39289</v>
      </c>
      <c t="s">
        <v>5149</v>
      </c>
      <c t="s">
        <v>41946</v>
      </c>
      <c t="s">
        <v>3093</v>
      </c>
      <c t="s">
        <v>57060</v>
      </c>
    </row>
    <row>
      <c t="s">
        <v>17594</v>
      </c>
      <c t="s">
        <v>31538</v>
      </c>
      <c t="s">
        <v>10402</v>
      </c>
      <c t="s">
        <v>15768</v>
      </c>
      <c t="s">
        <v>66971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>
        <v>2021</v>
      </c>
      <c>
        <v>578.21</v>
      </c>
      <c s="1" t="str">
        <f ca="1">HYPERLINK("https://web.datatree.com/?/property?propertyId=32117127", "https://web.datatree.com/?/property?propertyId=32117127")</f>
        <v>https://web.datatree.com/?/property?propertyId=32117127</v>
      </c>
      <c r="Q466" t="s">
        <v>316</v>
      </c>
      <c>
        <v>0.23</v>
      </c>
      <c t="s">
        <v>22490</v>
      </c>
      <c t="s">
        <v>48526</v>
      </c>
      <c t="s">
        <v>46201</v>
      </c>
      <c r="X466" t="s">
        <v>44187</v>
      </c>
      <c t="s">
        <v>24999</v>
      </c>
      <c t="s">
        <v>2517</v>
      </c>
      <c t="s">
        <v>39289</v>
      </c>
      <c>
        <v>33909</v>
      </c>
      <c t="s">
        <v>39242</v>
      </c>
      <c t="s">
        <v>48794</v>
      </c>
      <c t="s">
        <v>974</v>
      </c>
      <c>
        <v>2817</v>
      </c>
      <c r="AI466" t="s">
        <v>13585</v>
      </c>
      <c t="s">
        <v>24900</v>
      </c>
      <c r="AL466" t="s">
        <v>2024</v>
      </c>
      <c r="AN466" t="s">
        <v>65467</v>
      </c>
      <c t="s">
        <v>26185</v>
      </c>
      <c t="s">
        <v>1239</v>
      </c>
      <c t="s">
        <v>3093</v>
      </c>
      <c t="s">
        <v>63307</v>
      </c>
    </row>
    <row>
      <c t="s">
        <v>17594</v>
      </c>
      <c t="s">
        <v>62338</v>
      </c>
      <c t="s">
        <v>56337</v>
      </c>
      <c t="s">
        <v>15802</v>
      </c>
      <c t="s">
        <v>26779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67" s="1" t="str">
        <f ca="1">HYPERLINK("https://web.datatree.com/?/property?propertyId=32117365", "https://web.datatree.com/?/property?propertyId=32117365")</f>
        <v>https://web.datatree.com/?/property?propertyId=32117365</v>
      </c>
      <c r="Q467" t="s">
        <v>316</v>
      </c>
      <c>
        <v>0.23</v>
      </c>
      <c t="s">
        <v>6175</v>
      </c>
      <c t="s">
        <v>11082</v>
      </c>
      <c t="s">
        <v>5923</v>
      </c>
      <c t="s">
        <v>47991</v>
      </c>
      <c t="s">
        <v>5923</v>
      </c>
      <c t="s">
        <v>16402</v>
      </c>
      <c t="s">
        <v>61865</v>
      </c>
      <c t="s">
        <v>2517</v>
      </c>
      <c t="s">
        <v>39289</v>
      </c>
      <c>
        <v>33909</v>
      </c>
      <c t="s">
        <v>30176</v>
      </c>
      <c t="s">
        <v>48794</v>
      </c>
      <c t="s">
        <v>18573</v>
      </c>
      <c>
        <v>620</v>
      </c>
      <c r="AI467" t="s">
        <v>47903</v>
      </c>
      <c t="s">
        <v>45620</v>
      </c>
      <c r="AL467" t="s">
        <v>61458</v>
      </c>
      <c r="AN467" t="s">
        <v>14509</v>
      </c>
      <c t="s">
        <v>62132</v>
      </c>
      <c t="s">
        <v>34162</v>
      </c>
      <c t="s">
        <v>3093</v>
      </c>
      <c t="s">
        <v>31474</v>
      </c>
    </row>
    <row>
      <c t="s">
        <v>17594</v>
      </c>
      <c t="s">
        <v>35942</v>
      </c>
      <c t="s">
        <v>33465</v>
      </c>
      <c t="s">
        <v>47148</v>
      </c>
      <c t="s">
        <v>65439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468" s="1" t="str">
        <f ca="1">HYPERLINK("https://web.datatree.com/?/property?propertyId=32117438", "https://web.datatree.com/?/property?propertyId=32117438")</f>
        <v>https://web.datatree.com/?/property?propertyId=32117438</v>
      </c>
      <c r="Q468" t="s">
        <v>316</v>
      </c>
      <c>
        <v>0.23</v>
      </c>
      <c t="s">
        <v>22490</v>
      </c>
      <c t="s">
        <v>53584</v>
      </c>
      <c t="s">
        <v>59839</v>
      </c>
      <c r="X468" t="s">
        <v>16545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34489</v>
      </c>
      <c>
        <v>17</v>
      </c>
      <c r="AI468" t="s">
        <v>349</v>
      </c>
      <c r="AL468" t="s">
        <v>21839</v>
      </c>
      <c r="AN468" t="s">
        <v>32840</v>
      </c>
      <c r="AR468" t="s">
        <v>9793</v>
      </c>
    </row>
    <row>
      <c t="s">
        <v>17594</v>
      </c>
      <c t="s">
        <v>51358</v>
      </c>
      <c t="s">
        <v>24128</v>
      </c>
      <c t="s">
        <v>35923</v>
      </c>
      <c t="s">
        <v>44505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69" s="1" t="str">
        <f ca="1">HYPERLINK("https://web.datatree.com/?/property?propertyId=32118041", "https://web.datatree.com/?/property?propertyId=32118041")</f>
        <v>https://web.datatree.com/?/property?propertyId=32118041</v>
      </c>
      <c r="Q469" t="s">
        <v>316</v>
      </c>
      <c>
        <v>0.23</v>
      </c>
      <c t="s">
        <v>6175</v>
      </c>
      <c t="s">
        <v>65152</v>
      </c>
      <c t="s">
        <v>9592</v>
      </c>
      <c t="s">
        <v>52701</v>
      </c>
      <c t="s">
        <v>9592</v>
      </c>
      <c t="s">
        <v>51515</v>
      </c>
      <c t="s">
        <v>34731</v>
      </c>
      <c t="s">
        <v>2517</v>
      </c>
      <c t="s">
        <v>39289</v>
      </c>
      <c>
        <v>33909</v>
      </c>
      <c t="s">
        <v>6814</v>
      </c>
      <c t="s">
        <v>48794</v>
      </c>
      <c t="s">
        <v>14799</v>
      </c>
      <c>
        <v>16830</v>
      </c>
      <c r="AI469" t="s">
        <v>64265</v>
      </c>
      <c t="s">
        <v>24900</v>
      </c>
      <c r="AL469" t="s">
        <v>29515</v>
      </c>
      <c r="AN469" t="s">
        <v>39289</v>
      </c>
      <c t="s">
        <v>17745</v>
      </c>
      <c t="s">
        <v>35679</v>
      </c>
      <c t="s">
        <v>3093</v>
      </c>
      <c t="s">
        <v>6200</v>
      </c>
    </row>
    <row>
      <c t="s">
        <v>42103</v>
      </c>
      <c t="s">
        <v>27477</v>
      </c>
      <c t="s">
        <v>9070</v>
      </c>
      <c t="s">
        <v>35566</v>
      </c>
      <c t="s">
        <v>29876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70" s="1" t="str">
        <f ca="1">HYPERLINK("https://web.datatree.com/?/property?propertyId=32118142", "https://web.datatree.com/?/property?propertyId=32118142")</f>
        <v>https://web.datatree.com/?/property?propertyId=32118142</v>
      </c>
      <c r="Q470" t="s">
        <v>316</v>
      </c>
      <c>
        <v>0.23</v>
      </c>
      <c t="s">
        <v>6175</v>
      </c>
      <c t="s">
        <v>31169</v>
      </c>
      <c t="s">
        <v>65924</v>
      </c>
      <c r="X470" t="s">
        <v>19028</v>
      </c>
      <c t="s">
        <v>33335</v>
      </c>
      <c t="s">
        <v>2517</v>
      </c>
      <c t="s">
        <v>39289</v>
      </c>
      <c>
        <v>33909</v>
      </c>
      <c t="s">
        <v>8938</v>
      </c>
      <c t="s">
        <v>48794</v>
      </c>
      <c t="s">
        <v>29821</v>
      </c>
      <c r="AI470" t="s">
        <v>52939</v>
      </c>
      <c r="AL470" t="s">
        <v>44917</v>
      </c>
      <c r="AN470" t="s">
        <v>26016</v>
      </c>
      <c>
        <v>7834</v>
      </c>
      <c t="s">
        <v>23536</v>
      </c>
      <c t="s">
        <v>3093</v>
      </c>
      <c t="s">
        <v>65462</v>
      </c>
    </row>
    <row>
      <c t="s">
        <v>17594</v>
      </c>
      <c t="s">
        <v>5424</v>
      </c>
      <c t="s">
        <v>22495</v>
      </c>
      <c t="s">
        <v>50103</v>
      </c>
      <c t="s">
        <v>65069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471" s="1" t="str">
        <f ca="1">HYPERLINK("https://web.datatree.com/?/property?propertyId=32118958", "https://web.datatree.com/?/property?propertyId=32118958")</f>
        <v>https://web.datatree.com/?/property?propertyId=32118958</v>
      </c>
      <c r="Q471" t="s">
        <v>316</v>
      </c>
      <c>
        <v>0.23</v>
      </c>
      <c t="s">
        <v>6175</v>
      </c>
      <c t="s">
        <v>47754</v>
      </c>
      <c t="s">
        <v>46926</v>
      </c>
      <c t="s">
        <v>39210</v>
      </c>
      <c t="s">
        <v>46926</v>
      </c>
      <c t="s">
        <v>61522</v>
      </c>
      <c t="s">
        <v>39082</v>
      </c>
      <c t="s">
        <v>2517</v>
      </c>
      <c t="s">
        <v>39289</v>
      </c>
      <c>
        <v>33909</v>
      </c>
      <c t="s">
        <v>40544</v>
      </c>
      <c t="s">
        <v>48794</v>
      </c>
      <c t="s">
        <v>22310</v>
      </c>
      <c>
        <v>8027</v>
      </c>
      <c r="AI471" t="s">
        <v>10996</v>
      </c>
      <c t="s">
        <v>24900</v>
      </c>
      <c r="AL471" t="s">
        <v>22539</v>
      </c>
      <c r="AN471" t="s">
        <v>65451</v>
      </c>
      <c t="s">
        <v>49685</v>
      </c>
      <c t="s">
        <v>43446</v>
      </c>
      <c t="s">
        <v>3093</v>
      </c>
      <c t="s">
        <v>41358</v>
      </c>
    </row>
    <row>
      <c t="s">
        <v>17594</v>
      </c>
      <c t="s">
        <v>38451</v>
      </c>
      <c t="s">
        <v>1321</v>
      </c>
      <c t="s">
        <v>27010</v>
      </c>
      <c t="s">
        <v>40919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472" s="1" t="str">
        <f ca="1">HYPERLINK("https://web.datatree.com/?/property?propertyId=32119058", "https://web.datatree.com/?/property?propertyId=32119058")</f>
        <v>https://web.datatree.com/?/property?propertyId=32119058</v>
      </c>
      <c r="Q472" t="s">
        <v>316</v>
      </c>
      <c>
        <v>0.23</v>
      </c>
      <c t="s">
        <v>28270</v>
      </c>
      <c t="s">
        <v>62863</v>
      </c>
      <c t="s">
        <v>66515</v>
      </c>
      <c r="W472" t="s">
        <v>855</v>
      </c>
      <c t="s">
        <v>36767</v>
      </c>
      <c t="s">
        <v>30928</v>
      </c>
      <c t="s">
        <v>2517</v>
      </c>
      <c t="s">
        <v>39289</v>
      </c>
      <c>
        <v>33909</v>
      </c>
      <c t="s">
        <v>14414</v>
      </c>
      <c t="s">
        <v>48794</v>
      </c>
      <c t="s">
        <v>49843</v>
      </c>
      <c>
        <v>6900</v>
      </c>
      <c r="AI472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49408</v>
      </c>
      <c t="s">
        <v>8293</v>
      </c>
      <c t="s">
        <v>16861</v>
      </c>
      <c t="s">
        <v>59302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473" s="1" t="str">
        <f ca="1">HYPERLINK("https://web.datatree.com/?/property?propertyId=32119313", "https://web.datatree.com/?/property?propertyId=32119313")</f>
        <v>https://web.datatree.com/?/property?propertyId=32119313</v>
      </c>
      <c r="Q473" t="s">
        <v>316</v>
      </c>
      <c>
        <v>0.229</v>
      </c>
      <c t="s">
        <v>5471</v>
      </c>
      <c r="U473" t="s">
        <v>64293</v>
      </c>
      <c r="X473" t="s">
        <v>50050</v>
      </c>
      <c t="s">
        <v>1805</v>
      </c>
      <c t="s">
        <v>65059</v>
      </c>
      <c t="s">
        <v>39289</v>
      </c>
      <c>
        <v>33905</v>
      </c>
      <c t="s">
        <v>27520</v>
      </c>
      <c t="s">
        <v>48794</v>
      </c>
      <c t="s">
        <v>54613</v>
      </c>
      <c>
        <v>1082</v>
      </c>
      <c r="AI473" t="s">
        <v>41275</v>
      </c>
      <c t="s">
        <v>55842</v>
      </c>
      <c r="AL473" t="s">
        <v>62769</v>
      </c>
      <c t="s">
        <v>62769</v>
      </c>
      <c t="s">
        <v>39289</v>
      </c>
      <c t="s">
        <v>20064</v>
      </c>
      <c t="s">
        <v>32469</v>
      </c>
      <c t="s">
        <v>3093</v>
      </c>
      <c t="s">
        <v>45266</v>
      </c>
    </row>
    <row>
      <c t="s">
        <v>17594</v>
      </c>
      <c t="s">
        <v>19226</v>
      </c>
      <c t="s">
        <v>16061</v>
      </c>
      <c t="s">
        <v>19563</v>
      </c>
      <c t="s">
        <v>48785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74" s="1" t="str">
        <f ca="1">HYPERLINK("https://web.datatree.com/?/property?propertyId=32119764", "https://web.datatree.com/?/property?propertyId=32119764")</f>
        <v>https://web.datatree.com/?/property?propertyId=32119764</v>
      </c>
      <c r="Q474" t="s">
        <v>316</v>
      </c>
      <c>
        <v>0.243</v>
      </c>
      <c t="s">
        <v>5471</v>
      </c>
      <c t="s">
        <v>44973</v>
      </c>
      <c t="s">
        <v>57948</v>
      </c>
      <c t="s">
        <v>6010</v>
      </c>
      <c t="s">
        <v>57948</v>
      </c>
      <c t="s">
        <v>23958</v>
      </c>
      <c t="s">
        <v>17915</v>
      </c>
      <c t="s">
        <v>65059</v>
      </c>
      <c t="s">
        <v>39289</v>
      </c>
      <c>
        <v>33905</v>
      </c>
      <c>
        <v>33905</v>
      </c>
      <c t="s">
        <v>48794</v>
      </c>
      <c t="s">
        <v>61093</v>
      </c>
      <c>
        <v>86</v>
      </c>
      <c r="AI474" t="s">
        <v>17594</v>
      </c>
      <c r="AL474" t="s">
        <v>62902</v>
      </c>
      <c t="s">
        <v>40227</v>
      </c>
      <c t="s">
        <v>63985</v>
      </c>
      <c>
        <v>40627</v>
      </c>
      <c r="AR474" t="s">
        <v>24362</v>
      </c>
    </row>
    <row>
      <c t="s">
        <v>17594</v>
      </c>
      <c t="s">
        <v>61195</v>
      </c>
      <c t="s">
        <v>2628</v>
      </c>
      <c t="s">
        <v>39981</v>
      </c>
      <c t="s">
        <v>37130</v>
      </c>
      <c s="3">
        <v>17097</v>
      </c>
      <c s="3">
        <v>17097</v>
      </c>
      <c s="3">
        <v>8470</v>
      </c>
      <c>
        <v>0</v>
      </c>
      <c s="3">
        <v>0</v>
      </c>
      <c s="3">
        <v>557.43</v>
      </c>
      <c s="3">
        <v>17097</v>
      </c>
      <c r="O475" s="1" t="str">
        <f ca="1">HYPERLINK("https://web.datatree.com/?/property?propertyId=32119776", "https://web.datatree.com/?/property?propertyId=32119776")</f>
        <v>https://web.datatree.com/?/property?propertyId=32119776</v>
      </c>
      <c r="Q475" t="s">
        <v>316</v>
      </c>
      <c>
        <v>0.244</v>
      </c>
      <c t="s">
        <v>6175</v>
      </c>
      <c t="s">
        <v>47955</v>
      </c>
      <c t="s">
        <v>27598</v>
      </c>
      <c r="X475" t="s">
        <v>11993</v>
      </c>
      <c t="s">
        <v>39777</v>
      </c>
      <c t="s">
        <v>2517</v>
      </c>
      <c t="s">
        <v>39289</v>
      </c>
      <c>
        <v>33909</v>
      </c>
      <c t="s">
        <v>27130</v>
      </c>
      <c t="s">
        <v>48794</v>
      </c>
      <c t="s">
        <v>17765</v>
      </c>
      <c>
        <v>141</v>
      </c>
      <c r="AI475" t="s">
        <v>58557</v>
      </c>
      <c t="s">
        <v>45393</v>
      </c>
      <c t="s">
        <v>28573</v>
      </c>
      <c t="s">
        <v>13397</v>
      </c>
      <c r="AN475" t="s">
        <v>50917</v>
      </c>
      <c t="s">
        <v>50720</v>
      </c>
      <c t="s">
        <v>17380</v>
      </c>
      <c t="s">
        <v>3093</v>
      </c>
      <c t="s">
        <v>66937</v>
      </c>
    </row>
    <row>
      <c t="s">
        <v>17594</v>
      </c>
      <c t="s">
        <v>37350</v>
      </c>
      <c t="s">
        <v>44536</v>
      </c>
      <c t="s">
        <v>56171</v>
      </c>
      <c t="s">
        <v>10097</v>
      </c>
      <c s="3">
        <v>18361</v>
      </c>
      <c s="3">
        <v>18361</v>
      </c>
      <c s="3">
        <v>9339</v>
      </c>
      <c>
        <v>0</v>
      </c>
      <c s="3">
        <v>0</v>
      </c>
      <c s="3">
        <v>575.99</v>
      </c>
      <c s="3">
        <v>18361</v>
      </c>
      <c r="O476" s="1" t="str">
        <f ca="1">HYPERLINK("https://web.datatree.com/?/property?propertyId=32120052", "https://web.datatree.com/?/property?propertyId=32120052")</f>
        <v>https://web.datatree.com/?/property?propertyId=32120052</v>
      </c>
      <c r="Q476" t="s">
        <v>316</v>
      </c>
      <c>
        <v>0.23</v>
      </c>
      <c t="s">
        <v>6175</v>
      </c>
      <c t="s">
        <v>1850</v>
      </c>
      <c t="s">
        <v>49622</v>
      </c>
      <c r="X476" t="s">
        <v>31358</v>
      </c>
      <c t="s">
        <v>46469</v>
      </c>
      <c t="s">
        <v>2517</v>
      </c>
      <c t="s">
        <v>39289</v>
      </c>
      <c>
        <v>33909</v>
      </c>
      <c t="s">
        <v>38214</v>
      </c>
      <c t="s">
        <v>48794</v>
      </c>
      <c t="s">
        <v>40166</v>
      </c>
      <c>
        <v>7</v>
      </c>
      <c r="AI476" t="s">
        <v>19287</v>
      </c>
      <c t="s">
        <v>40123</v>
      </c>
      <c r="AL476" t="s">
        <v>25529</v>
      </c>
      <c r="AN476" t="s">
        <v>50917</v>
      </c>
      <c t="s">
        <v>3089</v>
      </c>
      <c t="s">
        <v>40645</v>
      </c>
      <c t="s">
        <v>3093</v>
      </c>
      <c t="s">
        <v>49069</v>
      </c>
    </row>
    <row>
      <c t="s">
        <v>17594</v>
      </c>
      <c t="s">
        <v>17755</v>
      </c>
      <c t="s">
        <v>51225</v>
      </c>
      <c t="s">
        <v>560</v>
      </c>
      <c t="s">
        <v>61114</v>
      </c>
      <c s="3">
        <v>36210</v>
      </c>
      <c s="3">
        <v>36210</v>
      </c>
      <c s="3">
        <v>18150</v>
      </c>
      <c>
        <v>0</v>
      </c>
      <c s="3">
        <v>0</v>
      </c>
      <c s="3">
        <v>761.51</v>
      </c>
      <c s="3">
        <v>36210</v>
      </c>
      <c r="O477" s="1" t="str">
        <f ca="1">HYPERLINK("https://web.datatree.com/?/property?propertyId=32120278", "https://web.datatree.com/?/property?propertyId=32120278")</f>
        <v>https://web.datatree.com/?/property?propertyId=32120278</v>
      </c>
      <c r="Q477" t="s">
        <v>316</v>
      </c>
      <c>
        <v>0.23</v>
      </c>
      <c t="s">
        <v>65422</v>
      </c>
      <c t="s">
        <v>64030</v>
      </c>
      <c t="s">
        <v>24848</v>
      </c>
      <c t="s">
        <v>21852</v>
      </c>
      <c t="s">
        <v>16920</v>
      </c>
      <c t="s">
        <v>23156</v>
      </c>
      <c t="s">
        <v>7113</v>
      </c>
      <c t="s">
        <v>2517</v>
      </c>
      <c t="s">
        <v>39289</v>
      </c>
      <c>
        <v>33909</v>
      </c>
      <c>
        <v>33909</v>
      </c>
      <c t="s">
        <v>48794</v>
      </c>
      <c t="s">
        <v>2498</v>
      </c>
      <c>
        <v>85</v>
      </c>
      <c r="AI477" t="s">
        <v>54427</v>
      </c>
      <c t="s">
        <v>24900</v>
      </c>
      <c r="AL477" t="s">
        <v>5040</v>
      </c>
      <c t="s">
        <v>5040</v>
      </c>
      <c t="s">
        <v>14509</v>
      </c>
      <c t="s">
        <v>3156</v>
      </c>
      <c t="s">
        <v>16126</v>
      </c>
      <c t="s">
        <v>3093</v>
      </c>
      <c t="s">
        <v>57673</v>
      </c>
    </row>
    <row>
      <c t="s">
        <v>42103</v>
      </c>
      <c t="s">
        <v>44594</v>
      </c>
      <c t="s">
        <v>13967</v>
      </c>
      <c t="s">
        <v>40270</v>
      </c>
      <c t="s">
        <v>2549</v>
      </c>
      <c s="3">
        <v>20579</v>
      </c>
      <c s="3">
        <v>20579</v>
      </c>
      <c s="3">
        <v>9599</v>
      </c>
      <c>
        <v>0</v>
      </c>
      <c s="3">
        <v>0</v>
      </c>
      <c s="3">
        <v>696.63</v>
      </c>
      <c s="3">
        <v>20579</v>
      </c>
      <c>
        <v>2020</v>
      </c>
      <c>
        <v>2062.13</v>
      </c>
      <c s="1" t="str">
        <f ca="1">HYPERLINK("https://web.datatree.com/?/property?propertyId=32120359", "https://web.datatree.com/?/property?propertyId=32120359")</f>
        <v>https://web.datatree.com/?/property?propertyId=32120359</v>
      </c>
      <c r="Q478" t="s">
        <v>316</v>
      </c>
      <c>
        <v>0.344</v>
      </c>
      <c t="s">
        <v>6175</v>
      </c>
      <c t="s">
        <v>33168</v>
      </c>
      <c t="s">
        <v>19273</v>
      </c>
      <c r="X478" t="s">
        <v>57053</v>
      </c>
      <c t="s">
        <v>33179</v>
      </c>
      <c t="s">
        <v>2517</v>
      </c>
      <c t="s">
        <v>39289</v>
      </c>
      <c>
        <v>33909</v>
      </c>
      <c t="s">
        <v>52424</v>
      </c>
      <c t="s">
        <v>48794</v>
      </c>
      <c t="s">
        <v>32121</v>
      </c>
      <c r="AI478" t="s">
        <v>17632</v>
      </c>
      <c r="AL478" t="s">
        <v>6144</v>
      </c>
      <c r="AN478" t="s">
        <v>50917</v>
      </c>
      <c>
        <v>10467</v>
      </c>
      <c t="s">
        <v>36590</v>
      </c>
      <c t="s">
        <v>3093</v>
      </c>
      <c t="s">
        <v>2159</v>
      </c>
    </row>
    <row>
      <c t="s">
        <v>17594</v>
      </c>
      <c t="s">
        <v>34559</v>
      </c>
      <c t="s">
        <v>44270</v>
      </c>
      <c t="s">
        <v>55735</v>
      </c>
      <c t="s">
        <v>52395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>
        <v>2019</v>
      </c>
      <c>
        <v>4111.62</v>
      </c>
      <c s="1" t="str">
        <f ca="1">HYPERLINK("https://web.datatree.com/?/property?propertyId=32120534", "https://web.datatree.com/?/property?propertyId=32120534")</f>
        <v>https://web.datatree.com/?/property?propertyId=32120534</v>
      </c>
      <c r="Q479" t="s">
        <v>316</v>
      </c>
      <c>
        <v>0.23</v>
      </c>
      <c t="s">
        <v>54449</v>
      </c>
      <c t="s">
        <v>65792</v>
      </c>
      <c t="s">
        <v>41119</v>
      </c>
      <c t="s">
        <v>16558</v>
      </c>
      <c t="s">
        <v>45820</v>
      </c>
      <c t="s">
        <v>35786</v>
      </c>
      <c t="s">
        <v>38550</v>
      </c>
      <c t="s">
        <v>2517</v>
      </c>
      <c t="s">
        <v>39289</v>
      </c>
      <c>
        <v>33909</v>
      </c>
      <c t="s">
        <v>59657</v>
      </c>
      <c t="s">
        <v>48794</v>
      </c>
      <c t="s">
        <v>14499</v>
      </c>
      <c>
        <v>3702</v>
      </c>
      <c r="AI479" t="s">
        <v>18830</v>
      </c>
      <c t="s">
        <v>24900</v>
      </c>
      <c r="AL479" t="s">
        <v>3369</v>
      </c>
      <c r="AN479" t="s">
        <v>21017</v>
      </c>
      <c t="s">
        <v>55143</v>
      </c>
      <c t="s">
        <v>21201</v>
      </c>
      <c t="s">
        <v>3093</v>
      </c>
      <c t="s">
        <v>23561</v>
      </c>
    </row>
    <row>
      <c t="s">
        <v>17594</v>
      </c>
      <c t="s">
        <v>26366</v>
      </c>
      <c t="s">
        <v>65179</v>
      </c>
      <c t="s">
        <v>32971</v>
      </c>
      <c t="s">
        <v>11801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480" s="1" t="str">
        <f ca="1">HYPERLINK("https://web.datatree.com/?/property?propertyId=32120569", "https://web.datatree.com/?/property?propertyId=32120569")</f>
        <v>https://web.datatree.com/?/property?propertyId=32120569</v>
      </c>
      <c r="Q480" t="s">
        <v>316</v>
      </c>
      <c>
        <v>0.244</v>
      </c>
      <c t="s">
        <v>6175</v>
      </c>
      <c t="s">
        <v>38202</v>
      </c>
      <c t="s">
        <v>46872</v>
      </c>
      <c t="s">
        <v>1599</v>
      </c>
      <c t="s">
        <v>46872</v>
      </c>
      <c t="s">
        <v>39933</v>
      </c>
      <c t="s">
        <v>34731</v>
      </c>
      <c t="s">
        <v>2517</v>
      </c>
      <c t="s">
        <v>39289</v>
      </c>
      <c>
        <v>33909</v>
      </c>
      <c t="s">
        <v>26264</v>
      </c>
      <c t="s">
        <v>48794</v>
      </c>
      <c t="s">
        <v>43864</v>
      </c>
      <c>
        <v>149</v>
      </c>
      <c r="AI480" t="s">
        <v>10899</v>
      </c>
      <c t="s">
        <v>45620</v>
      </c>
      <c r="AL480" t="s">
        <v>59016</v>
      </c>
      <c r="AN480" t="s">
        <v>14509</v>
      </c>
      <c t="s">
        <v>15822</v>
      </c>
      <c t="s">
        <v>44428</v>
      </c>
      <c t="s">
        <v>3093</v>
      </c>
      <c t="s">
        <v>6993</v>
      </c>
    </row>
    <row>
      <c t="s">
        <v>17594</v>
      </c>
      <c t="s">
        <v>8315</v>
      </c>
      <c t="s">
        <v>38336</v>
      </c>
      <c t="s">
        <v>12901</v>
      </c>
      <c t="s">
        <v>25555</v>
      </c>
      <c s="3">
        <v>99000</v>
      </c>
      <c s="3">
        <v>99000</v>
      </c>
      <c s="3">
        <v>75900</v>
      </c>
      <c>
        <v>0</v>
      </c>
      <c s="3">
        <v>0</v>
      </c>
      <c s="3">
        <v>1169.86</v>
      </c>
      <c s="3">
        <v>99000</v>
      </c>
      <c r="O481" s="1" t="str">
        <f ca="1">HYPERLINK("https://web.datatree.com/?/property?propertyId=32120865", "https://web.datatree.com/?/property?propertyId=32120865")</f>
        <v>https://web.datatree.com/?/property?propertyId=32120865</v>
      </c>
      <c r="Q481" t="s">
        <v>316</v>
      </c>
      <c>
        <v>0.5</v>
      </c>
      <c t="s">
        <v>30497</v>
      </c>
      <c t="s">
        <v>65985</v>
      </c>
      <c t="s">
        <v>13660</v>
      </c>
      <c t="s">
        <v>757</v>
      </c>
      <c t="s">
        <v>13660</v>
      </c>
      <c t="s">
        <v>53181</v>
      </c>
      <c t="s">
        <v>64117</v>
      </c>
      <c t="s">
        <v>65059</v>
      </c>
      <c t="s">
        <v>39289</v>
      </c>
      <c>
        <v>33908</v>
      </c>
      <c t="s">
        <v>49719</v>
      </c>
      <c t="s">
        <v>48794</v>
      </c>
      <c t="s">
        <v>49030</v>
      </c>
      <c>
        <v>5158</v>
      </c>
      <c r="AI481" t="s">
        <v>48352</v>
      </c>
      <c t="s">
        <v>40123</v>
      </c>
      <c r="AL481" t="s">
        <v>46814</v>
      </c>
      <c t="s">
        <v>46814</v>
      </c>
      <c t="s">
        <v>27481</v>
      </c>
      <c t="s">
        <v>60519</v>
      </c>
      <c t="s">
        <v>7361</v>
      </c>
      <c t="s">
        <v>3093</v>
      </c>
      <c t="s">
        <v>14847</v>
      </c>
    </row>
    <row>
      <c t="s">
        <v>17594</v>
      </c>
      <c t="s">
        <v>36468</v>
      </c>
      <c t="s">
        <v>61000</v>
      </c>
      <c t="s">
        <v>49448</v>
      </c>
      <c t="s">
        <v>57533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82" s="1" t="str">
        <f ca="1">HYPERLINK("https://web.datatree.com/?/property?propertyId=32121013", "https://web.datatree.com/?/property?propertyId=32121013")</f>
        <v>https://web.datatree.com/?/property?propertyId=32121013</v>
      </c>
      <c r="Q482" t="s">
        <v>316</v>
      </c>
      <c>
        <v>0.23</v>
      </c>
      <c t="s">
        <v>6175</v>
      </c>
      <c t="s">
        <v>1859</v>
      </c>
      <c t="s">
        <v>4249</v>
      </c>
      <c r="X482" t="s">
        <v>53159</v>
      </c>
      <c t="s">
        <v>33179</v>
      </c>
      <c t="s">
        <v>2517</v>
      </c>
      <c t="s">
        <v>39289</v>
      </c>
      <c>
        <v>33909</v>
      </c>
      <c t="s">
        <v>65248</v>
      </c>
      <c t="s">
        <v>48794</v>
      </c>
      <c t="s">
        <v>66436</v>
      </c>
      <c>
        <v>8124</v>
      </c>
      <c r="AI482" t="s">
        <v>59465</v>
      </c>
      <c t="s">
        <v>39321</v>
      </c>
      <c r="AL482" t="s">
        <v>1121</v>
      </c>
      <c t="s">
        <v>1121</v>
      </c>
      <c t="s">
        <v>39289</v>
      </c>
      <c t="s">
        <v>57953</v>
      </c>
      <c t="s">
        <v>35679</v>
      </c>
      <c t="s">
        <v>3093</v>
      </c>
      <c t="s">
        <v>15185</v>
      </c>
    </row>
    <row>
      <c t="s">
        <v>17594</v>
      </c>
      <c t="s">
        <v>48015</v>
      </c>
      <c t="s">
        <v>59824</v>
      </c>
      <c t="s">
        <v>25637</v>
      </c>
      <c t="s">
        <v>55265</v>
      </c>
      <c s="3">
        <v>10306</v>
      </c>
      <c s="3">
        <v>6042</v>
      </c>
      <c s="3">
        <v>10306</v>
      </c>
      <c>
        <v>0</v>
      </c>
      <c s="3">
        <v>0</v>
      </c>
      <c s="3">
        <v>153.72</v>
      </c>
      <c s="3">
        <v>10306</v>
      </c>
      <c r="O483" s="1" t="str">
        <f ca="1">HYPERLINK("https://web.datatree.com/?/property?propertyId=32121295", "https://web.datatree.com/?/property?propertyId=32121295")</f>
        <v>https://web.datatree.com/?/property?propertyId=32121295</v>
      </c>
      <c r="Q483" t="s">
        <v>316</v>
      </c>
      <c>
        <v>0.025</v>
      </c>
      <c t="s">
        <v>57294</v>
      </c>
      <c t="s">
        <v>38202</v>
      </c>
      <c t="s">
        <v>9936</v>
      </c>
      <c r="X483" t="s">
        <v>24265</v>
      </c>
      <c t="s">
        <v>31144</v>
      </c>
      <c t="s">
        <v>65059</v>
      </c>
      <c t="s">
        <v>39289</v>
      </c>
      <c>
        <v>33905</v>
      </c>
      <c>
        <v>33905</v>
      </c>
      <c t="s">
        <v>48794</v>
      </c>
      <c t="s">
        <v>31958</v>
      </c>
      <c>
        <v>8927</v>
      </c>
      <c r="AI483" t="s">
        <v>55601</v>
      </c>
      <c t="s">
        <v>31192</v>
      </c>
      <c r="AL483" t="s">
        <v>36080</v>
      </c>
      <c t="s">
        <v>48980</v>
      </c>
      <c t="s">
        <v>39289</v>
      </c>
      <c t="s">
        <v>33610</v>
      </c>
      <c t="s">
        <v>14564</v>
      </c>
      <c t="s">
        <v>3093</v>
      </c>
      <c t="s">
        <v>21275</v>
      </c>
    </row>
    <row>
      <c t="s">
        <v>17594</v>
      </c>
      <c t="s">
        <v>50256</v>
      </c>
      <c t="s">
        <v>6699</v>
      </c>
      <c t="s">
        <v>5777</v>
      </c>
      <c t="s">
        <v>39718</v>
      </c>
      <c s="3">
        <v>17100</v>
      </c>
      <c s="3">
        <v>17100</v>
      </c>
      <c s="3">
        <v>9900</v>
      </c>
      <c>
        <v>0</v>
      </c>
      <c s="3">
        <v>0</v>
      </c>
      <c s="3">
        <v>665.23</v>
      </c>
      <c s="3">
        <v>17100</v>
      </c>
      <c r="O484" s="1" t="str">
        <f ca="1">HYPERLINK("https://web.datatree.com/?/property?propertyId=32121540", "https://web.datatree.com/?/property?propertyId=32121540")</f>
        <v>https://web.datatree.com/?/property?propertyId=32121540</v>
      </c>
      <c r="Q484" t="s">
        <v>316</v>
      </c>
      <c>
        <v>0.344</v>
      </c>
      <c t="s">
        <v>6175</v>
      </c>
      <c t="s">
        <v>44457</v>
      </c>
      <c t="s">
        <v>46651</v>
      </c>
      <c r="X484" t="s">
        <v>63288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42343</v>
      </c>
      <c r="AI484" t="s">
        <v>25460</v>
      </c>
      <c r="AL484" t="s">
        <v>18140</v>
      </c>
      <c r="AN484" t="s">
        <v>49730</v>
      </c>
      <c>
        <v>88336</v>
      </c>
      <c r="AR484" t="s">
        <v>11630</v>
      </c>
    </row>
    <row>
      <c t="s">
        <v>17594</v>
      </c>
      <c t="s">
        <v>40143</v>
      </c>
      <c s="2" t="s">
        <v>48888</v>
      </c>
      <c t="s">
        <v>56218</v>
      </c>
      <c t="s">
        <v>35401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485" s="1" t="str">
        <f ca="1">HYPERLINK("https://web.datatree.com/?/property?propertyId=32121748", "https://web.datatree.com/?/property?propertyId=32121748")</f>
        <v>https://web.datatree.com/?/property?propertyId=32121748</v>
      </c>
      <c r="Q485" t="s">
        <v>316</v>
      </c>
      <c>
        <v>0.244</v>
      </c>
      <c t="s">
        <v>6175</v>
      </c>
      <c t="s">
        <v>3293</v>
      </c>
      <c t="s">
        <v>32384</v>
      </c>
      <c t="s">
        <v>65572</v>
      </c>
      <c t="s">
        <v>32384</v>
      </c>
      <c t="s">
        <v>55639</v>
      </c>
      <c t="s">
        <v>34731</v>
      </c>
      <c t="s">
        <v>2517</v>
      </c>
      <c t="s">
        <v>39289</v>
      </c>
      <c>
        <v>33909</v>
      </c>
      <c t="s">
        <v>41553</v>
      </c>
      <c t="s">
        <v>48794</v>
      </c>
      <c t="s">
        <v>48397</v>
      </c>
      <c>
        <v>5170</v>
      </c>
      <c r="AI485" t="s">
        <v>61519</v>
      </c>
      <c t="s">
        <v>24900</v>
      </c>
      <c>
        <v>400</v>
      </c>
      <c t="s">
        <v>50860</v>
      </c>
      <c r="AN485" t="s">
        <v>51087</v>
      </c>
      <c t="s">
        <v>65618</v>
      </c>
      <c t="s">
        <v>54916</v>
      </c>
      <c t="s">
        <v>3093</v>
      </c>
      <c s="2" t="s">
        <v>12430</v>
      </c>
    </row>
    <row>
      <c t="s">
        <v>17594</v>
      </c>
      <c t="s">
        <v>60163</v>
      </c>
      <c t="s">
        <v>62724</v>
      </c>
      <c t="s">
        <v>42851</v>
      </c>
      <c t="s">
        <v>18355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486" s="1" t="str">
        <f ca="1">HYPERLINK("https://web.datatree.com/?/property?propertyId=32121840", "https://web.datatree.com/?/property?propertyId=32121840")</f>
        <v>https://web.datatree.com/?/property?propertyId=32121840</v>
      </c>
      <c r="Q486" t="s">
        <v>316</v>
      </c>
      <c>
        <v>0.244</v>
      </c>
      <c t="s">
        <v>6175</v>
      </c>
      <c t="s">
        <v>2474</v>
      </c>
      <c t="s">
        <v>54937</v>
      </c>
      <c r="W486" t="s">
        <v>16886</v>
      </c>
      <c t="s">
        <v>61175</v>
      </c>
      <c t="s">
        <v>14917</v>
      </c>
      <c t="s">
        <v>2517</v>
      </c>
      <c t="s">
        <v>39289</v>
      </c>
      <c>
        <v>33909</v>
      </c>
      <c t="s">
        <v>45273</v>
      </c>
      <c t="s">
        <v>48794</v>
      </c>
      <c t="s">
        <v>52201</v>
      </c>
      <c>
        <v>7085</v>
      </c>
      <c r="AI486" t="s">
        <v>11827</v>
      </c>
      <c t="s">
        <v>45620</v>
      </c>
      <c r="AL486" t="s">
        <v>33575</v>
      </c>
      <c r="AN486" t="s">
        <v>50917</v>
      </c>
      <c t="s">
        <v>6445</v>
      </c>
      <c t="s">
        <v>52247</v>
      </c>
      <c t="s">
        <v>3093</v>
      </c>
      <c t="s">
        <v>18476</v>
      </c>
    </row>
    <row>
      <c t="s">
        <v>17594</v>
      </c>
      <c t="s">
        <v>19580</v>
      </c>
      <c t="s">
        <v>9507</v>
      </c>
      <c t="s">
        <v>49738</v>
      </c>
      <c t="s">
        <v>65629</v>
      </c>
      <c s="3">
        <v>17741</v>
      </c>
      <c s="3">
        <v>17741</v>
      </c>
      <c s="3">
        <v>17741</v>
      </c>
      <c>
        <v>0</v>
      </c>
      <c s="3">
        <v>0</v>
      </c>
      <c s="3">
        <v>488.16</v>
      </c>
      <c s="3">
        <v>17741</v>
      </c>
      <c r="O487" s="1" t="str">
        <f ca="1">HYPERLINK("https://web.datatree.com/?/property?propertyId=32121899", "https://web.datatree.com/?/property?propertyId=32121899")</f>
        <v>https://web.datatree.com/?/property?propertyId=32121899</v>
      </c>
      <c r="Q487" t="s">
        <v>316</v>
      </c>
      <c>
        <v>0.23</v>
      </c>
      <c t="s">
        <v>6175</v>
      </c>
      <c t="s">
        <v>50331</v>
      </c>
      <c t="s">
        <v>26513</v>
      </c>
      <c r="X487" t="s">
        <v>22314</v>
      </c>
      <c t="s">
        <v>59763</v>
      </c>
      <c t="s">
        <v>2517</v>
      </c>
      <c t="s">
        <v>39289</v>
      </c>
      <c>
        <v>33909</v>
      </c>
      <c t="s">
        <v>28557</v>
      </c>
      <c t="s">
        <v>48794</v>
      </c>
      <c t="s">
        <v>8144</v>
      </c>
      <c>
        <v>257</v>
      </c>
      <c r="AI487" t="s">
        <v>31245</v>
      </c>
      <c t="s">
        <v>45620</v>
      </c>
      <c>
        <v>420</v>
      </c>
      <c t="s">
        <v>41642</v>
      </c>
      <c t="s">
        <v>41642</v>
      </c>
      <c t="s">
        <v>39289</v>
      </c>
      <c t="s">
        <v>22695</v>
      </c>
      <c t="s">
        <v>12241</v>
      </c>
      <c t="s">
        <v>3093</v>
      </c>
      <c t="s">
        <v>35826</v>
      </c>
    </row>
    <row>
      <c t="s">
        <v>17594</v>
      </c>
      <c t="s">
        <v>26204</v>
      </c>
      <c t="s">
        <v>22087</v>
      </c>
      <c t="s">
        <v>45892</v>
      </c>
      <c t="s">
        <v>14919</v>
      </c>
      <c s="3">
        <v>24450</v>
      </c>
      <c s="3">
        <v>24450</v>
      </c>
      <c s="3">
        <v>24450</v>
      </c>
      <c>
        <v>0</v>
      </c>
      <c s="3">
        <v>0</v>
      </c>
      <c s="3">
        <v>764.72</v>
      </c>
      <c s="3">
        <v>24450</v>
      </c>
      <c r="O488" s="1" t="str">
        <f ca="1">HYPERLINK("https://web.datatree.com/?/property?propertyId=32122231", "https://web.datatree.com/?/property?propertyId=32122231")</f>
        <v>https://web.datatree.com/?/property?propertyId=32122231</v>
      </c>
      <c r="Q488" t="s">
        <v>316</v>
      </c>
      <c>
        <v>0.244</v>
      </c>
      <c t="s">
        <v>22490</v>
      </c>
      <c t="s">
        <v>61500</v>
      </c>
      <c t="s">
        <v>27671</v>
      </c>
      <c t="s">
        <v>26386</v>
      </c>
      <c t="s">
        <v>27577</v>
      </c>
      <c t="s">
        <v>24244</v>
      </c>
      <c t="s">
        <v>29190</v>
      </c>
      <c t="s">
        <v>2517</v>
      </c>
      <c t="s">
        <v>39289</v>
      </c>
      <c>
        <v>33909</v>
      </c>
      <c t="s">
        <v>28674</v>
      </c>
      <c t="s">
        <v>48794</v>
      </c>
      <c t="s">
        <v>39512</v>
      </c>
      <c>
        <v>278</v>
      </c>
      <c r="AI488" t="s">
        <v>62266</v>
      </c>
      <c t="s">
        <v>31192</v>
      </c>
      <c r="AL488" t="s">
        <v>2849</v>
      </c>
      <c t="s">
        <v>2849</v>
      </c>
      <c t="s">
        <v>26016</v>
      </c>
      <c t="s">
        <v>19410</v>
      </c>
      <c t="s">
        <v>60333</v>
      </c>
      <c t="s">
        <v>3093</v>
      </c>
      <c t="s">
        <v>5639</v>
      </c>
    </row>
    <row>
      <c t="s">
        <v>17594</v>
      </c>
      <c t="s">
        <v>6459</v>
      </c>
      <c t="s">
        <v>32762</v>
      </c>
      <c t="s">
        <v>18549</v>
      </c>
      <c t="s">
        <v>55952</v>
      </c>
      <c s="3">
        <v>57750</v>
      </c>
      <c s="3">
        <v>57750</v>
      </c>
      <c s="3">
        <v>9339</v>
      </c>
      <c>
        <v>0</v>
      </c>
      <c s="3">
        <v>0</v>
      </c>
      <c s="3">
        <v>795.02</v>
      </c>
      <c s="3">
        <v>57750</v>
      </c>
      <c r="O489" s="1" t="str">
        <f ca="1">HYPERLINK("https://web.datatree.com/?/property?propertyId=32122407", "https://web.datatree.com/?/property?propertyId=32122407")</f>
        <v>https://web.datatree.com/?/property?propertyId=32122407</v>
      </c>
      <c r="Q489" t="s">
        <v>316</v>
      </c>
      <c>
        <v>0.24</v>
      </c>
      <c t="s">
        <v>65422</v>
      </c>
      <c r="U489" t="s">
        <v>57455</v>
      </c>
      <c t="s">
        <v>38760</v>
      </c>
      <c t="s">
        <v>51665</v>
      </c>
      <c t="s">
        <v>7782</v>
      </c>
      <c t="s">
        <v>39082</v>
      </c>
      <c t="s">
        <v>2517</v>
      </c>
      <c t="s">
        <v>39289</v>
      </c>
      <c>
        <v>33909</v>
      </c>
      <c t="s">
        <v>31550</v>
      </c>
      <c t="s">
        <v>48794</v>
      </c>
      <c t="s">
        <v>53910</v>
      </c>
      <c>
        <v>650</v>
      </c>
      <c r="AI489" t="s">
        <v>18490</v>
      </c>
      <c t="s">
        <v>705</v>
      </c>
      <c r="AL489" t="s">
        <v>2082</v>
      </c>
      <c r="AN489" t="s">
        <v>5859</v>
      </c>
      <c t="s">
        <v>36043</v>
      </c>
      <c t="s">
        <v>60160</v>
      </c>
      <c t="s">
        <v>3093</v>
      </c>
      <c t="s">
        <v>30330</v>
      </c>
    </row>
    <row>
      <c t="s">
        <v>17594</v>
      </c>
      <c t="s">
        <v>26226</v>
      </c>
      <c t="s">
        <v>985</v>
      </c>
      <c t="s">
        <v>45594</v>
      </c>
      <c t="s">
        <v>50451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90" s="1" t="str">
        <f ca="1">HYPERLINK("https://web.datatree.com/?/property?propertyId=32122533", "https://web.datatree.com/?/property?propertyId=32122533")</f>
        <v>https://web.datatree.com/?/property?propertyId=32122533</v>
      </c>
      <c r="Q490" t="s">
        <v>316</v>
      </c>
      <c>
        <v>0.23</v>
      </c>
      <c t="s">
        <v>6175</v>
      </c>
      <c t="s">
        <v>45996</v>
      </c>
      <c t="s">
        <v>8504</v>
      </c>
      <c r="X490" t="s">
        <v>53743</v>
      </c>
      <c t="s">
        <v>13478</v>
      </c>
      <c t="s">
        <v>2517</v>
      </c>
      <c t="s">
        <v>39289</v>
      </c>
      <c>
        <v>33909</v>
      </c>
      <c t="s">
        <v>28939</v>
      </c>
      <c t="s">
        <v>48794</v>
      </c>
      <c t="s">
        <v>66518</v>
      </c>
      <c>
        <v>57</v>
      </c>
      <c r="AI490" t="s">
        <v>1831</v>
      </c>
      <c t="s">
        <v>55910</v>
      </c>
      <c r="AL490" t="s">
        <v>64610</v>
      </c>
      <c r="AN490" t="s">
        <v>39289</v>
      </c>
      <c t="s">
        <v>14894</v>
      </c>
      <c t="s">
        <v>24963</v>
      </c>
      <c t="s">
        <v>3093</v>
      </c>
      <c t="s">
        <v>52211</v>
      </c>
    </row>
    <row>
      <c t="s">
        <v>17594</v>
      </c>
      <c t="s">
        <v>54987</v>
      </c>
      <c t="s">
        <v>53942</v>
      </c>
      <c t="s">
        <v>2539</v>
      </c>
      <c t="s">
        <v>39393</v>
      </c>
      <c s="3">
        <v>42328</v>
      </c>
      <c s="3">
        <v>42328</v>
      </c>
      <c s="3">
        <v>17050</v>
      </c>
      <c>
        <v>0</v>
      </c>
      <c s="3">
        <v>0</v>
      </c>
      <c s="3">
        <v>768.4</v>
      </c>
      <c s="3">
        <v>42328</v>
      </c>
      <c r="O491" s="1" t="str">
        <f ca="1">HYPERLINK("https://web.datatree.com/?/property?propertyId=32123047", "https://web.datatree.com/?/property?propertyId=32123047")</f>
        <v>https://web.datatree.com/?/property?propertyId=32123047</v>
      </c>
      <c r="Q491" t="s">
        <v>316</v>
      </c>
      <c>
        <v>0.242</v>
      </c>
      <c t="s">
        <v>45031</v>
      </c>
      <c t="s">
        <v>50343</v>
      </c>
      <c t="s">
        <v>55429</v>
      </c>
      <c r="X491" t="s">
        <v>18610</v>
      </c>
      <c t="s">
        <v>29190</v>
      </c>
      <c t="s">
        <v>2517</v>
      </c>
      <c t="s">
        <v>39289</v>
      </c>
      <c>
        <v>33909</v>
      </c>
      <c t="s">
        <v>14045</v>
      </c>
      <c t="s">
        <v>48794</v>
      </c>
      <c t="s">
        <v>14986</v>
      </c>
      <c>
        <v>12822</v>
      </c>
      <c r="AI491" t="s">
        <v>59561</v>
      </c>
      <c t="s">
        <v>55842</v>
      </c>
      <c r="AL491" t="s">
        <v>9952</v>
      </c>
      <c r="AN491" t="s">
        <v>65467</v>
      </c>
      <c t="s">
        <v>52858</v>
      </c>
      <c t="s">
        <v>58683</v>
      </c>
      <c t="s">
        <v>3093</v>
      </c>
      <c t="s">
        <v>1783</v>
      </c>
    </row>
    <row>
      <c t="s">
        <v>17594</v>
      </c>
      <c t="s">
        <v>65210</v>
      </c>
      <c t="s">
        <v>1321</v>
      </c>
      <c t="s">
        <v>43869</v>
      </c>
      <c t="s">
        <v>67115</v>
      </c>
      <c s="3">
        <v>17382</v>
      </c>
      <c s="3">
        <v>17382</v>
      </c>
      <c s="3">
        <v>8910</v>
      </c>
      <c>
        <v>0</v>
      </c>
      <c s="3">
        <v>0</v>
      </c>
      <c s="3">
        <v>481.46</v>
      </c>
      <c s="3">
        <v>17382</v>
      </c>
      <c r="O492" s="1" t="str">
        <f ca="1">HYPERLINK("https://web.datatree.com/?/property?propertyId=32123332", "https://web.datatree.com/?/property?propertyId=32123332")</f>
        <v>https://web.datatree.com/?/property?propertyId=32123332</v>
      </c>
      <c r="Q492" t="s">
        <v>316</v>
      </c>
      <c>
        <v>0.23</v>
      </c>
      <c t="s">
        <v>6175</v>
      </c>
      <c t="s">
        <v>20345</v>
      </c>
      <c t="s">
        <v>3583</v>
      </c>
      <c r="W492" t="s">
        <v>855</v>
      </c>
      <c t="s">
        <v>30552</v>
      </c>
      <c t="s">
        <v>49122</v>
      </c>
      <c t="s">
        <v>2517</v>
      </c>
      <c t="s">
        <v>39289</v>
      </c>
      <c>
        <v>33909</v>
      </c>
      <c t="s">
        <v>36150</v>
      </c>
      <c t="s">
        <v>48794</v>
      </c>
      <c t="s">
        <v>43677</v>
      </c>
      <c>
        <v>6900</v>
      </c>
      <c r="AI492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50525</v>
      </c>
      <c t="s">
        <v>53852</v>
      </c>
      <c t="s">
        <v>63843</v>
      </c>
      <c t="s">
        <v>35598</v>
      </c>
      <c s="3">
        <v>38006</v>
      </c>
      <c s="3">
        <v>35736</v>
      </c>
      <c s="3">
        <v>38006</v>
      </c>
      <c>
        <v>0</v>
      </c>
      <c s="3">
        <v>0</v>
      </c>
      <c s="3">
        <v>526.4</v>
      </c>
      <c s="3">
        <v>38006</v>
      </c>
      <c r="O493" s="1" t="str">
        <f ca="1">HYPERLINK("https://web.datatree.com/?/property?propertyId=32123416", "https://web.datatree.com/?/property?propertyId=32123416")</f>
        <v>https://web.datatree.com/?/property?propertyId=32123416</v>
      </c>
      <c r="Q493" t="s">
        <v>316</v>
      </c>
      <c>
        <v>0.046</v>
      </c>
      <c t="s">
        <v>54329</v>
      </c>
      <c r="U493" t="s">
        <v>39128</v>
      </c>
      <c t="s">
        <v>40487</v>
      </c>
      <c t="s">
        <v>21062</v>
      </c>
      <c t="s">
        <v>57447</v>
      </c>
      <c t="s">
        <v>32195</v>
      </c>
      <c t="s">
        <v>65059</v>
      </c>
      <c t="s">
        <v>39289</v>
      </c>
      <c>
        <v>33908</v>
      </c>
      <c>
        <v>33908</v>
      </c>
      <c t="s">
        <v>48794</v>
      </c>
      <c t="s">
        <v>48793</v>
      </c>
      <c>
        <v>500</v>
      </c>
      <c r="AI493" t="s">
        <v>33606</v>
      </c>
      <c t="s">
        <v>45620</v>
      </c>
      <c r="AL493" t="s">
        <v>55734</v>
      </c>
      <c r="AN493" t="s">
        <v>51137</v>
      </c>
      <c t="s">
        <v>5208</v>
      </c>
      <c t="s">
        <v>22455</v>
      </c>
      <c t="s">
        <v>3093</v>
      </c>
      <c t="s">
        <v>61374</v>
      </c>
      <c>
        <v>1983</v>
      </c>
    </row>
    <row>
      <c t="s">
        <v>17594</v>
      </c>
      <c t="s">
        <v>64572</v>
      </c>
      <c t="s">
        <v>47681</v>
      </c>
      <c t="s">
        <v>44891</v>
      </c>
      <c t="s">
        <v>44354</v>
      </c>
      <c s="3">
        <v>23100</v>
      </c>
      <c s="3">
        <v>23100</v>
      </c>
      <c s="3">
        <v>13610</v>
      </c>
      <c>
        <v>0</v>
      </c>
      <c s="3">
        <v>0</v>
      </c>
      <c s="3">
        <v>238.55</v>
      </c>
      <c s="3">
        <v>23100</v>
      </c>
      <c r="O494" s="1" t="str">
        <f ca="1">HYPERLINK("https://web.datatree.com/?/property?propertyId=32123513", "https://web.datatree.com/?/property?propertyId=32123513")</f>
        <v>https://web.datatree.com/?/property?propertyId=32123513</v>
      </c>
      <c r="Q494" t="s">
        <v>316</v>
      </c>
      <c>
        <v>0.249</v>
      </c>
      <c t="s">
        <v>5471</v>
      </c>
      <c t="s">
        <v>43054</v>
      </c>
      <c t="s">
        <v>40157</v>
      </c>
      <c t="s">
        <v>40358</v>
      </c>
      <c t="s">
        <v>40157</v>
      </c>
      <c t="s">
        <v>65675</v>
      </c>
      <c t="s">
        <v>7937</v>
      </c>
      <c t="s">
        <v>65059</v>
      </c>
      <c t="s">
        <v>39289</v>
      </c>
      <c>
        <v>33905</v>
      </c>
      <c t="s">
        <v>19871</v>
      </c>
      <c t="s">
        <v>48794</v>
      </c>
      <c t="s">
        <v>29881</v>
      </c>
      <c>
        <v>106</v>
      </c>
      <c r="AI494" t="s">
        <v>5409</v>
      </c>
      <c t="s">
        <v>31192</v>
      </c>
      <c r="AL494" t="s">
        <v>34093</v>
      </c>
      <c r="AN494" t="s">
        <v>21017</v>
      </c>
      <c t="s">
        <v>46199</v>
      </c>
      <c t="s">
        <v>61719</v>
      </c>
      <c t="s">
        <v>3093</v>
      </c>
      <c t="s">
        <v>19462</v>
      </c>
    </row>
    <row>
      <c t="s">
        <v>17594</v>
      </c>
      <c t="s">
        <v>65976</v>
      </c>
      <c t="s">
        <v>6952</v>
      </c>
      <c t="s">
        <v>53917</v>
      </c>
      <c t="s">
        <v>20900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495" s="1" t="str">
        <f ca="1">HYPERLINK("https://web.datatree.com/?/property?propertyId=32123724", "https://web.datatree.com/?/property?propertyId=32123724")</f>
        <v>https://web.datatree.com/?/property?propertyId=32123724</v>
      </c>
      <c r="Q495" t="s">
        <v>316</v>
      </c>
      <c>
        <v>0.23</v>
      </c>
      <c t="s">
        <v>6175</v>
      </c>
      <c t="s">
        <v>52701</v>
      </c>
      <c t="s">
        <v>30583</v>
      </c>
      <c r="X495" t="s">
        <v>3144</v>
      </c>
      <c t="s">
        <v>29190</v>
      </c>
      <c t="s">
        <v>2517</v>
      </c>
      <c t="s">
        <v>39289</v>
      </c>
      <c>
        <v>33909</v>
      </c>
      <c t="s">
        <v>58121</v>
      </c>
      <c t="s">
        <v>48794</v>
      </c>
      <c t="s">
        <v>30893</v>
      </c>
      <c>
        <v>1904</v>
      </c>
      <c r="AI495" t="s">
        <v>41142</v>
      </c>
      <c t="s">
        <v>31192</v>
      </c>
      <c>
        <v>803</v>
      </c>
      <c t="s">
        <v>33214</v>
      </c>
      <c r="AN495" t="s">
        <v>39289</v>
      </c>
      <c t="s">
        <v>18947</v>
      </c>
      <c t="s">
        <v>61719</v>
      </c>
      <c t="s">
        <v>3093</v>
      </c>
      <c t="s">
        <v>41759</v>
      </c>
    </row>
    <row>
      <c t="s">
        <v>17594</v>
      </c>
      <c t="s">
        <v>55577</v>
      </c>
      <c t="s">
        <v>32212</v>
      </c>
      <c t="s">
        <v>54601</v>
      </c>
      <c t="s">
        <v>38122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96" s="1" t="str">
        <f ca="1">HYPERLINK("https://web.datatree.com/?/property?propertyId=32124228", "https://web.datatree.com/?/property?propertyId=32124228")</f>
        <v>https://web.datatree.com/?/property?propertyId=32124228</v>
      </c>
      <c r="Q496" t="s">
        <v>316</v>
      </c>
      <c>
        <v>0.23</v>
      </c>
      <c t="s">
        <v>6175</v>
      </c>
      <c t="s">
        <v>60671</v>
      </c>
      <c t="s">
        <v>24743</v>
      </c>
      <c r="X496" t="s">
        <v>2616</v>
      </c>
      <c t="s">
        <v>15510</v>
      </c>
      <c t="s">
        <v>2517</v>
      </c>
      <c t="s">
        <v>39289</v>
      </c>
      <c>
        <v>33909</v>
      </c>
      <c t="s">
        <v>23856</v>
      </c>
      <c t="s">
        <v>48794</v>
      </c>
      <c t="s">
        <v>50987</v>
      </c>
      <c>
        <v>429</v>
      </c>
      <c r="AI496" t="s">
        <v>578</v>
      </c>
      <c t="s">
        <v>24900</v>
      </c>
      <c r="AL496" t="s">
        <v>1462</v>
      </c>
      <c r="AN496" t="s">
        <v>26016</v>
      </c>
      <c t="s">
        <v>37181</v>
      </c>
      <c t="s">
        <v>12241</v>
      </c>
      <c t="s">
        <v>3093</v>
      </c>
      <c t="s">
        <v>57071</v>
      </c>
    </row>
    <row>
      <c t="s">
        <v>17594</v>
      </c>
      <c t="s">
        <v>31722</v>
      </c>
      <c t="s">
        <v>52061</v>
      </c>
      <c t="s">
        <v>55362</v>
      </c>
      <c t="s">
        <v>43574</v>
      </c>
      <c s="3">
        <v>7600</v>
      </c>
      <c s="3">
        <v>7600</v>
      </c>
      <c s="3">
        <v>7600</v>
      </c>
      <c>
        <v>0</v>
      </c>
      <c s="3">
        <v>0</v>
      </c>
      <c s="3">
        <v>555.27</v>
      </c>
      <c s="3">
        <v>7600</v>
      </c>
      <c r="O497" s="1" t="str">
        <f ca="1">HYPERLINK("https://web.datatree.com/?/property?propertyId=32124786", "https://web.datatree.com/?/property?propertyId=32124786")</f>
        <v>https://web.datatree.com/?/property?propertyId=32124786</v>
      </c>
      <c r="Q497" t="s">
        <v>316</v>
      </c>
      <c>
        <v>0.23</v>
      </c>
      <c t="s">
        <v>6175</v>
      </c>
      <c t="s">
        <v>190</v>
      </c>
      <c t="s">
        <v>43715</v>
      </c>
      <c r="X497" t="s">
        <v>26928</v>
      </c>
      <c t="s">
        <v>60363</v>
      </c>
      <c t="s">
        <v>2517</v>
      </c>
      <c t="s">
        <v>39289</v>
      </c>
      <c>
        <v>33909</v>
      </c>
      <c t="s">
        <v>38867</v>
      </c>
      <c t="s">
        <v>48794</v>
      </c>
      <c t="s">
        <v>65876</v>
      </c>
      <c>
        <v>2911</v>
      </c>
      <c r="AI497" t="s">
        <v>13342</v>
      </c>
      <c t="s">
        <v>45620</v>
      </c>
      <c r="AL497" t="s">
        <v>36852</v>
      </c>
      <c t="s">
        <v>36852</v>
      </c>
      <c t="s">
        <v>4477</v>
      </c>
      <c t="s">
        <v>49345</v>
      </c>
      <c t="s">
        <v>3364</v>
      </c>
      <c t="s">
        <v>3093</v>
      </c>
      <c t="s">
        <v>38104</v>
      </c>
    </row>
    <row>
      <c t="s">
        <v>17594</v>
      </c>
      <c t="s">
        <v>57089</v>
      </c>
      <c t="s">
        <v>56864</v>
      </c>
      <c t="s">
        <v>59691</v>
      </c>
      <c t="s">
        <v>38001</v>
      </c>
      <c s="3">
        <v>8600</v>
      </c>
      <c s="3">
        <v>8600</v>
      </c>
      <c s="3">
        <v>8600</v>
      </c>
      <c>
        <v>0</v>
      </c>
      <c s="3">
        <v>0</v>
      </c>
      <c s="3">
        <v>573.95</v>
      </c>
      <c s="3">
        <v>8600</v>
      </c>
      <c r="O498" s="1" t="str">
        <f ca="1">HYPERLINK("https://web.datatree.com/?/property?propertyId=32124791", "https://web.datatree.com/?/property?propertyId=32124791")</f>
        <v>https://web.datatree.com/?/property?propertyId=32124791</v>
      </c>
      <c r="Q498" t="s">
        <v>316</v>
      </c>
      <c>
        <v>0.23</v>
      </c>
      <c t="s">
        <v>6175</v>
      </c>
      <c t="s">
        <v>64030</v>
      </c>
      <c t="s">
        <v>1427</v>
      </c>
      <c t="s">
        <v>51089</v>
      </c>
      <c t="s">
        <v>14637</v>
      </c>
      <c t="s">
        <v>35351</v>
      </c>
      <c t="s">
        <v>25017</v>
      </c>
      <c t="s">
        <v>2517</v>
      </c>
      <c t="s">
        <v>39289</v>
      </c>
      <c>
        <v>33909</v>
      </c>
      <c t="s">
        <v>63632</v>
      </c>
      <c t="s">
        <v>48794</v>
      </c>
      <c t="s">
        <v>12759</v>
      </c>
      <c>
        <v>6425</v>
      </c>
      <c r="AI498" t="s">
        <v>18369</v>
      </c>
      <c t="s">
        <v>41372</v>
      </c>
      <c>
        <v>704</v>
      </c>
      <c t="s">
        <v>55393</v>
      </c>
      <c t="s">
        <v>16890</v>
      </c>
      <c t="s">
        <v>39289</v>
      </c>
      <c t="s">
        <v>62198</v>
      </c>
      <c t="s">
        <v>36802</v>
      </c>
      <c t="s">
        <v>3093</v>
      </c>
      <c t="s">
        <v>37145</v>
      </c>
    </row>
    <row>
      <c t="s">
        <v>17594</v>
      </c>
      <c t="s">
        <v>54660</v>
      </c>
      <c t="s">
        <v>8273</v>
      </c>
      <c t="s">
        <v>34967</v>
      </c>
      <c t="s">
        <v>31932</v>
      </c>
      <c s="3">
        <v>16728</v>
      </c>
      <c s="3">
        <v>16728</v>
      </c>
      <c s="3">
        <v>9075</v>
      </c>
      <c>
        <v>0</v>
      </c>
      <c s="3">
        <v>0</v>
      </c>
      <c s="3">
        <v>553.9</v>
      </c>
      <c s="3">
        <v>16728</v>
      </c>
      <c r="O499" s="1" t="str">
        <f ca="1">HYPERLINK("https://web.datatree.com/?/property?propertyId=32125226", "https://web.datatree.com/?/property?propertyId=32125226")</f>
        <v>https://web.datatree.com/?/property?propertyId=32125226</v>
      </c>
      <c r="Q499" t="s">
        <v>316</v>
      </c>
      <c>
        <v>0.229</v>
      </c>
      <c t="s">
        <v>42044</v>
      </c>
      <c t="s">
        <v>24179</v>
      </c>
      <c t="s">
        <v>8599</v>
      </c>
      <c r="X499" t="s">
        <v>53450</v>
      </c>
      <c t="s">
        <v>61850</v>
      </c>
      <c t="s">
        <v>2517</v>
      </c>
      <c t="s">
        <v>39289</v>
      </c>
      <c>
        <v>33909</v>
      </c>
      <c t="s">
        <v>63940</v>
      </c>
      <c t="s">
        <v>48794</v>
      </c>
      <c t="s">
        <v>60351</v>
      </c>
      <c>
        <v>6800</v>
      </c>
      <c r="AI499" t="s">
        <v>53927</v>
      </c>
      <c t="s">
        <v>24900</v>
      </c>
      <c t="s">
        <v>50782</v>
      </c>
      <c t="s">
        <v>40928</v>
      </c>
      <c r="AN499" t="s">
        <v>26016</v>
      </c>
      <c t="s">
        <v>13697</v>
      </c>
      <c t="s">
        <v>27780</v>
      </c>
      <c t="s">
        <v>3093</v>
      </c>
      <c t="s">
        <v>28649</v>
      </c>
    </row>
    <row>
      <c t="s">
        <v>17594</v>
      </c>
      <c t="s">
        <v>11285</v>
      </c>
      <c t="s">
        <v>51736</v>
      </c>
      <c t="s">
        <v>12453</v>
      </c>
      <c t="s">
        <v>17478</v>
      </c>
      <c s="3">
        <v>31830</v>
      </c>
      <c s="3">
        <v>31830</v>
      </c>
      <c s="3">
        <v>23108</v>
      </c>
      <c>
        <v>0</v>
      </c>
      <c s="3">
        <v>0</v>
      </c>
      <c s="3">
        <v>832.48</v>
      </c>
      <c s="3">
        <v>31830</v>
      </c>
      <c r="O500" s="1" t="str">
        <f ca="1">HYPERLINK("https://web.datatree.com/?/property?propertyId=32125572", "https://web.datatree.com/?/property?propertyId=32125572")</f>
        <v>https://web.datatree.com/?/property?propertyId=32125572</v>
      </c>
      <c r="Q500" t="s">
        <v>316</v>
      </c>
      <c>
        <v>0.241</v>
      </c>
      <c t="s">
        <v>6175</v>
      </c>
      <c t="s">
        <v>3701</v>
      </c>
      <c t="s">
        <v>25102</v>
      </c>
      <c r="X500" t="s">
        <v>8935</v>
      </c>
      <c t="s">
        <v>49122</v>
      </c>
      <c t="s">
        <v>2517</v>
      </c>
      <c t="s">
        <v>39289</v>
      </c>
      <c>
        <v>33904</v>
      </c>
      <c t="s">
        <v>27126</v>
      </c>
      <c t="s">
        <v>48794</v>
      </c>
      <c t="s">
        <v>24232</v>
      </c>
      <c>
        <v>11</v>
      </c>
      <c r="AI500" t="s">
        <v>5105</v>
      </c>
      <c t="s">
        <v>45393</v>
      </c>
      <c r="AL500" t="s">
        <v>42141</v>
      </c>
      <c r="AN500" t="s">
        <v>26016</v>
      </c>
      <c t="s">
        <v>17597</v>
      </c>
      <c t="s">
        <v>60160</v>
      </c>
      <c t="s">
        <v>3093</v>
      </c>
      <c t="s">
        <v>10931</v>
      </c>
    </row>
    <row>
      <c t="s">
        <v>17594</v>
      </c>
      <c t="s">
        <v>12668</v>
      </c>
      <c t="s">
        <v>4295</v>
      </c>
      <c t="s">
        <v>10106</v>
      </c>
      <c t="s">
        <v>37559</v>
      </c>
      <c s="3">
        <v>8195</v>
      </c>
      <c s="3">
        <v>8195</v>
      </c>
      <c s="3">
        <v>4972</v>
      </c>
      <c>
        <v>0</v>
      </c>
      <c s="3">
        <v>0</v>
      </c>
      <c s="3">
        <v>316.66</v>
      </c>
      <c s="3">
        <v>8195</v>
      </c>
      <c r="O501" s="1" t="str">
        <f ca="1">HYPERLINK("https://web.datatree.com/?/property?propertyId=32125915", "https://web.datatree.com/?/property?propertyId=32125915")</f>
        <v>https://web.datatree.com/?/property?propertyId=32125915</v>
      </c>
      <c r="Q501" t="s">
        <v>316</v>
      </c>
      <c>
        <v>0.241</v>
      </c>
      <c t="s">
        <v>5471</v>
      </c>
      <c t="s">
        <v>5352</v>
      </c>
      <c t="s">
        <v>26270</v>
      </c>
      <c r="X501" t="s">
        <v>6735</v>
      </c>
      <c t="s">
        <v>62688</v>
      </c>
      <c t="s">
        <v>65059</v>
      </c>
      <c t="s">
        <v>39289</v>
      </c>
      <c>
        <v>33905</v>
      </c>
      <c t="s">
        <v>64131</v>
      </c>
      <c t="s">
        <v>48794</v>
      </c>
      <c t="s">
        <v>14954</v>
      </c>
      <c>
        <v>402</v>
      </c>
      <c r="AI501" t="s">
        <v>59390</v>
      </c>
      <c t="s">
        <v>45620</v>
      </c>
      <c r="AL501" t="s">
        <v>4736</v>
      </c>
      <c r="AN501" t="s">
        <v>50917</v>
      </c>
      <c t="s">
        <v>46034</v>
      </c>
      <c t="s">
        <v>14695</v>
      </c>
      <c t="s">
        <v>3093</v>
      </c>
      <c t="s">
        <v>24342</v>
      </c>
    </row>
    <row>
      <c t="s">
        <v>17594</v>
      </c>
      <c t="s">
        <v>31959</v>
      </c>
      <c t="s">
        <v>34918</v>
      </c>
      <c t="s">
        <v>31496</v>
      </c>
      <c t="s">
        <v>4893</v>
      </c>
      <c s="3">
        <v>103368</v>
      </c>
      <c s="3">
        <v>93500</v>
      </c>
      <c s="3">
        <v>103368</v>
      </c>
      <c>
        <v>0</v>
      </c>
      <c s="3">
        <v>0</v>
      </c>
      <c s="3">
        <v>1552.48</v>
      </c>
      <c s="3">
        <v>103368</v>
      </c>
      <c r="O502" s="1" t="str">
        <f ca="1">HYPERLINK("https://web.datatree.com/?/property?propertyId=32126221", "https://web.datatree.com/?/property?propertyId=32126221")</f>
        <v>https://web.datatree.com/?/property?propertyId=32126221</v>
      </c>
      <c r="Q502" t="s">
        <v>316</v>
      </c>
      <c>
        <v>0.095</v>
      </c>
      <c t="s">
        <v>26492</v>
      </c>
      <c t="s">
        <v>16200</v>
      </c>
      <c t="s">
        <v>34968</v>
      </c>
      <c t="s">
        <v>21379</v>
      </c>
      <c t="s">
        <v>34968</v>
      </c>
      <c t="s">
        <v>11387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44028</v>
      </c>
      <c>
        <v>565</v>
      </c>
      <c r="AI502" t="s">
        <v>1591</v>
      </c>
      <c t="s">
        <v>45620</v>
      </c>
      <c r="AL502" t="s">
        <v>45080</v>
      </c>
      <c t="s">
        <v>40227</v>
      </c>
      <c t="s">
        <v>22275</v>
      </c>
      <c t="s">
        <v>25844</v>
      </c>
      <c t="s">
        <v>27410</v>
      </c>
      <c t="s">
        <v>3093</v>
      </c>
      <c t="s">
        <v>26560</v>
      </c>
    </row>
    <row>
      <c t="s">
        <v>17594</v>
      </c>
      <c t="s">
        <v>48971</v>
      </c>
      <c t="s">
        <v>59752</v>
      </c>
      <c t="s">
        <v>4856</v>
      </c>
      <c t="s">
        <v>20959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503" s="1" t="str">
        <f ca="1">HYPERLINK("https://web.datatree.com/?/property?propertyId=32126329", "https://web.datatree.com/?/property?propertyId=32126329")</f>
        <v>https://web.datatree.com/?/property?propertyId=32126329</v>
      </c>
      <c r="Q503" t="s">
        <v>316</v>
      </c>
      <c>
        <v>0.247</v>
      </c>
      <c t="s">
        <v>6175</v>
      </c>
      <c t="s">
        <v>60219</v>
      </c>
      <c t="s">
        <v>28717</v>
      </c>
      <c r="X503" t="s">
        <v>244</v>
      </c>
      <c t="s">
        <v>14534</v>
      </c>
      <c t="s">
        <v>2517</v>
      </c>
      <c t="s">
        <v>39289</v>
      </c>
      <c>
        <v>33909</v>
      </c>
      <c t="s">
        <v>29913</v>
      </c>
      <c t="s">
        <v>48794</v>
      </c>
      <c t="s">
        <v>52214</v>
      </c>
      <c>
        <v>2684</v>
      </c>
      <c r="AH503" t="s">
        <v>15376</v>
      </c>
      <c t="s">
        <v>13964</v>
      </c>
      <c t="s">
        <v>39321</v>
      </c>
      <c r="AL503" t="s">
        <v>11713</v>
      </c>
      <c t="s">
        <v>21507</v>
      </c>
      <c t="s">
        <v>39289</v>
      </c>
      <c t="s">
        <v>13644</v>
      </c>
      <c t="s">
        <v>14845</v>
      </c>
      <c t="s">
        <v>3093</v>
      </c>
      <c t="s">
        <v>8724</v>
      </c>
    </row>
    <row>
      <c t="s">
        <v>42103</v>
      </c>
      <c t="s">
        <v>43587</v>
      </c>
      <c t="s">
        <v>34520</v>
      </c>
      <c t="s">
        <v>52160</v>
      </c>
      <c t="s">
        <v>31016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04" s="1" t="str">
        <f ca="1">HYPERLINK("https://web.datatree.com/?/property?propertyId=32127071", "https://web.datatree.com/?/property?propertyId=32127071")</f>
        <v>https://web.datatree.com/?/property?propertyId=32127071</v>
      </c>
      <c r="Q504" t="s">
        <v>316</v>
      </c>
      <c>
        <v>0.23</v>
      </c>
      <c t="s">
        <v>6175</v>
      </c>
      <c t="s">
        <v>65985</v>
      </c>
      <c t="s">
        <v>34193</v>
      </c>
      <c r="X504" t="s">
        <v>28461</v>
      </c>
      <c t="s">
        <v>34731</v>
      </c>
      <c t="s">
        <v>2517</v>
      </c>
      <c t="s">
        <v>39289</v>
      </c>
      <c>
        <v>33909</v>
      </c>
      <c t="s">
        <v>17896</v>
      </c>
      <c t="s">
        <v>48794</v>
      </c>
      <c t="s">
        <v>45278</v>
      </c>
      <c r="AI504" t="s">
        <v>46656</v>
      </c>
      <c r="AL504" t="s">
        <v>55393</v>
      </c>
      <c r="AN504" t="s">
        <v>39289</v>
      </c>
      <c t="s">
        <v>49038</v>
      </c>
      <c t="s">
        <v>34128</v>
      </c>
      <c t="s">
        <v>3093</v>
      </c>
      <c t="s">
        <v>7804</v>
      </c>
    </row>
    <row>
      <c t="s">
        <v>17594</v>
      </c>
      <c t="s">
        <v>47736</v>
      </c>
      <c t="s">
        <v>53562</v>
      </c>
      <c t="s">
        <v>4170</v>
      </c>
      <c t="s">
        <v>52358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505" s="1" t="str">
        <f ca="1">HYPERLINK("https://web.datatree.com/?/property?propertyId=32128174", "https://web.datatree.com/?/property?propertyId=32128174")</f>
        <v>https://web.datatree.com/?/property?propertyId=32128174</v>
      </c>
      <c r="Q505" t="s">
        <v>316</v>
      </c>
      <c>
        <v>0.23</v>
      </c>
      <c t="s">
        <v>45031</v>
      </c>
      <c t="s">
        <v>11754</v>
      </c>
      <c t="s">
        <v>12369</v>
      </c>
      <c r="X505" t="s">
        <v>25267</v>
      </c>
      <c t="s">
        <v>2619</v>
      </c>
      <c t="s">
        <v>2517</v>
      </c>
      <c t="s">
        <v>39289</v>
      </c>
      <c>
        <v>33909</v>
      </c>
      <c t="s">
        <v>37237</v>
      </c>
      <c t="s">
        <v>48794</v>
      </c>
      <c t="s">
        <v>53511</v>
      </c>
      <c>
        <v>312</v>
      </c>
      <c r="AI505" t="s">
        <v>11843</v>
      </c>
      <c r="AL505" t="s">
        <v>28395</v>
      </c>
      <c r="AN505" t="s">
        <v>32840</v>
      </c>
      <c r="AR505" t="s">
        <v>26462</v>
      </c>
    </row>
    <row>
      <c t="s">
        <v>17594</v>
      </c>
      <c t="s">
        <v>55992</v>
      </c>
      <c s="7" t="s">
        <v>17638</v>
      </c>
      <c t="s">
        <v>57272</v>
      </c>
      <c t="s">
        <v>32586</v>
      </c>
      <c s="3">
        <v>18472</v>
      </c>
      <c s="3">
        <v>18472</v>
      </c>
      <c s="3">
        <v>8490</v>
      </c>
      <c>
        <v>0</v>
      </c>
      <c s="3">
        <v>0</v>
      </c>
      <c s="3">
        <v>564</v>
      </c>
      <c s="3">
        <v>18472</v>
      </c>
      <c r="O506" s="1" t="str">
        <f ca="1">HYPERLINK("https://web.datatree.com/?/property?propertyId=32128274", "https://web.datatree.com/?/property?propertyId=32128274")</f>
        <v>https://web.datatree.com/?/property?propertyId=32128274</v>
      </c>
      <c r="Q506" t="s">
        <v>316</v>
      </c>
      <c>
        <v>0.23</v>
      </c>
      <c t="s">
        <v>42044</v>
      </c>
      <c t="s">
        <v>39139</v>
      </c>
      <c t="s">
        <v>41784</v>
      </c>
      <c r="X506" t="s">
        <v>9360</v>
      </c>
      <c t="s">
        <v>7113</v>
      </c>
      <c t="s">
        <v>2517</v>
      </c>
      <c t="s">
        <v>39289</v>
      </c>
      <c>
        <v>33909</v>
      </c>
      <c t="s">
        <v>4462</v>
      </c>
      <c t="s">
        <v>48794</v>
      </c>
      <c t="s">
        <v>24839</v>
      </c>
      <c>
        <v>6</v>
      </c>
      <c r="AI506" t="s">
        <v>43390</v>
      </c>
      <c t="s">
        <v>835</v>
      </c>
      <c r="AL506" t="s">
        <v>34463</v>
      </c>
      <c r="AN506" t="s">
        <v>14509</v>
      </c>
      <c t="s">
        <v>48600</v>
      </c>
      <c t="s">
        <v>19978</v>
      </c>
      <c t="s">
        <v>3093</v>
      </c>
      <c s="7" t="s">
        <v>10096</v>
      </c>
    </row>
    <row>
      <c t="s">
        <v>17594</v>
      </c>
      <c t="s">
        <v>8159</v>
      </c>
      <c t="s">
        <v>60689</v>
      </c>
      <c t="s">
        <v>61523</v>
      </c>
      <c t="s">
        <v>52189</v>
      </c>
      <c s="3">
        <v>26464</v>
      </c>
      <c s="3">
        <v>26464</v>
      </c>
      <c s="3">
        <v>12018</v>
      </c>
      <c>
        <v>0</v>
      </c>
      <c s="3">
        <v>0</v>
      </c>
      <c s="3">
        <v>807.71</v>
      </c>
      <c s="3">
        <v>26464</v>
      </c>
      <c r="O507" s="1" t="str">
        <f ca="1">HYPERLINK("https://web.datatree.com/?/property?propertyId=32128410", "https://web.datatree.com/?/property?propertyId=32128410")</f>
        <v>https://web.datatree.com/?/property?propertyId=32128410</v>
      </c>
      <c r="Q507" t="s">
        <v>316</v>
      </c>
      <c>
        <v>0.427</v>
      </c>
      <c t="s">
        <v>58725</v>
      </c>
      <c t="s">
        <v>16200</v>
      </c>
      <c t="s">
        <v>33266</v>
      </c>
      <c t="s">
        <v>43826</v>
      </c>
      <c t="s">
        <v>33266</v>
      </c>
      <c t="s">
        <v>38117</v>
      </c>
      <c t="s">
        <v>8669</v>
      </c>
      <c t="s">
        <v>2517</v>
      </c>
      <c t="s">
        <v>39289</v>
      </c>
      <c>
        <v>33909</v>
      </c>
      <c>
        <v>33909</v>
      </c>
      <c t="s">
        <v>48794</v>
      </c>
      <c t="s">
        <v>58282</v>
      </c>
      <c>
        <v>1104</v>
      </c>
      <c r="AI507" t="s">
        <v>51919</v>
      </c>
      <c t="s">
        <v>45620</v>
      </c>
      <c r="AL507" t="s">
        <v>6911</v>
      </c>
      <c r="AN507" t="s">
        <v>10804</v>
      </c>
      <c t="s">
        <v>33644</v>
      </c>
      <c t="s">
        <v>26242</v>
      </c>
      <c t="s">
        <v>3093</v>
      </c>
      <c t="s">
        <v>66636</v>
      </c>
    </row>
    <row>
      <c t="s">
        <v>17594</v>
      </c>
      <c t="s">
        <v>44412</v>
      </c>
      <c t="s">
        <v>22032</v>
      </c>
      <c t="s">
        <v>53211</v>
      </c>
      <c t="s">
        <v>3322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08" s="1" t="str">
        <f ca="1">HYPERLINK("https://web.datatree.com/?/property?propertyId=32128757", "https://web.datatree.com/?/property?propertyId=32128757")</f>
        <v>https://web.datatree.com/?/property?propertyId=32128757</v>
      </c>
      <c r="Q508" t="s">
        <v>316</v>
      </c>
      <c>
        <v>0.235</v>
      </c>
      <c t="s">
        <v>22490</v>
      </c>
      <c t="s">
        <v>12149</v>
      </c>
      <c t="s">
        <v>37942</v>
      </c>
      <c t="s">
        <v>66761</v>
      </c>
      <c t="s">
        <v>17661</v>
      </c>
      <c t="s">
        <v>39225</v>
      </c>
      <c t="s">
        <v>22731</v>
      </c>
      <c t="s">
        <v>2517</v>
      </c>
      <c t="s">
        <v>39289</v>
      </c>
      <c>
        <v>33909</v>
      </c>
      <c t="s">
        <v>34430</v>
      </c>
      <c t="s">
        <v>48794</v>
      </c>
      <c t="s">
        <v>36438</v>
      </c>
      <c>
        <v>60</v>
      </c>
      <c r="AI508" t="s">
        <v>12351</v>
      </c>
      <c t="s">
        <v>55842</v>
      </c>
      <c r="AL508" t="s">
        <v>17711</v>
      </c>
      <c r="AN508" t="s">
        <v>7234</v>
      </c>
      <c>
        <v>0</v>
      </c>
      <c r="AQ508" t="s">
        <v>3093</v>
      </c>
      <c t="s">
        <v>56926</v>
      </c>
    </row>
    <row>
      <c t="s">
        <v>17594</v>
      </c>
      <c t="s">
        <v>37549</v>
      </c>
      <c t="s">
        <v>10851</v>
      </c>
      <c t="s">
        <v>18948</v>
      </c>
      <c t="s">
        <v>54244</v>
      </c>
      <c s="3">
        <v>28686</v>
      </c>
      <c s="3">
        <v>28686</v>
      </c>
      <c s="3">
        <v>10044</v>
      </c>
      <c>
        <v>0</v>
      </c>
      <c s="3">
        <v>0</v>
      </c>
      <c s="3">
        <v>203.14</v>
      </c>
      <c s="3">
        <v>28686</v>
      </c>
      <c r="O509" s="1" t="str">
        <f ca="1">HYPERLINK("https://web.datatree.com/?/property?propertyId=32128802", "https://web.datatree.com/?/property?propertyId=32128802")</f>
        <v>https://web.datatree.com/?/property?propertyId=32128802</v>
      </c>
      <c r="Q509" t="s">
        <v>316</v>
      </c>
      <c>
        <v>0.271</v>
      </c>
      <c r="T509" t="s">
        <v>52057</v>
      </c>
      <c t="s">
        <v>67168</v>
      </c>
      <c t="s">
        <v>47656</v>
      </c>
      <c t="s">
        <v>54428</v>
      </c>
      <c t="s">
        <v>25291</v>
      </c>
      <c t="s">
        <v>21897</v>
      </c>
      <c t="s">
        <v>65059</v>
      </c>
      <c t="s">
        <v>39289</v>
      </c>
      <c>
        <v>33908</v>
      </c>
      <c t="s">
        <v>44626</v>
      </c>
      <c t="s">
        <v>48794</v>
      </c>
      <c t="s">
        <v>37379</v>
      </c>
      <c>
        <v>7305</v>
      </c>
      <c r="AI509" t="s">
        <v>40519</v>
      </c>
      <c t="s">
        <v>31192</v>
      </c>
      <c>
        <v>4202</v>
      </c>
      <c t="s">
        <v>27398</v>
      </c>
      <c r="AN509" t="s">
        <v>39289</v>
      </c>
      <c t="s">
        <v>42457</v>
      </c>
      <c t="s">
        <v>5948</v>
      </c>
      <c t="s">
        <v>3093</v>
      </c>
      <c t="s">
        <v>15088</v>
      </c>
    </row>
    <row>
      <c t="s">
        <v>17594</v>
      </c>
      <c t="s">
        <v>66127</v>
      </c>
      <c t="s">
        <v>28574</v>
      </c>
      <c t="s">
        <v>57419</v>
      </c>
      <c t="s">
        <v>60674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10" s="1" t="str">
        <f ca="1">HYPERLINK("https://web.datatree.com/?/property?propertyId=32129403", "https://web.datatree.com/?/property?propertyId=32129403")</f>
        <v>https://web.datatree.com/?/property?propertyId=32129403</v>
      </c>
      <c r="Q510" t="s">
        <v>316</v>
      </c>
      <c>
        <v>0.23</v>
      </c>
      <c t="s">
        <v>6175</v>
      </c>
      <c t="s">
        <v>3293</v>
      </c>
      <c t="s">
        <v>62199</v>
      </c>
      <c r="X510" t="s">
        <v>463</v>
      </c>
      <c t="s">
        <v>61144</v>
      </c>
      <c t="s">
        <v>2517</v>
      </c>
      <c t="s">
        <v>39289</v>
      </c>
      <c>
        <v>33909</v>
      </c>
      <c t="s">
        <v>50772</v>
      </c>
      <c t="s">
        <v>48794</v>
      </c>
      <c t="s">
        <v>44119</v>
      </c>
      <c>
        <v>34</v>
      </c>
      <c r="AI510" t="s">
        <v>31841</v>
      </c>
      <c t="s">
        <v>45393</v>
      </c>
      <c r="AL510" t="s">
        <v>21093</v>
      </c>
      <c r="AN510" t="s">
        <v>27747</v>
      </c>
      <c t="s">
        <v>5658</v>
      </c>
      <c t="s">
        <v>11138</v>
      </c>
      <c t="s">
        <v>3093</v>
      </c>
      <c t="s">
        <v>36838</v>
      </c>
    </row>
    <row>
      <c t="s">
        <v>17594</v>
      </c>
      <c t="s">
        <v>54225</v>
      </c>
      <c t="s">
        <v>25246</v>
      </c>
      <c t="s">
        <v>12433</v>
      </c>
      <c t="s">
        <v>62768</v>
      </c>
      <c s="3">
        <v>8500</v>
      </c>
      <c s="3">
        <v>8500</v>
      </c>
      <c s="3">
        <v>8500</v>
      </c>
      <c>
        <v>0</v>
      </c>
      <c s="3">
        <v>0</v>
      </c>
      <c s="3">
        <v>601.61</v>
      </c>
      <c s="3">
        <v>8500</v>
      </c>
      <c>
        <v>2021</v>
      </c>
      <c>
        <v>629.93</v>
      </c>
      <c s="1" t="str">
        <f ca="1">HYPERLINK("https://web.datatree.com/?/property?propertyId=32129430", "https://web.datatree.com/?/property?propertyId=32129430")</f>
        <v>https://web.datatree.com/?/property?propertyId=32129430</v>
      </c>
      <c r="Q511" t="s">
        <v>316</v>
      </c>
      <c>
        <v>0.264</v>
      </c>
      <c t="s">
        <v>6175</v>
      </c>
      <c t="s">
        <v>10361</v>
      </c>
      <c t="s">
        <v>56439</v>
      </c>
      <c t="s">
        <v>5941</v>
      </c>
      <c t="s">
        <v>56439</v>
      </c>
      <c t="s">
        <v>39964</v>
      </c>
      <c t="s">
        <v>53663</v>
      </c>
      <c t="s">
        <v>2517</v>
      </c>
      <c t="s">
        <v>39289</v>
      </c>
      <c>
        <v>33909</v>
      </c>
      <c t="s">
        <v>29937</v>
      </c>
      <c t="s">
        <v>48794</v>
      </c>
      <c t="s">
        <v>10428</v>
      </c>
      <c>
        <v>581</v>
      </c>
      <c r="AI511" t="s">
        <v>62800</v>
      </c>
      <c t="s">
        <v>24900</v>
      </c>
      <c r="AL511" t="s">
        <v>47510</v>
      </c>
      <c r="AN511" t="s">
        <v>39289</v>
      </c>
      <c t="s">
        <v>5435</v>
      </c>
      <c t="s">
        <v>49842</v>
      </c>
      <c t="s">
        <v>3093</v>
      </c>
      <c t="s">
        <v>40688</v>
      </c>
    </row>
    <row>
      <c t="s">
        <v>17594</v>
      </c>
      <c t="s">
        <v>66329</v>
      </c>
      <c t="s">
        <v>13463</v>
      </c>
      <c t="s">
        <v>32058</v>
      </c>
      <c t="s">
        <v>41720</v>
      </c>
      <c s="3">
        <v>18410</v>
      </c>
      <c s="3">
        <v>18410</v>
      </c>
      <c s="3">
        <v>8360</v>
      </c>
      <c>
        <v>0</v>
      </c>
      <c s="3">
        <v>0</v>
      </c>
      <c s="3">
        <v>583.91</v>
      </c>
      <c s="3">
        <v>18410</v>
      </c>
      <c r="O512" s="1" t="str">
        <f ca="1">HYPERLINK("https://web.datatree.com/?/property?propertyId=32129461", "https://web.datatree.com/?/property?propertyId=32129461")</f>
        <v>https://web.datatree.com/?/property?propertyId=32129461</v>
      </c>
      <c r="Q512" t="s">
        <v>316</v>
      </c>
      <c>
        <v>0.258</v>
      </c>
      <c t="s">
        <v>45031</v>
      </c>
      <c t="s">
        <v>4754</v>
      </c>
      <c t="s">
        <v>29129</v>
      </c>
      <c r="X512" t="s">
        <v>31421</v>
      </c>
      <c t="s">
        <v>61850</v>
      </c>
      <c t="s">
        <v>2517</v>
      </c>
      <c t="s">
        <v>39289</v>
      </c>
      <c>
        <v>33909</v>
      </c>
      <c t="s">
        <v>31881</v>
      </c>
      <c t="s">
        <v>48794</v>
      </c>
      <c t="s">
        <v>1576</v>
      </c>
      <c>
        <v>9380</v>
      </c>
      <c r="AI512" t="s">
        <v>14776</v>
      </c>
      <c t="s">
        <v>45393</v>
      </c>
      <c r="AL512" t="s">
        <v>47510</v>
      </c>
      <c t="s">
        <v>47510</v>
      </c>
      <c t="s">
        <v>39289</v>
      </c>
      <c t="s">
        <v>9563</v>
      </c>
      <c t="s">
        <v>26242</v>
      </c>
      <c t="s">
        <v>3093</v>
      </c>
      <c t="s">
        <v>39922</v>
      </c>
    </row>
    <row>
      <c t="s">
        <v>17594</v>
      </c>
      <c t="s">
        <v>56463</v>
      </c>
      <c t="s">
        <v>65811</v>
      </c>
      <c t="s">
        <v>35783</v>
      </c>
      <c t="s">
        <v>61650</v>
      </c>
      <c s="3">
        <v>7700</v>
      </c>
      <c s="3">
        <v>7700</v>
      </c>
      <c s="3">
        <v>7700</v>
      </c>
      <c>
        <v>0</v>
      </c>
      <c s="3">
        <v>0</v>
      </c>
      <c s="3">
        <v>561.47</v>
      </c>
      <c s="3">
        <v>7700</v>
      </c>
      <c r="O513" s="1" t="str">
        <f ca="1">HYPERLINK("https://web.datatree.com/?/property?propertyId=32129509", "https://web.datatree.com/?/property?propertyId=32129509")</f>
        <v>https://web.datatree.com/?/property?propertyId=32129509</v>
      </c>
      <c r="Q513" t="s">
        <v>316</v>
      </c>
      <c>
        <v>0.248</v>
      </c>
      <c t="s">
        <v>6175</v>
      </c>
      <c t="s">
        <v>50331</v>
      </c>
      <c t="s">
        <v>43653</v>
      </c>
      <c t="s">
        <v>10600</v>
      </c>
      <c t="s">
        <v>43653</v>
      </c>
      <c t="s">
        <v>24733</v>
      </c>
      <c t="s">
        <v>22731</v>
      </c>
      <c t="s">
        <v>2517</v>
      </c>
      <c t="s">
        <v>39289</v>
      </c>
      <c>
        <v>33909</v>
      </c>
      <c t="s">
        <v>42328</v>
      </c>
      <c t="s">
        <v>48794</v>
      </c>
      <c t="s">
        <v>39633</v>
      </c>
      <c>
        <v>15607</v>
      </c>
      <c r="AI513" t="s">
        <v>4154</v>
      </c>
      <c t="s">
        <v>40123</v>
      </c>
      <c r="AL513" t="s">
        <v>40925</v>
      </c>
      <c t="s">
        <v>38696</v>
      </c>
      <c t="s">
        <v>65467</v>
      </c>
      <c t="s">
        <v>21261</v>
      </c>
      <c t="s">
        <v>19978</v>
      </c>
      <c t="s">
        <v>3093</v>
      </c>
      <c t="s">
        <v>9416</v>
      </c>
    </row>
    <row>
      <c t="s">
        <v>17594</v>
      </c>
      <c t="s">
        <v>39442</v>
      </c>
      <c t="s">
        <v>7720</v>
      </c>
      <c t="s">
        <v>4562</v>
      </c>
      <c t="s">
        <v>13737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514" s="1" t="str">
        <f ca="1">HYPERLINK("https://web.datatree.com/?/property?propertyId=32129527", "https://web.datatree.com/?/property?propertyId=32129527")</f>
        <v>https://web.datatree.com/?/property?propertyId=32129527</v>
      </c>
      <c r="Q514" t="s">
        <v>316</v>
      </c>
      <c>
        <v>0.252</v>
      </c>
      <c t="s">
        <v>6175</v>
      </c>
      <c t="s">
        <v>62125</v>
      </c>
      <c t="s">
        <v>63256</v>
      </c>
      <c t="s">
        <v>63182</v>
      </c>
      <c t="s">
        <v>63256</v>
      </c>
      <c t="s">
        <v>47230</v>
      </c>
      <c t="s">
        <v>33179</v>
      </c>
      <c t="s">
        <v>2517</v>
      </c>
      <c t="s">
        <v>39289</v>
      </c>
      <c>
        <v>33909</v>
      </c>
      <c t="s">
        <v>50642</v>
      </c>
      <c t="s">
        <v>48794</v>
      </c>
      <c t="s">
        <v>46263</v>
      </c>
      <c>
        <v>516</v>
      </c>
      <c r="AI514" t="s">
        <v>5990</v>
      </c>
      <c t="s">
        <v>33360</v>
      </c>
      <c r="AL514" t="s">
        <v>51207</v>
      </c>
      <c r="AN514" t="s">
        <v>66651</v>
      </c>
      <c t="s">
        <v>1421</v>
      </c>
      <c t="s">
        <v>34171</v>
      </c>
      <c t="s">
        <v>3093</v>
      </c>
      <c t="s">
        <v>33554</v>
      </c>
    </row>
    <row>
      <c t="s">
        <v>17594</v>
      </c>
      <c t="s">
        <v>45751</v>
      </c>
      <c t="s">
        <v>1321</v>
      </c>
      <c t="s">
        <v>26927</v>
      </c>
      <c t="s">
        <v>61805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>
        <v>2020</v>
      </c>
      <c>
        <v>1700.76</v>
      </c>
      <c s="1" t="str">
        <f ca="1">HYPERLINK("https://web.datatree.com/?/property?propertyId=32129923", "https://web.datatree.com/?/property?propertyId=32129923")</f>
        <v>https://web.datatree.com/?/property?propertyId=32129923</v>
      </c>
      <c r="Q515" t="s">
        <v>316</v>
      </c>
      <c>
        <v>0.23</v>
      </c>
      <c t="s">
        <v>6175</v>
      </c>
      <c t="s">
        <v>66446</v>
      </c>
      <c t="s">
        <v>3145</v>
      </c>
      <c r="W515" t="s">
        <v>855</v>
      </c>
      <c t="s">
        <v>60424</v>
      </c>
      <c t="s">
        <v>2626</v>
      </c>
      <c t="s">
        <v>2517</v>
      </c>
      <c t="s">
        <v>39289</v>
      </c>
      <c>
        <v>33909</v>
      </c>
      <c t="s">
        <v>22952</v>
      </c>
      <c t="s">
        <v>48794</v>
      </c>
      <c t="s">
        <v>41065</v>
      </c>
      <c>
        <v>6900</v>
      </c>
      <c r="AI515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45938</v>
      </c>
      <c t="s">
        <v>16945</v>
      </c>
      <c t="s">
        <v>5646</v>
      </c>
      <c t="s">
        <v>37462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16" s="1" t="str">
        <f ca="1">HYPERLINK("https://web.datatree.com/?/property?propertyId=32130257", "https://web.datatree.com/?/property?propertyId=32130257")</f>
        <v>https://web.datatree.com/?/property?propertyId=32130257</v>
      </c>
      <c r="Q516" t="s">
        <v>316</v>
      </c>
      <c>
        <v>0.23</v>
      </c>
      <c t="s">
        <v>42044</v>
      </c>
      <c t="s">
        <v>27974</v>
      </c>
      <c t="s">
        <v>36591</v>
      </c>
      <c r="X516" t="s">
        <v>45514</v>
      </c>
      <c t="s">
        <v>61144</v>
      </c>
      <c t="s">
        <v>2517</v>
      </c>
      <c t="s">
        <v>39289</v>
      </c>
      <c>
        <v>33909</v>
      </c>
      <c t="s">
        <v>40940</v>
      </c>
      <c t="s">
        <v>48794</v>
      </c>
      <c t="s">
        <v>41244</v>
      </c>
      <c>
        <v>2600</v>
      </c>
      <c r="AI516" t="s">
        <v>55273</v>
      </c>
      <c t="s">
        <v>40123</v>
      </c>
      <c>
        <v>4</v>
      </c>
      <c t="s">
        <v>46989</v>
      </c>
      <c t="s">
        <v>46989</v>
      </c>
      <c t="s">
        <v>39289</v>
      </c>
      <c t="s">
        <v>7471</v>
      </c>
      <c t="s">
        <v>17380</v>
      </c>
      <c t="s">
        <v>3093</v>
      </c>
      <c t="s">
        <v>135</v>
      </c>
    </row>
    <row>
      <c t="s">
        <v>17594</v>
      </c>
      <c t="s">
        <v>47407</v>
      </c>
      <c t="s">
        <v>16416</v>
      </c>
      <c t="s">
        <v>41439</v>
      </c>
      <c t="s">
        <v>12786</v>
      </c>
      <c s="3">
        <v>16907</v>
      </c>
      <c s="3">
        <v>16907</v>
      </c>
      <c s="3">
        <v>8470</v>
      </c>
      <c>
        <v>0</v>
      </c>
      <c s="3">
        <v>0</v>
      </c>
      <c s="3">
        <v>572.25</v>
      </c>
      <c s="3">
        <v>16907</v>
      </c>
      <c r="O517" s="1" t="str">
        <f ca="1">HYPERLINK("https://web.datatree.com/?/property?propertyId=32130452", "https://web.datatree.com/?/property?propertyId=32130452")</f>
        <v>https://web.datatree.com/?/property?propertyId=32130452</v>
      </c>
      <c r="Q517" t="s">
        <v>316</v>
      </c>
      <c>
        <v>0.234</v>
      </c>
      <c t="s">
        <v>6175</v>
      </c>
      <c t="s">
        <v>60671</v>
      </c>
      <c t="s">
        <v>39497</v>
      </c>
      <c r="X517" t="s">
        <v>56955</v>
      </c>
      <c t="s">
        <v>14534</v>
      </c>
      <c t="s">
        <v>2517</v>
      </c>
      <c t="s">
        <v>39289</v>
      </c>
      <c>
        <v>33909</v>
      </c>
      <c t="s">
        <v>39947</v>
      </c>
      <c t="s">
        <v>48794</v>
      </c>
      <c t="s">
        <v>52067</v>
      </c>
      <c>
        <v>1529</v>
      </c>
      <c r="AI517" t="s">
        <v>40479</v>
      </c>
      <c t="s">
        <v>45620</v>
      </c>
      <c r="AL517" t="s">
        <v>8228</v>
      </c>
      <c t="s">
        <v>8228</v>
      </c>
      <c t="s">
        <v>26443</v>
      </c>
      <c>
        <v>52245</v>
      </c>
      <c r="AQ517" t="s">
        <v>3093</v>
      </c>
      <c t="s">
        <v>28664</v>
      </c>
    </row>
    <row>
      <c t="s">
        <v>42103</v>
      </c>
      <c t="s">
        <v>21410</v>
      </c>
      <c t="s">
        <v>33497</v>
      </c>
      <c t="s">
        <v>34028</v>
      </c>
      <c t="s">
        <v>38913</v>
      </c>
      <c s="3">
        <v>31592</v>
      </c>
      <c s="3">
        <v>31592</v>
      </c>
      <c s="3">
        <v>11858</v>
      </c>
      <c>
        <v>0</v>
      </c>
      <c s="3">
        <v>0</v>
      </c>
      <c s="3">
        <v>3048.06</v>
      </c>
      <c s="3">
        <v>31592</v>
      </c>
      <c r="O518" s="1" t="str">
        <f ca="1">HYPERLINK("https://web.datatree.com/?/property?propertyId=32130590", "https://web.datatree.com/?/property?propertyId=32130590")</f>
        <v>https://web.datatree.com/?/property?propertyId=32130590</v>
      </c>
      <c r="Q518" t="s">
        <v>316</v>
      </c>
      <c>
        <v>0.251</v>
      </c>
      <c t="s">
        <v>22490</v>
      </c>
      <c t="s">
        <v>53320</v>
      </c>
      <c t="s">
        <v>40329</v>
      </c>
      <c t="s">
        <v>8527</v>
      </c>
      <c t="s">
        <v>15610</v>
      </c>
      <c t="s">
        <v>1106</v>
      </c>
      <c t="s">
        <v>2626</v>
      </c>
      <c t="s">
        <v>2517</v>
      </c>
      <c t="s">
        <v>39289</v>
      </c>
      <c>
        <v>33909</v>
      </c>
      <c t="s">
        <v>33466</v>
      </c>
      <c t="s">
        <v>48794</v>
      </c>
      <c t="s">
        <v>59313</v>
      </c>
      <c r="AI518" t="s">
        <v>41469</v>
      </c>
      <c r="AL518" t="s">
        <v>39802</v>
      </c>
      <c t="s">
        <v>39802</v>
      </c>
      <c t="s">
        <v>18236</v>
      </c>
      <c>
        <v>75019</v>
      </c>
      <c t="s">
        <v>15796</v>
      </c>
      <c t="s">
        <v>3093</v>
      </c>
      <c t="s">
        <v>5712</v>
      </c>
    </row>
    <row>
      <c t="s">
        <v>17594</v>
      </c>
      <c t="s">
        <v>62442</v>
      </c>
      <c t="s">
        <v>6586</v>
      </c>
      <c t="s">
        <v>48020</v>
      </c>
      <c t="s">
        <v>7195</v>
      </c>
      <c s="3">
        <v>7700</v>
      </c>
      <c s="3">
        <v>7700</v>
      </c>
      <c s="3">
        <v>7700</v>
      </c>
      <c>
        <v>0</v>
      </c>
      <c s="3">
        <v>0</v>
      </c>
      <c s="3">
        <v>622.16</v>
      </c>
      <c s="3">
        <v>7700</v>
      </c>
      <c r="O519" s="1" t="str">
        <f ca="1">HYPERLINK("https://web.datatree.com/?/property?propertyId=32130912", "https://web.datatree.com/?/property?propertyId=32130912")</f>
        <v>https://web.datatree.com/?/property?propertyId=32130912</v>
      </c>
      <c r="Q519" t="s">
        <v>316</v>
      </c>
      <c>
        <v>0.312</v>
      </c>
      <c t="s">
        <v>28270</v>
      </c>
      <c t="s">
        <v>28079</v>
      </c>
      <c t="s">
        <v>57744</v>
      </c>
      <c t="s">
        <v>54943</v>
      </c>
      <c t="s">
        <v>57744</v>
      </c>
      <c t="s">
        <v>26854</v>
      </c>
      <c t="s">
        <v>29190</v>
      </c>
      <c t="s">
        <v>2517</v>
      </c>
      <c t="s">
        <v>39289</v>
      </c>
      <c>
        <v>33909</v>
      </c>
      <c t="s">
        <v>1324</v>
      </c>
      <c t="s">
        <v>48794</v>
      </c>
      <c t="s">
        <v>58958</v>
      </c>
      <c>
        <v>8610</v>
      </c>
      <c r="AH519" t="s">
        <v>12549</v>
      </c>
      <c t="s">
        <v>55273</v>
      </c>
      <c t="s">
        <v>24900</v>
      </c>
      <c r="AL519" t="s">
        <v>21604</v>
      </c>
      <c t="s">
        <v>19225</v>
      </c>
      <c t="s">
        <v>50829</v>
      </c>
      <c t="s">
        <v>3246</v>
      </c>
      <c t="s">
        <v>19978</v>
      </c>
      <c t="s">
        <v>3093</v>
      </c>
      <c t="s">
        <v>58466</v>
      </c>
    </row>
    <row>
      <c t="s">
        <v>17594</v>
      </c>
      <c t="s">
        <v>64588</v>
      </c>
      <c t="s">
        <v>14795</v>
      </c>
      <c t="s">
        <v>4119</v>
      </c>
      <c t="s">
        <v>21796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20" s="1" t="str">
        <f ca="1">HYPERLINK("https://web.datatree.com/?/property?propertyId=32131138", "https://web.datatree.com/?/property?propertyId=32131138")</f>
        <v>https://web.datatree.com/?/property?propertyId=32131138</v>
      </c>
      <c r="Q520" t="s">
        <v>316</v>
      </c>
      <c>
        <v>0.23</v>
      </c>
      <c t="s">
        <v>6175</v>
      </c>
      <c t="s">
        <v>14424</v>
      </c>
      <c t="s">
        <v>37395</v>
      </c>
      <c t="s">
        <v>66240</v>
      </c>
      <c t="s">
        <v>37395</v>
      </c>
      <c t="s">
        <v>47206</v>
      </c>
      <c t="s">
        <v>23517</v>
      </c>
      <c t="s">
        <v>2517</v>
      </c>
      <c t="s">
        <v>39289</v>
      </c>
      <c>
        <v>33909</v>
      </c>
      <c t="s">
        <v>18397</v>
      </c>
      <c t="s">
        <v>48794</v>
      </c>
      <c t="s">
        <v>49580</v>
      </c>
      <c>
        <v>1849</v>
      </c>
      <c r="AI520" t="s">
        <v>44981</v>
      </c>
      <c t="s">
        <v>31192</v>
      </c>
      <c r="AL520" t="s">
        <v>21284</v>
      </c>
      <c r="AN520" t="s">
        <v>14798</v>
      </c>
      <c t="s">
        <v>45227</v>
      </c>
      <c t="s">
        <v>13315</v>
      </c>
      <c t="s">
        <v>3093</v>
      </c>
      <c t="s">
        <v>23457</v>
      </c>
    </row>
    <row>
      <c t="s">
        <v>17594</v>
      </c>
      <c t="s">
        <v>67015</v>
      </c>
      <c t="s">
        <v>45735</v>
      </c>
      <c t="s">
        <v>25493</v>
      </c>
      <c t="s">
        <v>44034</v>
      </c>
      <c s="3">
        <v>34005</v>
      </c>
      <c s="3">
        <v>34005</v>
      </c>
      <c s="3">
        <v>34005</v>
      </c>
      <c>
        <v>0</v>
      </c>
      <c s="3">
        <v>0</v>
      </c>
      <c s="3">
        <v>3870.51</v>
      </c>
      <c s="3">
        <v>34005</v>
      </c>
      <c r="O521" s="1" t="str">
        <f ca="1">HYPERLINK("https://web.datatree.com/?/property?propertyId=32131663", "https://web.datatree.com/?/property?propertyId=32131663")</f>
        <v>https://web.datatree.com/?/property?propertyId=32131663</v>
      </c>
      <c r="Q521" t="s">
        <v>316</v>
      </c>
      <c>
        <v>0.372</v>
      </c>
      <c t="s">
        <v>6175</v>
      </c>
      <c t="s">
        <v>552</v>
      </c>
      <c t="s">
        <v>55322</v>
      </c>
      <c r="X521" t="s">
        <v>43967</v>
      </c>
      <c t="s">
        <v>13478</v>
      </c>
      <c t="s">
        <v>2517</v>
      </c>
      <c t="s">
        <v>39289</v>
      </c>
      <c>
        <v>33909</v>
      </c>
      <c t="s">
        <v>21011</v>
      </c>
      <c t="s">
        <v>48794</v>
      </c>
      <c t="s">
        <v>61013</v>
      </c>
      <c>
        <v>1896</v>
      </c>
      <c r="AI521" t="s">
        <v>41015</v>
      </c>
      <c t="s">
        <v>55842</v>
      </c>
      <c r="AL521" t="s">
        <v>2407</v>
      </c>
      <c t="s">
        <v>2407</v>
      </c>
      <c t="s">
        <v>19878</v>
      </c>
      <c t="s">
        <v>40138</v>
      </c>
      <c t="s">
        <v>42945</v>
      </c>
      <c t="s">
        <v>3093</v>
      </c>
      <c t="s">
        <v>59340</v>
      </c>
    </row>
    <row>
      <c t="s">
        <v>17594</v>
      </c>
      <c t="s">
        <v>43591</v>
      </c>
      <c t="s">
        <v>3978</v>
      </c>
      <c t="s">
        <v>43644</v>
      </c>
      <c t="s">
        <v>6246</v>
      </c>
      <c s="3">
        <v>8362</v>
      </c>
      <c s="3">
        <v>8362</v>
      </c>
      <c s="3">
        <v>4716</v>
      </c>
      <c>
        <v>0</v>
      </c>
      <c s="3">
        <v>0</v>
      </c>
      <c s="3">
        <v>311.11</v>
      </c>
      <c s="3">
        <v>8362</v>
      </c>
      <c r="O522" s="1" t="str">
        <f ca="1">HYPERLINK("https://web.datatree.com/?/property?propertyId=32132071", "https://web.datatree.com/?/property?propertyId=32132071")</f>
        <v>https://web.datatree.com/?/property?propertyId=32132071</v>
      </c>
      <c r="Q522" t="s">
        <v>316</v>
      </c>
      <c>
        <v>0.208</v>
      </c>
      <c t="s">
        <v>5471</v>
      </c>
      <c t="s">
        <v>34468</v>
      </c>
      <c t="s">
        <v>18314</v>
      </c>
      <c r="X522" t="s">
        <v>52777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7077</v>
      </c>
      <c>
        <v>124</v>
      </c>
      <c r="AI522" t="s">
        <v>3567</v>
      </c>
      <c t="s">
        <v>24900</v>
      </c>
      <c r="AL522" t="s">
        <v>6365</v>
      </c>
      <c r="AN522" t="s">
        <v>39289</v>
      </c>
      <c t="s">
        <v>56865</v>
      </c>
      <c t="s">
        <v>33029</v>
      </c>
      <c t="s">
        <v>3093</v>
      </c>
      <c t="s">
        <v>9186</v>
      </c>
    </row>
    <row>
      <c t="s">
        <v>17594</v>
      </c>
      <c t="s">
        <v>48727</v>
      </c>
      <c t="s">
        <v>56587</v>
      </c>
      <c t="s">
        <v>31033</v>
      </c>
      <c t="s">
        <v>66461</v>
      </c>
      <c s="3">
        <v>8568</v>
      </c>
      <c s="3">
        <v>8568</v>
      </c>
      <c s="3">
        <v>3474</v>
      </c>
      <c>
        <v>0</v>
      </c>
      <c s="3">
        <v>0</v>
      </c>
      <c s="3">
        <v>83.8</v>
      </c>
      <c s="3">
        <v>8568</v>
      </c>
      <c r="O523" s="1" t="str">
        <f ca="1">HYPERLINK("https://web.datatree.com/?/property?propertyId=32132413", "https://web.datatree.com/?/property?propertyId=32132413")</f>
        <v>https://web.datatree.com/?/property?propertyId=32132413</v>
      </c>
      <c r="Q523" t="s">
        <v>316</v>
      </c>
      <c>
        <v>0.117</v>
      </c>
      <c t="s">
        <v>36917</v>
      </c>
      <c t="s">
        <v>10361</v>
      </c>
      <c t="s">
        <v>23608</v>
      </c>
      <c t="s">
        <v>21944</v>
      </c>
      <c t="s">
        <v>10350</v>
      </c>
      <c t="s">
        <v>11249</v>
      </c>
      <c t="s">
        <v>34557</v>
      </c>
      <c t="s">
        <v>54524</v>
      </c>
      <c t="s">
        <v>39289</v>
      </c>
      <c>
        <v>33903</v>
      </c>
      <c t="s">
        <v>32299</v>
      </c>
      <c t="s">
        <v>48794</v>
      </c>
      <c t="s">
        <v>26774</v>
      </c>
      <c>
        <v>523</v>
      </c>
      <c r="AH523" t="s">
        <v>63047</v>
      </c>
      <c t="s">
        <v>38860</v>
      </c>
      <c t="s">
        <v>24900</v>
      </c>
      <c r="AL523" t="s">
        <v>5556</v>
      </c>
      <c t="s">
        <v>5556</v>
      </c>
      <c t="s">
        <v>51087</v>
      </c>
      <c t="s">
        <v>40079</v>
      </c>
      <c t="s">
        <v>4797</v>
      </c>
      <c t="s">
        <v>3093</v>
      </c>
      <c t="s">
        <v>12429</v>
      </c>
    </row>
    <row>
      <c t="s">
        <v>17594</v>
      </c>
      <c t="s">
        <v>13656</v>
      </c>
      <c t="s">
        <v>41666</v>
      </c>
      <c t="s">
        <v>2174</v>
      </c>
      <c t="s">
        <v>31758</v>
      </c>
      <c s="3">
        <v>33864</v>
      </c>
      <c s="3">
        <v>33540</v>
      </c>
      <c s="3">
        <v>33356</v>
      </c>
      <c>
        <v>0</v>
      </c>
      <c s="3">
        <v>0</v>
      </c>
      <c s="3">
        <v>459.18</v>
      </c>
      <c s="3">
        <v>33864</v>
      </c>
      <c r="O524" s="1" t="str">
        <f ca="1">HYPERLINK("https://web.datatree.com/?/property?propertyId=32133067", "https://web.datatree.com/?/property?propertyId=32133067")</f>
        <v>https://web.datatree.com/?/property?propertyId=32133067</v>
      </c>
      <c r="Q524" t="s">
        <v>316</v>
      </c>
      <c>
        <v>0.06</v>
      </c>
      <c t="s">
        <v>54329</v>
      </c>
      <c r="U524" t="s">
        <v>25829</v>
      </c>
      <c r="W524" t="s">
        <v>57279</v>
      </c>
      <c t="s">
        <v>5306</v>
      </c>
      <c t="s">
        <v>65979</v>
      </c>
      <c t="s">
        <v>65059</v>
      </c>
      <c t="s">
        <v>39289</v>
      </c>
      <c>
        <v>33908</v>
      </c>
      <c>
        <v>33908</v>
      </c>
      <c t="s">
        <v>48794</v>
      </c>
      <c t="s">
        <v>27819</v>
      </c>
      <c>
        <v>9</v>
      </c>
      <c r="AI524" t="s">
        <v>8990</v>
      </c>
      <c t="s">
        <v>45620</v>
      </c>
      <c r="AL524" t="s">
        <v>46211</v>
      </c>
      <c r="AN524" t="s">
        <v>27747</v>
      </c>
      <c t="s">
        <v>14964</v>
      </c>
      <c t="s">
        <v>31626</v>
      </c>
      <c t="s">
        <v>3093</v>
      </c>
      <c t="s">
        <v>25159</v>
      </c>
    </row>
    <row>
      <c t="s">
        <v>17594</v>
      </c>
      <c t="s">
        <v>28795</v>
      </c>
      <c t="s">
        <v>60527</v>
      </c>
      <c t="s">
        <v>61570</v>
      </c>
      <c t="s">
        <v>64393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525" s="1" t="str">
        <f ca="1">HYPERLINK("https://web.datatree.com/?/property?propertyId=32133314", "https://web.datatree.com/?/property?propertyId=32133314")</f>
        <v>https://web.datatree.com/?/property?propertyId=32133314</v>
      </c>
      <c r="Q525" t="s">
        <v>316</v>
      </c>
      <c>
        <v>0.23</v>
      </c>
      <c t="s">
        <v>22490</v>
      </c>
      <c t="s">
        <v>1599</v>
      </c>
      <c t="s">
        <v>41622</v>
      </c>
      <c r="X525" t="s">
        <v>59650</v>
      </c>
      <c t="s">
        <v>59763</v>
      </c>
      <c t="s">
        <v>2517</v>
      </c>
      <c t="s">
        <v>39289</v>
      </c>
      <c>
        <v>33909</v>
      </c>
      <c t="s">
        <v>62477</v>
      </c>
      <c t="s">
        <v>48794</v>
      </c>
      <c t="s">
        <v>4869</v>
      </c>
      <c>
        <v>1440</v>
      </c>
      <c r="AI525" t="s">
        <v>22297</v>
      </c>
      <c t="s">
        <v>45393</v>
      </c>
      <c r="AL525" t="s">
        <v>44732</v>
      </c>
      <c t="s">
        <v>31640</v>
      </c>
      <c t="s">
        <v>50917</v>
      </c>
      <c t="s">
        <v>20428</v>
      </c>
      <c t="s">
        <v>26242</v>
      </c>
      <c t="s">
        <v>3093</v>
      </c>
      <c t="s">
        <v>40288</v>
      </c>
    </row>
    <row>
      <c t="s">
        <v>17594</v>
      </c>
      <c t="s">
        <v>37600</v>
      </c>
      <c t="s">
        <v>57675</v>
      </c>
      <c t="s">
        <v>6748</v>
      </c>
      <c t="s">
        <v>34371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526" s="1" t="str">
        <f ca="1">HYPERLINK("https://web.datatree.com/?/property?propertyId=32134139", "https://web.datatree.com/?/property?propertyId=32134139")</f>
        <v>https://web.datatree.com/?/property?propertyId=32134139</v>
      </c>
      <c r="Q526" t="s">
        <v>316</v>
      </c>
      <c>
        <v>0.241</v>
      </c>
      <c t="s">
        <v>6175</v>
      </c>
      <c t="s">
        <v>44016</v>
      </c>
      <c t="s">
        <v>36210</v>
      </c>
      <c r="X526" t="s">
        <v>21519</v>
      </c>
      <c t="s">
        <v>61850</v>
      </c>
      <c t="s">
        <v>2517</v>
      </c>
      <c t="s">
        <v>39289</v>
      </c>
      <c>
        <v>33909</v>
      </c>
      <c t="s">
        <v>31247</v>
      </c>
      <c t="s">
        <v>48794</v>
      </c>
      <c t="s">
        <v>56693</v>
      </c>
      <c>
        <v>9722</v>
      </c>
      <c r="AI526" t="s">
        <v>56216</v>
      </c>
      <c t="s">
        <v>41372</v>
      </c>
      <c>
        <v>306</v>
      </c>
      <c t="s">
        <v>22514</v>
      </c>
      <c t="s">
        <v>22514</v>
      </c>
      <c t="s">
        <v>51087</v>
      </c>
      <c t="s">
        <v>31096</v>
      </c>
      <c t="s">
        <v>17093</v>
      </c>
      <c t="s">
        <v>3093</v>
      </c>
      <c t="s">
        <v>66994</v>
      </c>
    </row>
    <row>
      <c t="s">
        <v>17594</v>
      </c>
      <c t="s">
        <v>49162</v>
      </c>
      <c t="s">
        <v>16370</v>
      </c>
      <c t="s">
        <v>11618</v>
      </c>
      <c t="s">
        <v>18039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27" s="1" t="str">
        <f ca="1">HYPERLINK("https://web.datatree.com/?/property?propertyId=32134517", "https://web.datatree.com/?/property?propertyId=32134517")</f>
        <v>https://web.datatree.com/?/property?propertyId=32134517</v>
      </c>
      <c r="Q527" t="s">
        <v>316</v>
      </c>
      <c>
        <v>0.23</v>
      </c>
      <c t="s">
        <v>22490</v>
      </c>
      <c t="s">
        <v>10361</v>
      </c>
      <c t="s">
        <v>47267</v>
      </c>
      <c t="s">
        <v>40927</v>
      </c>
      <c t="s">
        <v>47267</v>
      </c>
      <c t="s">
        <v>3224</v>
      </c>
      <c t="s">
        <v>371</v>
      </c>
      <c t="s">
        <v>2517</v>
      </c>
      <c t="s">
        <v>39289</v>
      </c>
      <c>
        <v>33909</v>
      </c>
      <c t="s">
        <v>39410</v>
      </c>
      <c t="s">
        <v>48794</v>
      </c>
      <c t="s">
        <v>33558</v>
      </c>
      <c>
        <v>13428</v>
      </c>
      <c r="AI527" t="s">
        <v>14400</v>
      </c>
      <c t="s">
        <v>31192</v>
      </c>
      <c r="AL527" t="s">
        <v>62422</v>
      </c>
      <c r="AN527" t="s">
        <v>39289</v>
      </c>
      <c t="s">
        <v>48634</v>
      </c>
      <c t="s">
        <v>38419</v>
      </c>
      <c t="s">
        <v>3093</v>
      </c>
      <c t="s">
        <v>45431</v>
      </c>
    </row>
    <row>
      <c t="s">
        <v>17594</v>
      </c>
      <c t="s">
        <v>19532</v>
      </c>
      <c t="s">
        <v>19519</v>
      </c>
      <c t="s">
        <v>57940</v>
      </c>
      <c t="s">
        <v>15021</v>
      </c>
      <c s="3">
        <v>48521</v>
      </c>
      <c s="3">
        <v>48521</v>
      </c>
      <c s="3">
        <v>22824</v>
      </c>
      <c>
        <v>0</v>
      </c>
      <c s="3">
        <v>0</v>
      </c>
      <c s="3">
        <v>911.15</v>
      </c>
      <c s="3">
        <v>48521</v>
      </c>
      <c>
        <v>2020</v>
      </c>
      <c>
        <v>2744.38</v>
      </c>
      <c s="1" t="str">
        <f ca="1">HYPERLINK("https://web.datatree.com/?/property?propertyId=32134966", "https://web.datatree.com/?/property?propertyId=32134966")</f>
        <v>https://web.datatree.com/?/property?propertyId=32134966</v>
      </c>
      <c r="Q528" t="s">
        <v>316</v>
      </c>
      <c>
        <v>0.23</v>
      </c>
      <c t="s">
        <v>6175</v>
      </c>
      <c r="U528" t="s">
        <v>44818</v>
      </c>
      <c r="W528" t="s">
        <v>35361</v>
      </c>
      <c t="s">
        <v>48993</v>
      </c>
      <c t="s">
        <v>57064</v>
      </c>
      <c t="s">
        <v>2517</v>
      </c>
      <c t="s">
        <v>39289</v>
      </c>
      <c>
        <v>33904</v>
      </c>
      <c t="s">
        <v>35759</v>
      </c>
      <c t="s">
        <v>48794</v>
      </c>
      <c t="s">
        <v>7896</v>
      </c>
      <c>
        <v>705</v>
      </c>
      <c r="AI528" t="s">
        <v>37426</v>
      </c>
      <c t="s">
        <v>835</v>
      </c>
      <c>
        <v>310</v>
      </c>
      <c t="s">
        <v>40203</v>
      </c>
      <c r="AN528" t="s">
        <v>27481</v>
      </c>
      <c t="s">
        <v>15390</v>
      </c>
      <c t="s">
        <v>45980</v>
      </c>
      <c t="s">
        <v>3093</v>
      </c>
      <c t="s">
        <v>52770</v>
      </c>
    </row>
    <row>
      <c t="s">
        <v>17594</v>
      </c>
      <c t="s">
        <v>4511</v>
      </c>
      <c t="s">
        <v>64913</v>
      </c>
      <c t="s">
        <v>58209</v>
      </c>
      <c t="s">
        <v>15256</v>
      </c>
      <c s="3">
        <v>26290</v>
      </c>
      <c s="3">
        <v>26290</v>
      </c>
      <c s="3">
        <v>12650</v>
      </c>
      <c>
        <v>0</v>
      </c>
      <c s="3">
        <v>0</v>
      </c>
      <c s="3">
        <v>654.09</v>
      </c>
      <c s="3">
        <v>26290</v>
      </c>
      <c r="O529" s="1" t="str">
        <f ca="1">HYPERLINK("https://web.datatree.com/?/property?propertyId=32135376", "https://web.datatree.com/?/property?propertyId=32135376")</f>
        <v>https://web.datatree.com/?/property?propertyId=32135376</v>
      </c>
      <c r="Q529" t="s">
        <v>316</v>
      </c>
      <c>
        <v>0.241</v>
      </c>
      <c t="s">
        <v>22490</v>
      </c>
      <c t="s">
        <v>3238</v>
      </c>
      <c t="s">
        <v>63861</v>
      </c>
      <c r="X529" t="s">
        <v>465</v>
      </c>
      <c t="s">
        <v>53675</v>
      </c>
      <c t="s">
        <v>2517</v>
      </c>
      <c t="s">
        <v>39289</v>
      </c>
      <c>
        <v>33909</v>
      </c>
      <c>
        <v>33909</v>
      </c>
      <c t="s">
        <v>48794</v>
      </c>
      <c t="s">
        <v>59553</v>
      </c>
      <c>
        <v>11022</v>
      </c>
      <c r="AI529" t="s">
        <v>25680</v>
      </c>
      <c t="s">
        <v>39321</v>
      </c>
      <c r="AL529" t="s">
        <v>55393</v>
      </c>
      <c t="s">
        <v>7500</v>
      </c>
      <c t="s">
        <v>39289</v>
      </c>
      <c t="s">
        <v>15683</v>
      </c>
      <c t="s">
        <v>27553</v>
      </c>
      <c t="s">
        <v>3093</v>
      </c>
      <c t="s">
        <v>25177</v>
      </c>
    </row>
    <row>
      <c t="s">
        <v>17594</v>
      </c>
      <c t="s">
        <v>46953</v>
      </c>
      <c t="s">
        <v>45255</v>
      </c>
      <c t="s">
        <v>23636</v>
      </c>
      <c t="s">
        <v>21781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30" s="1" t="str">
        <f ca="1">HYPERLINK("https://web.datatree.com/?/property?propertyId=32135860", "https://web.datatree.com/?/property?propertyId=32135860")</f>
        <v>https://web.datatree.com/?/property?propertyId=32135860</v>
      </c>
      <c r="Q530" t="s">
        <v>316</v>
      </c>
      <c>
        <v>0.23</v>
      </c>
      <c t="s">
        <v>6175</v>
      </c>
      <c r="U530" t="s">
        <v>16766</v>
      </c>
      <c r="W530" t="s">
        <v>33355</v>
      </c>
      <c t="s">
        <v>13322</v>
      </c>
      <c t="s">
        <v>34731</v>
      </c>
      <c t="s">
        <v>2517</v>
      </c>
      <c t="s">
        <v>39289</v>
      </c>
      <c>
        <v>33909</v>
      </c>
      <c t="s">
        <v>64375</v>
      </c>
      <c t="s">
        <v>48794</v>
      </c>
      <c t="s">
        <v>24629</v>
      </c>
      <c>
        <v>27</v>
      </c>
      <c r="AI530" t="s">
        <v>30314</v>
      </c>
      <c t="s">
        <v>45393</v>
      </c>
      <c r="AL530" t="s">
        <v>16573</v>
      </c>
      <c r="AN530" t="s">
        <v>27747</v>
      </c>
      <c t="s">
        <v>49745</v>
      </c>
      <c t="s">
        <v>42082</v>
      </c>
      <c t="s">
        <v>3093</v>
      </c>
      <c t="s">
        <v>3157</v>
      </c>
    </row>
    <row>
      <c t="s">
        <v>42103</v>
      </c>
      <c t="s">
        <v>9520</v>
      </c>
      <c t="s">
        <v>62974</v>
      </c>
      <c t="s">
        <v>5763</v>
      </c>
      <c t="s">
        <v>47551</v>
      </c>
      <c s="3">
        <v>17969</v>
      </c>
      <c s="3">
        <v>17969</v>
      </c>
      <c s="3">
        <v>7865</v>
      </c>
      <c>
        <v>0</v>
      </c>
      <c s="3">
        <v>0</v>
      </c>
      <c s="3">
        <v>492.2</v>
      </c>
      <c s="3">
        <v>17969</v>
      </c>
      <c r="O531" s="1" t="str">
        <f ca="1">HYPERLINK("https://web.datatree.com/?/property?propertyId=32136098", "https://web.datatree.com/?/property?propertyId=32136098")</f>
        <v>https://web.datatree.com/?/property?propertyId=32136098</v>
      </c>
      <c r="Q531" t="s">
        <v>316</v>
      </c>
      <c>
        <v>0.238</v>
      </c>
      <c t="s">
        <v>6175</v>
      </c>
      <c t="s">
        <v>59515</v>
      </c>
      <c t="s">
        <v>14392</v>
      </c>
      <c r="X531" t="s">
        <v>2258</v>
      </c>
      <c t="s">
        <v>47150</v>
      </c>
      <c t="s">
        <v>2517</v>
      </c>
      <c t="s">
        <v>39289</v>
      </c>
      <c>
        <v>33909</v>
      </c>
      <c t="s">
        <v>62459</v>
      </c>
      <c t="s">
        <v>48794</v>
      </c>
      <c t="s">
        <v>26939</v>
      </c>
      <c r="AI531" t="s">
        <v>35648</v>
      </c>
      <c r="AL531" t="s">
        <v>45506</v>
      </c>
      <c r="AN531" t="s">
        <v>50917</v>
      </c>
      <c>
        <v>11368</v>
      </c>
      <c t="s">
        <v>39363</v>
      </c>
      <c t="s">
        <v>3093</v>
      </c>
      <c t="s">
        <v>45760</v>
      </c>
    </row>
    <row>
      <c t="s">
        <v>17594</v>
      </c>
      <c t="s">
        <v>63078</v>
      </c>
      <c t="s">
        <v>24723</v>
      </c>
      <c t="s">
        <v>32405</v>
      </c>
      <c t="s">
        <v>34757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532" s="1" t="str">
        <f ca="1">HYPERLINK("https://web.datatree.com/?/property?propertyId=32136670", "https://web.datatree.com/?/property?propertyId=32136670")</f>
        <v>https://web.datatree.com/?/property?propertyId=32136670</v>
      </c>
      <c r="Q532" t="s">
        <v>316</v>
      </c>
      <c>
        <v>0.232</v>
      </c>
      <c t="s">
        <v>45031</v>
      </c>
      <c t="s">
        <v>2609</v>
      </c>
      <c t="s">
        <v>24508</v>
      </c>
      <c t="s">
        <v>46064</v>
      </c>
      <c t="s">
        <v>3535</v>
      </c>
      <c t="s">
        <v>23371</v>
      </c>
      <c t="s">
        <v>29190</v>
      </c>
      <c t="s">
        <v>2517</v>
      </c>
      <c t="s">
        <v>39289</v>
      </c>
      <c>
        <v>33909</v>
      </c>
      <c t="s">
        <v>2589</v>
      </c>
      <c t="s">
        <v>48794</v>
      </c>
      <c t="s">
        <v>53745</v>
      </c>
      <c>
        <v>2802</v>
      </c>
      <c r="AI532" t="s">
        <v>3993</v>
      </c>
      <c t="s">
        <v>55910</v>
      </c>
      <c r="AL532" t="s">
        <v>24693</v>
      </c>
      <c t="s">
        <v>43830</v>
      </c>
      <c t="s">
        <v>18236</v>
      </c>
      <c t="s">
        <v>63689</v>
      </c>
      <c t="s">
        <v>56028</v>
      </c>
      <c t="s">
        <v>3093</v>
      </c>
      <c t="s">
        <v>29448</v>
      </c>
    </row>
    <row>
      <c t="s">
        <v>17594</v>
      </c>
      <c t="s">
        <v>47514</v>
      </c>
      <c t="s">
        <v>30026</v>
      </c>
      <c t="s">
        <v>30233</v>
      </c>
      <c t="s">
        <v>37212</v>
      </c>
      <c s="3">
        <v>8500</v>
      </c>
      <c s="3">
        <v>8500</v>
      </c>
      <c s="3">
        <v>8500</v>
      </c>
      <c>
        <v>0</v>
      </c>
      <c s="3">
        <v>0</v>
      </c>
      <c s="3">
        <v>576.1</v>
      </c>
      <c s="3">
        <v>8500</v>
      </c>
      <c r="O533" s="1" t="str">
        <f ca="1">HYPERLINK("https://web.datatree.com/?/property?propertyId=32136783", "https://web.datatree.com/?/property?propertyId=32136783")</f>
        <v>https://web.datatree.com/?/property?propertyId=32136783</v>
      </c>
      <c r="Q533" t="s">
        <v>316</v>
      </c>
      <c>
        <v>0.23</v>
      </c>
      <c t="s">
        <v>6175</v>
      </c>
      <c t="s">
        <v>5459</v>
      </c>
      <c t="s">
        <v>6209</v>
      </c>
      <c r="X533" t="s">
        <v>36958</v>
      </c>
      <c t="s">
        <v>47150</v>
      </c>
      <c t="s">
        <v>2517</v>
      </c>
      <c t="s">
        <v>39289</v>
      </c>
      <c>
        <v>33909</v>
      </c>
      <c t="s">
        <v>55909</v>
      </c>
      <c t="s">
        <v>48794</v>
      </c>
      <c t="s">
        <v>56976</v>
      </c>
      <c>
        <v>3001</v>
      </c>
      <c r="AI533" t="s">
        <v>41142</v>
      </c>
      <c t="s">
        <v>31192</v>
      </c>
      <c r="AL533" t="s">
        <v>33214</v>
      </c>
      <c t="s">
        <v>33214</v>
      </c>
      <c t="s">
        <v>39289</v>
      </c>
      <c>
        <v>33009</v>
      </c>
      <c r="AQ533" t="s">
        <v>3093</v>
      </c>
      <c t="s">
        <v>52625</v>
      </c>
    </row>
    <row>
      <c t="s">
        <v>17594</v>
      </c>
      <c t="s">
        <v>57738</v>
      </c>
      <c t="s">
        <v>59644</v>
      </c>
      <c t="s">
        <v>34549</v>
      </c>
      <c t="s">
        <v>36881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34" s="1" t="str">
        <f ca="1">HYPERLINK("https://web.datatree.com/?/property?propertyId=32136851", "https://web.datatree.com/?/property?propertyId=32136851")</f>
        <v>https://web.datatree.com/?/property?propertyId=32136851</v>
      </c>
      <c r="Q534" t="s">
        <v>316</v>
      </c>
      <c>
        <v>0.23</v>
      </c>
      <c t="s">
        <v>22490</v>
      </c>
      <c t="s">
        <v>37244</v>
      </c>
      <c t="s">
        <v>56288</v>
      </c>
      <c t="s">
        <v>23903</v>
      </c>
      <c t="s">
        <v>56288</v>
      </c>
      <c t="s">
        <v>16097</v>
      </c>
      <c t="s">
        <v>53675</v>
      </c>
      <c t="s">
        <v>2517</v>
      </c>
      <c t="s">
        <v>39289</v>
      </c>
      <c>
        <v>33909</v>
      </c>
      <c t="s">
        <v>60473</v>
      </c>
      <c t="s">
        <v>48794</v>
      </c>
      <c t="s">
        <v>45112</v>
      </c>
      <c>
        <v>15801</v>
      </c>
      <c r="AI534" t="s">
        <v>4640</v>
      </c>
      <c t="s">
        <v>45620</v>
      </c>
      <c t="s">
        <v>45925</v>
      </c>
      <c t="s">
        <v>11121</v>
      </c>
      <c t="s">
        <v>11121</v>
      </c>
      <c t="s">
        <v>58733</v>
      </c>
      <c t="s">
        <v>45746</v>
      </c>
      <c t="s">
        <v>42945</v>
      </c>
      <c t="s">
        <v>3093</v>
      </c>
      <c t="s">
        <v>25650</v>
      </c>
    </row>
    <row>
      <c t="s">
        <v>17594</v>
      </c>
      <c t="s">
        <v>37903</v>
      </c>
      <c t="s">
        <v>23588</v>
      </c>
      <c t="s">
        <v>45960</v>
      </c>
      <c t="s">
        <v>62493</v>
      </c>
      <c s="3">
        <v>18361</v>
      </c>
      <c s="3">
        <v>18361</v>
      </c>
      <c s="3">
        <v>9339</v>
      </c>
      <c>
        <v>0</v>
      </c>
      <c s="3">
        <v>0</v>
      </c>
      <c s="3">
        <v>575.99</v>
      </c>
      <c s="3">
        <v>18361</v>
      </c>
      <c r="O535" s="1" t="str">
        <f ca="1">HYPERLINK("https://web.datatree.com/?/property?propertyId=32136948", "https://web.datatree.com/?/property?propertyId=32136948")</f>
        <v>https://web.datatree.com/?/property?propertyId=32136948</v>
      </c>
      <c r="Q535" t="s">
        <v>316</v>
      </c>
      <c>
        <v>0.23</v>
      </c>
      <c t="s">
        <v>6175</v>
      </c>
      <c r="U535" t="s">
        <v>3782</v>
      </c>
      <c r="W535" t="s">
        <v>61540</v>
      </c>
      <c t="s">
        <v>40948</v>
      </c>
      <c t="s">
        <v>39082</v>
      </c>
      <c t="s">
        <v>2517</v>
      </c>
      <c t="s">
        <v>39289</v>
      </c>
      <c>
        <v>33909</v>
      </c>
      <c t="s">
        <v>54580</v>
      </c>
      <c t="s">
        <v>48794</v>
      </c>
      <c t="s">
        <v>3473</v>
      </c>
      <c>
        <v>801</v>
      </c>
      <c r="AI535" t="s">
        <v>25665</v>
      </c>
      <c t="s">
        <v>835</v>
      </c>
      <c r="AL535" t="s">
        <v>10658</v>
      </c>
      <c t="s">
        <v>2196</v>
      </c>
      <c t="s">
        <v>36633</v>
      </c>
      <c t="s">
        <v>26203</v>
      </c>
      <c t="s">
        <v>43294</v>
      </c>
      <c t="s">
        <v>3093</v>
      </c>
      <c t="s">
        <v>54239</v>
      </c>
    </row>
    <row>
      <c t="s">
        <v>17594</v>
      </c>
      <c t="s">
        <v>58568</v>
      </c>
      <c t="s">
        <v>9804</v>
      </c>
      <c t="s">
        <v>25837</v>
      </c>
      <c t="s">
        <v>48924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36" s="1" t="str">
        <f ca="1">HYPERLINK("https://web.datatree.com/?/property?propertyId=32137516", "https://web.datatree.com/?/property?propertyId=32137516")</f>
        <v>https://web.datatree.com/?/property?propertyId=32137516</v>
      </c>
      <c r="Q536" t="s">
        <v>316</v>
      </c>
      <c>
        <v>0.23</v>
      </c>
      <c t="s">
        <v>6175</v>
      </c>
      <c t="s">
        <v>47119</v>
      </c>
      <c t="s">
        <v>44893</v>
      </c>
      <c r="X536" t="s">
        <v>18650</v>
      </c>
      <c t="s">
        <v>39082</v>
      </c>
      <c t="s">
        <v>2517</v>
      </c>
      <c t="s">
        <v>39289</v>
      </c>
      <c>
        <v>33909</v>
      </c>
      <c t="s">
        <v>24211</v>
      </c>
      <c t="s">
        <v>48794</v>
      </c>
      <c t="s">
        <v>5024</v>
      </c>
      <c>
        <v>1955</v>
      </c>
      <c r="AI536" t="s">
        <v>57860</v>
      </c>
      <c t="s">
        <v>45393</v>
      </c>
      <c r="AL536" t="s">
        <v>45316</v>
      </c>
      <c t="s">
        <v>45316</v>
      </c>
      <c t="s">
        <v>65451</v>
      </c>
      <c t="s">
        <v>19619</v>
      </c>
      <c t="s">
        <v>4480</v>
      </c>
      <c t="s">
        <v>3093</v>
      </c>
      <c t="s">
        <v>7492</v>
      </c>
    </row>
    <row>
      <c t="s">
        <v>17594</v>
      </c>
      <c t="s">
        <v>41886</v>
      </c>
      <c t="s">
        <v>31787</v>
      </c>
      <c t="s">
        <v>56705</v>
      </c>
      <c t="s">
        <v>59033</v>
      </c>
      <c s="3">
        <v>8311</v>
      </c>
      <c s="3">
        <v>8311</v>
      </c>
      <c s="3">
        <v>4972</v>
      </c>
      <c>
        <v>0</v>
      </c>
      <c s="3">
        <v>0</v>
      </c>
      <c s="3">
        <v>316.66</v>
      </c>
      <c s="3">
        <v>8311</v>
      </c>
      <c r="O537" s="1" t="str">
        <f ca="1">HYPERLINK("https://web.datatree.com/?/property?propertyId=32138085", "https://web.datatree.com/?/property?propertyId=32138085")</f>
        <v>https://web.datatree.com/?/property?propertyId=32138085</v>
      </c>
      <c r="Q537" t="s">
        <v>316</v>
      </c>
      <c>
        <v>0.235</v>
      </c>
      <c t="s">
        <v>5471</v>
      </c>
      <c t="s">
        <v>44541</v>
      </c>
      <c t="s">
        <v>44562</v>
      </c>
      <c r="X537" t="s">
        <v>8729</v>
      </c>
      <c t="s">
        <v>55413</v>
      </c>
      <c t="s">
        <v>65059</v>
      </c>
      <c t="s">
        <v>39289</v>
      </c>
      <c>
        <v>33905</v>
      </c>
      <c t="s">
        <v>30155</v>
      </c>
      <c t="s">
        <v>48794</v>
      </c>
      <c t="s">
        <v>23922</v>
      </c>
      <c>
        <v>4128</v>
      </c>
      <c r="AI537" t="s">
        <v>60471</v>
      </c>
      <c t="s">
        <v>24900</v>
      </c>
      <c>
        <v>205</v>
      </c>
      <c t="s">
        <v>4859</v>
      </c>
      <c r="AN537" t="s">
        <v>39289</v>
      </c>
      <c t="s">
        <v>6400</v>
      </c>
      <c t="s">
        <v>3364</v>
      </c>
      <c t="s">
        <v>3093</v>
      </c>
      <c t="s">
        <v>11897</v>
      </c>
    </row>
    <row>
      <c t="s">
        <v>17594</v>
      </c>
      <c t="s">
        <v>31581</v>
      </c>
      <c t="s">
        <v>26770</v>
      </c>
      <c t="s">
        <v>66095</v>
      </c>
      <c t="s">
        <v>38602</v>
      </c>
      <c s="3">
        <v>47864</v>
      </c>
      <c s="3">
        <v>47864</v>
      </c>
      <c s="3">
        <v>34100</v>
      </c>
      <c>
        <v>0</v>
      </c>
      <c s="3">
        <v>0</v>
      </c>
      <c s="3">
        <v>1059.58</v>
      </c>
      <c s="3">
        <v>47864</v>
      </c>
      <c r="O538" s="1" t="str">
        <f ca="1">HYPERLINK("https://web.datatree.com/?/property?propertyId=32138129", "https://web.datatree.com/?/property?propertyId=32138129")</f>
        <v>https://web.datatree.com/?/property?propertyId=32138129</v>
      </c>
      <c r="Q538" t="s">
        <v>316</v>
      </c>
      <c>
        <v>0.27</v>
      </c>
      <c t="s">
        <v>6175</v>
      </c>
      <c t="s">
        <v>66904</v>
      </c>
      <c t="s">
        <v>55995</v>
      </c>
      <c t="s">
        <v>54352</v>
      </c>
      <c t="s">
        <v>55995</v>
      </c>
      <c t="s">
        <v>51571</v>
      </c>
      <c t="s">
        <v>49674</v>
      </c>
      <c t="s">
        <v>2517</v>
      </c>
      <c t="s">
        <v>39289</v>
      </c>
      <c>
        <v>33904</v>
      </c>
      <c t="s">
        <v>897</v>
      </c>
      <c t="s">
        <v>48794</v>
      </c>
      <c t="s">
        <v>59478</v>
      </c>
      <c>
        <v>9219</v>
      </c>
      <c r="AI538" t="s">
        <v>52312</v>
      </c>
      <c t="s">
        <v>1671</v>
      </c>
      <c r="AL538" t="s">
        <v>55393</v>
      </c>
      <c t="s">
        <v>461</v>
      </c>
      <c t="s">
        <v>39289</v>
      </c>
      <c t="s">
        <v>60472</v>
      </c>
      <c t="s">
        <v>7207</v>
      </c>
      <c t="s">
        <v>3093</v>
      </c>
      <c t="s">
        <v>48358</v>
      </c>
    </row>
    <row>
      <c t="s">
        <v>17594</v>
      </c>
      <c t="s">
        <v>16502</v>
      </c>
      <c t="s">
        <v>63552</v>
      </c>
      <c t="s">
        <v>56070</v>
      </c>
      <c t="s">
        <v>34534</v>
      </c>
      <c s="3">
        <v>96339</v>
      </c>
      <c s="3">
        <v>86250</v>
      </c>
      <c s="3">
        <v>85060</v>
      </c>
      <c>
        <v>0</v>
      </c>
      <c s="3">
        <v>0</v>
      </c>
      <c s="3">
        <v>1341.05</v>
      </c>
      <c s="3">
        <v>96339</v>
      </c>
      <c r="O539" s="1" t="str">
        <f ca="1">HYPERLINK("https://web.datatree.com/?/property?propertyId=32138217", "https://web.datatree.com/?/property?propertyId=32138217")</f>
        <v>https://web.datatree.com/?/property?propertyId=32138217</v>
      </c>
      <c r="Q539" t="s">
        <v>316</v>
      </c>
      <c>
        <v>0.111</v>
      </c>
      <c t="s">
        <v>26492</v>
      </c>
      <c t="s">
        <v>2140</v>
      </c>
      <c t="s">
        <v>56382</v>
      </c>
      <c t="s">
        <v>34805</v>
      </c>
      <c t="s">
        <v>56382</v>
      </c>
      <c t="s">
        <v>11442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60642</v>
      </c>
      <c>
        <v>40</v>
      </c>
      <c r="AI539" t="s">
        <v>55200</v>
      </c>
      <c t="s">
        <v>55842</v>
      </c>
      <c r="AL539" t="s">
        <v>12829</v>
      </c>
      <c t="s">
        <v>40227</v>
      </c>
      <c t="s">
        <v>50917</v>
      </c>
      <c t="s">
        <v>5809</v>
      </c>
      <c t="s">
        <v>23744</v>
      </c>
      <c t="s">
        <v>3093</v>
      </c>
      <c t="s">
        <v>53329</v>
      </c>
    </row>
    <row>
      <c t="s">
        <v>17594</v>
      </c>
      <c t="s">
        <v>35262</v>
      </c>
      <c t="s">
        <v>41259</v>
      </c>
      <c t="s">
        <v>50786</v>
      </c>
      <c t="s">
        <v>26193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540" s="1" t="str">
        <f ca="1">HYPERLINK("https://web.datatree.com/?/property?propertyId=32138485", "https://web.datatree.com/?/property?propertyId=32138485")</f>
        <v>https://web.datatree.com/?/property?propertyId=32138485</v>
      </c>
      <c r="Q540" t="s">
        <v>316</v>
      </c>
      <c>
        <v>0.244</v>
      </c>
      <c t="s">
        <v>6175</v>
      </c>
      <c t="s">
        <v>47754</v>
      </c>
      <c t="s">
        <v>6540</v>
      </c>
      <c t="s">
        <v>41295</v>
      </c>
      <c t="s">
        <v>6540</v>
      </c>
      <c t="s">
        <v>47352</v>
      </c>
      <c t="s">
        <v>60363</v>
      </c>
      <c t="s">
        <v>2517</v>
      </c>
      <c t="s">
        <v>39289</v>
      </c>
      <c>
        <v>33909</v>
      </c>
      <c t="s">
        <v>18620</v>
      </c>
      <c t="s">
        <v>48794</v>
      </c>
      <c t="s">
        <v>6533</v>
      </c>
      <c>
        <v>15344</v>
      </c>
      <c r="AI540" t="s">
        <v>66701</v>
      </c>
      <c t="s">
        <v>45393</v>
      </c>
      <c r="AL540" t="s">
        <v>25857</v>
      </c>
      <c r="AN540" t="s">
        <v>39289</v>
      </c>
      <c t="s">
        <v>48425</v>
      </c>
      <c t="s">
        <v>48506</v>
      </c>
      <c t="s">
        <v>3093</v>
      </c>
      <c t="s">
        <v>43588</v>
      </c>
    </row>
    <row>
      <c t="s">
        <v>17594</v>
      </c>
      <c t="s">
        <v>66521</v>
      </c>
      <c t="s">
        <v>30898</v>
      </c>
      <c t="s">
        <v>3638</v>
      </c>
      <c t="s">
        <v>9926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541" s="1" t="str">
        <f ca="1">HYPERLINK("https://web.datatree.com/?/property?propertyId=32138679", "https://web.datatree.com/?/property?propertyId=32138679")</f>
        <v>https://web.datatree.com/?/property?propertyId=32138679</v>
      </c>
      <c r="Q541" t="s">
        <v>316</v>
      </c>
      <c>
        <v>0.244</v>
      </c>
      <c t="s">
        <v>6175</v>
      </c>
      <c t="s">
        <v>1859</v>
      </c>
      <c t="s">
        <v>39269</v>
      </c>
      <c r="X541" t="s">
        <v>29570</v>
      </c>
      <c t="s">
        <v>2626</v>
      </c>
      <c t="s">
        <v>2517</v>
      </c>
      <c t="s">
        <v>39289</v>
      </c>
      <c>
        <v>33909</v>
      </c>
      <c t="s">
        <v>45229</v>
      </c>
      <c t="s">
        <v>48794</v>
      </c>
      <c t="s">
        <v>6604</v>
      </c>
      <c>
        <v>43</v>
      </c>
      <c r="AI541" t="s">
        <v>13593</v>
      </c>
      <c t="s">
        <v>24900</v>
      </c>
      <c r="AL541" t="s">
        <v>45117</v>
      </c>
      <c r="AN541" t="s">
        <v>14509</v>
      </c>
      <c t="s">
        <v>237</v>
      </c>
      <c t="s">
        <v>35679</v>
      </c>
      <c t="s">
        <v>3093</v>
      </c>
      <c t="s">
        <v>56471</v>
      </c>
    </row>
    <row>
      <c t="s">
        <v>17594</v>
      </c>
      <c t="s">
        <v>44003</v>
      </c>
      <c t="s">
        <v>21983</v>
      </c>
      <c t="s">
        <v>3048</v>
      </c>
      <c t="s">
        <v>64662</v>
      </c>
      <c s="3">
        <v>133400</v>
      </c>
      <c s="3">
        <v>124196</v>
      </c>
      <c s="3">
        <v>133400</v>
      </c>
      <c>
        <v>0</v>
      </c>
      <c s="3">
        <v>0</v>
      </c>
      <c s="3">
        <v>2002.11</v>
      </c>
      <c s="3">
        <v>133400</v>
      </c>
      <c r="O542" s="1" t="str">
        <f ca="1">HYPERLINK("https://web.datatree.com/?/property?propertyId=32138836", "https://web.datatree.com/?/property?propertyId=32138836")</f>
        <v>https://web.datatree.com/?/property?propertyId=32138836</v>
      </c>
      <c r="Q542" t="s">
        <v>316</v>
      </c>
      <c>
        <v>0.172</v>
      </c>
      <c t="s">
        <v>26492</v>
      </c>
      <c t="s">
        <v>1859</v>
      </c>
      <c t="s">
        <v>49784</v>
      </c>
      <c t="s">
        <v>2006</v>
      </c>
      <c t="s">
        <v>49784</v>
      </c>
      <c t="s">
        <v>16060</v>
      </c>
      <c t="s">
        <v>43388</v>
      </c>
      <c t="s">
        <v>65059</v>
      </c>
      <c t="s">
        <v>39289</v>
      </c>
      <c>
        <v>33905</v>
      </c>
      <c>
        <v>33905</v>
      </c>
      <c t="s">
        <v>48794</v>
      </c>
      <c t="s">
        <v>45582</v>
      </c>
      <c>
        <v>109</v>
      </c>
      <c r="AI542" t="s">
        <v>18000</v>
      </c>
      <c t="s">
        <v>41372</v>
      </c>
      <c r="AL542" t="s">
        <v>52834</v>
      </c>
      <c t="s">
        <v>52834</v>
      </c>
      <c t="s">
        <v>3034</v>
      </c>
      <c t="s">
        <v>22783</v>
      </c>
      <c t="s">
        <v>44428</v>
      </c>
      <c t="s">
        <v>3093</v>
      </c>
      <c t="s">
        <v>15058</v>
      </c>
      <c>
        <v>2005</v>
      </c>
    </row>
    <row>
      <c t="s">
        <v>17594</v>
      </c>
      <c t="s">
        <v>60129</v>
      </c>
      <c t="s">
        <v>32818</v>
      </c>
      <c t="s">
        <v>65839</v>
      </c>
      <c t="s">
        <v>8510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 r="O543" s="1" t="str">
        <f ca="1">HYPERLINK("https://web.datatree.com/?/property?propertyId=32139258", "https://web.datatree.com/?/property?propertyId=32139258")</f>
        <v>https://web.datatree.com/?/property?propertyId=32139258</v>
      </c>
      <c r="Q543" t="s">
        <v>316</v>
      </c>
      <c>
        <v>0.23</v>
      </c>
      <c t="s">
        <v>22490</v>
      </c>
      <c t="s">
        <v>52701</v>
      </c>
      <c t="s">
        <v>18414</v>
      </c>
      <c r="X543" t="s">
        <v>30899</v>
      </c>
      <c t="s">
        <v>47150</v>
      </c>
      <c t="s">
        <v>2517</v>
      </c>
      <c t="s">
        <v>39289</v>
      </c>
      <c>
        <v>33909</v>
      </c>
      <c t="s">
        <v>10082</v>
      </c>
      <c t="s">
        <v>48794</v>
      </c>
      <c t="s">
        <v>5294</v>
      </c>
      <c>
        <v>710</v>
      </c>
      <c r="AI543" t="s">
        <v>57085</v>
      </c>
      <c t="s">
        <v>1671</v>
      </c>
      <c r="AL543" t="s">
        <v>27398</v>
      </c>
      <c t="s">
        <v>45881</v>
      </c>
      <c t="s">
        <v>39289</v>
      </c>
      <c t="s">
        <v>65776</v>
      </c>
      <c t="s">
        <v>33275</v>
      </c>
      <c t="s">
        <v>3093</v>
      </c>
      <c t="s">
        <v>34219</v>
      </c>
    </row>
    <row>
      <c t="s">
        <v>17594</v>
      </c>
      <c t="s">
        <v>61975</v>
      </c>
      <c t="s">
        <v>24299</v>
      </c>
      <c t="s">
        <v>19554</v>
      </c>
      <c t="s">
        <v>50100</v>
      </c>
      <c s="3">
        <v>20580</v>
      </c>
      <c s="3">
        <v>20580</v>
      </c>
      <c s="3">
        <v>12317</v>
      </c>
      <c>
        <v>0</v>
      </c>
      <c s="3">
        <v>0</v>
      </c>
      <c s="3">
        <v>252.86</v>
      </c>
      <c s="3">
        <v>20580</v>
      </c>
      <c r="O544" s="1" t="str">
        <f ca="1">HYPERLINK("https://web.datatree.com/?/property?propertyId=32139459", "https://web.datatree.com/?/property?propertyId=32139459")</f>
        <v>https://web.datatree.com/?/property?propertyId=32139459</v>
      </c>
      <c r="Q544" t="s">
        <v>316</v>
      </c>
      <c>
        <v>0.454</v>
      </c>
      <c t="s">
        <v>36917</v>
      </c>
      <c t="s">
        <v>18503</v>
      </c>
      <c t="s">
        <v>20391</v>
      </c>
      <c r="X544" t="s">
        <v>52056</v>
      </c>
      <c t="s">
        <v>12196</v>
      </c>
      <c t="s">
        <v>54524</v>
      </c>
      <c t="s">
        <v>39289</v>
      </c>
      <c>
        <v>33903</v>
      </c>
      <c t="s">
        <v>42734</v>
      </c>
      <c t="s">
        <v>48794</v>
      </c>
      <c t="s">
        <v>66522</v>
      </c>
      <c>
        <v>360</v>
      </c>
      <c r="AI544" t="s">
        <v>40191</v>
      </c>
      <c t="s">
        <v>24900</v>
      </c>
      <c r="AL544" t="s">
        <v>14121</v>
      </c>
      <c r="AN544" t="s">
        <v>39289</v>
      </c>
      <c t="s">
        <v>54507</v>
      </c>
      <c t="s">
        <v>23744</v>
      </c>
      <c t="s">
        <v>3093</v>
      </c>
      <c t="s">
        <v>10554</v>
      </c>
    </row>
    <row>
      <c t="s">
        <v>17594</v>
      </c>
      <c t="s">
        <v>14879</v>
      </c>
      <c t="s">
        <v>49115</v>
      </c>
      <c t="s">
        <v>11548</v>
      </c>
      <c t="s">
        <v>30017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45" s="1" t="str">
        <f ca="1">HYPERLINK("https://web.datatree.com/?/property?propertyId=32139588", "https://web.datatree.com/?/property?propertyId=32139588")</f>
        <v>https://web.datatree.com/?/property?propertyId=32139588</v>
      </c>
      <c r="Q545" t="s">
        <v>316</v>
      </c>
      <c>
        <v>0.23</v>
      </c>
      <c t="s">
        <v>6175</v>
      </c>
      <c t="s">
        <v>26502</v>
      </c>
      <c t="s">
        <v>11053</v>
      </c>
      <c t="s">
        <v>60671</v>
      </c>
      <c t="s">
        <v>11053</v>
      </c>
      <c t="s">
        <v>10620</v>
      </c>
      <c t="s">
        <v>14534</v>
      </c>
      <c t="s">
        <v>2517</v>
      </c>
      <c t="s">
        <v>39289</v>
      </c>
      <c>
        <v>33909</v>
      </c>
      <c t="s">
        <v>59709</v>
      </c>
      <c t="s">
        <v>48794</v>
      </c>
      <c t="s">
        <v>14511</v>
      </c>
      <c>
        <v>224</v>
      </c>
      <c r="AI545" t="s">
        <v>20676</v>
      </c>
      <c t="s">
        <v>24900</v>
      </c>
      <c r="AL545" t="s">
        <v>3392</v>
      </c>
      <c r="AN545" t="s">
        <v>27747</v>
      </c>
      <c t="s">
        <v>13100</v>
      </c>
      <c t="s">
        <v>34342</v>
      </c>
      <c t="s">
        <v>3093</v>
      </c>
      <c t="s">
        <v>3411</v>
      </c>
    </row>
    <row>
      <c t="s">
        <v>17594</v>
      </c>
      <c t="s">
        <v>37245</v>
      </c>
      <c t="s">
        <v>37945</v>
      </c>
      <c t="s">
        <v>35387</v>
      </c>
      <c t="s">
        <v>56800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>
        <v>2021</v>
      </c>
      <c>
        <v>534.29</v>
      </c>
      <c s="1" t="str">
        <f ca="1">HYPERLINK("https://web.datatree.com/?/property?propertyId=32139830", "https://web.datatree.com/?/property?propertyId=32139830")</f>
        <v>https://web.datatree.com/?/property?propertyId=32139830</v>
      </c>
      <c r="Q546" t="s">
        <v>316</v>
      </c>
      <c>
        <v>0.23</v>
      </c>
      <c t="s">
        <v>6175</v>
      </c>
      <c t="s">
        <v>24611</v>
      </c>
      <c t="s">
        <v>33137</v>
      </c>
      <c t="s">
        <v>33366</v>
      </c>
      <c t="s">
        <v>33137</v>
      </c>
      <c t="s">
        <v>56836</v>
      </c>
      <c t="s">
        <v>10653</v>
      </c>
      <c t="s">
        <v>2517</v>
      </c>
      <c t="s">
        <v>39289</v>
      </c>
      <c>
        <v>33909</v>
      </c>
      <c t="s">
        <v>51988</v>
      </c>
      <c t="s">
        <v>48794</v>
      </c>
      <c t="s">
        <v>24090</v>
      </c>
      <c>
        <v>3590</v>
      </c>
      <c r="AI546" t="s">
        <v>52241</v>
      </c>
      <c t="s">
        <v>41372</v>
      </c>
      <c r="AL546" t="s">
        <v>6966</v>
      </c>
      <c r="AN546" t="s">
        <v>66651</v>
      </c>
      <c t="s">
        <v>26981</v>
      </c>
      <c t="s">
        <v>22455</v>
      </c>
      <c t="s">
        <v>3093</v>
      </c>
      <c t="s">
        <v>4035</v>
      </c>
    </row>
    <row>
      <c t="s">
        <v>17594</v>
      </c>
      <c t="s">
        <v>10753</v>
      </c>
      <c t="s">
        <v>27864</v>
      </c>
      <c t="s">
        <v>65934</v>
      </c>
      <c t="s">
        <v>65601</v>
      </c>
      <c s="3">
        <v>9947</v>
      </c>
      <c s="3">
        <v>9947</v>
      </c>
      <c s="3">
        <v>4126</v>
      </c>
      <c>
        <v>0</v>
      </c>
      <c s="3">
        <v>0</v>
      </c>
      <c s="3">
        <v>103.75</v>
      </c>
      <c s="3">
        <v>9947</v>
      </c>
      <c r="O547" s="1" t="str">
        <f ca="1">HYPERLINK("https://web.datatree.com/?/property?propertyId=32140022", "https://web.datatree.com/?/property?propertyId=32140022")</f>
        <v>https://web.datatree.com/?/property?propertyId=32140022</v>
      </c>
      <c r="Q547" t="s">
        <v>316</v>
      </c>
      <c>
        <v>0.161</v>
      </c>
      <c t="s">
        <v>8155</v>
      </c>
      <c t="s">
        <v>14827</v>
      </c>
      <c t="s">
        <v>43553</v>
      </c>
      <c t="s">
        <v>17813</v>
      </c>
      <c t="s">
        <v>43553</v>
      </c>
      <c t="s">
        <v>66727</v>
      </c>
      <c t="s">
        <v>43387</v>
      </c>
      <c t="s">
        <v>65059</v>
      </c>
      <c t="s">
        <v>39289</v>
      </c>
      <c>
        <v>33901</v>
      </c>
      <c t="s">
        <v>2560</v>
      </c>
      <c t="s">
        <v>48794</v>
      </c>
      <c t="s">
        <v>39525</v>
      </c>
      <c>
        <v>78</v>
      </c>
      <c r="AI547" t="s">
        <v>10524</v>
      </c>
      <c t="s">
        <v>24900</v>
      </c>
      <c r="AL547" t="s">
        <v>15811</v>
      </c>
      <c r="AN547" t="s">
        <v>27747</v>
      </c>
      <c t="s">
        <v>29609</v>
      </c>
      <c t="s">
        <v>62701</v>
      </c>
      <c t="s">
        <v>3093</v>
      </c>
      <c t="s">
        <v>37547</v>
      </c>
    </row>
    <row>
      <c t="s">
        <v>17594</v>
      </c>
      <c t="s">
        <v>1053</v>
      </c>
      <c t="s">
        <v>20722</v>
      </c>
      <c t="s">
        <v>38136</v>
      </c>
      <c t="s">
        <v>12965</v>
      </c>
      <c s="3">
        <v>7600</v>
      </c>
      <c s="3">
        <v>7600</v>
      </c>
      <c s="3">
        <v>7600</v>
      </c>
      <c>
        <v>0</v>
      </c>
      <c s="3">
        <v>0</v>
      </c>
      <c s="3">
        <v>636.05</v>
      </c>
      <c s="3">
        <v>7600</v>
      </c>
      <c>
        <v>2021</v>
      </c>
      <c>
        <v>525.35</v>
      </c>
      <c s="1" t="str">
        <f ca="1">HYPERLINK("https://web.datatree.com/?/property?propertyId=32140210", "https://web.datatree.com/?/property?propertyId=32140210")</f>
        <v>https://web.datatree.com/?/property?propertyId=32140210</v>
      </c>
      <c r="Q548" t="s">
        <v>316</v>
      </c>
      <c>
        <v>0.23</v>
      </c>
      <c t="s">
        <v>6175</v>
      </c>
      <c t="s">
        <v>10361</v>
      </c>
      <c t="s">
        <v>45222</v>
      </c>
      <c t="s">
        <v>58703</v>
      </c>
      <c t="s">
        <v>45222</v>
      </c>
      <c t="s">
        <v>7589</v>
      </c>
      <c t="s">
        <v>60363</v>
      </c>
      <c t="s">
        <v>2517</v>
      </c>
      <c t="s">
        <v>39289</v>
      </c>
      <c>
        <v>33909</v>
      </c>
      <c t="s">
        <v>58287</v>
      </c>
      <c t="s">
        <v>48794</v>
      </c>
      <c t="s">
        <v>37907</v>
      </c>
      <c>
        <v>1637</v>
      </c>
      <c r="AI548" t="s">
        <v>29086</v>
      </c>
      <c t="s">
        <v>24900</v>
      </c>
      <c r="AL548" t="s">
        <v>55138</v>
      </c>
      <c t="s">
        <v>55138</v>
      </c>
      <c t="s">
        <v>49572</v>
      </c>
      <c t="s">
        <v>23865</v>
      </c>
      <c t="s">
        <v>34162</v>
      </c>
      <c t="s">
        <v>3093</v>
      </c>
      <c t="s">
        <v>14893</v>
      </c>
    </row>
    <row>
      <c t="s">
        <v>17594</v>
      </c>
      <c t="s">
        <v>758</v>
      </c>
      <c t="s">
        <v>12805</v>
      </c>
      <c t="s">
        <v>66456</v>
      </c>
      <c t="s">
        <v>3479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549" s="1" t="str">
        <f ca="1">HYPERLINK("https://web.datatree.com/?/property?propertyId=32140812", "https://web.datatree.com/?/property?propertyId=32140812")</f>
        <v>https://web.datatree.com/?/property?propertyId=32140812</v>
      </c>
      <c r="Q549" t="s">
        <v>316</v>
      </c>
      <c>
        <v>0.23</v>
      </c>
      <c t="s">
        <v>6175</v>
      </c>
      <c t="s">
        <v>26349</v>
      </c>
      <c t="s">
        <v>31808</v>
      </c>
      <c r="X549" t="s">
        <v>62506</v>
      </c>
      <c t="s">
        <v>2619</v>
      </c>
      <c t="s">
        <v>2517</v>
      </c>
      <c t="s">
        <v>39289</v>
      </c>
      <c>
        <v>33909</v>
      </c>
      <c t="s">
        <v>52846</v>
      </c>
      <c t="s">
        <v>48794</v>
      </c>
      <c t="s">
        <v>13795</v>
      </c>
      <c>
        <v>9799</v>
      </c>
      <c r="AI549" t="s">
        <v>6328</v>
      </c>
      <c t="s">
        <v>45393</v>
      </c>
      <c r="AL549" t="s">
        <v>29515</v>
      </c>
      <c t="s">
        <v>47157</v>
      </c>
      <c t="s">
        <v>39289</v>
      </c>
      <c t="s">
        <v>7607</v>
      </c>
      <c t="s">
        <v>60160</v>
      </c>
      <c t="s">
        <v>3093</v>
      </c>
      <c t="s">
        <v>59275</v>
      </c>
    </row>
    <row>
      <c t="s">
        <v>17594</v>
      </c>
      <c t="s">
        <v>26671</v>
      </c>
      <c t="s">
        <v>23567</v>
      </c>
      <c t="s">
        <v>29476</v>
      </c>
      <c t="s">
        <v>23505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50" s="1" t="str">
        <f ca="1">HYPERLINK("https://web.datatree.com/?/property?propertyId=32141067", "https://web.datatree.com/?/property?propertyId=32141067")</f>
        <v>https://web.datatree.com/?/property?propertyId=32141067</v>
      </c>
      <c r="Q550" t="s">
        <v>316</v>
      </c>
      <c>
        <v>0.23</v>
      </c>
      <c t="s">
        <v>22490</v>
      </c>
      <c t="s">
        <v>15209</v>
      </c>
      <c t="s">
        <v>1087</v>
      </c>
      <c t="s">
        <v>17315</v>
      </c>
      <c t="s">
        <v>38644</v>
      </c>
      <c t="s">
        <v>30235</v>
      </c>
      <c t="s">
        <v>47150</v>
      </c>
      <c t="s">
        <v>2517</v>
      </c>
      <c t="s">
        <v>39289</v>
      </c>
      <c>
        <v>33909</v>
      </c>
      <c t="s">
        <v>46758</v>
      </c>
      <c t="s">
        <v>48794</v>
      </c>
      <c t="s">
        <v>28250</v>
      </c>
      <c>
        <v>52</v>
      </c>
      <c r="AI550" t="s">
        <v>42156</v>
      </c>
      <c t="s">
        <v>4151</v>
      </c>
      <c r="AL550" t="s">
        <v>51134</v>
      </c>
      <c r="AN550" t="s">
        <v>10909</v>
      </c>
      <c t="s">
        <v>2521</v>
      </c>
      <c r="AQ550" t="s">
        <v>27814</v>
      </c>
      <c t="s">
        <v>43412</v>
      </c>
    </row>
    <row>
      <c t="s">
        <v>17594</v>
      </c>
      <c t="s">
        <v>62984</v>
      </c>
      <c t="s">
        <v>27003</v>
      </c>
      <c t="s">
        <v>7599</v>
      </c>
      <c t="s">
        <v>41332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551" s="1" t="str">
        <f ca="1">HYPERLINK("https://web.datatree.com/?/property?propertyId=32141831", "https://web.datatree.com/?/property?propertyId=32141831")</f>
        <v>https://web.datatree.com/?/property?propertyId=32141831</v>
      </c>
      <c r="Q551" t="s">
        <v>316</v>
      </c>
      <c>
        <v>0.23</v>
      </c>
      <c t="s">
        <v>22490</v>
      </c>
      <c t="s">
        <v>59627</v>
      </c>
      <c t="s">
        <v>45587</v>
      </c>
      <c t="s">
        <v>67144</v>
      </c>
      <c t="s">
        <v>45587</v>
      </c>
      <c t="s">
        <v>41936</v>
      </c>
      <c t="s">
        <v>66701</v>
      </c>
      <c t="s">
        <v>2517</v>
      </c>
      <c t="s">
        <v>39289</v>
      </c>
      <c>
        <v>33909</v>
      </c>
      <c t="s">
        <v>32727</v>
      </c>
      <c t="s">
        <v>48794</v>
      </c>
      <c t="s">
        <v>42075</v>
      </c>
      <c>
        <v>8351</v>
      </c>
      <c r="AI551" t="s">
        <v>36493</v>
      </c>
      <c t="s">
        <v>31192</v>
      </c>
      <c r="AL551" t="s">
        <v>63523</v>
      </c>
      <c t="s">
        <v>63523</v>
      </c>
      <c t="s">
        <v>65451</v>
      </c>
      <c t="s">
        <v>55001</v>
      </c>
      <c t="s">
        <v>23888</v>
      </c>
      <c t="s">
        <v>3093</v>
      </c>
      <c t="s">
        <v>25148</v>
      </c>
    </row>
    <row>
      <c t="s">
        <v>17594</v>
      </c>
      <c t="s">
        <v>1183</v>
      </c>
      <c t="s">
        <v>52637</v>
      </c>
      <c t="s">
        <v>26338</v>
      </c>
      <c t="s">
        <v>3056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52" s="1" t="str">
        <f ca="1">HYPERLINK("https://web.datatree.com/?/property?propertyId=32141849", "https://web.datatree.com/?/property?propertyId=32141849")</f>
        <v>https://web.datatree.com/?/property?propertyId=32141849</v>
      </c>
      <c r="Q552" t="s">
        <v>316</v>
      </c>
      <c>
        <v>0.234</v>
      </c>
      <c t="s">
        <v>42044</v>
      </c>
      <c t="s">
        <v>15280</v>
      </c>
      <c t="s">
        <v>16871</v>
      </c>
      <c t="s">
        <v>35664</v>
      </c>
      <c t="s">
        <v>56439</v>
      </c>
      <c t="s">
        <v>59445</v>
      </c>
      <c t="s">
        <v>7113</v>
      </c>
      <c t="s">
        <v>2517</v>
      </c>
      <c t="s">
        <v>39289</v>
      </c>
      <c>
        <v>33909</v>
      </c>
      <c t="s">
        <v>50897</v>
      </c>
      <c t="s">
        <v>48794</v>
      </c>
      <c t="s">
        <v>38982</v>
      </c>
      <c>
        <v>8957</v>
      </c>
      <c r="AI552" t="s">
        <v>46469</v>
      </c>
      <c t="s">
        <v>40123</v>
      </c>
      <c t="s">
        <v>17594</v>
      </c>
      <c t="s">
        <v>52434</v>
      </c>
      <c r="AN552" t="s">
        <v>39289</v>
      </c>
      <c t="s">
        <v>34560</v>
      </c>
      <c t="s">
        <v>48506</v>
      </c>
      <c t="s">
        <v>3093</v>
      </c>
      <c t="s">
        <v>41945</v>
      </c>
    </row>
    <row>
      <c t="s">
        <v>17594</v>
      </c>
      <c t="s">
        <v>1481</v>
      </c>
      <c t="s">
        <v>42280</v>
      </c>
      <c t="s">
        <v>21321</v>
      </c>
      <c t="s">
        <v>21144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553" s="1" t="str">
        <f ca="1">HYPERLINK("https://web.datatree.com/?/property?propertyId=32141868", "https://web.datatree.com/?/property?propertyId=32141868")</f>
        <v>https://web.datatree.com/?/property?propertyId=32141868</v>
      </c>
      <c r="Q553" t="s">
        <v>316</v>
      </c>
      <c>
        <v>0.23</v>
      </c>
      <c t="s">
        <v>22490</v>
      </c>
      <c t="s">
        <v>57425</v>
      </c>
      <c t="s">
        <v>44345</v>
      </c>
      <c r="X553" t="s">
        <v>19568</v>
      </c>
      <c t="s">
        <v>2626</v>
      </c>
      <c t="s">
        <v>2517</v>
      </c>
      <c t="s">
        <v>39289</v>
      </c>
      <c>
        <v>33909</v>
      </c>
      <c t="s">
        <v>22952</v>
      </c>
      <c t="s">
        <v>48794</v>
      </c>
      <c t="s">
        <v>42691</v>
      </c>
      <c r="AI553" t="s">
        <v>27469</v>
      </c>
      <c r="AL553" t="s">
        <v>43665</v>
      </c>
      <c t="s">
        <v>14316</v>
      </c>
      <c t="s">
        <v>48347</v>
      </c>
      <c>
        <v>310</v>
      </c>
      <c r="AR553" t="s">
        <v>24484</v>
      </c>
    </row>
    <row>
      <c t="s">
        <v>17594</v>
      </c>
      <c t="s">
        <v>18055</v>
      </c>
      <c t="s">
        <v>39433</v>
      </c>
      <c t="s">
        <v>57235</v>
      </c>
      <c t="s">
        <v>29666</v>
      </c>
      <c s="3">
        <v>20986</v>
      </c>
      <c s="3">
        <v>20986</v>
      </c>
      <c s="3">
        <v>9599</v>
      </c>
      <c>
        <v>0</v>
      </c>
      <c s="3">
        <v>0</v>
      </c>
      <c s="3">
        <v>681.46</v>
      </c>
      <c s="3">
        <v>20986</v>
      </c>
      <c r="O554" s="1" t="str">
        <f ca="1">HYPERLINK("https://web.datatree.com/?/property?propertyId=32142430", "https://web.datatree.com/?/property?propertyId=32142430")</f>
        <v>https://web.datatree.com/?/property?propertyId=32142430</v>
      </c>
      <c r="Q554" t="s">
        <v>316</v>
      </c>
      <c>
        <v>0.344</v>
      </c>
      <c t="s">
        <v>6175</v>
      </c>
      <c t="s">
        <v>47977</v>
      </c>
      <c t="s">
        <v>111</v>
      </c>
      <c r="X554" t="s">
        <v>4697</v>
      </c>
      <c t="s">
        <v>10653</v>
      </c>
      <c t="s">
        <v>2517</v>
      </c>
      <c t="s">
        <v>39289</v>
      </c>
      <c>
        <v>33909</v>
      </c>
      <c t="s">
        <v>36705</v>
      </c>
      <c t="s">
        <v>48794</v>
      </c>
      <c t="s">
        <v>64758</v>
      </c>
      <c>
        <v>5501</v>
      </c>
      <c r="AI554" t="s">
        <v>14254</v>
      </c>
      <c t="s">
        <v>31192</v>
      </c>
      <c r="AL554" t="s">
        <v>46989</v>
      </c>
      <c r="AN554" t="s">
        <v>39289</v>
      </c>
      <c t="s">
        <v>48236</v>
      </c>
      <c t="s">
        <v>15968</v>
      </c>
      <c t="s">
        <v>3093</v>
      </c>
      <c t="s">
        <v>45238</v>
      </c>
    </row>
    <row>
      <c t="s">
        <v>17594</v>
      </c>
      <c t="s">
        <v>40293</v>
      </c>
      <c t="s">
        <v>27703</v>
      </c>
      <c t="s">
        <v>53319</v>
      </c>
      <c t="s">
        <v>38902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55" s="1" t="str">
        <f ca="1">HYPERLINK("https://web.datatree.com/?/property?propertyId=32142650", "https://web.datatree.com/?/property?propertyId=32142650")</f>
        <v>https://web.datatree.com/?/property?propertyId=32142650</v>
      </c>
      <c r="Q555" t="s">
        <v>316</v>
      </c>
      <c>
        <v>0.23</v>
      </c>
      <c t="s">
        <v>48908</v>
      </c>
      <c t="s">
        <v>25805</v>
      </c>
      <c t="s">
        <v>18153</v>
      </c>
      <c r="X555" t="s">
        <v>22068</v>
      </c>
      <c t="s">
        <v>15510</v>
      </c>
      <c t="s">
        <v>2517</v>
      </c>
      <c t="s">
        <v>39289</v>
      </c>
      <c>
        <v>33909</v>
      </c>
      <c t="s">
        <v>23856</v>
      </c>
      <c t="s">
        <v>48794</v>
      </c>
      <c t="s">
        <v>37897</v>
      </c>
      <c>
        <v>106</v>
      </c>
      <c r="AI555" t="s">
        <v>12112</v>
      </c>
      <c t="s">
        <v>24900</v>
      </c>
      <c r="AL555" t="s">
        <v>28469</v>
      </c>
      <c r="AN555" t="s">
        <v>50917</v>
      </c>
      <c t="s">
        <v>16207</v>
      </c>
      <c t="s">
        <v>26242</v>
      </c>
      <c t="s">
        <v>3093</v>
      </c>
      <c t="s">
        <v>40370</v>
      </c>
    </row>
    <row>
      <c t="s">
        <v>42103</v>
      </c>
      <c t="s">
        <v>59526</v>
      </c>
      <c t="s">
        <v>26411</v>
      </c>
      <c t="s">
        <v>29088</v>
      </c>
      <c t="s">
        <v>7213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556" s="1" t="str">
        <f ca="1">HYPERLINK("https://web.datatree.com/?/property?propertyId=32142681", "https://web.datatree.com/?/property?propertyId=32142681")</f>
        <v>https://web.datatree.com/?/property?propertyId=32142681</v>
      </c>
      <c r="Q556" t="s">
        <v>316</v>
      </c>
      <c>
        <v>0.23</v>
      </c>
      <c t="s">
        <v>22490</v>
      </c>
      <c t="s">
        <v>33213</v>
      </c>
      <c t="s">
        <v>24432</v>
      </c>
      <c t="s">
        <v>52506</v>
      </c>
      <c t="s">
        <v>65015</v>
      </c>
      <c t="s">
        <v>11056</v>
      </c>
      <c t="s">
        <v>66701</v>
      </c>
      <c t="s">
        <v>2517</v>
      </c>
      <c t="s">
        <v>39289</v>
      </c>
      <c>
        <v>33909</v>
      </c>
      <c t="s">
        <v>33143</v>
      </c>
      <c t="s">
        <v>48794</v>
      </c>
      <c t="s">
        <v>40670</v>
      </c>
      <c r="AI556" t="s">
        <v>54897</v>
      </c>
      <c r="AL556" t="s">
        <v>55393</v>
      </c>
      <c r="AN556" t="s">
        <v>39289</v>
      </c>
      <c t="s">
        <v>42500</v>
      </c>
      <c t="s">
        <v>15796</v>
      </c>
      <c t="s">
        <v>3093</v>
      </c>
      <c t="s">
        <v>65703</v>
      </c>
    </row>
    <row>
      <c t="s">
        <v>17594</v>
      </c>
      <c t="s">
        <v>12186</v>
      </c>
      <c t="s">
        <v>63076</v>
      </c>
      <c t="s">
        <v>6876</v>
      </c>
      <c t="s">
        <v>52867</v>
      </c>
      <c s="3">
        <v>9445</v>
      </c>
      <c s="3">
        <v>9445</v>
      </c>
      <c s="3">
        <v>4972</v>
      </c>
      <c>
        <v>0</v>
      </c>
      <c s="3">
        <v>0</v>
      </c>
      <c s="3">
        <v>324.47</v>
      </c>
      <c s="3">
        <v>9445</v>
      </c>
      <c r="O557" s="1" t="str">
        <f ca="1">HYPERLINK("https://web.datatree.com/?/property?propertyId=32142800", "https://web.datatree.com/?/property?propertyId=32142800")</f>
        <v>https://web.datatree.com/?/property?propertyId=32142800</v>
      </c>
      <c r="Q557" t="s">
        <v>316</v>
      </c>
      <c>
        <v>0.297</v>
      </c>
      <c t="s">
        <v>5471</v>
      </c>
      <c r="U557" t="s">
        <v>10820</v>
      </c>
      <c r="W557" t="s">
        <v>38181</v>
      </c>
      <c t="s">
        <v>8242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65906</v>
      </c>
      <c>
        <v>3</v>
      </c>
      <c r="AI557" t="s">
        <v>58880</v>
      </c>
      <c t="s">
        <v>40123</v>
      </c>
      <c r="AL557" t="s">
        <v>35238</v>
      </c>
      <c r="AN557" t="s">
        <v>27747</v>
      </c>
      <c t="s">
        <v>44017</v>
      </c>
      <c t="s">
        <v>14695</v>
      </c>
      <c t="s">
        <v>3093</v>
      </c>
      <c t="s">
        <v>41305</v>
      </c>
    </row>
    <row>
      <c t="s">
        <v>17594</v>
      </c>
      <c t="s">
        <v>28011</v>
      </c>
      <c t="s">
        <v>51608</v>
      </c>
      <c t="s">
        <v>27776</v>
      </c>
      <c t="s">
        <v>36324</v>
      </c>
      <c s="3">
        <v>18962</v>
      </c>
      <c s="3">
        <v>18962</v>
      </c>
      <c s="3">
        <v>7427</v>
      </c>
      <c>
        <v>0</v>
      </c>
      <c s="3">
        <v>0</v>
      </c>
      <c s="3">
        <v>182.69</v>
      </c>
      <c s="3">
        <v>18962</v>
      </c>
      <c r="O558" s="1" t="str">
        <f ca="1">HYPERLINK("https://web.datatree.com/?/property?propertyId=32143163", "https://web.datatree.com/?/property?propertyId=32143163")</f>
        <v>https://web.datatree.com/?/property?propertyId=32143163</v>
      </c>
      <c r="Q558" t="s">
        <v>316</v>
      </c>
      <c>
        <v>0.351</v>
      </c>
      <c t="s">
        <v>5471</v>
      </c>
      <c t="s">
        <v>34511</v>
      </c>
      <c t="s">
        <v>61478</v>
      </c>
      <c r="X558" t="s">
        <v>63568</v>
      </c>
      <c t="s">
        <v>60074</v>
      </c>
      <c t="s">
        <v>54524</v>
      </c>
      <c t="s">
        <v>39289</v>
      </c>
      <c>
        <v>33903</v>
      </c>
      <c t="s">
        <v>3175</v>
      </c>
      <c t="s">
        <v>48794</v>
      </c>
      <c t="s">
        <v>17826</v>
      </c>
      <c>
        <v>4838</v>
      </c>
      <c r="AH558" t="s">
        <v>12549</v>
      </c>
      <c t="s">
        <v>29016</v>
      </c>
      <c t="s">
        <v>24900</v>
      </c>
      <c r="AL558" t="s">
        <v>21604</v>
      </c>
      <c r="AN558" t="s">
        <v>50829</v>
      </c>
      <c t="s">
        <v>6576</v>
      </c>
      <c t="s">
        <v>61719</v>
      </c>
      <c t="s">
        <v>3093</v>
      </c>
      <c t="s">
        <v>58391</v>
      </c>
    </row>
    <row>
      <c t="s">
        <v>17594</v>
      </c>
      <c t="s">
        <v>58554</v>
      </c>
      <c t="s">
        <v>1321</v>
      </c>
      <c t="s">
        <v>5286</v>
      </c>
      <c t="s">
        <v>46052</v>
      </c>
      <c s="3">
        <v>18082</v>
      </c>
      <c s="3">
        <v>18082</v>
      </c>
      <c s="3">
        <v>7865</v>
      </c>
      <c>
        <v>0</v>
      </c>
      <c s="3">
        <v>0</v>
      </c>
      <c s="3">
        <v>492.2</v>
      </c>
      <c s="3">
        <v>18082</v>
      </c>
      <c>
        <v>2020</v>
      </c>
      <c>
        <v>1664.84</v>
      </c>
      <c s="1" t="str">
        <f ca="1">HYPERLINK("https://web.datatree.com/?/property?propertyId=32143613", "https://web.datatree.com/?/property?propertyId=32143613")</f>
        <v>https://web.datatree.com/?/property?propertyId=32143613</v>
      </c>
      <c r="Q559" t="s">
        <v>316</v>
      </c>
      <c>
        <v>0.244</v>
      </c>
      <c t="s">
        <v>6175</v>
      </c>
      <c r="U559" t="s">
        <v>855</v>
      </c>
      <c t="s">
        <v>58892</v>
      </c>
      <c t="s">
        <v>19333</v>
      </c>
      <c t="s">
        <v>11479</v>
      </c>
      <c t="s">
        <v>18679</v>
      </c>
      <c t="s">
        <v>2517</v>
      </c>
      <c t="s">
        <v>39289</v>
      </c>
      <c>
        <v>33909</v>
      </c>
      <c t="s">
        <v>38100</v>
      </c>
      <c t="s">
        <v>48794</v>
      </c>
      <c t="s">
        <v>54068</v>
      </c>
      <c>
        <v>6900</v>
      </c>
      <c r="AI559" t="s">
        <v>42233</v>
      </c>
      <c t="s">
        <v>31192</v>
      </c>
      <c>
        <v>603</v>
      </c>
      <c t="s">
        <v>38297</v>
      </c>
      <c r="AN559" t="s">
        <v>27222</v>
      </c>
      <c>
        <v>89145</v>
      </c>
      <c t="s">
        <v>12399</v>
      </c>
      <c t="s">
        <v>3093</v>
      </c>
      <c t="s">
        <v>42848</v>
      </c>
    </row>
    <row>
      <c t="s">
        <v>42103</v>
      </c>
      <c t="s">
        <v>19750</v>
      </c>
      <c t="s">
        <v>61459</v>
      </c>
      <c t="s">
        <v>63117</v>
      </c>
      <c t="s">
        <v>45075</v>
      </c>
      <c s="3">
        <v>7500</v>
      </c>
      <c s="3">
        <v>7500</v>
      </c>
      <c s="3">
        <v>7500</v>
      </c>
      <c>
        <v>0</v>
      </c>
      <c s="3">
        <v>0</v>
      </c>
      <c s="3">
        <v>554.73</v>
      </c>
      <c s="3">
        <v>7500</v>
      </c>
      <c r="O560" s="1" t="str">
        <f ca="1">HYPERLINK("https://web.datatree.com/?/property?propertyId=32144259", "https://web.datatree.com/?/property?propertyId=32144259")</f>
        <v>https://web.datatree.com/?/property?propertyId=32144259</v>
      </c>
      <c r="Q560" t="s">
        <v>316</v>
      </c>
      <c>
        <v>0.248</v>
      </c>
      <c t="s">
        <v>6175</v>
      </c>
      <c t="s">
        <v>54692</v>
      </c>
      <c t="s">
        <v>34461</v>
      </c>
      <c t="s">
        <v>29382</v>
      </c>
      <c t="s">
        <v>34461</v>
      </c>
      <c t="s">
        <v>67250</v>
      </c>
      <c t="s">
        <v>39832</v>
      </c>
      <c t="s">
        <v>2517</v>
      </c>
      <c t="s">
        <v>39289</v>
      </c>
      <c>
        <v>33909</v>
      </c>
      <c t="s">
        <v>8651</v>
      </c>
      <c t="s">
        <v>48794</v>
      </c>
      <c t="s">
        <v>18634</v>
      </c>
      <c r="AI560" t="s">
        <v>56310</v>
      </c>
      <c r="AL560" t="s">
        <v>58576</v>
      </c>
      <c t="s">
        <v>58576</v>
      </c>
      <c t="s">
        <v>32657</v>
      </c>
      <c t="s">
        <v>12558</v>
      </c>
      <c t="s">
        <v>39363</v>
      </c>
      <c t="s">
        <v>3093</v>
      </c>
      <c t="s">
        <v>56271</v>
      </c>
    </row>
    <row>
      <c t="s">
        <v>17594</v>
      </c>
      <c t="s">
        <v>53954</v>
      </c>
      <c t="s">
        <v>49544</v>
      </c>
      <c t="s">
        <v>57605</v>
      </c>
      <c t="s">
        <v>62906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561" s="1" t="str">
        <f ca="1">HYPERLINK("https://web.datatree.com/?/property?propertyId=32144440", "https://web.datatree.com/?/property?propertyId=32144440")</f>
        <v>https://web.datatree.com/?/property?propertyId=32144440</v>
      </c>
      <c r="Q561" t="s">
        <v>316</v>
      </c>
      <c>
        <v>0.244</v>
      </c>
      <c t="s">
        <v>6175</v>
      </c>
      <c r="U561" t="s">
        <v>11616</v>
      </c>
      <c r="W561" t="s">
        <v>63049</v>
      </c>
      <c t="s">
        <v>3303</v>
      </c>
      <c t="s">
        <v>33179</v>
      </c>
      <c t="s">
        <v>2517</v>
      </c>
      <c t="s">
        <v>39289</v>
      </c>
      <c>
        <v>33909</v>
      </c>
      <c t="s">
        <v>21870</v>
      </c>
      <c t="s">
        <v>48794</v>
      </c>
      <c t="s">
        <v>28364</v>
      </c>
      <c>
        <v>1950</v>
      </c>
      <c r="AI561" t="s">
        <v>54921</v>
      </c>
      <c t="s">
        <v>55842</v>
      </c>
      <c r="AL561" t="s">
        <v>49873</v>
      </c>
      <c t="s">
        <v>49873</v>
      </c>
      <c t="s">
        <v>44551</v>
      </c>
      <c t="s">
        <v>3209</v>
      </c>
      <c t="s">
        <v>17246</v>
      </c>
      <c t="s">
        <v>3093</v>
      </c>
      <c t="s">
        <v>41504</v>
      </c>
    </row>
    <row>
      <c t="s">
        <v>17594</v>
      </c>
      <c t="s">
        <v>2585</v>
      </c>
      <c t="s">
        <v>49102</v>
      </c>
      <c t="s">
        <v>12826</v>
      </c>
      <c t="s">
        <v>9751</v>
      </c>
      <c s="3">
        <v>42625</v>
      </c>
      <c s="3">
        <v>42625</v>
      </c>
      <c s="3">
        <v>18755</v>
      </c>
      <c>
        <v>0</v>
      </c>
      <c s="3">
        <v>0</v>
      </c>
      <c s="3">
        <v>872.11</v>
      </c>
      <c s="3">
        <v>42625</v>
      </c>
      <c r="O562" s="1" t="str">
        <f ca="1">HYPERLINK("https://web.datatree.com/?/property?propertyId=32144827", "https://web.datatree.com/?/property?propertyId=32144827")</f>
        <v>https://web.datatree.com/?/property?propertyId=32144827</v>
      </c>
      <c r="Q562" t="s">
        <v>316</v>
      </c>
      <c>
        <v>0.316</v>
      </c>
      <c t="s">
        <v>22490</v>
      </c>
      <c t="s">
        <v>1859</v>
      </c>
      <c t="s">
        <v>32188</v>
      </c>
      <c t="s">
        <v>35506</v>
      </c>
      <c t="s">
        <v>32188</v>
      </c>
      <c t="s">
        <v>53862</v>
      </c>
      <c t="s">
        <v>38550</v>
      </c>
      <c t="s">
        <v>2517</v>
      </c>
      <c t="s">
        <v>39289</v>
      </c>
      <c>
        <v>33909</v>
      </c>
      <c t="s">
        <v>4887</v>
      </c>
      <c t="s">
        <v>48794</v>
      </c>
      <c t="s">
        <v>11917</v>
      </c>
      <c>
        <v>24880</v>
      </c>
      <c r="AI562" t="s">
        <v>1527</v>
      </c>
      <c t="s">
        <v>24900</v>
      </c>
      <c r="AL562" t="s">
        <v>30396</v>
      </c>
      <c t="s">
        <v>66470</v>
      </c>
      <c t="s">
        <v>39289</v>
      </c>
      <c t="s">
        <v>57717</v>
      </c>
      <c t="s">
        <v>62845</v>
      </c>
      <c t="s">
        <v>3093</v>
      </c>
      <c t="s">
        <v>39089</v>
      </c>
    </row>
    <row>
      <c t="s">
        <v>17594</v>
      </c>
      <c t="s">
        <v>54275</v>
      </c>
      <c t="s">
        <v>26729</v>
      </c>
      <c t="s">
        <v>18835</v>
      </c>
      <c t="s">
        <v>36213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563" s="1" t="str">
        <f ca="1">HYPERLINK("https://web.datatree.com/?/property?propertyId=32144935", "https://web.datatree.com/?/property?propertyId=32144935")</f>
        <v>https://web.datatree.com/?/property?propertyId=32144935</v>
      </c>
      <c r="Q563" t="s">
        <v>316</v>
      </c>
      <c>
        <v>0.23</v>
      </c>
      <c t="s">
        <v>22490</v>
      </c>
      <c t="s">
        <v>19238</v>
      </c>
      <c t="s">
        <v>47079</v>
      </c>
      <c r="X563" t="s">
        <v>6754</v>
      </c>
      <c t="s">
        <v>38550</v>
      </c>
      <c t="s">
        <v>2517</v>
      </c>
      <c t="s">
        <v>39289</v>
      </c>
      <c>
        <v>33909</v>
      </c>
      <c t="s">
        <v>32369</v>
      </c>
      <c t="s">
        <v>48794</v>
      </c>
      <c t="s">
        <v>48783</v>
      </c>
      <c>
        <v>723</v>
      </c>
      <c r="AI563" t="s">
        <v>42093</v>
      </c>
      <c t="s">
        <v>40123</v>
      </c>
      <c r="AL563" t="s">
        <v>58103</v>
      </c>
      <c t="s">
        <v>58103</v>
      </c>
      <c t="s">
        <v>19878</v>
      </c>
      <c t="s">
        <v>27839</v>
      </c>
      <c t="s">
        <v>25140</v>
      </c>
      <c t="s">
        <v>3093</v>
      </c>
      <c t="s">
        <v>36847</v>
      </c>
    </row>
    <row>
      <c t="s">
        <v>17594</v>
      </c>
      <c t="s">
        <v>21937</v>
      </c>
      <c t="s">
        <v>21606</v>
      </c>
      <c t="s">
        <v>18540</v>
      </c>
      <c t="s">
        <v>6332</v>
      </c>
      <c s="3">
        <v>219483</v>
      </c>
      <c s="3">
        <v>219483</v>
      </c>
      <c s="3">
        <v>194872</v>
      </c>
      <c>
        <v>0</v>
      </c>
      <c s="3">
        <v>0</v>
      </c>
      <c s="3">
        <v>3772.87</v>
      </c>
      <c s="3">
        <v>219483</v>
      </c>
      <c r="O564" s="1" t="str">
        <f ca="1">HYPERLINK("https://web.datatree.com/?/property?propertyId=32144986", "https://web.datatree.com/?/property?propertyId=32144986")</f>
        <v>https://web.datatree.com/?/property?propertyId=32144986</v>
      </c>
      <c r="Q564" t="s">
        <v>316</v>
      </c>
      <c>
        <v>0.23</v>
      </c>
      <c t="s">
        <v>22490</v>
      </c>
      <c t="s">
        <v>54926</v>
      </c>
      <c t="s">
        <v>51016</v>
      </c>
      <c r="X564" t="s">
        <v>38180</v>
      </c>
      <c t="s">
        <v>33984</v>
      </c>
      <c t="s">
        <v>2517</v>
      </c>
      <c t="s">
        <v>39289</v>
      </c>
      <c>
        <v>33904</v>
      </c>
      <c t="s">
        <v>63147</v>
      </c>
      <c t="s">
        <v>48794</v>
      </c>
      <c t="s">
        <v>57170</v>
      </c>
      <c>
        <v>239</v>
      </c>
      <c r="AI564" t="s">
        <v>34983</v>
      </c>
      <c t="s">
        <v>41372</v>
      </c>
      <c r="AL564" t="s">
        <v>29122</v>
      </c>
      <c r="AN564" t="s">
        <v>10909</v>
      </c>
      <c t="s">
        <v>4517</v>
      </c>
      <c r="AQ564" t="s">
        <v>27814</v>
      </c>
      <c t="s">
        <v>16480</v>
      </c>
    </row>
    <row>
      <c t="s">
        <v>17594</v>
      </c>
      <c t="s">
        <v>65975</v>
      </c>
      <c t="s">
        <v>17390</v>
      </c>
      <c t="s">
        <v>24984</v>
      </c>
      <c t="s">
        <v>25255</v>
      </c>
      <c s="3">
        <v>24569</v>
      </c>
      <c s="3">
        <v>24569</v>
      </c>
      <c s="3">
        <v>24569</v>
      </c>
      <c>
        <v>0</v>
      </c>
      <c s="3">
        <v>0</v>
      </c>
      <c s="3">
        <v>337.12</v>
      </c>
      <c s="3">
        <v>24569</v>
      </c>
      <c r="O565" s="1" t="str">
        <f ca="1">HYPERLINK("https://web.datatree.com/?/property?propertyId=32145509", "https://web.datatree.com/?/property?propertyId=32145509")</f>
        <v>https://web.datatree.com/?/property?propertyId=32145509</v>
      </c>
      <c r="Q565" t="s">
        <v>316</v>
      </c>
      <c>
        <v>0.418</v>
      </c>
      <c t="s">
        <v>23582</v>
      </c>
      <c t="s">
        <v>49741</v>
      </c>
      <c t="s">
        <v>41820</v>
      </c>
      <c t="s">
        <v>26823</v>
      </c>
      <c t="s">
        <v>54514</v>
      </c>
      <c t="s">
        <v>38795</v>
      </c>
      <c t="s">
        <v>35538</v>
      </c>
      <c t="s">
        <v>65059</v>
      </c>
      <c t="s">
        <v>39289</v>
      </c>
      <c>
        <v>33908</v>
      </c>
      <c t="s">
        <v>32174</v>
      </c>
      <c t="s">
        <v>48794</v>
      </c>
      <c t="s">
        <v>41170</v>
      </c>
      <c>
        <v>4849</v>
      </c>
      <c r="AI565" t="s">
        <v>58217</v>
      </c>
      <c t="s">
        <v>55842</v>
      </c>
      <c>
        <v>102</v>
      </c>
      <c t="s">
        <v>22503</v>
      </c>
      <c r="AN565" t="s">
        <v>39289</v>
      </c>
      <c t="s">
        <v>47767</v>
      </c>
      <c t="s">
        <v>44726</v>
      </c>
      <c t="s">
        <v>3093</v>
      </c>
      <c t="s">
        <v>30368</v>
      </c>
    </row>
    <row>
      <c t="s">
        <v>17594</v>
      </c>
      <c t="s">
        <v>21292</v>
      </c>
      <c t="s">
        <v>9710</v>
      </c>
      <c t="s">
        <v>64655</v>
      </c>
      <c t="s">
        <v>23364</v>
      </c>
      <c s="3">
        <v>121250</v>
      </c>
      <c s="3">
        <v>121250</v>
      </c>
      <c s="3">
        <v>121250</v>
      </c>
      <c>
        <v>0</v>
      </c>
      <c s="3">
        <v>0</v>
      </c>
      <c s="3">
        <v>3505.75</v>
      </c>
      <c s="3">
        <v>121250</v>
      </c>
      <c r="O566" s="1" t="str">
        <f ca="1">HYPERLINK("https://web.datatree.com/?/property?propertyId=32145577", "https://web.datatree.com/?/property?propertyId=32145577")</f>
        <v>https://web.datatree.com/?/property?propertyId=32145577</v>
      </c>
      <c r="Q566" t="s">
        <v>316</v>
      </c>
      <c>
        <v>0.351</v>
      </c>
      <c t="s">
        <v>60849</v>
      </c>
      <c t="s">
        <v>24409</v>
      </c>
      <c t="s">
        <v>49622</v>
      </c>
      <c t="s">
        <v>46801</v>
      </c>
      <c t="s">
        <v>51090</v>
      </c>
      <c t="s">
        <v>18326</v>
      </c>
      <c t="s">
        <v>62972</v>
      </c>
      <c t="s">
        <v>65059</v>
      </c>
      <c t="s">
        <v>39289</v>
      </c>
      <c>
        <v>33905</v>
      </c>
      <c t="s">
        <v>24162</v>
      </c>
      <c t="s">
        <v>48794</v>
      </c>
      <c t="s">
        <v>50068</v>
      </c>
      <c>
        <v>9630</v>
      </c>
      <c r="AI566" t="s">
        <v>38939</v>
      </c>
      <c t="s">
        <v>1671</v>
      </c>
      <c r="AL566" t="s">
        <v>11713</v>
      </c>
      <c r="AN566" t="s">
        <v>39289</v>
      </c>
      <c t="s">
        <v>56636</v>
      </c>
      <c t="s">
        <v>56513</v>
      </c>
      <c t="s">
        <v>3093</v>
      </c>
      <c t="s">
        <v>52396</v>
      </c>
    </row>
    <row>
      <c t="s">
        <v>17594</v>
      </c>
      <c t="s">
        <v>65744</v>
      </c>
      <c t="s">
        <v>5703</v>
      </c>
      <c t="s">
        <v>18767</v>
      </c>
      <c t="s">
        <v>14914</v>
      </c>
      <c s="3">
        <v>9566</v>
      </c>
      <c s="3">
        <v>9566</v>
      </c>
      <c s="3">
        <v>8798</v>
      </c>
      <c>
        <v>0</v>
      </c>
      <c s="3">
        <v>0</v>
      </c>
      <c s="3">
        <v>144.78</v>
      </c>
      <c s="3">
        <v>9566</v>
      </c>
      <c r="O567" s="1" t="str">
        <f ca="1">HYPERLINK("https://web.datatree.com/?/property?propertyId=32145815", "https://web.datatree.com/?/property?propertyId=32145815")</f>
        <v>https://web.datatree.com/?/property?propertyId=32145815</v>
      </c>
      <c r="Q567" t="s">
        <v>316</v>
      </c>
      <c>
        <v>0.113</v>
      </c>
      <c t="s">
        <v>36917</v>
      </c>
      <c t="s">
        <v>61631</v>
      </c>
      <c t="s">
        <v>33131</v>
      </c>
      <c t="s">
        <v>63449</v>
      </c>
      <c t="s">
        <v>58608</v>
      </c>
      <c t="s">
        <v>16464</v>
      </c>
      <c t="s">
        <v>52071</v>
      </c>
      <c t="s">
        <v>54524</v>
      </c>
      <c t="s">
        <v>39289</v>
      </c>
      <c>
        <v>33903</v>
      </c>
      <c t="s">
        <v>7910</v>
      </c>
      <c t="s">
        <v>48794</v>
      </c>
      <c t="s">
        <v>65449</v>
      </c>
      <c>
        <v>372</v>
      </c>
      <c r="AI567" t="s">
        <v>54436</v>
      </c>
      <c t="s">
        <v>31192</v>
      </c>
      <c r="AL567" t="s">
        <v>6796</v>
      </c>
      <c r="AN567" t="s">
        <v>18236</v>
      </c>
      <c t="s">
        <v>50450</v>
      </c>
      <c t="s">
        <v>34171</v>
      </c>
      <c t="s">
        <v>3093</v>
      </c>
      <c t="s">
        <v>39625</v>
      </c>
    </row>
    <row>
      <c t="s">
        <v>17594</v>
      </c>
      <c t="s">
        <v>15923</v>
      </c>
      <c t="s">
        <v>49024</v>
      </c>
      <c t="s">
        <v>13206</v>
      </c>
      <c t="s">
        <v>1004</v>
      </c>
      <c s="3">
        <v>14183</v>
      </c>
      <c s="3">
        <v>14183</v>
      </c>
      <c s="3">
        <v>14183</v>
      </c>
      <c>
        <v>0</v>
      </c>
      <c s="3">
        <v>0</v>
      </c>
      <c s="3">
        <v>212.34</v>
      </c>
      <c s="3">
        <v>14183</v>
      </c>
      <c r="O568" s="1" t="str">
        <f ca="1">HYPERLINK("https://web.datatree.com/?/property?propertyId=32147883", "https://web.datatree.com/?/property?propertyId=32147883")</f>
        <v>https://web.datatree.com/?/property?propertyId=32147883</v>
      </c>
      <c r="Q568" t="s">
        <v>316</v>
      </c>
      <c>
        <v>0.107</v>
      </c>
      <c t="s">
        <v>23582</v>
      </c>
      <c t="s">
        <v>552</v>
      </c>
      <c t="s">
        <v>45782</v>
      </c>
      <c r="X568" t="s">
        <v>42829</v>
      </c>
      <c t="s">
        <v>53438</v>
      </c>
      <c t="s">
        <v>65059</v>
      </c>
      <c t="s">
        <v>39289</v>
      </c>
      <c>
        <v>33905</v>
      </c>
      <c t="s">
        <v>22824</v>
      </c>
      <c t="s">
        <v>48794</v>
      </c>
      <c t="s">
        <v>52307</v>
      </c>
      <c>
        <v>71433</v>
      </c>
      <c r="AI568" t="s">
        <v>50729</v>
      </c>
      <c t="s">
        <v>45620</v>
      </c>
      <c r="AL568" t="s">
        <v>30742</v>
      </c>
      <c r="AN568" t="s">
        <v>51137</v>
      </c>
      <c t="s">
        <v>3321</v>
      </c>
      <c t="s">
        <v>52247</v>
      </c>
      <c t="s">
        <v>3093</v>
      </c>
      <c t="s">
        <v>26262</v>
      </c>
    </row>
    <row>
      <c t="s">
        <v>17594</v>
      </c>
      <c t="s">
        <v>31988</v>
      </c>
      <c t="s">
        <v>46185</v>
      </c>
      <c t="s">
        <v>16360</v>
      </c>
      <c t="s">
        <v>11357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569" s="1" t="str">
        <f ca="1">HYPERLINK("https://web.datatree.com/?/property?propertyId=32147945", "https://web.datatree.com/?/property?propertyId=32147945")</f>
        <v>https://web.datatree.com/?/property?propertyId=32147945</v>
      </c>
      <c r="Q569" t="s">
        <v>316</v>
      </c>
      <c>
        <v>0.241</v>
      </c>
      <c t="s">
        <v>6175</v>
      </c>
      <c t="s">
        <v>50331</v>
      </c>
      <c t="s">
        <v>45782</v>
      </c>
      <c r="X569" t="s">
        <v>12542</v>
      </c>
      <c t="s">
        <v>5115</v>
      </c>
      <c t="s">
        <v>2517</v>
      </c>
      <c t="s">
        <v>39289</v>
      </c>
      <c>
        <v>33909</v>
      </c>
      <c t="s">
        <v>20991</v>
      </c>
      <c t="s">
        <v>48794</v>
      </c>
      <c t="s">
        <v>11795</v>
      </c>
      <c>
        <v>672</v>
      </c>
      <c r="AI569" t="s">
        <v>62048</v>
      </c>
      <c t="s">
        <v>31192</v>
      </c>
      <c r="AL569" t="s">
        <v>51574</v>
      </c>
      <c r="AN569" t="s">
        <v>17331</v>
      </c>
      <c t="s">
        <v>48104</v>
      </c>
      <c t="s">
        <v>51100</v>
      </c>
      <c t="s">
        <v>3093</v>
      </c>
      <c t="s">
        <v>20300</v>
      </c>
    </row>
    <row>
      <c t="s">
        <v>17594</v>
      </c>
      <c t="s">
        <v>12140</v>
      </c>
      <c t="s">
        <v>48964</v>
      </c>
      <c t="s">
        <v>50664</v>
      </c>
      <c t="s">
        <v>16422</v>
      </c>
      <c s="3">
        <v>21600</v>
      </c>
      <c s="3">
        <v>21600</v>
      </c>
      <c s="3">
        <v>21600</v>
      </c>
      <c>
        <v>0</v>
      </c>
      <c s="3">
        <v>0</v>
      </c>
      <c s="3">
        <v>810.07</v>
      </c>
      <c s="3">
        <v>21600</v>
      </c>
      <c r="O570" s="1" t="str">
        <f ca="1">HYPERLINK("https://web.datatree.com/?/property?propertyId=32148115", "https://web.datatree.com/?/property?propertyId=32148115")</f>
        <v>https://web.datatree.com/?/property?propertyId=32148115</v>
      </c>
      <c r="Q570" t="s">
        <v>316</v>
      </c>
      <c>
        <v>0.34</v>
      </c>
      <c t="s">
        <v>42044</v>
      </c>
      <c t="s">
        <v>32074</v>
      </c>
      <c t="s">
        <v>13824</v>
      </c>
      <c t="s">
        <v>54692</v>
      </c>
      <c t="s">
        <v>32700</v>
      </c>
      <c t="s">
        <v>27118</v>
      </c>
      <c t="s">
        <v>61865</v>
      </c>
      <c t="s">
        <v>2517</v>
      </c>
      <c t="s">
        <v>39289</v>
      </c>
      <c>
        <v>33909</v>
      </c>
      <c t="s">
        <v>18063</v>
      </c>
      <c t="s">
        <v>48794</v>
      </c>
      <c t="s">
        <v>55816</v>
      </c>
      <c>
        <v>2304</v>
      </c>
      <c r="AI570" t="s">
        <v>38793</v>
      </c>
      <c t="s">
        <v>31192</v>
      </c>
      <c r="AL570" t="s">
        <v>50455</v>
      </c>
      <c t="s">
        <v>50455</v>
      </c>
      <c t="s">
        <v>27222</v>
      </c>
      <c t="s">
        <v>31164</v>
      </c>
      <c t="s">
        <v>34162</v>
      </c>
      <c t="s">
        <v>3093</v>
      </c>
      <c t="s">
        <v>54646</v>
      </c>
    </row>
    <row>
      <c t="s">
        <v>17594</v>
      </c>
      <c t="s">
        <v>37424</v>
      </c>
      <c t="s">
        <v>23852</v>
      </c>
      <c t="s">
        <v>35925</v>
      </c>
      <c t="s">
        <v>60021</v>
      </c>
      <c s="3">
        <v>22874</v>
      </c>
      <c s="3">
        <v>22874</v>
      </c>
      <c s="3">
        <v>9433</v>
      </c>
      <c>
        <v>0</v>
      </c>
      <c s="3">
        <v>0</v>
      </c>
      <c s="3">
        <v>419.58</v>
      </c>
      <c s="3">
        <v>22874</v>
      </c>
      <c>
        <v>2021</v>
      </c>
      <c>
        <v>401.25</v>
      </c>
      <c s="1" t="str">
        <f ca="1">HYPERLINK("https://web.datatree.com/?/property?propertyId=32148375", "https://web.datatree.com/?/property?propertyId=32148375")</f>
        <v>https://web.datatree.com/?/property?propertyId=32148375</v>
      </c>
      <c r="Q571" t="s">
        <v>316</v>
      </c>
      <c>
        <v>0.281</v>
      </c>
      <c t="s">
        <v>5471</v>
      </c>
      <c t="s">
        <v>8786</v>
      </c>
      <c t="s">
        <v>35394</v>
      </c>
      <c r="X571" t="s">
        <v>28757</v>
      </c>
      <c t="s">
        <v>22254</v>
      </c>
      <c t="s">
        <v>65059</v>
      </c>
      <c t="s">
        <v>39289</v>
      </c>
      <c>
        <v>33905</v>
      </c>
      <c t="s">
        <v>53322</v>
      </c>
      <c t="s">
        <v>48794</v>
      </c>
      <c t="s">
        <v>52567</v>
      </c>
      <c>
        <v>821</v>
      </c>
      <c r="AI571" t="s">
        <v>42626</v>
      </c>
      <c t="s">
        <v>45393</v>
      </c>
      <c r="AL571" t="s">
        <v>6144</v>
      </c>
      <c r="AN571" t="s">
        <v>50917</v>
      </c>
      <c t="s">
        <v>66117</v>
      </c>
      <c t="s">
        <v>12241</v>
      </c>
      <c t="s">
        <v>3093</v>
      </c>
      <c t="s">
        <v>41902</v>
      </c>
    </row>
    <row>
      <c t="s">
        <v>17594</v>
      </c>
      <c t="s">
        <v>10027</v>
      </c>
      <c t="s">
        <v>26867</v>
      </c>
      <c t="s">
        <v>10268</v>
      </c>
      <c t="s">
        <v>22150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572" s="1" t="str">
        <f ca="1">HYPERLINK("https://web.datatree.com/?/property?propertyId=32148561", "https://web.datatree.com/?/property?propertyId=32148561")</f>
        <v>https://web.datatree.com/?/property?propertyId=32148561</v>
      </c>
      <c r="Q572" t="s">
        <v>316</v>
      </c>
      <c>
        <v>0.23</v>
      </c>
      <c t="s">
        <v>6175</v>
      </c>
      <c t="s">
        <v>8762</v>
      </c>
      <c t="s">
        <v>33534</v>
      </c>
      <c r="X572" t="s">
        <v>26763</v>
      </c>
      <c t="s">
        <v>17022</v>
      </c>
      <c t="s">
        <v>2517</v>
      </c>
      <c t="s">
        <v>39289</v>
      </c>
      <c>
        <v>33904</v>
      </c>
      <c t="s">
        <v>21832</v>
      </c>
      <c t="s">
        <v>48794</v>
      </c>
      <c t="s">
        <v>25479</v>
      </c>
      <c>
        <v>102</v>
      </c>
      <c r="AI572" t="s">
        <v>46460</v>
      </c>
      <c r="AL572" t="s">
        <v>2496</v>
      </c>
      <c r="AN572" t="s">
        <v>63985</v>
      </c>
      <c>
        <v>53111</v>
      </c>
      <c r="AR572" t="s">
        <v>22563</v>
      </c>
    </row>
    <row>
      <c t="s">
        <v>17594</v>
      </c>
      <c t="s">
        <v>34940</v>
      </c>
      <c t="s">
        <v>1548</v>
      </c>
      <c t="s">
        <v>47857</v>
      </c>
      <c t="s">
        <v>53349</v>
      </c>
      <c s="3">
        <v>670995</v>
      </c>
      <c s="3">
        <v>670995</v>
      </c>
      <c s="3">
        <v>643500</v>
      </c>
      <c>
        <v>0</v>
      </c>
      <c s="3">
        <v>0</v>
      </c>
      <c s="3">
        <v>10639.75</v>
      </c>
      <c s="3">
        <v>670995</v>
      </c>
      <c r="O573" s="1" t="str">
        <f ca="1">HYPERLINK("https://web.datatree.com/?/property?propertyId=32149336", "https://web.datatree.com/?/property?propertyId=32149336")</f>
        <v>https://web.datatree.com/?/property?propertyId=32149336</v>
      </c>
      <c r="Q573" t="s">
        <v>316</v>
      </c>
      <c>
        <v>0.265</v>
      </c>
      <c t="s">
        <v>22490</v>
      </c>
      <c t="s">
        <v>54943</v>
      </c>
      <c t="s">
        <v>18314</v>
      </c>
      <c t="s">
        <v>11223</v>
      </c>
      <c t="s">
        <v>18314</v>
      </c>
      <c t="s">
        <v>47974</v>
      </c>
      <c t="s">
        <v>35789</v>
      </c>
      <c t="s">
        <v>2517</v>
      </c>
      <c t="s">
        <v>39289</v>
      </c>
      <c>
        <v>33904</v>
      </c>
      <c t="s">
        <v>60605</v>
      </c>
      <c t="s">
        <v>48794</v>
      </c>
      <c t="s">
        <v>67093</v>
      </c>
      <c>
        <v>7913</v>
      </c>
      <c r="AI573" t="s">
        <v>62747</v>
      </c>
      <c t="s">
        <v>31192</v>
      </c>
      <c r="AL573" t="s">
        <v>45162</v>
      </c>
      <c r="AN573" t="s">
        <v>26304</v>
      </c>
      <c t="s">
        <v>19606</v>
      </c>
      <c t="s">
        <v>8172</v>
      </c>
      <c t="s">
        <v>3093</v>
      </c>
      <c t="s">
        <v>47022</v>
      </c>
    </row>
    <row>
      <c t="s">
        <v>17594</v>
      </c>
      <c t="s">
        <v>17112</v>
      </c>
      <c t="s">
        <v>54120</v>
      </c>
      <c t="s">
        <v>47625</v>
      </c>
      <c t="s">
        <v>58489</v>
      </c>
      <c s="3">
        <v>59535</v>
      </c>
      <c s="3">
        <v>59535</v>
      </c>
      <c s="3">
        <v>15044</v>
      </c>
      <c>
        <v>0</v>
      </c>
      <c s="3">
        <v>0</v>
      </c>
      <c s="3">
        <v>906.56</v>
      </c>
      <c s="3">
        <v>59535</v>
      </c>
      <c r="O574" s="1" t="str">
        <f ca="1">HYPERLINK("https://web.datatree.com/?/property?propertyId=32149561", "https://web.datatree.com/?/property?propertyId=32149561")</f>
        <v>https://web.datatree.com/?/property?propertyId=32149561</v>
      </c>
      <c r="Q574" t="s">
        <v>316</v>
      </c>
      <c>
        <v>0.248</v>
      </c>
      <c t="s">
        <v>65422</v>
      </c>
      <c t="s">
        <v>56577</v>
      </c>
      <c t="s">
        <v>41084</v>
      </c>
      <c r="X574" t="s">
        <v>31487</v>
      </c>
      <c t="s">
        <v>49674</v>
      </c>
      <c t="s">
        <v>2517</v>
      </c>
      <c t="s">
        <v>39289</v>
      </c>
      <c>
        <v>33909</v>
      </c>
      <c t="s">
        <v>6531</v>
      </c>
      <c t="s">
        <v>48794</v>
      </c>
      <c t="s">
        <v>8761</v>
      </c>
      <c>
        <v>12830</v>
      </c>
      <c r="AI574" t="s">
        <v>442</v>
      </c>
      <c t="s">
        <v>45620</v>
      </c>
      <c r="AL574" t="s">
        <v>29555</v>
      </c>
      <c r="AN574" t="s">
        <v>27481</v>
      </c>
      <c t="s">
        <v>45262</v>
      </c>
      <c t="s">
        <v>56186</v>
      </c>
      <c t="s">
        <v>3093</v>
      </c>
      <c t="s">
        <v>7149</v>
      </c>
    </row>
    <row>
      <c t="s">
        <v>17594</v>
      </c>
      <c t="s">
        <v>34180</v>
      </c>
      <c t="s">
        <v>43700</v>
      </c>
      <c t="s">
        <v>49458</v>
      </c>
      <c t="s">
        <v>14595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575" s="1" t="str">
        <f ca="1">HYPERLINK("https://web.datatree.com/?/property?propertyId=32149838", "https://web.datatree.com/?/property?propertyId=32149838")</f>
        <v>https://web.datatree.com/?/property?propertyId=32149838</v>
      </c>
      <c r="Q575" t="s">
        <v>316</v>
      </c>
      <c>
        <v>0.23</v>
      </c>
      <c t="s">
        <v>5471</v>
      </c>
      <c t="s">
        <v>33769</v>
      </c>
      <c t="s">
        <v>55884</v>
      </c>
      <c t="s">
        <v>47303</v>
      </c>
      <c t="s">
        <v>20391</v>
      </c>
      <c t="s">
        <v>15210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58766</v>
      </c>
      <c>
        <v>4772</v>
      </c>
      <c r="AI575" t="s">
        <v>38220</v>
      </c>
      <c t="s">
        <v>24900</v>
      </c>
      <c r="AL575" t="s">
        <v>55393</v>
      </c>
      <c r="AN575" t="s">
        <v>39289</v>
      </c>
      <c t="s">
        <v>45044</v>
      </c>
      <c t="s">
        <v>24994</v>
      </c>
      <c t="s">
        <v>3093</v>
      </c>
      <c t="s">
        <v>35158</v>
      </c>
    </row>
    <row>
      <c t="s">
        <v>42103</v>
      </c>
      <c t="s">
        <v>6597</v>
      </c>
      <c t="s">
        <v>31775</v>
      </c>
      <c t="s">
        <v>25801</v>
      </c>
      <c t="s">
        <v>45389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76" s="1" t="str">
        <f ca="1">HYPERLINK("https://web.datatree.com/?/property?propertyId=32150001", "https://web.datatree.com/?/property?propertyId=32150001")</f>
        <v>https://web.datatree.com/?/property?propertyId=32150001</v>
      </c>
      <c r="Q576" t="s">
        <v>316</v>
      </c>
      <c>
        <v>0.23</v>
      </c>
      <c t="s">
        <v>22490</v>
      </c>
      <c t="s">
        <v>35571</v>
      </c>
      <c t="s">
        <v>25315</v>
      </c>
      <c t="s">
        <v>66475</v>
      </c>
      <c t="s">
        <v>25315</v>
      </c>
      <c t="s">
        <v>17466</v>
      </c>
      <c t="s">
        <v>53675</v>
      </c>
      <c t="s">
        <v>2517</v>
      </c>
      <c t="s">
        <v>39289</v>
      </c>
      <c>
        <v>33909</v>
      </c>
      <c t="s">
        <v>2114</v>
      </c>
      <c t="s">
        <v>48794</v>
      </c>
      <c t="s">
        <v>31673</v>
      </c>
      <c r="AI576" t="s">
        <v>38963</v>
      </c>
      <c r="AL576" t="s">
        <v>63171</v>
      </c>
      <c r="AN576" t="s">
        <v>22275</v>
      </c>
      <c>
        <v>19001</v>
      </c>
      <c t="s">
        <v>1762</v>
      </c>
      <c t="s">
        <v>3093</v>
      </c>
      <c t="s">
        <v>19905</v>
      </c>
    </row>
    <row>
      <c t="s">
        <v>17594</v>
      </c>
      <c t="s">
        <v>34541</v>
      </c>
      <c t="s">
        <v>30381</v>
      </c>
      <c t="s">
        <v>47345</v>
      </c>
      <c t="s">
        <v>15090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577" s="1" t="str">
        <f ca="1">HYPERLINK("https://web.datatree.com/?/property?propertyId=32150673", "https://web.datatree.com/?/property?propertyId=32150673")</f>
        <v>https://web.datatree.com/?/property?propertyId=32150673</v>
      </c>
      <c r="Q577" t="s">
        <v>316</v>
      </c>
      <c>
        <v>0.244</v>
      </c>
      <c t="s">
        <v>6175</v>
      </c>
      <c t="s">
        <v>22046</v>
      </c>
      <c t="s">
        <v>48739</v>
      </c>
      <c r="X577" t="s">
        <v>55743</v>
      </c>
      <c t="s">
        <v>53663</v>
      </c>
      <c t="s">
        <v>2517</v>
      </c>
      <c t="s">
        <v>39289</v>
      </c>
      <c>
        <v>33909</v>
      </c>
      <c t="s">
        <v>18287</v>
      </c>
      <c t="s">
        <v>48794</v>
      </c>
      <c t="s">
        <v>67069</v>
      </c>
      <c>
        <v>1566</v>
      </c>
      <c r="AI577" t="s">
        <v>48838</v>
      </c>
      <c t="s">
        <v>31192</v>
      </c>
      <c r="AL577" t="s">
        <v>47027</v>
      </c>
      <c t="s">
        <v>43475</v>
      </c>
      <c t="s">
        <v>32576</v>
      </c>
      <c t="s">
        <v>57001</v>
      </c>
      <c t="s">
        <v>34171</v>
      </c>
      <c t="s">
        <v>3093</v>
      </c>
      <c t="s">
        <v>31399</v>
      </c>
    </row>
    <row>
      <c t="s">
        <v>17594</v>
      </c>
      <c t="s">
        <v>24658</v>
      </c>
      <c t="s">
        <v>53621</v>
      </c>
      <c t="s">
        <v>43989</v>
      </c>
      <c t="s">
        <v>54963</v>
      </c>
      <c s="3">
        <v>19712</v>
      </c>
      <c s="3">
        <v>19712</v>
      </c>
      <c s="3">
        <v>19712</v>
      </c>
      <c>
        <v>0</v>
      </c>
      <c s="3">
        <v>0</v>
      </c>
      <c s="3">
        <v>473.1</v>
      </c>
      <c s="3">
        <v>19712</v>
      </c>
      <c r="O578" s="1" t="str">
        <f ca="1">HYPERLINK("https://web.datatree.com/?/property?propertyId=32150762", "https://web.datatree.com/?/property?propertyId=32150762")</f>
        <v>https://web.datatree.com/?/property?propertyId=32150762</v>
      </c>
      <c r="Q578" t="s">
        <v>316</v>
      </c>
      <c>
        <v>0.407</v>
      </c>
      <c t="s">
        <v>37489</v>
      </c>
      <c t="s">
        <v>54692</v>
      </c>
      <c t="s">
        <v>1898</v>
      </c>
      <c r="X578" t="s">
        <v>66482</v>
      </c>
      <c t="s">
        <v>18019</v>
      </c>
      <c t="s">
        <v>65059</v>
      </c>
      <c t="s">
        <v>39289</v>
      </c>
      <c>
        <v>33905</v>
      </c>
      <c t="s">
        <v>64052</v>
      </c>
      <c t="s">
        <v>48794</v>
      </c>
      <c t="s">
        <v>1495</v>
      </c>
      <c>
        <v>10420</v>
      </c>
      <c r="AI578" t="s">
        <v>60074</v>
      </c>
      <c t="s">
        <v>45620</v>
      </c>
      <c r="AL578" t="s">
        <v>55624</v>
      </c>
      <c r="AN578" t="s">
        <v>49572</v>
      </c>
      <c t="s">
        <v>42958</v>
      </c>
      <c t="s">
        <v>5652</v>
      </c>
      <c t="s">
        <v>3093</v>
      </c>
      <c t="s">
        <v>6747</v>
      </c>
    </row>
    <row>
      <c t="s">
        <v>17594</v>
      </c>
      <c t="s">
        <v>36283</v>
      </c>
      <c t="s">
        <v>28265</v>
      </c>
      <c t="s">
        <v>5609</v>
      </c>
      <c t="s">
        <v>32159</v>
      </c>
      <c s="3">
        <v>28022</v>
      </c>
      <c s="3">
        <v>28022</v>
      </c>
      <c s="3">
        <v>10560</v>
      </c>
      <c>
        <v>0</v>
      </c>
      <c s="3">
        <v>0</v>
      </c>
      <c s="3">
        <v>732.67</v>
      </c>
      <c s="3">
        <v>28022</v>
      </c>
      <c r="O579" s="1" t="str">
        <f ca="1">HYPERLINK("https://web.datatree.com/?/property?propertyId=32150973", "https://web.datatree.com/?/property?propertyId=32150973")</f>
        <v>https://web.datatree.com/?/property?propertyId=32150973</v>
      </c>
      <c r="Q579" t="s">
        <v>316</v>
      </c>
      <c>
        <v>0.344</v>
      </c>
      <c t="s">
        <v>22490</v>
      </c>
      <c t="s">
        <v>36738</v>
      </c>
      <c t="s">
        <v>59193</v>
      </c>
      <c t="s">
        <v>42907</v>
      </c>
      <c t="s">
        <v>59193</v>
      </c>
      <c t="s">
        <v>49748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52705</v>
      </c>
      <c>
        <v>27907</v>
      </c>
      <c r="AI579" t="s">
        <v>19284</v>
      </c>
      <c t="s">
        <v>40123</v>
      </c>
      <c r="AL579" t="s">
        <v>27584</v>
      </c>
      <c r="AN579" t="s">
        <v>18236</v>
      </c>
      <c t="s">
        <v>4634</v>
      </c>
      <c t="s">
        <v>11950</v>
      </c>
      <c t="s">
        <v>3093</v>
      </c>
      <c t="s">
        <v>37622</v>
      </c>
    </row>
    <row>
      <c t="s">
        <v>17594</v>
      </c>
      <c t="s">
        <v>53008</v>
      </c>
      <c t="s">
        <v>40419</v>
      </c>
      <c t="s">
        <v>54572</v>
      </c>
      <c t="s">
        <v>8152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580" s="1" t="str">
        <f ca="1">HYPERLINK("https://web.datatree.com/?/property?propertyId=32152272", "https://web.datatree.com/?/property?propertyId=32152272")</f>
        <v>https://web.datatree.com/?/property?propertyId=32152272</v>
      </c>
      <c r="Q580" t="s">
        <v>316</v>
      </c>
      <c>
        <v>0.236</v>
      </c>
      <c t="s">
        <v>6175</v>
      </c>
      <c r="U580" t="s">
        <v>62256</v>
      </c>
      <c r="W580" t="s">
        <v>4656</v>
      </c>
      <c t="s">
        <v>55338</v>
      </c>
      <c t="s">
        <v>61850</v>
      </c>
      <c t="s">
        <v>2517</v>
      </c>
      <c t="s">
        <v>39289</v>
      </c>
      <c>
        <v>33909</v>
      </c>
      <c t="s">
        <v>17498</v>
      </c>
      <c t="s">
        <v>48794</v>
      </c>
      <c t="s">
        <v>2350</v>
      </c>
      <c>
        <v>619</v>
      </c>
      <c r="AH580" t="s">
        <v>26580</v>
      </c>
      <c t="s">
        <v>6645</v>
      </c>
      <c t="s">
        <v>45393</v>
      </c>
      <c r="AL580" t="s">
        <v>17856</v>
      </c>
      <c t="s">
        <v>55371</v>
      </c>
      <c t="s">
        <v>50829</v>
      </c>
      <c t="s">
        <v>34327</v>
      </c>
      <c t="s">
        <v>44843</v>
      </c>
      <c t="s">
        <v>3093</v>
      </c>
      <c t="s">
        <v>21006</v>
      </c>
    </row>
    <row>
      <c t="s">
        <v>17594</v>
      </c>
      <c t="s">
        <v>53036</v>
      </c>
      <c t="s">
        <v>52729</v>
      </c>
      <c t="s">
        <v>62593</v>
      </c>
      <c t="s">
        <v>43155</v>
      </c>
      <c s="3">
        <v>20472</v>
      </c>
      <c s="3">
        <v>20472</v>
      </c>
      <c s="3">
        <v>9130</v>
      </c>
      <c>
        <v>0</v>
      </c>
      <c s="3">
        <v>0</v>
      </c>
      <c s="3">
        <v>585.72</v>
      </c>
      <c s="3">
        <v>20472</v>
      </c>
      <c r="O581" s="1" t="str">
        <f ca="1">HYPERLINK("https://web.datatree.com/?/property?propertyId=32153476", "https://web.datatree.com/?/property?propertyId=32153476")</f>
        <v>https://web.datatree.com/?/property?propertyId=32153476</v>
      </c>
      <c r="Q581" t="s">
        <v>316</v>
      </c>
      <c>
        <v>0.237</v>
      </c>
      <c t="s">
        <v>45031</v>
      </c>
      <c t="s">
        <v>57927</v>
      </c>
      <c t="s">
        <v>30841</v>
      </c>
      <c t="s">
        <v>54474</v>
      </c>
      <c t="s">
        <v>7534</v>
      </c>
      <c t="s">
        <v>39067</v>
      </c>
      <c t="s">
        <v>47150</v>
      </c>
      <c t="s">
        <v>2517</v>
      </c>
      <c t="s">
        <v>39289</v>
      </c>
      <c>
        <v>33909</v>
      </c>
      <c t="s">
        <v>63619</v>
      </c>
      <c t="s">
        <v>48794</v>
      </c>
      <c t="s">
        <v>60941</v>
      </c>
      <c>
        <v>40</v>
      </c>
      <c r="AI581" t="s">
        <v>15320</v>
      </c>
      <c t="s">
        <v>45620</v>
      </c>
      <c r="AL581" t="s">
        <v>47547</v>
      </c>
      <c r="AN581" t="s">
        <v>50917</v>
      </c>
      <c t="s">
        <v>51658</v>
      </c>
      <c t="s">
        <v>1951</v>
      </c>
      <c t="s">
        <v>3093</v>
      </c>
      <c t="s">
        <v>34479</v>
      </c>
    </row>
    <row>
      <c t="s">
        <v>17594</v>
      </c>
      <c t="s">
        <v>60389</v>
      </c>
      <c t="s">
        <v>10714</v>
      </c>
      <c t="s">
        <v>1406</v>
      </c>
      <c t="s">
        <v>19426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>
        <v>2020</v>
      </c>
      <c>
        <v>1801.34</v>
      </c>
      <c s="1" t="str">
        <f ca="1">HYPERLINK("https://web.datatree.com/?/property?propertyId=32154023", "https://web.datatree.com/?/property?propertyId=32154023")</f>
        <v>https://web.datatree.com/?/property?propertyId=32154023</v>
      </c>
      <c r="Q582" t="s">
        <v>316</v>
      </c>
      <c>
        <v>0.23</v>
      </c>
      <c t="s">
        <v>45031</v>
      </c>
      <c t="s">
        <v>56632</v>
      </c>
      <c t="s">
        <v>60111</v>
      </c>
      <c t="s">
        <v>47656</v>
      </c>
      <c t="s">
        <v>60111</v>
      </c>
      <c t="s">
        <v>21588</v>
      </c>
      <c t="s">
        <v>18679</v>
      </c>
      <c t="s">
        <v>2517</v>
      </c>
      <c t="s">
        <v>39289</v>
      </c>
      <c>
        <v>33909</v>
      </c>
      <c t="s">
        <v>7357</v>
      </c>
      <c t="s">
        <v>48794</v>
      </c>
      <c t="s">
        <v>66578</v>
      </c>
      <c>
        <v>45</v>
      </c>
      <c r="AI582" t="s">
        <v>40487</v>
      </c>
      <c t="s">
        <v>31192</v>
      </c>
      <c>
        <v>307</v>
      </c>
      <c t="s">
        <v>53929</v>
      </c>
      <c r="AN582" t="s">
        <v>27747</v>
      </c>
      <c t="s">
        <v>35384</v>
      </c>
      <c t="s">
        <v>31626</v>
      </c>
      <c t="s">
        <v>3093</v>
      </c>
      <c t="s">
        <v>36863</v>
      </c>
    </row>
    <row>
      <c t="s">
        <v>17594</v>
      </c>
      <c t="s">
        <v>57428</v>
      </c>
      <c t="s">
        <v>20886</v>
      </c>
      <c t="s">
        <v>8639</v>
      </c>
      <c t="s">
        <v>5281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 r="O583" s="1" t="str">
        <f ca="1">HYPERLINK("https://web.datatree.com/?/property?propertyId=32154144", "https://web.datatree.com/?/property?propertyId=32154144")</f>
        <v>https://web.datatree.com/?/property?propertyId=32154144</v>
      </c>
      <c r="Q583" t="s">
        <v>316</v>
      </c>
      <c>
        <v>0.24</v>
      </c>
      <c t="s">
        <v>5471</v>
      </c>
      <c t="s">
        <v>62417</v>
      </c>
      <c t="s">
        <v>8606</v>
      </c>
      <c t="s">
        <v>3429</v>
      </c>
      <c t="s">
        <v>8606</v>
      </c>
      <c t="s">
        <v>12623</v>
      </c>
      <c t="s">
        <v>17217</v>
      </c>
      <c t="s">
        <v>65059</v>
      </c>
      <c t="s">
        <v>39289</v>
      </c>
      <c>
        <v>33905</v>
      </c>
      <c t="s">
        <v>53182</v>
      </c>
      <c t="s">
        <v>48794</v>
      </c>
      <c t="s">
        <v>859</v>
      </c>
      <c>
        <v>1576</v>
      </c>
      <c r="AI583" t="s">
        <v>37366</v>
      </c>
      <c t="s">
        <v>55842</v>
      </c>
      <c r="AL583" t="s">
        <v>26641</v>
      </c>
      <c t="s">
        <v>26641</v>
      </c>
      <c t="s">
        <v>39289</v>
      </c>
      <c t="s">
        <v>35162</v>
      </c>
      <c t="s">
        <v>42082</v>
      </c>
      <c t="s">
        <v>3093</v>
      </c>
      <c t="s">
        <v>6437</v>
      </c>
    </row>
    <row>
      <c t="s">
        <v>17594</v>
      </c>
      <c t="s">
        <v>26325</v>
      </c>
      <c t="s">
        <v>63292</v>
      </c>
      <c t="s">
        <v>3730</v>
      </c>
      <c t="s">
        <v>9634</v>
      </c>
      <c s="3">
        <v>41000</v>
      </c>
      <c s="3">
        <v>41000</v>
      </c>
      <c s="3">
        <v>13310</v>
      </c>
      <c>
        <v>0</v>
      </c>
      <c s="3">
        <v>0</v>
      </c>
      <c s="3">
        <v>3002.84</v>
      </c>
      <c s="3">
        <v>41000</v>
      </c>
      <c r="O584" s="1" t="str">
        <f ca="1">HYPERLINK("https://web.datatree.com/?/property?propertyId=32154323", "https://web.datatree.com/?/property?propertyId=32154323")</f>
        <v>https://web.datatree.com/?/property?propertyId=32154323</v>
      </c>
      <c r="Q584" t="s">
        <v>316</v>
      </c>
      <c>
        <v>0.23</v>
      </c>
      <c t="s">
        <v>14479</v>
      </c>
      <c t="s">
        <v>552</v>
      </c>
      <c t="s">
        <v>63816</v>
      </c>
      <c t="s">
        <v>54926</v>
      </c>
      <c t="s">
        <v>63816</v>
      </c>
      <c t="s">
        <v>8809</v>
      </c>
      <c t="s">
        <v>55273</v>
      </c>
      <c t="s">
        <v>2517</v>
      </c>
      <c t="s">
        <v>39289</v>
      </c>
      <c>
        <v>33909</v>
      </c>
      <c t="s">
        <v>58602</v>
      </c>
      <c t="s">
        <v>48794</v>
      </c>
      <c t="s">
        <v>25999</v>
      </c>
      <c>
        <v>25</v>
      </c>
      <c r="AI584" t="s">
        <v>37478</v>
      </c>
      <c t="s">
        <v>45393</v>
      </c>
      <c r="AL584" t="s">
        <v>18769</v>
      </c>
      <c r="AN584" t="s">
        <v>26016</v>
      </c>
      <c t="s">
        <v>19518</v>
      </c>
      <c t="s">
        <v>12241</v>
      </c>
      <c t="s">
        <v>3093</v>
      </c>
      <c t="s">
        <v>1008</v>
      </c>
    </row>
    <row>
      <c t="s">
        <v>17594</v>
      </c>
      <c t="s">
        <v>13975</v>
      </c>
      <c t="s">
        <v>46358</v>
      </c>
      <c t="s">
        <v>46716</v>
      </c>
      <c t="s">
        <v>23106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>
        <v>2017</v>
      </c>
      <c>
        <v>3188.48</v>
      </c>
      <c s="1" t="str">
        <f ca="1">HYPERLINK("https://web.datatree.com/?/property?propertyId=32154623", "https://web.datatree.com/?/property?propertyId=32154623")</f>
        <v>https://web.datatree.com/?/property?propertyId=32154623</v>
      </c>
      <c r="Q585" t="s">
        <v>316</v>
      </c>
      <c>
        <v>0.256</v>
      </c>
      <c t="s">
        <v>5471</v>
      </c>
      <c t="s">
        <v>2474</v>
      </c>
      <c t="s">
        <v>49605</v>
      </c>
      <c t="s">
        <v>50865</v>
      </c>
      <c r="X585" t="s">
        <v>58558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54033</v>
      </c>
      <c>
        <v>123</v>
      </c>
      <c r="AH585" t="s">
        <v>12549</v>
      </c>
      <c t="s">
        <v>33179</v>
      </c>
      <c t="s">
        <v>24900</v>
      </c>
      <c r="AL585" t="s">
        <v>64040</v>
      </c>
      <c t="s">
        <v>64040</v>
      </c>
      <c t="s">
        <v>39289</v>
      </c>
      <c t="s">
        <v>19862</v>
      </c>
      <c t="s">
        <v>62983</v>
      </c>
      <c t="s">
        <v>3093</v>
      </c>
      <c t="s">
        <v>19949</v>
      </c>
    </row>
    <row>
      <c t="s">
        <v>17594</v>
      </c>
      <c t="s">
        <v>61797</v>
      </c>
      <c t="s">
        <v>30790</v>
      </c>
      <c t="s">
        <v>44298</v>
      </c>
      <c t="s">
        <v>5860</v>
      </c>
      <c s="3">
        <v>25012</v>
      </c>
      <c s="3">
        <v>25012</v>
      </c>
      <c s="3">
        <v>10395</v>
      </c>
      <c>
        <v>0</v>
      </c>
      <c s="3">
        <v>0</v>
      </c>
      <c s="3">
        <v>668.22</v>
      </c>
      <c s="3">
        <v>25012</v>
      </c>
      <c r="O586" s="1" t="str">
        <f ca="1">HYPERLINK("https://web.datatree.com/?/property?propertyId=32154945", "https://web.datatree.com/?/property?propertyId=32154945")</f>
        <v>https://web.datatree.com/?/property?propertyId=32154945</v>
      </c>
      <c r="Q586" t="s">
        <v>316</v>
      </c>
      <c>
        <v>0.281</v>
      </c>
      <c t="s">
        <v>65612</v>
      </c>
      <c t="s">
        <v>64119</v>
      </c>
      <c t="s">
        <v>27945</v>
      </c>
      <c t="s">
        <v>9598</v>
      </c>
      <c t="s">
        <v>27945</v>
      </c>
      <c t="s">
        <v>44054</v>
      </c>
      <c t="s">
        <v>34136</v>
      </c>
      <c t="s">
        <v>2517</v>
      </c>
      <c t="s">
        <v>39289</v>
      </c>
      <c>
        <v>33909</v>
      </c>
      <c t="s">
        <v>1234</v>
      </c>
      <c t="s">
        <v>48794</v>
      </c>
      <c t="s">
        <v>34688</v>
      </c>
      <c>
        <v>4674</v>
      </c>
      <c r="AI586" t="s">
        <v>65176</v>
      </c>
      <c t="s">
        <v>40123</v>
      </c>
      <c r="AL586" t="s">
        <v>48150</v>
      </c>
      <c r="AN586" t="s">
        <v>39289</v>
      </c>
      <c t="s">
        <v>19128</v>
      </c>
      <c t="s">
        <v>4357</v>
      </c>
      <c t="s">
        <v>3093</v>
      </c>
      <c t="s">
        <v>9827</v>
      </c>
    </row>
    <row>
      <c t="s">
        <v>17594</v>
      </c>
      <c t="s">
        <v>21436</v>
      </c>
      <c t="s">
        <v>57454</v>
      </c>
      <c t="s">
        <v>19385</v>
      </c>
      <c t="s">
        <v>14812</v>
      </c>
      <c s="3">
        <v>39960</v>
      </c>
      <c s="3">
        <v>39960</v>
      </c>
      <c s="3">
        <v>39600</v>
      </c>
      <c>
        <v>0</v>
      </c>
      <c s="3">
        <v>0</v>
      </c>
      <c s="3">
        <v>550.26</v>
      </c>
      <c s="3">
        <v>39960</v>
      </c>
      <c r="O587" s="1" t="str">
        <f ca="1">HYPERLINK("https://web.datatree.com/?/property?propertyId=32154997", "https://web.datatree.com/?/property?propertyId=32154997")</f>
        <v>https://web.datatree.com/?/property?propertyId=32154997</v>
      </c>
      <c r="Q587" t="s">
        <v>316</v>
      </c>
      <c>
        <v>0.042</v>
      </c>
      <c t="s">
        <v>45526</v>
      </c>
      <c t="s">
        <v>62125</v>
      </c>
      <c t="s">
        <v>11084</v>
      </c>
      <c t="s">
        <v>56574</v>
      </c>
      <c t="s">
        <v>34170</v>
      </c>
      <c t="s">
        <v>8698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48579</v>
      </c>
      <c>
        <v>112</v>
      </c>
      <c r="AI587" t="s">
        <v>23638</v>
      </c>
      <c t="s">
        <v>55842</v>
      </c>
      <c r="AL587" t="s">
        <v>53335</v>
      </c>
      <c r="AN587" t="s">
        <v>32657</v>
      </c>
      <c t="s">
        <v>25206</v>
      </c>
      <c t="s">
        <v>52247</v>
      </c>
      <c t="s">
        <v>3093</v>
      </c>
      <c t="s">
        <v>60702</v>
      </c>
    </row>
    <row>
      <c t="s">
        <v>17594</v>
      </c>
      <c t="s">
        <v>62739</v>
      </c>
      <c t="s">
        <v>3861</v>
      </c>
      <c t="s">
        <v>11832</v>
      </c>
      <c t="s">
        <v>47290</v>
      </c>
      <c s="3">
        <v>8100</v>
      </c>
      <c s="3">
        <v>8100</v>
      </c>
      <c s="3">
        <v>8100</v>
      </c>
      <c>
        <v>0</v>
      </c>
      <c s="3">
        <v>0</v>
      </c>
      <c s="3">
        <v>521.85</v>
      </c>
      <c s="3">
        <v>8100</v>
      </c>
      <c r="O588" s="1" t="str">
        <f ca="1">HYPERLINK("https://web.datatree.com/?/property?propertyId=32156220", "https://web.datatree.com/?/property?propertyId=32156220")</f>
        <v>https://web.datatree.com/?/property?propertyId=32156220</v>
      </c>
      <c r="Q588" t="s">
        <v>316</v>
      </c>
      <c>
        <v>0.244</v>
      </c>
      <c t="s">
        <v>6175</v>
      </c>
      <c t="s">
        <v>3379</v>
      </c>
      <c t="s">
        <v>61085</v>
      </c>
      <c r="X588" t="s">
        <v>24435</v>
      </c>
      <c t="s">
        <v>49122</v>
      </c>
      <c t="s">
        <v>2517</v>
      </c>
      <c t="s">
        <v>39289</v>
      </c>
      <c>
        <v>33909</v>
      </c>
      <c t="s">
        <v>8498</v>
      </c>
      <c t="s">
        <v>48794</v>
      </c>
      <c t="s">
        <v>21219</v>
      </c>
      <c>
        <v>250</v>
      </c>
      <c r="AI588" t="s">
        <v>32828</v>
      </c>
      <c t="s">
        <v>45393</v>
      </c>
      <c>
        <v>807</v>
      </c>
      <c t="s">
        <v>60419</v>
      </c>
      <c t="s">
        <v>60419</v>
      </c>
      <c t="s">
        <v>65467</v>
      </c>
      <c t="s">
        <v>18759</v>
      </c>
      <c t="s">
        <v>62983</v>
      </c>
      <c t="s">
        <v>3093</v>
      </c>
      <c t="s">
        <v>40067</v>
      </c>
    </row>
    <row>
      <c t="s">
        <v>17594</v>
      </c>
      <c t="s">
        <v>5327</v>
      </c>
      <c t="s">
        <v>37040</v>
      </c>
      <c t="s">
        <v>16810</v>
      </c>
      <c t="s">
        <v>13785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89" s="1" t="str">
        <f ca="1">HYPERLINK("https://web.datatree.com/?/property?propertyId=32156240", "https://web.datatree.com/?/property?propertyId=32156240")</f>
        <v>https://web.datatree.com/?/property?propertyId=32156240</v>
      </c>
      <c r="Q589" t="s">
        <v>316</v>
      </c>
      <c>
        <v>0.235</v>
      </c>
      <c t="s">
        <v>22490</v>
      </c>
      <c t="s">
        <v>52701</v>
      </c>
      <c t="s">
        <v>61691</v>
      </c>
      <c r="X589" t="s">
        <v>33890</v>
      </c>
      <c t="s">
        <v>38550</v>
      </c>
      <c t="s">
        <v>2517</v>
      </c>
      <c t="s">
        <v>39289</v>
      </c>
      <c>
        <v>33909</v>
      </c>
      <c t="s">
        <v>54420</v>
      </c>
      <c t="s">
        <v>48794</v>
      </c>
      <c t="s">
        <v>22172</v>
      </c>
      <c>
        <v>2325</v>
      </c>
      <c r="AI589" t="s">
        <v>42439</v>
      </c>
      <c t="s">
        <v>45393</v>
      </c>
      <c r="AL589" t="s">
        <v>55393</v>
      </c>
      <c t="s">
        <v>48193</v>
      </c>
      <c t="s">
        <v>39289</v>
      </c>
      <c t="s">
        <v>28425</v>
      </c>
      <c t="s">
        <v>33029</v>
      </c>
      <c t="s">
        <v>3093</v>
      </c>
      <c t="s">
        <v>31203</v>
      </c>
    </row>
    <row>
      <c t="s">
        <v>17594</v>
      </c>
      <c t="s">
        <v>3397</v>
      </c>
      <c t="s">
        <v>31544</v>
      </c>
      <c t="s">
        <v>12978</v>
      </c>
      <c t="s">
        <v>50918</v>
      </c>
      <c s="3">
        <v>14600</v>
      </c>
      <c s="3">
        <v>14600</v>
      </c>
      <c s="3">
        <v>14600</v>
      </c>
      <c>
        <v>0</v>
      </c>
      <c s="3">
        <v>0</v>
      </c>
      <c s="3">
        <v>1099.47</v>
      </c>
      <c s="3">
        <v>14600</v>
      </c>
      <c r="O590" s="1" t="str">
        <f ca="1">HYPERLINK("https://web.datatree.com/?/property?propertyId=32156276", "https://web.datatree.com/?/property?propertyId=32156276")</f>
        <v>https://web.datatree.com/?/property?propertyId=32156276</v>
      </c>
      <c r="Q590" t="s">
        <v>316</v>
      </c>
      <c>
        <v>0.634</v>
      </c>
      <c t="s">
        <v>22490</v>
      </c>
      <c t="s">
        <v>50526</v>
      </c>
      <c t="s">
        <v>61472</v>
      </c>
      <c r="X590" t="s">
        <v>6151</v>
      </c>
      <c t="s">
        <v>13829</v>
      </c>
      <c t="s">
        <v>2517</v>
      </c>
      <c t="s">
        <v>39289</v>
      </c>
      <c>
        <v>33909</v>
      </c>
      <c t="s">
        <v>48991</v>
      </c>
      <c t="s">
        <v>48794</v>
      </c>
      <c t="s">
        <v>30637</v>
      </c>
      <c>
        <v>10</v>
      </c>
      <c r="AI590" t="s">
        <v>10273</v>
      </c>
      <c t="s">
        <v>45620</v>
      </c>
      <c r="AL590" t="s">
        <v>37463</v>
      </c>
      <c t="s">
        <v>37463</v>
      </c>
      <c t="s">
        <v>50917</v>
      </c>
      <c t="s">
        <v>9895</v>
      </c>
      <c t="s">
        <v>61410</v>
      </c>
      <c t="s">
        <v>3093</v>
      </c>
      <c t="s">
        <v>12752</v>
      </c>
    </row>
    <row>
      <c t="s">
        <v>17594</v>
      </c>
      <c t="s">
        <v>55396</v>
      </c>
      <c t="s">
        <v>45745</v>
      </c>
      <c t="s">
        <v>61511</v>
      </c>
      <c t="s">
        <v>38720</v>
      </c>
      <c s="3">
        <v>22444</v>
      </c>
      <c s="3">
        <v>22444</v>
      </c>
      <c s="3">
        <v>9599</v>
      </c>
      <c>
        <v>0</v>
      </c>
      <c s="3">
        <v>0</v>
      </c>
      <c s="3">
        <v>726.85</v>
      </c>
      <c s="3">
        <v>22444</v>
      </c>
      <c r="O591" s="1" t="str">
        <f ca="1">HYPERLINK("https://web.datatree.com/?/property?propertyId=32156358", "https://web.datatree.com/?/property?propertyId=32156358")</f>
        <v>https://web.datatree.com/?/property?propertyId=32156358</v>
      </c>
      <c r="Q591" t="s">
        <v>316</v>
      </c>
      <c>
        <v>0.415</v>
      </c>
      <c t="s">
        <v>6175</v>
      </c>
      <c r="U591" t="s">
        <v>46816</v>
      </c>
      <c r="W591" t="s">
        <v>23334</v>
      </c>
      <c t="s">
        <v>40001</v>
      </c>
      <c t="s">
        <v>30928</v>
      </c>
      <c t="s">
        <v>2517</v>
      </c>
      <c t="s">
        <v>39289</v>
      </c>
      <c>
        <v>33909</v>
      </c>
      <c t="s">
        <v>59916</v>
      </c>
      <c t="s">
        <v>48794</v>
      </c>
      <c t="s">
        <v>37970</v>
      </c>
      <c>
        <v>10307</v>
      </c>
      <c r="AI591" t="s">
        <v>43390</v>
      </c>
      <c t="s">
        <v>31192</v>
      </c>
      <c r="AL591" t="s">
        <v>17877</v>
      </c>
      <c r="AN591" t="s">
        <v>19878</v>
      </c>
      <c t="s">
        <v>58163</v>
      </c>
      <c t="s">
        <v>14845</v>
      </c>
      <c t="s">
        <v>3093</v>
      </c>
      <c t="s">
        <v>36078</v>
      </c>
    </row>
    <row>
      <c t="s">
        <v>42103</v>
      </c>
      <c t="s">
        <v>62560</v>
      </c>
      <c t="s">
        <v>46517</v>
      </c>
      <c t="s">
        <v>34147</v>
      </c>
      <c t="s">
        <v>14478</v>
      </c>
      <c s="3">
        <v>10000</v>
      </c>
      <c s="3">
        <v>10000</v>
      </c>
      <c s="3">
        <v>5068</v>
      </c>
      <c>
        <v>0</v>
      </c>
      <c s="3">
        <v>0</v>
      </c>
      <c s="3">
        <v>103.3</v>
      </c>
      <c s="3">
        <v>10000</v>
      </c>
      <c r="O592" s="1" t="str">
        <f ca="1">HYPERLINK("https://web.datatree.com/?/property?propertyId=32156627", "https://web.datatree.com/?/property?propertyId=32156627")</f>
        <v>https://web.datatree.com/?/property?propertyId=32156627</v>
      </c>
      <c r="Q592" t="s">
        <v>316</v>
      </c>
      <c>
        <v>0.243</v>
      </c>
      <c t="s">
        <v>23582</v>
      </c>
      <c t="s">
        <v>66846</v>
      </c>
      <c t="s">
        <v>35571</v>
      </c>
      <c t="s">
        <v>29899</v>
      </c>
      <c t="s">
        <v>14050</v>
      </c>
      <c t="s">
        <v>40644</v>
      </c>
      <c t="s">
        <v>66686</v>
      </c>
      <c t="s">
        <v>65059</v>
      </c>
      <c t="s">
        <v>39289</v>
      </c>
      <c>
        <v>33905</v>
      </c>
      <c t="s">
        <v>29958</v>
      </c>
      <c t="s">
        <v>48794</v>
      </c>
      <c t="s">
        <v>39144</v>
      </c>
      <c r="AI592" t="s">
        <v>3078</v>
      </c>
      <c r="AL592" t="s">
        <v>968</v>
      </c>
      <c r="AN592" t="s">
        <v>39289</v>
      </c>
      <c>
        <v>34747</v>
      </c>
      <c t="s">
        <v>15796</v>
      </c>
      <c t="s">
        <v>3093</v>
      </c>
      <c t="s">
        <v>7477</v>
      </c>
    </row>
    <row>
      <c t="s">
        <v>17594</v>
      </c>
      <c t="s">
        <v>42146</v>
      </c>
      <c t="s">
        <v>30619</v>
      </c>
      <c t="s">
        <v>23889</v>
      </c>
      <c t="s">
        <v>19882</v>
      </c>
      <c s="3">
        <v>8085</v>
      </c>
      <c s="3">
        <v>8085</v>
      </c>
      <c s="3">
        <v>8085</v>
      </c>
      <c>
        <v>0</v>
      </c>
      <c s="3">
        <v>0</v>
      </c>
      <c s="3">
        <v>659</v>
      </c>
      <c s="3">
        <v>8085</v>
      </c>
      <c r="O593" s="1" t="str">
        <f ca="1">HYPERLINK("https://web.datatree.com/?/property?propertyId=32157075", "https://web.datatree.com/?/property?propertyId=32157075")</f>
        <v>https://web.datatree.com/?/property?propertyId=32157075</v>
      </c>
      <c r="Q593" t="s">
        <v>316</v>
      </c>
      <c>
        <v>0.328</v>
      </c>
      <c t="s">
        <v>6175</v>
      </c>
      <c t="s">
        <v>41978</v>
      </c>
      <c t="s">
        <v>57473</v>
      </c>
      <c r="X593" t="s">
        <v>16982</v>
      </c>
      <c t="s">
        <v>50440</v>
      </c>
      <c t="s">
        <v>2517</v>
      </c>
      <c t="s">
        <v>39289</v>
      </c>
      <c>
        <v>33909</v>
      </c>
      <c t="s">
        <v>4817</v>
      </c>
      <c t="s">
        <v>48794</v>
      </c>
      <c t="s">
        <v>659</v>
      </c>
      <c r="AI593" t="s">
        <v>18574</v>
      </c>
      <c r="AK593">
        <v>4</v>
      </c>
      <c t="s">
        <v>62140</v>
      </c>
      <c r="AN593" t="s">
        <v>63985</v>
      </c>
      <c>
        <v>28844</v>
      </c>
      <c r="AR593" t="s">
        <v>17084</v>
      </c>
    </row>
    <row>
      <c t="s">
        <v>42103</v>
      </c>
      <c t="s">
        <v>37497</v>
      </c>
      <c s="7" t="s">
        <v>66463</v>
      </c>
      <c t="s">
        <v>18079</v>
      </c>
      <c t="s">
        <v>8508</v>
      </c>
      <c s="3">
        <v>47586</v>
      </c>
      <c s="3">
        <v>47586</v>
      </c>
      <c s="3">
        <v>47586</v>
      </c>
      <c>
        <v>0</v>
      </c>
      <c s="3">
        <v>0</v>
      </c>
      <c s="3">
        <v>1202.11</v>
      </c>
      <c s="3">
        <v>47586</v>
      </c>
      <c>
        <v>2021</v>
      </c>
      <c>
        <v>1010.2</v>
      </c>
      <c s="1" t="str">
        <f ca="1">HYPERLINK("https://web.datatree.com/?/property?propertyId=32157570", "https://web.datatree.com/?/property?propertyId=32157570")</f>
        <v>https://web.datatree.com/?/property?propertyId=32157570</v>
      </c>
      <c r="Q594" t="s">
        <v>316</v>
      </c>
      <c>
        <v>0.274</v>
      </c>
      <c t="s">
        <v>6175</v>
      </c>
      <c t="s">
        <v>24692</v>
      </c>
      <c t="s">
        <v>24770</v>
      </c>
      <c r="X594" t="s">
        <v>58870</v>
      </c>
      <c t="s">
        <v>17022</v>
      </c>
      <c t="s">
        <v>2517</v>
      </c>
      <c t="s">
        <v>39289</v>
      </c>
      <c>
        <v>33904</v>
      </c>
      <c t="s">
        <v>13</v>
      </c>
      <c t="s">
        <v>48794</v>
      </c>
      <c t="s">
        <v>52519</v>
      </c>
      <c>
        <v>5</v>
      </c>
      <c r="AI594" t="s">
        <v>17594</v>
      </c>
      <c r="AL594" t="s">
        <v>21484</v>
      </c>
      <c t="s">
        <v>21484</v>
      </c>
      <c t="s">
        <v>14798</v>
      </c>
      <c>
        <v>80935</v>
      </c>
      <c r="AQ594" t="s">
        <v>3093</v>
      </c>
      <c s="7">
        <v>0.20833333333333334</v>
      </c>
    </row>
    <row>
      <c t="s">
        <v>17594</v>
      </c>
      <c t="s">
        <v>66493</v>
      </c>
      <c t="s">
        <v>11375</v>
      </c>
      <c t="s">
        <v>60433</v>
      </c>
      <c t="s">
        <v>10385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2021</v>
      </c>
      <c>
        <v>594.94</v>
      </c>
      <c s="1" t="str">
        <f ca="1">HYPERLINK("https://web.datatree.com/?/property?propertyId=32157817", "https://web.datatree.com/?/property?propertyId=32157817")</f>
        <v>https://web.datatree.com/?/property?propertyId=32157817</v>
      </c>
      <c r="Q595" t="s">
        <v>316</v>
      </c>
      <c>
        <v>0.23</v>
      </c>
      <c t="s">
        <v>6175</v>
      </c>
      <c t="s">
        <v>12861</v>
      </c>
      <c t="s">
        <v>16291</v>
      </c>
      <c t="s">
        <v>14358</v>
      </c>
      <c t="s">
        <v>16291</v>
      </c>
      <c t="s">
        <v>42838</v>
      </c>
      <c t="s">
        <v>25017</v>
      </c>
      <c t="s">
        <v>2517</v>
      </c>
      <c t="s">
        <v>39289</v>
      </c>
      <c>
        <v>33909</v>
      </c>
      <c>
        <v>33909</v>
      </c>
      <c t="s">
        <v>48794</v>
      </c>
      <c t="s">
        <v>64351</v>
      </c>
      <c>
        <v>3</v>
      </c>
      <c r="AI595" t="s">
        <v>53966</v>
      </c>
      <c t="s">
        <v>24900</v>
      </c>
      <c r="AL595" t="s">
        <v>15811</v>
      </c>
      <c r="AN595" t="s">
        <v>27747</v>
      </c>
      <c t="s">
        <v>30946</v>
      </c>
      <c t="s">
        <v>55071</v>
      </c>
      <c t="s">
        <v>3093</v>
      </c>
      <c t="s">
        <v>11803</v>
      </c>
    </row>
    <row>
      <c t="s">
        <v>17594</v>
      </c>
      <c t="s">
        <v>51892</v>
      </c>
      <c t="s">
        <v>59214</v>
      </c>
      <c t="s">
        <v>20689</v>
      </c>
      <c t="s">
        <v>60199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596" s="1" t="str">
        <f ca="1">HYPERLINK("https://web.datatree.com/?/property?propertyId=32157890", "https://web.datatree.com/?/property?propertyId=32157890")</f>
        <v>https://web.datatree.com/?/property?propertyId=32157890</v>
      </c>
      <c r="Q596" t="s">
        <v>316</v>
      </c>
      <c>
        <v>0.244</v>
      </c>
      <c t="s">
        <v>22490</v>
      </c>
      <c t="s">
        <v>19454</v>
      </c>
      <c t="s">
        <v>35985</v>
      </c>
      <c r="X596" t="s">
        <v>12320</v>
      </c>
      <c t="s">
        <v>61850</v>
      </c>
      <c t="s">
        <v>2517</v>
      </c>
      <c t="s">
        <v>39289</v>
      </c>
      <c>
        <v>33909</v>
      </c>
      <c>
        <v>33909</v>
      </c>
      <c t="s">
        <v>48794</v>
      </c>
      <c t="s">
        <v>40433</v>
      </c>
      <c>
        <v>5249</v>
      </c>
      <c r="AI596" t="s">
        <v>33159</v>
      </c>
      <c t="s">
        <v>31192</v>
      </c>
      <c r="AL596" t="s">
        <v>29806</v>
      </c>
      <c t="s">
        <v>29806</v>
      </c>
      <c t="s">
        <v>26443</v>
      </c>
      <c t="s">
        <v>23573</v>
      </c>
      <c t="s">
        <v>65563</v>
      </c>
      <c t="s">
        <v>3093</v>
      </c>
      <c t="s">
        <v>49437</v>
      </c>
    </row>
    <row>
      <c t="s">
        <v>17594</v>
      </c>
      <c t="s">
        <v>4612</v>
      </c>
      <c t="s">
        <v>33444</v>
      </c>
      <c t="s">
        <v>45876</v>
      </c>
      <c t="s">
        <v>28170</v>
      </c>
      <c s="3">
        <v>17887</v>
      </c>
      <c s="3">
        <v>17887</v>
      </c>
      <c s="3">
        <v>8470</v>
      </c>
      <c>
        <v>0</v>
      </c>
      <c s="3">
        <v>0</v>
      </c>
      <c s="3">
        <v>593.83</v>
      </c>
      <c s="3">
        <v>17887</v>
      </c>
      <c r="O597" s="1" t="str">
        <f ca="1">HYPERLINK("https://web.datatree.com/?/property?propertyId=32157953", "https://web.datatree.com/?/property?propertyId=32157953")</f>
        <v>https://web.datatree.com/?/property?propertyId=32157953</v>
      </c>
      <c r="Q597" t="s">
        <v>316</v>
      </c>
      <c>
        <v>0.253</v>
      </c>
      <c t="s">
        <v>6175</v>
      </c>
      <c t="s">
        <v>34763</v>
      </c>
      <c t="s">
        <v>60902</v>
      </c>
      <c r="X597" t="s">
        <v>62448</v>
      </c>
      <c t="s">
        <v>13829</v>
      </c>
      <c t="s">
        <v>2517</v>
      </c>
      <c t="s">
        <v>39289</v>
      </c>
      <c>
        <v>33909</v>
      </c>
      <c t="s">
        <v>62856</v>
      </c>
      <c t="s">
        <v>48794</v>
      </c>
      <c t="s">
        <v>52675</v>
      </c>
      <c>
        <v>17</v>
      </c>
      <c r="AI597" t="s">
        <v>57464</v>
      </c>
      <c t="s">
        <v>45620</v>
      </c>
      <c r="AL597" t="s">
        <v>53207</v>
      </c>
      <c r="AN597" t="s">
        <v>14509</v>
      </c>
      <c t="s">
        <v>32902</v>
      </c>
      <c t="s">
        <v>6081</v>
      </c>
      <c t="s">
        <v>3093</v>
      </c>
      <c t="s">
        <v>48563</v>
      </c>
    </row>
    <row>
      <c t="s">
        <v>17594</v>
      </c>
      <c t="s">
        <v>61898</v>
      </c>
      <c t="s">
        <v>46093</v>
      </c>
      <c t="s">
        <v>6969</v>
      </c>
      <c t="s">
        <v>48920</v>
      </c>
      <c s="3">
        <v>95278</v>
      </c>
      <c s="3">
        <v>95278</v>
      </c>
      <c s="3">
        <v>95278</v>
      </c>
      <c>
        <v>0</v>
      </c>
      <c s="3">
        <v>0</v>
      </c>
      <c s="3">
        <v>1300.69</v>
      </c>
      <c s="3">
        <v>95278</v>
      </c>
      <c r="O598" s="1" t="str">
        <f ca="1">HYPERLINK("https://web.datatree.com/?/property?propertyId=32157961", "https://web.datatree.com/?/property?propertyId=32157961")</f>
        <v>https://web.datatree.com/?/property?propertyId=32157961</v>
      </c>
      <c r="Q598" t="s">
        <v>316</v>
      </c>
      <c>
        <v>0.273</v>
      </c>
      <c t="s">
        <v>5471</v>
      </c>
      <c t="s">
        <v>30490</v>
      </c>
      <c t="s">
        <v>44478</v>
      </c>
      <c t="s">
        <v>42801</v>
      </c>
      <c t="s">
        <v>44478</v>
      </c>
      <c t="s">
        <v>58637</v>
      </c>
      <c t="s">
        <v>7937</v>
      </c>
      <c t="s">
        <v>65059</v>
      </c>
      <c t="s">
        <v>39289</v>
      </c>
      <c>
        <v>33905</v>
      </c>
      <c t="s">
        <v>4126</v>
      </c>
      <c t="s">
        <v>48794</v>
      </c>
      <c t="s">
        <v>20792</v>
      </c>
      <c>
        <v>530</v>
      </c>
      <c r="AI598" t="s">
        <v>33872</v>
      </c>
      <c t="s">
        <v>37781</v>
      </c>
      <c r="AL598" t="s">
        <v>1683</v>
      </c>
      <c r="AN598" t="s">
        <v>3034</v>
      </c>
      <c t="s">
        <v>33538</v>
      </c>
      <c t="s">
        <v>47017</v>
      </c>
      <c t="s">
        <v>3093</v>
      </c>
      <c t="s">
        <v>23443</v>
      </c>
    </row>
    <row>
      <c t="s">
        <v>17594</v>
      </c>
      <c t="s">
        <v>16978</v>
      </c>
      <c t="s">
        <v>17748</v>
      </c>
      <c t="s">
        <v>16687</v>
      </c>
      <c t="s">
        <v>50735</v>
      </c>
      <c s="3">
        <v>8100</v>
      </c>
      <c s="3">
        <v>8100</v>
      </c>
      <c s="3">
        <v>8100</v>
      </c>
      <c>
        <v>0</v>
      </c>
      <c s="3">
        <v>0</v>
      </c>
      <c s="3">
        <v>696.21</v>
      </c>
      <c s="3">
        <v>8100</v>
      </c>
      <c r="O599" s="1" t="str">
        <f ca="1">HYPERLINK("https://web.datatree.com/?/property?propertyId=32158240", "https://web.datatree.com/?/property?propertyId=32158240")</f>
        <v>https://web.datatree.com/?/property?propertyId=32158240</v>
      </c>
      <c r="Q599" t="s">
        <v>316</v>
      </c>
      <c>
        <v>0.282</v>
      </c>
      <c t="s">
        <v>6175</v>
      </c>
      <c t="s">
        <v>34956</v>
      </c>
      <c t="s">
        <v>63451</v>
      </c>
      <c r="X599" t="s">
        <v>7407</v>
      </c>
      <c t="s">
        <v>60363</v>
      </c>
      <c t="s">
        <v>2517</v>
      </c>
      <c t="s">
        <v>39289</v>
      </c>
      <c>
        <v>33909</v>
      </c>
      <c t="s">
        <v>17144</v>
      </c>
      <c t="s">
        <v>48794</v>
      </c>
      <c t="s">
        <v>61880</v>
      </c>
      <c>
        <v>2936</v>
      </c>
      <c r="AI599" t="s">
        <v>64633</v>
      </c>
      <c t="s">
        <v>40123</v>
      </c>
      <c r="AL599" t="s">
        <v>11713</v>
      </c>
      <c r="AN599" t="s">
        <v>39289</v>
      </c>
      <c t="s">
        <v>22530</v>
      </c>
      <c t="s">
        <v>50258</v>
      </c>
      <c t="s">
        <v>3093</v>
      </c>
      <c t="s">
        <v>34991</v>
      </c>
    </row>
    <row>
      <c t="s">
        <v>17594</v>
      </c>
      <c t="s">
        <v>34507</v>
      </c>
      <c t="s">
        <v>10381</v>
      </c>
      <c t="s">
        <v>17099</v>
      </c>
      <c t="s">
        <v>37506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600" s="1" t="str">
        <f ca="1">HYPERLINK("https://web.datatree.com/?/property?propertyId=32158959", "https://web.datatree.com/?/property?propertyId=32158959")</f>
        <v>https://web.datatree.com/?/property?propertyId=32158959</v>
      </c>
      <c r="Q600" t="s">
        <v>316</v>
      </c>
      <c>
        <v>0.242</v>
      </c>
      <c t="s">
        <v>42044</v>
      </c>
      <c t="s">
        <v>23659</v>
      </c>
      <c t="s">
        <v>66183</v>
      </c>
      <c r="X600" t="s">
        <v>21390</v>
      </c>
      <c t="s">
        <v>13478</v>
      </c>
      <c t="s">
        <v>2517</v>
      </c>
      <c t="s">
        <v>39289</v>
      </c>
      <c>
        <v>33909</v>
      </c>
      <c t="s">
        <v>50867</v>
      </c>
      <c t="s">
        <v>48794</v>
      </c>
      <c t="s">
        <v>9242</v>
      </c>
      <c>
        <v>852</v>
      </c>
      <c r="AI600" t="s">
        <v>13002</v>
      </c>
      <c t="s">
        <v>24900</v>
      </c>
      <c>
        <v>3</v>
      </c>
      <c t="s">
        <v>13883</v>
      </c>
      <c r="AN600" t="s">
        <v>10909</v>
      </c>
      <c t="s">
        <v>19933</v>
      </c>
      <c r="AQ600" t="s">
        <v>27814</v>
      </c>
      <c t="s">
        <v>25028</v>
      </c>
    </row>
    <row>
      <c t="s">
        <v>17594</v>
      </c>
      <c t="s">
        <v>1442</v>
      </c>
      <c t="s">
        <v>35317</v>
      </c>
      <c t="s">
        <v>12158</v>
      </c>
      <c t="s">
        <v>45609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601" s="1" t="str">
        <f ca="1">HYPERLINK("https://web.datatree.com/?/property?propertyId=32159010", "https://web.datatree.com/?/property?propertyId=32159010")</f>
        <v>https://web.datatree.com/?/property?propertyId=32159010</v>
      </c>
      <c r="Q601" t="s">
        <v>316</v>
      </c>
      <c>
        <v>0.23</v>
      </c>
      <c t="s">
        <v>6175</v>
      </c>
      <c t="s">
        <v>19112</v>
      </c>
      <c t="s">
        <v>9106</v>
      </c>
      <c r="X601" t="s">
        <v>11445</v>
      </c>
      <c t="s">
        <v>50440</v>
      </c>
      <c t="s">
        <v>2517</v>
      </c>
      <c t="s">
        <v>39289</v>
      </c>
      <c>
        <v>33909</v>
      </c>
      <c t="s">
        <v>3221</v>
      </c>
      <c t="s">
        <v>48794</v>
      </c>
      <c t="s">
        <v>56278</v>
      </c>
      <c>
        <v>694</v>
      </c>
      <c r="AI601" t="s">
        <v>15117</v>
      </c>
      <c t="s">
        <v>31192</v>
      </c>
      <c r="AL601" t="s">
        <v>33286</v>
      </c>
      <c r="AN601" t="s">
        <v>26016</v>
      </c>
      <c t="s">
        <v>33628</v>
      </c>
      <c t="s">
        <v>17380</v>
      </c>
      <c t="s">
        <v>3093</v>
      </c>
      <c t="s">
        <v>31608</v>
      </c>
    </row>
    <row>
      <c t="s">
        <v>17594</v>
      </c>
      <c t="s">
        <v>63874</v>
      </c>
      <c t="s">
        <v>28042</v>
      </c>
      <c t="s">
        <v>1039</v>
      </c>
      <c t="s">
        <v>17756</v>
      </c>
      <c s="3">
        <v>131946</v>
      </c>
      <c s="3">
        <v>131946</v>
      </c>
      <c s="3">
        <v>75020</v>
      </c>
      <c>
        <v>0</v>
      </c>
      <c s="3">
        <v>0</v>
      </c>
      <c s="3">
        <v>1945.9</v>
      </c>
      <c s="3">
        <v>131946</v>
      </c>
      <c r="O602" s="1" t="str">
        <f ca="1">HYPERLINK("https://web.datatree.com/?/property?propertyId=32159243", "https://web.datatree.com/?/property?propertyId=32159243")</f>
        <v>https://web.datatree.com/?/property?propertyId=32159243</v>
      </c>
      <c r="Q602" t="s">
        <v>316</v>
      </c>
      <c>
        <v>0.266</v>
      </c>
      <c t="s">
        <v>22490</v>
      </c>
      <c t="s">
        <v>41812</v>
      </c>
      <c t="s">
        <v>35142</v>
      </c>
      <c r="X602" t="s">
        <v>59917</v>
      </c>
      <c t="s">
        <v>33335</v>
      </c>
      <c t="s">
        <v>2517</v>
      </c>
      <c t="s">
        <v>39289</v>
      </c>
      <c>
        <v>33904</v>
      </c>
      <c t="s">
        <v>59203</v>
      </c>
      <c t="s">
        <v>48794</v>
      </c>
      <c t="s">
        <v>53302</v>
      </c>
      <c t="str">
        <f>"26-28"</f>
        <v>26-28</v>
      </c>
      <c r="AI602" t="s">
        <v>62918</v>
      </c>
      <c r="AL602" t="s">
        <v>4426</v>
      </c>
      <c r="AN602" t="s">
        <v>63985</v>
      </c>
      <c>
        <v>90556</v>
      </c>
      <c r="AR602" t="s">
        <v>47241</v>
      </c>
    </row>
    <row>
      <c t="s">
        <v>17594</v>
      </c>
      <c t="s">
        <v>61593</v>
      </c>
      <c t="s">
        <v>58152</v>
      </c>
      <c t="s">
        <v>13009</v>
      </c>
      <c t="s">
        <v>21719</v>
      </c>
      <c s="3">
        <v>25675</v>
      </c>
      <c s="3">
        <v>25675</v>
      </c>
      <c s="3">
        <v>9599</v>
      </c>
      <c>
        <v>0</v>
      </c>
      <c s="3">
        <v>0</v>
      </c>
      <c s="3">
        <v>709.78</v>
      </c>
      <c s="3">
        <v>25675</v>
      </c>
      <c r="O603" s="1" t="str">
        <f ca="1">HYPERLINK("https://web.datatree.com/?/property?propertyId=32159303", "https://web.datatree.com/?/property?propertyId=32159303")</f>
        <v>https://web.datatree.com/?/property?propertyId=32159303</v>
      </c>
      <c r="Q603" t="s">
        <v>316</v>
      </c>
      <c>
        <v>0.344</v>
      </c>
      <c t="s">
        <v>15461</v>
      </c>
      <c t="s">
        <v>55174</v>
      </c>
      <c t="s">
        <v>20391</v>
      </c>
      <c r="X603" t="s">
        <v>40586</v>
      </c>
      <c t="s">
        <v>61850</v>
      </c>
      <c t="s">
        <v>2517</v>
      </c>
      <c t="s">
        <v>39289</v>
      </c>
      <c>
        <v>33909</v>
      </c>
      <c t="s">
        <v>46218</v>
      </c>
      <c t="s">
        <v>48794</v>
      </c>
      <c t="s">
        <v>6837</v>
      </c>
      <c>
        <v>965</v>
      </c>
      <c r="AI603" t="s">
        <v>62114</v>
      </c>
      <c t="s">
        <v>56275</v>
      </c>
      <c r="AL603" t="s">
        <v>52025</v>
      </c>
      <c r="AN603" t="s">
        <v>18236</v>
      </c>
      <c t="s">
        <v>32725</v>
      </c>
      <c t="s">
        <v>36802</v>
      </c>
      <c t="s">
        <v>3093</v>
      </c>
      <c t="s">
        <v>6573</v>
      </c>
    </row>
    <row>
      <c t="s">
        <v>17594</v>
      </c>
      <c t="s">
        <v>31717</v>
      </c>
      <c t="s">
        <v>29200</v>
      </c>
      <c t="s">
        <v>19321</v>
      </c>
      <c t="s">
        <v>10845</v>
      </c>
      <c s="3">
        <v>12544</v>
      </c>
      <c s="3">
        <v>12544</v>
      </c>
      <c s="3">
        <v>4972</v>
      </c>
      <c>
        <v>0</v>
      </c>
      <c s="3">
        <v>0</v>
      </c>
      <c s="3">
        <v>327.07</v>
      </c>
      <c s="3">
        <v>12544</v>
      </c>
      <c r="O604" s="1" t="str">
        <f ca="1">HYPERLINK("https://web.datatree.com/?/property?propertyId=32159457", "https://web.datatree.com/?/property?propertyId=32159457")</f>
        <v>https://web.datatree.com/?/property?propertyId=32159457</v>
      </c>
      <c r="Q604" t="s">
        <v>316</v>
      </c>
      <c>
        <v>0.319</v>
      </c>
      <c t="s">
        <v>5471</v>
      </c>
      <c t="s">
        <v>44722</v>
      </c>
      <c t="s">
        <v>37049</v>
      </c>
      <c r="X604" t="s">
        <v>15990</v>
      </c>
      <c t="s">
        <v>20199</v>
      </c>
      <c t="s">
        <v>65059</v>
      </c>
      <c t="s">
        <v>39289</v>
      </c>
      <c>
        <v>33905</v>
      </c>
      <c t="s">
        <v>59368</v>
      </c>
      <c t="s">
        <v>48794</v>
      </c>
      <c t="s">
        <v>36759</v>
      </c>
      <c>
        <v>25</v>
      </c>
      <c r="AI604" t="s">
        <v>9949</v>
      </c>
      <c t="s">
        <v>45620</v>
      </c>
      <c r="AL604" t="s">
        <v>53615</v>
      </c>
      <c r="AN604" t="s">
        <v>10909</v>
      </c>
      <c t="s">
        <v>66223</v>
      </c>
      <c r="AQ604" t="s">
        <v>27814</v>
      </c>
      <c t="s">
        <v>65718</v>
      </c>
    </row>
    <row>
      <c t="s">
        <v>17594</v>
      </c>
      <c t="s">
        <v>58722</v>
      </c>
      <c t="s">
        <v>55673</v>
      </c>
      <c t="s">
        <v>19964</v>
      </c>
      <c t="s">
        <v>56542</v>
      </c>
      <c s="3">
        <v>23623</v>
      </c>
      <c s="3">
        <v>23623</v>
      </c>
      <c s="3">
        <v>11000</v>
      </c>
      <c>
        <v>0</v>
      </c>
      <c s="3">
        <v>0</v>
      </c>
      <c s="3">
        <v>622.94</v>
      </c>
      <c s="3">
        <v>23623</v>
      </c>
      <c r="O605" s="1" t="str">
        <f ca="1">HYPERLINK("https://web.datatree.com/?/property?propertyId=32160090", "https://web.datatree.com/?/property?propertyId=32160090")</f>
        <v>https://web.datatree.com/?/property?propertyId=32160090</v>
      </c>
      <c r="Q605" t="s">
        <v>316</v>
      </c>
      <c>
        <v>0.23</v>
      </c>
      <c t="s">
        <v>22490</v>
      </c>
      <c t="s">
        <v>32056</v>
      </c>
      <c t="s">
        <v>54452</v>
      </c>
      <c r="X605" t="s">
        <v>65030</v>
      </c>
      <c t="s">
        <v>66701</v>
      </c>
      <c t="s">
        <v>2517</v>
      </c>
      <c t="s">
        <v>39289</v>
      </c>
      <c>
        <v>33909</v>
      </c>
      <c t="s">
        <v>61226</v>
      </c>
      <c t="s">
        <v>48794</v>
      </c>
      <c t="s">
        <v>1453</v>
      </c>
      <c>
        <v>3867</v>
      </c>
      <c r="AI605" t="s">
        <v>50567</v>
      </c>
      <c t="s">
        <v>45620</v>
      </c>
      <c r="AL605" t="s">
        <v>216</v>
      </c>
      <c r="AN605" t="s">
        <v>66651</v>
      </c>
      <c t="s">
        <v>22006</v>
      </c>
      <c t="s">
        <v>45980</v>
      </c>
      <c t="s">
        <v>3093</v>
      </c>
      <c t="s">
        <v>13225</v>
      </c>
    </row>
    <row>
      <c t="s">
        <v>17594</v>
      </c>
      <c t="s">
        <v>2729</v>
      </c>
      <c t="s">
        <v>34122</v>
      </c>
      <c t="s">
        <v>4188</v>
      </c>
      <c t="s">
        <v>34978</v>
      </c>
      <c s="3">
        <v>8400</v>
      </c>
      <c s="3">
        <v>8400</v>
      </c>
      <c s="3">
        <v>8400</v>
      </c>
      <c>
        <v>0</v>
      </c>
      <c s="3">
        <v>0</v>
      </c>
      <c s="3">
        <v>694.27</v>
      </c>
      <c s="3">
        <v>8400</v>
      </c>
      <c r="O606" s="1" t="str">
        <f ca="1">HYPERLINK("https://web.datatree.com/?/property?propertyId=32160194", "https://web.datatree.com/?/property?propertyId=32160194")</f>
        <v>https://web.datatree.com/?/property?propertyId=32160194</v>
      </c>
      <c r="Q606" t="s">
        <v>316</v>
      </c>
      <c>
        <v>0.24</v>
      </c>
      <c t="s">
        <v>22490</v>
      </c>
      <c t="s">
        <v>33614</v>
      </c>
      <c t="s">
        <v>43553</v>
      </c>
      <c r="X606" t="s">
        <v>17637</v>
      </c>
      <c t="s">
        <v>47150</v>
      </c>
      <c t="s">
        <v>2517</v>
      </c>
      <c t="s">
        <v>39289</v>
      </c>
      <c>
        <v>33909</v>
      </c>
      <c t="s">
        <v>12002</v>
      </c>
      <c t="s">
        <v>48794</v>
      </c>
      <c t="s">
        <v>43176</v>
      </c>
      <c>
        <v>14233</v>
      </c>
      <c r="AI606" t="s">
        <v>47282</v>
      </c>
      <c t="s">
        <v>835</v>
      </c>
      <c r="AL606" t="s">
        <v>43764</v>
      </c>
      <c r="AN606" t="s">
        <v>56163</v>
      </c>
      <c t="s">
        <v>20014</v>
      </c>
      <c t="s">
        <v>50779</v>
      </c>
      <c t="s">
        <v>3093</v>
      </c>
      <c t="s">
        <v>28164</v>
      </c>
    </row>
    <row>
      <c t="s">
        <v>17594</v>
      </c>
      <c t="s">
        <v>22739</v>
      </c>
      <c t="s">
        <v>66840</v>
      </c>
      <c t="s">
        <v>29975</v>
      </c>
      <c t="s">
        <v>46360</v>
      </c>
      <c s="3">
        <v>7500</v>
      </c>
      <c s="3">
        <v>7500</v>
      </c>
      <c s="3">
        <v>7500</v>
      </c>
      <c>
        <v>0</v>
      </c>
      <c s="3">
        <v>0</v>
      </c>
      <c s="3">
        <v>623.83</v>
      </c>
      <c s="3">
        <v>7500</v>
      </c>
      <c r="O607" s="1" t="str">
        <f ca="1">HYPERLINK("https://web.datatree.com/?/property?propertyId=32160661", "https://web.datatree.com/?/property?propertyId=32160661")</f>
        <v>https://web.datatree.com/?/property?propertyId=32160661</v>
      </c>
      <c r="Q607" t="s">
        <v>316</v>
      </c>
      <c>
        <v>0.23</v>
      </c>
      <c t="s">
        <v>6175</v>
      </c>
      <c t="s">
        <v>34140</v>
      </c>
      <c t="s">
        <v>54727</v>
      </c>
      <c t="s">
        <v>22138</v>
      </c>
      <c t="s">
        <v>54727</v>
      </c>
      <c t="s">
        <v>44374</v>
      </c>
      <c t="s">
        <v>13065</v>
      </c>
      <c t="s">
        <v>2517</v>
      </c>
      <c t="s">
        <v>39289</v>
      </c>
      <c>
        <v>33909</v>
      </c>
      <c t="s">
        <v>23356</v>
      </c>
      <c t="s">
        <v>48794</v>
      </c>
      <c t="s">
        <v>13159</v>
      </c>
      <c>
        <v>5280</v>
      </c>
      <c r="AI607" t="s">
        <v>39574</v>
      </c>
      <c t="s">
        <v>48479</v>
      </c>
      <c r="AL607" t="s">
        <v>16062</v>
      </c>
      <c r="AN607" t="s">
        <v>10909</v>
      </c>
      <c t="s">
        <v>12644</v>
      </c>
      <c r="AQ607" t="s">
        <v>27814</v>
      </c>
      <c t="s">
        <v>16989</v>
      </c>
    </row>
    <row>
      <c t="s">
        <v>17594</v>
      </c>
      <c t="s">
        <v>59246</v>
      </c>
      <c t="s">
        <v>11766</v>
      </c>
      <c t="s">
        <v>40761</v>
      </c>
      <c t="s">
        <v>36483</v>
      </c>
      <c s="3">
        <v>20002</v>
      </c>
      <c s="3">
        <v>20002</v>
      </c>
      <c s="3">
        <v>9570</v>
      </c>
      <c>
        <v>0</v>
      </c>
      <c s="3">
        <v>0</v>
      </c>
      <c s="3">
        <v>583.58</v>
      </c>
      <c s="3">
        <v>20002</v>
      </c>
      <c>
        <v>2021</v>
      </c>
      <c>
        <v>605.74</v>
      </c>
      <c s="1" t="str">
        <f ca="1">HYPERLINK("https://web.datatree.com/?/property?propertyId=32160755", "https://web.datatree.com/?/property?propertyId=32160755")</f>
        <v>https://web.datatree.com/?/property?propertyId=32160755</v>
      </c>
      <c r="Q608" t="s">
        <v>316</v>
      </c>
      <c>
        <v>0.23</v>
      </c>
      <c t="s">
        <v>6175</v>
      </c>
      <c t="s">
        <v>14808</v>
      </c>
      <c t="s">
        <v>37846</v>
      </c>
      <c r="X608" t="s">
        <v>39088</v>
      </c>
      <c t="s">
        <v>22731</v>
      </c>
      <c t="s">
        <v>2517</v>
      </c>
      <c t="s">
        <v>39289</v>
      </c>
      <c>
        <v>33909</v>
      </c>
      <c t="s">
        <v>28026</v>
      </c>
      <c t="s">
        <v>48794</v>
      </c>
      <c t="s">
        <v>24673</v>
      </c>
      <c>
        <v>249</v>
      </c>
      <c r="AI608" t="s">
        <v>23517</v>
      </c>
      <c t="s">
        <v>24900</v>
      </c>
      <c r="AL608" t="s">
        <v>55393</v>
      </c>
      <c t="s">
        <v>55393</v>
      </c>
      <c t="s">
        <v>39289</v>
      </c>
      <c t="s">
        <v>62253</v>
      </c>
      <c t="s">
        <v>12399</v>
      </c>
      <c t="s">
        <v>3093</v>
      </c>
      <c t="s">
        <v>925</v>
      </c>
    </row>
    <row>
      <c t="s">
        <v>17594</v>
      </c>
      <c t="s">
        <v>734</v>
      </c>
      <c t="s">
        <v>60606</v>
      </c>
      <c t="s">
        <v>42062</v>
      </c>
      <c t="s">
        <v>18021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609" s="1" t="str">
        <f ca="1">HYPERLINK("https://web.datatree.com/?/property?propertyId=32161082", "https://web.datatree.com/?/property?propertyId=32161082")</f>
        <v>https://web.datatree.com/?/property?propertyId=32161082</v>
      </c>
      <c r="Q609" t="s">
        <v>316</v>
      </c>
      <c>
        <v>0.23</v>
      </c>
      <c t="s">
        <v>6175</v>
      </c>
      <c t="s">
        <v>44541</v>
      </c>
      <c t="s">
        <v>63573</v>
      </c>
      <c t="s">
        <v>1272</v>
      </c>
      <c t="s">
        <v>63573</v>
      </c>
      <c t="s">
        <v>34174</v>
      </c>
      <c t="s">
        <v>47150</v>
      </c>
      <c t="s">
        <v>2517</v>
      </c>
      <c t="s">
        <v>39289</v>
      </c>
      <c>
        <v>33909</v>
      </c>
      <c t="s">
        <v>39450</v>
      </c>
      <c t="s">
        <v>48794</v>
      </c>
      <c t="s">
        <v>12445</v>
      </c>
      <c>
        <v>16897</v>
      </c>
      <c r="AI609" t="s">
        <v>62319</v>
      </c>
      <c t="s">
        <v>45620</v>
      </c>
      <c r="AL609" t="s">
        <v>17788</v>
      </c>
      <c r="AN609" t="s">
        <v>17134</v>
      </c>
      <c t="s">
        <v>35503</v>
      </c>
      <c t="s">
        <v>37948</v>
      </c>
      <c t="s">
        <v>3093</v>
      </c>
      <c t="s">
        <v>17724</v>
      </c>
    </row>
    <row>
      <c t="s">
        <v>17594</v>
      </c>
      <c t="s">
        <v>38781</v>
      </c>
      <c t="s">
        <v>8784</v>
      </c>
      <c t="s">
        <v>38710</v>
      </c>
      <c t="s">
        <v>27368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610" s="1" t="str">
        <f ca="1">HYPERLINK("https://web.datatree.com/?/property?propertyId=32161441", "https://web.datatree.com/?/property?propertyId=32161441")</f>
        <v>https://web.datatree.com/?/property?propertyId=32161441</v>
      </c>
      <c r="Q610" t="s">
        <v>316</v>
      </c>
      <c>
        <v>0.23</v>
      </c>
      <c t="s">
        <v>45031</v>
      </c>
      <c t="s">
        <v>26000</v>
      </c>
      <c t="s">
        <v>50793</v>
      </c>
      <c r="X610" t="s">
        <v>43538</v>
      </c>
      <c t="s">
        <v>22731</v>
      </c>
      <c t="s">
        <v>2517</v>
      </c>
      <c t="s">
        <v>39289</v>
      </c>
      <c>
        <v>33909</v>
      </c>
      <c t="s">
        <v>50233</v>
      </c>
      <c t="s">
        <v>48794</v>
      </c>
      <c t="s">
        <v>26512</v>
      </c>
      <c>
        <v>901</v>
      </c>
      <c r="AI610" t="s">
        <v>39832</v>
      </c>
      <c t="s">
        <v>45393</v>
      </c>
      <c r="AL610" t="s">
        <v>27902</v>
      </c>
      <c t="s">
        <v>27902</v>
      </c>
      <c t="s">
        <v>4477</v>
      </c>
      <c t="s">
        <v>21992</v>
      </c>
      <c t="s">
        <v>5800</v>
      </c>
      <c t="s">
        <v>3093</v>
      </c>
      <c t="s">
        <v>59074</v>
      </c>
    </row>
    <row>
      <c t="s">
        <v>17594</v>
      </c>
      <c t="s">
        <v>48244</v>
      </c>
      <c t="s">
        <v>9882</v>
      </c>
      <c t="s">
        <v>66052</v>
      </c>
      <c t="s">
        <v>41688</v>
      </c>
      <c s="3">
        <v>52640</v>
      </c>
      <c s="3">
        <v>52640</v>
      </c>
      <c s="3">
        <v>12100</v>
      </c>
      <c>
        <v>0</v>
      </c>
      <c s="3">
        <v>0</v>
      </c>
      <c s="3">
        <v>816.47</v>
      </c>
      <c s="3">
        <v>52640</v>
      </c>
      <c r="O611" s="1" t="str">
        <f ca="1">HYPERLINK("https://web.datatree.com/?/property?propertyId=32161501", "https://web.datatree.com/?/property?propertyId=32161501")</f>
        <v>https://web.datatree.com/?/property?propertyId=32161501</v>
      </c>
      <c r="Q611" t="s">
        <v>316</v>
      </c>
      <c>
        <v>0.262</v>
      </c>
      <c t="s">
        <v>22490</v>
      </c>
      <c t="s">
        <v>44541</v>
      </c>
      <c t="s">
        <v>37283</v>
      </c>
      <c t="s">
        <v>111</v>
      </c>
      <c t="s">
        <v>37283</v>
      </c>
      <c t="s">
        <v>26634</v>
      </c>
      <c t="s">
        <v>22731</v>
      </c>
      <c t="s">
        <v>2517</v>
      </c>
      <c t="s">
        <v>39289</v>
      </c>
      <c>
        <v>33909</v>
      </c>
      <c t="s">
        <v>31156</v>
      </c>
      <c t="s">
        <v>48794</v>
      </c>
      <c t="s">
        <v>20012</v>
      </c>
      <c>
        <v>1481</v>
      </c>
      <c r="AI611" t="s">
        <v>10068</v>
      </c>
      <c t="s">
        <v>45620</v>
      </c>
      <c r="AL611" t="s">
        <v>26269</v>
      </c>
      <c r="AN611" t="s">
        <v>17134</v>
      </c>
      <c t="s">
        <v>31521</v>
      </c>
      <c t="s">
        <v>22455</v>
      </c>
      <c t="s">
        <v>3093</v>
      </c>
      <c t="s">
        <v>50163</v>
      </c>
    </row>
    <row>
      <c t="s">
        <v>17594</v>
      </c>
      <c t="s">
        <v>3554</v>
      </c>
      <c t="s">
        <v>23189</v>
      </c>
      <c t="s">
        <v>451</v>
      </c>
      <c t="s">
        <v>50537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 r="O612" s="1" t="str">
        <f ca="1">HYPERLINK("https://web.datatree.com/?/property?propertyId=32162323", "https://web.datatree.com/?/property?propertyId=32162323")</f>
        <v>https://web.datatree.com/?/property?propertyId=32162323</v>
      </c>
      <c r="Q612" t="s">
        <v>316</v>
      </c>
      <c>
        <v>0.23</v>
      </c>
      <c t="s">
        <v>6175</v>
      </c>
      <c t="s">
        <v>61272</v>
      </c>
      <c t="s">
        <v>7708</v>
      </c>
      <c t="s">
        <v>52701</v>
      </c>
      <c t="s">
        <v>7708</v>
      </c>
      <c t="s">
        <v>64796</v>
      </c>
      <c t="s">
        <v>23517</v>
      </c>
      <c t="s">
        <v>2517</v>
      </c>
      <c t="s">
        <v>39289</v>
      </c>
      <c>
        <v>33909</v>
      </c>
      <c t="s">
        <v>7124</v>
      </c>
      <c t="s">
        <v>48794</v>
      </c>
      <c t="s">
        <v>12656</v>
      </c>
      <c>
        <v>718</v>
      </c>
      <c r="AI612" t="s">
        <v>18314</v>
      </c>
      <c t="s">
        <v>24900</v>
      </c>
      <c r="AL612" t="s">
        <v>31482</v>
      </c>
      <c t="s">
        <v>31482</v>
      </c>
      <c t="s">
        <v>19878</v>
      </c>
      <c t="s">
        <v>30369</v>
      </c>
      <c t="s">
        <v>34025</v>
      </c>
      <c t="s">
        <v>3093</v>
      </c>
      <c t="s">
        <v>63945</v>
      </c>
    </row>
    <row>
      <c t="s">
        <v>17594</v>
      </c>
      <c t="s">
        <v>56111</v>
      </c>
      <c t="s">
        <v>52552</v>
      </c>
      <c t="s">
        <v>52132</v>
      </c>
      <c t="s">
        <v>55954</v>
      </c>
      <c s="3">
        <v>18082</v>
      </c>
      <c s="3">
        <v>18082</v>
      </c>
      <c s="3">
        <v>7865</v>
      </c>
      <c>
        <v>0</v>
      </c>
      <c s="3">
        <v>0</v>
      </c>
      <c s="3">
        <v>492.2</v>
      </c>
      <c s="3">
        <v>18082</v>
      </c>
      <c r="O613" s="1" t="str">
        <f ca="1">HYPERLINK("https://web.datatree.com/?/property?propertyId=32162545", "https://web.datatree.com/?/property?propertyId=32162545")</f>
        <v>https://web.datatree.com/?/property?propertyId=32162545</v>
      </c>
      <c r="Q613" t="s">
        <v>316</v>
      </c>
      <c>
        <v>0.244</v>
      </c>
      <c t="s">
        <v>6175</v>
      </c>
      <c t="s">
        <v>4011</v>
      </c>
      <c t="s">
        <v>57770</v>
      </c>
      <c r="X613" t="s">
        <v>63536</v>
      </c>
      <c t="s">
        <v>39082</v>
      </c>
      <c t="s">
        <v>2517</v>
      </c>
      <c t="s">
        <v>39289</v>
      </c>
      <c>
        <v>33909</v>
      </c>
      <c t="s">
        <v>21047</v>
      </c>
      <c t="s">
        <v>48794</v>
      </c>
      <c t="s">
        <v>27552</v>
      </c>
      <c>
        <v>346</v>
      </c>
      <c r="AI613" t="s">
        <v>30265</v>
      </c>
      <c t="s">
        <v>24900</v>
      </c>
      <c r="AL613" t="s">
        <v>66317</v>
      </c>
      <c r="AN613" t="s">
        <v>50917</v>
      </c>
      <c t="s">
        <v>16375</v>
      </c>
      <c t="s">
        <v>33029</v>
      </c>
      <c t="s">
        <v>3093</v>
      </c>
      <c t="s">
        <v>35009</v>
      </c>
    </row>
    <row>
      <c t="s">
        <v>17594</v>
      </c>
      <c t="s">
        <v>40402</v>
      </c>
      <c t="s">
        <v>67158</v>
      </c>
      <c t="s">
        <v>62760</v>
      </c>
      <c t="s">
        <v>35869</v>
      </c>
      <c s="3">
        <v>12544</v>
      </c>
      <c s="3">
        <v>12544</v>
      </c>
      <c s="3">
        <v>7700</v>
      </c>
      <c>
        <v>0</v>
      </c>
      <c s="3">
        <v>0</v>
      </c>
      <c s="3">
        <v>151.6</v>
      </c>
      <c s="3">
        <v>12544</v>
      </c>
      <c r="O614" s="1" t="str">
        <f ca="1">HYPERLINK("https://web.datatree.com/?/property?propertyId=32163069", "https://web.datatree.com/?/property?propertyId=32163069")</f>
        <v>https://web.datatree.com/?/property?propertyId=32163069</v>
      </c>
      <c r="Q614" t="s">
        <v>316</v>
      </c>
      <c>
        <v>0.249</v>
      </c>
      <c t="s">
        <v>5471</v>
      </c>
      <c t="s">
        <v>11444</v>
      </c>
      <c t="s">
        <v>60595</v>
      </c>
      <c r="X614" t="s">
        <v>22754</v>
      </c>
      <c t="s">
        <v>55413</v>
      </c>
      <c t="s">
        <v>65059</v>
      </c>
      <c t="s">
        <v>39289</v>
      </c>
      <c>
        <v>33905</v>
      </c>
      <c t="s">
        <v>30155</v>
      </c>
      <c t="s">
        <v>48794</v>
      </c>
      <c t="s">
        <v>35100</v>
      </c>
      <c>
        <v>1300</v>
      </c>
      <c r="AI614" t="s">
        <v>45124</v>
      </c>
      <c r="AL614" t="s">
        <v>3217</v>
      </c>
      <c r="AN614" t="s">
        <v>17134</v>
      </c>
      <c t="s">
        <v>37216</v>
      </c>
      <c t="s">
        <v>14695</v>
      </c>
      <c t="s">
        <v>3093</v>
      </c>
      <c t="s">
        <v>45473</v>
      </c>
    </row>
    <row>
      <c t="s">
        <v>17594</v>
      </c>
      <c t="s">
        <v>59803</v>
      </c>
      <c t="s">
        <v>14064</v>
      </c>
      <c t="s">
        <v>65793</v>
      </c>
      <c t="s">
        <v>55424</v>
      </c>
      <c s="3">
        <v>7200</v>
      </c>
      <c s="3">
        <v>7200</v>
      </c>
      <c s="3">
        <v>7200</v>
      </c>
      <c>
        <v>0</v>
      </c>
      <c s="3">
        <v>0</v>
      </c>
      <c s="3">
        <v>513.78</v>
      </c>
      <c s="3">
        <v>7200</v>
      </c>
      <c>
        <v>2021</v>
      </c>
      <c>
        <v>543.26</v>
      </c>
      <c s="1" t="str">
        <f ca="1">HYPERLINK("https://web.datatree.com/?/property?propertyId=32163826", "https://web.datatree.com/?/property?propertyId=32163826")</f>
        <v>https://web.datatree.com/?/property?propertyId=32163826</v>
      </c>
      <c r="Q615" t="s">
        <v>316</v>
      </c>
      <c>
        <v>0.259</v>
      </c>
      <c t="s">
        <v>6175</v>
      </c>
      <c t="s">
        <v>6153</v>
      </c>
      <c t="s">
        <v>23861</v>
      </c>
      <c r="W615" t="s">
        <v>21555</v>
      </c>
      <c t="s">
        <v>10000</v>
      </c>
      <c t="s">
        <v>18679</v>
      </c>
      <c t="s">
        <v>2517</v>
      </c>
      <c t="s">
        <v>39289</v>
      </c>
      <c>
        <v>33909</v>
      </c>
      <c t="s">
        <v>53386</v>
      </c>
      <c t="s">
        <v>48794</v>
      </c>
      <c t="s">
        <v>53768</v>
      </c>
      <c>
        <v>1105</v>
      </c>
      <c r="AH615" t="s">
        <v>26580</v>
      </c>
      <c t="s">
        <v>56489</v>
      </c>
      <c r="AK615" t="s">
        <v>25384</v>
      </c>
      <c t="s">
        <v>17648</v>
      </c>
      <c r="AN615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42015</v>
      </c>
      <c t="s">
        <v>10950</v>
      </c>
      <c t="s">
        <v>28181</v>
      </c>
      <c t="s">
        <v>50012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616" s="1" t="str">
        <f ca="1">HYPERLINK("https://web.datatree.com/?/property?propertyId=32164955", "https://web.datatree.com/?/property?propertyId=32164955")</f>
        <v>https://web.datatree.com/?/property?propertyId=32164955</v>
      </c>
      <c r="Q616" t="s">
        <v>316</v>
      </c>
      <c>
        <v>0.23</v>
      </c>
      <c t="s">
        <v>6175</v>
      </c>
      <c t="s">
        <v>49864</v>
      </c>
      <c t="s">
        <v>50957</v>
      </c>
      <c t="s">
        <v>37856</v>
      </c>
      <c t="s">
        <v>50957</v>
      </c>
      <c t="s">
        <v>30776</v>
      </c>
      <c t="s">
        <v>30928</v>
      </c>
      <c t="s">
        <v>2517</v>
      </c>
      <c t="s">
        <v>39289</v>
      </c>
      <c>
        <v>33909</v>
      </c>
      <c t="s">
        <v>11164</v>
      </c>
      <c t="s">
        <v>48794</v>
      </c>
      <c t="s">
        <v>10747</v>
      </c>
      <c>
        <v>9470</v>
      </c>
      <c r="AI616" t="s">
        <v>49769</v>
      </c>
      <c t="s">
        <v>45620</v>
      </c>
      <c r="AL616" t="s">
        <v>61974</v>
      </c>
      <c r="AN616" t="s">
        <v>10909</v>
      </c>
      <c t="s">
        <v>25443</v>
      </c>
      <c r="AQ616" t="s">
        <v>27814</v>
      </c>
      <c t="s">
        <v>42124</v>
      </c>
    </row>
    <row>
      <c t="s">
        <v>17594</v>
      </c>
      <c t="s">
        <v>55323</v>
      </c>
      <c t="s">
        <v>39984</v>
      </c>
      <c t="s">
        <v>41225</v>
      </c>
      <c t="s">
        <v>33770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617" s="1" t="str">
        <f ca="1">HYPERLINK("https://web.datatree.com/?/property?propertyId=32165287", "https://web.datatree.com/?/property?propertyId=32165287")</f>
        <v>https://web.datatree.com/?/property?propertyId=32165287</v>
      </c>
      <c r="Q617" t="s">
        <v>316</v>
      </c>
      <c>
        <v>0.23</v>
      </c>
      <c t="s">
        <v>6175</v>
      </c>
      <c t="s">
        <v>27704</v>
      </c>
      <c t="s">
        <v>13495</v>
      </c>
      <c r="X617" t="s">
        <v>27025</v>
      </c>
      <c t="s">
        <v>38550</v>
      </c>
      <c t="s">
        <v>2517</v>
      </c>
      <c t="s">
        <v>39289</v>
      </c>
      <c>
        <v>33909</v>
      </c>
      <c t="s">
        <v>30977</v>
      </c>
      <c t="s">
        <v>48794</v>
      </c>
      <c t="s">
        <v>13774</v>
      </c>
      <c>
        <v>2571</v>
      </c>
      <c r="AI617" t="s">
        <v>30928</v>
      </c>
      <c t="s">
        <v>45393</v>
      </c>
      <c r="AL617" t="s">
        <v>8109</v>
      </c>
      <c t="s">
        <v>13397</v>
      </c>
      <c t="s">
        <v>50917</v>
      </c>
      <c t="s">
        <v>24951</v>
      </c>
      <c t="s">
        <v>22613</v>
      </c>
      <c t="s">
        <v>3093</v>
      </c>
      <c t="s">
        <v>26260</v>
      </c>
    </row>
    <row>
      <c t="s">
        <v>17594</v>
      </c>
      <c t="s">
        <v>9337</v>
      </c>
      <c t="s">
        <v>19158</v>
      </c>
      <c t="s">
        <v>14367</v>
      </c>
      <c t="s">
        <v>39631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618" s="1" t="str">
        <f ca="1">HYPERLINK("https://web.datatree.com/?/property?propertyId=32165623", "https://web.datatree.com/?/property?propertyId=32165623")</f>
        <v>https://web.datatree.com/?/property?propertyId=32165623</v>
      </c>
      <c r="Q618" t="s">
        <v>316</v>
      </c>
      <c>
        <v>0.23</v>
      </c>
      <c t="s">
        <v>6175</v>
      </c>
      <c t="s">
        <v>18746</v>
      </c>
      <c t="s">
        <v>44319</v>
      </c>
      <c t="s">
        <v>64772</v>
      </c>
      <c t="s">
        <v>66828</v>
      </c>
      <c t="s">
        <v>1672</v>
      </c>
      <c t="s">
        <v>38550</v>
      </c>
      <c t="s">
        <v>2517</v>
      </c>
      <c t="s">
        <v>39289</v>
      </c>
      <c>
        <v>33909</v>
      </c>
      <c t="s">
        <v>2353</v>
      </c>
      <c t="s">
        <v>48794</v>
      </c>
      <c t="s">
        <v>61315</v>
      </c>
      <c>
        <v>1502</v>
      </c>
      <c r="AI618" t="s">
        <v>60532</v>
      </c>
      <c t="s">
        <v>31192</v>
      </c>
      <c r="AL618" t="s">
        <v>56260</v>
      </c>
      <c r="AN618" t="s">
        <v>49572</v>
      </c>
      <c t="s">
        <v>31583</v>
      </c>
      <c t="s">
        <v>40645</v>
      </c>
      <c t="s">
        <v>3093</v>
      </c>
      <c t="s">
        <v>60973</v>
      </c>
    </row>
    <row>
      <c t="s">
        <v>17594</v>
      </c>
      <c t="s">
        <v>39672</v>
      </c>
      <c t="s">
        <v>24898</v>
      </c>
      <c t="s">
        <v>33441</v>
      </c>
      <c t="s">
        <v>59498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619" s="1" t="str">
        <f ca="1">HYPERLINK("https://web.datatree.com/?/property?propertyId=32165720", "https://web.datatree.com/?/property?propertyId=32165720")</f>
        <v>https://web.datatree.com/?/property?propertyId=32165720</v>
      </c>
      <c r="Q619" t="s">
        <v>316</v>
      </c>
      <c>
        <v>0.23</v>
      </c>
      <c t="s">
        <v>6175</v>
      </c>
      <c t="s">
        <v>25477</v>
      </c>
      <c t="s">
        <v>24432</v>
      </c>
      <c r="X619" t="s">
        <v>2057</v>
      </c>
      <c t="s">
        <v>34731</v>
      </c>
      <c t="s">
        <v>2517</v>
      </c>
      <c t="s">
        <v>39289</v>
      </c>
      <c>
        <v>33909</v>
      </c>
      <c t="s">
        <v>13166</v>
      </c>
      <c t="s">
        <v>48794</v>
      </c>
      <c t="s">
        <v>65769</v>
      </c>
      <c>
        <v>17336</v>
      </c>
      <c r="AI619" t="s">
        <v>10722</v>
      </c>
      <c t="s">
        <v>55842</v>
      </c>
      <c r="AL619" t="s">
        <v>22820</v>
      </c>
      <c r="AN619" t="s">
        <v>39289</v>
      </c>
      <c t="s">
        <v>31254</v>
      </c>
      <c t="s">
        <v>54605</v>
      </c>
      <c t="s">
        <v>3093</v>
      </c>
      <c t="s">
        <v>61894</v>
      </c>
    </row>
    <row>
      <c t="s">
        <v>17594</v>
      </c>
      <c t="s">
        <v>44787</v>
      </c>
      <c t="s">
        <v>12182</v>
      </c>
      <c t="s">
        <v>16017</v>
      </c>
      <c t="s">
        <v>41679</v>
      </c>
      <c s="3">
        <v>8400</v>
      </c>
      <c s="3">
        <v>8400</v>
      </c>
      <c s="3">
        <v>8400</v>
      </c>
      <c>
        <v>0</v>
      </c>
      <c s="3">
        <v>0</v>
      </c>
      <c s="3">
        <v>717.65</v>
      </c>
      <c s="3">
        <v>8400</v>
      </c>
      <c r="O620" s="1" t="str">
        <f ca="1">HYPERLINK("https://web.datatree.com/?/property?propertyId=32166349", "https://web.datatree.com/?/property?propertyId=32166349")</f>
        <v>https://web.datatree.com/?/property?propertyId=32166349</v>
      </c>
      <c r="Q620" t="s">
        <v>316</v>
      </c>
      <c>
        <v>0.255</v>
      </c>
      <c t="s">
        <v>6175</v>
      </c>
      <c t="s">
        <v>1030</v>
      </c>
      <c t="s">
        <v>64525</v>
      </c>
      <c t="s">
        <v>21668</v>
      </c>
      <c t="s">
        <v>64525</v>
      </c>
      <c t="s">
        <v>40812</v>
      </c>
      <c t="s">
        <v>39777</v>
      </c>
      <c t="s">
        <v>2517</v>
      </c>
      <c t="s">
        <v>39289</v>
      </c>
      <c>
        <v>33909</v>
      </c>
      <c t="s">
        <v>1753</v>
      </c>
      <c t="s">
        <v>48794</v>
      </c>
      <c t="s">
        <v>14573</v>
      </c>
      <c>
        <v>41</v>
      </c>
      <c r="AI620" t="s">
        <v>32294</v>
      </c>
      <c t="s">
        <v>24900</v>
      </c>
      <c r="AL620" t="s">
        <v>21446</v>
      </c>
      <c r="AN620" t="s">
        <v>26016</v>
      </c>
      <c t="s">
        <v>36388</v>
      </c>
      <c t="s">
        <v>4797</v>
      </c>
      <c t="s">
        <v>3093</v>
      </c>
      <c t="s">
        <v>45410</v>
      </c>
    </row>
    <row>
      <c t="s">
        <v>17594</v>
      </c>
      <c t="s">
        <v>49108</v>
      </c>
      <c t="s">
        <v>25927</v>
      </c>
      <c t="s">
        <v>6410</v>
      </c>
      <c t="s">
        <v>67050</v>
      </c>
      <c s="3">
        <v>8400</v>
      </c>
      <c s="3">
        <v>8400</v>
      </c>
      <c s="3">
        <v>8400</v>
      </c>
      <c>
        <v>0</v>
      </c>
      <c s="3">
        <v>0</v>
      </c>
      <c s="3">
        <v>605.76</v>
      </c>
      <c s="3">
        <v>8400</v>
      </c>
      <c r="O621" s="1" t="str">
        <f ca="1">HYPERLINK("https://web.datatree.com/?/property?propertyId=32166530", "https://web.datatree.com/?/property?propertyId=32166530")</f>
        <v>https://web.datatree.com/?/property?propertyId=32166530</v>
      </c>
      <c r="Q621" t="s">
        <v>316</v>
      </c>
      <c>
        <v>0.264</v>
      </c>
      <c t="s">
        <v>22490</v>
      </c>
      <c t="s">
        <v>43184</v>
      </c>
      <c t="s">
        <v>42818</v>
      </c>
      <c t="s">
        <v>65089</v>
      </c>
      <c t="s">
        <v>42818</v>
      </c>
      <c t="s">
        <v>40432</v>
      </c>
      <c t="s">
        <v>47150</v>
      </c>
      <c t="s">
        <v>2517</v>
      </c>
      <c t="s">
        <v>39289</v>
      </c>
      <c>
        <v>33909</v>
      </c>
      <c t="s">
        <v>12002</v>
      </c>
      <c t="s">
        <v>48794</v>
      </c>
      <c t="s">
        <v>53694</v>
      </c>
      <c>
        <v>213</v>
      </c>
      <c r="AI621" t="s">
        <v>52564</v>
      </c>
      <c t="s">
        <v>31192</v>
      </c>
      <c r="AL621" t="s">
        <v>62986</v>
      </c>
      <c r="AN621" t="s">
        <v>18236</v>
      </c>
      <c t="s">
        <v>44411</v>
      </c>
      <c t="s">
        <v>45700</v>
      </c>
      <c t="s">
        <v>3093</v>
      </c>
      <c t="s">
        <v>48945</v>
      </c>
    </row>
    <row>
      <c t="s">
        <v>17594</v>
      </c>
      <c t="s">
        <v>39338</v>
      </c>
      <c t="s">
        <v>53493</v>
      </c>
      <c t="s">
        <v>45537</v>
      </c>
      <c t="s">
        <v>29091</v>
      </c>
      <c s="3">
        <v>24450</v>
      </c>
      <c s="3">
        <v>24450</v>
      </c>
      <c s="3">
        <v>11000</v>
      </c>
      <c>
        <v>0</v>
      </c>
      <c s="3">
        <v>0</v>
      </c>
      <c s="3">
        <v>555.66</v>
      </c>
      <c s="3">
        <v>24450</v>
      </c>
      <c r="O622" s="1" t="str">
        <f ca="1">HYPERLINK("https://web.datatree.com/?/property?propertyId=32166976", "https://web.datatree.com/?/property?propertyId=32166976")</f>
        <v>https://web.datatree.com/?/property?propertyId=32166976</v>
      </c>
      <c r="Q622" t="s">
        <v>316</v>
      </c>
      <c>
        <v>0.23</v>
      </c>
      <c t="s">
        <v>22490</v>
      </c>
      <c t="s">
        <v>50343</v>
      </c>
      <c t="s">
        <v>47447</v>
      </c>
      <c t="s">
        <v>24795</v>
      </c>
      <c t="s">
        <v>24606</v>
      </c>
      <c t="s">
        <v>59684</v>
      </c>
      <c t="s">
        <v>25017</v>
      </c>
      <c t="s">
        <v>2517</v>
      </c>
      <c t="s">
        <v>39289</v>
      </c>
      <c>
        <v>33909</v>
      </c>
      <c t="s">
        <v>59207</v>
      </c>
      <c t="s">
        <v>48794</v>
      </c>
      <c t="s">
        <v>878</v>
      </c>
      <c>
        <v>8714</v>
      </c>
      <c r="AI622" t="s">
        <v>30490</v>
      </c>
      <c t="s">
        <v>24900</v>
      </c>
      <c r="AL622" t="s">
        <v>15244</v>
      </c>
      <c t="s">
        <v>15244</v>
      </c>
      <c t="s">
        <v>48152</v>
      </c>
      <c t="s">
        <v>50935</v>
      </c>
      <c t="s">
        <v>49977</v>
      </c>
      <c t="s">
        <v>3093</v>
      </c>
      <c t="s">
        <v>43150</v>
      </c>
    </row>
    <row>
      <c t="s">
        <v>17594</v>
      </c>
      <c t="s">
        <v>44217</v>
      </c>
      <c t="s">
        <v>2518</v>
      </c>
      <c t="s">
        <v>59082</v>
      </c>
      <c t="s">
        <v>21090</v>
      </c>
      <c s="3">
        <v>12544</v>
      </c>
      <c s="3">
        <v>12544</v>
      </c>
      <c s="3">
        <v>4972</v>
      </c>
      <c>
        <v>0</v>
      </c>
      <c s="3">
        <v>0</v>
      </c>
      <c s="3">
        <v>330.97</v>
      </c>
      <c s="3">
        <v>12544</v>
      </c>
      <c r="O623" s="1" t="str">
        <f ca="1">HYPERLINK("https://web.datatree.com/?/property?propertyId=32167448", "https://web.datatree.com/?/property?propertyId=32167448")</f>
        <v>https://web.datatree.com/?/property?propertyId=32167448</v>
      </c>
      <c r="Q623" t="s">
        <v>316</v>
      </c>
      <c>
        <v>0.352</v>
      </c>
      <c t="s">
        <v>5471</v>
      </c>
      <c t="s">
        <v>16399</v>
      </c>
      <c t="s">
        <v>64126</v>
      </c>
      <c t="s">
        <v>26023</v>
      </c>
      <c t="s">
        <v>64126</v>
      </c>
      <c t="s">
        <v>61521</v>
      </c>
      <c t="s">
        <v>17039</v>
      </c>
      <c t="s">
        <v>65059</v>
      </c>
      <c t="s">
        <v>39289</v>
      </c>
      <c>
        <v>33905</v>
      </c>
      <c t="s">
        <v>56160</v>
      </c>
      <c t="s">
        <v>48794</v>
      </c>
      <c t="s">
        <v>38586</v>
      </c>
      <c>
        <v>7</v>
      </c>
      <c r="AI623" t="s">
        <v>42431</v>
      </c>
      <c t="s">
        <v>7620</v>
      </c>
      <c r="AL623" t="s">
        <v>64297</v>
      </c>
      <c r="AN623" t="s">
        <v>32576</v>
      </c>
      <c t="s">
        <v>26830</v>
      </c>
      <c t="s">
        <v>702</v>
      </c>
      <c t="s">
        <v>3093</v>
      </c>
      <c t="s">
        <v>29969</v>
      </c>
    </row>
    <row>
      <c t="s">
        <v>17594</v>
      </c>
      <c t="s">
        <v>4639</v>
      </c>
      <c t="s">
        <v>51012</v>
      </c>
      <c t="s">
        <v>47655</v>
      </c>
      <c t="s">
        <v>25176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624" s="1" t="str">
        <f ca="1">HYPERLINK("https://web.datatree.com/?/property?propertyId=32167563", "https://web.datatree.com/?/property?propertyId=32167563")</f>
        <v>https://web.datatree.com/?/property?propertyId=32167563</v>
      </c>
      <c r="Q624" t="s">
        <v>316</v>
      </c>
      <c>
        <v>0.23</v>
      </c>
      <c t="s">
        <v>6175</v>
      </c>
      <c t="s">
        <v>11374</v>
      </c>
      <c t="s">
        <v>24432</v>
      </c>
      <c t="s">
        <v>11374</v>
      </c>
      <c t="s">
        <v>24432</v>
      </c>
      <c t="s">
        <v>63566</v>
      </c>
      <c t="s">
        <v>61865</v>
      </c>
      <c t="s">
        <v>2517</v>
      </c>
      <c t="s">
        <v>39289</v>
      </c>
      <c>
        <v>33909</v>
      </c>
      <c t="s">
        <v>11168</v>
      </c>
      <c t="s">
        <v>48794</v>
      </c>
      <c t="s">
        <v>31214</v>
      </c>
      <c>
        <v>20</v>
      </c>
      <c r="AI624" t="s">
        <v>22512</v>
      </c>
      <c r="AK624">
        <v>6</v>
      </c>
      <c t="s">
        <v>19806</v>
      </c>
      <c r="AN624" t="s">
        <v>14798</v>
      </c>
      <c r="AR624" t="s">
        <v>55848</v>
      </c>
    </row>
    <row>
      <c t="s">
        <v>17594</v>
      </c>
      <c t="s">
        <v>10142</v>
      </c>
      <c t="s">
        <v>34345</v>
      </c>
      <c t="s">
        <v>34504</v>
      </c>
      <c t="s">
        <v>61147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625" s="1" t="str">
        <f ca="1">HYPERLINK("https://web.datatree.com/?/property?propertyId=32167693", "https://web.datatree.com/?/property?propertyId=32167693")</f>
        <v>https://web.datatree.com/?/property?propertyId=32167693</v>
      </c>
      <c r="Q625" t="s">
        <v>316</v>
      </c>
      <c>
        <v>0.23</v>
      </c>
      <c t="s">
        <v>28270</v>
      </c>
      <c t="s">
        <v>39231</v>
      </c>
      <c t="s">
        <v>25221</v>
      </c>
      <c t="s">
        <v>15051</v>
      </c>
      <c t="s">
        <v>25221</v>
      </c>
      <c t="s">
        <v>5511</v>
      </c>
      <c t="s">
        <v>47150</v>
      </c>
      <c t="s">
        <v>2517</v>
      </c>
      <c t="s">
        <v>39289</v>
      </c>
      <c>
        <v>33909</v>
      </c>
      <c t="s">
        <v>33828</v>
      </c>
      <c t="s">
        <v>48794</v>
      </c>
      <c t="s">
        <v>60063</v>
      </c>
      <c>
        <v>8</v>
      </c>
      <c r="AI625" t="s">
        <v>55677</v>
      </c>
      <c r="AL625" t="s">
        <v>933</v>
      </c>
      <c r="AN625" t="s">
        <v>50917</v>
      </c>
      <c t="s">
        <v>67142</v>
      </c>
      <c t="s">
        <v>44428</v>
      </c>
      <c t="s">
        <v>3093</v>
      </c>
      <c t="s">
        <v>33904</v>
      </c>
    </row>
    <row>
      <c t="s">
        <v>17594</v>
      </c>
      <c t="s">
        <v>17682</v>
      </c>
      <c t="s">
        <v>23813</v>
      </c>
      <c t="s">
        <v>33036</v>
      </c>
      <c t="s">
        <v>42139</v>
      </c>
      <c s="3">
        <v>15574</v>
      </c>
      <c s="3">
        <v>15574</v>
      </c>
      <c s="3">
        <v>9075</v>
      </c>
      <c>
        <v>0</v>
      </c>
      <c s="3">
        <v>0</v>
      </c>
      <c s="3">
        <v>557.94</v>
      </c>
      <c s="3">
        <v>15574</v>
      </c>
      <c r="O626" s="1" t="str">
        <f ca="1">HYPERLINK("https://web.datatree.com/?/property?propertyId=32168451", "https://web.datatree.com/?/property?propertyId=32168451")</f>
        <v>https://web.datatree.com/?/property?propertyId=32168451</v>
      </c>
      <c r="Q626" t="s">
        <v>316</v>
      </c>
      <c>
        <v>0.241</v>
      </c>
      <c t="s">
        <v>6175</v>
      </c>
      <c t="s">
        <v>54770</v>
      </c>
      <c t="s">
        <v>8806</v>
      </c>
      <c r="X626" t="s">
        <v>33281</v>
      </c>
      <c t="s">
        <v>38550</v>
      </c>
      <c t="s">
        <v>2517</v>
      </c>
      <c t="s">
        <v>39289</v>
      </c>
      <c>
        <v>33909</v>
      </c>
      <c t="s">
        <v>55163</v>
      </c>
      <c t="s">
        <v>48794</v>
      </c>
      <c t="s">
        <v>59945</v>
      </c>
      <c>
        <v>89</v>
      </c>
      <c r="AI626" t="s">
        <v>26757</v>
      </c>
      <c t="s">
        <v>45620</v>
      </c>
      <c r="AL626" t="s">
        <v>46985</v>
      </c>
      <c r="AN626" t="s">
        <v>50917</v>
      </c>
      <c t="s">
        <v>2449</v>
      </c>
      <c t="s">
        <v>49977</v>
      </c>
      <c t="s">
        <v>3093</v>
      </c>
      <c t="s">
        <v>48806</v>
      </c>
    </row>
    <row>
      <c t="s">
        <v>17594</v>
      </c>
      <c t="s">
        <v>17742</v>
      </c>
      <c t="s">
        <v>16760</v>
      </c>
      <c t="s">
        <v>25813</v>
      </c>
      <c t="s">
        <v>11316</v>
      </c>
      <c s="3">
        <v>12544</v>
      </c>
      <c s="3">
        <v>12544</v>
      </c>
      <c s="3">
        <v>5985</v>
      </c>
      <c>
        <v>0</v>
      </c>
      <c s="3">
        <v>0</v>
      </c>
      <c s="3">
        <v>323.16</v>
      </c>
      <c s="3">
        <v>12544</v>
      </c>
      <c r="O627" s="1" t="str">
        <f ca="1">HYPERLINK("https://web.datatree.com/?/property?propertyId=32168588", "https://web.datatree.com/?/property?propertyId=32168588")</f>
        <v>https://web.datatree.com/?/property?propertyId=32168588</v>
      </c>
      <c r="Q627" t="s">
        <v>316</v>
      </c>
      <c>
        <v>0.24</v>
      </c>
      <c t="s">
        <v>5471</v>
      </c>
      <c t="s">
        <v>63811</v>
      </c>
      <c t="s">
        <v>46723</v>
      </c>
      <c r="X627" t="s">
        <v>44654</v>
      </c>
      <c t="s">
        <v>15518</v>
      </c>
      <c t="s">
        <v>65059</v>
      </c>
      <c t="s">
        <v>39289</v>
      </c>
      <c>
        <v>33905</v>
      </c>
      <c t="s">
        <v>34623</v>
      </c>
      <c t="s">
        <v>48794</v>
      </c>
      <c t="s">
        <v>4178</v>
      </c>
      <c>
        <v>392</v>
      </c>
      <c r="AI627">
        <v>132</v>
      </c>
      <c t="s">
        <v>22753</v>
      </c>
      <c r="AL627" t="s">
        <v>23216</v>
      </c>
      <c r="AN627" t="s">
        <v>58811</v>
      </c>
      <c t="s">
        <v>19713</v>
      </c>
      <c r="AQ627" t="s">
        <v>27814</v>
      </c>
      <c t="s">
        <v>38854</v>
      </c>
    </row>
    <row>
      <c t="s">
        <v>17594</v>
      </c>
      <c t="s">
        <v>8259</v>
      </c>
      <c t="s">
        <v>15617</v>
      </c>
      <c t="s">
        <v>54766</v>
      </c>
      <c t="s">
        <v>16305</v>
      </c>
      <c s="3">
        <v>188959</v>
      </c>
      <c s="3">
        <v>188959</v>
      </c>
      <c s="3">
        <v>188959</v>
      </c>
      <c>
        <v>0</v>
      </c>
      <c s="3">
        <v>0</v>
      </c>
      <c s="3">
        <v>2592.86</v>
      </c>
      <c s="3">
        <v>188959</v>
      </c>
      <c r="O628" s="1" t="str">
        <f ca="1">HYPERLINK("https://web.datatree.com/?/property?propertyId=32169210", "https://web.datatree.com/?/property?propertyId=32169210")</f>
        <v>https://web.datatree.com/?/property?propertyId=32169210</v>
      </c>
      <c r="Q628" t="s">
        <v>316</v>
      </c>
      <c>
        <v>0.448</v>
      </c>
      <c t="s">
        <v>5471</v>
      </c>
      <c t="s">
        <v>20230</v>
      </c>
      <c t="s">
        <v>49242</v>
      </c>
      <c t="s">
        <v>21834</v>
      </c>
      <c t="s">
        <v>49242</v>
      </c>
      <c t="s">
        <v>13162</v>
      </c>
      <c t="s">
        <v>40191</v>
      </c>
      <c t="s">
        <v>65059</v>
      </c>
      <c t="s">
        <v>39289</v>
      </c>
      <c>
        <v>33908</v>
      </c>
      <c t="s">
        <v>55105</v>
      </c>
      <c t="s">
        <v>48794</v>
      </c>
      <c t="s">
        <v>52455</v>
      </c>
      <c>
        <v>17835</v>
      </c>
      <c r="AH628" t="s">
        <v>26580</v>
      </c>
      <c t="s">
        <v>13170</v>
      </c>
      <c t="s">
        <v>55842</v>
      </c>
      <c r="AL628" t="s">
        <v>32628</v>
      </c>
      <c t="s">
        <v>45426</v>
      </c>
      <c t="s">
        <v>39289</v>
      </c>
      <c t="s">
        <v>50880</v>
      </c>
      <c t="s">
        <v>42945</v>
      </c>
      <c t="s">
        <v>3093</v>
      </c>
      <c t="s">
        <v>37103</v>
      </c>
    </row>
    <row>
      <c t="s">
        <v>17594</v>
      </c>
      <c t="s">
        <v>60997</v>
      </c>
      <c t="s">
        <v>55185</v>
      </c>
      <c t="s">
        <v>36439</v>
      </c>
      <c t="s">
        <v>5200</v>
      </c>
      <c s="3">
        <v>23673</v>
      </c>
      <c s="3">
        <v>23673</v>
      </c>
      <c s="3">
        <v>9517</v>
      </c>
      <c>
        <v>0</v>
      </c>
      <c s="3">
        <v>0</v>
      </c>
      <c s="3">
        <v>766.59</v>
      </c>
      <c s="3">
        <v>23673</v>
      </c>
      <c r="O629" s="1" t="str">
        <f ca="1">HYPERLINK("https://web.datatree.com/?/property?propertyId=32169838", "https://web.datatree.com/?/property?propertyId=32169838")</f>
        <v>https://web.datatree.com/?/property?propertyId=32169838</v>
      </c>
      <c r="Q629" t="s">
        <v>316</v>
      </c>
      <c>
        <v>0.427</v>
      </c>
      <c t="s">
        <v>22490</v>
      </c>
      <c t="s">
        <v>10361</v>
      </c>
      <c t="s">
        <v>30602</v>
      </c>
      <c t="s">
        <v>38410</v>
      </c>
      <c t="s">
        <v>30602</v>
      </c>
      <c t="s">
        <v>28990</v>
      </c>
      <c t="s">
        <v>64331</v>
      </c>
      <c t="s">
        <v>2517</v>
      </c>
      <c t="s">
        <v>39289</v>
      </c>
      <c>
        <v>33909</v>
      </c>
      <c>
        <v>33909</v>
      </c>
      <c t="s">
        <v>48794</v>
      </c>
      <c t="s">
        <v>5776</v>
      </c>
      <c r="AI629" t="s">
        <v>57571</v>
      </c>
      <c t="s">
        <v>45393</v>
      </c>
      <c r="AL629" t="s">
        <v>62497</v>
      </c>
      <c t="s">
        <v>62497</v>
      </c>
      <c t="s">
        <v>32657</v>
      </c>
      <c>
        <v>38159</v>
      </c>
      <c r="AR629" t="s">
        <v>59781</v>
      </c>
    </row>
    <row>
      <c t="s">
        <v>17594</v>
      </c>
      <c t="s">
        <v>29757</v>
      </c>
      <c t="s">
        <v>18960</v>
      </c>
      <c t="s">
        <v>14538</v>
      </c>
      <c t="s">
        <v>46536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630" s="1" t="str">
        <f ca="1">HYPERLINK("https://web.datatree.com/?/property?propertyId=32170415", "https://web.datatree.com/?/property?propertyId=32170415")</f>
        <v>https://web.datatree.com/?/property?propertyId=32170415</v>
      </c>
      <c r="Q630" t="s">
        <v>316</v>
      </c>
      <c>
        <v>0.23</v>
      </c>
      <c t="s">
        <v>22490</v>
      </c>
      <c t="s">
        <v>56222</v>
      </c>
      <c t="s">
        <v>23970</v>
      </c>
      <c t="s">
        <v>18178</v>
      </c>
      <c t="s">
        <v>23970</v>
      </c>
      <c t="s">
        <v>14783</v>
      </c>
      <c t="s">
        <v>5115</v>
      </c>
      <c t="s">
        <v>2517</v>
      </c>
      <c t="s">
        <v>39289</v>
      </c>
      <c>
        <v>33909</v>
      </c>
      <c t="s">
        <v>48283</v>
      </c>
      <c t="s">
        <v>48794</v>
      </c>
      <c t="s">
        <v>66539</v>
      </c>
      <c>
        <v>4817</v>
      </c>
      <c r="AI630" t="s">
        <v>9600</v>
      </c>
      <c t="s">
        <v>24900</v>
      </c>
      <c r="AL630" t="s">
        <v>4859</v>
      </c>
      <c t="s">
        <v>4859</v>
      </c>
      <c t="s">
        <v>39289</v>
      </c>
      <c t="s">
        <v>19658</v>
      </c>
      <c t="s">
        <v>57360</v>
      </c>
      <c t="s">
        <v>3093</v>
      </c>
      <c t="s">
        <v>23268</v>
      </c>
    </row>
    <row>
      <c t="s">
        <v>17594</v>
      </c>
      <c t="s">
        <v>65215</v>
      </c>
      <c t="s">
        <v>14027</v>
      </c>
      <c t="s">
        <v>52053</v>
      </c>
      <c t="s">
        <v>44260</v>
      </c>
      <c s="3">
        <v>9100</v>
      </c>
      <c s="3">
        <v>9100</v>
      </c>
      <c s="3">
        <v>9100</v>
      </c>
      <c>
        <v>0</v>
      </c>
      <c s="3">
        <v>0</v>
      </c>
      <c s="3">
        <v>586.53</v>
      </c>
      <c s="3">
        <v>9100</v>
      </c>
      <c r="O631" s="1" t="str">
        <f ca="1">HYPERLINK("https://web.datatree.com/?/property?propertyId=32170460", "https://web.datatree.com/?/property?propertyId=32170460")</f>
        <v>https://web.datatree.com/?/property?propertyId=32170460</v>
      </c>
      <c r="Q631" t="s">
        <v>316</v>
      </c>
      <c>
        <v>0.23</v>
      </c>
      <c t="s">
        <v>65422</v>
      </c>
      <c t="s">
        <v>24409</v>
      </c>
      <c t="s">
        <v>22581</v>
      </c>
      <c t="s">
        <v>54926</v>
      </c>
      <c t="s">
        <v>22581</v>
      </c>
      <c t="s">
        <v>6635</v>
      </c>
      <c t="s">
        <v>30928</v>
      </c>
      <c t="s">
        <v>2517</v>
      </c>
      <c t="s">
        <v>39289</v>
      </c>
      <c>
        <v>33909</v>
      </c>
      <c t="s">
        <v>37251</v>
      </c>
      <c t="s">
        <v>48794</v>
      </c>
      <c t="s">
        <v>28494</v>
      </c>
      <c>
        <v>15018</v>
      </c>
      <c r="AI631" t="s">
        <v>18679</v>
      </c>
      <c t="s">
        <v>24900</v>
      </c>
      <c r="AL631" t="s">
        <v>37900</v>
      </c>
      <c r="AN631" t="s">
        <v>50917</v>
      </c>
      <c t="s">
        <v>57331</v>
      </c>
      <c t="s">
        <v>11138</v>
      </c>
      <c t="s">
        <v>3093</v>
      </c>
      <c t="s">
        <v>7214</v>
      </c>
    </row>
    <row>
      <c t="s">
        <v>17594</v>
      </c>
      <c t="s">
        <v>57635</v>
      </c>
      <c t="s">
        <v>22702</v>
      </c>
      <c t="s">
        <v>53108</v>
      </c>
      <c t="s">
        <v>25172</v>
      </c>
      <c s="3">
        <v>29340</v>
      </c>
      <c s="3">
        <v>29340</v>
      </c>
      <c s="3">
        <v>12511</v>
      </c>
      <c>
        <v>0</v>
      </c>
      <c s="3">
        <v>0</v>
      </c>
      <c s="3">
        <v>712.8</v>
      </c>
      <c s="3">
        <v>29340</v>
      </c>
      <c r="O632" s="1" t="str">
        <f ca="1">HYPERLINK("https://web.datatree.com/?/property?propertyId=32170683", "https://web.datatree.com/?/property?propertyId=32170683")</f>
        <v>https://web.datatree.com/?/property?propertyId=32170683</v>
      </c>
      <c r="Q632" t="s">
        <v>316</v>
      </c>
      <c>
        <v>0.283</v>
      </c>
      <c t="s">
        <v>22490</v>
      </c>
      <c t="s">
        <v>34140</v>
      </c>
      <c t="s">
        <v>23976</v>
      </c>
      <c t="s">
        <v>45640</v>
      </c>
      <c t="s">
        <v>23976</v>
      </c>
      <c t="s">
        <v>65682</v>
      </c>
      <c t="s">
        <v>66701</v>
      </c>
      <c t="s">
        <v>2517</v>
      </c>
      <c t="s">
        <v>39289</v>
      </c>
      <c>
        <v>33909</v>
      </c>
      <c t="s">
        <v>13406</v>
      </c>
      <c t="s">
        <v>48794</v>
      </c>
      <c t="s">
        <v>45600</v>
      </c>
      <c>
        <v>902</v>
      </c>
      <c r="AI632" t="s">
        <v>35990</v>
      </c>
      <c t="s">
        <v>45620</v>
      </c>
      <c r="AL632" t="s">
        <v>66691</v>
      </c>
      <c r="AN632" t="s">
        <v>17134</v>
      </c>
      <c t="s">
        <v>30636</v>
      </c>
      <c t="s">
        <v>37948</v>
      </c>
      <c t="s">
        <v>3093</v>
      </c>
      <c t="s">
        <v>59857</v>
      </c>
    </row>
    <row>
      <c t="s">
        <v>17594</v>
      </c>
      <c t="s">
        <v>17066</v>
      </c>
      <c t="s">
        <v>14833</v>
      </c>
      <c t="s">
        <v>53909</v>
      </c>
      <c t="s">
        <v>11637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633" s="1" t="str">
        <f ca="1">HYPERLINK("https://web.datatree.com/?/property?propertyId=32171178", "https://web.datatree.com/?/property?propertyId=32171178")</f>
        <v>https://web.datatree.com/?/property?propertyId=32171178</v>
      </c>
      <c r="Q633" t="s">
        <v>316</v>
      </c>
      <c>
        <v>0.23</v>
      </c>
      <c t="s">
        <v>6175</v>
      </c>
      <c t="s">
        <v>63182</v>
      </c>
      <c t="s">
        <v>46162</v>
      </c>
      <c r="X633" t="s">
        <v>16853</v>
      </c>
      <c t="s">
        <v>2619</v>
      </c>
      <c t="s">
        <v>2517</v>
      </c>
      <c t="s">
        <v>39289</v>
      </c>
      <c>
        <v>33909</v>
      </c>
      <c t="s">
        <v>40840</v>
      </c>
      <c t="s">
        <v>48794</v>
      </c>
      <c t="s">
        <v>60178</v>
      </c>
      <c>
        <v>1799</v>
      </c>
      <c r="AI633" t="s">
        <v>37107</v>
      </c>
      <c t="s">
        <v>31192</v>
      </c>
      <c r="AL633" t="s">
        <v>19425</v>
      </c>
      <c r="AN633" t="s">
        <v>66651</v>
      </c>
      <c t="s">
        <v>15752</v>
      </c>
      <c t="s">
        <v>21201</v>
      </c>
      <c t="s">
        <v>3093</v>
      </c>
      <c t="s">
        <v>63646</v>
      </c>
    </row>
    <row>
      <c t="s">
        <v>17594</v>
      </c>
      <c t="s">
        <v>64786</v>
      </c>
      <c t="s">
        <v>56066</v>
      </c>
      <c t="s">
        <v>14465</v>
      </c>
      <c t="s">
        <v>11494</v>
      </c>
      <c s="3">
        <v>31548</v>
      </c>
      <c s="3">
        <v>31548</v>
      </c>
      <c s="3">
        <v>15180</v>
      </c>
      <c>
        <v>0</v>
      </c>
      <c s="3">
        <v>0</v>
      </c>
      <c s="3">
        <v>799.58</v>
      </c>
      <c s="3">
        <v>31548</v>
      </c>
      <c r="O634" s="1" t="str">
        <f ca="1">HYPERLINK("https://web.datatree.com/?/property?propertyId=32171387", "https://web.datatree.com/?/property?propertyId=32171387")</f>
        <v>https://web.datatree.com/?/property?propertyId=32171387</v>
      </c>
      <c r="Q634" t="s">
        <v>316</v>
      </c>
      <c>
        <v>0.344</v>
      </c>
      <c t="s">
        <v>58725</v>
      </c>
      <c t="s">
        <v>47922</v>
      </c>
      <c t="s">
        <v>2004</v>
      </c>
      <c t="s">
        <v>45000</v>
      </c>
      <c t="s">
        <v>2004</v>
      </c>
      <c t="s">
        <v>35633</v>
      </c>
      <c t="s">
        <v>39082</v>
      </c>
      <c t="s">
        <v>2517</v>
      </c>
      <c t="s">
        <v>39289</v>
      </c>
      <c>
        <v>33909</v>
      </c>
      <c t="s">
        <v>48870</v>
      </c>
      <c t="s">
        <v>48794</v>
      </c>
      <c t="s">
        <v>8853</v>
      </c>
      <c>
        <v>2225</v>
      </c>
      <c r="AI634" t="s">
        <v>55376</v>
      </c>
      <c t="s">
        <v>41372</v>
      </c>
      <c r="AL634" t="s">
        <v>11121</v>
      </c>
      <c t="s">
        <v>11121</v>
      </c>
      <c t="s">
        <v>58733</v>
      </c>
      <c t="s">
        <v>64438</v>
      </c>
      <c t="s">
        <v>8172</v>
      </c>
      <c t="s">
        <v>3093</v>
      </c>
      <c t="s">
        <v>26834</v>
      </c>
    </row>
    <row>
      <c t="s">
        <v>17594</v>
      </c>
      <c t="s">
        <v>17845</v>
      </c>
      <c t="s">
        <v>47448</v>
      </c>
      <c t="s">
        <v>66236</v>
      </c>
      <c t="s">
        <v>57916</v>
      </c>
      <c s="3">
        <v>95457</v>
      </c>
      <c s="3">
        <v>82500</v>
      </c>
      <c s="3">
        <v>91385</v>
      </c>
      <c>
        <v>0</v>
      </c>
      <c s="3">
        <v>0</v>
      </c>
      <c s="3">
        <v>1395.72</v>
      </c>
      <c s="3">
        <v>95457</v>
      </c>
      <c r="O635" s="1" t="str">
        <f ca="1">HYPERLINK("https://web.datatree.com/?/property?propertyId=32171454", "https://web.datatree.com/?/property?propertyId=32171454")</f>
        <v>https://web.datatree.com/?/property?propertyId=32171454</v>
      </c>
      <c r="Q635" t="s">
        <v>316</v>
      </c>
      <c>
        <v>0.135</v>
      </c>
      <c t="s">
        <v>26492</v>
      </c>
      <c t="s">
        <v>42397</v>
      </c>
      <c t="s">
        <v>44656</v>
      </c>
      <c t="s">
        <v>56577</v>
      </c>
      <c t="s">
        <v>44656</v>
      </c>
      <c t="s">
        <v>49288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17419</v>
      </c>
      <c>
        <v>120</v>
      </c>
      <c r="AI635" t="s">
        <v>22781</v>
      </c>
      <c t="s">
        <v>835</v>
      </c>
      <c r="AL635" t="s">
        <v>20694</v>
      </c>
      <c t="s">
        <v>40227</v>
      </c>
      <c t="s">
        <v>22275</v>
      </c>
      <c t="s">
        <v>31223</v>
      </c>
      <c t="s">
        <v>702</v>
      </c>
      <c t="s">
        <v>3093</v>
      </c>
      <c t="s">
        <v>46757</v>
      </c>
      <c>
        <v>2005</v>
      </c>
    </row>
    <row>
      <c t="s">
        <v>17594</v>
      </c>
      <c t="s">
        <v>24263</v>
      </c>
      <c t="s">
        <v>41500</v>
      </c>
      <c t="s">
        <v>42739</v>
      </c>
      <c t="s">
        <v>18861</v>
      </c>
      <c s="3">
        <v>8640</v>
      </c>
      <c s="3">
        <v>8640</v>
      </c>
      <c s="3">
        <v>4972</v>
      </c>
      <c>
        <v>0</v>
      </c>
      <c s="3">
        <v>0</v>
      </c>
      <c s="3">
        <v>316.66</v>
      </c>
      <c s="3">
        <v>8640</v>
      </c>
      <c r="O636" s="1" t="str">
        <f ca="1">HYPERLINK("https://web.datatree.com/?/property?propertyId=32171589", "https://web.datatree.com/?/property?propertyId=32171589")</f>
        <v>https://web.datatree.com/?/property?propertyId=32171589</v>
      </c>
      <c r="Q636" t="s">
        <v>316</v>
      </c>
      <c>
        <v>0.236</v>
      </c>
      <c t="s">
        <v>5471</v>
      </c>
      <c t="s">
        <v>55548</v>
      </c>
      <c t="s">
        <v>25754</v>
      </c>
      <c r="X636" t="s">
        <v>183</v>
      </c>
      <c t="s">
        <v>48116</v>
      </c>
      <c t="s">
        <v>65059</v>
      </c>
      <c t="s">
        <v>39289</v>
      </c>
      <c>
        <v>33905</v>
      </c>
      <c t="s">
        <v>58591</v>
      </c>
      <c t="s">
        <v>48794</v>
      </c>
      <c t="s">
        <v>45841</v>
      </c>
      <c>
        <v>4435</v>
      </c>
      <c r="AI636" t="s">
        <v>56782</v>
      </c>
      <c t="s">
        <v>24900</v>
      </c>
      <c r="AL636" t="s">
        <v>38297</v>
      </c>
      <c r="AN636" t="s">
        <v>27222</v>
      </c>
      <c t="s">
        <v>55911</v>
      </c>
      <c t="s">
        <v>636</v>
      </c>
      <c t="s">
        <v>3093</v>
      </c>
      <c t="s">
        <v>32620</v>
      </c>
    </row>
    <row>
      <c t="s">
        <v>17594</v>
      </c>
      <c t="s">
        <v>12507</v>
      </c>
      <c s="7" t="s">
        <v>31027</v>
      </c>
      <c t="s">
        <v>4423</v>
      </c>
      <c t="s">
        <v>17117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637" s="1" t="str">
        <f ca="1">HYPERLINK("https://web.datatree.com/?/property?propertyId=32172269", "https://web.datatree.com/?/property?propertyId=32172269")</f>
        <v>https://web.datatree.com/?/property?propertyId=32172269</v>
      </c>
      <c r="Q637" t="s">
        <v>316</v>
      </c>
      <c>
        <v>0.241</v>
      </c>
      <c t="s">
        <v>22490</v>
      </c>
      <c t="s">
        <v>47652</v>
      </c>
      <c t="s">
        <v>48391</v>
      </c>
      <c r="X637" t="s">
        <v>64340</v>
      </c>
      <c t="s">
        <v>41506</v>
      </c>
      <c t="s">
        <v>2517</v>
      </c>
      <c t="s">
        <v>39289</v>
      </c>
      <c>
        <v>33909</v>
      </c>
      <c t="s">
        <v>58756</v>
      </c>
      <c t="s">
        <v>48794</v>
      </c>
      <c t="s">
        <v>65021</v>
      </c>
      <c>
        <v>10</v>
      </c>
      <c r="AI637" t="s">
        <v>11940</v>
      </c>
      <c r="AL637" t="s">
        <v>25836</v>
      </c>
      <c r="AN637" t="s">
        <v>32840</v>
      </c>
      <c r="AR637" s="7" t="s">
        <v>10933</v>
      </c>
    </row>
    <row>
      <c t="s">
        <v>42103</v>
      </c>
      <c t="s">
        <v>24571</v>
      </c>
      <c t="s">
        <v>52324</v>
      </c>
      <c t="s">
        <v>64173</v>
      </c>
      <c t="s">
        <v>48809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>
        <v>2020</v>
      </c>
      <c>
        <v>1138.64</v>
      </c>
      <c s="1" t="str">
        <f ca="1">HYPERLINK("https://web.datatree.com/?/property?propertyId=32173228", "https://web.datatree.com/?/property?propertyId=32173228")</f>
        <v>https://web.datatree.com/?/property?propertyId=32173228</v>
      </c>
      <c r="Q638" t="s">
        <v>316</v>
      </c>
      <c>
        <v>0.23</v>
      </c>
      <c t="s">
        <v>6175</v>
      </c>
      <c t="s">
        <v>9900</v>
      </c>
      <c t="s">
        <v>52661</v>
      </c>
      <c r="X638" t="s">
        <v>62225</v>
      </c>
      <c t="s">
        <v>18679</v>
      </c>
      <c t="s">
        <v>2517</v>
      </c>
      <c t="s">
        <v>39289</v>
      </c>
      <c>
        <v>33909</v>
      </c>
      <c t="s">
        <v>58914</v>
      </c>
      <c t="s">
        <v>48794</v>
      </c>
      <c t="s">
        <v>42240</v>
      </c>
      <c r="AI638" t="s">
        <v>33685</v>
      </c>
      <c r="AL638" t="s">
        <v>8879</v>
      </c>
      <c r="AN638" t="s">
        <v>49730</v>
      </c>
      <c>
        <v>87190</v>
      </c>
      <c t="s">
        <v>22417</v>
      </c>
      <c t="s">
        <v>3093</v>
      </c>
      <c t="s">
        <v>8706</v>
      </c>
    </row>
    <row>
      <c t="s">
        <v>17594</v>
      </c>
      <c t="s">
        <v>28227</v>
      </c>
      <c t="s">
        <v>42831</v>
      </c>
      <c t="s">
        <v>52817</v>
      </c>
      <c t="s">
        <v>60031</v>
      </c>
      <c s="3">
        <v>22152</v>
      </c>
      <c s="3">
        <v>22152</v>
      </c>
      <c s="3">
        <v>8800</v>
      </c>
      <c>
        <v>0</v>
      </c>
      <c s="3">
        <v>0</v>
      </c>
      <c s="3">
        <v>588.04</v>
      </c>
      <c s="3">
        <v>22152</v>
      </c>
      <c>
        <v>2021</v>
      </c>
      <c>
        <v>596.47</v>
      </c>
      <c s="1" t="str">
        <f ca="1">HYPERLINK("https://web.datatree.com/?/property?propertyId=32173481", "https://web.datatree.com/?/property?propertyId=32173481")</f>
        <v>https://web.datatree.com/?/property?propertyId=32173481</v>
      </c>
      <c r="Q639" t="s">
        <v>316</v>
      </c>
      <c>
        <v>0.244</v>
      </c>
      <c t="s">
        <v>22490</v>
      </c>
      <c t="s">
        <v>49004</v>
      </c>
      <c t="s">
        <v>63913</v>
      </c>
      <c r="X639" t="s">
        <v>2320</v>
      </c>
      <c t="s">
        <v>2626</v>
      </c>
      <c t="s">
        <v>2517</v>
      </c>
      <c t="s">
        <v>39289</v>
      </c>
      <c>
        <v>33909</v>
      </c>
      <c t="s">
        <v>9951</v>
      </c>
      <c t="s">
        <v>48794</v>
      </c>
      <c t="s">
        <v>27405</v>
      </c>
      <c>
        <v>20</v>
      </c>
      <c r="AI639" t="s">
        <v>26898</v>
      </c>
      <c r="AL639" t="s">
        <v>60117</v>
      </c>
      <c r="AN639" t="s">
        <v>32840</v>
      </c>
      <c r="AR639" t="s">
        <v>23060</v>
      </c>
    </row>
    <row>
      <c t="s">
        <v>17594</v>
      </c>
      <c t="s">
        <v>38657</v>
      </c>
      <c t="s">
        <v>1321</v>
      </c>
      <c t="s">
        <v>50119</v>
      </c>
      <c t="s">
        <v>29099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>
        <v>2019</v>
      </c>
      <c>
        <v>3871.97</v>
      </c>
      <c s="1" t="str">
        <f ca="1">HYPERLINK("https://web.datatree.com/?/property?propertyId=32173632", "https://web.datatree.com/?/property?propertyId=32173632")</f>
        <v>https://web.datatree.com/?/property?propertyId=32173632</v>
      </c>
      <c r="Q640" t="s">
        <v>316</v>
      </c>
      <c>
        <v>0.23</v>
      </c>
      <c t="s">
        <v>6175</v>
      </c>
      <c r="U640" t="s">
        <v>40912</v>
      </c>
      <c r="X640" t="s">
        <v>43856</v>
      </c>
      <c t="s">
        <v>8669</v>
      </c>
      <c t="s">
        <v>2517</v>
      </c>
      <c t="s">
        <v>39289</v>
      </c>
      <c>
        <v>33909</v>
      </c>
      <c t="s">
        <v>13215</v>
      </c>
      <c t="s">
        <v>48794</v>
      </c>
      <c t="s">
        <v>104</v>
      </c>
      <c>
        <v>6900</v>
      </c>
      <c r="AI640" t="s">
        <v>42233</v>
      </c>
      <c t="s">
        <v>31192</v>
      </c>
      <c>
        <v>603</v>
      </c>
      <c t="s">
        <v>38297</v>
      </c>
      <c t="s">
        <v>13397</v>
      </c>
      <c t="s">
        <v>27222</v>
      </c>
      <c>
        <v>89145</v>
      </c>
      <c t="s">
        <v>31626</v>
      </c>
      <c t="s">
        <v>3093</v>
      </c>
      <c t="s">
        <v>42848</v>
      </c>
    </row>
    <row>
      <c t="s">
        <v>17594</v>
      </c>
      <c t="s">
        <v>50821</v>
      </c>
      <c t="s">
        <v>41683</v>
      </c>
      <c t="s">
        <v>2632</v>
      </c>
      <c t="s">
        <v>55256</v>
      </c>
      <c s="3">
        <v>138000</v>
      </c>
      <c s="3">
        <v>138000</v>
      </c>
      <c s="3">
        <v>76161</v>
      </c>
      <c>
        <v>0</v>
      </c>
      <c s="3">
        <v>0</v>
      </c>
      <c s="3">
        <v>1997.2</v>
      </c>
      <c s="3">
        <v>138000</v>
      </c>
      <c>
        <v>2019</v>
      </c>
      <c>
        <v>6468.33</v>
      </c>
      <c s="1" t="str">
        <f ca="1">HYPERLINK("https://web.datatree.com/?/property?propertyId=32174257", "https://web.datatree.com/?/property?propertyId=32174257")</f>
        <v>https://web.datatree.com/?/property?propertyId=32174257</v>
      </c>
      <c r="Q641" t="s">
        <v>316</v>
      </c>
      <c>
        <v>0.275</v>
      </c>
      <c t="s">
        <v>22490</v>
      </c>
      <c t="s">
        <v>21834</v>
      </c>
      <c t="s">
        <v>35203</v>
      </c>
      <c t="s">
        <v>9470</v>
      </c>
      <c t="s">
        <v>35203</v>
      </c>
      <c t="s">
        <v>9034</v>
      </c>
      <c t="s">
        <v>24999</v>
      </c>
      <c t="s">
        <v>2517</v>
      </c>
      <c t="s">
        <v>39289</v>
      </c>
      <c>
        <v>33904</v>
      </c>
      <c t="s">
        <v>18978</v>
      </c>
      <c t="s">
        <v>48794</v>
      </c>
      <c t="s">
        <v>24401</v>
      </c>
      <c>
        <v>49</v>
      </c>
      <c r="AI641" t="s">
        <v>52372</v>
      </c>
      <c r="AL641" t="s">
        <v>14609</v>
      </c>
      <c r="AN641" t="s">
        <v>49572</v>
      </c>
      <c>
        <v>47229</v>
      </c>
      <c r="AR641" t="s">
        <v>64170</v>
      </c>
    </row>
    <row>
      <c t="s">
        <v>17594</v>
      </c>
      <c t="s">
        <v>6830</v>
      </c>
      <c t="s">
        <v>17834</v>
      </c>
      <c t="s">
        <v>23134</v>
      </c>
      <c t="s">
        <v>63629</v>
      </c>
      <c s="3">
        <v>96817</v>
      </c>
      <c s="3">
        <v>96817</v>
      </c>
      <c s="3">
        <v>88758</v>
      </c>
      <c>
        <v>0</v>
      </c>
      <c s="3">
        <v>0</v>
      </c>
      <c s="3">
        <v>1363.61</v>
      </c>
      <c s="3">
        <v>96817</v>
      </c>
      <c r="O642" s="1" t="str">
        <f ca="1">HYPERLINK("https://web.datatree.com/?/property?propertyId=32174300", "https://web.datatree.com/?/property?propertyId=32174300")</f>
        <v>https://web.datatree.com/?/property?propertyId=32174300</v>
      </c>
      <c r="Q642" t="s">
        <v>316</v>
      </c>
      <c>
        <v>0.663</v>
      </c>
      <c t="s">
        <v>37489</v>
      </c>
      <c t="s">
        <v>2140</v>
      </c>
      <c t="s">
        <v>24206</v>
      </c>
      <c r="X642" t="s">
        <v>42099</v>
      </c>
      <c t="s">
        <v>29527</v>
      </c>
      <c t="s">
        <v>54524</v>
      </c>
      <c t="s">
        <v>39289</v>
      </c>
      <c>
        <v>33903</v>
      </c>
      <c>
        <v>33903</v>
      </c>
      <c t="s">
        <v>48794</v>
      </c>
      <c t="s">
        <v>11997</v>
      </c>
      <c>
        <v>7217</v>
      </c>
      <c r="AI642" t="s">
        <v>33613</v>
      </c>
      <c t="s">
        <v>45620</v>
      </c>
      <c r="AL642" t="s">
        <v>8987</v>
      </c>
      <c t="s">
        <v>65059</v>
      </c>
      <c t="s">
        <v>65467</v>
      </c>
      <c t="s">
        <v>28605</v>
      </c>
      <c t="s">
        <v>5652</v>
      </c>
      <c t="s">
        <v>3093</v>
      </c>
      <c t="s">
        <v>49213</v>
      </c>
    </row>
    <row>
      <c t="s">
        <v>17594</v>
      </c>
      <c t="s">
        <v>43183</v>
      </c>
      <c t="s">
        <v>9603</v>
      </c>
      <c t="s">
        <v>31485</v>
      </c>
      <c t="s">
        <v>12156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643" s="1" t="str">
        <f ca="1">HYPERLINK("https://web.datatree.com/?/property?propertyId=32174474", "https://web.datatree.com/?/property?propertyId=32174474")</f>
        <v>https://web.datatree.com/?/property?propertyId=32174474</v>
      </c>
      <c r="Q643" t="s">
        <v>316</v>
      </c>
      <c>
        <v>0.23</v>
      </c>
      <c t="s">
        <v>6175</v>
      </c>
      <c t="s">
        <v>6294</v>
      </c>
      <c t="s">
        <v>1428</v>
      </c>
      <c t="s">
        <v>46245</v>
      </c>
      <c t="s">
        <v>1428</v>
      </c>
      <c t="s">
        <v>43066</v>
      </c>
      <c t="s">
        <v>25017</v>
      </c>
      <c t="s">
        <v>2517</v>
      </c>
      <c t="s">
        <v>39289</v>
      </c>
      <c>
        <v>33909</v>
      </c>
      <c t="s">
        <v>20125</v>
      </c>
      <c t="s">
        <v>48794</v>
      </c>
      <c t="s">
        <v>2376</v>
      </c>
      <c>
        <v>50</v>
      </c>
      <c r="AI643" t="s">
        <v>35480</v>
      </c>
      <c t="s">
        <v>41372</v>
      </c>
      <c t="s">
        <v>64691</v>
      </c>
      <c t="s">
        <v>12794</v>
      </c>
      <c r="AN643" t="s">
        <v>50917</v>
      </c>
      <c t="s">
        <v>64979</v>
      </c>
      <c t="s">
        <v>11138</v>
      </c>
      <c t="s">
        <v>3093</v>
      </c>
      <c t="s">
        <v>59131</v>
      </c>
    </row>
    <row>
      <c t="s">
        <v>17594</v>
      </c>
      <c t="s">
        <v>26005</v>
      </c>
      <c t="s">
        <v>49326</v>
      </c>
      <c t="s">
        <v>64954</v>
      </c>
      <c t="s">
        <v>38409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644" s="1" t="str">
        <f ca="1">HYPERLINK("https://web.datatree.com/?/property?propertyId=32175149", "https://web.datatree.com/?/property?propertyId=32175149")</f>
        <v>https://web.datatree.com/?/property?propertyId=32175149</v>
      </c>
      <c r="Q644" t="s">
        <v>316</v>
      </c>
      <c>
        <v>0.241</v>
      </c>
      <c t="s">
        <v>6175</v>
      </c>
      <c t="s">
        <v>39139</v>
      </c>
      <c t="s">
        <v>57654</v>
      </c>
      <c r="X644" t="s">
        <v>2858</v>
      </c>
      <c t="s">
        <v>24999</v>
      </c>
      <c t="s">
        <v>2517</v>
      </c>
      <c t="s">
        <v>39289</v>
      </c>
      <c>
        <v>33909</v>
      </c>
      <c t="s">
        <v>19283</v>
      </c>
      <c t="s">
        <v>48794</v>
      </c>
      <c t="s">
        <v>45050</v>
      </c>
      <c>
        <v>6064</v>
      </c>
      <c r="AH644" t="s">
        <v>12549</v>
      </c>
      <c t="s">
        <v>51412</v>
      </c>
      <c t="s">
        <v>1289</v>
      </c>
      <c r="AL644" t="s">
        <v>9505</v>
      </c>
      <c r="AN644" t="s">
        <v>22275</v>
      </c>
      <c t="s">
        <v>28373</v>
      </c>
      <c t="s">
        <v>22455</v>
      </c>
      <c t="s">
        <v>3093</v>
      </c>
      <c t="s">
        <v>11600</v>
      </c>
    </row>
    <row>
      <c t="s">
        <v>17594</v>
      </c>
      <c t="s">
        <v>33701</v>
      </c>
      <c t="s">
        <v>9123</v>
      </c>
      <c t="s">
        <v>47863</v>
      </c>
      <c t="s">
        <v>7268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645" s="1" t="str">
        <f ca="1">HYPERLINK("https://web.datatree.com/?/property?propertyId=32175664", "https://web.datatree.com/?/property?propertyId=32175664")</f>
        <v>https://web.datatree.com/?/property?propertyId=32175664</v>
      </c>
      <c r="Q645" t="s">
        <v>316</v>
      </c>
      <c>
        <v>0.23</v>
      </c>
      <c t="s">
        <v>6175</v>
      </c>
      <c t="s">
        <v>25924</v>
      </c>
      <c t="s">
        <v>4865</v>
      </c>
      <c r="X645" t="s">
        <v>57511</v>
      </c>
      <c t="s">
        <v>50440</v>
      </c>
      <c t="s">
        <v>2517</v>
      </c>
      <c t="s">
        <v>39289</v>
      </c>
      <c>
        <v>33909</v>
      </c>
      <c t="s">
        <v>26261</v>
      </c>
      <c t="s">
        <v>48794</v>
      </c>
      <c t="s">
        <v>18656</v>
      </c>
      <c>
        <v>5015</v>
      </c>
      <c r="AI645" t="s">
        <v>53362</v>
      </c>
      <c t="s">
        <v>1671</v>
      </c>
      <c r="AL645" t="s">
        <v>65491</v>
      </c>
      <c r="AN645" t="s">
        <v>58733</v>
      </c>
      <c t="s">
        <v>17153</v>
      </c>
      <c t="s">
        <v>44428</v>
      </c>
      <c t="s">
        <v>3093</v>
      </c>
      <c t="s">
        <v>45012</v>
      </c>
    </row>
    <row>
      <c t="s">
        <v>17594</v>
      </c>
      <c t="s">
        <v>29888</v>
      </c>
      <c t="s">
        <v>23131</v>
      </c>
      <c t="s">
        <v>41530</v>
      </c>
      <c t="s">
        <v>13332</v>
      </c>
      <c s="3">
        <v>26290</v>
      </c>
      <c s="3">
        <v>26290</v>
      </c>
      <c s="3">
        <v>26290</v>
      </c>
      <c>
        <v>0</v>
      </c>
      <c s="3">
        <v>0</v>
      </c>
      <c s="3">
        <v>789.75</v>
      </c>
      <c s="3">
        <v>26290</v>
      </c>
      <c r="O646" s="1" t="str">
        <f ca="1">HYPERLINK("https://web.datatree.com/?/property?propertyId=32176164", "https://web.datatree.com/?/property?propertyId=32176164")</f>
        <v>https://web.datatree.com/?/property?propertyId=32176164</v>
      </c>
      <c r="Q646" t="s">
        <v>316</v>
      </c>
      <c>
        <v>0.23</v>
      </c>
      <c t="s">
        <v>22490</v>
      </c>
      <c t="s">
        <v>11714</v>
      </c>
      <c t="s">
        <v>19394</v>
      </c>
      <c r="X646" t="s">
        <v>6626</v>
      </c>
      <c t="s">
        <v>2626</v>
      </c>
      <c t="s">
        <v>2517</v>
      </c>
      <c t="s">
        <v>39289</v>
      </c>
      <c>
        <v>33909</v>
      </c>
      <c t="s">
        <v>49188</v>
      </c>
      <c t="s">
        <v>48794</v>
      </c>
      <c t="s">
        <v>60837</v>
      </c>
      <c r="AI646" t="s">
        <v>29782</v>
      </c>
      <c r="AL646" t="s">
        <v>52776</v>
      </c>
      <c r="AN646" t="s">
        <v>63985</v>
      </c>
      <c>
        <v>96194</v>
      </c>
      <c r="AR646" t="s">
        <v>43754</v>
      </c>
    </row>
    <row>
      <c t="s">
        <v>17594</v>
      </c>
      <c t="s">
        <v>56210</v>
      </c>
      <c t="s">
        <v>61347</v>
      </c>
      <c t="s">
        <v>46643</v>
      </c>
      <c t="s">
        <v>42373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647" s="1" t="str">
        <f ca="1">HYPERLINK("https://web.datatree.com/?/property?propertyId=32176288", "https://web.datatree.com/?/property?propertyId=32176288")</f>
        <v>https://web.datatree.com/?/property?propertyId=32176288</v>
      </c>
      <c r="Q647" t="s">
        <v>316</v>
      </c>
      <c>
        <v>0.23</v>
      </c>
      <c t="s">
        <v>22490</v>
      </c>
      <c r="U647" t="s">
        <v>44534</v>
      </c>
      <c r="W647" t="s">
        <v>42372</v>
      </c>
      <c t="s">
        <v>17280</v>
      </c>
      <c t="s">
        <v>29190</v>
      </c>
      <c t="s">
        <v>2517</v>
      </c>
      <c t="s">
        <v>39289</v>
      </c>
      <c>
        <v>33909</v>
      </c>
      <c t="s">
        <v>28674</v>
      </c>
      <c t="s">
        <v>48794</v>
      </c>
      <c t="s">
        <v>62402</v>
      </c>
      <c>
        <v>5276</v>
      </c>
      <c r="AI647" t="s">
        <v>11005</v>
      </c>
      <c t="s">
        <v>24900</v>
      </c>
      <c r="AL647" t="s">
        <v>21676</v>
      </c>
      <c t="s">
        <v>21676</v>
      </c>
      <c t="s">
        <v>39289</v>
      </c>
      <c t="s">
        <v>13226</v>
      </c>
      <c t="s">
        <v>61564</v>
      </c>
      <c t="s">
        <v>3093</v>
      </c>
      <c t="s">
        <v>37401</v>
      </c>
    </row>
    <row>
      <c t="s">
        <v>42103</v>
      </c>
      <c t="s">
        <v>3273</v>
      </c>
      <c t="s">
        <v>42296</v>
      </c>
      <c t="s">
        <v>24759</v>
      </c>
      <c t="s">
        <v>39847</v>
      </c>
      <c s="3">
        <v>357417</v>
      </c>
      <c s="3">
        <v>357417</v>
      </c>
      <c s="3">
        <v>283483</v>
      </c>
      <c>
        <v>0</v>
      </c>
      <c s="3">
        <v>0</v>
      </c>
      <c s="3">
        <v>5492.47</v>
      </c>
      <c s="3">
        <v>357417</v>
      </c>
      <c r="O648" s="1" t="str">
        <f ca="1">HYPERLINK("https://web.datatree.com/?/property?propertyId=32176309", "https://web.datatree.com/?/property?propertyId=32176309")</f>
        <v>https://web.datatree.com/?/property?propertyId=32176309</v>
      </c>
      <c r="Q648" t="s">
        <v>316</v>
      </c>
      <c>
        <v>0.28</v>
      </c>
      <c t="s">
        <v>14479</v>
      </c>
      <c t="s">
        <v>8202</v>
      </c>
      <c t="s">
        <v>58609</v>
      </c>
      <c r="X648" t="s">
        <v>15270</v>
      </c>
      <c t="s">
        <v>25988</v>
      </c>
      <c t="s">
        <v>2517</v>
      </c>
      <c t="s">
        <v>39289</v>
      </c>
      <c>
        <v>33904</v>
      </c>
      <c t="s">
        <v>26478</v>
      </c>
      <c t="s">
        <v>48794</v>
      </c>
      <c t="s">
        <v>48683</v>
      </c>
      <c r="AI648" t="s">
        <v>1796</v>
      </c>
      <c r="AL648" t="s">
        <v>26964</v>
      </c>
      <c r="AN648" t="s">
        <v>26016</v>
      </c>
      <c>
        <v>7748</v>
      </c>
      <c t="s">
        <v>23536</v>
      </c>
      <c t="s">
        <v>3093</v>
      </c>
      <c t="s">
        <v>43180</v>
      </c>
    </row>
    <row>
      <c t="s">
        <v>17594</v>
      </c>
      <c t="s">
        <v>568</v>
      </c>
      <c t="s">
        <v>60659</v>
      </c>
      <c t="s">
        <v>10841</v>
      </c>
      <c t="s">
        <v>29783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649" s="1" t="str">
        <f ca="1">HYPERLINK("https://web.datatree.com/?/property?propertyId=32176556", "https://web.datatree.com/?/property?propertyId=32176556")</f>
        <v>https://web.datatree.com/?/property?propertyId=32176556</v>
      </c>
      <c r="Q649" t="s">
        <v>316</v>
      </c>
      <c>
        <v>0.229</v>
      </c>
      <c t="s">
        <v>45031</v>
      </c>
      <c t="s">
        <v>44541</v>
      </c>
      <c t="s">
        <v>30104</v>
      </c>
      <c t="s">
        <v>63182</v>
      </c>
      <c t="s">
        <v>30104</v>
      </c>
      <c t="s">
        <v>37990</v>
      </c>
      <c t="s">
        <v>38550</v>
      </c>
      <c t="s">
        <v>2517</v>
      </c>
      <c t="s">
        <v>39289</v>
      </c>
      <c>
        <v>33909</v>
      </c>
      <c t="s">
        <v>66625</v>
      </c>
      <c t="s">
        <v>48794</v>
      </c>
      <c t="s">
        <v>6259</v>
      </c>
      <c>
        <v>164</v>
      </c>
      <c r="AI649" t="s">
        <v>66811</v>
      </c>
      <c t="s">
        <v>45620</v>
      </c>
      <c r="AL649" t="s">
        <v>21093</v>
      </c>
      <c t="s">
        <v>22318</v>
      </c>
      <c t="s">
        <v>27747</v>
      </c>
      <c t="s">
        <v>52598</v>
      </c>
      <c t="s">
        <v>19978</v>
      </c>
      <c t="s">
        <v>3093</v>
      </c>
      <c t="s">
        <v>47194</v>
      </c>
    </row>
    <row>
      <c t="s">
        <v>17594</v>
      </c>
      <c t="s">
        <v>39460</v>
      </c>
      <c t="s">
        <v>26545</v>
      </c>
      <c t="s">
        <v>10216</v>
      </c>
      <c t="s">
        <v>19720</v>
      </c>
      <c s="3">
        <v>289935</v>
      </c>
      <c s="3">
        <v>287235</v>
      </c>
      <c s="3">
        <v>143627</v>
      </c>
      <c>
        <v>0</v>
      </c>
      <c s="3">
        <v>0</v>
      </c>
      <c s="3">
        <v>2965.42</v>
      </c>
      <c s="3">
        <v>289935</v>
      </c>
      <c r="O650" s="1" t="str">
        <f ca="1">HYPERLINK("https://web.datatree.com/?/property?propertyId=32176674", "https://web.datatree.com/?/property?propertyId=32176674")</f>
        <v>https://web.datatree.com/?/property?propertyId=32176674</v>
      </c>
      <c r="Q650" t="s">
        <v>316</v>
      </c>
      <c>
        <v>0.359</v>
      </c>
      <c t="s">
        <v>22490</v>
      </c>
      <c t="s">
        <v>11974</v>
      </c>
      <c t="s">
        <v>13339</v>
      </c>
      <c r="X650" t="s">
        <v>54182</v>
      </c>
      <c t="s">
        <v>44982</v>
      </c>
      <c t="s">
        <v>2517</v>
      </c>
      <c t="s">
        <v>39289</v>
      </c>
      <c>
        <v>33904</v>
      </c>
      <c t="s">
        <v>46159</v>
      </c>
      <c t="s">
        <v>48794</v>
      </c>
      <c t="s">
        <v>53336</v>
      </c>
      <c>
        <v>8383</v>
      </c>
      <c r="AI650" t="s">
        <v>29275</v>
      </c>
      <c t="s">
        <v>4985</v>
      </c>
      <c r="AL650" t="s">
        <v>7812</v>
      </c>
      <c r="AN650" t="s">
        <v>49572</v>
      </c>
      <c t="s">
        <v>37176</v>
      </c>
      <c t="s">
        <v>47183</v>
      </c>
      <c t="s">
        <v>3093</v>
      </c>
      <c t="s">
        <v>34564</v>
      </c>
    </row>
    <row>
      <c t="s">
        <v>17594</v>
      </c>
      <c t="s">
        <v>9361</v>
      </c>
      <c t="s">
        <v>22423</v>
      </c>
      <c t="s">
        <v>38924</v>
      </c>
      <c t="s">
        <v>63620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651" s="1" t="str">
        <f ca="1">HYPERLINK("https://web.datatree.com/?/property?propertyId=32176814", "https://web.datatree.com/?/property?propertyId=32176814")</f>
        <v>https://web.datatree.com/?/property?propertyId=32176814</v>
      </c>
      <c r="Q651" t="s">
        <v>316</v>
      </c>
      <c>
        <v>0.229</v>
      </c>
      <c t="s">
        <v>22490</v>
      </c>
      <c t="s">
        <v>12915</v>
      </c>
      <c t="s">
        <v>56439</v>
      </c>
      <c r="X651" t="s">
        <v>12524</v>
      </c>
      <c t="s">
        <v>10653</v>
      </c>
      <c t="s">
        <v>2517</v>
      </c>
      <c t="s">
        <v>39289</v>
      </c>
      <c>
        <v>33909</v>
      </c>
      <c t="s">
        <v>41444</v>
      </c>
      <c t="s">
        <v>48794</v>
      </c>
      <c t="s">
        <v>60149</v>
      </c>
      <c>
        <v>8419</v>
      </c>
      <c r="AI651" t="s">
        <v>60393</v>
      </c>
      <c t="s">
        <v>55842</v>
      </c>
      <c r="AL651" t="s">
        <v>1121</v>
      </c>
      <c t="s">
        <v>1121</v>
      </c>
      <c t="s">
        <v>39289</v>
      </c>
      <c t="s">
        <v>7662</v>
      </c>
      <c t="s">
        <v>27720</v>
      </c>
      <c t="s">
        <v>3093</v>
      </c>
      <c t="s">
        <v>62438</v>
      </c>
    </row>
    <row>
      <c t="s">
        <v>17594</v>
      </c>
      <c t="s">
        <v>10667</v>
      </c>
      <c t="s">
        <v>268</v>
      </c>
      <c t="s">
        <v>22110</v>
      </c>
      <c t="s">
        <v>17190</v>
      </c>
      <c s="3">
        <v>26249</v>
      </c>
      <c s="3">
        <v>26249</v>
      </c>
      <c s="3">
        <v>12100</v>
      </c>
      <c>
        <v>0</v>
      </c>
      <c s="3">
        <v>0</v>
      </c>
      <c s="3">
        <v>653.92</v>
      </c>
      <c s="3">
        <v>26249</v>
      </c>
      <c r="O652" s="1" t="str">
        <f ca="1">HYPERLINK("https://web.datatree.com/?/property?propertyId=32176844", "https://web.datatree.com/?/property?propertyId=32176844")</f>
        <v>https://web.datatree.com/?/property?propertyId=32176844</v>
      </c>
      <c r="Q652" t="s">
        <v>316</v>
      </c>
      <c>
        <v>0.23</v>
      </c>
      <c t="s">
        <v>45031</v>
      </c>
      <c t="s">
        <v>67028</v>
      </c>
      <c t="s">
        <v>1968</v>
      </c>
      <c r="X652" t="s">
        <v>34317</v>
      </c>
      <c t="s">
        <v>10653</v>
      </c>
      <c t="s">
        <v>2517</v>
      </c>
      <c t="s">
        <v>39289</v>
      </c>
      <c>
        <v>33909</v>
      </c>
      <c t="s">
        <v>57010</v>
      </c>
      <c t="s">
        <v>48794</v>
      </c>
      <c t="s">
        <v>24796</v>
      </c>
      <c>
        <v>714</v>
      </c>
      <c r="AI652" t="s">
        <v>27398</v>
      </c>
      <c t="s">
        <v>45393</v>
      </c>
      <c r="AL652" t="s">
        <v>16336</v>
      </c>
      <c r="AN652" t="s">
        <v>26016</v>
      </c>
      <c t="s">
        <v>5032</v>
      </c>
      <c t="s">
        <v>24994</v>
      </c>
      <c t="s">
        <v>3093</v>
      </c>
      <c t="s">
        <v>67125</v>
      </c>
    </row>
    <row>
      <c t="s">
        <v>17594</v>
      </c>
      <c t="s">
        <v>18916</v>
      </c>
      <c t="s">
        <v>8818</v>
      </c>
      <c t="s">
        <v>17486</v>
      </c>
      <c t="s">
        <v>39303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653" s="1" t="str">
        <f ca="1">HYPERLINK("https://web.datatree.com/?/property?propertyId=32176972", "https://web.datatree.com/?/property?propertyId=32176972")</f>
        <v>https://web.datatree.com/?/property?propertyId=32176972</v>
      </c>
      <c r="Q653" t="s">
        <v>316</v>
      </c>
      <c>
        <v>0.244</v>
      </c>
      <c t="s">
        <v>6175</v>
      </c>
      <c t="s">
        <v>2597</v>
      </c>
      <c t="s">
        <v>48144</v>
      </c>
      <c t="s">
        <v>47754</v>
      </c>
      <c t="s">
        <v>48144</v>
      </c>
      <c t="s">
        <v>24408</v>
      </c>
      <c t="s">
        <v>23517</v>
      </c>
      <c t="s">
        <v>2517</v>
      </c>
      <c t="s">
        <v>39289</v>
      </c>
      <c>
        <v>33909</v>
      </c>
      <c t="s">
        <v>55853</v>
      </c>
      <c t="s">
        <v>48794</v>
      </c>
      <c t="s">
        <v>19676</v>
      </c>
      <c>
        <v>185</v>
      </c>
      <c r="AI653" t="s">
        <v>28124</v>
      </c>
      <c t="s">
        <v>24900</v>
      </c>
      <c>
        <v>35</v>
      </c>
      <c t="s">
        <v>13397</v>
      </c>
      <c r="AN653" t="s">
        <v>50917</v>
      </c>
      <c t="s">
        <v>8970</v>
      </c>
      <c t="s">
        <v>4797</v>
      </c>
      <c t="s">
        <v>3093</v>
      </c>
      <c t="s">
        <v>24118</v>
      </c>
    </row>
    <row>
      <c t="s">
        <v>17594</v>
      </c>
      <c t="s">
        <v>29633</v>
      </c>
      <c t="s">
        <v>25050</v>
      </c>
      <c t="s">
        <v>48648</v>
      </c>
      <c t="s">
        <v>7518</v>
      </c>
      <c s="3">
        <v>9856</v>
      </c>
      <c s="3">
        <v>9856</v>
      </c>
      <c s="3">
        <v>3727</v>
      </c>
      <c>
        <v>0</v>
      </c>
      <c s="3">
        <v>0</v>
      </c>
      <c s="3">
        <v>295.04</v>
      </c>
      <c s="3">
        <v>9856</v>
      </c>
      <c r="O654" s="1" t="str">
        <f ca="1">HYPERLINK("https://web.datatree.com/?/property?propertyId=32177429", "https://web.datatree.com/?/property?propertyId=32177429")</f>
        <v>https://web.datatree.com/?/property?propertyId=32177429</v>
      </c>
      <c r="Q654" t="s">
        <v>316</v>
      </c>
      <c>
        <v>0.25</v>
      </c>
      <c t="s">
        <v>5471</v>
      </c>
      <c t="s">
        <v>12155</v>
      </c>
      <c t="s">
        <v>18005</v>
      </c>
      <c r="X654" t="s">
        <v>12992</v>
      </c>
      <c t="s">
        <v>18019</v>
      </c>
      <c t="s">
        <v>65059</v>
      </c>
      <c t="s">
        <v>39289</v>
      </c>
      <c>
        <v>33905</v>
      </c>
      <c t="s">
        <v>39571</v>
      </c>
      <c t="s">
        <v>48794</v>
      </c>
      <c t="s">
        <v>50193</v>
      </c>
      <c>
        <v>923</v>
      </c>
      <c r="AI654" t="s">
        <v>66116</v>
      </c>
      <c t="s">
        <v>40123</v>
      </c>
      <c r="AL654" t="s">
        <v>20040</v>
      </c>
      <c t="s">
        <v>20040</v>
      </c>
      <c t="s">
        <v>26016</v>
      </c>
      <c t="s">
        <v>48289</v>
      </c>
      <c t="s">
        <v>34342</v>
      </c>
      <c t="s">
        <v>3093</v>
      </c>
      <c t="s">
        <v>62059</v>
      </c>
    </row>
    <row>
      <c t="s">
        <v>17594</v>
      </c>
      <c t="s">
        <v>64065</v>
      </c>
      <c t="s">
        <v>49131</v>
      </c>
      <c t="s">
        <v>8742</v>
      </c>
      <c t="s">
        <v>5894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655" s="1" t="str">
        <f ca="1">HYPERLINK("https://web.datatree.com/?/property?propertyId=32177644", "https://web.datatree.com/?/property?propertyId=32177644")</f>
        <v>https://web.datatree.com/?/property?propertyId=32177644</v>
      </c>
      <c r="Q655" t="s">
        <v>316</v>
      </c>
      <c>
        <v>0.23</v>
      </c>
      <c t="s">
        <v>45031</v>
      </c>
      <c t="s">
        <v>43826</v>
      </c>
      <c t="s">
        <v>23873</v>
      </c>
      <c t="s">
        <v>54158</v>
      </c>
      <c t="s">
        <v>23873</v>
      </c>
      <c t="s">
        <v>17705</v>
      </c>
      <c t="s">
        <v>53663</v>
      </c>
      <c t="s">
        <v>2517</v>
      </c>
      <c t="s">
        <v>39289</v>
      </c>
      <c>
        <v>33909</v>
      </c>
      <c t="s">
        <v>33274</v>
      </c>
      <c t="s">
        <v>48794</v>
      </c>
      <c t="s">
        <v>59837</v>
      </c>
      <c>
        <v>4105</v>
      </c>
      <c r="AI655" t="s">
        <v>30984</v>
      </c>
      <c t="s">
        <v>55910</v>
      </c>
      <c r="AL655" t="s">
        <v>38934</v>
      </c>
      <c t="s">
        <v>58736</v>
      </c>
      <c t="s">
        <v>17331</v>
      </c>
      <c t="s">
        <v>52726</v>
      </c>
      <c t="s">
        <v>33029</v>
      </c>
      <c t="s">
        <v>3093</v>
      </c>
      <c t="s">
        <v>60275</v>
      </c>
    </row>
    <row>
      <c t="s">
        <v>17594</v>
      </c>
      <c t="s">
        <v>51795</v>
      </c>
      <c t="s">
        <v>20459</v>
      </c>
      <c t="s">
        <v>43459</v>
      </c>
      <c t="s">
        <v>58470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656" s="1" t="str">
        <f ca="1">HYPERLINK("https://web.datatree.com/?/property?propertyId=32178658", "https://web.datatree.com/?/property?propertyId=32178658")</f>
        <v>https://web.datatree.com/?/property?propertyId=32178658</v>
      </c>
      <c r="Q656" t="s">
        <v>316</v>
      </c>
      <c>
        <v>0.23</v>
      </c>
      <c t="s">
        <v>6175</v>
      </c>
      <c t="s">
        <v>6371</v>
      </c>
      <c t="s">
        <v>66811</v>
      </c>
      <c t="s">
        <v>36321</v>
      </c>
      <c t="s">
        <v>66811</v>
      </c>
      <c t="s">
        <v>63151</v>
      </c>
      <c t="s">
        <v>13478</v>
      </c>
      <c t="s">
        <v>2517</v>
      </c>
      <c t="s">
        <v>39289</v>
      </c>
      <c>
        <v>33909</v>
      </c>
      <c t="s">
        <v>56427</v>
      </c>
      <c t="s">
        <v>48794</v>
      </c>
      <c t="s">
        <v>65135</v>
      </c>
      <c>
        <v>956</v>
      </c>
      <c r="AI656" t="s">
        <v>46461</v>
      </c>
      <c t="s">
        <v>31192</v>
      </c>
      <c r="AL656" t="s">
        <v>968</v>
      </c>
      <c r="AN656" t="s">
        <v>39289</v>
      </c>
      <c t="s">
        <v>23251</v>
      </c>
      <c t="s">
        <v>49977</v>
      </c>
      <c t="s">
        <v>3093</v>
      </c>
      <c t="s">
        <v>4497</v>
      </c>
    </row>
    <row>
      <c t="s">
        <v>17594</v>
      </c>
      <c t="s">
        <v>33641</v>
      </c>
      <c t="s">
        <v>66076</v>
      </c>
      <c t="s">
        <v>48656</v>
      </c>
      <c t="s">
        <v>40525</v>
      </c>
      <c s="3">
        <v>9255</v>
      </c>
      <c s="3">
        <v>9255</v>
      </c>
      <c s="3">
        <v>6215</v>
      </c>
      <c>
        <v>0</v>
      </c>
      <c s="3">
        <v>0</v>
      </c>
      <c s="3">
        <v>109.94</v>
      </c>
      <c s="3">
        <v>9255</v>
      </c>
      <c r="O657" s="1" t="str">
        <f ca="1">HYPERLINK("https://web.datatree.com/?/property?propertyId=32178850", "https://web.datatree.com/?/property?propertyId=32178850")</f>
        <v>https://web.datatree.com/?/property?propertyId=32178850</v>
      </c>
      <c r="Q657" t="s">
        <v>316</v>
      </c>
      <c>
        <v>0.16</v>
      </c>
      <c t="s">
        <v>5471</v>
      </c>
      <c t="s">
        <v>44150</v>
      </c>
      <c t="s">
        <v>32236</v>
      </c>
      <c r="X657" t="s">
        <v>5997</v>
      </c>
      <c t="s">
        <v>25518</v>
      </c>
      <c t="s">
        <v>65059</v>
      </c>
      <c t="s">
        <v>39289</v>
      </c>
      <c>
        <v>33905</v>
      </c>
      <c t="s">
        <v>28706</v>
      </c>
      <c t="s">
        <v>48794</v>
      </c>
      <c t="s">
        <v>34741</v>
      </c>
      <c s="5">
        <v>227.5</v>
      </c>
      <c r="AI657" t="s">
        <v>10859</v>
      </c>
      <c t="s">
        <v>45393</v>
      </c>
      <c r="AL657" t="s">
        <v>22539</v>
      </c>
      <c r="AN657" t="s">
        <v>65451</v>
      </c>
      <c t="s">
        <v>60852</v>
      </c>
      <c t="s">
        <v>44573</v>
      </c>
      <c t="s">
        <v>3093</v>
      </c>
      <c t="s">
        <v>59655</v>
      </c>
    </row>
    <row>
      <c t="s">
        <v>17594</v>
      </c>
      <c t="s">
        <v>31688</v>
      </c>
      <c t="s">
        <v>62803</v>
      </c>
      <c t="s">
        <v>26929</v>
      </c>
      <c t="s">
        <v>16365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658" s="1" t="str">
        <f ca="1">HYPERLINK("https://web.datatree.com/?/property?propertyId=32179244", "https://web.datatree.com/?/property?propertyId=32179244")</f>
        <v>https://web.datatree.com/?/property?propertyId=32179244</v>
      </c>
      <c r="Q658" t="s">
        <v>316</v>
      </c>
      <c>
        <v>0.23</v>
      </c>
      <c t="s">
        <v>6175</v>
      </c>
      <c t="s">
        <v>37541</v>
      </c>
      <c t="s">
        <v>27142</v>
      </c>
      <c r="X658" t="s">
        <v>19684</v>
      </c>
      <c t="s">
        <v>50440</v>
      </c>
      <c t="s">
        <v>2517</v>
      </c>
      <c t="s">
        <v>39289</v>
      </c>
      <c>
        <v>33909</v>
      </c>
      <c t="s">
        <v>60483</v>
      </c>
      <c t="s">
        <v>48794</v>
      </c>
      <c t="s">
        <v>35666</v>
      </c>
      <c t="s">
        <v>45409</v>
      </c>
      <c r="AI658" t="s">
        <v>51407</v>
      </c>
      <c r="AL658" t="s">
        <v>66610</v>
      </c>
      <c r="AN658" t="s">
        <v>22478</v>
      </c>
      <c r="AR658" t="s">
        <v>37513</v>
      </c>
    </row>
    <row>
      <c t="s">
        <v>17594</v>
      </c>
      <c t="s">
        <v>31206</v>
      </c>
      <c t="s">
        <v>62748</v>
      </c>
      <c t="s">
        <v>42853</v>
      </c>
      <c t="s">
        <v>26313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659" s="1" t="str">
        <f ca="1">HYPERLINK("https://web.datatree.com/?/property?propertyId=32179269", "https://web.datatree.com/?/property?propertyId=32179269")</f>
        <v>https://web.datatree.com/?/property?propertyId=32179269</v>
      </c>
      <c r="Q659" t="s">
        <v>316</v>
      </c>
      <c>
        <v>0.23</v>
      </c>
      <c t="s">
        <v>22490</v>
      </c>
      <c t="s">
        <v>37985</v>
      </c>
      <c t="s">
        <v>48923</v>
      </c>
      <c r="X659" t="s">
        <v>61190</v>
      </c>
      <c t="s">
        <v>2626</v>
      </c>
      <c t="s">
        <v>2517</v>
      </c>
      <c t="s">
        <v>39289</v>
      </c>
      <c>
        <v>33909</v>
      </c>
      <c t="s">
        <v>49188</v>
      </c>
      <c t="s">
        <v>48794</v>
      </c>
      <c t="s">
        <v>20251</v>
      </c>
      <c>
        <v>510</v>
      </c>
      <c r="AI659" t="s">
        <v>11090</v>
      </c>
      <c t="s">
        <v>40123</v>
      </c>
      <c>
        <v>42</v>
      </c>
      <c t="s">
        <v>8558</v>
      </c>
      <c t="s">
        <v>8558</v>
      </c>
      <c t="s">
        <v>50829</v>
      </c>
      <c t="s">
        <v>322</v>
      </c>
      <c t="s">
        <v>702</v>
      </c>
      <c t="s">
        <v>3093</v>
      </c>
      <c t="s">
        <v>12316</v>
      </c>
    </row>
    <row>
      <c t="s">
        <v>17594</v>
      </c>
      <c t="s">
        <v>39462</v>
      </c>
      <c t="s">
        <v>37648</v>
      </c>
      <c t="s">
        <v>2476</v>
      </c>
      <c t="s">
        <v>7284</v>
      </c>
      <c s="3">
        <v>24566</v>
      </c>
      <c s="3">
        <v>24566</v>
      </c>
      <c s="3">
        <v>10956</v>
      </c>
      <c>
        <v>0</v>
      </c>
      <c s="3">
        <v>0</v>
      </c>
      <c s="3">
        <v>717.52</v>
      </c>
      <c s="3">
        <v>24566</v>
      </c>
      <c>
        <v>2021</v>
      </c>
      <c>
        <v>661.83</v>
      </c>
      <c s="1" t="str">
        <f ca="1">HYPERLINK("https://web.datatree.com/?/property?propertyId=32179357", "https://web.datatree.com/?/property?propertyId=32179357")</f>
        <v>https://web.datatree.com/?/property?propertyId=32179357</v>
      </c>
      <c r="Q660" t="s">
        <v>316</v>
      </c>
      <c>
        <v>0.344</v>
      </c>
      <c t="s">
        <v>45031</v>
      </c>
      <c t="s">
        <v>4348</v>
      </c>
      <c t="s">
        <v>40102</v>
      </c>
      <c r="X660" t="s">
        <v>42653</v>
      </c>
      <c t="s">
        <v>22731</v>
      </c>
      <c t="s">
        <v>2517</v>
      </c>
      <c t="s">
        <v>39289</v>
      </c>
      <c>
        <v>33909</v>
      </c>
      <c>
        <v>33909</v>
      </c>
      <c t="s">
        <v>48794</v>
      </c>
      <c t="s">
        <v>55804</v>
      </c>
      <c>
        <v>110</v>
      </c>
      <c r="AI660" t="s">
        <v>38221</v>
      </c>
      <c t="s">
        <v>45620</v>
      </c>
      <c r="AL660" t="s">
        <v>1393</v>
      </c>
      <c t="s">
        <v>1393</v>
      </c>
      <c t="s">
        <v>27747</v>
      </c>
      <c t="s">
        <v>25125</v>
      </c>
      <c t="s">
        <v>3364</v>
      </c>
      <c t="s">
        <v>3093</v>
      </c>
      <c t="s">
        <v>2840</v>
      </c>
    </row>
    <row>
      <c t="s">
        <v>17594</v>
      </c>
      <c t="s">
        <v>67116</v>
      </c>
      <c t="s">
        <v>38801</v>
      </c>
      <c t="s">
        <v>37211</v>
      </c>
      <c t="s">
        <v>19700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661" s="1" t="str">
        <f ca="1">HYPERLINK("https://web.datatree.com/?/property?propertyId=32179375", "https://web.datatree.com/?/property?propertyId=32179375")</f>
        <v>https://web.datatree.com/?/property?propertyId=32179375</v>
      </c>
      <c r="Q661" t="s">
        <v>316</v>
      </c>
      <c>
        <v>0.23</v>
      </c>
      <c t="s">
        <v>22490</v>
      </c>
      <c t="s">
        <v>552</v>
      </c>
      <c t="s">
        <v>21262</v>
      </c>
      <c t="s">
        <v>35852</v>
      </c>
      <c t="s">
        <v>21262</v>
      </c>
      <c t="s">
        <v>57804</v>
      </c>
      <c t="s">
        <v>49674</v>
      </c>
      <c t="s">
        <v>2517</v>
      </c>
      <c t="s">
        <v>39289</v>
      </c>
      <c>
        <v>33909</v>
      </c>
      <c t="s">
        <v>32532</v>
      </c>
      <c t="s">
        <v>48794</v>
      </c>
      <c t="s">
        <v>42947</v>
      </c>
      <c>
        <v>11801</v>
      </c>
      <c r="AI661" t="s">
        <v>41506</v>
      </c>
      <c t="s">
        <v>45393</v>
      </c>
      <c r="AL661" t="s">
        <v>6365</v>
      </c>
      <c r="AN661" t="s">
        <v>39289</v>
      </c>
      <c t="s">
        <v>54109</v>
      </c>
      <c t="s">
        <v>17380</v>
      </c>
      <c t="s">
        <v>3093</v>
      </c>
      <c t="s">
        <v>2980</v>
      </c>
    </row>
    <row>
      <c t="s">
        <v>17594</v>
      </c>
      <c t="s">
        <v>45005</v>
      </c>
      <c t="s">
        <v>30674</v>
      </c>
      <c t="s">
        <v>1236</v>
      </c>
      <c t="s">
        <v>46467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662" s="1" t="str">
        <f ca="1">HYPERLINK("https://web.datatree.com/?/property?propertyId=32179849", "https://web.datatree.com/?/property?propertyId=32179849")</f>
        <v>https://web.datatree.com/?/property?propertyId=32179849</v>
      </c>
      <c r="Q662" t="s">
        <v>316</v>
      </c>
      <c>
        <v>0.228</v>
      </c>
      <c t="s">
        <v>6175</v>
      </c>
      <c t="s">
        <v>37616</v>
      </c>
      <c t="s">
        <v>31030</v>
      </c>
      <c t="s">
        <v>47992</v>
      </c>
      <c t="s">
        <v>4653</v>
      </c>
      <c t="s">
        <v>56781</v>
      </c>
      <c t="s">
        <v>371</v>
      </c>
      <c t="s">
        <v>2517</v>
      </c>
      <c t="s">
        <v>39289</v>
      </c>
      <c>
        <v>33909</v>
      </c>
      <c t="s">
        <v>41537</v>
      </c>
      <c t="s">
        <v>48794</v>
      </c>
      <c t="s">
        <v>65496</v>
      </c>
      <c>
        <v>616</v>
      </c>
      <c r="AI662" t="s">
        <v>64820</v>
      </c>
      <c t="s">
        <v>55842</v>
      </c>
      <c r="AL662" t="s">
        <v>968</v>
      </c>
      <c r="AN662" t="s">
        <v>39289</v>
      </c>
      <c t="s">
        <v>30809</v>
      </c>
      <c t="s">
        <v>5652</v>
      </c>
      <c t="s">
        <v>3093</v>
      </c>
      <c t="s">
        <v>39402</v>
      </c>
    </row>
    <row>
      <c t="s">
        <v>17594</v>
      </c>
      <c t="s">
        <v>23317</v>
      </c>
      <c t="s">
        <v>52812</v>
      </c>
      <c t="s">
        <v>29539</v>
      </c>
      <c t="s">
        <v>38986</v>
      </c>
      <c s="3">
        <v>45000</v>
      </c>
      <c s="3">
        <v>45000</v>
      </c>
      <c s="3">
        <v>19800</v>
      </c>
      <c>
        <v>0</v>
      </c>
      <c s="3">
        <v>0</v>
      </c>
      <c s="3">
        <v>3150.03</v>
      </c>
      <c s="3">
        <v>45000</v>
      </c>
      <c r="O663" s="1" t="str">
        <f ca="1">HYPERLINK("https://web.datatree.com/?/property?propertyId=32180128", "https://web.datatree.com/?/property?propertyId=32180128")</f>
        <v>https://web.datatree.com/?/property?propertyId=32180128</v>
      </c>
      <c r="Q663" t="s">
        <v>316</v>
      </c>
      <c>
        <v>0.243</v>
      </c>
      <c t="s">
        <v>22490</v>
      </c>
      <c t="s">
        <v>58276</v>
      </c>
      <c t="s">
        <v>10072</v>
      </c>
      <c t="s">
        <v>39973</v>
      </c>
      <c t="s">
        <v>10072</v>
      </c>
      <c t="s">
        <v>66645</v>
      </c>
      <c t="s">
        <v>61865</v>
      </c>
      <c t="s">
        <v>2517</v>
      </c>
      <c t="s">
        <v>39289</v>
      </c>
      <c>
        <v>33909</v>
      </c>
      <c t="s">
        <v>28263</v>
      </c>
      <c t="s">
        <v>48794</v>
      </c>
      <c t="s">
        <v>1072</v>
      </c>
      <c>
        <v>7</v>
      </c>
      <c r="AI663" t="s">
        <v>55437</v>
      </c>
      <c r="AL663" t="s">
        <v>61091</v>
      </c>
      <c r="AN663" t="s">
        <v>63985</v>
      </c>
      <c>
        <v>27721</v>
      </c>
      <c r="AR663" t="s">
        <v>60551</v>
      </c>
    </row>
    <row>
      <c t="s">
        <v>17594</v>
      </c>
      <c t="s">
        <v>4242</v>
      </c>
      <c t="s">
        <v>35022</v>
      </c>
      <c t="s">
        <v>25455</v>
      </c>
      <c t="s">
        <v>59770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664" s="1" t="str">
        <f ca="1">HYPERLINK("https://web.datatree.com/?/property?propertyId=32180721", "https://web.datatree.com/?/property?propertyId=32180721")</f>
        <v>https://web.datatree.com/?/property?propertyId=32180721</v>
      </c>
      <c r="Q664" t="s">
        <v>316</v>
      </c>
      <c>
        <v>0.23</v>
      </c>
      <c t="s">
        <v>6175</v>
      </c>
      <c t="s">
        <v>57865</v>
      </c>
      <c t="s">
        <v>58468</v>
      </c>
      <c t="s">
        <v>58668</v>
      </c>
      <c t="s">
        <v>58468</v>
      </c>
      <c t="s">
        <v>127</v>
      </c>
      <c t="s">
        <v>55273</v>
      </c>
      <c t="s">
        <v>2517</v>
      </c>
      <c t="s">
        <v>39289</v>
      </c>
      <c>
        <v>33909</v>
      </c>
      <c t="s">
        <v>46799</v>
      </c>
      <c t="s">
        <v>48794</v>
      </c>
      <c t="s">
        <v>31070</v>
      </c>
      <c>
        <v>30</v>
      </c>
      <c r="AI664" t="s">
        <v>35418</v>
      </c>
      <c t="s">
        <v>45620</v>
      </c>
      <c r="AL664" t="s">
        <v>17557</v>
      </c>
      <c r="AN664" t="s">
        <v>10909</v>
      </c>
      <c t="s">
        <v>37449</v>
      </c>
      <c r="AQ664" t="s">
        <v>27814</v>
      </c>
      <c t="s">
        <v>38718</v>
      </c>
    </row>
    <row>
      <c t="s">
        <v>17594</v>
      </c>
      <c t="s">
        <v>13412</v>
      </c>
      <c t="s">
        <v>14621</v>
      </c>
      <c t="s">
        <v>50882</v>
      </c>
      <c t="s">
        <v>4729</v>
      </c>
      <c s="3">
        <v>114534</v>
      </c>
      <c s="3">
        <v>114534</v>
      </c>
      <c s="3">
        <v>112709</v>
      </c>
      <c>
        <v>0</v>
      </c>
      <c s="3">
        <v>0</v>
      </c>
      <c s="3">
        <v>2203.74</v>
      </c>
      <c s="3">
        <v>114534</v>
      </c>
      <c r="O665" s="1" t="str">
        <f ca="1">HYPERLINK("https://web.datatree.com/?/property?propertyId=32180935", "https://web.datatree.com/?/property?propertyId=32180935")</f>
        <v>https://web.datatree.com/?/property?propertyId=32180935</v>
      </c>
      <c r="Q665" t="s">
        <v>316</v>
      </c>
      <c>
        <v>0.23</v>
      </c>
      <c t="s">
        <v>22490</v>
      </c>
      <c t="s">
        <v>1859</v>
      </c>
      <c t="s">
        <v>56831</v>
      </c>
      <c t="s">
        <v>58703</v>
      </c>
      <c t="s">
        <v>56831</v>
      </c>
      <c t="s">
        <v>11726</v>
      </c>
      <c t="s">
        <v>49122</v>
      </c>
      <c t="s">
        <v>2517</v>
      </c>
      <c t="s">
        <v>39289</v>
      </c>
      <c>
        <v>33904</v>
      </c>
      <c>
        <v>33904</v>
      </c>
      <c t="s">
        <v>48794</v>
      </c>
      <c t="s">
        <v>49274</v>
      </c>
      <c>
        <v>464</v>
      </c>
      <c r="AI665" t="s">
        <v>18702</v>
      </c>
      <c t="s">
        <v>31192</v>
      </c>
      <c r="AL665" t="s">
        <v>12829</v>
      </c>
      <c r="AN665" t="s">
        <v>50917</v>
      </c>
      <c t="s">
        <v>60435</v>
      </c>
      <c t="s">
        <v>27780</v>
      </c>
      <c t="s">
        <v>3093</v>
      </c>
      <c t="s">
        <v>40253</v>
      </c>
    </row>
    <row>
      <c t="s">
        <v>17594</v>
      </c>
      <c t="s">
        <v>55592</v>
      </c>
      <c t="s">
        <v>21885</v>
      </c>
      <c t="s">
        <v>61292</v>
      </c>
      <c t="s">
        <v>3032</v>
      </c>
      <c s="3">
        <v>8540</v>
      </c>
      <c s="3">
        <v>8540</v>
      </c>
      <c s="3">
        <v>4972</v>
      </c>
      <c>
        <v>0</v>
      </c>
      <c s="3">
        <v>0</v>
      </c>
      <c s="3">
        <v>315.35</v>
      </c>
      <c s="3">
        <v>8540</v>
      </c>
      <c>
        <v>2021</v>
      </c>
      <c>
        <v>346.95</v>
      </c>
      <c s="1" t="str">
        <f ca="1">HYPERLINK("https://web.datatree.com/?/property?propertyId=32180944", "https://web.datatree.com/?/property?propertyId=32180944")</f>
        <v>https://web.datatree.com/?/property?propertyId=32180944</v>
      </c>
      <c r="Q666" t="s">
        <v>316</v>
      </c>
      <c>
        <v>0.232</v>
      </c>
      <c t="s">
        <v>5471</v>
      </c>
      <c t="s">
        <v>54436</v>
      </c>
      <c t="s">
        <v>58709</v>
      </c>
      <c r="X666" t="s">
        <v>44223</v>
      </c>
      <c t="s">
        <v>47180</v>
      </c>
      <c t="s">
        <v>65059</v>
      </c>
      <c t="s">
        <v>39289</v>
      </c>
      <c>
        <v>33905</v>
      </c>
      <c t="s">
        <v>13973</v>
      </c>
      <c t="s">
        <v>48794</v>
      </c>
      <c t="s">
        <v>39050</v>
      </c>
      <c>
        <v>20230</v>
      </c>
      <c r="AI666" t="s">
        <v>33778</v>
      </c>
      <c t="s">
        <v>31192</v>
      </c>
      <c r="AL666" t="s">
        <v>27584</v>
      </c>
      <c r="AN666" t="s">
        <v>18236</v>
      </c>
      <c t="s">
        <v>61532</v>
      </c>
      <c t="s">
        <v>53800</v>
      </c>
      <c t="s">
        <v>3093</v>
      </c>
      <c t="s">
        <v>63124</v>
      </c>
    </row>
    <row>
      <c t="s">
        <v>17594</v>
      </c>
      <c t="s">
        <v>8020</v>
      </c>
      <c t="s">
        <v>36269</v>
      </c>
      <c t="s">
        <v>67243</v>
      </c>
      <c t="s">
        <v>14952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667" s="1" t="str">
        <f ca="1">HYPERLINK("https://web.datatree.com/?/property?propertyId=32181460", "https://web.datatree.com/?/property?propertyId=32181460")</f>
        <v>https://web.datatree.com/?/property?propertyId=32181460</v>
      </c>
      <c r="Q667" t="s">
        <v>316</v>
      </c>
      <c>
        <v>0.23</v>
      </c>
      <c t="s">
        <v>6175</v>
      </c>
      <c t="s">
        <v>21668</v>
      </c>
      <c t="s">
        <v>37391</v>
      </c>
      <c t="s">
        <v>57161</v>
      </c>
      <c t="s">
        <v>37391</v>
      </c>
      <c t="s">
        <v>9996</v>
      </c>
      <c t="s">
        <v>44061</v>
      </c>
      <c t="s">
        <v>2517</v>
      </c>
      <c t="s">
        <v>39289</v>
      </c>
      <c>
        <v>33909</v>
      </c>
      <c t="s">
        <v>65622</v>
      </c>
      <c t="s">
        <v>48794</v>
      </c>
      <c t="s">
        <v>24438</v>
      </c>
      <c>
        <v>150</v>
      </c>
      <c r="AI667" t="s">
        <v>32207</v>
      </c>
      <c t="s">
        <v>45620</v>
      </c>
      <c r="AL667" t="s">
        <v>47701</v>
      </c>
      <c r="AN667" t="s">
        <v>50917</v>
      </c>
      <c t="s">
        <v>48409</v>
      </c>
      <c t="s">
        <v>4480</v>
      </c>
      <c t="s">
        <v>3093</v>
      </c>
      <c t="s">
        <v>37132</v>
      </c>
    </row>
    <row>
      <c t="s">
        <v>17594</v>
      </c>
      <c t="s">
        <v>61852</v>
      </c>
      <c t="s">
        <v>16010</v>
      </c>
      <c t="s">
        <v>22361</v>
      </c>
      <c t="s">
        <v>48310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668" s="1" t="str">
        <f ca="1">HYPERLINK("https://web.datatree.com/?/property?propertyId=32181593", "https://web.datatree.com/?/property?propertyId=32181593")</f>
        <v>https://web.datatree.com/?/property?propertyId=32181593</v>
      </c>
      <c r="Q668" t="s">
        <v>316</v>
      </c>
      <c>
        <v>0.236</v>
      </c>
      <c t="s">
        <v>6175</v>
      </c>
      <c t="s">
        <v>63047</v>
      </c>
      <c t="s">
        <v>9790</v>
      </c>
      <c t="s">
        <v>21668</v>
      </c>
      <c t="s">
        <v>9790</v>
      </c>
      <c t="s">
        <v>60453</v>
      </c>
      <c t="s">
        <v>61850</v>
      </c>
      <c t="s">
        <v>2517</v>
      </c>
      <c t="s">
        <v>39289</v>
      </c>
      <c>
        <v>33909</v>
      </c>
      <c t="s">
        <v>17498</v>
      </c>
      <c t="s">
        <v>48794</v>
      </c>
      <c t="s">
        <v>38783</v>
      </c>
      <c>
        <v>32347</v>
      </c>
      <c r="AI668" t="s">
        <v>57553</v>
      </c>
      <c r="AL668" t="s">
        <v>63155</v>
      </c>
      <c r="AN668" t="s">
        <v>50829</v>
      </c>
      <c t="s">
        <v>60134</v>
      </c>
      <c t="s">
        <v>22455</v>
      </c>
      <c t="s">
        <v>3093</v>
      </c>
      <c t="s">
        <v>6024</v>
      </c>
    </row>
    <row>
      <c t="s">
        <v>17594</v>
      </c>
      <c t="s">
        <v>48700</v>
      </c>
      <c t="s">
        <v>9797</v>
      </c>
      <c t="s">
        <v>12328</v>
      </c>
      <c t="s">
        <v>5913</v>
      </c>
      <c s="3">
        <v>22827</v>
      </c>
      <c s="3">
        <v>22827</v>
      </c>
      <c s="3">
        <v>10914</v>
      </c>
      <c>
        <v>0</v>
      </c>
      <c s="3">
        <v>0</v>
      </c>
      <c s="3">
        <v>713.88</v>
      </c>
      <c s="3">
        <v>22827</v>
      </c>
      <c r="O669" s="1" t="str">
        <f ca="1">HYPERLINK("https://web.datatree.com/?/property?propertyId=32182181", "https://web.datatree.com/?/property?propertyId=32182181")</f>
        <v>https://web.datatree.com/?/property?propertyId=32182181</v>
      </c>
      <c r="Q669" t="s">
        <v>316</v>
      </c>
      <c>
        <v>0.344</v>
      </c>
      <c t="s">
        <v>22490</v>
      </c>
      <c t="s">
        <v>66812</v>
      </c>
      <c t="s">
        <v>5762</v>
      </c>
      <c r="X669" t="s">
        <v>33757</v>
      </c>
      <c t="s">
        <v>10653</v>
      </c>
      <c t="s">
        <v>2517</v>
      </c>
      <c t="s">
        <v>39289</v>
      </c>
      <c>
        <v>33904</v>
      </c>
      <c t="s">
        <v>996</v>
      </c>
      <c t="s">
        <v>48794</v>
      </c>
      <c t="s">
        <v>9040</v>
      </c>
      <c>
        <v>8376</v>
      </c>
      <c r="AI669" t="s">
        <v>29738</v>
      </c>
      <c t="s">
        <v>41372</v>
      </c>
      <c r="AL669" t="s">
        <v>55393</v>
      </c>
      <c r="AN669" t="s">
        <v>39289</v>
      </c>
      <c t="s">
        <v>38497</v>
      </c>
      <c t="s">
        <v>4175</v>
      </c>
      <c t="s">
        <v>3093</v>
      </c>
      <c t="s">
        <v>47174</v>
      </c>
    </row>
    <row>
      <c t="s">
        <v>17594</v>
      </c>
      <c t="s">
        <v>3618</v>
      </c>
      <c t="s">
        <v>45444</v>
      </c>
      <c t="s">
        <v>40115</v>
      </c>
      <c t="s">
        <v>47468</v>
      </c>
      <c s="3">
        <v>297121</v>
      </c>
      <c s="3">
        <v>297121</v>
      </c>
      <c s="3">
        <v>142116</v>
      </c>
      <c>
        <v>0</v>
      </c>
      <c s="3">
        <v>0</v>
      </c>
      <c s="3">
        <v>3157.74</v>
      </c>
      <c s="3">
        <v>297121</v>
      </c>
      <c r="O670" s="1" t="str">
        <f ca="1">HYPERLINK("https://web.datatree.com/?/property?propertyId=32182782", "https://web.datatree.com/?/property?propertyId=32182782")</f>
        <v>https://web.datatree.com/?/property?propertyId=32182782</v>
      </c>
      <c r="Q670" t="s">
        <v>316</v>
      </c>
      <c>
        <v>9.41</v>
      </c>
      <c t="s">
        <v>30497</v>
      </c>
      <c t="s">
        <v>50331</v>
      </c>
      <c t="s">
        <v>44623</v>
      </c>
      <c r="X670" t="s">
        <v>40294</v>
      </c>
      <c t="s">
        <v>6406</v>
      </c>
      <c t="s">
        <v>65059</v>
      </c>
      <c t="s">
        <v>39289</v>
      </c>
      <c>
        <v>33905</v>
      </c>
      <c t="s">
        <v>56487</v>
      </c>
      <c t="s">
        <v>48794</v>
      </c>
      <c t="s">
        <v>36453</v>
      </c>
      <c>
        <v>13119</v>
      </c>
      <c r="AI670" t="s">
        <v>65641</v>
      </c>
      <c r="AL670" t="s">
        <v>36080</v>
      </c>
      <c t="s">
        <v>40227</v>
      </c>
      <c t="s">
        <v>39289</v>
      </c>
      <c t="s">
        <v>2787</v>
      </c>
      <c t="s">
        <v>27553</v>
      </c>
      <c t="s">
        <v>3093</v>
      </c>
      <c t="s">
        <v>31532</v>
      </c>
    </row>
    <row>
      <c t="s">
        <v>17594</v>
      </c>
      <c t="s">
        <v>44596</v>
      </c>
      <c t="s">
        <v>62891</v>
      </c>
      <c t="s">
        <v>62167</v>
      </c>
      <c t="s">
        <v>65315</v>
      </c>
      <c s="3">
        <v>29068</v>
      </c>
      <c s="3">
        <v>29068</v>
      </c>
      <c s="3">
        <v>28600</v>
      </c>
      <c>
        <v>0</v>
      </c>
      <c s="3">
        <v>0</v>
      </c>
      <c s="3">
        <v>398.77</v>
      </c>
      <c s="3">
        <v>29068</v>
      </c>
      <c r="O671" s="1" t="str">
        <f ca="1">HYPERLINK("https://web.datatree.com/?/property?propertyId=32183766", "https://web.datatree.com/?/property?propertyId=32183766")</f>
        <v>https://web.datatree.com/?/property?propertyId=32183766</v>
      </c>
      <c r="Q671" t="s">
        <v>316</v>
      </c>
      <c>
        <v>0.043</v>
      </c>
      <c t="s">
        <v>54329</v>
      </c>
      <c t="s">
        <v>27417</v>
      </c>
      <c t="s">
        <v>32173</v>
      </c>
      <c r="X671" t="s">
        <v>61651</v>
      </c>
      <c t="s">
        <v>3331</v>
      </c>
      <c t="s">
        <v>65059</v>
      </c>
      <c t="s">
        <v>39289</v>
      </c>
      <c>
        <v>33908</v>
      </c>
      <c t="s">
        <v>24468</v>
      </c>
      <c t="s">
        <v>48794</v>
      </c>
      <c t="s">
        <v>38697</v>
      </c>
      <c>
        <v>8009</v>
      </c>
      <c r="AI671" t="s">
        <v>58699</v>
      </c>
      <c t="s">
        <v>45620</v>
      </c>
      <c r="AL671" t="s">
        <v>50860</v>
      </c>
      <c t="s">
        <v>29331</v>
      </c>
      <c t="s">
        <v>51087</v>
      </c>
      <c t="s">
        <v>311</v>
      </c>
      <c t="s">
        <v>23744</v>
      </c>
      <c t="s">
        <v>3093</v>
      </c>
      <c t="s">
        <v>50488</v>
      </c>
    </row>
    <row>
      <c t="s">
        <v>17594</v>
      </c>
      <c t="s">
        <v>38277</v>
      </c>
      <c t="s">
        <v>19230</v>
      </c>
      <c t="s">
        <v>7917</v>
      </c>
      <c t="s">
        <v>22508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672" s="1" t="str">
        <f ca="1">HYPERLINK("https://web.datatree.com/?/property?propertyId=32183831", "https://web.datatree.com/?/property?propertyId=32183831")</f>
        <v>https://web.datatree.com/?/property?propertyId=32183831</v>
      </c>
      <c r="Q672" t="s">
        <v>316</v>
      </c>
      <c>
        <v>0.23</v>
      </c>
      <c t="s">
        <v>22490</v>
      </c>
      <c t="s">
        <v>12637</v>
      </c>
      <c t="s">
        <v>4245</v>
      </c>
      <c t="s">
        <v>13163</v>
      </c>
      <c t="s">
        <v>65888</v>
      </c>
      <c t="s">
        <v>21596</v>
      </c>
      <c t="s">
        <v>2626</v>
      </c>
      <c t="s">
        <v>2517</v>
      </c>
      <c t="s">
        <v>39289</v>
      </c>
      <c>
        <v>33909</v>
      </c>
      <c>
        <v>33909</v>
      </c>
      <c t="s">
        <v>48794</v>
      </c>
      <c t="s">
        <v>55766</v>
      </c>
      <c>
        <v>15</v>
      </c>
      <c r="AI672" t="s">
        <v>3810</v>
      </c>
      <c r="AL672" t="s">
        <v>17959</v>
      </c>
      <c r="AN672" t="s">
        <v>32840</v>
      </c>
      <c r="AR672" t="s">
        <v>41591</v>
      </c>
    </row>
    <row>
      <c t="s">
        <v>17594</v>
      </c>
      <c t="s">
        <v>45157</v>
      </c>
      <c t="s">
        <v>62714</v>
      </c>
      <c t="s">
        <v>56313</v>
      </c>
      <c t="s">
        <v>13286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673" s="1" t="str">
        <f ca="1">HYPERLINK("https://web.datatree.com/?/property?propertyId=32183870", "https://web.datatree.com/?/property?propertyId=32183870")</f>
        <v>https://web.datatree.com/?/property?propertyId=32183870</v>
      </c>
      <c r="Q673" t="s">
        <v>316</v>
      </c>
      <c>
        <v>0.23</v>
      </c>
      <c t="s">
        <v>6175</v>
      </c>
      <c t="s">
        <v>10361</v>
      </c>
      <c t="s">
        <v>19406</v>
      </c>
      <c t="s">
        <v>1611</v>
      </c>
      <c t="s">
        <v>400</v>
      </c>
      <c t="s">
        <v>19672</v>
      </c>
      <c t="s">
        <v>2619</v>
      </c>
      <c t="s">
        <v>2517</v>
      </c>
      <c t="s">
        <v>39289</v>
      </c>
      <c>
        <v>33909</v>
      </c>
      <c t="s">
        <v>54834</v>
      </c>
      <c t="s">
        <v>48794</v>
      </c>
      <c t="s">
        <v>3270</v>
      </c>
      <c>
        <v>11</v>
      </c>
      <c r="AI673" t="s">
        <v>33230</v>
      </c>
      <c t="s">
        <v>24900</v>
      </c>
      <c r="AL673" t="s">
        <v>66317</v>
      </c>
      <c r="AN673" t="s">
        <v>50917</v>
      </c>
      <c t="s">
        <v>4495</v>
      </c>
      <c t="s">
        <v>13449</v>
      </c>
      <c t="s">
        <v>3093</v>
      </c>
      <c t="s">
        <v>50024</v>
      </c>
    </row>
    <row>
      <c t="s">
        <v>17594</v>
      </c>
      <c t="s">
        <v>33814</v>
      </c>
      <c t="s">
        <v>6771</v>
      </c>
      <c t="s">
        <v>1330</v>
      </c>
      <c t="s">
        <v>30014</v>
      </c>
      <c s="3">
        <v>17909</v>
      </c>
      <c s="3">
        <v>17909</v>
      </c>
      <c s="3">
        <v>9075</v>
      </c>
      <c>
        <v>0</v>
      </c>
      <c s="3">
        <v>0</v>
      </c>
      <c s="3">
        <v>579.52</v>
      </c>
      <c s="3">
        <v>17909</v>
      </c>
      <c>
        <v>2020</v>
      </c>
      <c>
        <v>1795.69</v>
      </c>
      <c s="1" t="str">
        <f ca="1">HYPERLINK("https://web.datatree.com/?/property?propertyId=32184707", "https://web.datatree.com/?/property?propertyId=32184707")</f>
        <v>https://web.datatree.com/?/property?propertyId=32184707</v>
      </c>
      <c r="Q674" t="s">
        <v>316</v>
      </c>
      <c>
        <v>0.265</v>
      </c>
      <c t="s">
        <v>6175</v>
      </c>
      <c t="s">
        <v>31337</v>
      </c>
      <c t="s">
        <v>37047</v>
      </c>
      <c r="X674" t="s">
        <v>20037</v>
      </c>
      <c t="s">
        <v>61865</v>
      </c>
      <c t="s">
        <v>2517</v>
      </c>
      <c t="s">
        <v>39289</v>
      </c>
      <c>
        <v>33909</v>
      </c>
      <c t="s">
        <v>59957</v>
      </c>
      <c t="s">
        <v>48794</v>
      </c>
      <c t="s">
        <v>35692</v>
      </c>
      <c>
        <v>316</v>
      </c>
      <c r="AI674" t="s">
        <v>27085</v>
      </c>
      <c t="s">
        <v>31192</v>
      </c>
      <c r="AL674" t="s">
        <v>13216</v>
      </c>
      <c r="AN674" t="s">
        <v>32657</v>
      </c>
      <c t="s">
        <v>64710</v>
      </c>
      <c t="s">
        <v>4175</v>
      </c>
      <c t="s">
        <v>3093</v>
      </c>
      <c t="s">
        <v>48801</v>
      </c>
    </row>
    <row>
      <c t="s">
        <v>17594</v>
      </c>
      <c t="s">
        <v>28379</v>
      </c>
      <c t="s">
        <v>46791</v>
      </c>
      <c t="s">
        <v>24272</v>
      </c>
      <c t="s">
        <v>4063</v>
      </c>
      <c s="3">
        <v>7200</v>
      </c>
      <c s="3">
        <v>7200</v>
      </c>
      <c s="3">
        <v>7200</v>
      </c>
      <c>
        <v>0</v>
      </c>
      <c s="3">
        <v>0</v>
      </c>
      <c s="3">
        <v>509.74</v>
      </c>
      <c s="3">
        <v>7200</v>
      </c>
      <c r="O675" s="1" t="str">
        <f ca="1">HYPERLINK("https://web.datatree.com/?/property?propertyId=32184736", "https://web.datatree.com/?/property?propertyId=32184736")</f>
        <v>https://web.datatree.com/?/property?propertyId=32184736</v>
      </c>
      <c r="Q675" t="s">
        <v>316</v>
      </c>
      <c>
        <v>0.257</v>
      </c>
      <c t="s">
        <v>6175</v>
      </c>
      <c t="s">
        <v>64470</v>
      </c>
      <c t="s">
        <v>52720</v>
      </c>
      <c r="X675" t="s">
        <v>62352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22340</v>
      </c>
      <c>
        <v>10105</v>
      </c>
      <c r="AI675" t="s">
        <v>7445</v>
      </c>
      <c t="s">
        <v>45393</v>
      </c>
      <c r="AL675" t="s">
        <v>64518</v>
      </c>
      <c r="AN675" t="s">
        <v>4477</v>
      </c>
      <c t="s">
        <v>32361</v>
      </c>
      <c t="s">
        <v>61410</v>
      </c>
      <c t="s">
        <v>3093</v>
      </c>
      <c t="s">
        <v>21957</v>
      </c>
    </row>
    <row>
      <c t="s">
        <v>17594</v>
      </c>
      <c t="s">
        <v>28040</v>
      </c>
      <c t="s">
        <v>63551</v>
      </c>
      <c t="s">
        <v>2413</v>
      </c>
      <c t="s">
        <v>49983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676" s="1" t="str">
        <f ca="1">HYPERLINK("https://web.datatree.com/?/property?propertyId=32185715", "https://web.datatree.com/?/property?propertyId=32185715")</f>
        <v>https://web.datatree.com/?/property?propertyId=32185715</v>
      </c>
      <c r="Q676" t="s">
        <v>316</v>
      </c>
      <c>
        <v>0.23</v>
      </c>
      <c t="s">
        <v>22490</v>
      </c>
      <c t="s">
        <v>54288</v>
      </c>
      <c t="s">
        <v>57740</v>
      </c>
      <c r="X676" t="s">
        <v>67189</v>
      </c>
      <c t="s">
        <v>53675</v>
      </c>
      <c t="s">
        <v>2517</v>
      </c>
      <c t="s">
        <v>39289</v>
      </c>
      <c>
        <v>33909</v>
      </c>
      <c t="s">
        <v>2968</v>
      </c>
      <c t="s">
        <v>48794</v>
      </c>
      <c t="s">
        <v>3539</v>
      </c>
      <c>
        <v>687</v>
      </c>
      <c r="AI676" t="s">
        <v>48709</v>
      </c>
      <c t="s">
        <v>21595</v>
      </c>
      <c r="AL676" t="s">
        <v>6123</v>
      </c>
      <c t="s">
        <v>6123</v>
      </c>
      <c t="s">
        <v>10804</v>
      </c>
      <c t="s">
        <v>21538</v>
      </c>
      <c t="s">
        <v>4797</v>
      </c>
      <c t="s">
        <v>3093</v>
      </c>
      <c t="s">
        <v>57823</v>
      </c>
    </row>
    <row>
      <c t="s">
        <v>42103</v>
      </c>
      <c t="s">
        <v>35960</v>
      </c>
      <c t="s">
        <v>60611</v>
      </c>
      <c t="s">
        <v>36605</v>
      </c>
      <c t="s">
        <v>59565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677" s="1" t="str">
        <f ca="1">HYPERLINK("https://web.datatree.com/?/property?propertyId=32186531", "https://web.datatree.com/?/property?propertyId=32186531")</f>
        <v>https://web.datatree.com/?/property?propertyId=32186531</v>
      </c>
      <c r="Q677" t="s">
        <v>316</v>
      </c>
      <c>
        <v>0.235</v>
      </c>
      <c t="s">
        <v>22490</v>
      </c>
      <c t="s">
        <v>60671</v>
      </c>
      <c t="s">
        <v>7951</v>
      </c>
      <c t="s">
        <v>22046</v>
      </c>
      <c t="s">
        <v>7951</v>
      </c>
      <c t="s">
        <v>55944</v>
      </c>
      <c t="s">
        <v>49674</v>
      </c>
      <c t="s">
        <v>2517</v>
      </c>
      <c t="s">
        <v>39289</v>
      </c>
      <c>
        <v>33909</v>
      </c>
      <c t="s">
        <v>57488</v>
      </c>
      <c t="s">
        <v>48794</v>
      </c>
      <c t="s">
        <v>10591</v>
      </c>
      <c r="AI677" t="s">
        <v>30967</v>
      </c>
      <c r="AL677" t="s">
        <v>8842</v>
      </c>
      <c r="AN677" t="s">
        <v>22275</v>
      </c>
      <c>
        <v>19037</v>
      </c>
      <c t="s">
        <v>61207</v>
      </c>
      <c t="s">
        <v>3093</v>
      </c>
      <c t="s">
        <v>44993</v>
      </c>
    </row>
    <row>
      <c t="s">
        <v>17594</v>
      </c>
      <c t="s">
        <v>4894</v>
      </c>
      <c t="s">
        <v>54283</v>
      </c>
      <c t="s">
        <v>16221</v>
      </c>
      <c t="s">
        <v>42622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678" s="1" t="str">
        <f ca="1">HYPERLINK("https://web.datatree.com/?/property?propertyId=32186813", "https://web.datatree.com/?/property?propertyId=32186813")</f>
        <v>https://web.datatree.com/?/property?propertyId=32186813</v>
      </c>
      <c r="Q678" t="s">
        <v>316</v>
      </c>
      <c>
        <v>0.23</v>
      </c>
      <c t="s">
        <v>22490</v>
      </c>
      <c t="s">
        <v>11535</v>
      </c>
      <c t="s">
        <v>48810</v>
      </c>
      <c r="X678" t="s">
        <v>57822</v>
      </c>
      <c t="s">
        <v>53675</v>
      </c>
      <c t="s">
        <v>2517</v>
      </c>
      <c t="s">
        <v>39289</v>
      </c>
      <c>
        <v>33909</v>
      </c>
      <c t="s">
        <v>262</v>
      </c>
      <c t="s">
        <v>48794</v>
      </c>
      <c t="s">
        <v>20683</v>
      </c>
      <c>
        <v>27</v>
      </c>
      <c r="AI678" t="s">
        <v>58293</v>
      </c>
      <c r="AL678" t="s">
        <v>24374</v>
      </c>
      <c r="AN678" t="s">
        <v>37824</v>
      </c>
      <c r="AR678" t="s">
        <v>48099</v>
      </c>
    </row>
    <row>
      <c t="s">
        <v>17594</v>
      </c>
      <c t="s">
        <v>33097</v>
      </c>
      <c t="s">
        <v>47042</v>
      </c>
      <c t="s">
        <v>65438</v>
      </c>
      <c t="s">
        <v>25930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679" s="1" t="str">
        <f ca="1">HYPERLINK("https://web.datatree.com/?/property?propertyId=32187032", "https://web.datatree.com/?/property?propertyId=32187032")</f>
        <v>https://web.datatree.com/?/property?propertyId=32187032</v>
      </c>
      <c r="Q679" t="s">
        <v>316</v>
      </c>
      <c>
        <v>0.23</v>
      </c>
      <c t="s">
        <v>22490</v>
      </c>
      <c t="s">
        <v>11577</v>
      </c>
      <c t="s">
        <v>1361</v>
      </c>
      <c r="X679" t="s">
        <v>30078</v>
      </c>
      <c t="s">
        <v>24999</v>
      </c>
      <c t="s">
        <v>2517</v>
      </c>
      <c t="s">
        <v>39289</v>
      </c>
      <c>
        <v>33909</v>
      </c>
      <c t="s">
        <v>20628</v>
      </c>
      <c t="s">
        <v>48794</v>
      </c>
      <c t="s">
        <v>19904</v>
      </c>
      <c>
        <v>15809</v>
      </c>
      <c r="AH679" t="s">
        <v>6851</v>
      </c>
      <c t="s">
        <v>28828</v>
      </c>
      <c t="s">
        <v>40123</v>
      </c>
      <c r="AL679" t="s">
        <v>27902</v>
      </c>
      <c t="s">
        <v>27902</v>
      </c>
      <c t="s">
        <v>4477</v>
      </c>
      <c t="s">
        <v>48162</v>
      </c>
      <c t="s">
        <v>38085</v>
      </c>
      <c t="s">
        <v>3093</v>
      </c>
      <c t="s">
        <v>30481</v>
      </c>
    </row>
    <row>
      <c t="s">
        <v>17594</v>
      </c>
      <c t="s">
        <v>2190</v>
      </c>
      <c t="s">
        <v>63601</v>
      </c>
      <c t="s">
        <v>30035</v>
      </c>
      <c t="s">
        <v>4476</v>
      </c>
      <c s="3">
        <v>26250</v>
      </c>
      <c s="3">
        <v>26250</v>
      </c>
      <c s="3">
        <v>26250</v>
      </c>
      <c>
        <v>0</v>
      </c>
      <c s="3">
        <v>0</v>
      </c>
      <c s="3">
        <v>510.94</v>
      </c>
      <c s="3">
        <v>26250</v>
      </c>
      <c r="O680" s="1" t="str">
        <f ca="1">HYPERLINK("https://web.datatree.com/?/property?propertyId=32187304", "https://web.datatree.com/?/property?propertyId=32187304")</f>
        <v>https://web.datatree.com/?/property?propertyId=32187304</v>
      </c>
      <c r="Q680" t="s">
        <v>316</v>
      </c>
      <c>
        <v>0.254</v>
      </c>
      <c t="s">
        <v>5471</v>
      </c>
      <c t="s">
        <v>12784</v>
      </c>
      <c t="s">
        <v>30758</v>
      </c>
      <c t="s">
        <v>1599</v>
      </c>
      <c t="s">
        <v>30758</v>
      </c>
      <c t="s">
        <v>20948</v>
      </c>
      <c t="s">
        <v>2642</v>
      </c>
      <c t="s">
        <v>65059</v>
      </c>
      <c t="s">
        <v>39289</v>
      </c>
      <c>
        <v>33905</v>
      </c>
      <c t="s">
        <v>41287</v>
      </c>
      <c t="s">
        <v>48794</v>
      </c>
      <c t="s">
        <v>23758</v>
      </c>
      <c>
        <v>20327</v>
      </c>
      <c r="AI680" t="s">
        <v>30758</v>
      </c>
      <c t="s">
        <v>45393</v>
      </c>
      <c r="AL680" t="s">
        <v>62769</v>
      </c>
      <c r="AN680" t="s">
        <v>39289</v>
      </c>
      <c t="s">
        <v>61632</v>
      </c>
      <c t="s">
        <v>22455</v>
      </c>
      <c t="s">
        <v>3093</v>
      </c>
      <c t="s">
        <v>18568</v>
      </c>
    </row>
    <row>
      <c t="s">
        <v>17594</v>
      </c>
      <c t="s">
        <v>13045</v>
      </c>
      <c t="s">
        <v>27265</v>
      </c>
      <c t="s">
        <v>58673</v>
      </c>
      <c t="s">
        <v>8704</v>
      </c>
      <c s="3">
        <v>28210</v>
      </c>
      <c s="3">
        <v>28210</v>
      </c>
      <c s="3">
        <v>9079</v>
      </c>
      <c>
        <v>0</v>
      </c>
      <c s="3">
        <v>0</v>
      </c>
      <c s="3">
        <v>2910.05</v>
      </c>
      <c s="3">
        <v>28210</v>
      </c>
      <c r="O681" s="1" t="str">
        <f ca="1">HYPERLINK("https://web.datatree.com/?/property?propertyId=32187626", "https://web.datatree.com/?/property?propertyId=32187626")</f>
        <v>https://web.datatree.com/?/property?propertyId=32187626</v>
      </c>
      <c r="Q681" t="s">
        <v>316</v>
      </c>
      <c>
        <v>0.23</v>
      </c>
      <c t="s">
        <v>6175</v>
      </c>
      <c t="s">
        <v>35237</v>
      </c>
      <c t="s">
        <v>44376</v>
      </c>
      <c t="s">
        <v>30846</v>
      </c>
      <c t="s">
        <v>44376</v>
      </c>
      <c t="s">
        <v>2601</v>
      </c>
      <c t="s">
        <v>34731</v>
      </c>
      <c t="s">
        <v>2517</v>
      </c>
      <c t="s">
        <v>39289</v>
      </c>
      <c>
        <v>33909</v>
      </c>
      <c t="s">
        <v>32574</v>
      </c>
      <c t="s">
        <v>48794</v>
      </c>
      <c t="s">
        <v>57868</v>
      </c>
      <c>
        <v>8536</v>
      </c>
      <c r="AI681" t="s">
        <v>3370</v>
      </c>
      <c t="s">
        <v>45393</v>
      </c>
      <c r="AL681" t="s">
        <v>23972</v>
      </c>
      <c t="s">
        <v>23972</v>
      </c>
      <c t="s">
        <v>19878</v>
      </c>
      <c>
        <v>60647</v>
      </c>
      <c t="s">
        <v>60333</v>
      </c>
      <c t="s">
        <v>3093</v>
      </c>
      <c t="s">
        <v>36069</v>
      </c>
    </row>
    <row>
      <c t="s">
        <v>42103</v>
      </c>
      <c t="s">
        <v>563</v>
      </c>
      <c t="s">
        <v>43205</v>
      </c>
      <c t="s">
        <v>4638</v>
      </c>
      <c t="s">
        <v>13642</v>
      </c>
      <c s="3">
        <v>8600</v>
      </c>
      <c s="3">
        <v>8600</v>
      </c>
      <c s="3">
        <v>7073</v>
      </c>
      <c>
        <v>0</v>
      </c>
      <c s="3">
        <v>0</v>
      </c>
      <c s="3">
        <v>123.7</v>
      </c>
      <c s="3">
        <v>8600</v>
      </c>
      <c>
        <v>2021</v>
      </c>
      <c>
        <v>160.53</v>
      </c>
      <c s="1" t="str">
        <f ca="1">HYPERLINK("https://web.datatree.com/?/property?propertyId=32188097", "https://web.datatree.com/?/property?propertyId=32188097")</f>
        <v>https://web.datatree.com/?/property?propertyId=32188097</v>
      </c>
      <c r="Q682" t="s">
        <v>316</v>
      </c>
      <c>
        <v>0.222</v>
      </c>
      <c t="s">
        <v>5471</v>
      </c>
      <c t="s">
        <v>3617</v>
      </c>
      <c t="s">
        <v>19420</v>
      </c>
      <c r="X682" t="s">
        <v>44097</v>
      </c>
      <c t="s">
        <v>32800</v>
      </c>
      <c t="s">
        <v>65059</v>
      </c>
      <c t="s">
        <v>39289</v>
      </c>
      <c>
        <v>33905</v>
      </c>
      <c t="s">
        <v>62276</v>
      </c>
      <c t="s">
        <v>48794</v>
      </c>
      <c t="s">
        <v>37324</v>
      </c>
      <c r="AI682" t="s">
        <v>61010</v>
      </c>
      <c r="AL682" t="s">
        <v>11713</v>
      </c>
      <c r="AN682" t="s">
        <v>39289</v>
      </c>
      <c t="s">
        <v>9439</v>
      </c>
      <c t="s">
        <v>5611</v>
      </c>
      <c t="s">
        <v>3093</v>
      </c>
      <c t="s">
        <v>36559</v>
      </c>
    </row>
    <row>
      <c t="s">
        <v>17594</v>
      </c>
      <c t="s">
        <v>28049</v>
      </c>
      <c t="s">
        <v>59439</v>
      </c>
      <c t="s">
        <v>24268</v>
      </c>
      <c t="s">
        <v>46417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683" s="1" t="str">
        <f ca="1">HYPERLINK("https://web.datatree.com/?/property?propertyId=32188577", "https://web.datatree.com/?/property?propertyId=32188577")</f>
        <v>https://web.datatree.com/?/property?propertyId=32188577</v>
      </c>
      <c r="Q683" t="s">
        <v>316</v>
      </c>
      <c>
        <v>0.243</v>
      </c>
      <c t="s">
        <v>6175</v>
      </c>
      <c r="U683" t="s">
        <v>11968</v>
      </c>
      <c r="W683" t="s">
        <v>18515</v>
      </c>
      <c t="s">
        <v>1597</v>
      </c>
      <c t="s">
        <v>29190</v>
      </c>
      <c t="s">
        <v>2517</v>
      </c>
      <c t="s">
        <v>39289</v>
      </c>
      <c>
        <v>33909</v>
      </c>
      <c t="s">
        <v>10534</v>
      </c>
      <c t="s">
        <v>48794</v>
      </c>
      <c t="s">
        <v>27922</v>
      </c>
      <c>
        <v>2914</v>
      </c>
      <c r="AI683" t="s">
        <v>20558</v>
      </c>
      <c t="s">
        <v>45620</v>
      </c>
      <c r="AL683" t="s">
        <v>33855</v>
      </c>
      <c t="s">
        <v>53499</v>
      </c>
      <c t="s">
        <v>51087</v>
      </c>
      <c t="s">
        <v>41041</v>
      </c>
      <c t="s">
        <v>23744</v>
      </c>
      <c t="s">
        <v>3093</v>
      </c>
      <c t="s">
        <v>20</v>
      </c>
    </row>
    <row>
      <c t="s">
        <v>17594</v>
      </c>
      <c t="s">
        <v>16127</v>
      </c>
      <c t="s">
        <v>59029</v>
      </c>
      <c t="s">
        <v>8876</v>
      </c>
      <c t="s">
        <v>59462</v>
      </c>
      <c s="3">
        <v>12596</v>
      </c>
      <c s="3">
        <v>12596</v>
      </c>
      <c s="3">
        <v>4455</v>
      </c>
      <c>
        <v>0</v>
      </c>
      <c s="3">
        <v>0</v>
      </c>
      <c s="3">
        <v>360.45</v>
      </c>
      <c s="3">
        <v>12596</v>
      </c>
      <c r="O684" s="1" t="str">
        <f ca="1">HYPERLINK("https://web.datatree.com/?/property?propertyId=32188654", "https://web.datatree.com/?/property?propertyId=32188654")</f>
        <v>https://web.datatree.com/?/property?propertyId=32188654</v>
      </c>
      <c r="Q684" t="s">
        <v>316</v>
      </c>
      <c>
        <v>0.114</v>
      </c>
      <c r="T684" t="s">
        <v>59767</v>
      </c>
      <c t="s">
        <v>9854</v>
      </c>
      <c r="X684" t="s">
        <v>3214</v>
      </c>
      <c t="s">
        <v>61144</v>
      </c>
      <c t="s">
        <v>2517</v>
      </c>
      <c t="s">
        <v>39289</v>
      </c>
      <c>
        <v>33909</v>
      </c>
      <c t="s">
        <v>65203</v>
      </c>
      <c t="s">
        <v>48794</v>
      </c>
      <c t="s">
        <v>41763</v>
      </c>
      <c>
        <v>1192</v>
      </c>
      <c r="AI684" t="s">
        <v>7536</v>
      </c>
      <c t="s">
        <v>45393</v>
      </c>
      <c r="AL684" t="s">
        <v>8109</v>
      </c>
      <c r="AN684" t="s">
        <v>50917</v>
      </c>
      <c t="s">
        <v>3022</v>
      </c>
      <c t="s">
        <v>32746</v>
      </c>
      <c t="s">
        <v>3093</v>
      </c>
      <c t="s">
        <v>12114</v>
      </c>
    </row>
    <row>
      <c t="s">
        <v>17594</v>
      </c>
      <c t="s">
        <v>3477</v>
      </c>
      <c t="s">
        <v>8116</v>
      </c>
      <c t="s">
        <v>14426</v>
      </c>
      <c t="s">
        <v>10808</v>
      </c>
      <c s="3">
        <v>8540</v>
      </c>
      <c s="3">
        <v>8540</v>
      </c>
      <c s="3">
        <v>4972</v>
      </c>
      <c>
        <v>0</v>
      </c>
      <c s="3">
        <v>0</v>
      </c>
      <c s="3">
        <v>315.35</v>
      </c>
      <c s="3">
        <v>8540</v>
      </c>
      <c r="O685" s="1" t="str">
        <f ca="1">HYPERLINK("https://web.datatree.com/?/property?propertyId=32189184", "https://web.datatree.com/?/property?propertyId=32189184")</f>
        <v>https://web.datatree.com/?/property?propertyId=32189184</v>
      </c>
      <c r="Q685" t="s">
        <v>316</v>
      </c>
      <c>
        <v>0.231</v>
      </c>
      <c t="s">
        <v>5471</v>
      </c>
      <c t="s">
        <v>26023</v>
      </c>
      <c t="s">
        <v>26124</v>
      </c>
      <c r="X685" t="s">
        <v>41573</v>
      </c>
      <c t="s">
        <v>47180</v>
      </c>
      <c t="s">
        <v>65059</v>
      </c>
      <c t="s">
        <v>39289</v>
      </c>
      <c>
        <v>33905</v>
      </c>
      <c t="s">
        <v>13973</v>
      </c>
      <c t="s">
        <v>48794</v>
      </c>
      <c t="s">
        <v>43831</v>
      </c>
      <c>
        <v>1810</v>
      </c>
      <c r="AI685" t="s">
        <v>2626</v>
      </c>
      <c t="s">
        <v>24900</v>
      </c>
      <c r="AL685" t="s">
        <v>55393</v>
      </c>
      <c t="s">
        <v>55393</v>
      </c>
      <c t="s">
        <v>39289</v>
      </c>
      <c t="s">
        <v>36630</v>
      </c>
      <c t="s">
        <v>32746</v>
      </c>
      <c t="s">
        <v>3093</v>
      </c>
      <c t="s">
        <v>49890</v>
      </c>
    </row>
    <row>
      <c t="s">
        <v>17594</v>
      </c>
      <c t="s">
        <v>20471</v>
      </c>
      <c t="s">
        <v>63759</v>
      </c>
      <c t="s">
        <v>48406</v>
      </c>
      <c t="s">
        <v>63139</v>
      </c>
      <c s="3">
        <v>8000</v>
      </c>
      <c s="3">
        <v>8000</v>
      </c>
      <c s="3">
        <v>8000</v>
      </c>
      <c>
        <v>0</v>
      </c>
      <c s="3">
        <v>0</v>
      </c>
      <c s="3">
        <v>640.46</v>
      </c>
      <c s="3">
        <v>8000</v>
      </c>
      <c r="O686" s="1" t="str">
        <f ca="1">HYPERLINK("https://web.datatree.com/?/property?propertyId=32189351", "https://web.datatree.com/?/property?propertyId=32189351")</f>
        <v>https://web.datatree.com/?/property?propertyId=32189351</v>
      </c>
      <c r="Q686" t="s">
        <v>316</v>
      </c>
      <c>
        <v>0.23</v>
      </c>
      <c t="s">
        <v>33269</v>
      </c>
      <c t="s">
        <v>52701</v>
      </c>
      <c t="s">
        <v>11649</v>
      </c>
      <c t="s">
        <v>2636</v>
      </c>
      <c r="X686" t="s">
        <v>23959</v>
      </c>
      <c t="s">
        <v>13478</v>
      </c>
      <c t="s">
        <v>2517</v>
      </c>
      <c t="s">
        <v>39289</v>
      </c>
      <c>
        <v>33909</v>
      </c>
      <c t="s">
        <v>31216</v>
      </c>
      <c t="s">
        <v>48794</v>
      </c>
      <c t="s">
        <v>65732</v>
      </c>
      <c>
        <v>520</v>
      </c>
      <c r="AI686" t="s">
        <v>28041</v>
      </c>
      <c t="s">
        <v>45620</v>
      </c>
      <c>
        <v>157</v>
      </c>
      <c t="s">
        <v>54986</v>
      </c>
      <c r="AN686" t="s">
        <v>18236</v>
      </c>
      <c t="s">
        <v>36118</v>
      </c>
      <c t="s">
        <v>4797</v>
      </c>
      <c t="s">
        <v>3093</v>
      </c>
      <c t="s">
        <v>65046</v>
      </c>
    </row>
    <row>
      <c t="s">
        <v>42103</v>
      </c>
      <c t="s">
        <v>19859</v>
      </c>
      <c t="s">
        <v>4388</v>
      </c>
      <c t="s">
        <v>20781</v>
      </c>
      <c t="s">
        <v>30102</v>
      </c>
      <c s="3">
        <v>26922</v>
      </c>
      <c s="3">
        <v>26922</v>
      </c>
      <c s="3">
        <v>9599</v>
      </c>
      <c>
        <v>0</v>
      </c>
      <c s="3">
        <v>0</v>
      </c>
      <c s="3">
        <v>794.29</v>
      </c>
      <c s="3">
        <v>26922</v>
      </c>
      <c r="O687" s="1" t="str">
        <f ca="1">HYPERLINK("https://web.datatree.com/?/property?propertyId=32189352", "https://web.datatree.com/?/property?propertyId=32189352")</f>
        <v>https://web.datatree.com/?/property?propertyId=32189352</v>
      </c>
      <c r="Q687" t="s">
        <v>316</v>
      </c>
      <c>
        <v>0.372</v>
      </c>
      <c t="s">
        <v>65422</v>
      </c>
      <c t="s">
        <v>58137</v>
      </c>
      <c t="s">
        <v>46641</v>
      </c>
      <c r="X687" t="s">
        <v>12513</v>
      </c>
      <c t="s">
        <v>61850</v>
      </c>
      <c t="s">
        <v>2517</v>
      </c>
      <c t="s">
        <v>39289</v>
      </c>
      <c>
        <v>33909</v>
      </c>
      <c t="s">
        <v>48459</v>
      </c>
      <c t="s">
        <v>48794</v>
      </c>
      <c t="s">
        <v>2769</v>
      </c>
      <c r="AI687" t="s">
        <v>14403</v>
      </c>
      <c r="AL687" t="s">
        <v>3968</v>
      </c>
      <c t="s">
        <v>3968</v>
      </c>
      <c t="s">
        <v>39289</v>
      </c>
      <c t="s">
        <v>1621</v>
      </c>
      <c t="s">
        <v>665</v>
      </c>
      <c t="s">
        <v>3093</v>
      </c>
      <c t="s">
        <v>33484</v>
      </c>
    </row>
    <row>
      <c t="s">
        <v>17594</v>
      </c>
      <c t="s">
        <v>5893</v>
      </c>
      <c t="s">
        <v>46892</v>
      </c>
      <c t="s">
        <v>62966</v>
      </c>
      <c t="s">
        <v>65771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582.14</v>
      </c>
      <c s="1" t="str">
        <f ca="1">HYPERLINK("https://web.datatree.com/?/property?propertyId=32189499", "https://web.datatree.com/?/property?propertyId=32189499")</f>
        <v>https://web.datatree.com/?/property?propertyId=32189499</v>
      </c>
      <c r="Q688" t="s">
        <v>316</v>
      </c>
      <c>
        <v>0.23</v>
      </c>
      <c t="s">
        <v>42044</v>
      </c>
      <c t="s">
        <v>17266</v>
      </c>
      <c t="s">
        <v>29973</v>
      </c>
      <c r="X688" t="s">
        <v>28835</v>
      </c>
      <c t="s">
        <v>13065</v>
      </c>
      <c t="s">
        <v>2517</v>
      </c>
      <c t="s">
        <v>39289</v>
      </c>
      <c>
        <v>33909</v>
      </c>
      <c t="s">
        <v>58478</v>
      </c>
      <c t="s">
        <v>48794</v>
      </c>
      <c t="s">
        <v>50552</v>
      </c>
      <c>
        <v>14415</v>
      </c>
      <c r="AI688" t="s">
        <v>64687</v>
      </c>
      <c t="s">
        <v>55842</v>
      </c>
      <c r="AL688" t="s">
        <v>2107</v>
      </c>
      <c r="AN688" t="s">
        <v>51087</v>
      </c>
      <c t="s">
        <v>29253</v>
      </c>
      <c t="s">
        <v>4491</v>
      </c>
      <c t="s">
        <v>3093</v>
      </c>
      <c t="s">
        <v>20460</v>
      </c>
    </row>
    <row>
      <c t="s">
        <v>17594</v>
      </c>
      <c t="s">
        <v>51568</v>
      </c>
      <c s="7" t="s">
        <v>33157</v>
      </c>
      <c t="s">
        <v>66001</v>
      </c>
      <c t="s">
        <v>33608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689" s="1" t="str">
        <f ca="1">HYPERLINK("https://web.datatree.com/?/property?propertyId=32189695", "https://web.datatree.com/?/property?propertyId=32189695")</f>
        <v>https://web.datatree.com/?/property?propertyId=32189695</v>
      </c>
      <c r="Q689" t="s">
        <v>316</v>
      </c>
      <c>
        <v>0.23</v>
      </c>
      <c t="s">
        <v>6175</v>
      </c>
      <c r="U689" t="s">
        <v>57407</v>
      </c>
      <c r="W689" t="s">
        <v>17327</v>
      </c>
      <c t="s">
        <v>57845</v>
      </c>
      <c t="s">
        <v>15510</v>
      </c>
      <c t="s">
        <v>2517</v>
      </c>
      <c t="s">
        <v>39289</v>
      </c>
      <c>
        <v>33909</v>
      </c>
      <c t="s">
        <v>53221</v>
      </c>
      <c t="s">
        <v>48794</v>
      </c>
      <c t="s">
        <v>23619</v>
      </c>
      <c>
        <v>1</v>
      </c>
      <c r="AI689" t="s">
        <v>59434</v>
      </c>
      <c t="s">
        <v>45393</v>
      </c>
      <c r="AL689" t="s">
        <v>2916</v>
      </c>
      <c t="s">
        <v>2916</v>
      </c>
      <c t="s">
        <v>26304</v>
      </c>
      <c>
        <v>68526</v>
      </c>
      <c r="AR689" s="7" t="s">
        <v>23324</v>
      </c>
    </row>
    <row>
      <c t="s">
        <v>17594</v>
      </c>
      <c t="s">
        <v>2524</v>
      </c>
      <c t="s">
        <v>915</v>
      </c>
      <c t="s">
        <v>11779</v>
      </c>
      <c t="s">
        <v>20123</v>
      </c>
      <c s="3">
        <v>71299</v>
      </c>
      <c s="3">
        <v>71299</v>
      </c>
      <c s="3">
        <v>31386</v>
      </c>
      <c>
        <v>0</v>
      </c>
      <c s="3">
        <v>0</v>
      </c>
      <c s="3">
        <v>652.5</v>
      </c>
      <c s="3">
        <v>71299</v>
      </c>
      <c r="O690" s="1" t="str">
        <f ca="1">HYPERLINK("https://web.datatree.com/?/property?propertyId=32190350", "https://web.datatree.com/?/property?propertyId=32190350")</f>
        <v>https://web.datatree.com/?/property?propertyId=32190350</v>
      </c>
      <c r="Q690" t="s">
        <v>316</v>
      </c>
      <c>
        <v>0.339</v>
      </c>
      <c r="T690" t="s">
        <v>3293</v>
      </c>
      <c t="s">
        <v>22028</v>
      </c>
      <c r="X690" t="s">
        <v>50874</v>
      </c>
      <c t="s">
        <v>23807</v>
      </c>
      <c t="s">
        <v>65059</v>
      </c>
      <c t="s">
        <v>39289</v>
      </c>
      <c>
        <v>33908</v>
      </c>
      <c t="s">
        <v>53396</v>
      </c>
      <c t="s">
        <v>48794</v>
      </c>
      <c t="s">
        <v>37639</v>
      </c>
      <c>
        <v>7753</v>
      </c>
      <c r="AI690" t="s">
        <v>21771</v>
      </c>
      <c t="s">
        <v>31192</v>
      </c>
      <c r="AL690" t="s">
        <v>20406</v>
      </c>
      <c t="s">
        <v>20406</v>
      </c>
      <c t="s">
        <v>26443</v>
      </c>
      <c t="s">
        <v>20915</v>
      </c>
      <c t="s">
        <v>13315</v>
      </c>
      <c t="s">
        <v>3093</v>
      </c>
      <c t="s">
        <v>40976</v>
      </c>
    </row>
    <row>
      <c t="s">
        <v>17594</v>
      </c>
      <c t="s">
        <v>47575</v>
      </c>
      <c t="s">
        <v>24786</v>
      </c>
      <c t="s">
        <v>27209</v>
      </c>
      <c t="s">
        <v>4217</v>
      </c>
      <c s="3">
        <v>20002</v>
      </c>
      <c s="3">
        <v>20002</v>
      </c>
      <c s="3">
        <v>9570</v>
      </c>
      <c>
        <v>0</v>
      </c>
      <c s="3">
        <v>0</v>
      </c>
      <c s="3">
        <v>583.58</v>
      </c>
      <c s="3">
        <v>20002</v>
      </c>
      <c r="O691" s="1" t="str">
        <f ca="1">HYPERLINK("https://web.datatree.com/?/property?propertyId=32190421", "https://web.datatree.com/?/property?propertyId=32190421")</f>
        <v>https://web.datatree.com/?/property?propertyId=32190421</v>
      </c>
      <c r="Q691" t="s">
        <v>316</v>
      </c>
      <c>
        <v>0.23</v>
      </c>
      <c t="s">
        <v>54449</v>
      </c>
      <c t="s">
        <v>50331</v>
      </c>
      <c t="s">
        <v>12403</v>
      </c>
      <c r="X691" t="s">
        <v>46564</v>
      </c>
      <c t="s">
        <v>39777</v>
      </c>
      <c t="s">
        <v>2517</v>
      </c>
      <c t="s">
        <v>39289</v>
      </c>
      <c>
        <v>33909</v>
      </c>
      <c t="s">
        <v>19850</v>
      </c>
      <c t="s">
        <v>48794</v>
      </c>
      <c t="s">
        <v>11431</v>
      </c>
      <c>
        <v>2020</v>
      </c>
      <c r="AI691" t="s">
        <v>66169</v>
      </c>
      <c t="s">
        <v>45620</v>
      </c>
      <c r="AL691" t="s">
        <v>52613</v>
      </c>
      <c r="AN691" t="s">
        <v>66651</v>
      </c>
      <c t="s">
        <v>21648</v>
      </c>
      <c t="s">
        <v>62845</v>
      </c>
      <c t="s">
        <v>3093</v>
      </c>
      <c t="s">
        <v>43947</v>
      </c>
    </row>
    <row>
      <c t="s">
        <v>17594</v>
      </c>
      <c t="s">
        <v>34747</v>
      </c>
      <c t="s">
        <v>36296</v>
      </c>
      <c t="s">
        <v>62419</v>
      </c>
      <c t="s">
        <v>50126</v>
      </c>
      <c s="3">
        <v>20482</v>
      </c>
      <c s="3">
        <v>20482</v>
      </c>
      <c s="3">
        <v>10780</v>
      </c>
      <c>
        <v>0</v>
      </c>
      <c s="3">
        <v>0</v>
      </c>
      <c s="3">
        <v>693.01</v>
      </c>
      <c s="3">
        <v>20482</v>
      </c>
      <c r="O692" s="1" t="str">
        <f ca="1">HYPERLINK("https://web.datatree.com/?/property?propertyId=32190625", "https://web.datatree.com/?/property?propertyId=32190625")</f>
        <v>https://web.datatree.com/?/property?propertyId=32190625</v>
      </c>
      <c r="Q692" t="s">
        <v>316</v>
      </c>
      <c>
        <v>0.344</v>
      </c>
      <c t="s">
        <v>6175</v>
      </c>
      <c t="s">
        <v>47754</v>
      </c>
      <c t="s">
        <v>37991</v>
      </c>
      <c r="X692" t="s">
        <v>48294</v>
      </c>
      <c t="s">
        <v>49122</v>
      </c>
      <c t="s">
        <v>2517</v>
      </c>
      <c t="s">
        <v>39289</v>
      </c>
      <c>
        <v>33909</v>
      </c>
      <c t="s">
        <v>62323</v>
      </c>
      <c t="s">
        <v>48794</v>
      </c>
      <c t="s">
        <v>53477</v>
      </c>
      <c>
        <v>700</v>
      </c>
      <c r="AI692" t="s">
        <v>23828</v>
      </c>
      <c t="s">
        <v>41372</v>
      </c>
      <c r="AL692" t="s">
        <v>46797</v>
      </c>
      <c r="AN692" t="s">
        <v>39289</v>
      </c>
      <c t="s">
        <v>45152</v>
      </c>
      <c t="s">
        <v>33029</v>
      </c>
      <c t="s">
        <v>3093</v>
      </c>
      <c t="s">
        <v>6298</v>
      </c>
    </row>
    <row>
      <c t="s">
        <v>17594</v>
      </c>
      <c t="s">
        <v>3128</v>
      </c>
      <c t="s">
        <v>29630</v>
      </c>
      <c t="s">
        <v>50181</v>
      </c>
      <c t="s">
        <v>14217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693" s="1" t="str">
        <f ca="1">HYPERLINK("https://web.datatree.com/?/property?propertyId=32190651", "https://web.datatree.com/?/property?propertyId=32190651")</f>
        <v>https://web.datatree.com/?/property?propertyId=32190651</v>
      </c>
      <c r="Q693" t="s">
        <v>316</v>
      </c>
      <c>
        <v>0.23</v>
      </c>
      <c t="s">
        <v>6175</v>
      </c>
      <c t="s">
        <v>33213</v>
      </c>
      <c t="s">
        <v>41105</v>
      </c>
      <c r="X693" t="s">
        <v>29815</v>
      </c>
      <c t="s">
        <v>23517</v>
      </c>
      <c t="s">
        <v>2517</v>
      </c>
      <c t="s">
        <v>39289</v>
      </c>
      <c>
        <v>33909</v>
      </c>
      <c t="s">
        <v>35432</v>
      </c>
      <c t="s">
        <v>48794</v>
      </c>
      <c t="s">
        <v>32264</v>
      </c>
      <c>
        <v>1429</v>
      </c>
      <c r="AI693" t="s">
        <v>45447</v>
      </c>
      <c r="AL693" t="s">
        <v>5102</v>
      </c>
      <c r="AN693" t="s">
        <v>65451</v>
      </c>
      <c t="s">
        <v>26309</v>
      </c>
      <c t="s">
        <v>32746</v>
      </c>
      <c t="s">
        <v>3093</v>
      </c>
      <c t="s">
        <v>47664</v>
      </c>
    </row>
    <row>
      <c t="s">
        <v>17594</v>
      </c>
      <c t="s">
        <v>10555</v>
      </c>
      <c t="s">
        <v>40550</v>
      </c>
      <c t="s">
        <v>846</v>
      </c>
      <c t="s">
        <v>19430</v>
      </c>
      <c s="3">
        <v>53979</v>
      </c>
      <c s="3">
        <v>49760</v>
      </c>
      <c s="3">
        <v>33373</v>
      </c>
      <c>
        <v>0</v>
      </c>
      <c s="3">
        <v>0</v>
      </c>
      <c s="3">
        <v>1067.15</v>
      </c>
      <c s="3">
        <v>53979</v>
      </c>
      <c r="O694" s="1" t="str">
        <f ca="1">HYPERLINK("https://web.datatree.com/?/property?propertyId=32190674", "https://web.datatree.com/?/property?propertyId=32190674")</f>
        <v>https://web.datatree.com/?/property?propertyId=32190674</v>
      </c>
      <c r="Q694" t="s">
        <v>316</v>
      </c>
      <c>
        <v>0.23</v>
      </c>
      <c t="s">
        <v>22490</v>
      </c>
      <c t="s">
        <v>39139</v>
      </c>
      <c t="s">
        <v>14062</v>
      </c>
      <c r="X694" t="s">
        <v>26477</v>
      </c>
      <c t="s">
        <v>34731</v>
      </c>
      <c t="s">
        <v>2517</v>
      </c>
      <c t="s">
        <v>39289</v>
      </c>
      <c>
        <v>33909</v>
      </c>
      <c>
        <v>33909</v>
      </c>
      <c t="s">
        <v>48794</v>
      </c>
      <c t="s">
        <v>51265</v>
      </c>
      <c>
        <v>11890</v>
      </c>
      <c r="AI694" t="s">
        <v>42530</v>
      </c>
      <c t="s">
        <v>40123</v>
      </c>
      <c r="AL694" t="s">
        <v>4859</v>
      </c>
      <c t="s">
        <v>41399</v>
      </c>
      <c t="s">
        <v>39289</v>
      </c>
      <c t="s">
        <v>50904</v>
      </c>
      <c t="s">
        <v>37948</v>
      </c>
      <c t="s">
        <v>3093</v>
      </c>
      <c t="s">
        <v>9629</v>
      </c>
    </row>
    <row>
      <c t="s">
        <v>17594</v>
      </c>
      <c t="s">
        <v>57613</v>
      </c>
      <c t="s">
        <v>10812</v>
      </c>
      <c t="s">
        <v>49607</v>
      </c>
      <c t="s">
        <v>50317</v>
      </c>
      <c s="3">
        <v>10600</v>
      </c>
      <c s="3">
        <v>10600</v>
      </c>
      <c s="3">
        <v>10600</v>
      </c>
      <c>
        <v>0</v>
      </c>
      <c s="3">
        <v>0</v>
      </c>
      <c s="3">
        <v>789.11</v>
      </c>
      <c s="3">
        <v>10600</v>
      </c>
      <c r="O695" s="1" t="str">
        <f ca="1">HYPERLINK("https://web.datatree.com/?/property?propertyId=32191201", "https://web.datatree.com/?/property?propertyId=32191201")</f>
        <v>https://web.datatree.com/?/property?propertyId=32191201</v>
      </c>
      <c r="Q695" t="s">
        <v>316</v>
      </c>
      <c>
        <v>0.23</v>
      </c>
      <c t="s">
        <v>6175</v>
      </c>
      <c t="s">
        <v>30429</v>
      </c>
      <c t="s">
        <v>33270</v>
      </c>
      <c r="X695" t="s">
        <v>52474</v>
      </c>
      <c t="s">
        <v>47150</v>
      </c>
      <c t="s">
        <v>2517</v>
      </c>
      <c t="s">
        <v>39289</v>
      </c>
      <c>
        <v>33909</v>
      </c>
      <c t="s">
        <v>63190</v>
      </c>
      <c t="s">
        <v>48794</v>
      </c>
      <c t="s">
        <v>54280</v>
      </c>
      <c>
        <v>4461</v>
      </c>
      <c r="AI695" t="s">
        <v>41142</v>
      </c>
      <c t="s">
        <v>4985</v>
      </c>
      <c>
        <v>14</v>
      </c>
      <c t="s">
        <v>34557</v>
      </c>
      <c t="s">
        <v>34557</v>
      </c>
      <c t="s">
        <v>65451</v>
      </c>
      <c t="s">
        <v>33343</v>
      </c>
      <c t="s">
        <v>62830</v>
      </c>
      <c t="s">
        <v>3093</v>
      </c>
      <c t="s">
        <v>43445</v>
      </c>
    </row>
    <row>
      <c t="s">
        <v>17594</v>
      </c>
      <c t="s">
        <v>43867</v>
      </c>
      <c t="s">
        <v>28900</v>
      </c>
      <c t="s">
        <v>33906</v>
      </c>
      <c t="s">
        <v>46001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696" s="1" t="str">
        <f ca="1">HYPERLINK("https://web.datatree.com/?/property?propertyId=32191346", "https://web.datatree.com/?/property?propertyId=32191346")</f>
        <v>https://web.datatree.com/?/property?propertyId=32191346</v>
      </c>
      <c r="Q696" t="s">
        <v>316</v>
      </c>
      <c>
        <v>0.23</v>
      </c>
      <c t="s">
        <v>22490</v>
      </c>
      <c t="s">
        <v>36536</v>
      </c>
      <c t="s">
        <v>53585</v>
      </c>
      <c t="s">
        <v>25238</v>
      </c>
      <c t="s">
        <v>53585</v>
      </c>
      <c t="s">
        <v>19696</v>
      </c>
      <c t="s">
        <v>53663</v>
      </c>
      <c t="s">
        <v>2517</v>
      </c>
      <c t="s">
        <v>39289</v>
      </c>
      <c>
        <v>33909</v>
      </c>
      <c>
        <v>33909</v>
      </c>
      <c t="s">
        <v>48794</v>
      </c>
      <c t="s">
        <v>50614</v>
      </c>
      <c>
        <v>32</v>
      </c>
      <c r="AI696" t="s">
        <v>35820</v>
      </c>
      <c t="s">
        <v>45393</v>
      </c>
      <c>
        <v>3</v>
      </c>
      <c t="s">
        <v>13883</v>
      </c>
      <c r="AN696" t="s">
        <v>10909</v>
      </c>
      <c t="s">
        <v>31225</v>
      </c>
      <c r="AQ696" t="s">
        <v>27814</v>
      </c>
      <c t="s">
        <v>17992</v>
      </c>
    </row>
    <row>
      <c t="s">
        <v>17594</v>
      </c>
      <c t="s">
        <v>56099</v>
      </c>
      <c t="s">
        <v>61149</v>
      </c>
      <c t="s">
        <v>24762</v>
      </c>
      <c t="s">
        <v>10260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697" s="1" t="str">
        <f ca="1">HYPERLINK("https://web.datatree.com/?/property?propertyId=32191570", "https://web.datatree.com/?/property?propertyId=32191570")</f>
        <v>https://web.datatree.com/?/property?propertyId=32191570</v>
      </c>
      <c r="Q697" t="s">
        <v>316</v>
      </c>
      <c>
        <v>0.253</v>
      </c>
      <c t="s">
        <v>5471</v>
      </c>
      <c t="s">
        <v>61602</v>
      </c>
      <c t="s">
        <v>24508</v>
      </c>
      <c t="s">
        <v>50666</v>
      </c>
      <c t="s">
        <v>4033</v>
      </c>
      <c t="s">
        <v>15763</v>
      </c>
      <c t="s">
        <v>45989</v>
      </c>
      <c t="s">
        <v>65059</v>
      </c>
      <c t="s">
        <v>39289</v>
      </c>
      <c>
        <v>33905</v>
      </c>
      <c t="s">
        <v>42126</v>
      </c>
      <c t="s">
        <v>48794</v>
      </c>
      <c t="s">
        <v>30534</v>
      </c>
      <c>
        <v>11425</v>
      </c>
      <c r="AH697" t="s">
        <v>60953</v>
      </c>
      <c t="s">
        <v>6930</v>
      </c>
      <c t="s">
        <v>45393</v>
      </c>
      <c r="AL697" t="s">
        <v>56896</v>
      </c>
      <c r="AN697" t="s">
        <v>45851</v>
      </c>
      <c t="s">
        <v>41333</v>
      </c>
      <c r="AQ697" t="s">
        <v>27814</v>
      </c>
      <c t="s">
        <v>12183</v>
      </c>
    </row>
    <row>
      <c t="s">
        <v>17594</v>
      </c>
      <c t="s">
        <v>63110</v>
      </c>
      <c t="s">
        <v>64342</v>
      </c>
      <c t="s">
        <v>66495</v>
      </c>
      <c t="s">
        <v>52296</v>
      </c>
      <c s="3">
        <v>18246</v>
      </c>
      <c s="3">
        <v>18246</v>
      </c>
      <c s="3">
        <v>8910</v>
      </c>
      <c>
        <v>0</v>
      </c>
      <c s="3">
        <v>0</v>
      </c>
      <c s="3">
        <v>583.82</v>
      </c>
      <c s="3">
        <v>18246</v>
      </c>
      <c r="O698" s="1" t="str">
        <f ca="1">HYPERLINK("https://web.datatree.com/?/property?propertyId=32191700", "https://web.datatree.com/?/property?propertyId=32191700")</f>
        <v>https://web.datatree.com/?/property?propertyId=32191700</v>
      </c>
      <c r="Q698" t="s">
        <v>316</v>
      </c>
      <c>
        <v>0.254</v>
      </c>
      <c t="s">
        <v>6175</v>
      </c>
      <c t="s">
        <v>48320</v>
      </c>
      <c t="s">
        <v>61905</v>
      </c>
      <c r="X698" t="s">
        <v>29787</v>
      </c>
      <c t="s">
        <v>18679</v>
      </c>
      <c t="s">
        <v>2517</v>
      </c>
      <c t="s">
        <v>39289</v>
      </c>
      <c>
        <v>33909</v>
      </c>
      <c t="s">
        <v>45589</v>
      </c>
      <c t="s">
        <v>48794</v>
      </c>
      <c t="s">
        <v>2032</v>
      </c>
      <c>
        <v>15251</v>
      </c>
      <c r="AI698" t="s">
        <v>3567</v>
      </c>
      <c t="s">
        <v>41372</v>
      </c>
      <c r="AL698" t="s">
        <v>51404</v>
      </c>
      <c r="AN698" t="s">
        <v>48152</v>
      </c>
      <c t="s">
        <v>2071</v>
      </c>
      <c t="s">
        <v>42082</v>
      </c>
      <c t="s">
        <v>3093</v>
      </c>
      <c t="s">
        <v>66249</v>
      </c>
    </row>
    <row>
      <c t="s">
        <v>17594</v>
      </c>
      <c t="s">
        <v>63921</v>
      </c>
      <c t="s">
        <v>26210</v>
      </c>
      <c t="s">
        <v>55180</v>
      </c>
      <c t="s">
        <v>40571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2019</v>
      </c>
      <c>
        <v>2418.54</v>
      </c>
      <c s="1" t="str">
        <f ca="1">HYPERLINK("https://web.datatree.com/?/property?propertyId=32191894", "https://web.datatree.com/?/property?propertyId=32191894")</f>
        <v>https://web.datatree.com/?/property?propertyId=32191894</v>
      </c>
      <c r="Q699" t="s">
        <v>316</v>
      </c>
      <c>
        <v>0.232</v>
      </c>
      <c t="s">
        <v>45031</v>
      </c>
      <c t="s">
        <v>58054</v>
      </c>
      <c t="s">
        <v>57028</v>
      </c>
      <c t="s">
        <v>39139</v>
      </c>
      <c t="s">
        <v>57028</v>
      </c>
      <c t="s">
        <v>63690</v>
      </c>
      <c t="s">
        <v>29190</v>
      </c>
      <c t="s">
        <v>2517</v>
      </c>
      <c t="s">
        <v>39289</v>
      </c>
      <c>
        <v>33909</v>
      </c>
      <c t="s">
        <v>5008</v>
      </c>
      <c t="s">
        <v>48794</v>
      </c>
      <c t="s">
        <v>19934</v>
      </c>
      <c>
        <v>2</v>
      </c>
      <c r="AI699" t="s">
        <v>15565</v>
      </c>
      <c r="AL699" t="s">
        <v>65508</v>
      </c>
      <c r="AN699" t="s">
        <v>32840</v>
      </c>
      <c r="AR699" t="s">
        <v>51859</v>
      </c>
    </row>
    <row>
      <c t="s">
        <v>17594</v>
      </c>
      <c t="s">
        <v>61835</v>
      </c>
      <c t="s">
        <v>18717</v>
      </c>
      <c t="s">
        <v>58351</v>
      </c>
      <c t="s">
        <v>62194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700" s="1" t="str">
        <f ca="1">HYPERLINK("https://web.datatree.com/?/property?propertyId=32192334", "https://web.datatree.com/?/property?propertyId=32192334")</f>
        <v>https://web.datatree.com/?/property?propertyId=32192334</v>
      </c>
      <c r="Q700" t="s">
        <v>316</v>
      </c>
      <c>
        <v>0.23</v>
      </c>
      <c t="s">
        <v>6175</v>
      </c>
      <c r="U700" t="s">
        <v>58538</v>
      </c>
      <c r="W700" t="s">
        <v>43821</v>
      </c>
      <c t="s">
        <v>39093</v>
      </c>
      <c t="s">
        <v>5115</v>
      </c>
      <c t="s">
        <v>2517</v>
      </c>
      <c t="s">
        <v>39289</v>
      </c>
      <c>
        <v>33909</v>
      </c>
      <c t="s">
        <v>66419</v>
      </c>
      <c t="s">
        <v>48794</v>
      </c>
      <c t="s">
        <v>41025</v>
      </c>
      <c>
        <v>82</v>
      </c>
      <c r="AI700" t="s">
        <v>61561</v>
      </c>
      <c t="s">
        <v>31192</v>
      </c>
      <c r="AL700" t="s">
        <v>27319</v>
      </c>
      <c r="AN700" t="s">
        <v>17134</v>
      </c>
      <c t="s">
        <v>38993</v>
      </c>
      <c t="s">
        <v>62830</v>
      </c>
      <c t="s">
        <v>3093</v>
      </c>
      <c t="s">
        <v>37809</v>
      </c>
    </row>
    <row>
      <c t="s">
        <v>17594</v>
      </c>
      <c t="s">
        <v>39713</v>
      </c>
      <c t="s">
        <v>64152</v>
      </c>
      <c t="s">
        <v>53981</v>
      </c>
      <c t="s">
        <v>42348</v>
      </c>
      <c s="3">
        <v>48521</v>
      </c>
      <c s="3">
        <v>48521</v>
      </c>
      <c s="3">
        <v>17448</v>
      </c>
      <c>
        <v>0</v>
      </c>
      <c s="3">
        <v>0</v>
      </c>
      <c s="3">
        <v>831.04</v>
      </c>
      <c s="3">
        <v>48521</v>
      </c>
      <c r="O701" s="1" t="str">
        <f ca="1">HYPERLINK("https://web.datatree.com/?/property?propertyId=32194250", "https://web.datatree.com/?/property?propertyId=32194250")</f>
        <v>https://web.datatree.com/?/property?propertyId=32194250</v>
      </c>
      <c r="Q701" t="s">
        <v>316</v>
      </c>
      <c>
        <v>0.23</v>
      </c>
      <c t="s">
        <v>6175</v>
      </c>
      <c r="U701" t="s">
        <v>40481</v>
      </c>
      <c r="W701" t="s">
        <v>6315</v>
      </c>
      <c t="s">
        <v>44436</v>
      </c>
      <c t="s">
        <v>49674</v>
      </c>
      <c t="s">
        <v>2517</v>
      </c>
      <c t="s">
        <v>39289</v>
      </c>
      <c>
        <v>33904</v>
      </c>
      <c t="s">
        <v>60374</v>
      </c>
      <c t="s">
        <v>48794</v>
      </c>
      <c t="s">
        <v>44676</v>
      </c>
      <c>
        <v>2816</v>
      </c>
      <c r="AI701" t="s">
        <v>48577</v>
      </c>
      <c t="s">
        <v>40123</v>
      </c>
      <c r="AL701" t="s">
        <v>16520</v>
      </c>
      <c t="s">
        <v>16520</v>
      </c>
      <c t="s">
        <v>19878</v>
      </c>
      <c t="s">
        <v>6853</v>
      </c>
      <c t="s">
        <v>65288</v>
      </c>
      <c t="s">
        <v>3093</v>
      </c>
      <c t="s">
        <v>63543</v>
      </c>
    </row>
    <row>
      <c t="s">
        <v>42103</v>
      </c>
      <c t="s">
        <v>43627</v>
      </c>
      <c t="s">
        <v>40000</v>
      </c>
      <c t="s">
        <v>15638</v>
      </c>
      <c t="s">
        <v>16677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702" s="1" t="str">
        <f ca="1">HYPERLINK("https://web.datatree.com/?/property?propertyId=32194554", "https://web.datatree.com/?/property?propertyId=32194554")</f>
        <v>https://web.datatree.com/?/property?propertyId=32194554</v>
      </c>
      <c r="Q702" t="s">
        <v>316</v>
      </c>
      <c>
        <v>0.23</v>
      </c>
      <c t="s">
        <v>22490</v>
      </c>
      <c t="s">
        <v>58113</v>
      </c>
      <c t="s">
        <v>35445</v>
      </c>
      <c r="X702" t="s">
        <v>64558</v>
      </c>
      <c t="s">
        <v>25017</v>
      </c>
      <c t="s">
        <v>2517</v>
      </c>
      <c t="s">
        <v>39289</v>
      </c>
      <c>
        <v>33909</v>
      </c>
      <c t="s">
        <v>33712</v>
      </c>
      <c t="s">
        <v>48794</v>
      </c>
      <c t="s">
        <v>16818</v>
      </c>
      <c r="AI702" t="s">
        <v>18703</v>
      </c>
      <c r="AL702" t="s">
        <v>23972</v>
      </c>
      <c r="AN702" t="s">
        <v>19878</v>
      </c>
      <c>
        <v>60622</v>
      </c>
      <c t="s">
        <v>61509</v>
      </c>
      <c t="s">
        <v>3093</v>
      </c>
      <c t="s">
        <v>30326</v>
      </c>
    </row>
    <row>
      <c t="s">
        <v>17594</v>
      </c>
      <c t="s">
        <v>45318</v>
      </c>
      <c t="s">
        <v>46776</v>
      </c>
      <c t="s">
        <v>37058</v>
      </c>
      <c t="s">
        <v>4515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703" s="1" t="str">
        <f ca="1">HYPERLINK("https://web.datatree.com/?/property?propertyId=32195358", "https://web.datatree.com/?/property?propertyId=32195358")</f>
        <v>https://web.datatree.com/?/property?propertyId=32195358</v>
      </c>
      <c r="Q703" t="s">
        <v>316</v>
      </c>
      <c>
        <v>0.23</v>
      </c>
      <c t="s">
        <v>42044</v>
      </c>
      <c t="s">
        <v>47754</v>
      </c>
      <c t="s">
        <v>24321</v>
      </c>
      <c t="s">
        <v>1376</v>
      </c>
      <c t="s">
        <v>24321</v>
      </c>
      <c t="s">
        <v>64965</v>
      </c>
      <c t="s">
        <v>61850</v>
      </c>
      <c t="s">
        <v>2517</v>
      </c>
      <c t="s">
        <v>39289</v>
      </c>
      <c>
        <v>33909</v>
      </c>
      <c t="s">
        <v>63940</v>
      </c>
      <c t="s">
        <v>48794</v>
      </c>
      <c t="s">
        <v>40126</v>
      </c>
      <c>
        <v>9526</v>
      </c>
      <c r="AI703" t="s">
        <v>32800</v>
      </c>
      <c t="s">
        <v>24900</v>
      </c>
      <c r="AL703" t="s">
        <v>23972</v>
      </c>
      <c r="AN703" t="s">
        <v>19878</v>
      </c>
      <c t="s">
        <v>53683</v>
      </c>
      <c t="s">
        <v>4480</v>
      </c>
      <c t="s">
        <v>3093</v>
      </c>
      <c t="s">
        <v>50834</v>
      </c>
    </row>
    <row>
      <c t="s">
        <v>17594</v>
      </c>
      <c t="s">
        <v>45714</v>
      </c>
      <c t="s">
        <v>48443</v>
      </c>
      <c t="s">
        <v>59394</v>
      </c>
      <c t="s">
        <v>60951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704" s="1" t="str">
        <f ca="1">HYPERLINK("https://web.datatree.com/?/property?propertyId=32195583", "https://web.datatree.com/?/property?propertyId=32195583")</f>
        <v>https://web.datatree.com/?/property?propertyId=32195583</v>
      </c>
      <c r="Q704" t="s">
        <v>316</v>
      </c>
      <c>
        <v>0.23</v>
      </c>
      <c t="s">
        <v>22490</v>
      </c>
      <c r="U704" t="s">
        <v>1820</v>
      </c>
      <c r="X704" t="s">
        <v>22050</v>
      </c>
      <c t="s">
        <v>34136</v>
      </c>
      <c t="s">
        <v>2517</v>
      </c>
      <c t="s">
        <v>39289</v>
      </c>
      <c>
        <v>33909</v>
      </c>
      <c t="s">
        <v>374</v>
      </c>
      <c t="s">
        <v>48794</v>
      </c>
      <c t="s">
        <v>42447</v>
      </c>
      <c>
        <v>18415</v>
      </c>
      <c r="AI704" t="s">
        <v>33325</v>
      </c>
      <c t="s">
        <v>45393</v>
      </c>
      <c t="s">
        <v>32955</v>
      </c>
      <c t="s">
        <v>4811</v>
      </c>
      <c t="s">
        <v>22539</v>
      </c>
      <c t="s">
        <v>65451</v>
      </c>
      <c t="s">
        <v>50864</v>
      </c>
      <c t="s">
        <v>32746</v>
      </c>
      <c t="s">
        <v>3093</v>
      </c>
      <c t="s">
        <v>60569</v>
      </c>
    </row>
    <row>
      <c t="s">
        <v>17594</v>
      </c>
      <c t="s">
        <v>34716</v>
      </c>
      <c t="s">
        <v>12106</v>
      </c>
      <c t="s">
        <v>9213</v>
      </c>
      <c t="s">
        <v>47942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705" s="1" t="str">
        <f ca="1">HYPERLINK("https://web.datatree.com/?/property?propertyId=32195608", "https://web.datatree.com/?/property?propertyId=32195608")</f>
        <v>https://web.datatree.com/?/property?propertyId=32195608</v>
      </c>
      <c r="Q705" t="s">
        <v>316</v>
      </c>
      <c>
        <v>0.244</v>
      </c>
      <c t="s">
        <v>6175</v>
      </c>
      <c t="s">
        <v>43468</v>
      </c>
      <c t="s">
        <v>28767</v>
      </c>
      <c t="s">
        <v>45331</v>
      </c>
      <c t="s">
        <v>28767</v>
      </c>
      <c t="s">
        <v>2515</v>
      </c>
      <c t="s">
        <v>38550</v>
      </c>
      <c t="s">
        <v>2517</v>
      </c>
      <c t="s">
        <v>39289</v>
      </c>
      <c>
        <v>33909</v>
      </c>
      <c t="s">
        <v>8283</v>
      </c>
      <c t="s">
        <v>48794</v>
      </c>
      <c t="s">
        <v>5806</v>
      </c>
      <c>
        <v>55</v>
      </c>
      <c r="AI705" t="s">
        <v>6073</v>
      </c>
      <c t="s">
        <v>45393</v>
      </c>
      <c r="AL705" t="s">
        <v>8109</v>
      </c>
      <c r="AN705" t="s">
        <v>50917</v>
      </c>
      <c t="s">
        <v>6455</v>
      </c>
      <c t="s">
        <v>38085</v>
      </c>
      <c t="s">
        <v>3093</v>
      </c>
      <c t="s">
        <v>28537</v>
      </c>
    </row>
    <row>
      <c t="s">
        <v>17594</v>
      </c>
      <c t="s">
        <v>33291</v>
      </c>
      <c t="s">
        <v>3406</v>
      </c>
      <c t="s">
        <v>20730</v>
      </c>
      <c t="s">
        <v>66894</v>
      </c>
      <c s="3">
        <v>26250</v>
      </c>
      <c s="3">
        <v>26250</v>
      </c>
      <c s="3">
        <v>9433</v>
      </c>
      <c>
        <v>0</v>
      </c>
      <c s="3">
        <v>0</v>
      </c>
      <c s="3">
        <v>420.88</v>
      </c>
      <c s="3">
        <v>26250</v>
      </c>
      <c r="O706" s="1" t="str">
        <f ca="1">HYPERLINK("https://web.datatree.com/?/property?propertyId=32195784", "https://web.datatree.com/?/property?propertyId=32195784")</f>
        <v>https://web.datatree.com/?/property?propertyId=32195784</v>
      </c>
      <c r="Q706" t="s">
        <v>316</v>
      </c>
      <c>
        <v>0.291</v>
      </c>
      <c t="s">
        <v>5471</v>
      </c>
      <c t="s">
        <v>38169</v>
      </c>
      <c t="s">
        <v>63087</v>
      </c>
      <c t="s">
        <v>408</v>
      </c>
      <c t="s">
        <v>63087</v>
      </c>
      <c t="s">
        <v>41992</v>
      </c>
      <c t="s">
        <v>4408</v>
      </c>
      <c t="s">
        <v>65059</v>
      </c>
      <c t="s">
        <v>39289</v>
      </c>
      <c>
        <v>33905</v>
      </c>
      <c t="s">
        <v>55722</v>
      </c>
      <c t="s">
        <v>48794</v>
      </c>
      <c t="s">
        <v>35473</v>
      </c>
      <c>
        <v>19</v>
      </c>
      <c r="AI706" t="s">
        <v>42498</v>
      </c>
      <c t="s">
        <v>45393</v>
      </c>
      <c r="AL706" t="s">
        <v>56617</v>
      </c>
      <c t="s">
        <v>56617</v>
      </c>
      <c t="s">
        <v>50917</v>
      </c>
      <c>
        <v>10950</v>
      </c>
      <c r="AQ706" t="s">
        <v>3093</v>
      </c>
      <c t="s">
        <v>23577</v>
      </c>
    </row>
    <row>
      <c t="s">
        <v>17594</v>
      </c>
      <c t="s">
        <v>30952</v>
      </c>
      <c t="s">
        <v>47284</v>
      </c>
      <c t="s">
        <v>44783</v>
      </c>
      <c t="s">
        <v>19254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707" s="1" t="str">
        <f ca="1">HYPERLINK("https://web.datatree.com/?/property?propertyId=32196289", "https://web.datatree.com/?/property?propertyId=32196289")</f>
        <v>https://web.datatree.com/?/property?propertyId=32196289</v>
      </c>
      <c r="Q707" t="s">
        <v>316</v>
      </c>
      <c>
        <v>0.244</v>
      </c>
      <c t="s">
        <v>6175</v>
      </c>
      <c t="s">
        <v>27351</v>
      </c>
      <c t="s">
        <v>51008</v>
      </c>
      <c t="s">
        <v>27351</v>
      </c>
      <c t="s">
        <v>19853</v>
      </c>
      <c t="s">
        <v>30005</v>
      </c>
      <c t="s">
        <v>14534</v>
      </c>
      <c t="s">
        <v>2517</v>
      </c>
      <c t="s">
        <v>39289</v>
      </c>
      <c>
        <v>33909</v>
      </c>
      <c t="s">
        <v>40405</v>
      </c>
      <c t="s">
        <v>48794</v>
      </c>
      <c t="s">
        <v>9233</v>
      </c>
      <c>
        <v>2508</v>
      </c>
      <c r="AH707" t="s">
        <v>52165</v>
      </c>
      <c t="s">
        <v>34528</v>
      </c>
      <c t="s">
        <v>835</v>
      </c>
      <c r="AL707" t="s">
        <v>16251</v>
      </c>
      <c t="s">
        <v>16251</v>
      </c>
      <c t="s">
        <v>17331</v>
      </c>
      <c t="s">
        <v>13587</v>
      </c>
      <c t="s">
        <v>66620</v>
      </c>
      <c t="s">
        <v>3093</v>
      </c>
      <c t="s">
        <v>35669</v>
      </c>
    </row>
    <row>
      <c t="s">
        <v>17594</v>
      </c>
      <c t="s">
        <v>59683</v>
      </c>
      <c t="s">
        <v>56226</v>
      </c>
      <c t="s">
        <v>45966</v>
      </c>
      <c t="s">
        <v>51767</v>
      </c>
      <c s="3">
        <v>37110</v>
      </c>
      <c s="3">
        <v>36970</v>
      </c>
      <c s="3">
        <v>27744</v>
      </c>
      <c>
        <v>0</v>
      </c>
      <c s="3">
        <v>0</v>
      </c>
      <c s="3">
        <v>444.56</v>
      </c>
      <c s="3">
        <v>37110</v>
      </c>
      <c r="O708" s="1" t="str">
        <f ca="1">HYPERLINK("https://web.datatree.com/?/property?propertyId=32196444", "https://web.datatree.com/?/property?propertyId=32196444")</f>
        <v>https://web.datatree.com/?/property?propertyId=32196444</v>
      </c>
      <c r="Q708" t="s">
        <v>316</v>
      </c>
      <c>
        <v>0.053</v>
      </c>
      <c t="s">
        <v>54329</v>
      </c>
      <c t="s">
        <v>50331</v>
      </c>
      <c t="s">
        <v>64477</v>
      </c>
      <c t="s">
        <v>21379</v>
      </c>
      <c t="s">
        <v>26178</v>
      </c>
      <c t="s">
        <v>33069</v>
      </c>
      <c t="s">
        <v>64316</v>
      </c>
      <c t="s">
        <v>65059</v>
      </c>
      <c t="s">
        <v>39289</v>
      </c>
      <c>
        <v>33908</v>
      </c>
      <c>
        <v>33908</v>
      </c>
      <c t="s">
        <v>48794</v>
      </c>
      <c t="s">
        <v>37015</v>
      </c>
      <c>
        <v>1412</v>
      </c>
      <c r="AI708" t="s">
        <v>25754</v>
      </c>
      <c t="s">
        <v>24900</v>
      </c>
      <c r="AL708" t="s">
        <v>63097</v>
      </c>
      <c r="AN708" t="s">
        <v>22275</v>
      </c>
      <c t="s">
        <v>58424</v>
      </c>
      <c t="s">
        <v>3364</v>
      </c>
      <c t="s">
        <v>3093</v>
      </c>
      <c t="s">
        <v>36657</v>
      </c>
      <c>
        <v>1984</v>
      </c>
    </row>
    <row>
      <c t="s">
        <v>17594</v>
      </c>
      <c t="s">
        <v>63314</v>
      </c>
      <c t="s">
        <v>25615</v>
      </c>
      <c t="s">
        <v>11218</v>
      </c>
      <c t="s">
        <v>21483</v>
      </c>
      <c s="3">
        <v>125248</v>
      </c>
      <c s="3">
        <v>125248</v>
      </c>
      <c s="3">
        <v>63334</v>
      </c>
      <c>
        <v>0</v>
      </c>
      <c s="3">
        <v>0</v>
      </c>
      <c s="3">
        <v>1363.37</v>
      </c>
      <c s="3">
        <v>125248</v>
      </c>
      <c r="O709" s="1" t="str">
        <f ca="1">HYPERLINK("https://web.datatree.com/?/property?propertyId=32196639", "https://web.datatree.com/?/property?propertyId=32196639")</f>
        <v>https://web.datatree.com/?/property?propertyId=32196639</v>
      </c>
      <c r="Q709" t="s">
        <v>316</v>
      </c>
      <c>
        <v>2.5</v>
      </c>
      <c t="s">
        <v>30497</v>
      </c>
      <c r="U709" t="s">
        <v>60232</v>
      </c>
      <c r="W709" t="s">
        <v>29756</v>
      </c>
      <c t="s">
        <v>57722</v>
      </c>
      <c t="s">
        <v>57374</v>
      </c>
      <c t="s">
        <v>65059</v>
      </c>
      <c t="s">
        <v>39289</v>
      </c>
      <c>
        <v>33905</v>
      </c>
      <c>
        <v>33905</v>
      </c>
      <c t="s">
        <v>48794</v>
      </c>
      <c t="s">
        <v>29266</v>
      </c>
      <c>
        <v>816</v>
      </c>
      <c r="AI709" t="s">
        <v>40925</v>
      </c>
      <c t="s">
        <v>24900</v>
      </c>
      <c r="AL709" t="s">
        <v>36654</v>
      </c>
      <c t="s">
        <v>40227</v>
      </c>
      <c t="s">
        <v>65451</v>
      </c>
      <c t="s">
        <v>45842</v>
      </c>
      <c t="s">
        <v>41946</v>
      </c>
      <c t="s">
        <v>3093</v>
      </c>
      <c t="s">
        <v>62463</v>
      </c>
    </row>
    <row>
      <c t="s">
        <v>17594</v>
      </c>
      <c t="s">
        <v>23732</v>
      </c>
      <c t="s">
        <v>44863</v>
      </c>
      <c t="s">
        <v>11505</v>
      </c>
      <c t="s">
        <v>4850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710" s="1" t="str">
        <f ca="1">HYPERLINK("https://web.datatree.com/?/property?propertyId=32196646", "https://web.datatree.com/?/property?propertyId=32196646")</f>
        <v>https://web.datatree.com/?/property?propertyId=32196646</v>
      </c>
      <c r="Q710" t="s">
        <v>316</v>
      </c>
      <c>
        <v>0.23</v>
      </c>
      <c t="s">
        <v>6175</v>
      </c>
      <c t="s">
        <v>66817</v>
      </c>
      <c t="s">
        <v>53457</v>
      </c>
      <c r="X710" t="s">
        <v>56650</v>
      </c>
      <c t="s">
        <v>49122</v>
      </c>
      <c t="s">
        <v>2517</v>
      </c>
      <c t="s">
        <v>39289</v>
      </c>
      <c>
        <v>33909</v>
      </c>
      <c t="s">
        <v>42892</v>
      </c>
      <c t="s">
        <v>48794</v>
      </c>
      <c t="s">
        <v>51442</v>
      </c>
      <c>
        <v>10000</v>
      </c>
      <c r="AI710" t="s">
        <v>25268</v>
      </c>
      <c t="s">
        <v>40123</v>
      </c>
      <c>
        <v>2125</v>
      </c>
      <c t="s">
        <v>47157</v>
      </c>
      <c t="s">
        <v>47157</v>
      </c>
      <c t="s">
        <v>39289</v>
      </c>
      <c t="s">
        <v>57556</v>
      </c>
      <c t="s">
        <v>40826</v>
      </c>
      <c t="s">
        <v>3093</v>
      </c>
      <c t="s">
        <v>56519</v>
      </c>
    </row>
    <row>
      <c t="s">
        <v>17594</v>
      </c>
      <c t="s">
        <v>35497</v>
      </c>
      <c t="s">
        <v>33861</v>
      </c>
      <c t="s">
        <v>60295</v>
      </c>
      <c t="s">
        <v>11874</v>
      </c>
      <c s="3">
        <v>26158</v>
      </c>
      <c s="3">
        <v>26158</v>
      </c>
      <c s="3">
        <v>9433</v>
      </c>
      <c>
        <v>0</v>
      </c>
      <c s="3">
        <v>0</v>
      </c>
      <c s="3">
        <v>413.07</v>
      </c>
      <c s="3">
        <v>26158</v>
      </c>
      <c r="O711" s="1" t="str">
        <f ca="1">HYPERLINK("https://web.datatree.com/?/property?propertyId=32196854", "https://web.datatree.com/?/property?propertyId=32196854")</f>
        <v>https://web.datatree.com/?/property?propertyId=32196854</v>
      </c>
      <c r="Q711" t="s">
        <v>316</v>
      </c>
      <c>
        <v>0.228</v>
      </c>
      <c t="s">
        <v>5471</v>
      </c>
      <c t="s">
        <v>40231</v>
      </c>
      <c t="s">
        <v>56661</v>
      </c>
      <c r="X711" t="s">
        <v>4979</v>
      </c>
      <c t="s">
        <v>42879</v>
      </c>
      <c t="s">
        <v>65059</v>
      </c>
      <c t="s">
        <v>39289</v>
      </c>
      <c>
        <v>33905</v>
      </c>
      <c t="s">
        <v>44096</v>
      </c>
      <c t="s">
        <v>48794</v>
      </c>
      <c t="s">
        <v>11406</v>
      </c>
      <c>
        <v>22</v>
      </c>
      <c r="AI711" t="s">
        <v>32828</v>
      </c>
      <c t="s">
        <v>45393</v>
      </c>
      <c r="AL711" t="s">
        <v>63770</v>
      </c>
      <c r="AN711" t="s">
        <v>50917</v>
      </c>
      <c t="s">
        <v>19185</v>
      </c>
      <c t="s">
        <v>49977</v>
      </c>
      <c t="s">
        <v>3093</v>
      </c>
      <c t="s">
        <v>1237</v>
      </c>
    </row>
    <row>
      <c t="s">
        <v>17594</v>
      </c>
      <c t="s">
        <v>51045</v>
      </c>
      <c t="s">
        <v>34456</v>
      </c>
      <c t="s">
        <v>31153</v>
      </c>
      <c t="s">
        <v>30268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712" s="1" t="str">
        <f ca="1">HYPERLINK("https://web.datatree.com/?/property?propertyId=32197142", "https://web.datatree.com/?/property?propertyId=32197142")</f>
        <v>https://web.datatree.com/?/property?propertyId=32197142</v>
      </c>
      <c r="Q712" t="s">
        <v>316</v>
      </c>
      <c>
        <v>0.23</v>
      </c>
      <c t="s">
        <v>6175</v>
      </c>
      <c t="s">
        <v>25238</v>
      </c>
      <c t="s">
        <v>53542</v>
      </c>
      <c t="s">
        <v>1904</v>
      </c>
      <c t="s">
        <v>53542</v>
      </c>
      <c t="s">
        <v>33693</v>
      </c>
      <c t="s">
        <v>46469</v>
      </c>
      <c t="s">
        <v>2517</v>
      </c>
      <c t="s">
        <v>39289</v>
      </c>
      <c>
        <v>33909</v>
      </c>
      <c t="s">
        <v>11585</v>
      </c>
      <c t="s">
        <v>48794</v>
      </c>
      <c t="s">
        <v>52225</v>
      </c>
      <c>
        <v>521</v>
      </c>
      <c r="AI712" t="s">
        <v>35789</v>
      </c>
      <c t="s">
        <v>31192</v>
      </c>
      <c>
        <v>609</v>
      </c>
      <c t="s">
        <v>41642</v>
      </c>
      <c t="s">
        <v>41642</v>
      </c>
      <c t="s">
        <v>39289</v>
      </c>
      <c t="s">
        <v>57589</v>
      </c>
      <c t="s">
        <v>54916</v>
      </c>
      <c t="s">
        <v>3093</v>
      </c>
      <c t="s">
        <v>44032</v>
      </c>
    </row>
    <row>
      <c t="s">
        <v>17594</v>
      </c>
      <c t="s">
        <v>25605</v>
      </c>
      <c t="s">
        <v>57877</v>
      </c>
      <c t="s">
        <v>5139</v>
      </c>
      <c t="s">
        <v>39674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>
        <v>2016</v>
      </c>
      <c>
        <v>9705.25</v>
      </c>
      <c s="1" t="str">
        <f ca="1">HYPERLINK("https://web.datatree.com/?/property?propertyId=32197223", "https://web.datatree.com/?/property?propertyId=32197223")</f>
        <v>https://web.datatree.com/?/property?propertyId=32197223</v>
      </c>
      <c r="Q713" t="s">
        <v>316</v>
      </c>
      <c>
        <v>0.23</v>
      </c>
      <c t="s">
        <v>22490</v>
      </c>
      <c t="s">
        <v>1135</v>
      </c>
      <c t="s">
        <v>16638</v>
      </c>
      <c r="X713" t="s">
        <v>27783</v>
      </c>
      <c t="s">
        <v>29190</v>
      </c>
      <c t="s">
        <v>2517</v>
      </c>
      <c t="s">
        <v>39289</v>
      </c>
      <c>
        <v>33909</v>
      </c>
      <c t="s">
        <v>15520</v>
      </c>
      <c t="s">
        <v>48794</v>
      </c>
      <c t="s">
        <v>40559</v>
      </c>
      <c>
        <v>101</v>
      </c>
      <c r="AI713" t="s">
        <v>31275</v>
      </c>
      <c t="s">
        <v>45620</v>
      </c>
      <c r="AL713" t="s">
        <v>18354</v>
      </c>
      <c r="AN713" t="s">
        <v>51087</v>
      </c>
      <c t="s">
        <v>41241</v>
      </c>
      <c t="s">
        <v>43294</v>
      </c>
      <c t="s">
        <v>3093</v>
      </c>
      <c t="s">
        <v>65879</v>
      </c>
    </row>
    <row>
      <c t="s">
        <v>17594</v>
      </c>
      <c t="s">
        <v>25389</v>
      </c>
      <c t="s">
        <v>63677</v>
      </c>
      <c t="s">
        <v>37014</v>
      </c>
      <c t="s">
        <v>65160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714" s="1" t="str">
        <f ca="1">HYPERLINK("https://web.datatree.com/?/property?propertyId=32197459", "https://web.datatree.com/?/property?propertyId=32197459")</f>
        <v>https://web.datatree.com/?/property?propertyId=32197459</v>
      </c>
      <c r="Q714" t="s">
        <v>316</v>
      </c>
      <c>
        <v>0.23</v>
      </c>
      <c t="s">
        <v>45031</v>
      </c>
      <c t="s">
        <v>7346</v>
      </c>
      <c t="s">
        <v>23104</v>
      </c>
      <c t="s">
        <v>26023</v>
      </c>
      <c t="s">
        <v>23104</v>
      </c>
      <c t="s">
        <v>40184</v>
      </c>
      <c t="s">
        <v>22731</v>
      </c>
      <c t="s">
        <v>2517</v>
      </c>
      <c t="s">
        <v>39289</v>
      </c>
      <c>
        <v>33909</v>
      </c>
      <c t="s">
        <v>53151</v>
      </c>
      <c t="s">
        <v>48794</v>
      </c>
      <c t="s">
        <v>14546</v>
      </c>
      <c>
        <v>8419</v>
      </c>
      <c r="AI714" t="s">
        <v>12916</v>
      </c>
      <c t="s">
        <v>24900</v>
      </c>
      <c r="AL714" t="s">
        <v>20218</v>
      </c>
      <c r="AN714" t="s">
        <v>50917</v>
      </c>
      <c t="s">
        <v>10774</v>
      </c>
      <c t="s">
        <v>27780</v>
      </c>
      <c t="s">
        <v>3093</v>
      </c>
      <c t="s">
        <v>19790</v>
      </c>
    </row>
    <row>
      <c t="s">
        <v>17594</v>
      </c>
      <c t="s">
        <v>32010</v>
      </c>
      <c t="s">
        <v>18792</v>
      </c>
      <c t="s">
        <v>10504</v>
      </c>
      <c t="s">
        <v>34389</v>
      </c>
      <c s="3">
        <v>83495</v>
      </c>
      <c s="3">
        <v>69874</v>
      </c>
      <c s="3">
        <v>80942</v>
      </c>
      <c>
        <v>0</v>
      </c>
      <c s="3">
        <v>0</v>
      </c>
      <c s="3">
        <v>1230.92</v>
      </c>
      <c s="3">
        <v>83495</v>
      </c>
      <c r="O715" s="1" t="str">
        <f ca="1">HYPERLINK("https://web.datatree.com/?/property?propertyId=32198802", "https://web.datatree.com/?/property?propertyId=32198802")</f>
        <v>https://web.datatree.com/?/property?propertyId=32198802</v>
      </c>
      <c r="Q715" t="s">
        <v>316</v>
      </c>
      <c>
        <v>0.124</v>
      </c>
      <c t="s">
        <v>26492</v>
      </c>
      <c t="s">
        <v>44541</v>
      </c>
      <c t="s">
        <v>21535</v>
      </c>
      <c t="s">
        <v>43190</v>
      </c>
      <c t="s">
        <v>21535</v>
      </c>
      <c t="s">
        <v>7004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34234</v>
      </c>
      <c>
        <v>153</v>
      </c>
      <c r="AI715" t="s">
        <v>60539</v>
      </c>
      <c t="s">
        <v>45620</v>
      </c>
      <c r="AL715" t="s">
        <v>32440</v>
      </c>
      <c t="s">
        <v>40227</v>
      </c>
      <c t="s">
        <v>50917</v>
      </c>
      <c t="s">
        <v>31078</v>
      </c>
      <c t="s">
        <v>44428</v>
      </c>
      <c t="s">
        <v>3093</v>
      </c>
      <c t="s">
        <v>46580</v>
      </c>
    </row>
    <row>
      <c t="s">
        <v>17594</v>
      </c>
      <c t="s">
        <v>22413</v>
      </c>
      <c t="s">
        <v>27835</v>
      </c>
      <c t="s">
        <v>4845</v>
      </c>
      <c t="s">
        <v>10265</v>
      </c>
      <c s="3">
        <v>95557</v>
      </c>
      <c s="3">
        <v>74250</v>
      </c>
      <c s="3">
        <v>82057</v>
      </c>
      <c>
        <v>0</v>
      </c>
      <c s="3">
        <v>0</v>
      </c>
      <c s="3">
        <v>1308.43</v>
      </c>
      <c s="3">
        <v>95557</v>
      </c>
      <c r="O716" s="1" t="str">
        <f ca="1">HYPERLINK("https://web.datatree.com/?/property?propertyId=32199430", "https://web.datatree.com/?/property?propertyId=32199430")</f>
        <v>https://web.datatree.com/?/property?propertyId=32199430</v>
      </c>
      <c r="Q716" t="s">
        <v>316</v>
      </c>
      <c>
        <v>0.156</v>
      </c>
      <c t="s">
        <v>26492</v>
      </c>
      <c t="s">
        <v>42397</v>
      </c>
      <c t="s">
        <v>45248</v>
      </c>
      <c t="s">
        <v>8006</v>
      </c>
      <c t="s">
        <v>45248</v>
      </c>
      <c t="s">
        <v>51267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50656</v>
      </c>
      <c>
        <v>3832</v>
      </c>
      <c r="AH716" t="s">
        <v>26580</v>
      </c>
      <c>
        <v>200</v>
      </c>
      <c r="AL716" t="s">
        <v>17179</v>
      </c>
      <c t="s">
        <v>40227</v>
      </c>
      <c t="s">
        <v>49572</v>
      </c>
      <c t="s">
        <v>11236</v>
      </c>
      <c t="s">
        <v>702</v>
      </c>
      <c t="s">
        <v>3093</v>
      </c>
      <c t="s">
        <v>38970</v>
      </c>
    </row>
    <row>
      <c t="s">
        <v>17594</v>
      </c>
      <c t="s">
        <v>23340</v>
      </c>
      <c t="s">
        <v>9648</v>
      </c>
      <c t="s">
        <v>18836</v>
      </c>
      <c t="s">
        <v>35548</v>
      </c>
      <c s="3">
        <v>21600</v>
      </c>
      <c s="3">
        <v>21600</v>
      </c>
      <c s="3">
        <v>9599</v>
      </c>
      <c>
        <v>0</v>
      </c>
      <c s="3">
        <v>0</v>
      </c>
      <c s="3">
        <v>687.13</v>
      </c>
      <c s="3">
        <v>21600</v>
      </c>
      <c r="O717" s="1" t="str">
        <f ca="1">HYPERLINK("https://web.datatree.com/?/property?propertyId=32199456", "https://web.datatree.com/?/property?propertyId=32199456")</f>
        <v>https://web.datatree.com/?/property?propertyId=32199456</v>
      </c>
      <c r="Q717" t="s">
        <v>316</v>
      </c>
      <c>
        <v>0.344</v>
      </c>
      <c t="s">
        <v>6175</v>
      </c>
      <c t="s">
        <v>16080</v>
      </c>
      <c t="s">
        <v>30793</v>
      </c>
      <c r="X717" t="s">
        <v>33988</v>
      </c>
      <c t="s">
        <v>25017</v>
      </c>
      <c t="s">
        <v>2517</v>
      </c>
      <c t="s">
        <v>39289</v>
      </c>
      <c>
        <v>33909</v>
      </c>
      <c t="s">
        <v>12865</v>
      </c>
      <c t="s">
        <v>48794</v>
      </c>
      <c t="s">
        <v>4567</v>
      </c>
      <c>
        <v>10241</v>
      </c>
      <c r="AI717" t="s">
        <v>21163</v>
      </c>
      <c t="s">
        <v>39321</v>
      </c>
      <c r="AL717" t="s">
        <v>46703</v>
      </c>
      <c t="s">
        <v>46703</v>
      </c>
      <c t="s">
        <v>39289</v>
      </c>
      <c t="s">
        <v>59949</v>
      </c>
      <c t="s">
        <v>49084</v>
      </c>
      <c t="s">
        <v>3093</v>
      </c>
      <c t="s">
        <v>21136</v>
      </c>
    </row>
    <row>
      <c t="s">
        <v>17594</v>
      </c>
      <c t="s">
        <v>44542</v>
      </c>
      <c t="s">
        <v>60307</v>
      </c>
      <c t="s">
        <v>44692</v>
      </c>
      <c t="s">
        <v>12605</v>
      </c>
      <c s="3">
        <v>12544</v>
      </c>
      <c s="3">
        <v>12544</v>
      </c>
      <c s="3">
        <v>12544</v>
      </c>
      <c>
        <v>0</v>
      </c>
      <c s="3">
        <v>0</v>
      </c>
      <c s="3">
        <v>362.59</v>
      </c>
      <c s="3">
        <v>12544</v>
      </c>
      <c r="O718" s="1" t="str">
        <f ca="1">HYPERLINK("https://web.datatree.com/?/property?propertyId=32199645", "https://web.datatree.com/?/property?propertyId=32199645")</f>
        <v>https://web.datatree.com/?/property?propertyId=32199645</v>
      </c>
      <c r="Q718" t="s">
        <v>316</v>
      </c>
      <c>
        <v>0.223</v>
      </c>
      <c t="s">
        <v>5471</v>
      </c>
      <c r="U718" t="s">
        <v>9095</v>
      </c>
      <c r="X718" t="s">
        <v>46106</v>
      </c>
      <c t="s">
        <v>51290</v>
      </c>
      <c t="s">
        <v>65059</v>
      </c>
      <c t="s">
        <v>39289</v>
      </c>
      <c>
        <v>33905</v>
      </c>
      <c t="s">
        <v>35345</v>
      </c>
      <c t="s">
        <v>48794</v>
      </c>
      <c t="s">
        <v>50349</v>
      </c>
      <c>
        <v>1000</v>
      </c>
      <c r="AI718" t="s">
        <v>17949</v>
      </c>
      <c t="s">
        <v>60842</v>
      </c>
      <c>
        <v>2806</v>
      </c>
      <c t="s">
        <v>55393</v>
      </c>
      <c t="s">
        <v>55393</v>
      </c>
      <c t="s">
        <v>39289</v>
      </c>
      <c t="s">
        <v>583</v>
      </c>
      <c t="s">
        <v>47183</v>
      </c>
      <c t="s">
        <v>3093</v>
      </c>
      <c t="s">
        <v>3916</v>
      </c>
    </row>
    <row>
      <c t="s">
        <v>17594</v>
      </c>
      <c t="s">
        <v>9441</v>
      </c>
      <c t="s">
        <v>40905</v>
      </c>
      <c t="s">
        <v>50059</v>
      </c>
      <c t="s">
        <v>13836</v>
      </c>
      <c s="3">
        <v>11250</v>
      </c>
      <c s="3">
        <v>11250</v>
      </c>
      <c s="3">
        <v>4992</v>
      </c>
      <c>
        <v>0</v>
      </c>
      <c s="3">
        <v>0</v>
      </c>
      <c s="3">
        <v>114.24</v>
      </c>
      <c s="3">
        <v>11250</v>
      </c>
      <c r="O719" s="1" t="str">
        <f ca="1">HYPERLINK("https://web.datatree.com/?/property?propertyId=32199969", "https://web.datatree.com/?/property?propertyId=32199969")</f>
        <v>https://web.datatree.com/?/property?propertyId=32199969</v>
      </c>
      <c r="Q719" t="s">
        <v>316</v>
      </c>
      <c>
        <v>0.156</v>
      </c>
      <c t="s">
        <v>66399</v>
      </c>
      <c t="s">
        <v>50331</v>
      </c>
      <c t="s">
        <v>40744</v>
      </c>
      <c r="X719" t="s">
        <v>36541</v>
      </c>
      <c t="s">
        <v>13397</v>
      </c>
      <c t="s">
        <v>65059</v>
      </c>
      <c t="s">
        <v>39289</v>
      </c>
      <c>
        <v>33905</v>
      </c>
      <c t="s">
        <v>13228</v>
      </c>
      <c t="s">
        <v>48794</v>
      </c>
      <c t="s">
        <v>54685</v>
      </c>
      <c>
        <v>2448</v>
      </c>
      <c r="AI719" t="s">
        <v>8443</v>
      </c>
      <c t="s">
        <v>45393</v>
      </c>
      <c r="AL719" t="s">
        <v>23828</v>
      </c>
      <c r="AN719" t="s">
        <v>39289</v>
      </c>
      <c t="s">
        <v>38813</v>
      </c>
      <c t="s">
        <v>22302</v>
      </c>
      <c t="s">
        <v>3093</v>
      </c>
      <c t="s">
        <v>27336</v>
      </c>
    </row>
    <row>
      <c t="s">
        <v>17594</v>
      </c>
      <c t="s">
        <v>61308</v>
      </c>
      <c t="s">
        <v>45049</v>
      </c>
      <c t="s">
        <v>28738</v>
      </c>
      <c t="s">
        <v>36190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720" s="1" t="str">
        <f ca="1">HYPERLINK("https://web.datatree.com/?/property?propertyId=32200516", "https://web.datatree.com/?/property?propertyId=32200516")</f>
        <v>https://web.datatree.com/?/property?propertyId=32200516</v>
      </c>
      <c r="Q720" t="s">
        <v>316</v>
      </c>
      <c>
        <v>0.23</v>
      </c>
      <c t="s">
        <v>22490</v>
      </c>
      <c t="s">
        <v>51210</v>
      </c>
      <c t="s">
        <v>34217</v>
      </c>
      <c r="X720" t="s">
        <v>29338</v>
      </c>
      <c t="s">
        <v>47150</v>
      </c>
      <c t="s">
        <v>2517</v>
      </c>
      <c t="s">
        <v>39289</v>
      </c>
      <c>
        <v>33909</v>
      </c>
      <c t="s">
        <v>12002</v>
      </c>
      <c t="s">
        <v>48794</v>
      </c>
      <c t="s">
        <v>6734</v>
      </c>
      <c>
        <v>1708</v>
      </c>
      <c r="AH720" t="s">
        <v>12549</v>
      </c>
      <c t="s">
        <v>27742</v>
      </c>
      <c t="s">
        <v>31192</v>
      </c>
      <c r="AL720" t="s">
        <v>20040</v>
      </c>
      <c t="s">
        <v>20040</v>
      </c>
      <c t="s">
        <v>49572</v>
      </c>
      <c t="s">
        <v>66070</v>
      </c>
      <c t="s">
        <v>25140</v>
      </c>
      <c t="s">
        <v>3093</v>
      </c>
      <c t="s">
        <v>65414</v>
      </c>
    </row>
    <row>
      <c t="s">
        <v>17594</v>
      </c>
      <c t="s">
        <v>20970</v>
      </c>
      <c t="s">
        <v>38389</v>
      </c>
      <c t="s">
        <v>30250</v>
      </c>
      <c t="s">
        <v>26822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721" s="1" t="str">
        <f ca="1">HYPERLINK("https://web.datatree.com/?/property?propertyId=32200523", "https://web.datatree.com/?/property?propertyId=32200523")</f>
        <v>https://web.datatree.com/?/property?propertyId=32200523</v>
      </c>
      <c r="Q721" t="s">
        <v>316</v>
      </c>
      <c>
        <v>0.241</v>
      </c>
      <c t="s">
        <v>6175</v>
      </c>
      <c t="s">
        <v>9176</v>
      </c>
      <c t="s">
        <v>58654</v>
      </c>
      <c t="s">
        <v>59573</v>
      </c>
      <c t="s">
        <v>58654</v>
      </c>
      <c t="s">
        <v>31450</v>
      </c>
      <c t="s">
        <v>13065</v>
      </c>
      <c t="s">
        <v>2517</v>
      </c>
      <c t="s">
        <v>39289</v>
      </c>
      <c>
        <v>33909</v>
      </c>
      <c t="s">
        <v>16219</v>
      </c>
      <c t="s">
        <v>48794</v>
      </c>
      <c t="s">
        <v>28807</v>
      </c>
      <c>
        <v>8889</v>
      </c>
      <c r="AI721" t="s">
        <v>43013</v>
      </c>
      <c t="s">
        <v>40123</v>
      </c>
      <c r="AL721" t="s">
        <v>36970</v>
      </c>
      <c r="AN721" t="s">
        <v>39289</v>
      </c>
      <c t="s">
        <v>60695</v>
      </c>
      <c t="s">
        <v>6928</v>
      </c>
      <c t="s">
        <v>3093</v>
      </c>
      <c t="s">
        <v>60330</v>
      </c>
    </row>
    <row>
      <c t="s">
        <v>17594</v>
      </c>
      <c t="s">
        <v>11201</v>
      </c>
      <c t="s">
        <v>14521</v>
      </c>
      <c t="s">
        <v>24568</v>
      </c>
      <c t="s">
        <v>27364</v>
      </c>
      <c s="3">
        <v>17210</v>
      </c>
      <c s="3">
        <v>17210</v>
      </c>
      <c s="3">
        <v>9075</v>
      </c>
      <c>
        <v>0</v>
      </c>
      <c s="3">
        <v>0</v>
      </c>
      <c s="3">
        <v>557.94</v>
      </c>
      <c s="3">
        <v>17210</v>
      </c>
      <c r="O722" s="1" t="str">
        <f ca="1">HYPERLINK("https://web.datatree.com/?/property?propertyId=32201036", "https://web.datatree.com/?/property?propertyId=32201036")</f>
        <v>https://web.datatree.com/?/property?propertyId=32201036</v>
      </c>
      <c r="Q722" t="s">
        <v>316</v>
      </c>
      <c>
        <v>0.244</v>
      </c>
      <c t="s">
        <v>6175</v>
      </c>
      <c t="s">
        <v>55067</v>
      </c>
      <c t="s">
        <v>45586</v>
      </c>
      <c r="X722" t="s">
        <v>4435</v>
      </c>
      <c t="s">
        <v>2626</v>
      </c>
      <c t="s">
        <v>2517</v>
      </c>
      <c t="s">
        <v>39289</v>
      </c>
      <c>
        <v>33909</v>
      </c>
      <c t="s">
        <v>27140</v>
      </c>
      <c t="s">
        <v>48794</v>
      </c>
      <c t="s">
        <v>40158</v>
      </c>
      <c>
        <v>1626</v>
      </c>
      <c r="AI722" t="s">
        <v>20770</v>
      </c>
      <c t="s">
        <v>45620</v>
      </c>
      <c r="AL722" t="s">
        <v>59143</v>
      </c>
      <c r="AN722" t="s">
        <v>65467</v>
      </c>
      <c t="s">
        <v>68</v>
      </c>
      <c t="s">
        <v>21054</v>
      </c>
      <c t="s">
        <v>3093</v>
      </c>
      <c t="s">
        <v>26534</v>
      </c>
    </row>
    <row>
      <c t="s">
        <v>17594</v>
      </c>
      <c t="s">
        <v>64516</v>
      </c>
      <c t="s">
        <v>64450</v>
      </c>
      <c t="s">
        <v>61538</v>
      </c>
      <c t="s">
        <v>62181</v>
      </c>
      <c s="3">
        <v>56856</v>
      </c>
      <c s="3">
        <v>56856</v>
      </c>
      <c s="3">
        <v>25106</v>
      </c>
      <c>
        <v>0</v>
      </c>
      <c s="3">
        <v>0</v>
      </c>
      <c s="3">
        <v>1099.7</v>
      </c>
      <c s="3">
        <v>56856</v>
      </c>
      <c r="O723" s="1" t="str">
        <f ca="1">HYPERLINK("https://web.datatree.com/?/property?propertyId=32201734", "https://web.datatree.com/?/property?propertyId=32201734")</f>
        <v>https://web.datatree.com/?/property?propertyId=32201734</v>
      </c>
      <c r="Q723" t="s">
        <v>316</v>
      </c>
      <c>
        <v>0.341</v>
      </c>
      <c t="s">
        <v>6175</v>
      </c>
      <c r="U723" t="s">
        <v>17983</v>
      </c>
      <c r="W723" t="s">
        <v>34542</v>
      </c>
      <c t="s">
        <v>6009</v>
      </c>
      <c t="s">
        <v>15510</v>
      </c>
      <c t="s">
        <v>2517</v>
      </c>
      <c t="s">
        <v>39289</v>
      </c>
      <c>
        <v>33904</v>
      </c>
      <c t="s">
        <v>36811</v>
      </c>
      <c t="s">
        <v>48794</v>
      </c>
      <c t="s">
        <v>48167</v>
      </c>
      <c>
        <v>18790</v>
      </c>
      <c r="AI723" t="s">
        <v>27854</v>
      </c>
      <c t="s">
        <v>45393</v>
      </c>
      <c r="AL723" t="s">
        <v>31249</v>
      </c>
      <c t="s">
        <v>31249</v>
      </c>
      <c t="s">
        <v>51137</v>
      </c>
      <c t="s">
        <v>24376</v>
      </c>
      <c t="s">
        <v>66620</v>
      </c>
      <c t="s">
        <v>3093</v>
      </c>
      <c t="s">
        <v>24280</v>
      </c>
    </row>
    <row>
      <c t="s">
        <v>17594</v>
      </c>
      <c t="s">
        <v>66207</v>
      </c>
      <c t="s">
        <v>59372</v>
      </c>
      <c t="s">
        <v>56124</v>
      </c>
      <c t="s">
        <v>23565</v>
      </c>
      <c s="3">
        <v>75217</v>
      </c>
      <c s="3">
        <v>67250</v>
      </c>
      <c s="3">
        <v>75217</v>
      </c>
      <c>
        <v>0</v>
      </c>
      <c s="3">
        <v>0</v>
      </c>
      <c s="3">
        <v>1131.01</v>
      </c>
      <c s="3">
        <v>75217</v>
      </c>
      <c r="O724" s="1" t="str">
        <f ca="1">HYPERLINK("https://web.datatree.com/?/property?propertyId=32201741", "https://web.datatree.com/?/property?propertyId=32201741")</f>
        <v>https://web.datatree.com/?/property?propertyId=32201741</v>
      </c>
      <c r="Q724" t="s">
        <v>316</v>
      </c>
      <c>
        <v>0.125</v>
      </c>
      <c t="s">
        <v>26492</v>
      </c>
      <c t="s">
        <v>65985</v>
      </c>
      <c t="s">
        <v>48894</v>
      </c>
      <c t="s">
        <v>26827</v>
      </c>
      <c t="s">
        <v>48894</v>
      </c>
      <c t="s">
        <v>22724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13260</v>
      </c>
      <c>
        <v>9154</v>
      </c>
      <c r="AI724" t="s">
        <v>26622</v>
      </c>
      <c r="AL724" t="s">
        <v>10315</v>
      </c>
      <c t="s">
        <v>6294</v>
      </c>
      <c t="s">
        <v>27481</v>
      </c>
      <c t="s">
        <v>59872</v>
      </c>
      <c t="s">
        <v>62713</v>
      </c>
      <c t="s">
        <v>3093</v>
      </c>
      <c t="s">
        <v>10811</v>
      </c>
    </row>
    <row>
      <c t="s">
        <v>17594</v>
      </c>
      <c t="s">
        <v>51745</v>
      </c>
      <c t="s">
        <v>16708</v>
      </c>
      <c t="s">
        <v>23087</v>
      </c>
      <c t="s">
        <v>165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725" s="1" t="str">
        <f ca="1">HYPERLINK("https://web.datatree.com/?/property?propertyId=32202068", "https://web.datatree.com/?/property?propertyId=32202068")</f>
        <v>https://web.datatree.com/?/property?propertyId=32202068</v>
      </c>
      <c r="Q725" t="s">
        <v>316</v>
      </c>
      <c>
        <v>0.23</v>
      </c>
      <c t="s">
        <v>45031</v>
      </c>
      <c t="s">
        <v>54288</v>
      </c>
      <c t="s">
        <v>34217</v>
      </c>
      <c t="s">
        <v>11769</v>
      </c>
      <c t="s">
        <v>45794</v>
      </c>
      <c t="s">
        <v>60436</v>
      </c>
      <c t="s">
        <v>46469</v>
      </c>
      <c t="s">
        <v>2517</v>
      </c>
      <c t="s">
        <v>39289</v>
      </c>
      <c>
        <v>33909</v>
      </c>
      <c t="s">
        <v>22858</v>
      </c>
      <c t="s">
        <v>48794</v>
      </c>
      <c t="s">
        <v>3594</v>
      </c>
      <c>
        <v>14490</v>
      </c>
      <c r="AI725" t="s">
        <v>38383</v>
      </c>
      <c t="s">
        <v>55842</v>
      </c>
      <c r="AL725" t="s">
        <v>23311</v>
      </c>
      <c r="AN725" t="s">
        <v>56163</v>
      </c>
      <c t="s">
        <v>8426</v>
      </c>
      <c t="s">
        <v>53800</v>
      </c>
      <c t="s">
        <v>3093</v>
      </c>
      <c t="s">
        <v>66014</v>
      </c>
    </row>
    <row>
      <c t="s">
        <v>17594</v>
      </c>
      <c t="s">
        <v>37443</v>
      </c>
      <c t="s">
        <v>25179</v>
      </c>
      <c t="s">
        <v>61246</v>
      </c>
      <c t="s">
        <v>65645</v>
      </c>
      <c s="3">
        <v>26290</v>
      </c>
      <c s="3">
        <v>26290</v>
      </c>
      <c s="3">
        <v>12650</v>
      </c>
      <c>
        <v>0</v>
      </c>
      <c s="3">
        <v>0</v>
      </c>
      <c s="3">
        <v>2914.32</v>
      </c>
      <c s="3">
        <v>26290</v>
      </c>
      <c r="O726" s="1" t="str">
        <f ca="1">HYPERLINK("https://web.datatree.com/?/property?propertyId=32202596", "https://web.datatree.com/?/property?propertyId=32202596")</f>
        <v>https://web.datatree.com/?/property?propertyId=32202596</v>
      </c>
      <c r="Q726" t="s">
        <v>316</v>
      </c>
      <c>
        <v>0.23</v>
      </c>
      <c t="s">
        <v>22490</v>
      </c>
      <c t="s">
        <v>42880</v>
      </c>
      <c t="s">
        <v>24727</v>
      </c>
      <c r="X726" t="s">
        <v>17186</v>
      </c>
      <c t="s">
        <v>25017</v>
      </c>
      <c t="s">
        <v>2517</v>
      </c>
      <c t="s">
        <v>39289</v>
      </c>
      <c>
        <v>33909</v>
      </c>
      <c t="s">
        <v>51954</v>
      </c>
      <c t="s">
        <v>48794</v>
      </c>
      <c t="s">
        <v>17444</v>
      </c>
      <c>
        <v>4401</v>
      </c>
      <c r="AI726" t="s">
        <v>33739</v>
      </c>
      <c t="s">
        <v>55842</v>
      </c>
      <c r="AL726" t="s">
        <v>62986</v>
      </c>
      <c t="s">
        <v>62986</v>
      </c>
      <c t="s">
        <v>18236</v>
      </c>
      <c t="s">
        <v>27691</v>
      </c>
      <c t="s">
        <v>35354</v>
      </c>
      <c t="s">
        <v>3093</v>
      </c>
      <c t="s">
        <v>9212</v>
      </c>
    </row>
    <row>
      <c t="s">
        <v>17594</v>
      </c>
      <c t="s">
        <v>47995</v>
      </c>
      <c t="s">
        <v>37255</v>
      </c>
      <c t="s">
        <v>5296</v>
      </c>
      <c t="s">
        <v>37234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>
        <v>2021</v>
      </c>
      <c>
        <v>534.29</v>
      </c>
      <c s="1" t="str">
        <f ca="1">HYPERLINK("https://web.datatree.com/?/property?propertyId=32202708", "https://web.datatree.com/?/property?propertyId=32202708")</f>
        <v>https://web.datatree.com/?/property?propertyId=32202708</v>
      </c>
      <c r="Q727" t="s">
        <v>316</v>
      </c>
      <c>
        <v>0.23</v>
      </c>
      <c t="s">
        <v>6175</v>
      </c>
      <c t="s">
        <v>12968</v>
      </c>
      <c t="s">
        <v>12726</v>
      </c>
      <c t="s">
        <v>553</v>
      </c>
      <c t="s">
        <v>12726</v>
      </c>
      <c t="s">
        <v>9876</v>
      </c>
      <c t="s">
        <v>13829</v>
      </c>
      <c t="s">
        <v>2517</v>
      </c>
      <c t="s">
        <v>39289</v>
      </c>
      <c>
        <v>33909</v>
      </c>
      <c t="s">
        <v>31784</v>
      </c>
      <c t="s">
        <v>48794</v>
      </c>
      <c t="s">
        <v>48881</v>
      </c>
      <c>
        <v>7851</v>
      </c>
      <c r="AI727" t="s">
        <v>31085</v>
      </c>
      <c t="s">
        <v>40123</v>
      </c>
      <c r="AL727" t="s">
        <v>35405</v>
      </c>
      <c t="s">
        <v>35405</v>
      </c>
      <c t="s">
        <v>50829</v>
      </c>
      <c t="s">
        <v>59600</v>
      </c>
      <c t="s">
        <v>56028</v>
      </c>
      <c t="s">
        <v>3093</v>
      </c>
      <c t="s">
        <v>64584</v>
      </c>
    </row>
    <row>
      <c t="s">
        <v>17594</v>
      </c>
      <c t="s">
        <v>45807</v>
      </c>
      <c t="s">
        <v>8870</v>
      </c>
      <c t="s">
        <v>56688</v>
      </c>
      <c t="s">
        <v>59128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728" s="1" t="str">
        <f ca="1">HYPERLINK("https://web.datatree.com/?/property?propertyId=32205050", "https://web.datatree.com/?/property?propertyId=32205050")</f>
        <v>https://web.datatree.com/?/property?propertyId=32205050</v>
      </c>
      <c r="Q728" t="s">
        <v>316</v>
      </c>
      <c>
        <v>0.23</v>
      </c>
      <c t="s">
        <v>42044</v>
      </c>
      <c t="s">
        <v>10361</v>
      </c>
      <c t="s">
        <v>32018</v>
      </c>
      <c t="s">
        <v>8762</v>
      </c>
      <c t="s">
        <v>32018</v>
      </c>
      <c t="s">
        <v>51093</v>
      </c>
      <c t="s">
        <v>61144</v>
      </c>
      <c t="s">
        <v>2517</v>
      </c>
      <c t="s">
        <v>39289</v>
      </c>
      <c>
        <v>33909</v>
      </c>
      <c>
        <v>33909</v>
      </c>
      <c t="s">
        <v>48794</v>
      </c>
      <c t="s">
        <v>53516</v>
      </c>
      <c>
        <v>750</v>
      </c>
      <c r="AI728" t="s">
        <v>33179</v>
      </c>
      <c t="s">
        <v>45393</v>
      </c>
      <c r="AL728" t="s">
        <v>19705</v>
      </c>
      <c r="AN728" t="s">
        <v>56163</v>
      </c>
      <c t="s">
        <v>40531</v>
      </c>
      <c t="s">
        <v>26242</v>
      </c>
      <c t="s">
        <v>3093</v>
      </c>
      <c t="s">
        <v>6496</v>
      </c>
    </row>
    <row>
      <c t="s">
        <v>17594</v>
      </c>
      <c t="s">
        <v>55932</v>
      </c>
      <c t="s">
        <v>4891</v>
      </c>
      <c t="s">
        <v>65893</v>
      </c>
      <c t="s">
        <v>1020</v>
      </c>
      <c s="3">
        <v>292645</v>
      </c>
      <c s="3">
        <v>292645</v>
      </c>
      <c s="3">
        <v>292645</v>
      </c>
      <c>
        <v>0</v>
      </c>
      <c s="3">
        <v>0</v>
      </c>
      <c s="3">
        <v>4088.77</v>
      </c>
      <c s="3">
        <v>292645</v>
      </c>
      <c r="O729" s="1" t="str">
        <f ca="1">HYPERLINK("https://web.datatree.com/?/property?propertyId=32205488", "https://web.datatree.com/?/property?propertyId=32205488")</f>
        <v>https://web.datatree.com/?/property?propertyId=32205488</v>
      </c>
      <c r="Q729" t="s">
        <v>316</v>
      </c>
      <c>
        <v>0.404</v>
      </c>
      <c t="s">
        <v>29818</v>
      </c>
      <c r="U729" t="s">
        <v>26705</v>
      </c>
      <c r="W729" t="s">
        <v>22999</v>
      </c>
      <c t="s">
        <v>59521</v>
      </c>
      <c t="s">
        <v>24194</v>
      </c>
      <c t="s">
        <v>65059</v>
      </c>
      <c t="s">
        <v>39289</v>
      </c>
      <c>
        <v>33908</v>
      </c>
      <c t="s">
        <v>36833</v>
      </c>
      <c t="s">
        <v>48794</v>
      </c>
      <c t="s">
        <v>21660</v>
      </c>
      <c>
        <v>892</v>
      </c>
      <c r="AI729" t="s">
        <v>2987</v>
      </c>
      <c t="s">
        <v>45620</v>
      </c>
      <c r="AL729" t="s">
        <v>20643</v>
      </c>
      <c t="s">
        <v>20643</v>
      </c>
      <c t="s">
        <v>50829</v>
      </c>
      <c>
        <v>56501</v>
      </c>
      <c r="AQ729" t="s">
        <v>3093</v>
      </c>
      <c t="s">
        <v>46544</v>
      </c>
    </row>
    <row>
      <c t="s">
        <v>17594</v>
      </c>
      <c t="s">
        <v>62576</v>
      </c>
      <c t="s">
        <v>10462</v>
      </c>
      <c t="s">
        <v>43675</v>
      </c>
      <c t="s">
        <v>33116</v>
      </c>
      <c s="3">
        <v>67498</v>
      </c>
      <c s="3">
        <v>67498</v>
      </c>
      <c s="3">
        <v>52250</v>
      </c>
      <c>
        <v>0</v>
      </c>
      <c s="3">
        <v>0</v>
      </c>
      <c s="3">
        <v>1435.39</v>
      </c>
      <c s="3">
        <v>67498</v>
      </c>
      <c r="O730" s="1" t="str">
        <f ca="1">HYPERLINK("https://web.datatree.com/?/property?propertyId=32206109", "https://web.datatree.com/?/property?propertyId=32206109")</f>
        <v>https://web.datatree.com/?/property?propertyId=32206109</v>
      </c>
      <c r="Q730" t="s">
        <v>316</v>
      </c>
      <c>
        <v>0.35</v>
      </c>
      <c t="s">
        <v>5443</v>
      </c>
      <c t="s">
        <v>58113</v>
      </c>
      <c t="s">
        <v>34455</v>
      </c>
      <c t="s">
        <v>42532</v>
      </c>
      <c t="s">
        <v>34455</v>
      </c>
      <c t="s">
        <v>63232</v>
      </c>
      <c t="s">
        <v>27728</v>
      </c>
      <c t="s">
        <v>65059</v>
      </c>
      <c t="s">
        <v>39289</v>
      </c>
      <c>
        <v>33901</v>
      </c>
      <c t="s">
        <v>56752</v>
      </c>
      <c t="s">
        <v>48794</v>
      </c>
      <c t="s">
        <v>63961</v>
      </c>
      <c>
        <v>24</v>
      </c>
      <c r="AI730" t="s">
        <v>24214</v>
      </c>
      <c t="s">
        <v>24900</v>
      </c>
      <c r="AL730" t="s">
        <v>66317</v>
      </c>
      <c r="AN730" t="s">
        <v>50917</v>
      </c>
      <c t="s">
        <v>19932</v>
      </c>
      <c t="s">
        <v>49977</v>
      </c>
      <c t="s">
        <v>3093</v>
      </c>
      <c t="s">
        <v>34166</v>
      </c>
    </row>
    <row>
      <c t="s">
        <v>17594</v>
      </c>
      <c t="s">
        <v>21518</v>
      </c>
      <c t="s">
        <v>62598</v>
      </c>
      <c t="s">
        <v>58015</v>
      </c>
      <c t="s">
        <v>422</v>
      </c>
      <c s="3">
        <v>17913</v>
      </c>
      <c s="3">
        <v>17913</v>
      </c>
      <c s="3">
        <v>7865</v>
      </c>
      <c>
        <v>0</v>
      </c>
      <c s="3">
        <v>0</v>
      </c>
      <c s="3">
        <v>407.38</v>
      </c>
      <c s="3">
        <v>17913</v>
      </c>
      <c r="O731" s="1" t="str">
        <f ca="1">HYPERLINK("https://web.datatree.com/?/property?propertyId=32206341", "https://web.datatree.com/?/property?propertyId=32206341")</f>
        <v>https://web.datatree.com/?/property?propertyId=32206341</v>
      </c>
      <c r="Q731" t="s">
        <v>316</v>
      </c>
      <c>
        <v>0.236</v>
      </c>
      <c t="s">
        <v>6175</v>
      </c>
      <c t="s">
        <v>1497</v>
      </c>
      <c t="s">
        <v>35220</v>
      </c>
      <c r="X731" t="s">
        <v>22524</v>
      </c>
      <c t="s">
        <v>61850</v>
      </c>
      <c t="s">
        <v>2517</v>
      </c>
      <c t="s">
        <v>39289</v>
      </c>
      <c>
        <v>33909</v>
      </c>
      <c t="s">
        <v>17498</v>
      </c>
      <c t="s">
        <v>48794</v>
      </c>
      <c t="s">
        <v>63892</v>
      </c>
      <c>
        <v>15410</v>
      </c>
      <c r="AI731" t="s">
        <v>22731</v>
      </c>
      <c t="s">
        <v>24900</v>
      </c>
      <c r="AL731" t="s">
        <v>37900</v>
      </c>
      <c r="AN731" t="s">
        <v>50917</v>
      </c>
      <c t="s">
        <v>18768</v>
      </c>
      <c t="s">
        <v>27553</v>
      </c>
      <c t="s">
        <v>3093</v>
      </c>
      <c t="s">
        <v>57268</v>
      </c>
    </row>
    <row>
      <c t="s">
        <v>17594</v>
      </c>
      <c t="s">
        <v>19103</v>
      </c>
      <c t="s">
        <v>26987</v>
      </c>
      <c t="s">
        <v>41983</v>
      </c>
      <c t="s">
        <v>23657</v>
      </c>
      <c s="3">
        <v>43142</v>
      </c>
      <c s="3">
        <v>43142</v>
      </c>
      <c s="3">
        <v>43142</v>
      </c>
      <c>
        <v>0</v>
      </c>
      <c s="3">
        <v>0</v>
      </c>
      <c s="3">
        <v>733.28</v>
      </c>
      <c s="3">
        <v>43142</v>
      </c>
      <c r="O732" s="1" t="str">
        <f ca="1">HYPERLINK("https://web.datatree.com/?/property?propertyId=32206625", "https://web.datatree.com/?/property?propertyId=32206625")</f>
        <v>https://web.datatree.com/?/property?propertyId=32206625</v>
      </c>
      <c r="Q732" t="s">
        <v>316</v>
      </c>
      <c>
        <v>1.83</v>
      </c>
      <c t="s">
        <v>30497</v>
      </c>
      <c t="s">
        <v>47715</v>
      </c>
      <c t="s">
        <v>835</v>
      </c>
      <c r="X732" t="s">
        <v>30079</v>
      </c>
      <c t="s">
        <v>48518</v>
      </c>
      <c t="s">
        <v>65059</v>
      </c>
      <c t="s">
        <v>39289</v>
      </c>
      <c>
        <v>33905</v>
      </c>
      <c t="s">
        <v>26289</v>
      </c>
      <c t="s">
        <v>48794</v>
      </c>
      <c t="s">
        <v>7806</v>
      </c>
      <c>
        <v>299</v>
      </c>
      <c r="AI732" t="s">
        <v>54974</v>
      </c>
      <c t="s">
        <v>4985</v>
      </c>
      <c r="AL732" t="s">
        <v>56874</v>
      </c>
      <c t="s">
        <v>56874</v>
      </c>
      <c t="s">
        <v>39289</v>
      </c>
      <c t="s">
        <v>49519</v>
      </c>
      <c t="s">
        <v>27515</v>
      </c>
      <c t="s">
        <v>3093</v>
      </c>
      <c t="s">
        <v>34094</v>
      </c>
    </row>
    <row>
      <c t="s">
        <v>17594</v>
      </c>
      <c t="s">
        <v>20219</v>
      </c>
      <c t="s">
        <v>18264</v>
      </c>
      <c t="s">
        <v>35625</v>
      </c>
      <c t="s">
        <v>37210</v>
      </c>
      <c s="3">
        <v>20580</v>
      </c>
      <c s="3">
        <v>20580</v>
      </c>
      <c s="3">
        <v>9599</v>
      </c>
      <c>
        <v>0</v>
      </c>
      <c s="3">
        <v>0</v>
      </c>
      <c s="3">
        <v>681.46</v>
      </c>
      <c s="3">
        <v>20580</v>
      </c>
      <c r="O733" s="1" t="str">
        <f ca="1">HYPERLINK("https://web.datatree.com/?/property?propertyId=32206854", "https://web.datatree.com/?/property?propertyId=32206854")</f>
        <v>https://web.datatree.com/?/property?propertyId=32206854</v>
      </c>
      <c r="Q733" t="s">
        <v>316</v>
      </c>
      <c>
        <v>0.344</v>
      </c>
      <c t="s">
        <v>6175</v>
      </c>
      <c t="s">
        <v>32587</v>
      </c>
      <c t="s">
        <v>9592</v>
      </c>
      <c t="s">
        <v>44610</v>
      </c>
      <c t="s">
        <v>9592</v>
      </c>
      <c t="s">
        <v>47549</v>
      </c>
      <c t="s">
        <v>8669</v>
      </c>
      <c t="s">
        <v>2517</v>
      </c>
      <c t="s">
        <v>39289</v>
      </c>
      <c>
        <v>33909</v>
      </c>
      <c t="s">
        <v>866</v>
      </c>
      <c t="s">
        <v>48794</v>
      </c>
      <c t="s">
        <v>20283</v>
      </c>
      <c>
        <v>605</v>
      </c>
      <c r="AI733" t="s">
        <v>27621</v>
      </c>
      <c t="s">
        <v>24900</v>
      </c>
      <c r="AL733" t="s">
        <v>10240</v>
      </c>
      <c t="s">
        <v>10240</v>
      </c>
      <c t="s">
        <v>39289</v>
      </c>
      <c t="s">
        <v>13169</v>
      </c>
      <c t="s">
        <v>31626</v>
      </c>
      <c t="s">
        <v>3093</v>
      </c>
      <c t="s">
        <v>11671</v>
      </c>
    </row>
    <row>
      <c t="s">
        <v>17594</v>
      </c>
      <c t="s">
        <v>3726</v>
      </c>
      <c t="s">
        <v>60775</v>
      </c>
      <c t="s">
        <v>26350</v>
      </c>
      <c t="s">
        <v>15416</v>
      </c>
      <c s="3">
        <v>8000</v>
      </c>
      <c s="3">
        <v>8000</v>
      </c>
      <c s="3">
        <v>8000</v>
      </c>
      <c>
        <v>0</v>
      </c>
      <c s="3">
        <v>0</v>
      </c>
      <c s="3">
        <v>558.11</v>
      </c>
      <c s="3">
        <v>8000</v>
      </c>
      <c r="O734" s="1" t="str">
        <f ca="1">HYPERLINK("https://web.datatree.com/?/property?propertyId=32207349", "https://web.datatree.com/?/property?propertyId=32207349")</f>
        <v>https://web.datatree.com/?/property?propertyId=32207349</v>
      </c>
      <c r="Q734" t="s">
        <v>316</v>
      </c>
      <c>
        <v>0.227</v>
      </c>
      <c t="s">
        <v>33269</v>
      </c>
      <c t="s">
        <v>19112</v>
      </c>
      <c t="s">
        <v>45587</v>
      </c>
      <c r="X734" t="s">
        <v>8311</v>
      </c>
      <c t="s">
        <v>13478</v>
      </c>
      <c t="s">
        <v>2517</v>
      </c>
      <c t="s">
        <v>39289</v>
      </c>
      <c>
        <v>33909</v>
      </c>
      <c t="s">
        <v>31216</v>
      </c>
      <c t="s">
        <v>48794</v>
      </c>
      <c t="s">
        <v>41382</v>
      </c>
      <c>
        <v>4729</v>
      </c>
      <c r="AI734" t="s">
        <v>7273</v>
      </c>
      <c t="s">
        <v>45393</v>
      </c>
      <c r="AL734" t="s">
        <v>6799</v>
      </c>
      <c t="s">
        <v>6799</v>
      </c>
      <c t="s">
        <v>10804</v>
      </c>
      <c t="s">
        <v>38733</v>
      </c>
      <c t="s">
        <v>17246</v>
      </c>
      <c t="s">
        <v>3093</v>
      </c>
      <c t="s">
        <v>5958</v>
      </c>
    </row>
    <row>
      <c t="s">
        <v>17594</v>
      </c>
      <c t="s">
        <v>37225</v>
      </c>
      <c t="s">
        <v>38417</v>
      </c>
      <c t="s">
        <v>1538</v>
      </c>
      <c t="s">
        <v>53556</v>
      </c>
      <c s="3">
        <v>53407</v>
      </c>
      <c s="3">
        <v>53407</v>
      </c>
      <c s="3">
        <v>5280</v>
      </c>
      <c>
        <v>0</v>
      </c>
      <c s="3">
        <v>0</v>
      </c>
      <c s="3">
        <v>81.53</v>
      </c>
      <c s="3">
        <v>53407</v>
      </c>
      <c r="O735" s="1" t="str">
        <f ca="1">HYPERLINK("https://web.datatree.com/?/property?propertyId=32207373", "https://web.datatree.com/?/property?propertyId=32207373")</f>
        <v>https://web.datatree.com/?/property?propertyId=32207373</v>
      </c>
      <c r="Q735" t="s">
        <v>316</v>
      </c>
      <c>
        <v>0.152</v>
      </c>
      <c t="s">
        <v>5471</v>
      </c>
      <c t="s">
        <v>21379</v>
      </c>
      <c t="s">
        <v>53666</v>
      </c>
      <c r="X735" t="s">
        <v>34894</v>
      </c>
      <c t="s">
        <v>44347</v>
      </c>
      <c t="s">
        <v>65059</v>
      </c>
      <c t="s">
        <v>39289</v>
      </c>
      <c>
        <v>33905</v>
      </c>
      <c t="s">
        <v>40914</v>
      </c>
      <c t="s">
        <v>48794</v>
      </c>
      <c t="s">
        <v>11904</v>
      </c>
      <c>
        <v>112</v>
      </c>
      <c r="AI735" t="s">
        <v>15332</v>
      </c>
      <c t="s">
        <v>45620</v>
      </c>
      <c r="AL735" t="s">
        <v>1339</v>
      </c>
      <c r="AN735" t="s">
        <v>39289</v>
      </c>
      <c t="s">
        <v>62683</v>
      </c>
      <c t="s">
        <v>14695</v>
      </c>
      <c t="s">
        <v>3093</v>
      </c>
      <c t="s">
        <v>20564</v>
      </c>
    </row>
    <row>
      <c t="s">
        <v>17594</v>
      </c>
      <c t="s">
        <v>52546</v>
      </c>
      <c t="s">
        <v>5695</v>
      </c>
      <c t="s">
        <v>65911</v>
      </c>
      <c t="s">
        <v>191</v>
      </c>
      <c s="3">
        <v>395672</v>
      </c>
      <c s="3">
        <v>395672</v>
      </c>
      <c s="3">
        <v>325564</v>
      </c>
      <c>
        <v>0</v>
      </c>
      <c s="3">
        <v>0</v>
      </c>
      <c s="3">
        <v>5826.64</v>
      </c>
      <c s="3">
        <v>395672</v>
      </c>
      <c r="O736" s="1" t="str">
        <f ca="1">HYPERLINK("https://web.datatree.com/?/property?propertyId=32208537", "https://web.datatree.com/?/property?propertyId=32208537")</f>
        <v>https://web.datatree.com/?/property?propertyId=32208537</v>
      </c>
      <c r="Q736" t="s">
        <v>316</v>
      </c>
      <c>
        <v>0.229</v>
      </c>
      <c t="s">
        <v>22490</v>
      </c>
      <c t="s">
        <v>10361</v>
      </c>
      <c t="s">
        <v>18314</v>
      </c>
      <c t="s">
        <v>26092</v>
      </c>
      <c t="s">
        <v>18314</v>
      </c>
      <c t="s">
        <v>29726</v>
      </c>
      <c t="s">
        <v>59763</v>
      </c>
      <c t="s">
        <v>2517</v>
      </c>
      <c t="s">
        <v>39289</v>
      </c>
      <c>
        <v>33904</v>
      </c>
      <c>
        <v>33904</v>
      </c>
      <c t="s">
        <v>48794</v>
      </c>
      <c t="s">
        <v>45884</v>
      </c>
      <c>
        <v>507</v>
      </c>
      <c r="AI736" t="s">
        <v>50458</v>
      </c>
      <c t="s">
        <v>24900</v>
      </c>
      <c r="AL736" t="s">
        <v>8334</v>
      </c>
      <c r="AN736" t="s">
        <v>39289</v>
      </c>
      <c t="s">
        <v>2282</v>
      </c>
      <c t="s">
        <v>63810</v>
      </c>
      <c t="s">
        <v>3093</v>
      </c>
      <c t="s">
        <v>46113</v>
      </c>
    </row>
    <row>
      <c t="s">
        <v>17594</v>
      </c>
      <c t="s">
        <v>27878</v>
      </c>
      <c t="s">
        <v>26569</v>
      </c>
      <c t="s">
        <v>31901</v>
      </c>
      <c t="s">
        <v>30851</v>
      </c>
      <c s="3">
        <v>21448</v>
      </c>
      <c s="3">
        <v>21448</v>
      </c>
      <c s="3">
        <v>8360</v>
      </c>
      <c>
        <v>0</v>
      </c>
      <c s="3">
        <v>0</v>
      </c>
      <c s="3">
        <v>583.91</v>
      </c>
      <c s="3">
        <v>21448</v>
      </c>
      <c r="O737" s="1" t="str">
        <f ca="1">HYPERLINK("https://web.datatree.com/?/property?propertyId=32208728", "https://web.datatree.com/?/property?propertyId=32208728")</f>
        <v>https://web.datatree.com/?/property?propertyId=32208728</v>
      </c>
      <c r="Q737" t="s">
        <v>316</v>
      </c>
      <c>
        <v>0.258</v>
      </c>
      <c t="s">
        <v>22490</v>
      </c>
      <c t="s">
        <v>1376</v>
      </c>
      <c t="s">
        <v>21142</v>
      </c>
      <c r="X737" t="s">
        <v>35448</v>
      </c>
      <c t="s">
        <v>17022</v>
      </c>
      <c t="s">
        <v>2517</v>
      </c>
      <c t="s">
        <v>39289</v>
      </c>
      <c>
        <v>33909</v>
      </c>
      <c t="s">
        <v>58228</v>
      </c>
      <c t="s">
        <v>48794</v>
      </c>
      <c t="s">
        <v>61634</v>
      </c>
      <c>
        <v>3155</v>
      </c>
      <c r="AI737" t="s">
        <v>39716</v>
      </c>
      <c t="s">
        <v>55842</v>
      </c>
      <c r="AL737" t="s">
        <v>65036</v>
      </c>
      <c r="AN737" t="s">
        <v>65467</v>
      </c>
      <c t="s">
        <v>49055</v>
      </c>
      <c t="s">
        <v>22455</v>
      </c>
      <c t="s">
        <v>3093</v>
      </c>
      <c t="s">
        <v>53840</v>
      </c>
    </row>
    <row>
      <c t="s">
        <v>17594</v>
      </c>
      <c t="s">
        <v>27624</v>
      </c>
      <c t="s">
        <v>19345</v>
      </c>
      <c t="s">
        <v>56739</v>
      </c>
      <c t="s">
        <v>53155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738" s="1" t="str">
        <f ca="1">HYPERLINK("https://web.datatree.com/?/property?propertyId=32210390", "https://web.datatree.com/?/property?propertyId=32210390")</f>
        <v>https://web.datatree.com/?/property?propertyId=32210390</v>
      </c>
      <c r="Q738" t="s">
        <v>316</v>
      </c>
      <c>
        <v>0.249</v>
      </c>
      <c t="s">
        <v>5471</v>
      </c>
      <c t="s">
        <v>29205</v>
      </c>
      <c t="s">
        <v>660</v>
      </c>
      <c t="s">
        <v>24385</v>
      </c>
      <c t="s">
        <v>41145</v>
      </c>
      <c t="s">
        <v>56375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38418</v>
      </c>
      <c>
        <v>4702</v>
      </c>
      <c r="AI738" t="s">
        <v>4944</v>
      </c>
      <c t="s">
        <v>45393</v>
      </c>
      <c r="AL738" t="s">
        <v>20423</v>
      </c>
      <c r="AN738" t="s">
        <v>50917</v>
      </c>
      <c t="s">
        <v>65061</v>
      </c>
      <c t="s">
        <v>26242</v>
      </c>
      <c t="s">
        <v>3093</v>
      </c>
      <c t="s">
        <v>28940</v>
      </c>
    </row>
    <row>
      <c t="s">
        <v>17594</v>
      </c>
      <c t="s">
        <v>11120</v>
      </c>
      <c t="s">
        <v>51559</v>
      </c>
      <c t="s">
        <v>54793</v>
      </c>
      <c t="s">
        <v>36814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739" s="1" t="str">
        <f ca="1">HYPERLINK("https://web.datatree.com/?/property?propertyId=32210759", "https://web.datatree.com/?/property?propertyId=32210759")</f>
        <v>https://web.datatree.com/?/property?propertyId=32210759</v>
      </c>
      <c r="Q739" t="s">
        <v>316</v>
      </c>
      <c>
        <v>0.23</v>
      </c>
      <c t="s">
        <v>6175</v>
      </c>
      <c r="U739" t="s">
        <v>6889</v>
      </c>
      <c r="W739" t="s">
        <v>54263</v>
      </c>
      <c t="s">
        <v>21898</v>
      </c>
      <c t="s">
        <v>13065</v>
      </c>
      <c t="s">
        <v>2517</v>
      </c>
      <c t="s">
        <v>39289</v>
      </c>
      <c>
        <v>33909</v>
      </c>
      <c t="s">
        <v>61336</v>
      </c>
      <c t="s">
        <v>48794</v>
      </c>
      <c t="s">
        <v>59859</v>
      </c>
      <c>
        <v>2816</v>
      </c>
      <c r="AI739" t="s">
        <v>25815</v>
      </c>
      <c r="AL739" t="s">
        <v>64610</v>
      </c>
      <c r="AN739" t="s">
        <v>39289</v>
      </c>
      <c t="s">
        <v>62781</v>
      </c>
      <c t="s">
        <v>56453</v>
      </c>
      <c t="s">
        <v>3093</v>
      </c>
      <c t="s">
        <v>26224</v>
      </c>
    </row>
    <row>
      <c t="s">
        <v>17594</v>
      </c>
      <c t="s">
        <v>7826</v>
      </c>
      <c t="s">
        <v>28392</v>
      </c>
      <c t="s">
        <v>29167</v>
      </c>
      <c t="s">
        <v>58229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740" s="1" t="str">
        <f ca="1">HYPERLINK("https://web.datatree.com/?/property?propertyId=32211011", "https://web.datatree.com/?/property?propertyId=32211011")</f>
        <v>https://web.datatree.com/?/property?propertyId=32211011</v>
      </c>
      <c r="Q740" t="s">
        <v>316</v>
      </c>
      <c>
        <v>0.23</v>
      </c>
      <c t="s">
        <v>22490</v>
      </c>
      <c t="s">
        <v>38591</v>
      </c>
      <c t="s">
        <v>15551</v>
      </c>
      <c t="s">
        <v>48196</v>
      </c>
      <c t="s">
        <v>41628</v>
      </c>
      <c t="s">
        <v>8019</v>
      </c>
      <c t="s">
        <v>39082</v>
      </c>
      <c t="s">
        <v>2517</v>
      </c>
      <c t="s">
        <v>39289</v>
      </c>
      <c>
        <v>33909</v>
      </c>
      <c t="s">
        <v>4680</v>
      </c>
      <c t="s">
        <v>48794</v>
      </c>
      <c t="s">
        <v>19960</v>
      </c>
      <c>
        <v>4209</v>
      </c>
      <c r="AI740" t="s">
        <v>23186</v>
      </c>
      <c t="s">
        <v>31192</v>
      </c>
      <c r="AL740" t="s">
        <v>8443</v>
      </c>
      <c r="AN740" t="s">
        <v>10804</v>
      </c>
      <c t="s">
        <v>5980</v>
      </c>
      <c t="s">
        <v>12113</v>
      </c>
      <c t="s">
        <v>3093</v>
      </c>
      <c t="s">
        <v>21914</v>
      </c>
    </row>
    <row>
      <c t="s">
        <v>17594</v>
      </c>
      <c t="s">
        <v>34042</v>
      </c>
      <c t="s">
        <v>59518</v>
      </c>
      <c t="s">
        <v>16284</v>
      </c>
      <c t="s">
        <v>8080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741" s="1" t="str">
        <f ca="1">HYPERLINK("https://web.datatree.com/?/property?propertyId=32211116", "https://web.datatree.com/?/property?propertyId=32211116")</f>
        <v>https://web.datatree.com/?/property?propertyId=32211116</v>
      </c>
      <c r="Q741" t="s">
        <v>316</v>
      </c>
      <c>
        <v>0.23</v>
      </c>
      <c t="s">
        <v>16350</v>
      </c>
      <c t="s">
        <v>24409</v>
      </c>
      <c t="s">
        <v>34587</v>
      </c>
      <c r="X741" t="s">
        <v>46505</v>
      </c>
      <c t="s">
        <v>38550</v>
      </c>
      <c t="s">
        <v>2517</v>
      </c>
      <c t="s">
        <v>39289</v>
      </c>
      <c>
        <v>33909</v>
      </c>
      <c t="s">
        <v>26916</v>
      </c>
      <c t="s">
        <v>48794</v>
      </c>
      <c t="s">
        <v>23081</v>
      </c>
      <c>
        <v>6547</v>
      </c>
      <c r="AI741" t="s">
        <v>20676</v>
      </c>
      <c t="s">
        <v>45620</v>
      </c>
      <c r="AL741" t="s">
        <v>1661</v>
      </c>
      <c r="AN741" t="s">
        <v>51137</v>
      </c>
      <c t="s">
        <v>15479</v>
      </c>
      <c t="s">
        <v>53660</v>
      </c>
      <c t="s">
        <v>3093</v>
      </c>
      <c t="s">
        <v>33050</v>
      </c>
    </row>
    <row>
      <c t="s">
        <v>17594</v>
      </c>
      <c t="s">
        <v>29506</v>
      </c>
      <c t="s">
        <v>60681</v>
      </c>
      <c t="s">
        <v>55467</v>
      </c>
      <c t="s">
        <v>30907</v>
      </c>
      <c s="3">
        <v>8500</v>
      </c>
      <c s="3">
        <v>8500</v>
      </c>
      <c s="3">
        <v>8500</v>
      </c>
      <c>
        <v>0</v>
      </c>
      <c s="3">
        <v>0</v>
      </c>
      <c s="3">
        <v>675.55</v>
      </c>
      <c s="3">
        <v>8500</v>
      </c>
      <c>
        <v>2021</v>
      </c>
      <c>
        <v>541.3</v>
      </c>
      <c s="1" t="str">
        <f ca="1">HYPERLINK("https://web.datatree.com/?/property?propertyId=32211223", "https://web.datatree.com/?/property?propertyId=32211223")</f>
        <v>https://web.datatree.com/?/property?propertyId=32211223</v>
      </c>
      <c r="Q742" t="s">
        <v>316</v>
      </c>
      <c>
        <v>0.234</v>
      </c>
      <c t="s">
        <v>6175</v>
      </c>
      <c t="s">
        <v>52908</v>
      </c>
      <c t="s">
        <v>28390</v>
      </c>
      <c r="X742" t="s">
        <v>24681</v>
      </c>
      <c t="s">
        <v>53663</v>
      </c>
      <c t="s">
        <v>2517</v>
      </c>
      <c t="s">
        <v>39289</v>
      </c>
      <c>
        <v>33909</v>
      </c>
      <c t="s">
        <v>23236</v>
      </c>
      <c t="s">
        <v>48794</v>
      </c>
      <c t="s">
        <v>44658</v>
      </c>
      <c>
        <v>517</v>
      </c>
      <c r="AI742" t="s">
        <v>32166</v>
      </c>
      <c t="s">
        <v>45393</v>
      </c>
      <c r="AL742" t="s">
        <v>18719</v>
      </c>
      <c t="s">
        <v>18719</v>
      </c>
      <c t="s">
        <v>64156</v>
      </c>
      <c t="s">
        <v>61987</v>
      </c>
      <c t="s">
        <v>11950</v>
      </c>
      <c t="s">
        <v>3093</v>
      </c>
      <c t="s">
        <v>65708</v>
      </c>
    </row>
    <row>
      <c t="s">
        <v>17594</v>
      </c>
      <c t="s">
        <v>46015</v>
      </c>
      <c t="s">
        <v>36959</v>
      </c>
      <c t="s">
        <v>63885</v>
      </c>
      <c t="s">
        <v>28028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743" s="1" t="str">
        <f ca="1">HYPERLINK("https://web.datatree.com/?/property?propertyId=32211430", "https://web.datatree.com/?/property?propertyId=32211430")</f>
        <v>https://web.datatree.com/?/property?propertyId=32211430</v>
      </c>
      <c r="Q743" t="s">
        <v>316</v>
      </c>
      <c>
        <v>0.23</v>
      </c>
      <c t="s">
        <v>6175</v>
      </c>
      <c t="s">
        <v>7674</v>
      </c>
      <c t="s">
        <v>40219</v>
      </c>
      <c t="s">
        <v>51968</v>
      </c>
      <c t="s">
        <v>40219</v>
      </c>
      <c t="s">
        <v>25725</v>
      </c>
      <c t="s">
        <v>8669</v>
      </c>
      <c t="s">
        <v>2517</v>
      </c>
      <c t="s">
        <v>39289</v>
      </c>
      <c>
        <v>33909</v>
      </c>
      <c t="s">
        <v>22637</v>
      </c>
      <c t="s">
        <v>48794</v>
      </c>
      <c t="s">
        <v>55114</v>
      </c>
      <c>
        <v>2365</v>
      </c>
      <c r="AI743" t="s">
        <v>29194</v>
      </c>
      <c t="s">
        <v>31192</v>
      </c>
      <c r="AL743" t="s">
        <v>19781</v>
      </c>
      <c r="AN743" t="s">
        <v>19878</v>
      </c>
      <c t="s">
        <v>12592</v>
      </c>
      <c t="s">
        <v>14695</v>
      </c>
      <c t="s">
        <v>3093</v>
      </c>
      <c t="s">
        <v>66425</v>
      </c>
    </row>
    <row>
      <c t="s">
        <v>17594</v>
      </c>
      <c t="s">
        <v>2247</v>
      </c>
      <c t="s">
        <v>30693</v>
      </c>
      <c t="s">
        <v>60883</v>
      </c>
      <c t="s">
        <v>64793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744" s="1" t="str">
        <f ca="1">HYPERLINK("https://web.datatree.com/?/property?propertyId=32211597", "https://web.datatree.com/?/property?propertyId=32211597")</f>
        <v>https://web.datatree.com/?/property?propertyId=32211597</v>
      </c>
      <c r="Q744" t="s">
        <v>316</v>
      </c>
      <c>
        <v>0.23</v>
      </c>
      <c t="s">
        <v>6175</v>
      </c>
      <c t="s">
        <v>43468</v>
      </c>
      <c t="s">
        <v>17314</v>
      </c>
      <c r="X744" t="s">
        <v>28135</v>
      </c>
      <c t="s">
        <v>371</v>
      </c>
      <c t="s">
        <v>2517</v>
      </c>
      <c t="s">
        <v>39289</v>
      </c>
      <c>
        <v>33909</v>
      </c>
      <c t="s">
        <v>40816</v>
      </c>
      <c t="s">
        <v>48794</v>
      </c>
      <c t="s">
        <v>5272</v>
      </c>
      <c>
        <v>591</v>
      </c>
      <c r="AI744" t="s">
        <v>3567</v>
      </c>
      <c t="s">
        <v>39321</v>
      </c>
      <c r="AL744" t="s">
        <v>6365</v>
      </c>
      <c r="AN744" t="s">
        <v>39289</v>
      </c>
      <c t="s">
        <v>56647</v>
      </c>
      <c t="s">
        <v>19978</v>
      </c>
      <c t="s">
        <v>3093</v>
      </c>
      <c t="s">
        <v>43179</v>
      </c>
    </row>
    <row>
      <c t="s">
        <v>17594</v>
      </c>
      <c t="s">
        <v>22930</v>
      </c>
      <c t="s">
        <v>36908</v>
      </c>
      <c t="s">
        <v>49665</v>
      </c>
      <c t="s">
        <v>1101</v>
      </c>
      <c s="3">
        <v>31830</v>
      </c>
      <c s="3">
        <v>31830</v>
      </c>
      <c s="3">
        <v>23108</v>
      </c>
      <c>
        <v>0</v>
      </c>
      <c s="3">
        <v>0</v>
      </c>
      <c s="3">
        <v>826.51</v>
      </c>
      <c s="3">
        <v>31830</v>
      </c>
      <c r="O745" s="1" t="str">
        <f ca="1">HYPERLINK("https://web.datatree.com/?/property?propertyId=32212453", "https://web.datatree.com/?/property?propertyId=32212453")</f>
        <v>https://web.datatree.com/?/property?propertyId=32212453</v>
      </c>
      <c r="Q745" t="s">
        <v>316</v>
      </c>
      <c>
        <v>0.23</v>
      </c>
      <c t="s">
        <v>6175</v>
      </c>
      <c t="s">
        <v>58276</v>
      </c>
      <c t="s">
        <v>55494</v>
      </c>
      <c r="X745" t="s">
        <v>57234</v>
      </c>
      <c t="s">
        <v>41506</v>
      </c>
      <c t="s">
        <v>2517</v>
      </c>
      <c t="s">
        <v>39289</v>
      </c>
      <c>
        <v>33904</v>
      </c>
      <c t="s">
        <v>55967</v>
      </c>
      <c t="s">
        <v>48794</v>
      </c>
      <c t="s">
        <v>62241</v>
      </c>
      <c r="AI745" t="s">
        <v>18566</v>
      </c>
      <c r="AK745" t="s">
        <v>17594</v>
      </c>
      <c t="s">
        <v>63097</v>
      </c>
      <c r="AN745" t="s">
        <v>19878</v>
      </c>
      <c>
        <v>61250</v>
      </c>
      <c r="AR745" t="s">
        <v>15410</v>
      </c>
    </row>
    <row>
      <c t="s">
        <v>17594</v>
      </c>
      <c t="s">
        <v>10769</v>
      </c>
      <c t="s">
        <v>10463</v>
      </c>
      <c t="s">
        <v>56837</v>
      </c>
      <c t="s">
        <v>46322</v>
      </c>
      <c s="3">
        <v>7700</v>
      </c>
      <c s="3">
        <v>7700</v>
      </c>
      <c s="3">
        <v>7700</v>
      </c>
      <c>
        <v>0</v>
      </c>
      <c s="3">
        <v>0</v>
      </c>
      <c s="3">
        <v>640.64</v>
      </c>
      <c s="3">
        <v>7700</v>
      </c>
      <c r="O746" s="1" t="str">
        <f ca="1">HYPERLINK("https://web.datatree.com/?/property?propertyId=32212969", "https://web.datatree.com/?/property?propertyId=32212969")</f>
        <v>https://web.datatree.com/?/property?propertyId=32212969</v>
      </c>
      <c r="Q746" t="s">
        <v>316</v>
      </c>
      <c>
        <v>0.241</v>
      </c>
      <c t="s">
        <v>6175</v>
      </c>
      <c r="U746" t="s">
        <v>4724</v>
      </c>
      <c t="s">
        <v>32044</v>
      </c>
      <c t="s">
        <v>66528</v>
      </c>
      <c t="s">
        <v>15540</v>
      </c>
      <c t="s">
        <v>29190</v>
      </c>
      <c t="s">
        <v>2517</v>
      </c>
      <c t="s">
        <v>39289</v>
      </c>
      <c>
        <v>33909</v>
      </c>
      <c t="s">
        <v>9557</v>
      </c>
      <c t="s">
        <v>48794</v>
      </c>
      <c t="s">
        <v>26182</v>
      </c>
      <c>
        <v>3380</v>
      </c>
      <c r="AI746" t="s">
        <v>61865</v>
      </c>
      <c t="s">
        <v>45393</v>
      </c>
      <c r="AL746" t="s">
        <v>55393</v>
      </c>
      <c t="s">
        <v>55393</v>
      </c>
      <c t="s">
        <v>39289</v>
      </c>
      <c t="s">
        <v>24355</v>
      </c>
      <c t="s">
        <v>64128</v>
      </c>
      <c t="s">
        <v>3093</v>
      </c>
      <c t="s">
        <v>38831</v>
      </c>
    </row>
    <row>
      <c t="s">
        <v>17594</v>
      </c>
      <c t="s">
        <v>64771</v>
      </c>
      <c t="s">
        <v>8744</v>
      </c>
      <c t="s">
        <v>29048</v>
      </c>
      <c t="s">
        <v>42998</v>
      </c>
      <c s="3">
        <v>38645</v>
      </c>
      <c s="3">
        <v>38645</v>
      </c>
      <c s="3">
        <v>15044</v>
      </c>
      <c>
        <v>0</v>
      </c>
      <c s="3">
        <v>0</v>
      </c>
      <c s="3">
        <v>794.88</v>
      </c>
      <c s="3">
        <v>38645</v>
      </c>
      <c r="O747" s="1" t="str">
        <f ca="1">HYPERLINK("https://web.datatree.com/?/property?propertyId=32213195", "https://web.datatree.com/?/property?propertyId=32213195")</f>
        <v>https://web.datatree.com/?/property?propertyId=32213195</v>
      </c>
      <c r="Q747" t="s">
        <v>316</v>
      </c>
      <c>
        <v>0.23</v>
      </c>
      <c t="s">
        <v>6175</v>
      </c>
      <c t="s">
        <v>54943</v>
      </c>
      <c t="s">
        <v>46531</v>
      </c>
      <c r="X747" t="s">
        <v>59563</v>
      </c>
      <c t="s">
        <v>34731</v>
      </c>
      <c t="s">
        <v>2517</v>
      </c>
      <c t="s">
        <v>39289</v>
      </c>
      <c>
        <v>33909</v>
      </c>
      <c t="s">
        <v>59125</v>
      </c>
      <c t="s">
        <v>48794</v>
      </c>
      <c t="s">
        <v>20618</v>
      </c>
      <c t="str">
        <f>"92-1160"</f>
        <v>92-1160</v>
      </c>
      <c r="AI747" t="s">
        <v>56819</v>
      </c>
      <c t="s">
        <v>45393</v>
      </c>
      <c r="AL747" t="s">
        <v>46636</v>
      </c>
      <c t="s">
        <v>41548</v>
      </c>
      <c t="s">
        <v>43132</v>
      </c>
      <c t="s">
        <v>56106</v>
      </c>
      <c t="s">
        <v>19978</v>
      </c>
      <c t="s">
        <v>3093</v>
      </c>
      <c t="s">
        <v>58032</v>
      </c>
    </row>
    <row>
      <c t="s">
        <v>17594</v>
      </c>
      <c t="s">
        <v>5113</v>
      </c>
      <c t="s">
        <v>44629</v>
      </c>
      <c t="s">
        <v>42750</v>
      </c>
      <c t="s">
        <v>54867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>
        <v>2021</v>
      </c>
      <c>
        <v>588.6</v>
      </c>
      <c s="1" t="str">
        <f ca="1">HYPERLINK("https://web.datatree.com/?/property?propertyId=32213413", "https://web.datatree.com/?/property?propertyId=32213413")</f>
        <v>https://web.datatree.com/?/property?propertyId=32213413</v>
      </c>
      <c r="Q748" t="s">
        <v>316</v>
      </c>
      <c>
        <v>0.244</v>
      </c>
      <c t="s">
        <v>6175</v>
      </c>
      <c t="s">
        <v>18547</v>
      </c>
      <c t="s">
        <v>38712</v>
      </c>
      <c t="s">
        <v>58384</v>
      </c>
      <c t="s">
        <v>38712</v>
      </c>
      <c t="s">
        <v>60156</v>
      </c>
      <c t="s">
        <v>23517</v>
      </c>
      <c t="s">
        <v>2517</v>
      </c>
      <c t="s">
        <v>39289</v>
      </c>
      <c>
        <v>33909</v>
      </c>
      <c t="s">
        <v>15670</v>
      </c>
      <c t="s">
        <v>48794</v>
      </c>
      <c t="s">
        <v>57312</v>
      </c>
      <c>
        <v>342</v>
      </c>
      <c r="AI748" t="s">
        <v>20016</v>
      </c>
      <c t="s">
        <v>29535</v>
      </c>
      <c r="AL748" t="s">
        <v>55011</v>
      </c>
      <c r="AN748" t="s">
        <v>58811</v>
      </c>
      <c t="s">
        <v>46244</v>
      </c>
      <c r="AQ748" t="s">
        <v>27814</v>
      </c>
      <c t="s">
        <v>15629</v>
      </c>
    </row>
    <row>
      <c t="s">
        <v>17594</v>
      </c>
      <c t="s">
        <v>46878</v>
      </c>
      <c t="s">
        <v>18636</v>
      </c>
      <c t="s">
        <v>16565</v>
      </c>
      <c t="s">
        <v>45849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605.74</v>
      </c>
      <c s="1" t="str">
        <f ca="1">HYPERLINK("https://web.datatree.com/?/property?propertyId=32213982", "https://web.datatree.com/?/property?propertyId=32213982")</f>
        <v>https://web.datatree.com/?/property?propertyId=32213982</v>
      </c>
      <c r="Q749" t="s">
        <v>316</v>
      </c>
      <c>
        <v>0.23</v>
      </c>
      <c t="s">
        <v>16350</v>
      </c>
      <c t="s">
        <v>44745</v>
      </c>
      <c t="s">
        <v>60173</v>
      </c>
      <c t="s">
        <v>65497</v>
      </c>
      <c t="s">
        <v>60173</v>
      </c>
      <c t="s">
        <v>31181</v>
      </c>
      <c t="s">
        <v>38550</v>
      </c>
      <c t="s">
        <v>2517</v>
      </c>
      <c t="s">
        <v>39289</v>
      </c>
      <c>
        <v>33909</v>
      </c>
      <c t="s">
        <v>49185</v>
      </c>
      <c t="s">
        <v>48794</v>
      </c>
      <c t="s">
        <v>6702</v>
      </c>
      <c>
        <v>3</v>
      </c>
      <c r="AI749" t="s">
        <v>43991</v>
      </c>
      <c t="s">
        <v>29535</v>
      </c>
      <c r="AL749" t="s">
        <v>7042</v>
      </c>
      <c r="AN749" t="s">
        <v>32840</v>
      </c>
      <c r="AR749" t="s">
        <v>6756</v>
      </c>
    </row>
    <row>
      <c t="s">
        <v>17594</v>
      </c>
      <c t="s">
        <v>34987</v>
      </c>
      <c t="s">
        <v>15842</v>
      </c>
      <c t="s">
        <v>39991</v>
      </c>
      <c t="s">
        <v>31217</v>
      </c>
      <c s="3">
        <v>8212</v>
      </c>
      <c s="3">
        <v>8212</v>
      </c>
      <c s="3">
        <v>8212</v>
      </c>
      <c>
        <v>0</v>
      </c>
      <c s="3">
        <v>0</v>
      </c>
      <c s="3">
        <v>131.16</v>
      </c>
      <c s="3">
        <v>8212</v>
      </c>
      <c r="O750" s="1" t="str">
        <f ca="1">HYPERLINK("https://web.datatree.com/?/property?propertyId=32216083", "https://web.datatree.com/?/property?propertyId=32216083")</f>
        <v>https://web.datatree.com/?/property?propertyId=32216083</v>
      </c>
      <c r="Q750" t="s">
        <v>316</v>
      </c>
      <c>
        <v>0.117</v>
      </c>
      <c t="s">
        <v>5471</v>
      </c>
      <c t="s">
        <v>47754</v>
      </c>
      <c t="s">
        <v>41422</v>
      </c>
      <c t="s">
        <v>49812</v>
      </c>
      <c t="s">
        <v>41422</v>
      </c>
      <c t="s">
        <v>15630</v>
      </c>
      <c t="s">
        <v>13255</v>
      </c>
      <c t="s">
        <v>54524</v>
      </c>
      <c t="s">
        <v>39289</v>
      </c>
      <c>
        <v>33903</v>
      </c>
      <c t="s">
        <v>29588</v>
      </c>
      <c t="s">
        <v>48794</v>
      </c>
      <c t="s">
        <v>33021</v>
      </c>
      <c>
        <v>6590</v>
      </c>
      <c r="AI750" t="s">
        <v>2626</v>
      </c>
      <c t="s">
        <v>45393</v>
      </c>
      <c r="AL750" t="s">
        <v>54231</v>
      </c>
      <c t="s">
        <v>54231</v>
      </c>
      <c t="s">
        <v>39289</v>
      </c>
      <c t="s">
        <v>52068</v>
      </c>
      <c t="s">
        <v>32746</v>
      </c>
      <c t="s">
        <v>3093</v>
      </c>
      <c t="s">
        <v>6369</v>
      </c>
    </row>
    <row>
      <c t="s">
        <v>17594</v>
      </c>
      <c t="s">
        <v>4783</v>
      </c>
      <c t="s">
        <v>34414</v>
      </c>
      <c t="s">
        <v>10085</v>
      </c>
      <c t="s">
        <v>19631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751" s="1" t="str">
        <f ca="1">HYPERLINK("https://web.datatree.com/?/property?propertyId=32216622", "https://web.datatree.com/?/property?propertyId=32216622")</f>
        <v>https://web.datatree.com/?/property?propertyId=32216622</v>
      </c>
      <c r="Q751" t="s">
        <v>316</v>
      </c>
      <c>
        <v>0.282</v>
      </c>
      <c t="s">
        <v>5471</v>
      </c>
      <c t="s">
        <v>35852</v>
      </c>
      <c t="s">
        <v>65490</v>
      </c>
      <c r="X751" t="s">
        <v>47560</v>
      </c>
      <c t="s">
        <v>51290</v>
      </c>
      <c t="s">
        <v>65059</v>
      </c>
      <c t="s">
        <v>39289</v>
      </c>
      <c>
        <v>33905</v>
      </c>
      <c t="s">
        <v>26106</v>
      </c>
      <c t="s">
        <v>48794</v>
      </c>
      <c t="s">
        <v>43762</v>
      </c>
      <c>
        <v>2605</v>
      </c>
      <c r="AI751" t="s">
        <v>39217</v>
      </c>
      <c t="s">
        <v>33360</v>
      </c>
      <c>
        <v>1311</v>
      </c>
      <c t="s">
        <v>29560</v>
      </c>
      <c t="s">
        <v>29560</v>
      </c>
      <c t="s">
        <v>39289</v>
      </c>
      <c>
        <v>32163</v>
      </c>
      <c t="s">
        <v>5170</v>
      </c>
      <c t="s">
        <v>3093</v>
      </c>
      <c t="s">
        <v>65340</v>
      </c>
    </row>
    <row>
      <c t="s">
        <v>17594</v>
      </c>
      <c t="s">
        <v>29293</v>
      </c>
      <c t="s">
        <v>3654</v>
      </c>
      <c t="s">
        <v>50909</v>
      </c>
      <c t="s">
        <v>59317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752" s="1" t="str">
        <f ca="1">HYPERLINK("https://web.datatree.com/?/property?propertyId=32217937", "https://web.datatree.com/?/property?propertyId=32217937")</f>
        <v>https://web.datatree.com/?/property?propertyId=32217937</v>
      </c>
      <c r="Q752" t="s">
        <v>316</v>
      </c>
      <c>
        <v>0.23</v>
      </c>
      <c t="s">
        <v>6175</v>
      </c>
      <c t="s">
        <v>57107</v>
      </c>
      <c t="s">
        <v>66313</v>
      </c>
      <c t="s">
        <v>11810</v>
      </c>
      <c t="s">
        <v>21424</v>
      </c>
      <c t="s">
        <v>39848</v>
      </c>
      <c t="s">
        <v>5115</v>
      </c>
      <c t="s">
        <v>2517</v>
      </c>
      <c t="s">
        <v>39289</v>
      </c>
      <c>
        <v>33909</v>
      </c>
      <c>
        <v>33909</v>
      </c>
      <c t="s">
        <v>48794</v>
      </c>
      <c t="s">
        <v>27665</v>
      </c>
      <c>
        <v>7951</v>
      </c>
      <c r="AI752" t="s">
        <v>12876</v>
      </c>
      <c t="s">
        <v>39321</v>
      </c>
      <c r="AL752" t="s">
        <v>51148</v>
      </c>
      <c t="s">
        <v>51148</v>
      </c>
      <c t="s">
        <v>39289</v>
      </c>
      <c t="s">
        <v>28912</v>
      </c>
      <c t="s">
        <v>52393</v>
      </c>
      <c t="s">
        <v>3093</v>
      </c>
      <c t="s">
        <v>43098</v>
      </c>
    </row>
    <row>
      <c t="s">
        <v>17594</v>
      </c>
      <c t="s">
        <v>30703</v>
      </c>
      <c t="s">
        <v>5000</v>
      </c>
      <c t="s">
        <v>3757</v>
      </c>
      <c t="s">
        <v>38197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753" s="1" t="str">
        <f ca="1">HYPERLINK("https://web.datatree.com/?/property?propertyId=32218826", "https://web.datatree.com/?/property?propertyId=32218826")</f>
        <v>https://web.datatree.com/?/property?propertyId=32218826</v>
      </c>
      <c r="Q753" t="s">
        <v>316</v>
      </c>
      <c>
        <v>0.278</v>
      </c>
      <c t="s">
        <v>5471</v>
      </c>
      <c t="s">
        <v>12549</v>
      </c>
      <c t="s">
        <v>1300</v>
      </c>
      <c r="W753" t="s">
        <v>15254</v>
      </c>
      <c t="s">
        <v>34821</v>
      </c>
      <c t="s">
        <v>64631</v>
      </c>
      <c t="s">
        <v>65059</v>
      </c>
      <c t="s">
        <v>39289</v>
      </c>
      <c>
        <v>33905</v>
      </c>
      <c t="s">
        <v>53454</v>
      </c>
      <c t="s">
        <v>48794</v>
      </c>
      <c t="s">
        <v>20480</v>
      </c>
      <c>
        <v>3165</v>
      </c>
      <c r="AI753" t="s">
        <v>59314</v>
      </c>
      <c t="s">
        <v>45620</v>
      </c>
      <c r="AL753" t="s">
        <v>20137</v>
      </c>
      <c r="AN753" t="s">
        <v>65451</v>
      </c>
      <c t="s">
        <v>41440</v>
      </c>
      <c t="s">
        <v>14695</v>
      </c>
      <c t="s">
        <v>3093</v>
      </c>
      <c t="s">
        <v>37960</v>
      </c>
    </row>
    <row>
      <c t="s">
        <v>17594</v>
      </c>
      <c t="s">
        <v>22808</v>
      </c>
      <c t="s">
        <v>9427</v>
      </c>
      <c t="s">
        <v>18286</v>
      </c>
      <c t="s">
        <v>6329</v>
      </c>
      <c s="3">
        <v>13677</v>
      </c>
      <c s="3">
        <v>13677</v>
      </c>
      <c s="3">
        <v>9185</v>
      </c>
      <c>
        <v>0</v>
      </c>
      <c s="3">
        <v>0</v>
      </c>
      <c s="3">
        <v>162.48</v>
      </c>
      <c s="3">
        <v>13677</v>
      </c>
      <c r="O754" s="1" t="str">
        <f ca="1">HYPERLINK("https://web.datatree.com/?/property?propertyId=32218911", "https://web.datatree.com/?/property?propertyId=32218911")</f>
        <v>https://web.datatree.com/?/property?propertyId=32218911</v>
      </c>
      <c r="Q754" t="s">
        <v>316</v>
      </c>
      <c>
        <v>0.268</v>
      </c>
      <c t="s">
        <v>5471</v>
      </c>
      <c t="s">
        <v>552</v>
      </c>
      <c t="s">
        <v>1217</v>
      </c>
      <c r="X754" t="s">
        <v>60077</v>
      </c>
      <c t="s">
        <v>5630</v>
      </c>
      <c t="s">
        <v>65059</v>
      </c>
      <c t="s">
        <v>39289</v>
      </c>
      <c>
        <v>33905</v>
      </c>
      <c t="s">
        <v>63361</v>
      </c>
      <c t="s">
        <v>48794</v>
      </c>
      <c t="s">
        <v>30945</v>
      </c>
      <c>
        <v>2173</v>
      </c>
      <c r="AI754" t="s">
        <v>66701</v>
      </c>
      <c t="s">
        <v>45393</v>
      </c>
      <c r="AL754" t="s">
        <v>41541</v>
      </c>
      <c r="AN754" t="s">
        <v>65451</v>
      </c>
      <c t="s">
        <v>16330</v>
      </c>
      <c t="s">
        <v>17380</v>
      </c>
      <c t="s">
        <v>3093</v>
      </c>
      <c t="s">
        <v>50936</v>
      </c>
    </row>
    <row>
      <c t="s">
        <v>17594</v>
      </c>
      <c t="s">
        <v>37306</v>
      </c>
      <c t="s">
        <v>34378</v>
      </c>
      <c t="s">
        <v>65162</v>
      </c>
      <c t="s">
        <v>2433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755" s="1" t="str">
        <f ca="1">HYPERLINK("https://web.datatree.com/?/property?propertyId=32219211", "https://web.datatree.com/?/property?propertyId=32219211")</f>
        <v>https://web.datatree.com/?/property?propertyId=32219211</v>
      </c>
      <c r="Q755" t="s">
        <v>316</v>
      </c>
      <c>
        <v>0.23</v>
      </c>
      <c t="s">
        <v>6175</v>
      </c>
      <c t="s">
        <v>44610</v>
      </c>
      <c t="s">
        <v>37991</v>
      </c>
      <c r="X755" t="s">
        <v>6165</v>
      </c>
      <c t="s">
        <v>25017</v>
      </c>
      <c t="s">
        <v>2517</v>
      </c>
      <c t="s">
        <v>39289</v>
      </c>
      <c>
        <v>33909</v>
      </c>
      <c t="s">
        <v>64611</v>
      </c>
      <c t="s">
        <v>48794</v>
      </c>
      <c t="s">
        <v>29844</v>
      </c>
      <c>
        <v>6742</v>
      </c>
      <c r="AI755" t="s">
        <v>47150</v>
      </c>
      <c t="s">
        <v>45393</v>
      </c>
      <c r="AL755" t="s">
        <v>55393</v>
      </c>
      <c t="s">
        <v>13066</v>
      </c>
      <c t="s">
        <v>39289</v>
      </c>
      <c t="s">
        <v>15044</v>
      </c>
      <c t="s">
        <v>27553</v>
      </c>
      <c t="s">
        <v>3093</v>
      </c>
      <c t="s">
        <v>10886</v>
      </c>
    </row>
    <row>
      <c t="s">
        <v>17594</v>
      </c>
      <c t="s">
        <v>972</v>
      </c>
      <c t="s">
        <v>11970</v>
      </c>
      <c t="s">
        <v>20833</v>
      </c>
      <c t="s">
        <v>46807</v>
      </c>
      <c s="3">
        <v>83348</v>
      </c>
      <c s="3">
        <v>78840</v>
      </c>
      <c s="3">
        <v>83348</v>
      </c>
      <c>
        <v>0</v>
      </c>
      <c s="3">
        <v>0</v>
      </c>
      <c s="3">
        <v>1243.56</v>
      </c>
      <c s="3">
        <v>83348</v>
      </c>
      <c r="O756" s="1" t="str">
        <f ca="1">HYPERLINK("https://web.datatree.com/?/property?propertyId=32219772", "https://web.datatree.com/?/property?propertyId=32219772")</f>
        <v>https://web.datatree.com/?/property?propertyId=32219772</v>
      </c>
      <c r="Q756" t="s">
        <v>316</v>
      </c>
      <c>
        <v>0.486</v>
      </c>
      <c t="s">
        <v>30497</v>
      </c>
      <c t="s">
        <v>50343</v>
      </c>
      <c t="s">
        <v>28548</v>
      </c>
      <c r="X756" t="s">
        <v>55127</v>
      </c>
      <c t="s">
        <v>30240</v>
      </c>
      <c t="s">
        <v>65059</v>
      </c>
      <c t="s">
        <v>39289</v>
      </c>
      <c>
        <v>33905</v>
      </c>
      <c>
        <v>33905</v>
      </c>
      <c t="s">
        <v>48794</v>
      </c>
      <c t="s">
        <v>9324</v>
      </c>
      <c>
        <v>5032</v>
      </c>
      <c r="AI756" t="s">
        <v>39124</v>
      </c>
      <c t="s">
        <v>24900</v>
      </c>
      <c r="AL756" t="s">
        <v>34722</v>
      </c>
      <c t="s">
        <v>34722</v>
      </c>
      <c t="s">
        <v>39289</v>
      </c>
      <c t="s">
        <v>2584</v>
      </c>
      <c t="s">
        <v>18415</v>
      </c>
      <c t="s">
        <v>3093</v>
      </c>
      <c t="s">
        <v>7016</v>
      </c>
    </row>
    <row>
      <c t="s">
        <v>17594</v>
      </c>
      <c t="s">
        <v>36782</v>
      </c>
      <c t="s">
        <v>2187</v>
      </c>
      <c t="s">
        <v>42261</v>
      </c>
      <c t="s">
        <v>12584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757" s="1" t="str">
        <f ca="1">HYPERLINK("https://web.datatree.com/?/property?propertyId=32220222", "https://web.datatree.com/?/property?propertyId=32220222")</f>
        <v>https://web.datatree.com/?/property?propertyId=32220222</v>
      </c>
      <c r="Q757" t="s">
        <v>316</v>
      </c>
      <c>
        <v>0.23</v>
      </c>
      <c t="s">
        <v>22490</v>
      </c>
      <c t="s">
        <v>981</v>
      </c>
      <c t="s">
        <v>25881</v>
      </c>
      <c t="s">
        <v>8291</v>
      </c>
      <c t="s">
        <v>25881</v>
      </c>
      <c t="s">
        <v>33400</v>
      </c>
      <c t="s">
        <v>25017</v>
      </c>
      <c t="s">
        <v>2517</v>
      </c>
      <c t="s">
        <v>39289</v>
      </c>
      <c>
        <v>33909</v>
      </c>
      <c t="s">
        <v>58007</v>
      </c>
      <c t="s">
        <v>48794</v>
      </c>
      <c t="s">
        <v>39155</v>
      </c>
      <c>
        <v>104</v>
      </c>
      <c r="AI757" t="s">
        <v>43353</v>
      </c>
      <c r="AL757" t="s">
        <v>25916</v>
      </c>
      <c r="AN757" t="s">
        <v>32840</v>
      </c>
      <c r="AR757" t="s">
        <v>57201</v>
      </c>
    </row>
    <row>
      <c t="s">
        <v>17594</v>
      </c>
      <c t="s">
        <v>13574</v>
      </c>
      <c t="s">
        <v>26253</v>
      </c>
      <c t="s">
        <v>8473</v>
      </c>
      <c t="s">
        <v>56486</v>
      </c>
      <c s="3">
        <v>26249</v>
      </c>
      <c s="3">
        <v>26249</v>
      </c>
      <c s="3">
        <v>9599</v>
      </c>
      <c>
        <v>0</v>
      </c>
      <c s="3">
        <v>0</v>
      </c>
      <c s="3">
        <v>1021.49</v>
      </c>
      <c s="3">
        <v>26249</v>
      </c>
      <c r="O758" s="1" t="str">
        <f ca="1">HYPERLINK("https://web.datatree.com/?/property?propertyId=32220973", "https://web.datatree.com/?/property?propertyId=32220973")</f>
        <v>https://web.datatree.com/?/property?propertyId=32220973</v>
      </c>
      <c r="Q758" t="s">
        <v>316</v>
      </c>
      <c>
        <v>0.344</v>
      </c>
      <c t="s">
        <v>65422</v>
      </c>
      <c t="s">
        <v>8762</v>
      </c>
      <c t="s">
        <v>51439</v>
      </c>
      <c r="X758" t="s">
        <v>54994</v>
      </c>
      <c t="s">
        <v>17022</v>
      </c>
      <c t="s">
        <v>2517</v>
      </c>
      <c t="s">
        <v>39289</v>
      </c>
      <c>
        <v>33909</v>
      </c>
      <c t="s">
        <v>22380</v>
      </c>
      <c t="s">
        <v>48794</v>
      </c>
      <c t="s">
        <v>61950</v>
      </c>
      <c>
        <v>53</v>
      </c>
      <c r="AI758" t="s">
        <v>18318</v>
      </c>
      <c t="s">
        <v>45393</v>
      </c>
      <c>
        <v>610</v>
      </c>
      <c t="s">
        <v>5040</v>
      </c>
      <c t="s">
        <v>5040</v>
      </c>
      <c t="s">
        <v>14509</v>
      </c>
      <c t="s">
        <v>66184</v>
      </c>
      <c t="s">
        <v>18692</v>
      </c>
      <c t="s">
        <v>3093</v>
      </c>
      <c t="s">
        <v>9568</v>
      </c>
    </row>
    <row>
      <c t="s">
        <v>17594</v>
      </c>
      <c t="s">
        <v>3608</v>
      </c>
      <c t="s">
        <v>45314</v>
      </c>
      <c t="s">
        <v>65245</v>
      </c>
      <c t="s">
        <v>15859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>
        <v>2021</v>
      </c>
      <c>
        <v>527.13</v>
      </c>
      <c s="1" t="str">
        <f ca="1">HYPERLINK("https://web.datatree.com/?/property?propertyId=32220976", "https://web.datatree.com/?/property?propertyId=32220976")</f>
        <v>https://web.datatree.com/?/property?propertyId=32220976</v>
      </c>
      <c r="Q759" t="s">
        <v>316</v>
      </c>
      <c>
        <v>0.23</v>
      </c>
      <c t="s">
        <v>6175</v>
      </c>
      <c t="s">
        <v>21670</v>
      </c>
      <c t="s">
        <v>30261</v>
      </c>
      <c r="X759" t="s">
        <v>55978</v>
      </c>
      <c t="s">
        <v>50440</v>
      </c>
      <c t="s">
        <v>2517</v>
      </c>
      <c t="s">
        <v>39289</v>
      </c>
      <c>
        <v>33909</v>
      </c>
      <c t="s">
        <v>18259</v>
      </c>
      <c t="s">
        <v>48794</v>
      </c>
      <c t="s">
        <v>7719</v>
      </c>
      <c>
        <v>3038</v>
      </c>
      <c r="AI759" t="s">
        <v>13012</v>
      </c>
      <c t="s">
        <v>24900</v>
      </c>
      <c r="AL759" t="s">
        <v>6144</v>
      </c>
      <c r="AN759" t="s">
        <v>50917</v>
      </c>
      <c t="s">
        <v>23372</v>
      </c>
      <c t="s">
        <v>44843</v>
      </c>
      <c t="s">
        <v>3093</v>
      </c>
      <c t="s">
        <v>5148</v>
      </c>
    </row>
    <row>
      <c t="s">
        <v>17594</v>
      </c>
      <c t="s">
        <v>46415</v>
      </c>
      <c t="s">
        <v>13582</v>
      </c>
      <c t="s">
        <v>60934</v>
      </c>
      <c t="s">
        <v>55151</v>
      </c>
      <c s="3">
        <v>10600</v>
      </c>
      <c s="3">
        <v>10600</v>
      </c>
      <c s="3">
        <v>9680</v>
      </c>
      <c>
        <v>0</v>
      </c>
      <c s="3">
        <v>0</v>
      </c>
      <c s="3">
        <v>2883.7</v>
      </c>
      <c s="3">
        <v>10600</v>
      </c>
      <c r="O760" s="1" t="str">
        <f ca="1">HYPERLINK("https://web.datatree.com/?/property?propertyId=32221128", "https://web.datatree.com/?/property?propertyId=32221128")</f>
        <v>https://web.datatree.com/?/property?propertyId=32221128</v>
      </c>
      <c r="Q760" t="s">
        <v>316</v>
      </c>
      <c>
        <v>0.23</v>
      </c>
      <c t="s">
        <v>6175</v>
      </c>
      <c r="U760" t="s">
        <v>855</v>
      </c>
      <c t="s">
        <v>1611</v>
      </c>
      <c t="s">
        <v>11424</v>
      </c>
      <c t="s">
        <v>22973</v>
      </c>
      <c t="s">
        <v>53675</v>
      </c>
      <c t="s">
        <v>2517</v>
      </c>
      <c t="s">
        <v>39289</v>
      </c>
      <c>
        <v>33909</v>
      </c>
      <c t="s">
        <v>59937</v>
      </c>
      <c t="s">
        <v>48794</v>
      </c>
      <c t="s">
        <v>26791</v>
      </c>
      <c>
        <v>5770</v>
      </c>
      <c r="AI760" t="s">
        <v>45283</v>
      </c>
      <c t="s">
        <v>31192</v>
      </c>
      <c r="AL760" t="s">
        <v>27095</v>
      </c>
      <c t="s">
        <v>20588</v>
      </c>
      <c t="s">
        <v>66651</v>
      </c>
      <c t="s">
        <v>18342</v>
      </c>
      <c t="s">
        <v>32752</v>
      </c>
      <c t="s">
        <v>3093</v>
      </c>
      <c t="s">
        <v>55041</v>
      </c>
    </row>
    <row>
      <c t="s">
        <v>17594</v>
      </c>
      <c t="s">
        <v>65016</v>
      </c>
      <c t="s">
        <v>27175</v>
      </c>
      <c t="s">
        <v>41635</v>
      </c>
      <c t="s">
        <v>26923</v>
      </c>
      <c s="3">
        <v>19990</v>
      </c>
      <c s="3">
        <v>19990</v>
      </c>
      <c s="3">
        <v>10450</v>
      </c>
      <c>
        <v>0</v>
      </c>
      <c s="3">
        <v>0</v>
      </c>
      <c s="3">
        <v>597.57</v>
      </c>
      <c s="3">
        <v>19990</v>
      </c>
      <c r="O761" s="1" t="str">
        <f ca="1">HYPERLINK("https://web.datatree.com/?/property?propertyId=32221534", "https://web.datatree.com/?/property?propertyId=32221534")</f>
        <v>https://web.datatree.com/?/property?propertyId=32221534</v>
      </c>
      <c r="Q761" t="s">
        <v>316</v>
      </c>
      <c>
        <v>0.23</v>
      </c>
      <c t="s">
        <v>22490</v>
      </c>
      <c t="s">
        <v>51896</v>
      </c>
      <c t="s">
        <v>62157</v>
      </c>
      <c t="s">
        <v>50459</v>
      </c>
      <c t="s">
        <v>45794</v>
      </c>
      <c t="s">
        <v>45071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23738</v>
      </c>
      <c>
        <v>48</v>
      </c>
      <c r="AI761" t="s">
        <v>40934</v>
      </c>
      <c t="s">
        <v>31192</v>
      </c>
      <c r="AL761" t="s">
        <v>3369</v>
      </c>
      <c t="s">
        <v>3369</v>
      </c>
      <c t="s">
        <v>21017</v>
      </c>
      <c t="s">
        <v>17285</v>
      </c>
      <c t="s">
        <v>29069</v>
      </c>
      <c t="s">
        <v>3093</v>
      </c>
      <c t="s">
        <v>31868</v>
      </c>
    </row>
    <row>
      <c t="s">
        <v>17594</v>
      </c>
      <c t="s">
        <v>55307</v>
      </c>
      <c t="s">
        <v>50930</v>
      </c>
      <c t="s">
        <v>12964</v>
      </c>
      <c t="s">
        <v>18327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>
        <v>2021</v>
      </c>
      <c>
        <v>310.25</v>
      </c>
      <c s="1" t="str">
        <f ca="1">HYPERLINK("https://web.datatree.com/?/property?propertyId=32221551", "https://web.datatree.com/?/property?propertyId=32221551")</f>
        <v>https://web.datatree.com/?/property?propertyId=32221551</v>
      </c>
      <c r="Q762" t="s">
        <v>316</v>
      </c>
      <c>
        <v>0.231</v>
      </c>
      <c t="s">
        <v>5471</v>
      </c>
      <c t="s">
        <v>53619</v>
      </c>
      <c t="s">
        <v>30129</v>
      </c>
      <c t="s">
        <v>2266</v>
      </c>
      <c t="s">
        <v>49405</v>
      </c>
      <c t="s">
        <v>25089</v>
      </c>
      <c t="s">
        <v>58657</v>
      </c>
      <c t="s">
        <v>65059</v>
      </c>
      <c t="s">
        <v>39289</v>
      </c>
      <c>
        <v>33905</v>
      </c>
      <c t="s">
        <v>32655</v>
      </c>
      <c t="s">
        <v>48794</v>
      </c>
      <c t="s">
        <v>44806</v>
      </c>
      <c>
        <v>203</v>
      </c>
      <c r="AI762" t="s">
        <v>64684</v>
      </c>
      <c t="s">
        <v>31192</v>
      </c>
      <c r="AL762" t="s">
        <v>60176</v>
      </c>
      <c r="AN762" t="s">
        <v>65451</v>
      </c>
      <c t="s">
        <v>661</v>
      </c>
      <c t="s">
        <v>636</v>
      </c>
      <c t="s">
        <v>3093</v>
      </c>
      <c t="s">
        <v>14359</v>
      </c>
    </row>
    <row>
      <c t="s">
        <v>17594</v>
      </c>
      <c t="s">
        <v>45949</v>
      </c>
      <c t="s">
        <v>41724</v>
      </c>
      <c t="s">
        <v>7920</v>
      </c>
      <c t="s">
        <v>31328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763" s="1" t="str">
        <f ca="1">HYPERLINK("https://web.datatree.com/?/property?propertyId=32221564", "https://web.datatree.com/?/property?propertyId=32221564")</f>
        <v>https://web.datatree.com/?/property?propertyId=32221564</v>
      </c>
      <c r="Q763" t="s">
        <v>316</v>
      </c>
      <c>
        <v>0.23</v>
      </c>
      <c t="s">
        <v>6175</v>
      </c>
      <c t="s">
        <v>31209</v>
      </c>
      <c t="s">
        <v>13445</v>
      </c>
      <c r="X763" t="s">
        <v>21980</v>
      </c>
      <c t="s">
        <v>18679</v>
      </c>
      <c t="s">
        <v>2517</v>
      </c>
      <c t="s">
        <v>39289</v>
      </c>
      <c>
        <v>33909</v>
      </c>
      <c t="s">
        <v>45521</v>
      </c>
      <c t="s">
        <v>48794</v>
      </c>
      <c t="s">
        <v>7432</v>
      </c>
      <c>
        <v>820</v>
      </c>
      <c r="AI763" t="s">
        <v>24964</v>
      </c>
      <c t="s">
        <v>24900</v>
      </c>
      <c r="AL763" t="s">
        <v>35285</v>
      </c>
      <c t="s">
        <v>35285</v>
      </c>
      <c t="s">
        <v>14509</v>
      </c>
      <c t="s">
        <v>4938</v>
      </c>
      <c t="s">
        <v>4797</v>
      </c>
      <c t="s">
        <v>3093</v>
      </c>
      <c t="s">
        <v>43551</v>
      </c>
    </row>
    <row>
      <c t="s">
        <v>17594</v>
      </c>
      <c t="s">
        <v>64266</v>
      </c>
      <c t="s">
        <v>51906</v>
      </c>
      <c t="s">
        <v>49333</v>
      </c>
      <c t="s">
        <v>26600</v>
      </c>
      <c s="3">
        <v>96066</v>
      </c>
      <c s="3">
        <v>86250</v>
      </c>
      <c s="3">
        <v>96066</v>
      </c>
      <c>
        <v>0</v>
      </c>
      <c s="3">
        <v>0</v>
      </c>
      <c s="3">
        <v>1443.19</v>
      </c>
      <c s="3">
        <v>96066</v>
      </c>
      <c r="O764" s="1" t="str">
        <f ca="1">HYPERLINK("https://web.datatree.com/?/property?propertyId=32221882", "https://web.datatree.com/?/property?propertyId=32221882")</f>
        <v>https://web.datatree.com/?/property?propertyId=32221882</v>
      </c>
      <c r="Q764" t="s">
        <v>316</v>
      </c>
      <c>
        <v>0.111</v>
      </c>
      <c t="s">
        <v>26492</v>
      </c>
      <c t="s">
        <v>19357</v>
      </c>
      <c t="s">
        <v>48923</v>
      </c>
      <c t="s">
        <v>16893</v>
      </c>
      <c t="s">
        <v>48923</v>
      </c>
      <c t="s">
        <v>52673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57987</v>
      </c>
      <c>
        <v>417</v>
      </c>
      <c r="AI764" t="s">
        <v>48326</v>
      </c>
      <c r="AL764" t="s">
        <v>36595</v>
      </c>
      <c t="s">
        <v>36595</v>
      </c>
      <c t="s">
        <v>26016</v>
      </c>
      <c t="s">
        <v>58647</v>
      </c>
      <c t="s">
        <v>33029</v>
      </c>
      <c t="s">
        <v>3093</v>
      </c>
      <c t="s">
        <v>11308</v>
      </c>
    </row>
    <row>
      <c t="s">
        <v>17594</v>
      </c>
      <c t="s">
        <v>10629</v>
      </c>
      <c t="s">
        <v>11315</v>
      </c>
      <c t="s">
        <v>29954</v>
      </c>
      <c t="s">
        <v>53095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765" s="1" t="str">
        <f ca="1">HYPERLINK("https://web.datatree.com/?/property?propertyId=32222106", "https://web.datatree.com/?/property?propertyId=32222106")</f>
        <v>https://web.datatree.com/?/property?propertyId=32222106</v>
      </c>
      <c r="Q765" t="s">
        <v>316</v>
      </c>
      <c>
        <v>0.23</v>
      </c>
      <c t="s">
        <v>22490</v>
      </c>
      <c r="U765" t="s">
        <v>12187</v>
      </c>
      <c t="s">
        <v>2873</v>
      </c>
      <c t="s">
        <v>28072</v>
      </c>
      <c t="s">
        <v>60501</v>
      </c>
      <c t="s">
        <v>24999</v>
      </c>
      <c t="s">
        <v>2517</v>
      </c>
      <c t="s">
        <v>39289</v>
      </c>
      <c>
        <v>33909</v>
      </c>
      <c t="s">
        <v>20628</v>
      </c>
      <c t="s">
        <v>48794</v>
      </c>
      <c t="s">
        <v>64761</v>
      </c>
      <c>
        <v>21039</v>
      </c>
      <c r="AI765" t="s">
        <v>50338</v>
      </c>
      <c t="s">
        <v>31192</v>
      </c>
      <c r="AL765" t="s">
        <v>37196</v>
      </c>
      <c r="AN765" t="s">
        <v>51087</v>
      </c>
      <c t="s">
        <v>5369</v>
      </c>
      <c t="s">
        <v>24842</v>
      </c>
      <c t="s">
        <v>3093</v>
      </c>
      <c t="s">
        <v>57870</v>
      </c>
    </row>
    <row>
      <c t="s">
        <v>17594</v>
      </c>
      <c t="s">
        <v>61802</v>
      </c>
      <c t="s">
        <v>48807</v>
      </c>
      <c t="s">
        <v>38097</v>
      </c>
      <c t="s">
        <v>47268</v>
      </c>
      <c s="3">
        <v>406172</v>
      </c>
      <c s="3">
        <v>406172</v>
      </c>
      <c s="3">
        <v>406172</v>
      </c>
      <c>
        <v>0</v>
      </c>
      <c s="3">
        <v>0</v>
      </c>
      <c s="3">
        <v>6829.87</v>
      </c>
      <c s="3">
        <v>406172</v>
      </c>
      <c r="O766" s="1" t="str">
        <f ca="1">HYPERLINK("https://web.datatree.com/?/property?propertyId=32222293", "https://web.datatree.com/?/property?propertyId=32222293")</f>
        <v>https://web.datatree.com/?/property?propertyId=32222293</v>
      </c>
      <c r="Q766" t="s">
        <v>316</v>
      </c>
      <c>
        <v>0.23</v>
      </c>
      <c t="s">
        <v>22490</v>
      </c>
      <c t="s">
        <v>44541</v>
      </c>
      <c t="s">
        <v>47235</v>
      </c>
      <c r="X766" t="s">
        <v>55428</v>
      </c>
      <c t="s">
        <v>24999</v>
      </c>
      <c t="s">
        <v>2517</v>
      </c>
      <c t="s">
        <v>39289</v>
      </c>
      <c>
        <v>33904</v>
      </c>
      <c t="s">
        <v>45818</v>
      </c>
      <c t="s">
        <v>48794</v>
      </c>
      <c t="s">
        <v>7698</v>
      </c>
      <c>
        <v>19</v>
      </c>
      <c r="AI766" t="s">
        <v>66100</v>
      </c>
      <c t="s">
        <v>45620</v>
      </c>
      <c r="AL766" t="s">
        <v>48736</v>
      </c>
      <c r="AN766" t="s">
        <v>26016</v>
      </c>
      <c t="s">
        <v>6801</v>
      </c>
      <c t="s">
        <v>702</v>
      </c>
      <c t="s">
        <v>3093</v>
      </c>
      <c t="s">
        <v>53254</v>
      </c>
    </row>
    <row>
      <c t="s">
        <v>17594</v>
      </c>
      <c t="s">
        <v>47386</v>
      </c>
      <c t="s">
        <v>13564</v>
      </c>
      <c t="s">
        <v>40494</v>
      </c>
      <c t="s">
        <v>65360</v>
      </c>
      <c s="3">
        <v>12544</v>
      </c>
      <c s="3">
        <v>12544</v>
      </c>
      <c s="3">
        <v>6113</v>
      </c>
      <c>
        <v>0</v>
      </c>
      <c s="3">
        <v>0</v>
      </c>
      <c s="3">
        <v>325.28</v>
      </c>
      <c s="3">
        <v>12544</v>
      </c>
      <c r="O767" s="1" t="str">
        <f ca="1">HYPERLINK("https://web.datatree.com/?/property?propertyId=32222729", "https://web.datatree.com/?/property?propertyId=32222729")</f>
        <v>https://web.datatree.com/?/property?propertyId=32222729</v>
      </c>
      <c r="Q767" t="s">
        <v>316</v>
      </c>
      <c>
        <v>0.25</v>
      </c>
      <c t="s">
        <v>5471</v>
      </c>
      <c t="s">
        <v>1818</v>
      </c>
      <c t="s">
        <v>54542</v>
      </c>
      <c r="X767" t="s">
        <v>20310</v>
      </c>
      <c t="s">
        <v>26561</v>
      </c>
      <c t="s">
        <v>65059</v>
      </c>
      <c t="s">
        <v>39289</v>
      </c>
      <c>
        <v>33905</v>
      </c>
      <c t="s">
        <v>19615</v>
      </c>
      <c t="s">
        <v>48794</v>
      </c>
      <c t="s">
        <v>59423</v>
      </c>
      <c>
        <v>18602</v>
      </c>
      <c r="AI767" t="s">
        <v>371</v>
      </c>
      <c t="s">
        <v>45393</v>
      </c>
      <c r="AL767" t="s">
        <v>21676</v>
      </c>
      <c t="s">
        <v>21676</v>
      </c>
      <c t="s">
        <v>39289</v>
      </c>
      <c t="s">
        <v>22091</v>
      </c>
      <c t="s">
        <v>6928</v>
      </c>
      <c t="s">
        <v>3093</v>
      </c>
      <c t="s">
        <v>40037</v>
      </c>
    </row>
    <row>
      <c t="s">
        <v>17594</v>
      </c>
      <c t="s">
        <v>63656</v>
      </c>
      <c t="s">
        <v>6275</v>
      </c>
      <c t="s">
        <v>48437</v>
      </c>
      <c t="s">
        <v>17649</v>
      </c>
      <c s="3">
        <v>9100</v>
      </c>
      <c s="3">
        <v>9100</v>
      </c>
      <c s="3">
        <v>9100</v>
      </c>
      <c>
        <v>0</v>
      </c>
      <c s="3">
        <v>0</v>
      </c>
      <c s="3">
        <v>593.63</v>
      </c>
      <c s="3">
        <v>9100</v>
      </c>
      <c r="O768" s="1" t="str">
        <f ca="1">HYPERLINK("https://web.datatree.com/?/property?propertyId=32223510", "https://web.datatree.com/?/property?propertyId=32223510")</f>
        <v>https://web.datatree.com/?/property?propertyId=32223510</v>
      </c>
      <c r="Q768" t="s">
        <v>316</v>
      </c>
      <c>
        <v>0.23</v>
      </c>
      <c t="s">
        <v>65422</v>
      </c>
      <c t="s">
        <v>14827</v>
      </c>
      <c t="s">
        <v>14163</v>
      </c>
      <c r="X768" t="s">
        <v>48900</v>
      </c>
      <c t="s">
        <v>30928</v>
      </c>
      <c t="s">
        <v>2517</v>
      </c>
      <c t="s">
        <v>39289</v>
      </c>
      <c>
        <v>33909</v>
      </c>
      <c t="s">
        <v>45135</v>
      </c>
      <c t="s">
        <v>48794</v>
      </c>
      <c t="s">
        <v>24340</v>
      </c>
      <c>
        <v>623</v>
      </c>
      <c r="AI768" t="s">
        <v>59930</v>
      </c>
      <c t="s">
        <v>45620</v>
      </c>
      <c r="AL768" t="s">
        <v>39902</v>
      </c>
      <c r="AN768" t="s">
        <v>39289</v>
      </c>
      <c t="s">
        <v>43664</v>
      </c>
      <c t="s">
        <v>27410</v>
      </c>
      <c t="s">
        <v>3093</v>
      </c>
      <c t="s">
        <v>2999</v>
      </c>
    </row>
    <row>
      <c t="s">
        <v>17594</v>
      </c>
      <c t="s">
        <v>32422</v>
      </c>
      <c t="s">
        <v>49569</v>
      </c>
      <c t="s">
        <v>61192</v>
      </c>
      <c t="s">
        <v>34668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 r="O769" s="1" t="str">
        <f ca="1">HYPERLINK("https://web.datatree.com/?/property?propertyId=32223667", "https://web.datatree.com/?/property?propertyId=32223667")</f>
        <v>https://web.datatree.com/?/property?propertyId=32223667</v>
      </c>
      <c r="Q769" t="s">
        <v>316</v>
      </c>
      <c>
        <v>0.302</v>
      </c>
      <c t="s">
        <v>5471</v>
      </c>
      <c t="s">
        <v>3293</v>
      </c>
      <c t="s">
        <v>4899</v>
      </c>
      <c t="s">
        <v>23659</v>
      </c>
      <c t="s">
        <v>4899</v>
      </c>
      <c t="s">
        <v>59114</v>
      </c>
      <c t="s">
        <v>61415</v>
      </c>
      <c t="s">
        <v>65059</v>
      </c>
      <c t="s">
        <v>39289</v>
      </c>
      <c>
        <v>33905</v>
      </c>
      <c t="s">
        <v>64683</v>
      </c>
      <c t="s">
        <v>48794</v>
      </c>
      <c t="s">
        <v>39778</v>
      </c>
      <c>
        <v>597</v>
      </c>
      <c r="AI769" t="s">
        <v>43162</v>
      </c>
      <c t="s">
        <v>41372</v>
      </c>
      <c r="AL769" t="s">
        <v>6350</v>
      </c>
      <c r="AN769" t="s">
        <v>39289</v>
      </c>
      <c t="s">
        <v>19140</v>
      </c>
      <c t="s">
        <v>12241</v>
      </c>
      <c t="s">
        <v>3093</v>
      </c>
      <c t="s">
        <v>59450</v>
      </c>
    </row>
    <row>
      <c t="s">
        <v>17594</v>
      </c>
      <c t="s">
        <v>6402</v>
      </c>
      <c t="s">
        <v>3284</v>
      </c>
      <c t="s">
        <v>64836</v>
      </c>
      <c t="s">
        <v>55051</v>
      </c>
      <c s="3">
        <v>33600</v>
      </c>
      <c s="3">
        <v>33600</v>
      </c>
      <c s="3">
        <v>13310</v>
      </c>
      <c>
        <v>0</v>
      </c>
      <c s="3">
        <v>0</v>
      </c>
      <c s="3">
        <v>3262.61</v>
      </c>
      <c s="3">
        <v>33600</v>
      </c>
      <c r="O770" s="1" t="str">
        <f ca="1">HYPERLINK("https://web.datatree.com/?/property?propertyId=32224145", "https://web.datatree.com/?/property?propertyId=32224145")</f>
        <v>https://web.datatree.com/?/property?propertyId=32224145</v>
      </c>
      <c r="Q770" t="s">
        <v>316</v>
      </c>
      <c>
        <v>0.307</v>
      </c>
      <c t="s">
        <v>45031</v>
      </c>
      <c t="s">
        <v>49241</v>
      </c>
      <c t="s">
        <v>61640</v>
      </c>
      <c t="s">
        <v>45640</v>
      </c>
      <c t="s">
        <v>20078</v>
      </c>
      <c t="s">
        <v>45415</v>
      </c>
      <c t="s">
        <v>55273</v>
      </c>
      <c t="s">
        <v>2517</v>
      </c>
      <c t="s">
        <v>39289</v>
      </c>
      <c>
        <v>33909</v>
      </c>
      <c t="s">
        <v>66892</v>
      </c>
      <c t="s">
        <v>48794</v>
      </c>
      <c t="s">
        <v>38078</v>
      </c>
      <c>
        <v>602</v>
      </c>
      <c r="AI770" t="s">
        <v>40423</v>
      </c>
      <c t="s">
        <v>31192</v>
      </c>
      <c r="AL770" t="s">
        <v>11428</v>
      </c>
      <c t="s">
        <v>11428</v>
      </c>
      <c t="s">
        <v>36601</v>
      </c>
      <c t="s">
        <v>53250</v>
      </c>
      <c t="s">
        <v>22455</v>
      </c>
      <c t="s">
        <v>3093</v>
      </c>
      <c t="s">
        <v>11248</v>
      </c>
    </row>
    <row>
      <c t="s">
        <v>17594</v>
      </c>
      <c t="s">
        <v>57348</v>
      </c>
      <c t="s">
        <v>7440</v>
      </c>
      <c t="s">
        <v>804</v>
      </c>
      <c t="s">
        <v>3684</v>
      </c>
      <c s="3">
        <v>91996</v>
      </c>
      <c s="3">
        <v>91996</v>
      </c>
      <c s="3">
        <v>91996</v>
      </c>
      <c>
        <v>0</v>
      </c>
      <c s="3">
        <v>0</v>
      </c>
      <c s="3">
        <v>999.79</v>
      </c>
      <c s="3">
        <v>91996</v>
      </c>
      <c r="O771" s="1" t="str">
        <f ca="1">HYPERLINK("https://web.datatree.com/?/property?propertyId=32224535", "https://web.datatree.com/?/property?propertyId=32224535")</f>
        <v>https://web.datatree.com/?/property?propertyId=32224535</v>
      </c>
      <c r="Q771" t="s">
        <v>316</v>
      </c>
      <c>
        <v>0.234</v>
      </c>
      <c t="s">
        <v>58519</v>
      </c>
      <c r="U771" t="s">
        <v>17909</v>
      </c>
      <c r="W771" t="s">
        <v>16281</v>
      </c>
      <c t="s">
        <v>62447</v>
      </c>
      <c t="s">
        <v>66379</v>
      </c>
      <c t="s">
        <v>65059</v>
      </c>
      <c t="s">
        <v>39289</v>
      </c>
      <c>
        <v>33901</v>
      </c>
      <c t="s">
        <v>52074</v>
      </c>
      <c t="s">
        <v>48794</v>
      </c>
      <c t="s">
        <v>2368</v>
      </c>
      <c>
        <v>5125</v>
      </c>
      <c r="AI771" t="s">
        <v>45182</v>
      </c>
      <c t="s">
        <v>31192</v>
      </c>
      <c r="AL771" t="s">
        <v>48150</v>
      </c>
      <c t="s">
        <v>66886</v>
      </c>
      <c t="s">
        <v>39289</v>
      </c>
      <c t="s">
        <v>10294</v>
      </c>
      <c t="s">
        <v>38085</v>
      </c>
      <c t="s">
        <v>3093</v>
      </c>
      <c t="s">
        <v>40260</v>
      </c>
    </row>
    <row>
      <c t="s">
        <v>17594</v>
      </c>
      <c t="s">
        <v>5130</v>
      </c>
      <c t="s">
        <v>45764</v>
      </c>
      <c t="s">
        <v>55357</v>
      </c>
      <c t="s">
        <v>8234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772" s="1" t="str">
        <f ca="1">HYPERLINK("https://web.datatree.com/?/property?propertyId=32224854", "https://web.datatree.com/?/property?propertyId=32224854")</f>
        <v>https://web.datatree.com/?/property?propertyId=32224854</v>
      </c>
      <c r="Q772" t="s">
        <v>316</v>
      </c>
      <c>
        <v>0.23</v>
      </c>
      <c t="s">
        <v>22490</v>
      </c>
      <c t="s">
        <v>3330</v>
      </c>
      <c t="s">
        <v>47741</v>
      </c>
      <c r="X772" t="s">
        <v>2552</v>
      </c>
      <c t="s">
        <v>49674</v>
      </c>
      <c t="s">
        <v>2517</v>
      </c>
      <c t="s">
        <v>39289</v>
      </c>
      <c>
        <v>33909</v>
      </c>
      <c t="s">
        <v>39350</v>
      </c>
      <c t="s">
        <v>48794</v>
      </c>
      <c t="s">
        <v>58336</v>
      </c>
      <c>
        <v>27</v>
      </c>
      <c r="AI772" t="s">
        <v>19389</v>
      </c>
      <c t="s">
        <v>45393</v>
      </c>
      <c>
        <v>2</v>
      </c>
      <c t="s">
        <v>1368</v>
      </c>
      <c r="AN772" t="s">
        <v>5859</v>
      </c>
      <c t="s">
        <v>56422</v>
      </c>
      <c t="s">
        <v>25140</v>
      </c>
      <c t="s">
        <v>3093</v>
      </c>
      <c t="s">
        <v>43684</v>
      </c>
    </row>
    <row>
      <c t="s">
        <v>17594</v>
      </c>
      <c t="s">
        <v>15606</v>
      </c>
      <c t="s">
        <v>8535</v>
      </c>
      <c t="s">
        <v>63733</v>
      </c>
      <c t="s">
        <v>16842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773" s="1" t="str">
        <f ca="1">HYPERLINK("https://web.datatree.com/?/property?propertyId=32225108", "https://web.datatree.com/?/property?propertyId=32225108")</f>
        <v>https://web.datatree.com/?/property?propertyId=32225108</v>
      </c>
      <c r="Q773" t="s">
        <v>316</v>
      </c>
      <c>
        <v>0.105</v>
      </c>
      <c t="s">
        <v>26492</v>
      </c>
      <c t="s">
        <v>3293</v>
      </c>
      <c t="s">
        <v>47321</v>
      </c>
      <c r="X773" t="s">
        <v>22415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38026</v>
      </c>
      <c>
        <v>483</v>
      </c>
      <c r="AI773" t="s">
        <v>59867</v>
      </c>
      <c t="s">
        <v>45620</v>
      </c>
      <c r="AL773" t="s">
        <v>3486</v>
      </c>
      <c t="s">
        <v>40227</v>
      </c>
      <c t="s">
        <v>22275</v>
      </c>
      <c t="s">
        <v>60205</v>
      </c>
      <c t="s">
        <v>14695</v>
      </c>
      <c t="s">
        <v>3093</v>
      </c>
      <c t="s">
        <v>23708</v>
      </c>
    </row>
    <row>
      <c t="s">
        <v>17594</v>
      </c>
      <c t="s">
        <v>44954</v>
      </c>
      <c t="s">
        <v>57417</v>
      </c>
      <c t="s">
        <v>25638</v>
      </c>
      <c t="s">
        <v>29218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774" s="1" t="str">
        <f ca="1">HYPERLINK("https://web.datatree.com/?/property?propertyId=32225149", "https://web.datatree.com/?/property?propertyId=32225149")</f>
        <v>https://web.datatree.com/?/property?propertyId=32225149</v>
      </c>
      <c r="Q774" t="s">
        <v>316</v>
      </c>
      <c>
        <v>0.23</v>
      </c>
      <c t="s">
        <v>6175</v>
      </c>
      <c t="s">
        <v>552</v>
      </c>
      <c t="s">
        <v>55348</v>
      </c>
      <c t="s">
        <v>2565</v>
      </c>
      <c t="s">
        <v>55348</v>
      </c>
      <c t="s">
        <v>4889</v>
      </c>
      <c t="s">
        <v>41506</v>
      </c>
      <c t="s">
        <v>2517</v>
      </c>
      <c t="s">
        <v>39289</v>
      </c>
      <c>
        <v>33909</v>
      </c>
      <c t="s">
        <v>66034</v>
      </c>
      <c t="s">
        <v>48794</v>
      </c>
      <c t="s">
        <v>23996</v>
      </c>
      <c>
        <v>57</v>
      </c>
      <c r="AI774" t="s">
        <v>15856</v>
      </c>
      <c r="AL774" t="s">
        <v>45065</v>
      </c>
      <c r="AN774" t="s">
        <v>58733</v>
      </c>
      <c t="s">
        <v>64640</v>
      </c>
      <c t="s">
        <v>32752</v>
      </c>
      <c t="s">
        <v>3093</v>
      </c>
      <c t="s">
        <v>29532</v>
      </c>
    </row>
    <row>
      <c t="s">
        <v>17594</v>
      </c>
      <c t="s">
        <v>20779</v>
      </c>
      <c t="s">
        <v>48653</v>
      </c>
      <c t="s">
        <v>51068</v>
      </c>
      <c t="s">
        <v>22669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775" s="1" t="str">
        <f ca="1">HYPERLINK("https://web.datatree.com/?/property?propertyId=32225156", "https://web.datatree.com/?/property?propertyId=32225156")</f>
        <v>https://web.datatree.com/?/property?propertyId=32225156</v>
      </c>
      <c r="Q775" t="s">
        <v>316</v>
      </c>
      <c>
        <v>0.23</v>
      </c>
      <c t="s">
        <v>6175</v>
      </c>
      <c t="s">
        <v>14827</v>
      </c>
      <c t="s">
        <v>13861</v>
      </c>
      <c r="X775" t="s">
        <v>24933</v>
      </c>
      <c t="s">
        <v>39832</v>
      </c>
      <c t="s">
        <v>2517</v>
      </c>
      <c t="s">
        <v>39289</v>
      </c>
      <c>
        <v>33909</v>
      </c>
      <c t="s">
        <v>46338</v>
      </c>
      <c t="s">
        <v>48794</v>
      </c>
      <c t="s">
        <v>19399</v>
      </c>
      <c>
        <v>3873</v>
      </c>
      <c r="AH775" t="s">
        <v>15376</v>
      </c>
      <c t="s">
        <v>17022</v>
      </c>
      <c t="s">
        <v>45393</v>
      </c>
      <c r="AL775" t="s">
        <v>25221</v>
      </c>
      <c r="AN775" t="s">
        <v>18594</v>
      </c>
      <c t="s">
        <v>10711</v>
      </c>
      <c t="s">
        <v>52247</v>
      </c>
      <c t="s">
        <v>3093</v>
      </c>
      <c t="s">
        <v>26606</v>
      </c>
    </row>
    <row>
      <c t="s">
        <v>17594</v>
      </c>
      <c t="s">
        <v>5705</v>
      </c>
      <c t="s">
        <v>10297</v>
      </c>
      <c t="s">
        <v>46022</v>
      </c>
      <c t="s">
        <v>5610</v>
      </c>
      <c s="3">
        <v>26833</v>
      </c>
      <c s="3">
        <v>26833</v>
      </c>
      <c s="3">
        <v>17317</v>
      </c>
      <c>
        <v>0</v>
      </c>
      <c s="3">
        <v>0</v>
      </c>
      <c s="3">
        <v>294.82</v>
      </c>
      <c s="3">
        <v>26833</v>
      </c>
      <c r="O776" s="1" t="str">
        <f ca="1">HYPERLINK("https://web.datatree.com/?/property?propertyId=32225345", "https://web.datatree.com/?/property?propertyId=32225345")</f>
        <v>https://web.datatree.com/?/property?propertyId=32225345</v>
      </c>
      <c r="Q776" t="s">
        <v>316</v>
      </c>
      <c>
        <v>0.17</v>
      </c>
      <c t="s">
        <v>30497</v>
      </c>
      <c t="s">
        <v>56645</v>
      </c>
      <c t="s">
        <v>26970</v>
      </c>
      <c t="s">
        <v>30490</v>
      </c>
      <c t="s">
        <v>48202</v>
      </c>
      <c t="s">
        <v>57229</v>
      </c>
      <c t="s">
        <v>48518</v>
      </c>
      <c t="s">
        <v>65059</v>
      </c>
      <c t="s">
        <v>39289</v>
      </c>
      <c>
        <v>33908</v>
      </c>
      <c t="s">
        <v>50029</v>
      </c>
      <c t="s">
        <v>48794</v>
      </c>
      <c t="s">
        <v>33658</v>
      </c>
      <c>
        <v>4224</v>
      </c>
      <c r="AI776" t="s">
        <v>27533</v>
      </c>
      <c t="s">
        <v>40123</v>
      </c>
      <c r="AL776" t="s">
        <v>27266</v>
      </c>
      <c r="AN776" t="s">
        <v>65451</v>
      </c>
      <c t="s">
        <v>14281</v>
      </c>
      <c t="s">
        <v>4480</v>
      </c>
      <c t="s">
        <v>3093</v>
      </c>
      <c t="s">
        <v>41271</v>
      </c>
    </row>
    <row>
      <c t="s">
        <v>17594</v>
      </c>
      <c t="s">
        <v>41407</v>
      </c>
      <c t="s">
        <v>27277</v>
      </c>
      <c t="s">
        <v>56916</v>
      </c>
      <c t="s">
        <v>25840</v>
      </c>
      <c s="3">
        <v>7600</v>
      </c>
      <c s="3">
        <v>7600</v>
      </c>
      <c s="3">
        <v>7600</v>
      </c>
      <c>
        <v>0</v>
      </c>
      <c s="3">
        <v>0</v>
      </c>
      <c s="3">
        <v>573.63</v>
      </c>
      <c s="3">
        <v>7600</v>
      </c>
      <c r="O777" s="1" t="str">
        <f ca="1">HYPERLINK("https://web.datatree.com/?/property?propertyId=32225876", "https://web.datatree.com/?/property?propertyId=32225876")</f>
        <v>https://web.datatree.com/?/property?propertyId=32225876</v>
      </c>
      <c r="Q777" t="s">
        <v>316</v>
      </c>
      <c>
        <v>0.254</v>
      </c>
      <c t="s">
        <v>6175</v>
      </c>
      <c t="s">
        <v>25273</v>
      </c>
      <c t="s">
        <v>9292</v>
      </c>
      <c t="s">
        <v>25784</v>
      </c>
      <c t="s">
        <v>9292</v>
      </c>
      <c t="s">
        <v>46361</v>
      </c>
      <c t="s">
        <v>49122</v>
      </c>
      <c t="s">
        <v>2517</v>
      </c>
      <c t="s">
        <v>39289</v>
      </c>
      <c>
        <v>33909</v>
      </c>
      <c t="s">
        <v>11700</v>
      </c>
      <c t="s">
        <v>48794</v>
      </c>
      <c t="s">
        <v>4615</v>
      </c>
      <c>
        <v>2723</v>
      </c>
      <c r="AI777" t="s">
        <v>7893</v>
      </c>
      <c t="s">
        <v>1671</v>
      </c>
      <c r="AL777" t="s">
        <v>52434</v>
      </c>
      <c t="s">
        <v>52434</v>
      </c>
      <c t="s">
        <v>39289</v>
      </c>
      <c t="s">
        <v>66731</v>
      </c>
      <c t="s">
        <v>65563</v>
      </c>
      <c t="s">
        <v>3093</v>
      </c>
      <c t="s">
        <v>28213</v>
      </c>
    </row>
    <row>
      <c t="s">
        <v>17594</v>
      </c>
      <c t="s">
        <v>7326</v>
      </c>
      <c t="s">
        <v>32373</v>
      </c>
      <c t="s">
        <v>15089</v>
      </c>
      <c t="s">
        <v>16098</v>
      </c>
      <c s="3">
        <v>7200</v>
      </c>
      <c s="3">
        <v>7200</v>
      </c>
      <c s="3">
        <v>7200</v>
      </c>
      <c>
        <v>0</v>
      </c>
      <c s="3">
        <v>0</v>
      </c>
      <c s="3">
        <v>517.82</v>
      </c>
      <c s="3">
        <v>7200</v>
      </c>
      <c r="O778" s="1" t="str">
        <f ca="1">HYPERLINK("https://web.datatree.com/?/property?propertyId=32227443", "https://web.datatree.com/?/property?propertyId=32227443")</f>
        <v>https://web.datatree.com/?/property?propertyId=32227443</v>
      </c>
      <c r="Q778" t="s">
        <v>316</v>
      </c>
      <c>
        <v>0.272</v>
      </c>
      <c t="s">
        <v>6175</v>
      </c>
      <c t="s">
        <v>62125</v>
      </c>
      <c t="s">
        <v>10630</v>
      </c>
      <c r="X778" t="s">
        <v>25554</v>
      </c>
      <c t="s">
        <v>13829</v>
      </c>
      <c t="s">
        <v>2517</v>
      </c>
      <c t="s">
        <v>39289</v>
      </c>
      <c>
        <v>33909</v>
      </c>
      <c t="s">
        <v>898</v>
      </c>
      <c t="s">
        <v>48794</v>
      </c>
      <c t="s">
        <v>23145</v>
      </c>
      <c>
        <v>14620</v>
      </c>
      <c r="AI778" t="s">
        <v>36599</v>
      </c>
      <c t="s">
        <v>24900</v>
      </c>
      <c r="AL778" t="s">
        <v>53411</v>
      </c>
      <c t="s">
        <v>13397</v>
      </c>
      <c t="s">
        <v>50917</v>
      </c>
      <c t="s">
        <v>66930</v>
      </c>
      <c t="s">
        <v>23744</v>
      </c>
      <c t="s">
        <v>3093</v>
      </c>
      <c t="s">
        <v>38796</v>
      </c>
    </row>
    <row>
      <c t="s">
        <v>17594</v>
      </c>
      <c t="s">
        <v>52479</v>
      </c>
      <c t="s">
        <v>3240</v>
      </c>
      <c t="s">
        <v>5198</v>
      </c>
      <c t="s">
        <v>9104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779" s="1" t="str">
        <f ca="1">HYPERLINK("https://web.datatree.com/?/property?propertyId=32227715", "https://web.datatree.com/?/property?propertyId=32227715")</f>
        <v>https://web.datatree.com/?/property?propertyId=32227715</v>
      </c>
      <c r="Q779" t="s">
        <v>316</v>
      </c>
      <c>
        <v>0.23</v>
      </c>
      <c t="s">
        <v>58725</v>
      </c>
      <c t="s">
        <v>4530</v>
      </c>
      <c t="s">
        <v>35894</v>
      </c>
      <c t="s">
        <v>39820</v>
      </c>
      <c t="s">
        <v>9614</v>
      </c>
      <c t="s">
        <v>36850</v>
      </c>
      <c t="s">
        <v>57064</v>
      </c>
      <c t="s">
        <v>2517</v>
      </c>
      <c t="s">
        <v>39289</v>
      </c>
      <c>
        <v>33909</v>
      </c>
      <c t="s">
        <v>19189</v>
      </c>
      <c t="s">
        <v>48794</v>
      </c>
      <c t="s">
        <v>11717</v>
      </c>
      <c>
        <v>1478</v>
      </c>
      <c r="AI779" t="s">
        <v>17942</v>
      </c>
      <c t="s">
        <v>24900</v>
      </c>
      <c>
        <v>1</v>
      </c>
      <c t="s">
        <v>23972</v>
      </c>
      <c t="s">
        <v>23972</v>
      </c>
      <c t="s">
        <v>19878</v>
      </c>
      <c t="s">
        <v>6511</v>
      </c>
      <c t="s">
        <v>25140</v>
      </c>
      <c t="s">
        <v>3093</v>
      </c>
      <c t="s">
        <v>45243</v>
      </c>
    </row>
    <row>
      <c t="s">
        <v>17594</v>
      </c>
      <c t="s">
        <v>35777</v>
      </c>
      <c t="s">
        <v>14064</v>
      </c>
      <c t="s">
        <v>35165</v>
      </c>
      <c t="s">
        <v>55184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523.58</v>
      </c>
      <c s="1" t="str">
        <f ca="1">HYPERLINK("https://web.datatree.com/?/property?propertyId=32227972", "https://web.datatree.com/?/property?propertyId=32227972")</f>
        <v>https://web.datatree.com/?/property?propertyId=32227972</v>
      </c>
      <c r="Q780" t="s">
        <v>316</v>
      </c>
      <c>
        <v>0.23</v>
      </c>
      <c t="s">
        <v>6175</v>
      </c>
      <c t="s">
        <v>66761</v>
      </c>
      <c t="s">
        <v>53196</v>
      </c>
      <c r="W780" t="s">
        <v>21555</v>
      </c>
      <c t="s">
        <v>35057</v>
      </c>
      <c t="s">
        <v>34731</v>
      </c>
      <c t="s">
        <v>2517</v>
      </c>
      <c t="s">
        <v>39289</v>
      </c>
      <c>
        <v>33909</v>
      </c>
      <c t="s">
        <v>10444</v>
      </c>
      <c t="s">
        <v>48794</v>
      </c>
      <c t="s">
        <v>11009</v>
      </c>
      <c>
        <v>1105</v>
      </c>
      <c r="AH780" t="s">
        <v>26580</v>
      </c>
      <c t="s">
        <v>56489</v>
      </c>
      <c r="AK780" t="s">
        <v>25384</v>
      </c>
      <c t="s">
        <v>17648</v>
      </c>
      <c r="AN780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53150</v>
      </c>
      <c s="2" t="s">
        <v>2805</v>
      </c>
      <c t="s">
        <v>64612</v>
      </c>
      <c t="s">
        <v>3333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781" s="1" t="str">
        <f ca="1">HYPERLINK("https://web.datatree.com/?/property?propertyId=32228807", "https://web.datatree.com/?/property?propertyId=32228807")</f>
        <v>https://web.datatree.com/?/property?propertyId=32228807</v>
      </c>
      <c r="Q781" t="s">
        <v>316</v>
      </c>
      <c>
        <v>0.23</v>
      </c>
      <c t="s">
        <v>6175</v>
      </c>
      <c t="s">
        <v>37194</v>
      </c>
      <c t="s">
        <v>13824</v>
      </c>
      <c t="s">
        <v>52701</v>
      </c>
      <c t="s">
        <v>13824</v>
      </c>
      <c t="s">
        <v>41114</v>
      </c>
      <c t="s">
        <v>53663</v>
      </c>
      <c t="s">
        <v>2517</v>
      </c>
      <c t="s">
        <v>39289</v>
      </c>
      <c>
        <v>33909</v>
      </c>
      <c t="s">
        <v>55153</v>
      </c>
      <c t="s">
        <v>48794</v>
      </c>
      <c t="s">
        <v>2443</v>
      </c>
      <c>
        <v>4821</v>
      </c>
      <c r="AI781" t="s">
        <v>35542</v>
      </c>
      <c t="s">
        <v>31192</v>
      </c>
      <c r="AL781" t="s">
        <v>12714</v>
      </c>
      <c r="AN781" t="s">
        <v>21017</v>
      </c>
      <c t="s">
        <v>39978</v>
      </c>
      <c t="s">
        <v>45980</v>
      </c>
      <c t="s">
        <v>3093</v>
      </c>
      <c s="2" t="s">
        <v>42930</v>
      </c>
    </row>
    <row>
      <c t="s">
        <v>42103</v>
      </c>
      <c t="s">
        <v>47255</v>
      </c>
      <c t="s">
        <v>54620</v>
      </c>
      <c t="s">
        <v>54966</v>
      </c>
      <c t="s">
        <v>2765</v>
      </c>
      <c s="3">
        <v>24937</v>
      </c>
      <c s="3">
        <v>24937</v>
      </c>
      <c s="3">
        <v>9079</v>
      </c>
      <c>
        <v>0</v>
      </c>
      <c s="3">
        <v>0</v>
      </c>
      <c s="3">
        <v>649.82</v>
      </c>
      <c s="3">
        <v>24937</v>
      </c>
      <c r="O782" s="1" t="str">
        <f ca="1">HYPERLINK("https://web.datatree.com/?/property?propertyId=32229310", "https://web.datatree.com/?/property?propertyId=32229310")</f>
        <v>https://web.datatree.com/?/property?propertyId=32229310</v>
      </c>
      <c r="Q782" t="s">
        <v>316</v>
      </c>
      <c>
        <v>0.241</v>
      </c>
      <c t="s">
        <v>6175</v>
      </c>
      <c t="s">
        <v>18439</v>
      </c>
      <c t="s">
        <v>42666</v>
      </c>
      <c r="X782" t="s">
        <v>62196</v>
      </c>
      <c t="s">
        <v>66701</v>
      </c>
      <c t="s">
        <v>2517</v>
      </c>
      <c t="s">
        <v>39289</v>
      </c>
      <c>
        <v>33909</v>
      </c>
      <c t="s">
        <v>59783</v>
      </c>
      <c t="s">
        <v>48794</v>
      </c>
      <c t="s">
        <v>42854</v>
      </c>
      <c r="AI782" t="s">
        <v>67221</v>
      </c>
      <c r="AL782" t="s">
        <v>475</v>
      </c>
      <c r="AN782" t="s">
        <v>50917</v>
      </c>
      <c>
        <v>12577</v>
      </c>
      <c t="s">
        <v>61509</v>
      </c>
      <c t="s">
        <v>3093</v>
      </c>
      <c t="s">
        <v>59995</v>
      </c>
    </row>
    <row>
      <c t="s">
        <v>17594</v>
      </c>
      <c t="s">
        <v>52531</v>
      </c>
      <c t="s">
        <v>49035</v>
      </c>
      <c t="s">
        <v>46264</v>
      </c>
      <c t="s">
        <v>25569</v>
      </c>
      <c s="3">
        <v>110792</v>
      </c>
      <c s="3">
        <v>100000</v>
      </c>
      <c s="3">
        <v>110792</v>
      </c>
      <c>
        <v>0</v>
      </c>
      <c s="3">
        <v>0</v>
      </c>
      <c s="3">
        <v>1663.63</v>
      </c>
      <c s="3">
        <v>110792</v>
      </c>
      <c r="O783" s="1" t="str">
        <f ca="1">HYPERLINK("https://web.datatree.com/?/property?propertyId=32229407", "https://web.datatree.com/?/property?propertyId=32229407")</f>
        <v>https://web.datatree.com/?/property?propertyId=32229407</v>
      </c>
      <c r="Q783" t="s">
        <v>316</v>
      </c>
      <c>
        <v>0.116</v>
      </c>
      <c t="s">
        <v>26492</v>
      </c>
      <c r="U783" t="s">
        <v>12372</v>
      </c>
      <c r="W783" t="s">
        <v>15353</v>
      </c>
      <c t="s">
        <v>8512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37029</v>
      </c>
      <c t="s">
        <v>51462</v>
      </c>
      <c r="AI783" t="s">
        <v>51695</v>
      </c>
      <c t="s">
        <v>31192</v>
      </c>
      <c r="AL783" t="s">
        <v>26303</v>
      </c>
      <c t="s">
        <v>40227</v>
      </c>
      <c t="s">
        <v>27481</v>
      </c>
      <c t="s">
        <v>9465</v>
      </c>
      <c t="s">
        <v>37948</v>
      </c>
      <c t="s">
        <v>3093</v>
      </c>
      <c t="s">
        <v>22082</v>
      </c>
      <c>
        <v>2005</v>
      </c>
    </row>
    <row>
      <c t="s">
        <v>42103</v>
      </c>
      <c t="s">
        <v>10288</v>
      </c>
      <c t="s">
        <v>1930</v>
      </c>
      <c t="s">
        <v>36254</v>
      </c>
      <c t="s">
        <v>11238</v>
      </c>
      <c s="3">
        <v>7500</v>
      </c>
      <c s="3">
        <v>7500</v>
      </c>
      <c s="3">
        <v>7500</v>
      </c>
      <c>
        <v>0</v>
      </c>
      <c s="3">
        <v>0</v>
      </c>
      <c s="3">
        <v>623.83</v>
      </c>
      <c s="3">
        <v>7500</v>
      </c>
      <c r="O784" s="1" t="str">
        <f ca="1">HYPERLINK("https://web.datatree.com/?/property?propertyId=32229541", "https://web.datatree.com/?/property?propertyId=32229541")</f>
        <v>https://web.datatree.com/?/property?propertyId=32229541</v>
      </c>
      <c r="Q784" t="s">
        <v>316</v>
      </c>
      <c>
        <v>0.23</v>
      </c>
      <c t="s">
        <v>6175</v>
      </c>
      <c t="s">
        <v>49498</v>
      </c>
      <c t="s">
        <v>4156</v>
      </c>
      <c r="X784" t="s">
        <v>46124</v>
      </c>
      <c t="s">
        <v>25017</v>
      </c>
      <c t="s">
        <v>2517</v>
      </c>
      <c t="s">
        <v>39289</v>
      </c>
      <c>
        <v>33909</v>
      </c>
      <c t="s">
        <v>45067</v>
      </c>
      <c t="s">
        <v>48794</v>
      </c>
      <c t="s">
        <v>37735</v>
      </c>
      <c>
        <v>34</v>
      </c>
      <c r="AI784" t="s">
        <v>33947</v>
      </c>
      <c r="AK784">
        <v>3401</v>
      </c>
      <c t="s">
        <v>52631</v>
      </c>
      <c r="AN784" t="s">
        <v>58864</v>
      </c>
      <c r="AQ784" t="s">
        <v>3093</v>
      </c>
      <c t="s">
        <v>21076</v>
      </c>
    </row>
    <row>
      <c t="s">
        <v>17594</v>
      </c>
      <c t="s">
        <v>17863</v>
      </c>
      <c t="s">
        <v>48515</v>
      </c>
      <c t="s">
        <v>24045</v>
      </c>
      <c t="s">
        <v>31424</v>
      </c>
      <c s="3">
        <v>18026</v>
      </c>
      <c s="3">
        <v>18026</v>
      </c>
      <c s="3">
        <v>7865</v>
      </c>
      <c>
        <v>0</v>
      </c>
      <c s="3">
        <v>0</v>
      </c>
      <c s="3">
        <v>492.2</v>
      </c>
      <c s="3">
        <v>18026</v>
      </c>
      <c>
        <v>2020</v>
      </c>
      <c>
        <v>1664.84</v>
      </c>
      <c s="1" t="str">
        <f ca="1">HYPERLINK("https://web.datatree.com/?/property?propertyId=32229982", "https://web.datatree.com/?/property?propertyId=32229982")</f>
        <v>https://web.datatree.com/?/property?propertyId=32229982</v>
      </c>
      <c r="Q785" t="s">
        <v>316</v>
      </c>
      <c>
        <v>0.241</v>
      </c>
      <c t="s">
        <v>6175</v>
      </c>
      <c t="s">
        <v>48548</v>
      </c>
      <c t="s">
        <v>31602</v>
      </c>
      <c r="X785" t="s">
        <v>4303</v>
      </c>
      <c t="s">
        <v>18679</v>
      </c>
      <c t="s">
        <v>2517</v>
      </c>
      <c t="s">
        <v>39289</v>
      </c>
      <c>
        <v>33909</v>
      </c>
      <c t="s">
        <v>43301</v>
      </c>
      <c t="s">
        <v>48794</v>
      </c>
      <c t="s">
        <v>41923</v>
      </c>
      <c>
        <v>17820</v>
      </c>
      <c r="AI785" t="s">
        <v>62246</v>
      </c>
      <c t="s">
        <v>835</v>
      </c>
      <c r="AL785" t="s">
        <v>52434</v>
      </c>
      <c r="AN785" t="s">
        <v>39289</v>
      </c>
      <c t="s">
        <v>52478</v>
      </c>
      <c t="s">
        <v>3364</v>
      </c>
      <c t="s">
        <v>3093</v>
      </c>
      <c t="s">
        <v>22245</v>
      </c>
    </row>
    <row>
      <c t="s">
        <v>17594</v>
      </c>
      <c t="s">
        <v>37075</v>
      </c>
      <c t="s">
        <v>49311</v>
      </c>
      <c t="s">
        <v>24919</v>
      </c>
      <c t="s">
        <v>43697</v>
      </c>
      <c s="3">
        <v>38750</v>
      </c>
      <c s="3">
        <v>38750</v>
      </c>
      <c s="3">
        <v>17050</v>
      </c>
      <c>
        <v>0</v>
      </c>
      <c s="3">
        <v>0</v>
      </c>
      <c s="3">
        <v>764.36</v>
      </c>
      <c s="3">
        <v>38750</v>
      </c>
      <c r="O786" s="1" t="str">
        <f ca="1">HYPERLINK("https://web.datatree.com/?/property?propertyId=32230723", "https://web.datatree.com/?/property?propertyId=32230723")</f>
        <v>https://web.datatree.com/?/property?propertyId=32230723</v>
      </c>
      <c r="Q786" t="s">
        <v>316</v>
      </c>
      <c>
        <v>0.23</v>
      </c>
      <c t="s">
        <v>22490</v>
      </c>
      <c t="s">
        <v>552</v>
      </c>
      <c t="s">
        <v>3845</v>
      </c>
      <c t="s">
        <v>63916</v>
      </c>
      <c t="s">
        <v>3845</v>
      </c>
      <c t="s">
        <v>53222</v>
      </c>
      <c t="s">
        <v>38550</v>
      </c>
      <c t="s">
        <v>2517</v>
      </c>
      <c t="s">
        <v>39289</v>
      </c>
      <c>
        <v>33909</v>
      </c>
      <c t="s">
        <v>39584</v>
      </c>
      <c t="s">
        <v>48794</v>
      </c>
      <c t="s">
        <v>21568</v>
      </c>
      <c>
        <v>14</v>
      </c>
      <c r="AI786" t="s">
        <v>56744</v>
      </c>
      <c r="AL786" t="s">
        <v>49186</v>
      </c>
      <c r="AN786" t="s">
        <v>13328</v>
      </c>
      <c>
        <v>0</v>
      </c>
      <c r="AQ786" t="s">
        <v>3093</v>
      </c>
      <c t="s">
        <v>1035</v>
      </c>
    </row>
    <row>
      <c t="s">
        <v>17594</v>
      </c>
      <c t="s">
        <v>66836</v>
      </c>
      <c t="s">
        <v>3000</v>
      </c>
      <c t="s">
        <v>32386</v>
      </c>
      <c t="s">
        <v>14605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787" s="1" t="str">
        <f ca="1">HYPERLINK("https://web.datatree.com/?/property?propertyId=32230765", "https://web.datatree.com/?/property?propertyId=32230765")</f>
        <v>https://web.datatree.com/?/property?propertyId=32230765</v>
      </c>
      <c r="Q787" t="s">
        <v>316</v>
      </c>
      <c>
        <v>0.23</v>
      </c>
      <c t="s">
        <v>6175</v>
      </c>
      <c t="s">
        <v>42333</v>
      </c>
      <c t="s">
        <v>46930</v>
      </c>
      <c t="s">
        <v>56577</v>
      </c>
      <c t="s">
        <v>53641</v>
      </c>
      <c t="s">
        <v>11251</v>
      </c>
      <c t="s">
        <v>49122</v>
      </c>
      <c t="s">
        <v>2517</v>
      </c>
      <c t="s">
        <v>39289</v>
      </c>
      <c>
        <v>33909</v>
      </c>
      <c t="s">
        <v>3116</v>
      </c>
      <c t="s">
        <v>48794</v>
      </c>
      <c t="s">
        <v>51668</v>
      </c>
      <c>
        <v>1223</v>
      </c>
      <c r="AI787" t="s">
        <v>8507</v>
      </c>
      <c t="s">
        <v>39321</v>
      </c>
      <c r="AL787" t="s">
        <v>11121</v>
      </c>
      <c r="AN787" t="s">
        <v>58733</v>
      </c>
      <c t="s">
        <v>54218</v>
      </c>
      <c t="s">
        <v>15968</v>
      </c>
      <c t="s">
        <v>3093</v>
      </c>
      <c t="s">
        <v>9596</v>
      </c>
    </row>
    <row>
      <c t="s">
        <v>17594</v>
      </c>
      <c t="s">
        <v>9631</v>
      </c>
      <c t="s">
        <v>58949</v>
      </c>
      <c t="s">
        <v>50211</v>
      </c>
      <c t="s">
        <v>51580</v>
      </c>
      <c s="3">
        <v>25610</v>
      </c>
      <c s="3">
        <v>25610</v>
      </c>
      <c s="3">
        <v>11000</v>
      </c>
      <c>
        <v>0</v>
      </c>
      <c s="3">
        <v>0</v>
      </c>
      <c s="3">
        <v>626.98</v>
      </c>
      <c s="3">
        <v>25610</v>
      </c>
      <c r="O788" s="1" t="str">
        <f ca="1">HYPERLINK("https://web.datatree.com/?/property?propertyId=32231000", "https://web.datatree.com/?/property?propertyId=32231000")</f>
        <v>https://web.datatree.com/?/property?propertyId=32231000</v>
      </c>
      <c r="Q788" t="s">
        <v>316</v>
      </c>
      <c>
        <v>0.244</v>
      </c>
      <c t="s">
        <v>22490</v>
      </c>
      <c t="s">
        <v>43826</v>
      </c>
      <c t="s">
        <v>11268</v>
      </c>
      <c r="X788" t="s">
        <v>1093</v>
      </c>
      <c t="s">
        <v>25017</v>
      </c>
      <c t="s">
        <v>2517</v>
      </c>
      <c t="s">
        <v>39289</v>
      </c>
      <c>
        <v>33909</v>
      </c>
      <c t="s">
        <v>59207</v>
      </c>
      <c t="s">
        <v>48794</v>
      </c>
      <c t="s">
        <v>45375</v>
      </c>
      <c>
        <v>46</v>
      </c>
      <c r="AI788" t="s">
        <v>16836</v>
      </c>
      <c t="s">
        <v>45620</v>
      </c>
      <c r="AL788" t="s">
        <v>39187</v>
      </c>
      <c r="AN788" t="s">
        <v>26016</v>
      </c>
      <c t="s">
        <v>60241</v>
      </c>
      <c t="s">
        <v>54916</v>
      </c>
      <c t="s">
        <v>3093</v>
      </c>
      <c t="s">
        <v>29395</v>
      </c>
    </row>
    <row>
      <c t="s">
        <v>17594</v>
      </c>
      <c t="s">
        <v>45602</v>
      </c>
      <c t="s">
        <v>38732</v>
      </c>
      <c t="s">
        <v>20332</v>
      </c>
      <c t="s">
        <v>32036</v>
      </c>
      <c s="3">
        <v>20472</v>
      </c>
      <c s="3">
        <v>20472</v>
      </c>
      <c s="3">
        <v>20472</v>
      </c>
      <c>
        <v>0</v>
      </c>
      <c s="3">
        <v>0</v>
      </c>
      <c s="3">
        <v>701.87</v>
      </c>
      <c s="3">
        <v>20472</v>
      </c>
      <c>
        <v>2021</v>
      </c>
      <c>
        <v>541.95</v>
      </c>
      <c s="1" t="str">
        <f ca="1">HYPERLINK("https://web.datatree.com/?/property?propertyId=32231640", "https://web.datatree.com/?/property?propertyId=32231640")</f>
        <v>https://web.datatree.com/?/property?propertyId=32231640</v>
      </c>
      <c r="Q789" t="s">
        <v>316</v>
      </c>
      <c>
        <v>0.237</v>
      </c>
      <c t="s">
        <v>45031</v>
      </c>
      <c t="s">
        <v>552</v>
      </c>
      <c t="s">
        <v>33570</v>
      </c>
      <c t="s">
        <v>43984</v>
      </c>
      <c t="s">
        <v>13143</v>
      </c>
      <c t="s">
        <v>14195</v>
      </c>
      <c t="s">
        <v>47150</v>
      </c>
      <c t="s">
        <v>2517</v>
      </c>
      <c t="s">
        <v>39289</v>
      </c>
      <c>
        <v>33909</v>
      </c>
      <c t="s">
        <v>63619</v>
      </c>
      <c t="s">
        <v>48794</v>
      </c>
      <c t="s">
        <v>28893</v>
      </c>
      <c>
        <v>16007</v>
      </c>
      <c r="AI789" t="s">
        <v>1233</v>
      </c>
      <c t="s">
        <v>45393</v>
      </c>
      <c r="AL789" t="s">
        <v>60064</v>
      </c>
      <c t="s">
        <v>13397</v>
      </c>
      <c t="s">
        <v>50917</v>
      </c>
      <c t="s">
        <v>40592</v>
      </c>
      <c t="s">
        <v>54916</v>
      </c>
      <c t="s">
        <v>3093</v>
      </c>
      <c t="s">
        <v>46949</v>
      </c>
    </row>
    <row>
      <c t="s">
        <v>17594</v>
      </c>
      <c t="s">
        <v>8976</v>
      </c>
      <c t="s">
        <v>31229</v>
      </c>
      <c t="s">
        <v>25724</v>
      </c>
      <c t="s">
        <v>54113</v>
      </c>
      <c s="3">
        <v>41344</v>
      </c>
      <c s="3">
        <v>41344</v>
      </c>
      <c s="3">
        <v>29161</v>
      </c>
      <c>
        <v>0</v>
      </c>
      <c s="3">
        <v>0</v>
      </c>
      <c s="3">
        <v>941.37</v>
      </c>
      <c s="3">
        <v>41344</v>
      </c>
      <c r="O790" s="1" t="str">
        <f ca="1">HYPERLINK("https://web.datatree.com/?/property?propertyId=32232366", "https://web.datatree.com/?/property?propertyId=32232366")</f>
        <v>https://web.datatree.com/?/property?propertyId=32232366</v>
      </c>
      <c r="Q790" t="s">
        <v>316</v>
      </c>
      <c>
        <v>0.233</v>
      </c>
      <c t="s">
        <v>6175</v>
      </c>
      <c r="U790" t="s">
        <v>39837</v>
      </c>
      <c r="W790" t="s">
        <v>14602</v>
      </c>
      <c t="s">
        <v>23067</v>
      </c>
      <c t="s">
        <v>49067</v>
      </c>
      <c t="s">
        <v>2517</v>
      </c>
      <c t="s">
        <v>39289</v>
      </c>
      <c>
        <v>33904</v>
      </c>
      <c t="s">
        <v>22985</v>
      </c>
      <c t="s">
        <v>48794</v>
      </c>
      <c t="s">
        <v>19323</v>
      </c>
      <c>
        <v>4548</v>
      </c>
      <c r="AI790" t="s">
        <v>40056</v>
      </c>
      <c t="s">
        <v>24900</v>
      </c>
      <c r="AL790" t="s">
        <v>46748</v>
      </c>
      <c t="s">
        <v>2124</v>
      </c>
      <c t="s">
        <v>19878</v>
      </c>
      <c>
        <v>60706</v>
      </c>
      <c r="AQ790" t="s">
        <v>3093</v>
      </c>
      <c t="s">
        <v>60457</v>
      </c>
    </row>
    <row>
      <c t="s">
        <v>17594</v>
      </c>
      <c t="s">
        <v>22785</v>
      </c>
      <c t="s">
        <v>53121</v>
      </c>
      <c t="s">
        <v>58479</v>
      </c>
      <c t="s">
        <v>37121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791" s="1" t="str">
        <f ca="1">HYPERLINK("https://web.datatree.com/?/property?propertyId=32232845", "https://web.datatree.com/?/property?propertyId=32232845")</f>
        <v>https://web.datatree.com/?/property?propertyId=32232845</v>
      </c>
      <c r="Q791" t="s">
        <v>316</v>
      </c>
      <c>
        <v>0.23</v>
      </c>
      <c t="s">
        <v>42044</v>
      </c>
      <c t="s">
        <v>34344</v>
      </c>
      <c t="s">
        <v>32452</v>
      </c>
      <c t="s">
        <v>47656</v>
      </c>
      <c t="s">
        <v>62319</v>
      </c>
      <c t="s">
        <v>21449</v>
      </c>
      <c t="s">
        <v>13478</v>
      </c>
      <c t="s">
        <v>2517</v>
      </c>
      <c t="s">
        <v>39289</v>
      </c>
      <c>
        <v>33909</v>
      </c>
      <c t="s">
        <v>50867</v>
      </c>
      <c t="s">
        <v>48794</v>
      </c>
      <c t="s">
        <v>40444</v>
      </c>
      <c>
        <v>109</v>
      </c>
      <c r="AI791" t="s">
        <v>65677</v>
      </c>
      <c t="s">
        <v>45393</v>
      </c>
      <c r="AL791" t="s">
        <v>1377</v>
      </c>
      <c r="AN791" t="s">
        <v>5859</v>
      </c>
      <c t="s">
        <v>38875</v>
      </c>
      <c t="s">
        <v>1951</v>
      </c>
      <c t="s">
        <v>3093</v>
      </c>
      <c t="s">
        <v>24521</v>
      </c>
    </row>
    <row>
      <c t="s">
        <v>17594</v>
      </c>
      <c t="s">
        <v>60498</v>
      </c>
      <c t="s">
        <v>60496</v>
      </c>
      <c t="s">
        <v>64750</v>
      </c>
      <c t="s">
        <v>51976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792" s="1" t="str">
        <f ca="1">HYPERLINK("https://web.datatree.com/?/property?propertyId=32233197", "https://web.datatree.com/?/property?propertyId=32233197")</f>
        <v>https://web.datatree.com/?/property?propertyId=32233197</v>
      </c>
      <c r="Q792" t="s">
        <v>316</v>
      </c>
      <c>
        <v>0.244</v>
      </c>
      <c t="s">
        <v>6175</v>
      </c>
      <c t="s">
        <v>1859</v>
      </c>
      <c t="s">
        <v>49023</v>
      </c>
      <c t="s">
        <v>42532</v>
      </c>
      <c t="s">
        <v>49023</v>
      </c>
      <c t="s">
        <v>63254</v>
      </c>
      <c t="s">
        <v>38550</v>
      </c>
      <c t="s">
        <v>2517</v>
      </c>
      <c t="s">
        <v>39289</v>
      </c>
      <c>
        <v>33909</v>
      </c>
      <c t="s">
        <v>55455</v>
      </c>
      <c t="s">
        <v>48794</v>
      </c>
      <c t="s">
        <v>41727</v>
      </c>
      <c>
        <v>475</v>
      </c>
      <c r="AI792" t="s">
        <v>35571</v>
      </c>
      <c t="s">
        <v>45620</v>
      </c>
      <c r="AL792" t="s">
        <v>64538</v>
      </c>
      <c r="AN792" t="s">
        <v>22275</v>
      </c>
      <c t="s">
        <v>29081</v>
      </c>
      <c t="s">
        <v>35354</v>
      </c>
      <c t="s">
        <v>3093</v>
      </c>
      <c t="s">
        <v>12594</v>
      </c>
    </row>
    <row>
      <c t="s">
        <v>42103</v>
      </c>
      <c t="s">
        <v>2637</v>
      </c>
      <c t="s">
        <v>7690</v>
      </c>
      <c t="s">
        <v>10080</v>
      </c>
      <c t="s">
        <v>63557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793" s="1" t="str">
        <f ca="1">HYPERLINK("https://web.datatree.com/?/property?propertyId=32233296", "https://web.datatree.com/?/property?propertyId=32233296")</f>
        <v>https://web.datatree.com/?/property?propertyId=32233296</v>
      </c>
      <c r="Q793" t="s">
        <v>316</v>
      </c>
      <c>
        <v>0.23</v>
      </c>
      <c t="s">
        <v>6175</v>
      </c>
      <c t="s">
        <v>63192</v>
      </c>
      <c t="s">
        <v>8515</v>
      </c>
      <c r="X793" t="s">
        <v>24850</v>
      </c>
      <c t="s">
        <v>17022</v>
      </c>
      <c t="s">
        <v>2517</v>
      </c>
      <c t="s">
        <v>39289</v>
      </c>
      <c>
        <v>33909</v>
      </c>
      <c t="s">
        <v>64028</v>
      </c>
      <c t="s">
        <v>48794</v>
      </c>
      <c t="s">
        <v>1534</v>
      </c>
      <c r="AI793" t="s">
        <v>10113</v>
      </c>
      <c r="AN793" t="s">
        <v>19878</v>
      </c>
      <c>
        <v>38523</v>
      </c>
      <c r="AR793" t="s">
        <v>40815</v>
      </c>
    </row>
    <row>
      <c t="s">
        <v>17594</v>
      </c>
      <c t="s">
        <v>60367</v>
      </c>
      <c t="s">
        <v>12824</v>
      </c>
      <c t="s">
        <v>8301</v>
      </c>
      <c t="s">
        <v>11115</v>
      </c>
      <c s="3">
        <v>40772</v>
      </c>
      <c s="3">
        <v>40248</v>
      </c>
      <c s="3">
        <v>29317</v>
      </c>
      <c>
        <v>0</v>
      </c>
      <c s="3">
        <v>0</v>
      </c>
      <c s="3">
        <v>469.22</v>
      </c>
      <c s="3">
        <v>40772</v>
      </c>
      <c r="O794" s="1" t="str">
        <f ca="1">HYPERLINK("https://web.datatree.com/?/property?propertyId=32234461", "https://web.datatree.com/?/property?propertyId=32234461")</f>
        <v>https://web.datatree.com/?/property?propertyId=32234461</v>
      </c>
      <c r="Q794" t="s">
        <v>316</v>
      </c>
      <c>
        <v>0.044</v>
      </c>
      <c t="s">
        <v>45526</v>
      </c>
      <c t="s">
        <v>42706</v>
      </c>
      <c t="s">
        <v>61781</v>
      </c>
      <c r="X794" t="s">
        <v>6524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51274</v>
      </c>
      <c>
        <v>2701</v>
      </c>
      <c r="AH794" t="s">
        <v>63047</v>
      </c>
      <c t="s">
        <v>53663</v>
      </c>
      <c t="s">
        <v>24900</v>
      </c>
      <c r="AL794" t="s">
        <v>6762</v>
      </c>
      <c r="AN794" t="s">
        <v>50829</v>
      </c>
      <c t="s">
        <v>48587</v>
      </c>
      <c t="s">
        <v>17380</v>
      </c>
      <c t="s">
        <v>3093</v>
      </c>
      <c t="s">
        <v>61467</v>
      </c>
    </row>
    <row>
      <c t="s">
        <v>17594</v>
      </c>
      <c t="s">
        <v>55513</v>
      </c>
      <c t="s">
        <v>13117</v>
      </c>
      <c t="s">
        <v>9042</v>
      </c>
      <c t="s">
        <v>914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795" s="1" t="str">
        <f ca="1">HYPERLINK("https://web.datatree.com/?/property?propertyId=32234656", "https://web.datatree.com/?/property?propertyId=32234656")</f>
        <v>https://web.datatree.com/?/property?propertyId=32234656</v>
      </c>
      <c r="Q795" t="s">
        <v>316</v>
      </c>
      <c>
        <v>0.23</v>
      </c>
      <c t="s">
        <v>22490</v>
      </c>
      <c t="s">
        <v>552</v>
      </c>
      <c t="s">
        <v>54588</v>
      </c>
      <c t="s">
        <v>67028</v>
      </c>
      <c t="s">
        <v>54588</v>
      </c>
      <c t="s">
        <v>8100</v>
      </c>
      <c t="s">
        <v>24999</v>
      </c>
      <c t="s">
        <v>2517</v>
      </c>
      <c t="s">
        <v>39289</v>
      </c>
      <c>
        <v>33909</v>
      </c>
      <c>
        <v>33909</v>
      </c>
      <c t="s">
        <v>48794</v>
      </c>
      <c t="s">
        <v>12729</v>
      </c>
      <c>
        <v>1809</v>
      </c>
      <c r="AI795" t="s">
        <v>56517</v>
      </c>
      <c t="s">
        <v>31192</v>
      </c>
      <c r="AL795" t="s">
        <v>60302</v>
      </c>
      <c t="s">
        <v>60302</v>
      </c>
      <c t="s">
        <v>58733</v>
      </c>
      <c>
        <v>64015</v>
      </c>
      <c r="AQ795" t="s">
        <v>3093</v>
      </c>
      <c t="s">
        <v>21485</v>
      </c>
    </row>
    <row>
      <c t="s">
        <v>17594</v>
      </c>
      <c t="s">
        <v>22891</v>
      </c>
      <c t="s">
        <v>56601</v>
      </c>
      <c t="s">
        <v>16944</v>
      </c>
      <c t="s">
        <v>45666</v>
      </c>
      <c s="3">
        <v>9049</v>
      </c>
      <c s="3">
        <v>9049</v>
      </c>
      <c s="3">
        <v>6389</v>
      </c>
      <c>
        <v>0</v>
      </c>
      <c s="3">
        <v>0</v>
      </c>
      <c s="3">
        <v>333.57</v>
      </c>
      <c s="3">
        <v>9049</v>
      </c>
      <c r="O796" s="1" t="str">
        <f ca="1">HYPERLINK("https://web.datatree.com/?/property?propertyId=32234719", "https://web.datatree.com/?/property?propertyId=32234719")</f>
        <v>https://web.datatree.com/?/property?propertyId=32234719</v>
      </c>
      <c r="Q796" t="s">
        <v>316</v>
      </c>
      <c>
        <v>0.301</v>
      </c>
      <c t="s">
        <v>5471</v>
      </c>
      <c t="s">
        <v>58703</v>
      </c>
      <c t="s">
        <v>48122</v>
      </c>
      <c r="X796" t="s">
        <v>48207</v>
      </c>
      <c t="s">
        <v>40660</v>
      </c>
      <c t="s">
        <v>65059</v>
      </c>
      <c t="s">
        <v>39289</v>
      </c>
      <c>
        <v>33905</v>
      </c>
      <c t="s">
        <v>48595</v>
      </c>
      <c t="s">
        <v>48794</v>
      </c>
      <c t="s">
        <v>26170</v>
      </c>
      <c>
        <v>327</v>
      </c>
      <c r="AI796" t="s">
        <v>26028</v>
      </c>
      <c t="s">
        <v>48479</v>
      </c>
      <c r="AL796" t="s">
        <v>65650</v>
      </c>
      <c r="AN796" t="s">
        <v>10909</v>
      </c>
      <c t="s">
        <v>13740</v>
      </c>
      <c r="AQ796" t="s">
        <v>27814</v>
      </c>
      <c t="s">
        <v>61753</v>
      </c>
    </row>
    <row>
      <c t="s">
        <v>17594</v>
      </c>
      <c t="s">
        <v>47871</v>
      </c>
      <c t="s">
        <v>28982</v>
      </c>
      <c t="s">
        <v>15451</v>
      </c>
      <c t="s">
        <v>46191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797" s="1" t="str">
        <f ca="1">HYPERLINK("https://web.datatree.com/?/property?propertyId=32235258", "https://web.datatree.com/?/property?propertyId=32235258")</f>
        <v>https://web.datatree.com/?/property?propertyId=32235258</v>
      </c>
      <c r="Q797" t="s">
        <v>316</v>
      </c>
      <c>
        <v>0.23</v>
      </c>
      <c t="s">
        <v>45031</v>
      </c>
      <c t="s">
        <v>18302</v>
      </c>
      <c t="s">
        <v>15432</v>
      </c>
      <c r="X797" t="s">
        <v>57529</v>
      </c>
      <c t="s">
        <v>30928</v>
      </c>
      <c t="s">
        <v>2517</v>
      </c>
      <c t="s">
        <v>39289</v>
      </c>
      <c>
        <v>33909</v>
      </c>
      <c t="s">
        <v>38928</v>
      </c>
      <c t="s">
        <v>48794</v>
      </c>
      <c t="s">
        <v>11517</v>
      </c>
      <c>
        <v>846</v>
      </c>
      <c r="AI797" t="s">
        <v>66547</v>
      </c>
      <c t="s">
        <v>55842</v>
      </c>
      <c r="AL797" t="s">
        <v>32908</v>
      </c>
      <c t="s">
        <v>32908</v>
      </c>
      <c t="s">
        <v>32657</v>
      </c>
      <c t="s">
        <v>46176</v>
      </c>
      <c t="s">
        <v>58683</v>
      </c>
      <c t="s">
        <v>3093</v>
      </c>
      <c t="s">
        <v>57747</v>
      </c>
    </row>
    <row>
      <c t="s">
        <v>17594</v>
      </c>
      <c t="s">
        <v>12705</v>
      </c>
      <c t="s">
        <v>28109</v>
      </c>
      <c t="s">
        <v>2927</v>
      </c>
      <c t="s">
        <v>66406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798" s="1" t="str">
        <f ca="1">HYPERLINK("https://web.datatree.com/?/property?propertyId=32235607", "https://web.datatree.com/?/property?propertyId=32235607")</f>
        <v>https://web.datatree.com/?/property?propertyId=32235607</v>
      </c>
      <c r="Q798" t="s">
        <v>316</v>
      </c>
      <c>
        <v>0.278</v>
      </c>
      <c t="s">
        <v>5471</v>
      </c>
      <c t="s">
        <v>20804</v>
      </c>
      <c t="s">
        <v>24112</v>
      </c>
      <c t="s">
        <v>65080</v>
      </c>
      <c t="s">
        <v>24112</v>
      </c>
      <c t="s">
        <v>54333</v>
      </c>
      <c t="s">
        <v>18225</v>
      </c>
      <c t="s">
        <v>65059</v>
      </c>
      <c t="s">
        <v>39289</v>
      </c>
      <c>
        <v>33905</v>
      </c>
      <c t="s">
        <v>61148</v>
      </c>
      <c t="s">
        <v>48794</v>
      </c>
      <c t="s">
        <v>30331</v>
      </c>
      <c>
        <v>4058</v>
      </c>
      <c r="AI798" t="s">
        <v>28650</v>
      </c>
      <c t="s">
        <v>45620</v>
      </c>
      <c r="AL798" t="s">
        <v>64737</v>
      </c>
      <c r="AN798" t="s">
        <v>10909</v>
      </c>
      <c t="s">
        <v>23776</v>
      </c>
      <c r="AQ798" t="s">
        <v>27814</v>
      </c>
      <c t="s">
        <v>40935</v>
      </c>
    </row>
    <row>
      <c t="s">
        <v>42103</v>
      </c>
      <c t="s">
        <v>36563</v>
      </c>
      <c t="s">
        <v>9177</v>
      </c>
      <c t="s">
        <v>60125</v>
      </c>
      <c t="s">
        <v>19788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799" s="1" t="str">
        <f ca="1">HYPERLINK("https://web.datatree.com/?/property?propertyId=32236164", "https://web.datatree.com/?/property?propertyId=32236164")</f>
        <v>https://web.datatree.com/?/property?propertyId=32236164</v>
      </c>
      <c r="Q799" t="s">
        <v>316</v>
      </c>
      <c>
        <v>0.23</v>
      </c>
      <c t="s">
        <v>22490</v>
      </c>
      <c r="U799" t="s">
        <v>65967</v>
      </c>
      <c r="W799" t="s">
        <v>5358</v>
      </c>
      <c t="s">
        <v>40354</v>
      </c>
      <c t="s">
        <v>60363</v>
      </c>
      <c t="s">
        <v>2517</v>
      </c>
      <c t="s">
        <v>39289</v>
      </c>
      <c>
        <v>33909</v>
      </c>
      <c t="s">
        <v>60735</v>
      </c>
      <c t="s">
        <v>48794</v>
      </c>
      <c t="s">
        <v>8139</v>
      </c>
      <c r="AI799" t="s">
        <v>33879</v>
      </c>
      <c r="AL799" t="s">
        <v>19425</v>
      </c>
      <c r="AN799" t="s">
        <v>66651</v>
      </c>
      <c>
        <v>30068</v>
      </c>
      <c t="s">
        <v>61207</v>
      </c>
      <c t="s">
        <v>3093</v>
      </c>
      <c t="s">
        <v>18602</v>
      </c>
    </row>
    <row>
      <c t="s">
        <v>17594</v>
      </c>
      <c t="s">
        <v>28778</v>
      </c>
      <c t="s">
        <v>6025</v>
      </c>
      <c t="s">
        <v>33278</v>
      </c>
      <c t="s">
        <v>27733</v>
      </c>
      <c s="3">
        <v>145293</v>
      </c>
      <c s="3">
        <v>103750</v>
      </c>
      <c s="3">
        <v>145293</v>
      </c>
      <c>
        <v>0</v>
      </c>
      <c s="3">
        <v>0</v>
      </c>
      <c s="3">
        <v>2180.18</v>
      </c>
      <c s="3">
        <v>145293</v>
      </c>
      <c r="O800" s="1" t="str">
        <f ca="1">HYPERLINK("https://web.datatree.com/?/property?propertyId=32237055", "https://web.datatree.com/?/property?propertyId=32237055")</f>
        <v>https://web.datatree.com/?/property?propertyId=32237055</v>
      </c>
      <c r="Q800" t="s">
        <v>316</v>
      </c>
      <c>
        <v>0.133</v>
      </c>
      <c t="s">
        <v>26492</v>
      </c>
      <c t="s">
        <v>44541</v>
      </c>
      <c t="s">
        <v>55496</v>
      </c>
      <c t="s">
        <v>25924</v>
      </c>
      <c t="s">
        <v>55496</v>
      </c>
      <c t="s">
        <v>38578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56398</v>
      </c>
      <c>
        <v>14331</v>
      </c>
      <c r="AI800" t="s">
        <v>29644</v>
      </c>
      <c t="s">
        <v>31192</v>
      </c>
      <c r="AL800" t="s">
        <v>64297</v>
      </c>
      <c t="s">
        <v>40227</v>
      </c>
      <c t="s">
        <v>54650</v>
      </c>
      <c t="s">
        <v>60582</v>
      </c>
      <c t="s">
        <v>14695</v>
      </c>
      <c t="s">
        <v>3093</v>
      </c>
      <c t="s">
        <v>48669</v>
      </c>
    </row>
    <row>
      <c t="s">
        <v>17594</v>
      </c>
      <c t="s">
        <v>41162</v>
      </c>
      <c t="s">
        <v>32086</v>
      </c>
      <c t="s">
        <v>43293</v>
      </c>
      <c t="s">
        <v>31125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801" s="1" t="str">
        <f ca="1">HYPERLINK("https://web.datatree.com/?/property?propertyId=32237210", "https://web.datatree.com/?/property?propertyId=32237210")</f>
        <v>https://web.datatree.com/?/property?propertyId=32237210</v>
      </c>
      <c r="Q801" t="s">
        <v>316</v>
      </c>
      <c>
        <v>0.229</v>
      </c>
      <c t="s">
        <v>6175</v>
      </c>
      <c r="U801" t="s">
        <v>5255</v>
      </c>
      <c r="W801" t="s">
        <v>36593</v>
      </c>
      <c t="s">
        <v>46145</v>
      </c>
      <c t="s">
        <v>13065</v>
      </c>
      <c t="s">
        <v>2517</v>
      </c>
      <c t="s">
        <v>39289</v>
      </c>
      <c>
        <v>33909</v>
      </c>
      <c t="s">
        <v>16103</v>
      </c>
      <c t="s">
        <v>48794</v>
      </c>
      <c t="s">
        <v>60698</v>
      </c>
      <c>
        <v>6613</v>
      </c>
      <c r="AI801" t="s">
        <v>38877</v>
      </c>
      <c t="s">
        <v>24900</v>
      </c>
      <c r="AL801" t="s">
        <v>23972</v>
      </c>
      <c t="s">
        <v>23972</v>
      </c>
      <c t="s">
        <v>19878</v>
      </c>
      <c t="s">
        <v>12525</v>
      </c>
      <c t="s">
        <v>22302</v>
      </c>
      <c t="s">
        <v>3093</v>
      </c>
      <c t="s">
        <v>21703</v>
      </c>
    </row>
    <row>
      <c t="s">
        <v>17594</v>
      </c>
      <c t="s">
        <v>48922</v>
      </c>
      <c t="s">
        <v>41245</v>
      </c>
      <c t="s">
        <v>50690</v>
      </c>
      <c t="s">
        <v>48024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802" s="1" t="str">
        <f ca="1">HYPERLINK("https://web.datatree.com/?/property?propertyId=32237540", "https://web.datatree.com/?/property?propertyId=32237540")</f>
        <v>https://web.datatree.com/?/property?propertyId=32237540</v>
      </c>
      <c r="Q802" t="s">
        <v>316</v>
      </c>
      <c>
        <v>0.23</v>
      </c>
      <c t="s">
        <v>22490</v>
      </c>
      <c r="U802" t="s">
        <v>32419</v>
      </c>
      <c r="W802" t="s">
        <v>39446</v>
      </c>
      <c t="s">
        <v>56027</v>
      </c>
      <c t="s">
        <v>49674</v>
      </c>
      <c t="s">
        <v>2517</v>
      </c>
      <c t="s">
        <v>39289</v>
      </c>
      <c>
        <v>33909</v>
      </c>
      <c t="s">
        <v>28565</v>
      </c>
      <c t="s">
        <v>48794</v>
      </c>
      <c t="s">
        <v>34226</v>
      </c>
      <c>
        <v>4</v>
      </c>
      <c r="AI802" t="s">
        <v>7183</v>
      </c>
      <c t="s">
        <v>1671</v>
      </c>
      <c r="AL802" t="s">
        <v>56716</v>
      </c>
      <c r="AN802" t="s">
        <v>27747</v>
      </c>
      <c t="s">
        <v>38790</v>
      </c>
      <c t="s">
        <v>52247</v>
      </c>
      <c t="s">
        <v>3093</v>
      </c>
      <c t="s">
        <v>2819</v>
      </c>
    </row>
    <row>
      <c t="s">
        <v>42103</v>
      </c>
      <c t="s">
        <v>8994</v>
      </c>
      <c t="s">
        <v>58067</v>
      </c>
      <c t="s">
        <v>13092</v>
      </c>
      <c t="s">
        <v>35337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803" s="1" t="str">
        <f ca="1">HYPERLINK("https://web.datatree.com/?/property?propertyId=32237755", "https://web.datatree.com/?/property?propertyId=32237755")</f>
        <v>https://web.datatree.com/?/property?propertyId=32237755</v>
      </c>
      <c r="Q803" t="s">
        <v>316</v>
      </c>
      <c>
        <v>0.23</v>
      </c>
      <c t="s">
        <v>6175</v>
      </c>
      <c t="s">
        <v>50332</v>
      </c>
      <c t="s">
        <v>41283</v>
      </c>
      <c t="s">
        <v>8585</v>
      </c>
      <c t="s">
        <v>41283</v>
      </c>
      <c t="s">
        <v>35274</v>
      </c>
      <c t="s">
        <v>29190</v>
      </c>
      <c t="s">
        <v>2517</v>
      </c>
      <c t="s">
        <v>39289</v>
      </c>
      <c>
        <v>33909</v>
      </c>
      <c t="s">
        <v>63572</v>
      </c>
      <c t="s">
        <v>48794</v>
      </c>
      <c t="s">
        <v>60832</v>
      </c>
      <c r="AI803" t="s">
        <v>14966</v>
      </c>
      <c r="AL803" t="s">
        <v>22802</v>
      </c>
      <c r="AN803" t="s">
        <v>50917</v>
      </c>
      <c>
        <v>10926</v>
      </c>
      <c t="s">
        <v>15796</v>
      </c>
      <c t="s">
        <v>3093</v>
      </c>
      <c t="s">
        <v>51084</v>
      </c>
    </row>
    <row>
      <c t="s">
        <v>17594</v>
      </c>
      <c t="s">
        <v>56461</v>
      </c>
      <c t="s">
        <v>58018</v>
      </c>
      <c t="s">
        <v>39308</v>
      </c>
      <c t="s">
        <v>64865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804" s="1" t="str">
        <f ca="1">HYPERLINK("https://web.datatree.com/?/property?propertyId=32237786", "https://web.datatree.com/?/property?propertyId=32237786")</f>
        <v>https://web.datatree.com/?/property?propertyId=32237786</v>
      </c>
      <c r="Q804" t="s">
        <v>316</v>
      </c>
      <c>
        <v>0.23</v>
      </c>
      <c t="s">
        <v>42044</v>
      </c>
      <c t="s">
        <v>67081</v>
      </c>
      <c t="s">
        <v>50640</v>
      </c>
      <c r="X804" t="s">
        <v>54732</v>
      </c>
      <c t="s">
        <v>13478</v>
      </c>
      <c t="s">
        <v>2517</v>
      </c>
      <c t="s">
        <v>39289</v>
      </c>
      <c>
        <v>33909</v>
      </c>
      <c t="s">
        <v>4110</v>
      </c>
      <c t="s">
        <v>48794</v>
      </c>
      <c t="s">
        <v>96</v>
      </c>
      <c>
        <v>8925</v>
      </c>
      <c r="AI804" t="s">
        <v>42668</v>
      </c>
      <c t="s">
        <v>41372</v>
      </c>
      <c r="AL804" t="s">
        <v>34748</v>
      </c>
      <c r="AN804" t="s">
        <v>50917</v>
      </c>
      <c t="s">
        <v>12023</v>
      </c>
      <c t="s">
        <v>62983</v>
      </c>
      <c t="s">
        <v>3093</v>
      </c>
      <c t="s">
        <v>37148</v>
      </c>
    </row>
    <row>
      <c t="s">
        <v>17594</v>
      </c>
      <c t="s">
        <v>50478</v>
      </c>
      <c t="s">
        <v>10004</v>
      </c>
      <c t="s">
        <v>20675</v>
      </c>
      <c t="s">
        <v>35429</v>
      </c>
      <c s="3">
        <v>47864</v>
      </c>
      <c s="3">
        <v>47864</v>
      </c>
      <c s="3">
        <v>17448</v>
      </c>
      <c>
        <v>0</v>
      </c>
      <c s="3">
        <v>0</v>
      </c>
      <c s="3">
        <v>857.63</v>
      </c>
      <c s="3">
        <v>47864</v>
      </c>
      <c r="O805" s="1" t="str">
        <f ca="1">HYPERLINK("https://web.datatree.com/?/property?propertyId=32237827", "https://web.datatree.com/?/property?propertyId=32237827")</f>
        <v>https://web.datatree.com/?/property?propertyId=32237827</v>
      </c>
      <c r="Q805" t="s">
        <v>316</v>
      </c>
      <c>
        <v>0.23</v>
      </c>
      <c t="s">
        <v>6175</v>
      </c>
      <c t="s">
        <v>47922</v>
      </c>
      <c t="s">
        <v>13824</v>
      </c>
      <c t="s">
        <v>42163</v>
      </c>
      <c t="s">
        <v>13824</v>
      </c>
      <c t="s">
        <v>37413</v>
      </c>
      <c t="s">
        <v>49674</v>
      </c>
      <c t="s">
        <v>2517</v>
      </c>
      <c t="s">
        <v>39289</v>
      </c>
      <c>
        <v>33904</v>
      </c>
      <c t="s">
        <v>6121</v>
      </c>
      <c t="s">
        <v>48794</v>
      </c>
      <c t="s">
        <v>32851</v>
      </c>
      <c>
        <v>277</v>
      </c>
      <c r="AI805" t="s">
        <v>44351</v>
      </c>
      <c t="s">
        <v>24900</v>
      </c>
      <c r="AL805" t="s">
        <v>61009</v>
      </c>
      <c r="AN805" t="s">
        <v>26016</v>
      </c>
      <c t="s">
        <v>9898</v>
      </c>
      <c t="s">
        <v>62983</v>
      </c>
      <c t="s">
        <v>3093</v>
      </c>
      <c t="s">
        <v>34531</v>
      </c>
    </row>
    <row>
      <c t="s">
        <v>17594</v>
      </c>
      <c t="s">
        <v>52779</v>
      </c>
      <c t="s">
        <v>26322</v>
      </c>
      <c t="s">
        <v>33715</v>
      </c>
      <c t="s">
        <v>45513</v>
      </c>
      <c s="3">
        <v>8500</v>
      </c>
      <c s="3">
        <v>8500</v>
      </c>
      <c s="3">
        <v>8500</v>
      </c>
      <c>
        <v>0</v>
      </c>
      <c s="3">
        <v>0</v>
      </c>
      <c s="3">
        <v>675.55</v>
      </c>
      <c s="3">
        <v>8500</v>
      </c>
      <c r="O806" s="1" t="str">
        <f ca="1">HYPERLINK("https://web.datatree.com/?/property?propertyId=32239310", "https://web.datatree.com/?/property?propertyId=32239310")</f>
        <v>https://web.datatree.com/?/property?propertyId=32239310</v>
      </c>
      <c r="Q806" t="s">
        <v>316</v>
      </c>
      <c>
        <v>0.23</v>
      </c>
      <c t="s">
        <v>6175</v>
      </c>
      <c t="s">
        <v>26876</v>
      </c>
      <c t="s">
        <v>19390</v>
      </c>
      <c r="X806" t="s">
        <v>59172</v>
      </c>
      <c t="s">
        <v>22731</v>
      </c>
      <c t="s">
        <v>2517</v>
      </c>
      <c t="s">
        <v>39289</v>
      </c>
      <c>
        <v>33909</v>
      </c>
      <c t="s">
        <v>53151</v>
      </c>
      <c t="s">
        <v>48794</v>
      </c>
      <c t="s">
        <v>36368</v>
      </c>
      <c>
        <v>9940</v>
      </c>
      <c r="AI806" t="s">
        <v>1702</v>
      </c>
      <c t="s">
        <v>55842</v>
      </c>
      <c r="AL806" t="s">
        <v>63982</v>
      </c>
      <c t="s">
        <v>63982</v>
      </c>
      <c t="s">
        <v>65451</v>
      </c>
      <c t="s">
        <v>21816</v>
      </c>
      <c t="s">
        <v>31373</v>
      </c>
      <c t="s">
        <v>3093</v>
      </c>
      <c t="s">
        <v>22548</v>
      </c>
    </row>
    <row>
      <c t="s">
        <v>42103</v>
      </c>
      <c t="s">
        <v>2341</v>
      </c>
      <c t="s">
        <v>30580</v>
      </c>
      <c t="s">
        <v>26652</v>
      </c>
      <c t="s">
        <v>38382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807" s="1" t="str">
        <f ca="1">HYPERLINK("https://web.datatree.com/?/property?propertyId=32239763", "https://web.datatree.com/?/property?propertyId=32239763")</f>
        <v>https://web.datatree.com/?/property?propertyId=32239763</v>
      </c>
      <c r="Q807" t="s">
        <v>316</v>
      </c>
      <c>
        <v>0.252</v>
      </c>
      <c t="s">
        <v>6175</v>
      </c>
      <c t="s">
        <v>2140</v>
      </c>
      <c t="s">
        <v>17945</v>
      </c>
      <c t="s">
        <v>27351</v>
      </c>
      <c t="s">
        <v>17945</v>
      </c>
      <c t="s">
        <v>36713</v>
      </c>
      <c t="s">
        <v>61865</v>
      </c>
      <c t="s">
        <v>2517</v>
      </c>
      <c t="s">
        <v>39289</v>
      </c>
      <c>
        <v>33909</v>
      </c>
      <c t="s">
        <v>56434</v>
      </c>
      <c t="s">
        <v>48794</v>
      </c>
      <c t="s">
        <v>325</v>
      </c>
      <c r="AI807" t="s">
        <v>54207</v>
      </c>
      <c r="AL807" t="s">
        <v>26848</v>
      </c>
      <c r="AN807" t="s">
        <v>10804</v>
      </c>
      <c>
        <v>28574</v>
      </c>
      <c t="s">
        <v>15796</v>
      </c>
      <c t="s">
        <v>3093</v>
      </c>
      <c t="s">
        <v>53189</v>
      </c>
    </row>
    <row>
      <c t="s">
        <v>17594</v>
      </c>
      <c t="s">
        <v>45287</v>
      </c>
      <c t="s">
        <v>30987</v>
      </c>
      <c t="s">
        <v>5322</v>
      </c>
      <c t="s">
        <v>52223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808" s="1" t="str">
        <f ca="1">HYPERLINK("https://web.datatree.com/?/property?propertyId=32239909", "https://web.datatree.com/?/property?propertyId=32239909")</f>
        <v>https://web.datatree.com/?/property?propertyId=32239909</v>
      </c>
      <c r="Q808" t="s">
        <v>316</v>
      </c>
      <c>
        <v>0.238</v>
      </c>
      <c t="s">
        <v>22490</v>
      </c>
      <c t="s">
        <v>64201</v>
      </c>
      <c t="s">
        <v>53231</v>
      </c>
      <c t="s">
        <v>21379</v>
      </c>
      <c t="s">
        <v>54989</v>
      </c>
      <c t="s">
        <v>22712</v>
      </c>
      <c t="s">
        <v>2619</v>
      </c>
      <c t="s">
        <v>2517</v>
      </c>
      <c t="s">
        <v>39289</v>
      </c>
      <c>
        <v>33909</v>
      </c>
      <c t="s">
        <v>43005</v>
      </c>
      <c t="s">
        <v>48794</v>
      </c>
      <c t="s">
        <v>33011</v>
      </c>
      <c>
        <v>5008</v>
      </c>
      <c r="AI808" t="s">
        <v>21821</v>
      </c>
      <c t="s">
        <v>45620</v>
      </c>
      <c r="AL808" t="s">
        <v>39682</v>
      </c>
      <c r="AN808" t="s">
        <v>50917</v>
      </c>
      <c t="s">
        <v>41790</v>
      </c>
      <c t="s">
        <v>66341</v>
      </c>
      <c t="s">
        <v>3093</v>
      </c>
      <c t="s">
        <v>32642</v>
      </c>
    </row>
    <row>
      <c t="s">
        <v>17594</v>
      </c>
      <c t="s">
        <v>13378</v>
      </c>
      <c t="s">
        <v>43269</v>
      </c>
      <c t="s">
        <v>56467</v>
      </c>
      <c t="s">
        <v>36981</v>
      </c>
      <c s="3">
        <v>6400</v>
      </c>
      <c s="3">
        <v>6400</v>
      </c>
      <c s="3">
        <v>6400</v>
      </c>
      <c>
        <v>0</v>
      </c>
      <c s="3">
        <v>0</v>
      </c>
      <c s="3">
        <v>110.81</v>
      </c>
      <c s="3">
        <v>6400</v>
      </c>
      <c>
        <v>2021</v>
      </c>
      <c>
        <v>146.84</v>
      </c>
      <c s="1" t="str">
        <f ca="1">HYPERLINK("https://web.datatree.com/?/property?propertyId=32240708", "https://web.datatree.com/?/property?propertyId=32240708")</f>
        <v>https://web.datatree.com/?/property?propertyId=32240708</v>
      </c>
      <c r="Q809" t="s">
        <v>316</v>
      </c>
      <c>
        <v>0.324</v>
      </c>
      <c t="s">
        <v>66399</v>
      </c>
      <c t="s">
        <v>59344</v>
      </c>
      <c t="s">
        <v>46201</v>
      </c>
      <c r="X809" t="s">
        <v>35441</v>
      </c>
      <c t="s">
        <v>60186</v>
      </c>
      <c t="s">
        <v>65059</v>
      </c>
      <c t="s">
        <v>39289</v>
      </c>
      <c>
        <v>33905</v>
      </c>
      <c t="s">
        <v>32659</v>
      </c>
      <c t="s">
        <v>48794</v>
      </c>
      <c t="s">
        <v>52601</v>
      </c>
      <c>
        <v>2315</v>
      </c>
      <c r="AH809" t="s">
        <v>15376</v>
      </c>
      <c t="s">
        <v>371</v>
      </c>
      <c t="s">
        <v>39321</v>
      </c>
      <c r="AL809" t="s">
        <v>11713</v>
      </c>
      <c t="s">
        <v>21507</v>
      </c>
      <c t="s">
        <v>39289</v>
      </c>
      <c t="s">
        <v>44659</v>
      </c>
      <c t="s">
        <v>38085</v>
      </c>
      <c t="s">
        <v>3093</v>
      </c>
      <c t="s">
        <v>65384</v>
      </c>
    </row>
    <row>
      <c t="s">
        <v>17594</v>
      </c>
      <c t="s">
        <v>3653</v>
      </c>
      <c t="s">
        <v>33037</v>
      </c>
      <c t="s">
        <v>44467</v>
      </c>
      <c t="s">
        <v>53202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810" s="1" t="str">
        <f ca="1">HYPERLINK("https://web.datatree.com/?/property?propertyId=32240886", "https://web.datatree.com/?/property?propertyId=32240886")</f>
        <v>https://web.datatree.com/?/property?propertyId=32240886</v>
      </c>
      <c r="Q810" t="s">
        <v>316</v>
      </c>
      <c>
        <v>0.23</v>
      </c>
      <c t="s">
        <v>58725</v>
      </c>
      <c t="s">
        <v>52109</v>
      </c>
      <c t="s">
        <v>12066</v>
      </c>
      <c t="s">
        <v>11223</v>
      </c>
      <c t="s">
        <v>12066</v>
      </c>
      <c t="s">
        <v>33185</v>
      </c>
      <c t="s">
        <v>57064</v>
      </c>
      <c t="s">
        <v>2517</v>
      </c>
      <c t="s">
        <v>39289</v>
      </c>
      <c>
        <v>33909</v>
      </c>
      <c t="s">
        <v>6306</v>
      </c>
      <c t="s">
        <v>48794</v>
      </c>
      <c t="s">
        <v>555</v>
      </c>
      <c>
        <v>20023</v>
      </c>
      <c r="AI810" t="s">
        <v>38488</v>
      </c>
      <c r="AL810" t="s">
        <v>24889</v>
      </c>
      <c r="AN810" t="s">
        <v>26304</v>
      </c>
      <c t="s">
        <v>15137</v>
      </c>
      <c t="s">
        <v>14695</v>
      </c>
      <c t="s">
        <v>3093</v>
      </c>
      <c t="s">
        <v>51752</v>
      </c>
    </row>
    <row>
      <c t="s">
        <v>17594</v>
      </c>
      <c t="s">
        <v>2451</v>
      </c>
      <c t="s">
        <v>50028</v>
      </c>
      <c t="s">
        <v>48778</v>
      </c>
      <c t="s">
        <v>15938</v>
      </c>
      <c s="3">
        <v>37001</v>
      </c>
      <c s="3">
        <v>37001</v>
      </c>
      <c s="3">
        <v>10737</v>
      </c>
      <c>
        <v>0</v>
      </c>
      <c s="3">
        <v>0</v>
      </c>
      <c s="3">
        <v>3554.94</v>
      </c>
      <c s="3">
        <v>37001</v>
      </c>
      <c>
        <v>2018</v>
      </c>
      <c>
        <v>37171.67</v>
      </c>
      <c s="1" t="str">
        <f ca="1">HYPERLINK("https://web.datatree.com/?/property?propertyId=32241194", "https://web.datatree.com/?/property?propertyId=32241194")</f>
        <v>https://web.datatree.com/?/property?propertyId=32241194</v>
      </c>
      <c r="Q811" t="s">
        <v>316</v>
      </c>
      <c>
        <v>0.356</v>
      </c>
      <c t="s">
        <v>6175</v>
      </c>
      <c t="s">
        <v>21668</v>
      </c>
      <c t="s">
        <v>66068</v>
      </c>
      <c r="X811" t="s">
        <v>39276</v>
      </c>
      <c t="s">
        <v>55273</v>
      </c>
      <c t="s">
        <v>2517</v>
      </c>
      <c t="s">
        <v>39289</v>
      </c>
      <c>
        <v>33909</v>
      </c>
      <c t="s">
        <v>27524</v>
      </c>
      <c t="s">
        <v>48794</v>
      </c>
      <c t="s">
        <v>43187</v>
      </c>
      <c>
        <v>811</v>
      </c>
      <c r="AI811" t="s">
        <v>49260</v>
      </c>
      <c t="s">
        <v>835</v>
      </c>
      <c r="AL811" t="s">
        <v>40190</v>
      </c>
      <c r="AN811" t="s">
        <v>48152</v>
      </c>
      <c t="s">
        <v>34303</v>
      </c>
      <c t="s">
        <v>14564</v>
      </c>
      <c t="s">
        <v>3093</v>
      </c>
      <c t="s">
        <v>8485</v>
      </c>
    </row>
    <row>
      <c t="s">
        <v>17594</v>
      </c>
      <c t="s">
        <v>22379</v>
      </c>
      <c t="s">
        <v>40746</v>
      </c>
      <c t="s">
        <v>61725</v>
      </c>
      <c t="s">
        <v>4044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812" s="1" t="str">
        <f ca="1">HYPERLINK("https://web.datatree.com/?/property?propertyId=32241353", "https://web.datatree.com/?/property?propertyId=32241353")</f>
        <v>https://web.datatree.com/?/property?propertyId=32241353</v>
      </c>
      <c r="Q812" t="s">
        <v>316</v>
      </c>
      <c>
        <v>0.23</v>
      </c>
      <c t="s">
        <v>6175</v>
      </c>
      <c r="U812" t="s">
        <v>43395</v>
      </c>
      <c r="W812" t="s">
        <v>62805</v>
      </c>
      <c t="s">
        <v>51453</v>
      </c>
      <c t="s">
        <v>50440</v>
      </c>
      <c t="s">
        <v>2517</v>
      </c>
      <c t="s">
        <v>39289</v>
      </c>
      <c>
        <v>33909</v>
      </c>
      <c t="s">
        <v>18259</v>
      </c>
      <c t="s">
        <v>48794</v>
      </c>
      <c t="s">
        <v>40179</v>
      </c>
      <c>
        <v>28</v>
      </c>
      <c r="AI812" t="s">
        <v>33745</v>
      </c>
      <c t="s">
        <v>24900</v>
      </c>
      <c r="AL812" t="s">
        <v>65522</v>
      </c>
      <c r="AN812" t="s">
        <v>50917</v>
      </c>
      <c t="s">
        <v>55510</v>
      </c>
      <c t="s">
        <v>4797</v>
      </c>
      <c t="s">
        <v>3093</v>
      </c>
      <c t="s">
        <v>28977</v>
      </c>
    </row>
    <row>
      <c t="s">
        <v>17594</v>
      </c>
      <c t="s">
        <v>20193</v>
      </c>
      <c t="s">
        <v>54781</v>
      </c>
      <c t="s">
        <v>64210</v>
      </c>
      <c t="s">
        <v>51774</v>
      </c>
      <c s="3">
        <v>30356</v>
      </c>
      <c s="3">
        <v>30356</v>
      </c>
      <c s="3">
        <v>16906</v>
      </c>
      <c>
        <v>0</v>
      </c>
      <c s="3">
        <v>0</v>
      </c>
      <c s="3">
        <v>716.25</v>
      </c>
      <c s="3">
        <v>30356</v>
      </c>
      <c r="O813" s="1" t="str">
        <f ca="1">HYPERLINK("https://web.datatree.com/?/property?propertyId=32241877", "https://web.datatree.com/?/property?propertyId=32241877")</f>
        <v>https://web.datatree.com/?/property?propertyId=32241877</v>
      </c>
      <c r="Q813" t="s">
        <v>316</v>
      </c>
      <c>
        <v>0.23</v>
      </c>
      <c t="s">
        <v>22490</v>
      </c>
      <c t="s">
        <v>24692</v>
      </c>
      <c t="s">
        <v>17141</v>
      </c>
      <c t="s">
        <v>63182</v>
      </c>
      <c t="s">
        <v>17141</v>
      </c>
      <c t="s">
        <v>49481</v>
      </c>
      <c t="s">
        <v>66701</v>
      </c>
      <c t="s">
        <v>2517</v>
      </c>
      <c t="s">
        <v>39289</v>
      </c>
      <c>
        <v>33909</v>
      </c>
      <c t="s">
        <v>13395</v>
      </c>
      <c t="s">
        <v>48794</v>
      </c>
      <c t="s">
        <v>65705</v>
      </c>
      <c>
        <v>21</v>
      </c>
      <c r="AI813" t="s">
        <v>34731</v>
      </c>
      <c t="s">
        <v>45393</v>
      </c>
      <c r="AL813" t="s">
        <v>2849</v>
      </c>
      <c t="s">
        <v>2849</v>
      </c>
      <c t="s">
        <v>27747</v>
      </c>
      <c t="s">
        <v>9749</v>
      </c>
      <c t="s">
        <v>62983</v>
      </c>
      <c t="s">
        <v>3093</v>
      </c>
      <c t="s">
        <v>35736</v>
      </c>
    </row>
    <row>
      <c t="s">
        <v>17594</v>
      </c>
      <c t="s">
        <v>46399</v>
      </c>
      <c t="s">
        <v>67107</v>
      </c>
      <c t="s">
        <v>47399</v>
      </c>
      <c t="s">
        <v>46242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814" s="1" t="str">
        <f ca="1">HYPERLINK("https://web.datatree.com/?/property?propertyId=32242588", "https://web.datatree.com/?/property?propertyId=32242588")</f>
        <v>https://web.datatree.com/?/property?propertyId=32242588</v>
      </c>
      <c r="Q814" t="s">
        <v>316</v>
      </c>
      <c>
        <v>0.23</v>
      </c>
      <c t="s">
        <v>6175</v>
      </c>
      <c r="U814" t="s">
        <v>47500</v>
      </c>
      <c r="W814" t="s">
        <v>51551</v>
      </c>
      <c t="s">
        <v>46529</v>
      </c>
      <c t="s">
        <v>23517</v>
      </c>
      <c t="s">
        <v>2517</v>
      </c>
      <c t="s">
        <v>39289</v>
      </c>
      <c>
        <v>33909</v>
      </c>
      <c t="s">
        <v>9209</v>
      </c>
      <c t="s">
        <v>48794</v>
      </c>
      <c t="s">
        <v>36675</v>
      </c>
      <c>
        <v>151</v>
      </c>
      <c r="AI814" t="s">
        <v>8525</v>
      </c>
      <c t="s">
        <v>45620</v>
      </c>
      <c r="AL814" t="s">
        <v>2578</v>
      </c>
      <c r="AN814" t="s">
        <v>64022</v>
      </c>
      <c t="s">
        <v>15445</v>
      </c>
      <c t="s">
        <v>22455</v>
      </c>
      <c t="s">
        <v>3093</v>
      </c>
      <c t="s">
        <v>11085</v>
      </c>
    </row>
    <row>
      <c t="s">
        <v>17594</v>
      </c>
      <c t="s">
        <v>53397</v>
      </c>
      <c t="s">
        <v>21320</v>
      </c>
      <c t="s">
        <v>62138</v>
      </c>
      <c t="s">
        <v>46935</v>
      </c>
      <c s="3">
        <v>22874</v>
      </c>
      <c s="3">
        <v>22874</v>
      </c>
      <c s="3">
        <v>9433</v>
      </c>
      <c>
        <v>0</v>
      </c>
      <c s="3">
        <v>0</v>
      </c>
      <c s="3">
        <v>415.68</v>
      </c>
      <c s="3">
        <v>22874</v>
      </c>
      <c r="O815" s="1" t="str">
        <f ca="1">HYPERLINK("https://web.datatree.com/?/property?propertyId=32242768", "https://web.datatree.com/?/property?propertyId=32242768")</f>
        <v>https://web.datatree.com/?/property?propertyId=32242768</v>
      </c>
      <c r="Q815" t="s">
        <v>316</v>
      </c>
      <c>
        <v>0.25</v>
      </c>
      <c t="s">
        <v>5471</v>
      </c>
      <c t="s">
        <v>61409</v>
      </c>
      <c t="s">
        <v>64638</v>
      </c>
      <c r="X815" t="s">
        <v>44540</v>
      </c>
      <c t="s">
        <v>17217</v>
      </c>
      <c t="s">
        <v>65059</v>
      </c>
      <c t="s">
        <v>39289</v>
      </c>
      <c>
        <v>33905</v>
      </c>
      <c t="s">
        <v>59620</v>
      </c>
      <c t="s">
        <v>48794</v>
      </c>
      <c t="s">
        <v>8401</v>
      </c>
      <c>
        <v>6267</v>
      </c>
      <c r="AI815" t="s">
        <v>30083</v>
      </c>
      <c t="s">
        <v>30541</v>
      </c>
      <c r="AL815" t="s">
        <v>43922</v>
      </c>
      <c r="AN815" t="s">
        <v>66651</v>
      </c>
      <c t="s">
        <v>39360</v>
      </c>
      <c t="s">
        <v>34162</v>
      </c>
      <c t="s">
        <v>3093</v>
      </c>
      <c t="s">
        <v>14112</v>
      </c>
    </row>
    <row>
      <c t="s">
        <v>17594</v>
      </c>
      <c t="s">
        <v>13268</v>
      </c>
      <c t="s">
        <v>62712</v>
      </c>
      <c t="s">
        <v>54922</v>
      </c>
      <c t="s">
        <v>1656</v>
      </c>
      <c s="3">
        <v>26249</v>
      </c>
      <c s="3">
        <v>26249</v>
      </c>
      <c s="3">
        <v>9339</v>
      </c>
      <c>
        <v>0</v>
      </c>
      <c s="3">
        <v>0</v>
      </c>
      <c s="3">
        <v>663.14</v>
      </c>
      <c s="3">
        <v>26249</v>
      </c>
      <c r="O816" s="1" t="str">
        <f ca="1">HYPERLINK("https://web.datatree.com/?/property?propertyId=32243227", "https://web.datatree.com/?/property?propertyId=32243227")</f>
        <v>https://web.datatree.com/?/property?propertyId=32243227</v>
      </c>
      <c r="Q816" t="s">
        <v>316</v>
      </c>
      <c>
        <v>0.284</v>
      </c>
      <c t="s">
        <v>6175</v>
      </c>
      <c t="s">
        <v>6249</v>
      </c>
      <c t="s">
        <v>24714</v>
      </c>
      <c r="X816" t="s">
        <v>63630</v>
      </c>
      <c t="s">
        <v>39082</v>
      </c>
      <c t="s">
        <v>2517</v>
      </c>
      <c t="s">
        <v>39289</v>
      </c>
      <c>
        <v>33909</v>
      </c>
      <c t="s">
        <v>39205</v>
      </c>
      <c t="s">
        <v>48794</v>
      </c>
      <c t="s">
        <v>13982</v>
      </c>
      <c>
        <v>2595</v>
      </c>
      <c r="AI816" t="s">
        <v>26112</v>
      </c>
      <c t="s">
        <v>40123</v>
      </c>
      <c r="AL816" t="s">
        <v>55393</v>
      </c>
      <c r="AN816" t="s">
        <v>39289</v>
      </c>
      <c t="s">
        <v>50692</v>
      </c>
      <c t="s">
        <v>54916</v>
      </c>
      <c t="s">
        <v>3093</v>
      </c>
      <c t="s">
        <v>17871</v>
      </c>
    </row>
    <row>
      <c t="s">
        <v>17594</v>
      </c>
      <c t="s">
        <v>63564</v>
      </c>
      <c t="s">
        <v>20443</v>
      </c>
      <c t="s">
        <v>18237</v>
      </c>
      <c t="s">
        <v>55737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817" s="1" t="str">
        <f ca="1">HYPERLINK("https://web.datatree.com/?/property?propertyId=32243399", "https://web.datatree.com/?/property?propertyId=32243399")</f>
        <v>https://web.datatree.com/?/property?propertyId=32243399</v>
      </c>
      <c r="Q817" t="s">
        <v>316</v>
      </c>
      <c>
        <v>0.23</v>
      </c>
      <c t="s">
        <v>6175</v>
      </c>
      <c r="U817" t="s">
        <v>27438</v>
      </c>
      <c r="W817" t="s">
        <v>17064</v>
      </c>
      <c t="s">
        <v>53811</v>
      </c>
      <c t="s">
        <v>10653</v>
      </c>
      <c t="s">
        <v>2517</v>
      </c>
      <c t="s">
        <v>39289</v>
      </c>
      <c>
        <v>33909</v>
      </c>
      <c t="s">
        <v>56086</v>
      </c>
      <c t="s">
        <v>48794</v>
      </c>
      <c t="s">
        <v>66369</v>
      </c>
      <c>
        <v>8899</v>
      </c>
      <c r="AI817" t="s">
        <v>62800</v>
      </c>
      <c t="s">
        <v>31192</v>
      </c>
      <c r="AL817" t="s">
        <v>4859</v>
      </c>
      <c r="AN817" t="s">
        <v>39289</v>
      </c>
      <c t="s">
        <v>63263</v>
      </c>
      <c t="s">
        <v>702</v>
      </c>
      <c t="s">
        <v>3093</v>
      </c>
      <c t="s">
        <v>42564</v>
      </c>
    </row>
    <row>
      <c t="s">
        <v>17594</v>
      </c>
      <c t="s">
        <v>40057</v>
      </c>
      <c t="s">
        <v>61758</v>
      </c>
      <c t="s">
        <v>10293</v>
      </c>
      <c t="s">
        <v>23810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818" s="1" t="str">
        <f ca="1">HYPERLINK("https://web.datatree.com/?/property?propertyId=32243993", "https://web.datatree.com/?/property?propertyId=32243993")</f>
        <v>https://web.datatree.com/?/property?propertyId=32243993</v>
      </c>
      <c r="Q818" t="s">
        <v>316</v>
      </c>
      <c>
        <v>0.23</v>
      </c>
      <c t="s">
        <v>22490</v>
      </c>
      <c t="s">
        <v>2140</v>
      </c>
      <c t="s">
        <v>65268</v>
      </c>
      <c t="s">
        <v>21379</v>
      </c>
      <c t="s">
        <v>44694</v>
      </c>
      <c t="s">
        <v>7059</v>
      </c>
      <c t="s">
        <v>49122</v>
      </c>
      <c t="s">
        <v>2517</v>
      </c>
      <c t="s">
        <v>39289</v>
      </c>
      <c>
        <v>33909</v>
      </c>
      <c t="s">
        <v>50675</v>
      </c>
      <c t="s">
        <v>48794</v>
      </c>
      <c t="s">
        <v>986</v>
      </c>
      <c>
        <v>3424</v>
      </c>
      <c r="AI818" t="s">
        <v>33523</v>
      </c>
      <c t="s">
        <v>24900</v>
      </c>
      <c r="AL818" t="s">
        <v>12532</v>
      </c>
      <c r="AN818" t="s">
        <v>51137</v>
      </c>
      <c t="s">
        <v>54826</v>
      </c>
      <c t="s">
        <v>50779</v>
      </c>
      <c t="s">
        <v>3093</v>
      </c>
      <c t="s">
        <v>66834</v>
      </c>
    </row>
    <row>
      <c t="s">
        <v>42103</v>
      </c>
      <c t="s">
        <v>44691</v>
      </c>
      <c t="s">
        <v>7710</v>
      </c>
      <c t="s">
        <v>38687</v>
      </c>
      <c t="s">
        <v>46749</v>
      </c>
      <c s="3">
        <v>4455</v>
      </c>
      <c s="3">
        <v>4455</v>
      </c>
      <c s="3">
        <v>2992</v>
      </c>
      <c>
        <v>0</v>
      </c>
      <c s="3">
        <v>0</v>
      </c>
      <c s="3">
        <v>52.93</v>
      </c>
      <c s="3">
        <v>4455</v>
      </c>
      <c r="O819" s="1" t="str">
        <f ca="1">HYPERLINK("https://web.datatree.com/?/property?propertyId=32244219", "https://web.datatree.com/?/property?propertyId=32244219")</f>
        <v>https://web.datatree.com/?/property?propertyId=32244219</v>
      </c>
      <c r="Q819" t="s">
        <v>316</v>
      </c>
      <c>
        <v>0.067</v>
      </c>
      <c t="s">
        <v>5471</v>
      </c>
      <c r="U819" t="s">
        <v>50180</v>
      </c>
      <c r="W819" t="s">
        <v>3789</v>
      </c>
      <c t="s">
        <v>45349</v>
      </c>
      <c t="s">
        <v>30886</v>
      </c>
      <c t="s">
        <v>65059</v>
      </c>
      <c t="s">
        <v>39289</v>
      </c>
      <c>
        <v>33905</v>
      </c>
      <c t="s">
        <v>58806</v>
      </c>
      <c t="s">
        <v>48794</v>
      </c>
      <c t="s">
        <v>20381</v>
      </c>
      <c r="AI819" t="s">
        <v>56549</v>
      </c>
      <c r="AL819" t="s">
        <v>51776</v>
      </c>
      <c r="AN819" t="s">
        <v>39289</v>
      </c>
      <c t="s">
        <v>7163</v>
      </c>
      <c t="s">
        <v>17273</v>
      </c>
      <c t="s">
        <v>3093</v>
      </c>
      <c t="s">
        <v>45181</v>
      </c>
    </row>
    <row>
      <c t="s">
        <v>17594</v>
      </c>
      <c t="s">
        <v>54576</v>
      </c>
      <c t="s">
        <v>16373</v>
      </c>
      <c t="s">
        <v>59299</v>
      </c>
      <c t="s">
        <v>46759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820" s="1" t="str">
        <f ca="1">HYPERLINK("https://web.datatree.com/?/property?propertyId=32244686", "https://web.datatree.com/?/property?propertyId=32244686")</f>
        <v>https://web.datatree.com/?/property?propertyId=32244686</v>
      </c>
      <c r="Q820" t="s">
        <v>316</v>
      </c>
      <c>
        <v>0.23</v>
      </c>
      <c t="s">
        <v>6175</v>
      </c>
      <c t="s">
        <v>14827</v>
      </c>
      <c t="s">
        <v>39182</v>
      </c>
      <c t="s">
        <v>12799</v>
      </c>
      <c t="s">
        <v>39182</v>
      </c>
      <c t="s">
        <v>57352</v>
      </c>
      <c t="s">
        <v>58797</v>
      </c>
      <c t="s">
        <v>2517</v>
      </c>
      <c t="s">
        <v>39289</v>
      </c>
      <c>
        <v>33909</v>
      </c>
      <c t="s">
        <v>51272</v>
      </c>
      <c t="s">
        <v>48794</v>
      </c>
      <c t="s">
        <v>41746</v>
      </c>
      <c>
        <v>606</v>
      </c>
      <c r="AI820" t="s">
        <v>18679</v>
      </c>
      <c t="s">
        <v>45393</v>
      </c>
      <c r="AL820" t="s">
        <v>58557</v>
      </c>
      <c r="AN820" t="s">
        <v>26304</v>
      </c>
      <c t="s">
        <v>19023</v>
      </c>
      <c t="s">
        <v>19978</v>
      </c>
      <c t="s">
        <v>3093</v>
      </c>
      <c t="s">
        <v>24877</v>
      </c>
    </row>
    <row>
      <c t="s">
        <v>17594</v>
      </c>
      <c t="s">
        <v>24079</v>
      </c>
      <c t="s">
        <v>26161</v>
      </c>
      <c t="s">
        <v>26998</v>
      </c>
      <c t="s">
        <v>20368</v>
      </c>
      <c s="3">
        <v>47586</v>
      </c>
      <c s="3">
        <v>47586</v>
      </c>
      <c s="3">
        <v>34606</v>
      </c>
      <c>
        <v>0</v>
      </c>
      <c s="3">
        <v>0</v>
      </c>
      <c s="3">
        <v>1037.78</v>
      </c>
      <c s="3">
        <v>47586</v>
      </c>
      <c r="O821" s="1" t="str">
        <f ca="1">HYPERLINK("https://web.datatree.com/?/property?propertyId=32245003", "https://web.datatree.com/?/property?propertyId=32245003")</f>
        <v>https://web.datatree.com/?/property?propertyId=32245003</v>
      </c>
      <c r="Q821" t="s">
        <v>316</v>
      </c>
      <c>
        <v>0.245</v>
      </c>
      <c t="s">
        <v>6175</v>
      </c>
      <c t="s">
        <v>60671</v>
      </c>
      <c t="s">
        <v>35750</v>
      </c>
      <c t="s">
        <v>64201</v>
      </c>
      <c t="s">
        <v>35750</v>
      </c>
      <c t="s">
        <v>27384</v>
      </c>
      <c t="s">
        <v>17022</v>
      </c>
      <c t="s">
        <v>2517</v>
      </c>
      <c t="s">
        <v>39289</v>
      </c>
      <c>
        <v>33904</v>
      </c>
      <c t="s">
        <v>24514</v>
      </c>
      <c t="s">
        <v>48794</v>
      </c>
      <c t="s">
        <v>16931</v>
      </c>
      <c>
        <v>1546</v>
      </c>
      <c r="AI821" t="s">
        <v>44271</v>
      </c>
      <c t="s">
        <v>24900</v>
      </c>
      <c r="AL821" t="s">
        <v>21949</v>
      </c>
      <c t="s">
        <v>21949</v>
      </c>
      <c t="s">
        <v>19878</v>
      </c>
      <c t="s">
        <v>20819</v>
      </c>
      <c t="s">
        <v>49977</v>
      </c>
      <c t="s">
        <v>3093</v>
      </c>
      <c t="s">
        <v>44121</v>
      </c>
    </row>
    <row>
      <c t="s">
        <v>17594</v>
      </c>
      <c t="s">
        <v>54255</v>
      </c>
      <c t="s">
        <v>12422</v>
      </c>
      <c t="s">
        <v>28832</v>
      </c>
      <c t="s">
        <v>10055</v>
      </c>
      <c s="3">
        <v>24566</v>
      </c>
      <c s="3">
        <v>24566</v>
      </c>
      <c s="3">
        <v>10956</v>
      </c>
      <c>
        <v>0</v>
      </c>
      <c s="3">
        <v>0</v>
      </c>
      <c s="3">
        <v>717.52</v>
      </c>
      <c s="3">
        <v>24566</v>
      </c>
      <c r="O822" s="1" t="str">
        <f ca="1">HYPERLINK("https://web.datatree.com/?/property?propertyId=32245443", "https://web.datatree.com/?/property?propertyId=32245443")</f>
        <v>https://web.datatree.com/?/property?propertyId=32245443</v>
      </c>
      <c r="Q822" t="s">
        <v>316</v>
      </c>
      <c>
        <v>0.344</v>
      </c>
      <c t="s">
        <v>45031</v>
      </c>
      <c t="s">
        <v>50331</v>
      </c>
      <c t="s">
        <v>14747</v>
      </c>
      <c t="s">
        <v>3320</v>
      </c>
      <c t="s">
        <v>14747</v>
      </c>
      <c t="s">
        <v>52786</v>
      </c>
      <c t="s">
        <v>22731</v>
      </c>
      <c t="s">
        <v>2517</v>
      </c>
      <c t="s">
        <v>39289</v>
      </c>
      <c>
        <v>33909</v>
      </c>
      <c t="s">
        <v>37114</v>
      </c>
      <c t="s">
        <v>48794</v>
      </c>
      <c t="s">
        <v>66681</v>
      </c>
      <c>
        <v>1017</v>
      </c>
      <c r="AI822" t="s">
        <v>9574</v>
      </c>
      <c t="s">
        <v>4985</v>
      </c>
      <c r="AL822" t="s">
        <v>62000</v>
      </c>
      <c t="s">
        <v>62000</v>
      </c>
      <c t="s">
        <v>32657</v>
      </c>
      <c t="s">
        <v>16880</v>
      </c>
      <c t="s">
        <v>12241</v>
      </c>
      <c t="s">
        <v>3093</v>
      </c>
      <c t="s">
        <v>23550</v>
      </c>
    </row>
    <row>
      <c t="s">
        <v>17594</v>
      </c>
      <c t="s">
        <v>27305</v>
      </c>
      <c t="s">
        <v>45632</v>
      </c>
      <c t="s">
        <v>30495</v>
      </c>
      <c t="s">
        <v>43906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823" s="1" t="str">
        <f ca="1">HYPERLINK("https://web.datatree.com/?/property?propertyId=32245568", "https://web.datatree.com/?/property?propertyId=32245568")</f>
        <v>https://web.datatree.com/?/property?propertyId=32245568</v>
      </c>
      <c r="Q823" t="s">
        <v>316</v>
      </c>
      <c>
        <v>0.23</v>
      </c>
      <c t="s">
        <v>6175</v>
      </c>
      <c t="s">
        <v>42671</v>
      </c>
      <c t="s">
        <v>15815</v>
      </c>
      <c r="X823" t="s">
        <v>50117</v>
      </c>
      <c t="s">
        <v>53663</v>
      </c>
      <c t="s">
        <v>2517</v>
      </c>
      <c t="s">
        <v>39289</v>
      </c>
      <c>
        <v>33909</v>
      </c>
      <c t="s">
        <v>11712</v>
      </c>
      <c t="s">
        <v>48794</v>
      </c>
      <c t="s">
        <v>19990</v>
      </c>
      <c>
        <v>456</v>
      </c>
      <c r="AI823" t="s">
        <v>2664</v>
      </c>
      <c t="s">
        <v>41372</v>
      </c>
      <c r="AL823" t="s">
        <v>54122</v>
      </c>
      <c r="AN823" t="s">
        <v>10909</v>
      </c>
      <c t="s">
        <v>7272</v>
      </c>
      <c r="AQ823" t="s">
        <v>27814</v>
      </c>
      <c t="s">
        <v>37603</v>
      </c>
    </row>
    <row>
      <c t="s">
        <v>17594</v>
      </c>
      <c t="s">
        <v>63031</v>
      </c>
      <c t="s">
        <v>36413</v>
      </c>
      <c t="s">
        <v>18029</v>
      </c>
      <c t="s">
        <v>59624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824" s="1" t="str">
        <f ca="1">HYPERLINK("https://web.datatree.com/?/property?propertyId=32246558", "https://web.datatree.com/?/property?propertyId=32246558")</f>
        <v>https://web.datatree.com/?/property?propertyId=32246558</v>
      </c>
      <c r="Q824" t="s">
        <v>316</v>
      </c>
      <c>
        <v>0.243</v>
      </c>
      <c t="s">
        <v>6175</v>
      </c>
      <c r="U824" t="s">
        <v>28463</v>
      </c>
      <c t="s">
        <v>10361</v>
      </c>
      <c t="s">
        <v>19355</v>
      </c>
      <c t="s">
        <v>20894</v>
      </c>
      <c t="s">
        <v>17022</v>
      </c>
      <c t="s">
        <v>2517</v>
      </c>
      <c t="s">
        <v>39289</v>
      </c>
      <c>
        <v>33909</v>
      </c>
      <c t="s">
        <v>34062</v>
      </c>
      <c t="s">
        <v>48794</v>
      </c>
      <c t="s">
        <v>39226</v>
      </c>
      <c>
        <v>10</v>
      </c>
      <c r="AI824" t="s">
        <v>58905</v>
      </c>
      <c t="s">
        <v>31192</v>
      </c>
      <c r="AL824" t="s">
        <v>30563</v>
      </c>
      <c t="s">
        <v>30563</v>
      </c>
      <c t="s">
        <v>50917</v>
      </c>
      <c t="s">
        <v>47405</v>
      </c>
      <c t="s">
        <v>49977</v>
      </c>
      <c t="s">
        <v>3093</v>
      </c>
      <c t="s">
        <v>66791</v>
      </c>
    </row>
    <row>
      <c t="s">
        <v>17594</v>
      </c>
      <c t="s">
        <v>1267</v>
      </c>
      <c t="s">
        <v>26171</v>
      </c>
      <c t="s">
        <v>50486</v>
      </c>
      <c t="s">
        <v>31486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825" s="1" t="str">
        <f ca="1">HYPERLINK("https://web.datatree.com/?/property?propertyId=32246761", "https://web.datatree.com/?/property?propertyId=32246761")</f>
        <v>https://web.datatree.com/?/property?propertyId=32246761</v>
      </c>
      <c r="Q825" t="s">
        <v>316</v>
      </c>
      <c>
        <v>0.23</v>
      </c>
      <c t="s">
        <v>6175</v>
      </c>
      <c t="s">
        <v>16200</v>
      </c>
      <c t="s">
        <v>48928</v>
      </c>
      <c t="s">
        <v>30591</v>
      </c>
      <c t="s">
        <v>48928</v>
      </c>
      <c t="s">
        <v>66292</v>
      </c>
      <c t="s">
        <v>33893</v>
      </c>
      <c t="s">
        <v>2517</v>
      </c>
      <c t="s">
        <v>39289</v>
      </c>
      <c>
        <v>33909</v>
      </c>
      <c t="s">
        <v>19542</v>
      </c>
      <c t="s">
        <v>48794</v>
      </c>
      <c t="s">
        <v>46923</v>
      </c>
      <c>
        <v>506</v>
      </c>
      <c r="AI825" t="s">
        <v>49463</v>
      </c>
      <c t="s">
        <v>45393</v>
      </c>
      <c r="AL825" t="s">
        <v>48688</v>
      </c>
      <c r="AN825" t="s">
        <v>17134</v>
      </c>
      <c t="s">
        <v>11961</v>
      </c>
      <c t="s">
        <v>45980</v>
      </c>
      <c t="s">
        <v>3093</v>
      </c>
      <c t="s">
        <v>1530</v>
      </c>
    </row>
    <row>
      <c t="s">
        <v>17594</v>
      </c>
      <c t="s">
        <v>10879</v>
      </c>
      <c t="s">
        <v>20581</v>
      </c>
      <c t="s">
        <v>51286</v>
      </c>
      <c t="s">
        <v>43890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826" s="1" t="str">
        <f ca="1">HYPERLINK("https://web.datatree.com/?/property?propertyId=32246772", "https://web.datatree.com/?/property?propertyId=32246772")</f>
        <v>https://web.datatree.com/?/property?propertyId=32246772</v>
      </c>
      <c r="Q826" t="s">
        <v>316</v>
      </c>
      <c>
        <v>0.225</v>
      </c>
      <c t="s">
        <v>5471</v>
      </c>
      <c t="s">
        <v>2140</v>
      </c>
      <c t="s">
        <v>54138</v>
      </c>
      <c t="s">
        <v>21379</v>
      </c>
      <c t="s">
        <v>54138</v>
      </c>
      <c t="s">
        <v>51091</v>
      </c>
      <c t="s">
        <v>15518</v>
      </c>
      <c t="s">
        <v>65059</v>
      </c>
      <c t="s">
        <v>39289</v>
      </c>
      <c>
        <v>33905</v>
      </c>
      <c t="s">
        <v>34623</v>
      </c>
      <c t="s">
        <v>48794</v>
      </c>
      <c t="s">
        <v>19617</v>
      </c>
      <c>
        <v>13311</v>
      </c>
      <c r="AI826" t="s">
        <v>5364</v>
      </c>
      <c t="s">
        <v>40123</v>
      </c>
      <c r="AL826" t="s">
        <v>58657</v>
      </c>
      <c r="AN826" t="s">
        <v>19878</v>
      </c>
      <c t="s">
        <v>50060</v>
      </c>
      <c t="s">
        <v>22152</v>
      </c>
      <c t="s">
        <v>3093</v>
      </c>
      <c t="s">
        <v>21663</v>
      </c>
    </row>
    <row>
      <c t="s">
        <v>17594</v>
      </c>
      <c t="s">
        <v>14211</v>
      </c>
      <c t="s">
        <v>17817</v>
      </c>
      <c t="s">
        <v>40473</v>
      </c>
      <c t="s">
        <v>10698</v>
      </c>
      <c s="3">
        <v>8600</v>
      </c>
      <c s="3">
        <v>8600</v>
      </c>
      <c s="3">
        <v>8600</v>
      </c>
      <c>
        <v>0</v>
      </c>
      <c s="3">
        <v>0</v>
      </c>
      <c s="3">
        <v>670.29</v>
      </c>
      <c s="3">
        <v>8600</v>
      </c>
      <c>
        <v>2021</v>
      </c>
      <c>
        <v>539.27</v>
      </c>
      <c s="1" t="str">
        <f ca="1">HYPERLINK("https://web.datatree.com/?/property?propertyId=32246820", "https://web.datatree.com/?/property?propertyId=32246820")</f>
        <v>https://web.datatree.com/?/property?propertyId=32246820</v>
      </c>
      <c r="Q827" t="s">
        <v>316</v>
      </c>
      <c>
        <v>0.236</v>
      </c>
      <c t="s">
        <v>42044</v>
      </c>
      <c t="s">
        <v>40417</v>
      </c>
      <c t="s">
        <v>13679</v>
      </c>
      <c t="s">
        <v>1581</v>
      </c>
      <c r="X827" t="s">
        <v>9851</v>
      </c>
      <c t="s">
        <v>13478</v>
      </c>
      <c t="s">
        <v>2517</v>
      </c>
      <c t="s">
        <v>39289</v>
      </c>
      <c>
        <v>33909</v>
      </c>
      <c t="s">
        <v>54684</v>
      </c>
      <c t="s">
        <v>48794</v>
      </c>
      <c t="s">
        <v>54157</v>
      </c>
      <c>
        <v>4800</v>
      </c>
      <c r="AI827" t="s">
        <v>17022</v>
      </c>
      <c t="s">
        <v>55842</v>
      </c>
      <c r="AL827" t="s">
        <v>29515</v>
      </c>
      <c t="s">
        <v>29515</v>
      </c>
      <c t="s">
        <v>39289</v>
      </c>
      <c t="s">
        <v>6846</v>
      </c>
      <c t="s">
        <v>22302</v>
      </c>
      <c t="s">
        <v>3093</v>
      </c>
      <c t="s">
        <v>26237</v>
      </c>
    </row>
    <row>
      <c t="s">
        <v>17594</v>
      </c>
      <c t="s">
        <v>47740</v>
      </c>
      <c t="s">
        <v>36984</v>
      </c>
      <c t="s">
        <v>11503</v>
      </c>
      <c t="s">
        <v>53049</v>
      </c>
      <c s="3">
        <v>17859</v>
      </c>
      <c s="3">
        <v>17859</v>
      </c>
      <c s="3">
        <v>8910</v>
      </c>
      <c>
        <v>0</v>
      </c>
      <c s="3">
        <v>0</v>
      </c>
      <c s="3">
        <v>566.28</v>
      </c>
      <c s="3">
        <v>17859</v>
      </c>
      <c r="O828" s="1" t="str">
        <f ca="1">HYPERLINK("https://web.datatree.com/?/property?propertyId=32246847", "https://web.datatree.com/?/property?propertyId=32246847")</f>
        <v>https://web.datatree.com/?/property?propertyId=32246847</v>
      </c>
      <c r="Q828" t="s">
        <v>316</v>
      </c>
      <c>
        <v>0.244</v>
      </c>
      <c t="s">
        <v>6175</v>
      </c>
      <c t="s">
        <v>44610</v>
      </c>
      <c t="s">
        <v>21026</v>
      </c>
      <c r="X828" t="s">
        <v>32346</v>
      </c>
      <c t="s">
        <v>10653</v>
      </c>
      <c t="s">
        <v>2517</v>
      </c>
      <c t="s">
        <v>39289</v>
      </c>
      <c>
        <v>33909</v>
      </c>
      <c t="s">
        <v>48183</v>
      </c>
      <c t="s">
        <v>48794</v>
      </c>
      <c t="s">
        <v>18535</v>
      </c>
      <c>
        <v>1009</v>
      </c>
      <c r="AI828" t="s">
        <v>57908</v>
      </c>
      <c t="s">
        <v>45393</v>
      </c>
      <c r="AL828" t="s">
        <v>40928</v>
      </c>
      <c r="AN828" t="s">
        <v>26016</v>
      </c>
      <c t="s">
        <v>19319</v>
      </c>
      <c t="s">
        <v>17380</v>
      </c>
      <c t="s">
        <v>3093</v>
      </c>
      <c t="s">
        <v>62308</v>
      </c>
    </row>
    <row>
      <c t="s">
        <v>17594</v>
      </c>
      <c t="s">
        <v>21966</v>
      </c>
      <c t="s">
        <v>49722</v>
      </c>
      <c t="s">
        <v>19943</v>
      </c>
      <c t="s">
        <v>40619</v>
      </c>
      <c s="3">
        <v>52223</v>
      </c>
      <c s="3">
        <v>52223</v>
      </c>
      <c s="3">
        <v>35369</v>
      </c>
      <c>
        <v>0</v>
      </c>
      <c s="3">
        <v>0</v>
      </c>
      <c s="3">
        <v>1070.34</v>
      </c>
      <c s="3">
        <v>52223</v>
      </c>
      <c r="O829" s="1" t="str">
        <f ca="1">HYPERLINK("https://web.datatree.com/?/property?propertyId=32246960", "https://web.datatree.com/?/property?propertyId=32246960")</f>
        <v>https://web.datatree.com/?/property?propertyId=32246960</v>
      </c>
      <c r="Q829" t="s">
        <v>316</v>
      </c>
      <c>
        <v>0.259</v>
      </c>
      <c t="s">
        <v>22490</v>
      </c>
      <c t="s">
        <v>56664</v>
      </c>
      <c t="s">
        <v>53195</v>
      </c>
      <c r="X829" t="s">
        <v>34044</v>
      </c>
      <c t="s">
        <v>2626</v>
      </c>
      <c t="s">
        <v>2517</v>
      </c>
      <c t="s">
        <v>39289</v>
      </c>
      <c>
        <v>33909</v>
      </c>
      <c t="s">
        <v>44114</v>
      </c>
      <c t="s">
        <v>48794</v>
      </c>
      <c t="s">
        <v>48567</v>
      </c>
      <c>
        <v>9326</v>
      </c>
      <c r="AI829" t="s">
        <v>4944</v>
      </c>
      <c t="s">
        <v>41372</v>
      </c>
      <c r="AL829" t="s">
        <v>23779</v>
      </c>
      <c r="AN829" t="s">
        <v>50917</v>
      </c>
      <c t="s">
        <v>52453</v>
      </c>
      <c t="s">
        <v>31626</v>
      </c>
      <c t="s">
        <v>3093</v>
      </c>
      <c t="s">
        <v>56323</v>
      </c>
    </row>
    <row>
      <c t="s">
        <v>17594</v>
      </c>
      <c t="s">
        <v>67101</v>
      </c>
      <c t="s">
        <v>20631</v>
      </c>
      <c t="s">
        <v>45771</v>
      </c>
      <c t="s">
        <v>14484</v>
      </c>
      <c s="3">
        <v>7344</v>
      </c>
      <c s="3">
        <v>7344</v>
      </c>
      <c s="3">
        <v>7344</v>
      </c>
      <c>
        <v>0</v>
      </c>
      <c s="3">
        <v>0</v>
      </c>
      <c s="3">
        <v>490.44</v>
      </c>
      <c s="3">
        <v>7344</v>
      </c>
      <c r="O830" s="1" t="str">
        <f ca="1">HYPERLINK("https://web.datatree.com/?/property?propertyId=32247298", "https://web.datatree.com/?/property?propertyId=32247298")</f>
        <v>https://web.datatree.com/?/property?propertyId=32247298</v>
      </c>
      <c r="Q830" t="s">
        <v>316</v>
      </c>
      <c>
        <v>0.226</v>
      </c>
      <c t="s">
        <v>6175</v>
      </c>
      <c t="s">
        <v>57654</v>
      </c>
      <c t="s">
        <v>39768</v>
      </c>
      <c r="X830" t="s">
        <v>52973</v>
      </c>
      <c t="s">
        <v>59763</v>
      </c>
      <c t="s">
        <v>2517</v>
      </c>
      <c t="s">
        <v>39289</v>
      </c>
      <c>
        <v>33909</v>
      </c>
      <c t="s">
        <v>41681</v>
      </c>
      <c t="s">
        <v>48794</v>
      </c>
      <c t="s">
        <v>20096</v>
      </c>
      <c>
        <v>14221</v>
      </c>
      <c r="AI830" t="s">
        <v>62852</v>
      </c>
      <c r="AL830" t="s">
        <v>41133</v>
      </c>
      <c r="AN830" t="s">
        <v>18236</v>
      </c>
      <c t="s">
        <v>7496</v>
      </c>
      <c t="s">
        <v>14695</v>
      </c>
      <c t="s">
        <v>3093</v>
      </c>
      <c t="s">
        <v>9535</v>
      </c>
    </row>
    <row>
      <c t="s">
        <v>17594</v>
      </c>
      <c t="s">
        <v>571</v>
      </c>
      <c t="s">
        <v>4585</v>
      </c>
      <c t="s">
        <v>43049</v>
      </c>
      <c t="s">
        <v>267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831" s="1" t="str">
        <f ca="1">HYPERLINK("https://web.datatree.com/?/property?propertyId=32247703", "https://web.datatree.com/?/property?propertyId=32247703")</f>
        <v>https://web.datatree.com/?/property?propertyId=32247703</v>
      </c>
      <c r="Q831" t="s">
        <v>316</v>
      </c>
      <c>
        <v>0.233</v>
      </c>
      <c t="s">
        <v>5471</v>
      </c>
      <c r="U831" t="s">
        <v>383</v>
      </c>
      <c r="W831" t="s">
        <v>49825</v>
      </c>
      <c t="s">
        <v>48553</v>
      </c>
      <c t="s">
        <v>26386</v>
      </c>
      <c t="s">
        <v>65059</v>
      </c>
      <c t="s">
        <v>39289</v>
      </c>
      <c>
        <v>33905</v>
      </c>
      <c t="s">
        <v>7757</v>
      </c>
      <c t="s">
        <v>48794</v>
      </c>
      <c t="s">
        <v>22750</v>
      </c>
      <c>
        <v>802</v>
      </c>
      <c r="AI831" t="s">
        <v>34305</v>
      </c>
      <c t="s">
        <v>31192</v>
      </c>
      <c r="AL831" t="s">
        <v>29442</v>
      </c>
      <c r="AN831" t="s">
        <v>18236</v>
      </c>
      <c t="s">
        <v>59848</v>
      </c>
      <c t="s">
        <v>33029</v>
      </c>
      <c t="s">
        <v>3093</v>
      </c>
      <c t="s">
        <v>9197</v>
      </c>
    </row>
    <row>
      <c t="s">
        <v>17594</v>
      </c>
      <c t="s">
        <v>9850</v>
      </c>
      <c t="s">
        <v>57034</v>
      </c>
      <c t="s">
        <v>57568</v>
      </c>
      <c t="s">
        <v>62919</v>
      </c>
      <c s="3">
        <v>24937</v>
      </c>
      <c s="3">
        <v>24937</v>
      </c>
      <c s="3">
        <v>9079</v>
      </c>
      <c>
        <v>0</v>
      </c>
      <c s="3">
        <v>0</v>
      </c>
      <c s="3">
        <v>2941.31</v>
      </c>
      <c s="3">
        <v>24937</v>
      </c>
      <c>
        <v>2021</v>
      </c>
      <c>
        <v>2891.13</v>
      </c>
      <c s="1" t="str">
        <f ca="1">HYPERLINK("https://web.datatree.com/?/property?propertyId=32248119", "https://web.datatree.com/?/property?propertyId=32248119")</f>
        <v>https://web.datatree.com/?/property?propertyId=32248119</v>
      </c>
      <c r="Q832" t="s">
        <v>316</v>
      </c>
      <c>
        <v>0.236</v>
      </c>
      <c t="s">
        <v>6175</v>
      </c>
      <c t="s">
        <v>31950</v>
      </c>
      <c t="s">
        <v>35412</v>
      </c>
      <c r="X832" t="s">
        <v>34596</v>
      </c>
      <c t="s">
        <v>66701</v>
      </c>
      <c t="s">
        <v>2517</v>
      </c>
      <c t="s">
        <v>39289</v>
      </c>
      <c>
        <v>33909</v>
      </c>
      <c t="s">
        <v>59783</v>
      </c>
      <c t="s">
        <v>48794</v>
      </c>
      <c t="s">
        <v>51732</v>
      </c>
      <c>
        <v>2401</v>
      </c>
      <c r="AI832" t="s">
        <v>28744</v>
      </c>
      <c t="s">
        <v>31192</v>
      </c>
      <c r="AL832" t="s">
        <v>24648</v>
      </c>
      <c r="AN832" t="s">
        <v>26016</v>
      </c>
      <c t="s">
        <v>19052</v>
      </c>
      <c t="s">
        <v>54916</v>
      </c>
      <c t="s">
        <v>3093</v>
      </c>
      <c t="s">
        <v>5741</v>
      </c>
    </row>
    <row>
      <c t="s">
        <v>17594</v>
      </c>
      <c t="s">
        <v>6757</v>
      </c>
      <c t="s">
        <v>6899</v>
      </c>
      <c t="s">
        <v>61785</v>
      </c>
      <c t="s">
        <v>47910</v>
      </c>
      <c s="3">
        <v>24480</v>
      </c>
      <c s="3">
        <v>24480</v>
      </c>
      <c s="3">
        <v>15972</v>
      </c>
      <c>
        <v>0</v>
      </c>
      <c s="3">
        <v>0</v>
      </c>
      <c s="3">
        <v>282.4</v>
      </c>
      <c s="3">
        <v>24480</v>
      </c>
      <c r="O833" s="1" t="str">
        <f ca="1">HYPERLINK("https://web.datatree.com/?/property?propertyId=32248260", "https://web.datatree.com/?/property?propertyId=32248260")</f>
        <v>https://web.datatree.com/?/property?propertyId=32248260</v>
      </c>
      <c r="Q833" t="s">
        <v>316</v>
      </c>
      <c>
        <v>0.255</v>
      </c>
      <c t="s">
        <v>5471</v>
      </c>
      <c t="s">
        <v>50366</v>
      </c>
      <c t="s">
        <v>58564</v>
      </c>
      <c r="X833" t="s">
        <v>63780</v>
      </c>
      <c t="s">
        <v>43042</v>
      </c>
      <c t="s">
        <v>54524</v>
      </c>
      <c t="s">
        <v>39289</v>
      </c>
      <c>
        <v>33903</v>
      </c>
      <c t="s">
        <v>26072</v>
      </c>
      <c t="s">
        <v>48794</v>
      </c>
      <c t="s">
        <v>44772</v>
      </c>
      <c>
        <v>113</v>
      </c>
      <c r="AI833" t="s">
        <v>53948</v>
      </c>
      <c t="s">
        <v>1289</v>
      </c>
      <c r="AL833" t="s">
        <v>5383</v>
      </c>
      <c t="s">
        <v>11988</v>
      </c>
      <c t="s">
        <v>39289</v>
      </c>
      <c t="s">
        <v>3858</v>
      </c>
      <c t="s">
        <v>62830</v>
      </c>
      <c t="s">
        <v>3093</v>
      </c>
      <c t="s">
        <v>19016</v>
      </c>
    </row>
    <row>
      <c t="s">
        <v>17594</v>
      </c>
      <c t="s">
        <v>55495</v>
      </c>
      <c t="s">
        <v>16054</v>
      </c>
      <c t="s">
        <v>22704</v>
      </c>
      <c t="s">
        <v>61518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834" s="1" t="str">
        <f ca="1">HYPERLINK("https://web.datatree.com/?/property?propertyId=32248372", "https://web.datatree.com/?/property?propertyId=32248372")</f>
        <v>https://web.datatree.com/?/property?propertyId=32248372</v>
      </c>
      <c r="Q834" t="s">
        <v>316</v>
      </c>
      <c>
        <v>0.241</v>
      </c>
      <c t="s">
        <v>6175</v>
      </c>
      <c t="s">
        <v>981</v>
      </c>
      <c t="s">
        <v>5201</v>
      </c>
      <c r="X834" t="s">
        <v>62073</v>
      </c>
      <c t="s">
        <v>29190</v>
      </c>
      <c t="s">
        <v>2517</v>
      </c>
      <c t="s">
        <v>39289</v>
      </c>
      <c>
        <v>33909</v>
      </c>
      <c t="s">
        <v>42916</v>
      </c>
      <c t="s">
        <v>48794</v>
      </c>
      <c t="s">
        <v>45629</v>
      </c>
      <c>
        <v>5209</v>
      </c>
      <c r="AI834" t="s">
        <v>8737</v>
      </c>
      <c t="s">
        <v>41372</v>
      </c>
      <c r="AL834" t="s">
        <v>55393</v>
      </c>
      <c r="AN834" t="s">
        <v>39289</v>
      </c>
      <c>
        <v>33175</v>
      </c>
      <c t="s">
        <v>4660</v>
      </c>
      <c t="s">
        <v>3093</v>
      </c>
      <c t="s">
        <v>14582</v>
      </c>
    </row>
    <row>
      <c t="s">
        <v>17594</v>
      </c>
      <c t="s">
        <v>3244</v>
      </c>
      <c t="s">
        <v>19127</v>
      </c>
      <c t="s">
        <v>59075</v>
      </c>
      <c t="s">
        <v>23571</v>
      </c>
      <c s="3">
        <v>28000</v>
      </c>
      <c s="3">
        <v>28000</v>
      </c>
      <c s="3">
        <v>12320</v>
      </c>
      <c>
        <v>0</v>
      </c>
      <c s="3">
        <v>0</v>
      </c>
      <c s="3">
        <v>2839.66</v>
      </c>
      <c s="3">
        <v>28000</v>
      </c>
      <c>
        <v>2021</v>
      </c>
      <c>
        <v>2895.65</v>
      </c>
      <c s="1" t="str">
        <f ca="1">HYPERLINK("https://web.datatree.com/?/property?propertyId=32248420", "https://web.datatree.com/?/property?propertyId=32248420")</f>
        <v>https://web.datatree.com/?/property?propertyId=32248420</v>
      </c>
      <c r="Q835" t="s">
        <v>316</v>
      </c>
      <c>
        <v>0.23</v>
      </c>
      <c t="s">
        <v>45031</v>
      </c>
      <c t="s">
        <v>6375</v>
      </c>
      <c t="s">
        <v>52299</v>
      </c>
      <c t="s">
        <v>91</v>
      </c>
      <c t="s">
        <v>52299</v>
      </c>
      <c t="s">
        <v>61653</v>
      </c>
      <c t="s">
        <v>18679</v>
      </c>
      <c t="s">
        <v>2517</v>
      </c>
      <c t="s">
        <v>39289</v>
      </c>
      <c>
        <v>33909</v>
      </c>
      <c t="s">
        <v>63886</v>
      </c>
      <c t="s">
        <v>48794</v>
      </c>
      <c t="s">
        <v>54052</v>
      </c>
      <c>
        <v>103</v>
      </c>
      <c r="AI835" t="s">
        <v>18763</v>
      </c>
      <c t="s">
        <v>45393</v>
      </c>
      <c r="AL835" t="s">
        <v>5312</v>
      </c>
      <c t="s">
        <v>13397</v>
      </c>
      <c t="s">
        <v>50917</v>
      </c>
      <c>
        <v>11417</v>
      </c>
      <c r="AQ835" t="s">
        <v>3093</v>
      </c>
      <c t="s">
        <v>22881</v>
      </c>
    </row>
    <row>
      <c t="s">
        <v>42103</v>
      </c>
      <c t="s">
        <v>46657</v>
      </c>
      <c t="s">
        <v>7746</v>
      </c>
      <c t="s">
        <v>21682</v>
      </c>
      <c t="s">
        <v>40911</v>
      </c>
      <c s="3">
        <v>37248</v>
      </c>
      <c s="3">
        <v>37248</v>
      </c>
      <c s="3">
        <v>10848</v>
      </c>
      <c>
        <v>0</v>
      </c>
      <c s="3">
        <v>0</v>
      </c>
      <c s="3">
        <v>1662.17</v>
      </c>
      <c s="3">
        <v>37248</v>
      </c>
      <c>
        <v>2017</v>
      </c>
      <c>
        <v>18295.91</v>
      </c>
      <c s="1" t="str">
        <f ca="1">HYPERLINK("https://web.datatree.com/?/property?propertyId=32248449", "https://web.datatree.com/?/property?propertyId=32248449")</f>
        <v>https://web.datatree.com/?/property?propertyId=32248449</v>
      </c>
      <c r="Q836" t="s">
        <v>316</v>
      </c>
      <c>
        <v>0.242</v>
      </c>
      <c t="s">
        <v>6175</v>
      </c>
      <c t="s">
        <v>50830</v>
      </c>
      <c t="s">
        <v>23789</v>
      </c>
      <c r="X836" t="s">
        <v>20360</v>
      </c>
      <c t="s">
        <v>53675</v>
      </c>
      <c t="s">
        <v>2517</v>
      </c>
      <c t="s">
        <v>39289</v>
      </c>
      <c>
        <v>33909</v>
      </c>
      <c t="s">
        <v>37778</v>
      </c>
      <c t="s">
        <v>48794</v>
      </c>
      <c t="s">
        <v>18249</v>
      </c>
      <c r="AI836" t="s">
        <v>61241</v>
      </c>
      <c r="AL836" t="s">
        <v>51770</v>
      </c>
      <c t="s">
        <v>51770</v>
      </c>
      <c t="s">
        <v>26016</v>
      </c>
      <c>
        <v>8027</v>
      </c>
      <c r="AR836" t="s">
        <v>22374</v>
      </c>
    </row>
    <row>
      <c t="s">
        <v>17594</v>
      </c>
      <c t="s">
        <v>53267</v>
      </c>
      <c t="s">
        <v>9125</v>
      </c>
      <c t="s">
        <v>14999</v>
      </c>
      <c t="s">
        <v>5014</v>
      </c>
      <c s="3">
        <v>97340</v>
      </c>
      <c s="3">
        <v>90000</v>
      </c>
      <c s="3">
        <v>97340</v>
      </c>
      <c>
        <v>0</v>
      </c>
      <c s="3">
        <v>0</v>
      </c>
      <c s="3">
        <v>1462.26</v>
      </c>
      <c s="3">
        <v>97340</v>
      </c>
      <c r="O837" s="1" t="str">
        <f ca="1">HYPERLINK("https://web.datatree.com/?/property?propertyId=32248845", "https://web.datatree.com/?/property?propertyId=32248845")</f>
        <v>https://web.datatree.com/?/property?propertyId=32248845</v>
      </c>
      <c r="Q837" t="s">
        <v>316</v>
      </c>
      <c>
        <v>0.095</v>
      </c>
      <c t="s">
        <v>26492</v>
      </c>
      <c t="s">
        <v>38202</v>
      </c>
      <c t="s">
        <v>64379</v>
      </c>
      <c t="s">
        <v>4868</v>
      </c>
      <c t="s">
        <v>64379</v>
      </c>
      <c t="s">
        <v>15037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24007</v>
      </c>
      <c>
        <v>782</v>
      </c>
      <c r="AI837" t="s">
        <v>7027</v>
      </c>
      <c t="s">
        <v>45620</v>
      </c>
      <c r="AL837" t="s">
        <v>29542</v>
      </c>
      <c t="s">
        <v>40227</v>
      </c>
      <c t="s">
        <v>22275</v>
      </c>
      <c t="s">
        <v>57915</v>
      </c>
      <c t="s">
        <v>702</v>
      </c>
      <c t="s">
        <v>3093</v>
      </c>
      <c t="s">
        <v>60531</v>
      </c>
    </row>
    <row>
      <c t="s">
        <v>17594</v>
      </c>
      <c t="s">
        <v>18725</v>
      </c>
      <c t="s">
        <v>14159</v>
      </c>
      <c t="s">
        <v>54849</v>
      </c>
      <c t="s">
        <v>46671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838" s="1" t="str">
        <f ca="1">HYPERLINK("https://web.datatree.com/?/property?propertyId=32249430", "https://web.datatree.com/?/property?propertyId=32249430")</f>
        <v>https://web.datatree.com/?/property?propertyId=32249430</v>
      </c>
      <c r="Q838" t="s">
        <v>316</v>
      </c>
      <c>
        <v>0.23</v>
      </c>
      <c t="s">
        <v>6175</v>
      </c>
      <c r="U838" t="s">
        <v>49258</v>
      </c>
      <c r="W838" t="s">
        <v>14154</v>
      </c>
      <c t="s">
        <v>38683</v>
      </c>
      <c t="s">
        <v>8669</v>
      </c>
      <c t="s">
        <v>2517</v>
      </c>
      <c t="s">
        <v>39289</v>
      </c>
      <c>
        <v>33909</v>
      </c>
      <c t="s">
        <v>24905</v>
      </c>
      <c t="s">
        <v>48794</v>
      </c>
      <c t="s">
        <v>13603</v>
      </c>
      <c>
        <v>1105</v>
      </c>
      <c r="AI838" t="s">
        <v>49482</v>
      </c>
      <c r="AL838" t="s">
        <v>13115</v>
      </c>
      <c r="AN838" t="s">
        <v>58733</v>
      </c>
      <c t="s">
        <v>13442</v>
      </c>
      <c t="s">
        <v>18527</v>
      </c>
      <c t="s">
        <v>3093</v>
      </c>
      <c t="s">
        <v>28737</v>
      </c>
    </row>
    <row>
      <c t="s">
        <v>17594</v>
      </c>
      <c t="s">
        <v>43029</v>
      </c>
      <c t="s">
        <v>18480</v>
      </c>
      <c t="s">
        <v>65820</v>
      </c>
      <c t="s">
        <v>55353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839" s="1" t="str">
        <f ca="1">HYPERLINK("https://web.datatree.com/?/property?propertyId=32249615", "https://web.datatree.com/?/property?propertyId=32249615")</f>
        <v>https://web.datatree.com/?/property?propertyId=32249615</v>
      </c>
      <c r="Q839" t="s">
        <v>316</v>
      </c>
      <c>
        <v>0.236</v>
      </c>
      <c t="s">
        <v>6175</v>
      </c>
      <c t="s">
        <v>10600</v>
      </c>
      <c t="s">
        <v>29670</v>
      </c>
      <c t="s">
        <v>552</v>
      </c>
      <c t="s">
        <v>29670</v>
      </c>
      <c t="s">
        <v>34202</v>
      </c>
      <c t="s">
        <v>18679</v>
      </c>
      <c t="s">
        <v>2517</v>
      </c>
      <c t="s">
        <v>39289</v>
      </c>
      <c>
        <v>33909</v>
      </c>
      <c t="s">
        <v>43593</v>
      </c>
      <c t="s">
        <v>48794</v>
      </c>
      <c t="s">
        <v>63658</v>
      </c>
      <c>
        <v>5671</v>
      </c>
      <c r="AI839" t="s">
        <v>27929</v>
      </c>
      <c t="s">
        <v>31192</v>
      </c>
      <c r="AL839" t="s">
        <v>43594</v>
      </c>
      <c t="s">
        <v>43594</v>
      </c>
      <c t="s">
        <v>65451</v>
      </c>
      <c t="s">
        <v>45011</v>
      </c>
      <c t="s">
        <v>44428</v>
      </c>
      <c t="s">
        <v>3093</v>
      </c>
      <c t="s">
        <v>13658</v>
      </c>
    </row>
    <row>
      <c t="s">
        <v>17594</v>
      </c>
      <c t="s">
        <v>58793</v>
      </c>
      <c t="s">
        <v>35937</v>
      </c>
      <c t="s">
        <v>46960</v>
      </c>
      <c t="s">
        <v>47462</v>
      </c>
      <c s="3">
        <v>28875</v>
      </c>
      <c s="3">
        <v>28875</v>
      </c>
      <c s="3">
        <v>9902</v>
      </c>
      <c>
        <v>0</v>
      </c>
      <c s="3">
        <v>0</v>
      </c>
      <c s="3">
        <v>442.05</v>
      </c>
      <c s="3">
        <v>28875</v>
      </c>
      <c r="O840" s="1" t="str">
        <f ca="1">HYPERLINK("https://web.datatree.com/?/property?propertyId=32249662", "https://web.datatree.com/?/property?propertyId=32249662")</f>
        <v>https://web.datatree.com/?/property?propertyId=32249662</v>
      </c>
      <c r="Q840" t="s">
        <v>316</v>
      </c>
      <c>
        <v>0.317</v>
      </c>
      <c t="s">
        <v>5471</v>
      </c>
      <c t="s">
        <v>34179</v>
      </c>
      <c t="s">
        <v>1067</v>
      </c>
      <c t="s">
        <v>8322</v>
      </c>
      <c t="s">
        <v>1067</v>
      </c>
      <c t="s">
        <v>56938</v>
      </c>
      <c t="s">
        <v>35140</v>
      </c>
      <c t="s">
        <v>65059</v>
      </c>
      <c t="s">
        <v>39289</v>
      </c>
      <c>
        <v>33905</v>
      </c>
      <c t="s">
        <v>26951</v>
      </c>
      <c t="s">
        <v>48794</v>
      </c>
      <c t="s">
        <v>47373</v>
      </c>
      <c>
        <v>4548</v>
      </c>
      <c r="AI840" t="s">
        <v>18490</v>
      </c>
      <c t="s">
        <v>45620</v>
      </c>
      <c r="AL840" t="s">
        <v>53294</v>
      </c>
      <c r="AN840" t="s">
        <v>50917</v>
      </c>
      <c t="s">
        <v>40641</v>
      </c>
      <c t="s">
        <v>30106</v>
      </c>
      <c t="s">
        <v>3093</v>
      </c>
      <c t="s">
        <v>61823</v>
      </c>
    </row>
    <row>
      <c t="s">
        <v>17594</v>
      </c>
      <c t="s">
        <v>12442</v>
      </c>
      <c t="s">
        <v>12721</v>
      </c>
      <c t="s">
        <v>23584</v>
      </c>
      <c t="s">
        <v>14504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>
        <v>2021</v>
      </c>
      <c>
        <v>504.02</v>
      </c>
      <c s="1" t="str">
        <f ca="1">HYPERLINK("https://web.datatree.com/?/property?propertyId=32249880", "https://web.datatree.com/?/property?propertyId=32249880")</f>
        <v>https://web.datatree.com/?/property?propertyId=32249880</v>
      </c>
      <c r="Q841" t="s">
        <v>316</v>
      </c>
      <c>
        <v>0.23</v>
      </c>
      <c t="s">
        <v>6175</v>
      </c>
      <c t="s">
        <v>42212</v>
      </c>
      <c t="s">
        <v>13167</v>
      </c>
      <c t="s">
        <v>31646</v>
      </c>
      <c t="s">
        <v>13167</v>
      </c>
      <c t="s">
        <v>28869</v>
      </c>
      <c t="s">
        <v>49122</v>
      </c>
      <c t="s">
        <v>2517</v>
      </c>
      <c t="s">
        <v>39289</v>
      </c>
      <c>
        <v>33909</v>
      </c>
      <c t="s">
        <v>36150</v>
      </c>
      <c t="s">
        <v>48794</v>
      </c>
      <c t="s">
        <v>61738</v>
      </c>
      <c>
        <v>16282</v>
      </c>
      <c r="AI841" t="s">
        <v>54787</v>
      </c>
      <c t="s">
        <v>45620</v>
      </c>
      <c r="AL841" t="s">
        <v>54859</v>
      </c>
      <c r="AN841" t="s">
        <v>26304</v>
      </c>
      <c t="s">
        <v>6936</v>
      </c>
      <c t="s">
        <v>5811</v>
      </c>
      <c t="s">
        <v>3093</v>
      </c>
      <c t="s">
        <v>60716</v>
      </c>
    </row>
    <row>
      <c t="s">
        <v>17594</v>
      </c>
      <c t="s">
        <v>7520</v>
      </c>
      <c t="s">
        <v>36938</v>
      </c>
      <c t="s">
        <v>36515</v>
      </c>
      <c t="s">
        <v>59895</v>
      </c>
      <c s="3">
        <v>23012</v>
      </c>
      <c s="3">
        <v>23012</v>
      </c>
      <c s="3">
        <v>23012</v>
      </c>
      <c>
        <v>0</v>
      </c>
      <c s="3">
        <v>0</v>
      </c>
      <c s="3">
        <v>742</v>
      </c>
      <c s="3">
        <v>23012</v>
      </c>
      <c r="O842" s="1" t="str">
        <f ca="1">HYPERLINK("https://web.datatree.com/?/property?propertyId=32250643", "https://web.datatree.com/?/property?propertyId=32250643")</f>
        <v>https://web.datatree.com/?/property?propertyId=32250643</v>
      </c>
      <c r="Q842" t="s">
        <v>316</v>
      </c>
      <c>
        <v>0.244</v>
      </c>
      <c t="s">
        <v>45031</v>
      </c>
      <c t="s">
        <v>29520</v>
      </c>
      <c t="s">
        <v>44878</v>
      </c>
      <c t="s">
        <v>52701</v>
      </c>
      <c t="s">
        <v>44878</v>
      </c>
      <c t="s">
        <v>44142</v>
      </c>
      <c t="s">
        <v>18679</v>
      </c>
      <c t="s">
        <v>2517</v>
      </c>
      <c t="s">
        <v>39289</v>
      </c>
      <c>
        <v>33909</v>
      </c>
      <c t="s">
        <v>60492</v>
      </c>
      <c t="s">
        <v>48794</v>
      </c>
      <c t="s">
        <v>20337</v>
      </c>
      <c>
        <v>114</v>
      </c>
      <c r="AI842" t="s">
        <v>17385</v>
      </c>
      <c t="s">
        <v>45393</v>
      </c>
      <c r="AL842" t="s">
        <v>51363</v>
      </c>
      <c r="AN842" t="s">
        <v>26016</v>
      </c>
      <c t="s">
        <v>32126</v>
      </c>
      <c t="s">
        <v>8434</v>
      </c>
      <c t="s">
        <v>3093</v>
      </c>
      <c t="s">
        <v>58577</v>
      </c>
    </row>
    <row>
      <c t="s">
        <v>17594</v>
      </c>
      <c t="s">
        <v>64722</v>
      </c>
      <c t="s">
        <v>45333</v>
      </c>
      <c t="s">
        <v>8774</v>
      </c>
      <c t="s">
        <v>64016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843" s="1" t="str">
        <f ca="1">HYPERLINK("https://web.datatree.com/?/property?propertyId=32250698", "https://web.datatree.com/?/property?propertyId=32250698")</f>
        <v>https://web.datatree.com/?/property?propertyId=32250698</v>
      </c>
      <c r="Q843" t="s">
        <v>316</v>
      </c>
      <c>
        <v>0.23</v>
      </c>
      <c t="s">
        <v>22490</v>
      </c>
      <c t="s">
        <v>25273</v>
      </c>
      <c t="s">
        <v>32149</v>
      </c>
      <c t="s">
        <v>9748</v>
      </c>
      <c t="s">
        <v>32149</v>
      </c>
      <c t="s">
        <v>65163</v>
      </c>
      <c t="s">
        <v>2626</v>
      </c>
      <c t="s">
        <v>2517</v>
      </c>
      <c t="s">
        <v>39289</v>
      </c>
      <c>
        <v>33909</v>
      </c>
      <c t="s">
        <v>51116</v>
      </c>
      <c t="s">
        <v>48794</v>
      </c>
      <c t="s">
        <v>11206</v>
      </c>
      <c>
        <v>1115</v>
      </c>
      <c r="AI843" t="s">
        <v>17033</v>
      </c>
      <c t="s">
        <v>31192</v>
      </c>
      <c r="AL843" t="s">
        <v>25934</v>
      </c>
      <c r="AN843" t="s">
        <v>64156</v>
      </c>
      <c t="s">
        <v>31338</v>
      </c>
      <c t="s">
        <v>14695</v>
      </c>
      <c t="s">
        <v>3093</v>
      </c>
      <c t="s">
        <v>48897</v>
      </c>
    </row>
    <row>
      <c t="s">
        <v>17594</v>
      </c>
      <c t="s">
        <v>46722</v>
      </c>
      <c t="s">
        <v>5508</v>
      </c>
      <c t="s">
        <v>64336</v>
      </c>
      <c t="s">
        <v>47821</v>
      </c>
      <c s="3">
        <v>26249</v>
      </c>
      <c s="3">
        <v>26249</v>
      </c>
      <c s="3">
        <v>9339</v>
      </c>
      <c>
        <v>0</v>
      </c>
      <c s="3">
        <v>0</v>
      </c>
      <c s="3">
        <v>3060.17</v>
      </c>
      <c s="3">
        <v>26249</v>
      </c>
      <c r="O844" s="1" t="str">
        <f ca="1">HYPERLINK("https://web.datatree.com/?/property?propertyId=32250805", "https://web.datatree.com/?/property?propertyId=32250805")</f>
        <v>https://web.datatree.com/?/property?propertyId=32250805</v>
      </c>
      <c r="Q844" t="s">
        <v>316</v>
      </c>
      <c>
        <v>0.27</v>
      </c>
      <c t="s">
        <v>6175</v>
      </c>
      <c t="s">
        <v>24409</v>
      </c>
      <c t="s">
        <v>1046</v>
      </c>
      <c r="X844" t="s">
        <v>14090</v>
      </c>
      <c t="s">
        <v>55273</v>
      </c>
      <c t="s">
        <v>2517</v>
      </c>
      <c t="s">
        <v>39289</v>
      </c>
      <c>
        <v>33909</v>
      </c>
      <c t="s">
        <v>19635</v>
      </c>
      <c t="s">
        <v>48794</v>
      </c>
      <c t="s">
        <v>30244</v>
      </c>
      <c>
        <v>5644</v>
      </c>
      <c r="AI844" t="s">
        <v>62030</v>
      </c>
      <c t="s">
        <v>31192</v>
      </c>
      <c r="AL844" t="s">
        <v>54287</v>
      </c>
      <c r="AN844" t="s">
        <v>17134</v>
      </c>
      <c t="s">
        <v>37266</v>
      </c>
      <c t="s">
        <v>17246</v>
      </c>
      <c t="s">
        <v>3093</v>
      </c>
      <c t="s">
        <v>25026</v>
      </c>
    </row>
    <row>
      <c t="s">
        <v>17594</v>
      </c>
      <c t="s">
        <v>62685</v>
      </c>
      <c t="s">
        <v>31314</v>
      </c>
      <c t="s">
        <v>18040</v>
      </c>
      <c t="s">
        <v>63500</v>
      </c>
      <c s="3">
        <v>31592</v>
      </c>
      <c s="3">
        <v>31592</v>
      </c>
      <c s="3">
        <v>12650</v>
      </c>
      <c>
        <v>0</v>
      </c>
      <c s="3">
        <v>0</v>
      </c>
      <c s="3">
        <v>2914.32</v>
      </c>
      <c s="3">
        <v>31592</v>
      </c>
      <c r="O845" s="1" t="str">
        <f ca="1">HYPERLINK("https://web.datatree.com/?/property?propertyId=32251903", "https://web.datatree.com/?/property?propertyId=32251903")</f>
        <v>https://web.datatree.com/?/property?propertyId=32251903</v>
      </c>
      <c r="Q845" t="s">
        <v>316</v>
      </c>
      <c>
        <v>0.23</v>
      </c>
      <c t="s">
        <v>22490</v>
      </c>
      <c t="s">
        <v>552</v>
      </c>
      <c t="s">
        <v>41425</v>
      </c>
      <c r="X845" t="s">
        <v>24512</v>
      </c>
      <c t="s">
        <v>17022</v>
      </c>
      <c t="s">
        <v>2517</v>
      </c>
      <c t="s">
        <v>39289</v>
      </c>
      <c>
        <v>33909</v>
      </c>
      <c t="s">
        <v>220</v>
      </c>
      <c t="s">
        <v>48794</v>
      </c>
      <c t="s">
        <v>63527</v>
      </c>
      <c>
        <v>2604</v>
      </c>
      <c r="AI845" t="s">
        <v>27164</v>
      </c>
      <c t="s">
        <v>45620</v>
      </c>
      <c r="AL845" t="s">
        <v>24336</v>
      </c>
      <c r="AN845" t="s">
        <v>17134</v>
      </c>
      <c t="s">
        <v>52354</v>
      </c>
      <c t="s">
        <v>43446</v>
      </c>
      <c t="s">
        <v>3093</v>
      </c>
      <c t="s">
        <v>31001</v>
      </c>
    </row>
    <row>
      <c t="s">
        <v>17594</v>
      </c>
      <c t="s">
        <v>63622</v>
      </c>
      <c t="s">
        <v>5861</v>
      </c>
      <c t="s">
        <v>39166</v>
      </c>
      <c t="s">
        <v>17546</v>
      </c>
      <c s="3">
        <v>22115</v>
      </c>
      <c s="3">
        <v>22115</v>
      </c>
      <c s="3">
        <v>10450</v>
      </c>
      <c>
        <v>0</v>
      </c>
      <c s="3">
        <v>0</v>
      </c>
      <c s="3">
        <v>604.32</v>
      </c>
      <c s="3">
        <v>22115</v>
      </c>
      <c r="O846" s="1" t="str">
        <f ca="1">HYPERLINK("https://web.datatree.com/?/property?propertyId=32252247", "https://web.datatree.com/?/property?propertyId=32252247")</f>
        <v>https://web.datatree.com/?/property?propertyId=32252247</v>
      </c>
      <c r="Q846" t="s">
        <v>316</v>
      </c>
      <c>
        <v>0.23</v>
      </c>
      <c t="s">
        <v>22490</v>
      </c>
      <c r="U846" t="s">
        <v>32692</v>
      </c>
      <c t="s">
        <v>65249</v>
      </c>
      <c t="s">
        <v>59107</v>
      </c>
      <c t="s">
        <v>3236</v>
      </c>
      <c t="s">
        <v>52171</v>
      </c>
      <c t="s">
        <v>2517</v>
      </c>
      <c t="s">
        <v>39289</v>
      </c>
      <c>
        <v>33909</v>
      </c>
      <c t="s">
        <v>59333</v>
      </c>
      <c t="s">
        <v>48794</v>
      </c>
      <c t="s">
        <v>46018</v>
      </c>
      <c>
        <v>3853</v>
      </c>
      <c r="AI846" t="s">
        <v>60342</v>
      </c>
      <c t="s">
        <v>31192</v>
      </c>
      <c r="AL846" t="s">
        <v>31808</v>
      </c>
      <c r="AN846" t="s">
        <v>17134</v>
      </c>
      <c t="s">
        <v>24368</v>
      </c>
      <c t="s">
        <v>16951</v>
      </c>
      <c t="s">
        <v>3093</v>
      </c>
      <c t="s">
        <v>63822</v>
      </c>
    </row>
    <row>
      <c t="s">
        <v>42103</v>
      </c>
      <c t="s">
        <v>2672</v>
      </c>
      <c t="s">
        <v>45642</v>
      </c>
      <c t="s">
        <v>10217</v>
      </c>
      <c t="s">
        <v>49268</v>
      </c>
      <c s="3">
        <v>49341</v>
      </c>
      <c s="3">
        <v>49341</v>
      </c>
      <c s="3">
        <v>27831</v>
      </c>
      <c>
        <v>0</v>
      </c>
      <c s="3">
        <v>0</v>
      </c>
      <c s="3">
        <v>2016.98</v>
      </c>
      <c s="3">
        <v>49341</v>
      </c>
      <c r="O847" s="1" t="str">
        <f ca="1">HYPERLINK("https://web.datatree.com/?/property?propertyId=32252768", "https://web.datatree.com/?/property?propertyId=32252768")</f>
        <v>https://web.datatree.com/?/property?propertyId=32252768</v>
      </c>
      <c r="Q847" t="s">
        <v>316</v>
      </c>
      <c>
        <v>0.268</v>
      </c>
      <c t="s">
        <v>22490</v>
      </c>
      <c t="s">
        <v>64071</v>
      </c>
      <c t="s">
        <v>45944</v>
      </c>
      <c r="X847" t="s">
        <v>59735</v>
      </c>
      <c t="s">
        <v>10653</v>
      </c>
      <c t="s">
        <v>2517</v>
      </c>
      <c t="s">
        <v>39289</v>
      </c>
      <c>
        <v>33909</v>
      </c>
      <c t="s">
        <v>28518</v>
      </c>
      <c t="s">
        <v>48794</v>
      </c>
      <c t="s">
        <v>45405</v>
      </c>
      <c r="AI847" t="s">
        <v>63873</v>
      </c>
      <c r="AL847" t="s">
        <v>62236</v>
      </c>
      <c r="AN847" t="s">
        <v>5859</v>
      </c>
      <c>
        <v>2831</v>
      </c>
      <c t="s">
        <v>23536</v>
      </c>
      <c t="s">
        <v>3093</v>
      </c>
      <c t="s">
        <v>2522</v>
      </c>
    </row>
    <row>
      <c t="s">
        <v>17594</v>
      </c>
      <c t="s">
        <v>44131</v>
      </c>
      <c t="s">
        <v>41197</v>
      </c>
      <c t="s">
        <v>63052</v>
      </c>
      <c t="s">
        <v>57065</v>
      </c>
      <c s="3">
        <v>9000</v>
      </c>
      <c s="3">
        <v>9000</v>
      </c>
      <c s="3">
        <v>9000</v>
      </c>
      <c>
        <v>0</v>
      </c>
      <c s="3">
        <v>0</v>
      </c>
      <c s="3">
        <v>709.78</v>
      </c>
      <c s="3">
        <v>9000</v>
      </c>
      <c r="O848" s="1" t="str">
        <f ca="1">HYPERLINK("https://web.datatree.com/?/property?propertyId=32253340", "https://web.datatree.com/?/property?propertyId=32253340")</f>
        <v>https://web.datatree.com/?/property?propertyId=32253340</v>
      </c>
      <c r="Q848" t="s">
        <v>316</v>
      </c>
      <c>
        <v>0.344</v>
      </c>
      <c t="s">
        <v>6175</v>
      </c>
      <c t="s">
        <v>11524</v>
      </c>
      <c t="s">
        <v>60222</v>
      </c>
      <c t="s">
        <v>58322</v>
      </c>
      <c t="s">
        <v>32540</v>
      </c>
      <c t="s">
        <v>40757</v>
      </c>
      <c t="s">
        <v>2619</v>
      </c>
      <c t="s">
        <v>2517</v>
      </c>
      <c t="s">
        <v>39289</v>
      </c>
      <c>
        <v>33909</v>
      </c>
      <c t="s">
        <v>19384</v>
      </c>
      <c t="s">
        <v>48794</v>
      </c>
      <c t="s">
        <v>39845</v>
      </c>
      <c>
        <v>20034</v>
      </c>
      <c r="AI848" t="s">
        <v>17004</v>
      </c>
      <c t="s">
        <v>31192</v>
      </c>
      <c r="AL848" t="s">
        <v>55393</v>
      </c>
      <c r="AN848" t="s">
        <v>39289</v>
      </c>
      <c t="s">
        <v>28861</v>
      </c>
      <c t="s">
        <v>33029</v>
      </c>
      <c t="s">
        <v>3093</v>
      </c>
      <c t="s">
        <v>6507</v>
      </c>
    </row>
    <row>
      <c t="s">
        <v>17594</v>
      </c>
      <c t="s">
        <v>65150</v>
      </c>
      <c t="s">
        <v>40226</v>
      </c>
      <c t="s">
        <v>54273</v>
      </c>
      <c t="s">
        <v>62061</v>
      </c>
      <c s="3">
        <v>135660</v>
      </c>
      <c s="3">
        <v>135660</v>
      </c>
      <c s="3">
        <v>135660</v>
      </c>
      <c>
        <v>0</v>
      </c>
      <c s="3">
        <v>0</v>
      </c>
      <c s="3">
        <v>2613.03</v>
      </c>
      <c s="3">
        <v>135660</v>
      </c>
      <c r="O849" s="1" t="str">
        <f ca="1">HYPERLINK("https://web.datatree.com/?/property?propertyId=32254430", "https://web.datatree.com/?/property?propertyId=32254430")</f>
        <v>https://web.datatree.com/?/property?propertyId=32254430</v>
      </c>
      <c r="Q849" t="s">
        <v>316</v>
      </c>
      <c>
        <v>0.287</v>
      </c>
      <c t="s">
        <v>22490</v>
      </c>
      <c t="s">
        <v>43815</v>
      </c>
      <c t="s">
        <v>6458</v>
      </c>
      <c t="s">
        <v>57693</v>
      </c>
      <c t="s">
        <v>6458</v>
      </c>
      <c t="s">
        <v>19529</v>
      </c>
      <c t="s">
        <v>47150</v>
      </c>
      <c t="s">
        <v>2517</v>
      </c>
      <c t="s">
        <v>39289</v>
      </c>
      <c>
        <v>33904</v>
      </c>
      <c t="s">
        <v>56609</v>
      </c>
      <c t="s">
        <v>48794</v>
      </c>
      <c t="s">
        <v>43228</v>
      </c>
      <c>
        <v>49</v>
      </c>
      <c r="AI849" t="s">
        <v>59800</v>
      </c>
      <c t="s">
        <v>31192</v>
      </c>
      <c r="AL849" t="s">
        <v>20176</v>
      </c>
      <c t="s">
        <v>20176</v>
      </c>
      <c t="s">
        <v>65451</v>
      </c>
      <c t="s">
        <v>56801</v>
      </c>
      <c t="s">
        <v>57513</v>
      </c>
      <c t="s">
        <v>3093</v>
      </c>
      <c t="s">
        <v>17868</v>
      </c>
    </row>
    <row>
      <c t="s">
        <v>17594</v>
      </c>
      <c t="s">
        <v>30968</v>
      </c>
      <c t="s">
        <v>8557</v>
      </c>
      <c t="s">
        <v>24433</v>
      </c>
      <c t="s">
        <v>41723</v>
      </c>
      <c s="3">
        <v>8000</v>
      </c>
      <c s="3">
        <v>8000</v>
      </c>
      <c s="3">
        <v>3513</v>
      </c>
      <c>
        <v>0</v>
      </c>
      <c s="3">
        <v>0</v>
      </c>
      <c s="3">
        <v>85.75</v>
      </c>
      <c s="3">
        <v>8000</v>
      </c>
      <c r="O850" s="1" t="str">
        <f ca="1">HYPERLINK("https://web.datatree.com/?/property?propertyId=32255072", "https://web.datatree.com/?/property?propertyId=32255072")</f>
        <v>https://web.datatree.com/?/property?propertyId=32255072</v>
      </c>
      <c r="Q850" t="s">
        <v>316</v>
      </c>
      <c>
        <v>0.325</v>
      </c>
      <c t="s">
        <v>66399</v>
      </c>
      <c t="s">
        <v>29554</v>
      </c>
      <c t="s">
        <v>40102</v>
      </c>
      <c r="X850" t="s">
        <v>61081</v>
      </c>
      <c t="s">
        <v>46254</v>
      </c>
      <c t="s">
        <v>65059</v>
      </c>
      <c t="s">
        <v>39289</v>
      </c>
      <c>
        <v>33905</v>
      </c>
      <c>
        <v>33905</v>
      </c>
      <c t="s">
        <v>48794</v>
      </c>
      <c t="s">
        <v>55024</v>
      </c>
      <c>
        <v>260</v>
      </c>
      <c r="AI850" t="s">
        <v>29213</v>
      </c>
      <c t="s">
        <v>1671</v>
      </c>
      <c r="AL850" t="s">
        <v>59367</v>
      </c>
      <c t="s">
        <v>40227</v>
      </c>
      <c t="s">
        <v>66651</v>
      </c>
      <c t="s">
        <v>43961</v>
      </c>
      <c t="s">
        <v>43294</v>
      </c>
      <c t="s">
        <v>3093</v>
      </c>
      <c t="s">
        <v>51791</v>
      </c>
    </row>
    <row>
      <c t="s">
        <v>17594</v>
      </c>
      <c t="s">
        <v>45341</v>
      </c>
      <c t="s">
        <v>44269</v>
      </c>
      <c t="s">
        <v>57919</v>
      </c>
      <c t="s">
        <v>59672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>
        <v>2019</v>
      </c>
      <c>
        <v>2958.95</v>
      </c>
      <c s="1" t="str">
        <f ca="1">HYPERLINK("https://web.datatree.com/?/property?propertyId=32255668", "https://web.datatree.com/?/property?propertyId=32255668")</f>
        <v>https://web.datatree.com/?/property?propertyId=32255668</v>
      </c>
      <c r="Q851" t="s">
        <v>316</v>
      </c>
      <c>
        <v>0.23</v>
      </c>
      <c t="s">
        <v>6175</v>
      </c>
      <c t="s">
        <v>50331</v>
      </c>
      <c t="s">
        <v>13738</v>
      </c>
      <c t="s">
        <v>10361</v>
      </c>
      <c t="s">
        <v>13738</v>
      </c>
      <c t="s">
        <v>53580</v>
      </c>
      <c t="s">
        <v>53675</v>
      </c>
      <c t="s">
        <v>2517</v>
      </c>
      <c t="s">
        <v>39289</v>
      </c>
      <c>
        <v>33909</v>
      </c>
      <c t="s">
        <v>25511</v>
      </c>
      <c t="s">
        <v>48794</v>
      </c>
      <c t="s">
        <v>66131</v>
      </c>
      <c>
        <v>1431</v>
      </c>
      <c r="AI851" t="s">
        <v>29775</v>
      </c>
      <c t="s">
        <v>45393</v>
      </c>
      <c r="AL851" t="s">
        <v>2960</v>
      </c>
      <c r="AN851" t="s">
        <v>14798</v>
      </c>
      <c t="s">
        <v>212</v>
      </c>
      <c t="s">
        <v>34342</v>
      </c>
      <c t="s">
        <v>3093</v>
      </c>
      <c t="s">
        <v>44748</v>
      </c>
    </row>
    <row>
      <c t="s">
        <v>17594</v>
      </c>
      <c t="s">
        <v>20371</v>
      </c>
      <c t="s">
        <v>43822</v>
      </c>
      <c t="s">
        <v>59950</v>
      </c>
      <c t="s">
        <v>66939</v>
      </c>
      <c s="3">
        <v>25675</v>
      </c>
      <c s="3">
        <v>25675</v>
      </c>
      <c s="3">
        <v>25675</v>
      </c>
      <c>
        <v>0</v>
      </c>
      <c s="3">
        <v>0</v>
      </c>
      <c s="3">
        <v>874.43</v>
      </c>
      <c s="3">
        <v>25675</v>
      </c>
      <c r="O852" s="1" t="str">
        <f ca="1">HYPERLINK("https://web.datatree.com/?/property?propertyId=32255674", "https://web.datatree.com/?/property?propertyId=32255674")</f>
        <v>https://web.datatree.com/?/property?propertyId=32255674</v>
      </c>
      <c r="Q852" t="s">
        <v>316</v>
      </c>
      <c>
        <v>0.344</v>
      </c>
      <c t="s">
        <v>65422</v>
      </c>
      <c t="s">
        <v>46578</v>
      </c>
      <c t="s">
        <v>44229</v>
      </c>
      <c r="X852" t="s">
        <v>62541</v>
      </c>
      <c t="s">
        <v>61850</v>
      </c>
      <c t="s">
        <v>2517</v>
      </c>
      <c t="s">
        <v>39289</v>
      </c>
      <c>
        <v>33909</v>
      </c>
      <c t="s">
        <v>55749</v>
      </c>
      <c t="s">
        <v>48794</v>
      </c>
      <c t="s">
        <v>9656</v>
      </c>
      <c>
        <v>7748</v>
      </c>
      <c r="AI852" t="s">
        <v>24025</v>
      </c>
      <c t="s">
        <v>31192</v>
      </c>
      <c r="AL852" t="s">
        <v>59574</v>
      </c>
      <c t="s">
        <v>59574</v>
      </c>
      <c t="s">
        <v>19878</v>
      </c>
      <c t="s">
        <v>26388</v>
      </c>
      <c t="s">
        <v>7207</v>
      </c>
      <c t="s">
        <v>3093</v>
      </c>
      <c t="s">
        <v>47195</v>
      </c>
    </row>
    <row>
      <c t="s">
        <v>42103</v>
      </c>
      <c t="s">
        <v>37281</v>
      </c>
      <c t="s">
        <v>63676</v>
      </c>
      <c t="s">
        <v>64972</v>
      </c>
      <c t="s">
        <v>7731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853" s="1" t="str">
        <f ca="1">HYPERLINK("https://web.datatree.com/?/property?propertyId=32255716", "https://web.datatree.com/?/property?propertyId=32255716")</f>
        <v>https://web.datatree.com/?/property?propertyId=32255716</v>
      </c>
      <c r="Q853" t="s">
        <v>316</v>
      </c>
      <c>
        <v>0.239</v>
      </c>
      <c t="s">
        <v>5471</v>
      </c>
      <c t="s">
        <v>42212</v>
      </c>
      <c t="s">
        <v>66811</v>
      </c>
      <c t="s">
        <v>11923</v>
      </c>
      <c t="s">
        <v>44524</v>
      </c>
      <c t="s">
        <v>35239</v>
      </c>
      <c t="s">
        <v>5280</v>
      </c>
      <c t="s">
        <v>65059</v>
      </c>
      <c t="s">
        <v>39289</v>
      </c>
      <c>
        <v>33905</v>
      </c>
      <c t="s">
        <v>14638</v>
      </c>
      <c t="s">
        <v>48794</v>
      </c>
      <c t="s">
        <v>49871</v>
      </c>
      <c r="AI853" t="s">
        <v>34188</v>
      </c>
      <c r="AL853" t="s">
        <v>28015</v>
      </c>
      <c r="AN853" t="s">
        <v>65467</v>
      </c>
      <c>
        <v>20875</v>
      </c>
      <c t="s">
        <v>31451</v>
      </c>
      <c t="s">
        <v>3093</v>
      </c>
      <c t="s">
        <v>64232</v>
      </c>
    </row>
    <row>
      <c t="s">
        <v>17594</v>
      </c>
      <c t="s">
        <v>21666</v>
      </c>
      <c t="s">
        <v>53863</v>
      </c>
      <c t="s">
        <v>16957</v>
      </c>
      <c t="s">
        <v>47554</v>
      </c>
      <c s="3">
        <v>28210</v>
      </c>
      <c s="3">
        <v>28210</v>
      </c>
      <c s="3">
        <v>9079</v>
      </c>
      <c>
        <v>0</v>
      </c>
      <c s="3">
        <v>0</v>
      </c>
      <c s="3">
        <v>2910.05</v>
      </c>
      <c s="3">
        <v>28210</v>
      </c>
      <c>
        <v>2020</v>
      </c>
      <c>
        <v>9915.01</v>
      </c>
      <c s="1" t="str">
        <f ca="1">HYPERLINK("https://web.datatree.com/?/property?propertyId=32256065", "https://web.datatree.com/?/property?propertyId=32256065")</f>
        <v>https://web.datatree.com/?/property?propertyId=32256065</v>
      </c>
      <c r="Q854" t="s">
        <v>316</v>
      </c>
      <c>
        <v>0.23</v>
      </c>
      <c t="s">
        <v>6175</v>
      </c>
      <c t="s">
        <v>8121</v>
      </c>
      <c t="s">
        <v>928</v>
      </c>
      <c r="X854" t="s">
        <v>415</v>
      </c>
      <c t="s">
        <v>61865</v>
      </c>
      <c t="s">
        <v>2517</v>
      </c>
      <c t="s">
        <v>39289</v>
      </c>
      <c>
        <v>33909</v>
      </c>
      <c t="s">
        <v>45743</v>
      </c>
      <c t="s">
        <v>48794</v>
      </c>
      <c t="s">
        <v>61878</v>
      </c>
      <c>
        <v>7311</v>
      </c>
      <c r="AI854" t="s">
        <v>33335</v>
      </c>
      <c t="s">
        <v>835</v>
      </c>
      <c r="AL854" t="s">
        <v>29515</v>
      </c>
      <c r="AN854" t="s">
        <v>39289</v>
      </c>
      <c t="s">
        <v>56968</v>
      </c>
      <c t="s">
        <v>22152</v>
      </c>
      <c t="s">
        <v>3093</v>
      </c>
      <c t="s">
        <v>6897</v>
      </c>
    </row>
    <row>
      <c t="s">
        <v>17594</v>
      </c>
      <c t="s">
        <v>32756</v>
      </c>
      <c t="s">
        <v>43700</v>
      </c>
      <c t="s">
        <v>33301</v>
      </c>
      <c t="s">
        <v>32474</v>
      </c>
      <c s="3">
        <v>15675</v>
      </c>
      <c s="3">
        <v>15675</v>
      </c>
      <c s="3">
        <v>5657</v>
      </c>
      <c>
        <v>0</v>
      </c>
      <c s="3">
        <v>0</v>
      </c>
      <c s="3">
        <v>335.9</v>
      </c>
      <c s="3">
        <v>15675</v>
      </c>
      <c r="O855" s="1" t="str">
        <f ca="1">HYPERLINK("https://web.datatree.com/?/property?propertyId=32256150", "https://web.datatree.com/?/property?propertyId=32256150")</f>
        <v>https://web.datatree.com/?/property?propertyId=32256150</v>
      </c>
      <c r="Q855" t="s">
        <v>316</v>
      </c>
      <c>
        <v>0.249</v>
      </c>
      <c t="s">
        <v>5471</v>
      </c>
      <c t="s">
        <v>52701</v>
      </c>
      <c t="s">
        <v>33769</v>
      </c>
      <c r="X855" t="s">
        <v>44192</v>
      </c>
      <c t="s">
        <v>51919</v>
      </c>
      <c t="s">
        <v>65059</v>
      </c>
      <c t="s">
        <v>39289</v>
      </c>
      <c>
        <v>33905</v>
      </c>
      <c t="s">
        <v>64961</v>
      </c>
      <c t="s">
        <v>48794</v>
      </c>
      <c t="s">
        <v>66529</v>
      </c>
      <c>
        <v>4772</v>
      </c>
      <c r="AI855" t="s">
        <v>38220</v>
      </c>
      <c t="s">
        <v>24900</v>
      </c>
      <c r="AL855" t="s">
        <v>55393</v>
      </c>
      <c r="AN855" t="s">
        <v>39289</v>
      </c>
      <c t="s">
        <v>45044</v>
      </c>
      <c t="s">
        <v>24994</v>
      </c>
      <c t="s">
        <v>3093</v>
      </c>
      <c t="s">
        <v>35158</v>
      </c>
    </row>
    <row>
      <c t="s">
        <v>17594</v>
      </c>
      <c t="s">
        <v>37678</v>
      </c>
      <c t="s">
        <v>2593</v>
      </c>
      <c t="s">
        <v>50568</v>
      </c>
      <c t="s">
        <v>19369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856" s="1" t="str">
        <f ca="1">HYPERLINK("https://web.datatree.com/?/property?propertyId=32256510", "https://web.datatree.com/?/property?propertyId=32256510")</f>
        <v>https://web.datatree.com/?/property?propertyId=32256510</v>
      </c>
      <c r="Q856" t="s">
        <v>316</v>
      </c>
      <c>
        <v>0.23</v>
      </c>
      <c t="s">
        <v>22490</v>
      </c>
      <c t="s">
        <v>36133</v>
      </c>
      <c t="s">
        <v>45794</v>
      </c>
      <c r="X856" t="s">
        <v>33962</v>
      </c>
      <c t="s">
        <v>39082</v>
      </c>
      <c t="s">
        <v>2517</v>
      </c>
      <c t="s">
        <v>39289</v>
      </c>
      <c>
        <v>33909</v>
      </c>
      <c t="s">
        <v>16023</v>
      </c>
      <c t="s">
        <v>48794</v>
      </c>
      <c t="s">
        <v>38019</v>
      </c>
      <c>
        <v>8336</v>
      </c>
      <c r="AH856" t="s">
        <v>6851</v>
      </c>
      <c t="s">
        <v>45660</v>
      </c>
      <c t="s">
        <v>31192</v>
      </c>
      <c r="AL856" t="s">
        <v>61974</v>
      </c>
      <c r="AN856" t="s">
        <v>51137</v>
      </c>
      <c t="s">
        <v>35766</v>
      </c>
      <c t="s">
        <v>22455</v>
      </c>
      <c t="s">
        <v>3093</v>
      </c>
      <c t="s">
        <v>15360</v>
      </c>
    </row>
    <row>
      <c t="s">
        <v>17594</v>
      </c>
      <c t="s">
        <v>20933</v>
      </c>
      <c t="s">
        <v>12013</v>
      </c>
      <c t="s">
        <v>13583</v>
      </c>
      <c t="s">
        <v>26219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857" s="1" t="str">
        <f ca="1">HYPERLINK("https://web.datatree.com/?/property?propertyId=32256641", "https://web.datatree.com/?/property?propertyId=32256641")</f>
        <v>https://web.datatree.com/?/property?propertyId=32256641</v>
      </c>
      <c r="Q857" t="s">
        <v>316</v>
      </c>
      <c>
        <v>0.23</v>
      </c>
      <c t="s">
        <v>6175</v>
      </c>
      <c t="s">
        <v>9900</v>
      </c>
      <c t="s">
        <v>12287</v>
      </c>
      <c t="s">
        <v>23659</v>
      </c>
      <c t="s">
        <v>12287</v>
      </c>
      <c t="s">
        <v>23053</v>
      </c>
      <c t="s">
        <v>47150</v>
      </c>
      <c t="s">
        <v>2517</v>
      </c>
      <c t="s">
        <v>39289</v>
      </c>
      <c>
        <v>33909</v>
      </c>
      <c t="s">
        <v>11266</v>
      </c>
      <c t="s">
        <v>48794</v>
      </c>
      <c t="s">
        <v>45835</v>
      </c>
      <c>
        <v>244</v>
      </c>
      <c r="AI857" t="s">
        <v>13342</v>
      </c>
      <c t="s">
        <v>55842</v>
      </c>
      <c>
        <v>1</v>
      </c>
      <c t="s">
        <v>2849</v>
      </c>
      <c t="s">
        <v>2849</v>
      </c>
      <c t="s">
        <v>22275</v>
      </c>
      <c t="s">
        <v>64068</v>
      </c>
      <c t="s">
        <v>42082</v>
      </c>
      <c t="s">
        <v>3093</v>
      </c>
      <c t="s">
        <v>33279</v>
      </c>
    </row>
    <row>
      <c t="s">
        <v>17594</v>
      </c>
      <c t="s">
        <v>2975</v>
      </c>
      <c t="s">
        <v>30724</v>
      </c>
      <c t="s">
        <v>33831</v>
      </c>
      <c t="s">
        <v>31159</v>
      </c>
      <c s="3">
        <v>20892</v>
      </c>
      <c s="3">
        <v>20892</v>
      </c>
      <c s="3">
        <v>8030</v>
      </c>
      <c>
        <v>0</v>
      </c>
      <c s="3">
        <v>0</v>
      </c>
      <c s="3">
        <v>590.65</v>
      </c>
      <c s="3">
        <v>20892</v>
      </c>
      <c r="O858" s="1" t="str">
        <f ca="1">HYPERLINK("https://web.datatree.com/?/property?propertyId=32256679", "https://web.datatree.com/?/property?propertyId=32256679")</f>
        <v>https://web.datatree.com/?/property?propertyId=32256679</v>
      </c>
      <c r="Q858" t="s">
        <v>316</v>
      </c>
      <c>
        <v>0.266</v>
      </c>
      <c t="s">
        <v>22490</v>
      </c>
      <c t="s">
        <v>8141</v>
      </c>
      <c t="s">
        <v>1521</v>
      </c>
      <c t="s">
        <v>39352</v>
      </c>
      <c t="s">
        <v>1521</v>
      </c>
      <c t="s">
        <v>66355</v>
      </c>
      <c t="s">
        <v>47150</v>
      </c>
      <c t="s">
        <v>2517</v>
      </c>
      <c t="s">
        <v>39289</v>
      </c>
      <c>
        <v>33909</v>
      </c>
      <c t="s">
        <v>23670</v>
      </c>
      <c t="s">
        <v>48794</v>
      </c>
      <c t="s">
        <v>6865</v>
      </c>
      <c>
        <v>5029</v>
      </c>
      <c r="AI858" t="s">
        <v>42246</v>
      </c>
      <c t="s">
        <v>31192</v>
      </c>
      <c r="AL858" t="s">
        <v>22097</v>
      </c>
      <c r="AN858" t="s">
        <v>27222</v>
      </c>
      <c t="s">
        <v>60783</v>
      </c>
      <c t="s">
        <v>32895</v>
      </c>
      <c t="s">
        <v>3093</v>
      </c>
      <c t="s">
        <v>38631</v>
      </c>
    </row>
    <row>
      <c t="s">
        <v>17594</v>
      </c>
      <c t="s">
        <v>54234</v>
      </c>
      <c t="s">
        <v>31705</v>
      </c>
      <c t="s">
        <v>8771</v>
      </c>
      <c t="s">
        <v>27913</v>
      </c>
      <c s="3">
        <v>8229</v>
      </c>
      <c s="3">
        <v>8229</v>
      </c>
      <c s="3">
        <v>4972</v>
      </c>
      <c>
        <v>0</v>
      </c>
      <c s="3">
        <v>0</v>
      </c>
      <c s="3">
        <v>316.66</v>
      </c>
      <c s="3">
        <v>8229</v>
      </c>
      <c r="O859" s="1" t="str">
        <f ca="1">HYPERLINK("https://web.datatree.com/?/property?propertyId=32256919", "https://web.datatree.com/?/property?propertyId=32256919")</f>
        <v>https://web.datatree.com/?/property?propertyId=32256919</v>
      </c>
      <c r="Q859" t="s">
        <v>316</v>
      </c>
      <c>
        <v>0.244</v>
      </c>
      <c t="s">
        <v>5471</v>
      </c>
      <c t="s">
        <v>64043</v>
      </c>
      <c t="s">
        <v>14792</v>
      </c>
      <c r="X859" t="s">
        <v>13263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47576</v>
      </c>
      <c>
        <v>4003</v>
      </c>
      <c r="AI859" t="s">
        <v>32321</v>
      </c>
      <c t="s">
        <v>31192</v>
      </c>
      <c r="AL859" t="s">
        <v>231</v>
      </c>
      <c r="AN859" t="s">
        <v>50917</v>
      </c>
      <c>
        <v>10918</v>
      </c>
      <c r="AQ859" t="s">
        <v>3093</v>
      </c>
      <c t="s">
        <v>51122</v>
      </c>
    </row>
    <row>
      <c t="s">
        <v>17594</v>
      </c>
      <c t="s">
        <v>7321</v>
      </c>
      <c t="s">
        <v>7645</v>
      </c>
      <c t="s">
        <v>33734</v>
      </c>
      <c t="s">
        <v>10498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860" s="1" t="str">
        <f ca="1">HYPERLINK("https://web.datatree.com/?/property?propertyId=32257272", "https://web.datatree.com/?/property?propertyId=32257272")</f>
        <v>https://web.datatree.com/?/property?propertyId=32257272</v>
      </c>
      <c r="Q860" t="s">
        <v>316</v>
      </c>
      <c>
        <v>0.244</v>
      </c>
      <c t="s">
        <v>22490</v>
      </c>
      <c t="s">
        <v>50331</v>
      </c>
      <c t="s">
        <v>23841</v>
      </c>
      <c t="s">
        <v>44150</v>
      </c>
      <c t="s">
        <v>23841</v>
      </c>
      <c t="s">
        <v>33591</v>
      </c>
      <c t="s">
        <v>5115</v>
      </c>
      <c t="s">
        <v>2517</v>
      </c>
      <c t="s">
        <v>39289</v>
      </c>
      <c>
        <v>33909</v>
      </c>
      <c t="s">
        <v>48283</v>
      </c>
      <c t="s">
        <v>48794</v>
      </c>
      <c t="s">
        <v>3255</v>
      </c>
      <c>
        <v>4075</v>
      </c>
      <c r="AI860" t="s">
        <v>5831</v>
      </c>
      <c t="s">
        <v>31192</v>
      </c>
      <c r="AL860" t="s">
        <v>28301</v>
      </c>
      <c r="AN860" t="s">
        <v>19878</v>
      </c>
      <c t="s">
        <v>5336</v>
      </c>
      <c t="s">
        <v>864</v>
      </c>
      <c t="s">
        <v>3093</v>
      </c>
      <c t="s">
        <v>44632</v>
      </c>
    </row>
    <row>
      <c t="s">
        <v>17594</v>
      </c>
      <c t="s">
        <v>58365</v>
      </c>
      <c t="s">
        <v>64445</v>
      </c>
      <c t="s">
        <v>62849</v>
      </c>
      <c t="s">
        <v>54023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544.98</v>
      </c>
      <c s="1" t="str">
        <f ca="1">HYPERLINK("https://web.datatree.com/?/property?propertyId=32257448", "https://web.datatree.com/?/property?propertyId=32257448")</f>
        <v>https://web.datatree.com/?/property?propertyId=32257448</v>
      </c>
      <c r="Q861" t="s">
        <v>316</v>
      </c>
      <c>
        <v>0.23</v>
      </c>
      <c t="s">
        <v>14479</v>
      </c>
      <c t="s">
        <v>18302</v>
      </c>
      <c t="s">
        <v>5267</v>
      </c>
      <c r="X861" t="s">
        <v>51847</v>
      </c>
      <c t="s">
        <v>30928</v>
      </c>
      <c t="s">
        <v>2517</v>
      </c>
      <c t="s">
        <v>39289</v>
      </c>
      <c>
        <v>33909</v>
      </c>
      <c t="s">
        <v>25701</v>
      </c>
      <c t="s">
        <v>48794</v>
      </c>
      <c t="s">
        <v>44580</v>
      </c>
      <c>
        <v>4337</v>
      </c>
      <c r="AI861" t="s">
        <v>22465</v>
      </c>
      <c t="s">
        <v>45393</v>
      </c>
      <c r="AL861" t="s">
        <v>38297</v>
      </c>
      <c t="s">
        <v>38297</v>
      </c>
      <c t="s">
        <v>27222</v>
      </c>
      <c t="s">
        <v>43411</v>
      </c>
      <c t="s">
        <v>57513</v>
      </c>
      <c t="s">
        <v>3093</v>
      </c>
      <c t="s">
        <v>51869</v>
      </c>
    </row>
    <row>
      <c t="s">
        <v>17594</v>
      </c>
      <c t="s">
        <v>66895</v>
      </c>
      <c t="s">
        <v>34519</v>
      </c>
      <c t="s">
        <v>36939</v>
      </c>
      <c t="s">
        <v>25346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862" s="1" t="str">
        <f ca="1">HYPERLINK("https://web.datatree.com/?/property?propertyId=32257665", "https://web.datatree.com/?/property?propertyId=32257665")</f>
        <v>https://web.datatree.com/?/property?propertyId=32257665</v>
      </c>
      <c r="Q862" t="s">
        <v>316</v>
      </c>
      <c>
        <v>0.241</v>
      </c>
      <c t="s">
        <v>5471</v>
      </c>
      <c t="s">
        <v>36941</v>
      </c>
      <c t="s">
        <v>46201</v>
      </c>
      <c t="s">
        <v>61517</v>
      </c>
      <c t="s">
        <v>46201</v>
      </c>
      <c t="s">
        <v>38498</v>
      </c>
      <c t="s">
        <v>58657</v>
      </c>
      <c t="s">
        <v>65059</v>
      </c>
      <c t="s">
        <v>39289</v>
      </c>
      <c>
        <v>33905</v>
      </c>
      <c t="s">
        <v>57179</v>
      </c>
      <c t="s">
        <v>48794</v>
      </c>
      <c t="s">
        <v>18813</v>
      </c>
      <c>
        <v>11011</v>
      </c>
      <c r="AI862" t="s">
        <v>32733</v>
      </c>
      <c t="s">
        <v>55842</v>
      </c>
      <c r="AL862" t="s">
        <v>35455</v>
      </c>
      <c r="AN862" t="s">
        <v>19878</v>
      </c>
      <c t="s">
        <v>52444</v>
      </c>
      <c t="s">
        <v>44428</v>
      </c>
      <c t="s">
        <v>3093</v>
      </c>
      <c t="s">
        <v>46734</v>
      </c>
    </row>
    <row>
      <c t="s">
        <v>17594</v>
      </c>
      <c t="s">
        <v>36700</v>
      </c>
      <c t="s">
        <v>47032</v>
      </c>
      <c t="s">
        <v>34056</v>
      </c>
      <c t="s">
        <v>65526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863" s="1" t="str">
        <f ca="1">HYPERLINK("https://web.datatree.com/?/property?propertyId=32257813", "https://web.datatree.com/?/property?propertyId=32257813")</f>
        <v>https://web.datatree.com/?/property?propertyId=32257813</v>
      </c>
      <c r="Q863" t="s">
        <v>316</v>
      </c>
      <c>
        <v>0.23</v>
      </c>
      <c t="s">
        <v>6175</v>
      </c>
      <c t="s">
        <v>2873</v>
      </c>
      <c t="s">
        <v>44664</v>
      </c>
      <c r="X863" t="s">
        <v>26733</v>
      </c>
      <c t="s">
        <v>25017</v>
      </c>
      <c t="s">
        <v>2517</v>
      </c>
      <c t="s">
        <v>39289</v>
      </c>
      <c>
        <v>33909</v>
      </c>
      <c t="s">
        <v>55027</v>
      </c>
      <c t="s">
        <v>48794</v>
      </c>
      <c t="s">
        <v>61876</v>
      </c>
      <c>
        <v>2743</v>
      </c>
      <c r="AI863" t="s">
        <v>36613</v>
      </c>
      <c t="s">
        <v>45393</v>
      </c>
      <c r="AL863" t="s">
        <v>28329</v>
      </c>
      <c t="s">
        <v>28329</v>
      </c>
      <c t="s">
        <v>51137</v>
      </c>
      <c t="s">
        <v>2288</v>
      </c>
      <c t="s">
        <v>6081</v>
      </c>
      <c t="s">
        <v>3093</v>
      </c>
      <c t="s">
        <v>19268</v>
      </c>
    </row>
    <row>
      <c t="s">
        <v>17594</v>
      </c>
      <c t="s">
        <v>36474</v>
      </c>
      <c t="s">
        <v>55053</v>
      </c>
      <c t="s">
        <v>40659</v>
      </c>
      <c t="s">
        <v>54705</v>
      </c>
      <c s="3">
        <v>54688</v>
      </c>
      <c s="3">
        <v>54688</v>
      </c>
      <c s="3">
        <v>23108</v>
      </c>
      <c>
        <v>0</v>
      </c>
      <c s="3">
        <v>0</v>
      </c>
      <c s="3">
        <v>826.51</v>
      </c>
      <c s="3">
        <v>54688</v>
      </c>
      <c r="O864" s="1" t="str">
        <f ca="1">HYPERLINK("https://web.datatree.com/?/property?propertyId=32258034", "https://web.datatree.com/?/property?propertyId=32258034")</f>
        <v>https://web.datatree.com/?/property?propertyId=32258034</v>
      </c>
      <c r="Q864" t="s">
        <v>316</v>
      </c>
      <c>
        <v>0.23</v>
      </c>
      <c t="s">
        <v>65422</v>
      </c>
      <c t="s">
        <v>27874</v>
      </c>
      <c t="s">
        <v>6043</v>
      </c>
      <c r="X864" t="s">
        <v>33823</v>
      </c>
      <c t="s">
        <v>39082</v>
      </c>
      <c t="s">
        <v>2517</v>
      </c>
      <c t="s">
        <v>39289</v>
      </c>
      <c>
        <v>33904</v>
      </c>
      <c t="s">
        <v>30336</v>
      </c>
      <c t="s">
        <v>48794</v>
      </c>
      <c t="s">
        <v>20455</v>
      </c>
      <c>
        <v>186</v>
      </c>
      <c r="AI864" t="s">
        <v>30115</v>
      </c>
      <c t="s">
        <v>31192</v>
      </c>
      <c r="AL864" t="s">
        <v>43887</v>
      </c>
      <c t="s">
        <v>24207</v>
      </c>
      <c t="s">
        <v>50917</v>
      </c>
      <c t="s">
        <v>31515</v>
      </c>
      <c t="s">
        <v>52393</v>
      </c>
      <c t="s">
        <v>3093</v>
      </c>
      <c t="s">
        <v>21001</v>
      </c>
    </row>
    <row>
      <c t="s">
        <v>17594</v>
      </c>
      <c t="s">
        <v>51025</v>
      </c>
      <c t="s">
        <v>23232</v>
      </c>
      <c t="s">
        <v>48072</v>
      </c>
      <c t="s">
        <v>10238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865" s="1" t="str">
        <f ca="1">HYPERLINK("https://web.datatree.com/?/property?propertyId=32259028", "https://web.datatree.com/?/property?propertyId=32259028")</f>
        <v>https://web.datatree.com/?/property?propertyId=32259028</v>
      </c>
      <c r="Q865" t="s">
        <v>316</v>
      </c>
      <c>
        <v>0.23</v>
      </c>
      <c t="s">
        <v>6175</v>
      </c>
      <c t="s">
        <v>46319</v>
      </c>
      <c t="s">
        <v>21710</v>
      </c>
      <c r="X865" t="s">
        <v>32147</v>
      </c>
      <c t="s">
        <v>13478</v>
      </c>
      <c t="s">
        <v>2517</v>
      </c>
      <c t="s">
        <v>39289</v>
      </c>
      <c>
        <v>33909</v>
      </c>
      <c t="s">
        <v>56427</v>
      </c>
      <c t="s">
        <v>48794</v>
      </c>
      <c t="s">
        <v>67075</v>
      </c>
      <c>
        <v>20</v>
      </c>
      <c r="AI865" t="s">
        <v>22297</v>
      </c>
      <c t="s">
        <v>24900</v>
      </c>
      <c r="AL865" t="s">
        <v>14040</v>
      </c>
      <c t="s">
        <v>14040</v>
      </c>
      <c t="s">
        <v>26016</v>
      </c>
      <c t="s">
        <v>65746</v>
      </c>
      <c t="s">
        <v>4480</v>
      </c>
      <c t="s">
        <v>3093</v>
      </c>
      <c t="s">
        <v>22387</v>
      </c>
    </row>
    <row>
      <c t="s">
        <v>17594</v>
      </c>
      <c t="s">
        <v>51067</v>
      </c>
      <c t="s">
        <v>10201</v>
      </c>
      <c t="s">
        <v>45200</v>
      </c>
      <c t="s">
        <v>639</v>
      </c>
      <c s="3">
        <v>24163</v>
      </c>
      <c s="3">
        <v>24163</v>
      </c>
      <c s="3">
        <v>10973</v>
      </c>
      <c>
        <v>0</v>
      </c>
      <c s="3">
        <v>0</v>
      </c>
      <c s="3">
        <v>715.46</v>
      </c>
      <c s="3">
        <v>24163</v>
      </c>
      <c r="O866" s="1" t="str">
        <f ca="1">HYPERLINK("https://web.datatree.com/?/property?propertyId=32259222", "https://web.datatree.com/?/property?propertyId=32259222")</f>
        <v>https://web.datatree.com/?/property?propertyId=32259222</v>
      </c>
      <c r="Q866" t="s">
        <v>316</v>
      </c>
      <c>
        <v>0.344</v>
      </c>
      <c t="s">
        <v>45031</v>
      </c>
      <c t="s">
        <v>66736</v>
      </c>
      <c t="s">
        <v>24727</v>
      </c>
      <c r="X866" t="s">
        <v>14178</v>
      </c>
      <c t="s">
        <v>38550</v>
      </c>
      <c t="s">
        <v>2517</v>
      </c>
      <c t="s">
        <v>39289</v>
      </c>
      <c>
        <v>33909</v>
      </c>
      <c t="s">
        <v>64606</v>
      </c>
      <c t="s">
        <v>48794</v>
      </c>
      <c t="s">
        <v>53075</v>
      </c>
      <c>
        <v>2236</v>
      </c>
      <c r="AI866" t="s">
        <v>40151</v>
      </c>
      <c t="s">
        <v>4985</v>
      </c>
      <c r="AL866" t="s">
        <v>11713</v>
      </c>
      <c r="AN866" t="s">
        <v>39289</v>
      </c>
      <c t="s">
        <v>42101</v>
      </c>
      <c t="s">
        <v>56028</v>
      </c>
      <c t="s">
        <v>3093</v>
      </c>
      <c t="s">
        <v>2708</v>
      </c>
    </row>
    <row>
      <c t="s">
        <v>17594</v>
      </c>
      <c t="s">
        <v>40209</v>
      </c>
      <c t="s">
        <v>21777</v>
      </c>
      <c t="s">
        <v>11995</v>
      </c>
      <c t="s">
        <v>64256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867" s="1" t="str">
        <f ca="1">HYPERLINK("https://web.datatree.com/?/property?propertyId=32259251", "https://web.datatree.com/?/property?propertyId=32259251")</f>
        <v>https://web.datatree.com/?/property?propertyId=32259251</v>
      </c>
      <c r="Q867" t="s">
        <v>316</v>
      </c>
      <c>
        <v>0.244</v>
      </c>
      <c t="s">
        <v>6175</v>
      </c>
      <c t="s">
        <v>37032</v>
      </c>
      <c t="s">
        <v>14808</v>
      </c>
      <c t="s">
        <v>29382</v>
      </c>
      <c t="s">
        <v>14808</v>
      </c>
      <c t="s">
        <v>51645</v>
      </c>
      <c t="s">
        <v>53663</v>
      </c>
      <c t="s">
        <v>2517</v>
      </c>
      <c t="s">
        <v>39289</v>
      </c>
      <c>
        <v>33909</v>
      </c>
      <c t="s">
        <v>62234</v>
      </c>
      <c t="s">
        <v>48794</v>
      </c>
      <c t="s">
        <v>6856</v>
      </c>
      <c>
        <v>1389</v>
      </c>
      <c r="AI867" t="s">
        <v>60794</v>
      </c>
      <c t="s">
        <v>31192</v>
      </c>
      <c r="AL867" t="s">
        <v>41176</v>
      </c>
      <c r="AN867" t="s">
        <v>22275</v>
      </c>
      <c t="s">
        <v>66949</v>
      </c>
      <c t="s">
        <v>22455</v>
      </c>
      <c t="s">
        <v>3093</v>
      </c>
      <c t="s">
        <v>60756</v>
      </c>
    </row>
    <row>
      <c t="s">
        <v>17594</v>
      </c>
      <c t="s">
        <v>15467</v>
      </c>
      <c t="s">
        <v>50493</v>
      </c>
      <c t="s">
        <v>57539</v>
      </c>
      <c t="s">
        <v>6841</v>
      </c>
      <c s="3">
        <v>24937</v>
      </c>
      <c s="3">
        <v>24937</v>
      </c>
      <c s="3">
        <v>12100</v>
      </c>
      <c>
        <v>0</v>
      </c>
      <c s="3">
        <v>0</v>
      </c>
      <c s="3">
        <v>2932.8</v>
      </c>
      <c s="3">
        <v>24937</v>
      </c>
      <c r="O868" s="1" t="str">
        <f ca="1">HYPERLINK("https://web.datatree.com/?/property?propertyId=32259596", "https://web.datatree.com/?/property?propertyId=32259596")</f>
        <v>https://web.datatree.com/?/property?propertyId=32259596</v>
      </c>
      <c r="Q868" t="s">
        <v>316</v>
      </c>
      <c>
        <v>0.249</v>
      </c>
      <c t="s">
        <v>37741</v>
      </c>
      <c t="s">
        <v>61517</v>
      </c>
      <c t="s">
        <v>26731</v>
      </c>
      <c t="s">
        <v>66929</v>
      </c>
      <c t="s">
        <v>26731</v>
      </c>
      <c t="s">
        <v>33463</v>
      </c>
      <c t="s">
        <v>61865</v>
      </c>
      <c t="s">
        <v>2517</v>
      </c>
      <c t="s">
        <v>39289</v>
      </c>
      <c>
        <v>33909</v>
      </c>
      <c t="s">
        <v>5365</v>
      </c>
      <c t="s">
        <v>48794</v>
      </c>
      <c t="s">
        <v>2068</v>
      </c>
      <c>
        <v>11523</v>
      </c>
      <c r="AI868" t="s">
        <v>43142</v>
      </c>
      <c t="s">
        <v>45620</v>
      </c>
      <c r="AL868" t="s">
        <v>59996</v>
      </c>
      <c r="AN868" t="s">
        <v>49572</v>
      </c>
      <c t="s">
        <v>9929</v>
      </c>
      <c t="s">
        <v>22455</v>
      </c>
      <c t="s">
        <v>3093</v>
      </c>
      <c t="s">
        <v>47132</v>
      </c>
    </row>
    <row>
      <c t="s">
        <v>17594</v>
      </c>
      <c t="s">
        <v>49157</v>
      </c>
      <c t="s">
        <v>7587</v>
      </c>
      <c t="s">
        <v>60523</v>
      </c>
      <c t="s">
        <v>59846</v>
      </c>
      <c s="3">
        <v>20472</v>
      </c>
      <c s="3">
        <v>20472</v>
      </c>
      <c s="3">
        <v>9130</v>
      </c>
      <c>
        <v>0</v>
      </c>
      <c s="3">
        <v>0</v>
      </c>
      <c s="3">
        <v>2904.46</v>
      </c>
      <c s="3">
        <v>20472</v>
      </c>
      <c r="O869" s="1" t="str">
        <f ca="1">HYPERLINK("https://web.datatree.com/?/property?propertyId=32260014", "https://web.datatree.com/?/property?propertyId=32260014")</f>
        <v>https://web.datatree.com/?/property?propertyId=32260014</v>
      </c>
      <c r="Q869" t="s">
        <v>316</v>
      </c>
      <c>
        <v>0.244</v>
      </c>
      <c t="s">
        <v>22490</v>
      </c>
      <c t="s">
        <v>61273</v>
      </c>
      <c t="s">
        <v>37973</v>
      </c>
      <c t="s">
        <v>2140</v>
      </c>
      <c t="s">
        <v>18314</v>
      </c>
      <c t="s">
        <v>61909</v>
      </c>
      <c t="s">
        <v>18679</v>
      </c>
      <c t="s">
        <v>2517</v>
      </c>
      <c t="s">
        <v>39289</v>
      </c>
      <c>
        <v>33909</v>
      </c>
      <c t="s">
        <v>65424</v>
      </c>
      <c t="s">
        <v>48794</v>
      </c>
      <c t="s">
        <v>48160</v>
      </c>
      <c>
        <v>41762</v>
      </c>
      <c r="AI869" t="s">
        <v>17004</v>
      </c>
      <c t="s">
        <v>45393</v>
      </c>
      <c r="AL869" t="s">
        <v>51161</v>
      </c>
      <c r="AN869" t="s">
        <v>40451</v>
      </c>
      <c t="s">
        <v>37614</v>
      </c>
      <c t="s">
        <v>44428</v>
      </c>
      <c t="s">
        <v>3093</v>
      </c>
      <c t="s">
        <v>65137</v>
      </c>
    </row>
    <row>
      <c t="s">
        <v>17594</v>
      </c>
      <c t="s">
        <v>6439</v>
      </c>
      <c t="s">
        <v>13281</v>
      </c>
      <c t="s">
        <v>21705</v>
      </c>
      <c t="s">
        <v>14927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870" s="1" t="str">
        <f ca="1">HYPERLINK("https://web.datatree.com/?/property?propertyId=32260360", "https://web.datatree.com/?/property?propertyId=32260360")</f>
        <v>https://web.datatree.com/?/property?propertyId=32260360</v>
      </c>
      <c r="Q870" t="s">
        <v>316</v>
      </c>
      <c>
        <v>0.23</v>
      </c>
      <c t="s">
        <v>6175</v>
      </c>
      <c t="s">
        <v>38202</v>
      </c>
      <c t="s">
        <v>43891</v>
      </c>
      <c r="X870" t="s">
        <v>45978</v>
      </c>
      <c t="s">
        <v>13829</v>
      </c>
      <c t="s">
        <v>2517</v>
      </c>
      <c t="s">
        <v>39289</v>
      </c>
      <c>
        <v>33909</v>
      </c>
      <c t="s">
        <v>56545</v>
      </c>
      <c t="s">
        <v>48794</v>
      </c>
      <c t="s">
        <v>60641</v>
      </c>
      <c>
        <v>86</v>
      </c>
      <c r="AI870" t="s">
        <v>26805</v>
      </c>
      <c t="s">
        <v>45620</v>
      </c>
      <c r="AL870" t="s">
        <v>60158</v>
      </c>
      <c r="AN870" t="s">
        <v>50917</v>
      </c>
      <c t="s">
        <v>25515</v>
      </c>
      <c t="s">
        <v>54916</v>
      </c>
      <c t="s">
        <v>3093</v>
      </c>
      <c t="s">
        <v>8442</v>
      </c>
    </row>
    <row>
      <c t="s">
        <v>17594</v>
      </c>
      <c t="s">
        <v>29364</v>
      </c>
      <c t="s">
        <v>233</v>
      </c>
      <c t="s">
        <v>64264</v>
      </c>
      <c t="s">
        <v>7372</v>
      </c>
      <c s="3">
        <v>78884</v>
      </c>
      <c s="3">
        <v>63500</v>
      </c>
      <c s="3">
        <v>76555</v>
      </c>
      <c>
        <v>0</v>
      </c>
      <c s="3">
        <v>0</v>
      </c>
      <c s="3">
        <v>1163.99</v>
      </c>
      <c s="3">
        <v>78884</v>
      </c>
      <c r="O871" s="1" t="str">
        <f ca="1">HYPERLINK("https://web.datatree.com/?/property?propertyId=32260567", "https://web.datatree.com/?/property?propertyId=32260567")</f>
        <v>https://web.datatree.com/?/property?propertyId=32260567</v>
      </c>
      <c r="Q871" t="s">
        <v>316</v>
      </c>
      <c>
        <v>0.103</v>
      </c>
      <c t="s">
        <v>26492</v>
      </c>
      <c t="s">
        <v>23659</v>
      </c>
      <c t="s">
        <v>49462</v>
      </c>
      <c t="s">
        <v>4617</v>
      </c>
      <c t="s">
        <v>49462</v>
      </c>
      <c t="s">
        <v>46737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46271</v>
      </c>
      <c>
        <v>117</v>
      </c>
      <c r="AI871" t="s">
        <v>55678</v>
      </c>
      <c t="s">
        <v>45620</v>
      </c>
      <c r="AL871" t="s">
        <v>11732</v>
      </c>
      <c t="s">
        <v>40227</v>
      </c>
      <c t="s">
        <v>5859</v>
      </c>
      <c t="s">
        <v>51760</v>
      </c>
      <c t="s">
        <v>22152</v>
      </c>
      <c t="s">
        <v>3093</v>
      </c>
      <c t="s">
        <v>40118</v>
      </c>
    </row>
    <row>
      <c t="s">
        <v>17594</v>
      </c>
      <c t="s">
        <v>15109</v>
      </c>
      <c t="s">
        <v>37896</v>
      </c>
      <c t="s">
        <v>57548</v>
      </c>
      <c t="s">
        <v>61911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 r="O872" s="1" t="str">
        <f ca="1">HYPERLINK("https://web.datatree.com/?/property?propertyId=32261766", "https://web.datatree.com/?/property?propertyId=32261766")</f>
        <v>https://web.datatree.com/?/property?propertyId=32261766</v>
      </c>
      <c r="Q872" t="s">
        <v>316</v>
      </c>
      <c>
        <v>0.231</v>
      </c>
      <c t="s">
        <v>5471</v>
      </c>
      <c t="s">
        <v>16200</v>
      </c>
      <c t="s">
        <v>39544</v>
      </c>
      <c t="s">
        <v>28873</v>
      </c>
      <c t="s">
        <v>39544</v>
      </c>
      <c t="s">
        <v>2348</v>
      </c>
      <c t="s">
        <v>43940</v>
      </c>
      <c t="s">
        <v>65059</v>
      </c>
      <c t="s">
        <v>39289</v>
      </c>
      <c>
        <v>33905</v>
      </c>
      <c t="s">
        <v>26756</v>
      </c>
      <c t="s">
        <v>48794</v>
      </c>
      <c t="s">
        <v>38188</v>
      </c>
      <c>
        <v>825</v>
      </c>
      <c r="AI872" t="s">
        <v>61808</v>
      </c>
      <c t="s">
        <v>24900</v>
      </c>
      <c t="s">
        <v>59398</v>
      </c>
      <c t="s">
        <v>6144</v>
      </c>
      <c r="AN872" t="s">
        <v>50917</v>
      </c>
      <c t="s">
        <v>26589</v>
      </c>
      <c t="s">
        <v>26242</v>
      </c>
      <c t="s">
        <v>3093</v>
      </c>
      <c t="s">
        <v>57659</v>
      </c>
    </row>
    <row>
      <c t="s">
        <v>17594</v>
      </c>
      <c t="s">
        <v>11318</v>
      </c>
      <c t="s">
        <v>50538</v>
      </c>
      <c t="s">
        <v>46863</v>
      </c>
      <c t="s">
        <v>3933</v>
      </c>
      <c s="3">
        <v>10600</v>
      </c>
      <c s="3">
        <v>10600</v>
      </c>
      <c s="3">
        <v>9680</v>
      </c>
      <c>
        <v>0</v>
      </c>
      <c s="3">
        <v>0</v>
      </c>
      <c s="3">
        <v>3063.66</v>
      </c>
      <c s="3">
        <v>10600</v>
      </c>
      <c r="O873" s="1" t="str">
        <f ca="1">HYPERLINK("https://web.datatree.com/?/property?propertyId=32262084", "https://web.datatree.com/?/property?propertyId=32262084")</f>
        <v>https://web.datatree.com/?/property?propertyId=32262084</v>
      </c>
      <c r="Q873" t="s">
        <v>316</v>
      </c>
      <c>
        <v>0.269</v>
      </c>
      <c t="s">
        <v>6175</v>
      </c>
      <c t="s">
        <v>56142</v>
      </c>
      <c t="s">
        <v>63933</v>
      </c>
      <c r="X873" t="s">
        <v>46157</v>
      </c>
      <c t="s">
        <v>18679</v>
      </c>
      <c t="s">
        <v>2517</v>
      </c>
      <c t="s">
        <v>39289</v>
      </c>
      <c>
        <v>33909</v>
      </c>
      <c t="s">
        <v>43197</v>
      </c>
      <c t="s">
        <v>48794</v>
      </c>
      <c t="s">
        <v>12735</v>
      </c>
      <c>
        <v>159</v>
      </c>
      <c r="AI873" t="s">
        <v>33025</v>
      </c>
      <c t="s">
        <v>24900</v>
      </c>
      <c r="AL873" t="s">
        <v>61009</v>
      </c>
      <c t="s">
        <v>61009</v>
      </c>
      <c t="s">
        <v>26016</v>
      </c>
      <c t="s">
        <v>55875</v>
      </c>
      <c t="s">
        <v>55071</v>
      </c>
      <c t="s">
        <v>3093</v>
      </c>
      <c t="s">
        <v>27000</v>
      </c>
    </row>
    <row>
      <c t="s">
        <v>17594</v>
      </c>
      <c t="s">
        <v>23427</v>
      </c>
      <c t="s">
        <v>32112</v>
      </c>
      <c t="s">
        <v>62820</v>
      </c>
      <c t="s">
        <v>25226</v>
      </c>
      <c s="3">
        <v>7000</v>
      </c>
      <c s="3">
        <v>7000</v>
      </c>
      <c s="3">
        <v>3894</v>
      </c>
      <c>
        <v>0</v>
      </c>
      <c s="3">
        <v>0</v>
      </c>
      <c s="3">
        <v>88.18</v>
      </c>
      <c s="3">
        <v>7000</v>
      </c>
      <c r="O874" s="1" t="str">
        <f ca="1">HYPERLINK("https://web.datatree.com/?/property?propertyId=32262841", "https://web.datatree.com/?/property?propertyId=32262841")</f>
        <v>https://web.datatree.com/?/property?propertyId=32262841</v>
      </c>
      <c r="Q874" t="s">
        <v>316</v>
      </c>
      <c>
        <v>0.116</v>
      </c>
      <c t="s">
        <v>36917</v>
      </c>
      <c t="s">
        <v>36241</v>
      </c>
      <c t="s">
        <v>26240</v>
      </c>
      <c r="X874" t="s">
        <v>54638</v>
      </c>
      <c t="s">
        <v>60074</v>
      </c>
      <c t="s">
        <v>54524</v>
      </c>
      <c t="s">
        <v>39289</v>
      </c>
      <c>
        <v>33903</v>
      </c>
      <c t="s">
        <v>57396</v>
      </c>
      <c t="s">
        <v>48794</v>
      </c>
      <c t="s">
        <v>26364</v>
      </c>
      <c>
        <v>1881</v>
      </c>
      <c r="AI874" t="s">
        <v>46083</v>
      </c>
      <c t="s">
        <v>31192</v>
      </c>
      <c r="AL874" t="s">
        <v>9913</v>
      </c>
      <c r="AN874" t="s">
        <v>39289</v>
      </c>
      <c t="s">
        <v>55674</v>
      </c>
      <c t="s">
        <v>60160</v>
      </c>
      <c t="s">
        <v>3093</v>
      </c>
      <c t="s">
        <v>30485</v>
      </c>
    </row>
    <row>
      <c t="s">
        <v>17594</v>
      </c>
      <c t="s">
        <v>64483</v>
      </c>
      <c t="s">
        <v>29928</v>
      </c>
      <c t="s">
        <v>12447</v>
      </c>
      <c t="s">
        <v>42088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>
        <v>2020</v>
      </c>
      <c>
        <v>1742.25</v>
      </c>
      <c s="1" t="str">
        <f ca="1">HYPERLINK("https://web.datatree.com/?/property?propertyId=32263061", "https://web.datatree.com/?/property?propertyId=32263061")</f>
        <v>https://web.datatree.com/?/property?propertyId=32263061</v>
      </c>
      <c r="Q875" t="s">
        <v>316</v>
      </c>
      <c>
        <v>0.23</v>
      </c>
      <c t="s">
        <v>54449</v>
      </c>
      <c t="s">
        <v>53804</v>
      </c>
      <c t="s">
        <v>37991</v>
      </c>
      <c t="s">
        <v>19406</v>
      </c>
      <c t="s">
        <v>56728</v>
      </c>
      <c t="s">
        <v>38396</v>
      </c>
      <c t="s">
        <v>38550</v>
      </c>
      <c t="s">
        <v>2517</v>
      </c>
      <c t="s">
        <v>39289</v>
      </c>
      <c>
        <v>33909</v>
      </c>
      <c t="s">
        <v>37536</v>
      </c>
      <c t="s">
        <v>48794</v>
      </c>
      <c t="s">
        <v>59306</v>
      </c>
      <c r="AI875" t="s">
        <v>49975</v>
      </c>
      <c t="s">
        <v>45072</v>
      </c>
      <c r="AL875" t="s">
        <v>35627</v>
      </c>
      <c t="s">
        <v>35627</v>
      </c>
      <c t="s">
        <v>9533</v>
      </c>
      <c>
        <v>725</v>
      </c>
      <c r="AQ875" t="s">
        <v>3093</v>
      </c>
      <c t="s">
        <v>44819</v>
      </c>
    </row>
    <row>
      <c t="s">
        <v>17594</v>
      </c>
      <c t="s">
        <v>16961</v>
      </c>
      <c t="s">
        <v>41146</v>
      </c>
      <c t="s">
        <v>51164</v>
      </c>
      <c t="s">
        <v>61135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876" s="1" t="str">
        <f ca="1">HYPERLINK("https://web.datatree.com/?/property?propertyId=32263184", "https://web.datatree.com/?/property?propertyId=32263184")</f>
        <v>https://web.datatree.com/?/property?propertyId=32263184</v>
      </c>
      <c r="Q876" t="s">
        <v>316</v>
      </c>
      <c>
        <v>0.236</v>
      </c>
      <c t="s">
        <v>6175</v>
      </c>
      <c t="s">
        <v>552</v>
      </c>
      <c t="s">
        <v>29360</v>
      </c>
      <c r="X876" t="s">
        <v>40406</v>
      </c>
      <c t="s">
        <v>61850</v>
      </c>
      <c t="s">
        <v>2517</v>
      </c>
      <c t="s">
        <v>39289</v>
      </c>
      <c>
        <v>33909</v>
      </c>
      <c t="s">
        <v>17498</v>
      </c>
      <c t="s">
        <v>48794</v>
      </c>
      <c t="s">
        <v>61536</v>
      </c>
      <c>
        <v>392</v>
      </c>
      <c r="AI876" t="s">
        <v>35693</v>
      </c>
      <c t="s">
        <v>24900</v>
      </c>
      <c r="AL876" t="s">
        <v>65497</v>
      </c>
      <c t="s">
        <v>65497</v>
      </c>
      <c t="s">
        <v>50917</v>
      </c>
      <c t="s">
        <v>41644</v>
      </c>
      <c t="s">
        <v>33029</v>
      </c>
      <c t="s">
        <v>3093</v>
      </c>
      <c t="s">
        <v>61833</v>
      </c>
    </row>
    <row>
      <c t="s">
        <v>17594</v>
      </c>
      <c t="s">
        <v>13056</v>
      </c>
      <c t="s">
        <v>48757</v>
      </c>
      <c t="s">
        <v>15198</v>
      </c>
      <c t="s">
        <v>43071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877" s="1" t="str">
        <f ca="1">HYPERLINK("https://web.datatree.com/?/property?propertyId=32263314", "https://web.datatree.com/?/property?propertyId=32263314")</f>
        <v>https://web.datatree.com/?/property?propertyId=32263314</v>
      </c>
      <c r="Q877" t="s">
        <v>316</v>
      </c>
      <c>
        <v>0.23</v>
      </c>
      <c t="s">
        <v>6175</v>
      </c>
      <c t="s">
        <v>50343</v>
      </c>
      <c t="s">
        <v>29273</v>
      </c>
      <c r="X877" t="s">
        <v>46315</v>
      </c>
      <c t="s">
        <v>49122</v>
      </c>
      <c t="s">
        <v>2517</v>
      </c>
      <c t="s">
        <v>39289</v>
      </c>
      <c>
        <v>33909</v>
      </c>
      <c t="s">
        <v>36696</v>
      </c>
      <c t="s">
        <v>48794</v>
      </c>
      <c t="s">
        <v>54942</v>
      </c>
      <c>
        <v>4850</v>
      </c>
      <c r="AI877" t="s">
        <v>63634</v>
      </c>
      <c t="s">
        <v>40123</v>
      </c>
      <c r="AL877" t="s">
        <v>54287</v>
      </c>
      <c r="AN877" t="s">
        <v>17134</v>
      </c>
      <c t="s">
        <v>55247</v>
      </c>
      <c t="s">
        <v>40826</v>
      </c>
      <c t="s">
        <v>3093</v>
      </c>
      <c t="s">
        <v>62737</v>
      </c>
    </row>
    <row>
      <c t="s">
        <v>17594</v>
      </c>
      <c t="s">
        <v>34854</v>
      </c>
      <c t="s">
        <v>42087</v>
      </c>
      <c t="s">
        <v>29025</v>
      </c>
      <c t="s">
        <v>9219</v>
      </c>
      <c s="3">
        <v>125622</v>
      </c>
      <c s="3">
        <v>125622</v>
      </c>
      <c s="3">
        <v>125622</v>
      </c>
      <c>
        <v>0</v>
      </c>
      <c s="3">
        <v>0</v>
      </c>
      <c s="3">
        <v>1714.98</v>
      </c>
      <c s="3">
        <v>125622</v>
      </c>
      <c r="O878" s="1" t="str">
        <f ca="1">HYPERLINK("https://web.datatree.com/?/property?propertyId=32264099", "https://web.datatree.com/?/property?propertyId=32264099")</f>
        <v>https://web.datatree.com/?/property?propertyId=32264099</v>
      </c>
      <c r="Q878" t="s">
        <v>316</v>
      </c>
      <c>
        <v>0.413</v>
      </c>
      <c t="s">
        <v>5471</v>
      </c>
      <c t="s">
        <v>34140</v>
      </c>
      <c t="s">
        <v>1291</v>
      </c>
      <c t="s">
        <v>5121</v>
      </c>
      <c t="s">
        <v>1291</v>
      </c>
      <c t="s">
        <v>13488</v>
      </c>
      <c t="s">
        <v>45219</v>
      </c>
      <c t="s">
        <v>65059</v>
      </c>
      <c t="s">
        <v>39289</v>
      </c>
      <c>
        <v>33905</v>
      </c>
      <c t="s">
        <v>37575</v>
      </c>
      <c t="s">
        <v>48794</v>
      </c>
      <c t="s">
        <v>56211</v>
      </c>
      <c>
        <v>1800</v>
      </c>
      <c r="AI878" t="s">
        <v>57211</v>
      </c>
      <c t="s">
        <v>31192</v>
      </c>
      <c r="AL878" t="s">
        <v>62575</v>
      </c>
      <c t="s">
        <v>62575</v>
      </c>
      <c t="s">
        <v>3034</v>
      </c>
      <c t="s">
        <v>27916</v>
      </c>
      <c t="s">
        <v>38014</v>
      </c>
      <c t="s">
        <v>3093</v>
      </c>
      <c t="s">
        <v>54064</v>
      </c>
    </row>
    <row>
      <c t="s">
        <v>17594</v>
      </c>
      <c t="s">
        <v>6517</v>
      </c>
      <c t="s">
        <v>41375</v>
      </c>
      <c t="s">
        <v>966</v>
      </c>
      <c t="s">
        <v>15036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879" s="1" t="str">
        <f ca="1">HYPERLINK("https://web.datatree.com/?/property?propertyId=32265177", "https://web.datatree.com/?/property?propertyId=32265177")</f>
        <v>https://web.datatree.com/?/property?propertyId=32265177</v>
      </c>
      <c r="Q879" t="s">
        <v>316</v>
      </c>
      <c>
        <v>0.23</v>
      </c>
      <c t="s">
        <v>6175</v>
      </c>
      <c t="s">
        <v>32056</v>
      </c>
      <c t="s">
        <v>35571</v>
      </c>
      <c r="X879" t="s">
        <v>11884</v>
      </c>
      <c t="s">
        <v>17022</v>
      </c>
      <c t="s">
        <v>2517</v>
      </c>
      <c t="s">
        <v>39289</v>
      </c>
      <c>
        <v>33909</v>
      </c>
      <c t="s">
        <v>41985</v>
      </c>
      <c t="s">
        <v>48794</v>
      </c>
      <c t="s">
        <v>27887</v>
      </c>
      <c>
        <v>873</v>
      </c>
      <c r="AH879" t="s">
        <v>6851</v>
      </c>
      <c t="s">
        <v>65519</v>
      </c>
      <c t="s">
        <v>45620</v>
      </c>
      <c r="AL879" t="s">
        <v>66776</v>
      </c>
      <c t="s">
        <v>66776</v>
      </c>
      <c t="s">
        <v>49730</v>
      </c>
      <c t="s">
        <v>34966</v>
      </c>
      <c t="s">
        <v>41776</v>
      </c>
      <c t="s">
        <v>3093</v>
      </c>
      <c t="s">
        <v>11358</v>
      </c>
    </row>
    <row>
      <c t="s">
        <v>17594</v>
      </c>
      <c t="s">
        <v>16866</v>
      </c>
      <c t="s">
        <v>66720</v>
      </c>
      <c t="s">
        <v>25894</v>
      </c>
      <c t="s">
        <v>25981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880" s="1" t="str">
        <f ca="1">HYPERLINK("https://web.datatree.com/?/property?propertyId=32265885", "https://web.datatree.com/?/property?propertyId=32265885")</f>
        <v>https://web.datatree.com/?/property?propertyId=32265885</v>
      </c>
      <c r="Q880" t="s">
        <v>316</v>
      </c>
      <c>
        <v>0.23</v>
      </c>
      <c t="s">
        <v>6175</v>
      </c>
      <c t="s">
        <v>61500</v>
      </c>
      <c t="s">
        <v>27671</v>
      </c>
      <c r="X880" t="s">
        <v>66190</v>
      </c>
      <c t="s">
        <v>14534</v>
      </c>
      <c t="s">
        <v>2517</v>
      </c>
      <c t="s">
        <v>39289</v>
      </c>
      <c>
        <v>33909</v>
      </c>
      <c t="s">
        <v>40465</v>
      </c>
      <c t="s">
        <v>48794</v>
      </c>
      <c t="s">
        <v>45477</v>
      </c>
      <c>
        <v>3</v>
      </c>
      <c r="AI880" t="s">
        <v>44710</v>
      </c>
      <c t="s">
        <v>55842</v>
      </c>
      <c r="AL880" t="s">
        <v>41590</v>
      </c>
      <c t="s">
        <v>41590</v>
      </c>
      <c t="s">
        <v>26016</v>
      </c>
      <c t="s">
        <v>22088</v>
      </c>
      <c t="s">
        <v>17380</v>
      </c>
      <c t="s">
        <v>3093</v>
      </c>
      <c t="s">
        <v>66085</v>
      </c>
    </row>
    <row>
      <c t="s">
        <v>17594</v>
      </c>
      <c t="s">
        <v>11680</v>
      </c>
      <c t="s">
        <v>36251</v>
      </c>
      <c t="s">
        <v>66427</v>
      </c>
      <c t="s">
        <v>51688</v>
      </c>
      <c s="3">
        <v>13610</v>
      </c>
      <c s="3">
        <v>13610</v>
      </c>
      <c s="3">
        <v>6948</v>
      </c>
      <c>
        <v>0</v>
      </c>
      <c s="3">
        <v>0</v>
      </c>
      <c s="3">
        <v>148.01</v>
      </c>
      <c s="3">
        <v>13610</v>
      </c>
      <c r="O881" s="1" t="str">
        <f ca="1">HYPERLINK("https://web.datatree.com/?/property?propertyId=32266164", "https://web.datatree.com/?/property?propertyId=32266164")</f>
        <v>https://web.datatree.com/?/property?propertyId=32266164</v>
      </c>
      <c r="Q881" t="s">
        <v>316</v>
      </c>
      <c>
        <v>0.227</v>
      </c>
      <c t="s">
        <v>5471</v>
      </c>
      <c t="s">
        <v>1479</v>
      </c>
      <c t="s">
        <v>62426</v>
      </c>
      <c t="s">
        <v>52768</v>
      </c>
      <c t="s">
        <v>62426</v>
      </c>
      <c t="s">
        <v>28295</v>
      </c>
      <c t="s">
        <v>58404</v>
      </c>
      <c t="s">
        <v>54524</v>
      </c>
      <c t="s">
        <v>39289</v>
      </c>
      <c>
        <v>33903</v>
      </c>
      <c t="s">
        <v>18441</v>
      </c>
      <c t="s">
        <v>48794</v>
      </c>
      <c t="s">
        <v>40997</v>
      </c>
      <c>
        <v>17229</v>
      </c>
      <c r="AI881" t="s">
        <v>57369</v>
      </c>
      <c t="s">
        <v>45620</v>
      </c>
      <c r="AL881" t="s">
        <v>59027</v>
      </c>
      <c r="AN881" t="s">
        <v>51137</v>
      </c>
      <c t="s">
        <v>19296</v>
      </c>
      <c t="s">
        <v>35354</v>
      </c>
      <c t="s">
        <v>3093</v>
      </c>
      <c t="s">
        <v>7026</v>
      </c>
    </row>
    <row>
      <c t="s">
        <v>17594</v>
      </c>
      <c t="s">
        <v>63457</v>
      </c>
      <c t="s">
        <v>51865</v>
      </c>
      <c t="s">
        <v>59460</v>
      </c>
      <c t="s">
        <v>32486</v>
      </c>
      <c s="3">
        <v>10000</v>
      </c>
      <c s="3">
        <v>10000</v>
      </c>
      <c s="3">
        <v>4992</v>
      </c>
      <c>
        <v>0</v>
      </c>
      <c s="3">
        <v>0</v>
      </c>
      <c s="3">
        <v>102.56</v>
      </c>
      <c s="3">
        <v>10000</v>
      </c>
      <c>
        <v>2018</v>
      </c>
      <c>
        <v>468.06</v>
      </c>
      <c s="1" t="str">
        <f ca="1">HYPERLINK("https://web.datatree.com/?/property?propertyId=32266429", "https://web.datatree.com/?/property?propertyId=32266429")</f>
        <v>https://web.datatree.com/?/property?propertyId=32266429</v>
      </c>
      <c r="Q882" t="s">
        <v>316</v>
      </c>
      <c>
        <v>0.161</v>
      </c>
      <c t="s">
        <v>36245</v>
      </c>
      <c t="s">
        <v>10331</v>
      </c>
      <c t="s">
        <v>45813</v>
      </c>
      <c t="s">
        <v>39903</v>
      </c>
      <c t="s">
        <v>31123</v>
      </c>
      <c t="s">
        <v>41143</v>
      </c>
      <c t="s">
        <v>35571</v>
      </c>
      <c t="s">
        <v>65059</v>
      </c>
      <c t="s">
        <v>39289</v>
      </c>
      <c>
        <v>33905</v>
      </c>
      <c t="s">
        <v>34643</v>
      </c>
      <c t="s">
        <v>48794</v>
      </c>
      <c t="s">
        <v>16230</v>
      </c>
      <c>
        <v>101</v>
      </c>
      <c r="AI882" t="s">
        <v>41142</v>
      </c>
      <c t="s">
        <v>4985</v>
      </c>
      <c>
        <v>302</v>
      </c>
      <c t="s">
        <v>54374</v>
      </c>
      <c r="AN882" t="s">
        <v>39289</v>
      </c>
      <c t="s">
        <v>63969</v>
      </c>
      <c t="s">
        <v>6081</v>
      </c>
      <c t="s">
        <v>3093</v>
      </c>
      <c t="s">
        <v>19884</v>
      </c>
    </row>
    <row>
      <c t="s">
        <v>17594</v>
      </c>
      <c t="s">
        <v>36045</v>
      </c>
      <c t="s">
        <v>43725</v>
      </c>
      <c t="s">
        <v>36806</v>
      </c>
      <c t="s">
        <v>21334</v>
      </c>
      <c s="3">
        <v>12493</v>
      </c>
      <c s="3">
        <v>12493</v>
      </c>
      <c s="3">
        <v>12493</v>
      </c>
      <c>
        <v>0</v>
      </c>
      <c s="3">
        <v>0</v>
      </c>
      <c s="3">
        <v>732.65</v>
      </c>
      <c s="3">
        <v>12493</v>
      </c>
      <c r="O883" s="1" t="str">
        <f ca="1">HYPERLINK("https://web.datatree.com/?/property?propertyId=32267199", "https://web.datatree.com/?/property?propertyId=32267199")</f>
        <v>https://web.datatree.com/?/property?propertyId=32267199</v>
      </c>
      <c r="Q883" t="s">
        <v>316</v>
      </c>
      <c>
        <v>0.308</v>
      </c>
      <c t="s">
        <v>22490</v>
      </c>
      <c t="s">
        <v>16594</v>
      </c>
      <c t="s">
        <v>54596</v>
      </c>
      <c r="X883" t="s">
        <v>49927</v>
      </c>
      <c t="s">
        <v>24999</v>
      </c>
      <c t="s">
        <v>2517</v>
      </c>
      <c t="s">
        <v>39289</v>
      </c>
      <c>
        <v>33909</v>
      </c>
      <c t="s">
        <v>54711</v>
      </c>
      <c t="s">
        <v>48794</v>
      </c>
      <c t="s">
        <v>38090</v>
      </c>
      <c>
        <v>4</v>
      </c>
      <c r="AI883" t="s">
        <v>56853</v>
      </c>
      <c t="s">
        <v>40123</v>
      </c>
      <c r="AL883" t="s">
        <v>18662</v>
      </c>
      <c t="s">
        <v>46192</v>
      </c>
      <c t="s">
        <v>26016</v>
      </c>
      <c t="s">
        <v>3988</v>
      </c>
      <c t="s">
        <v>15968</v>
      </c>
      <c t="s">
        <v>3093</v>
      </c>
      <c t="s">
        <v>15800</v>
      </c>
    </row>
    <row>
      <c t="s">
        <v>17594</v>
      </c>
      <c t="s">
        <v>65392</v>
      </c>
      <c t="s">
        <v>52438</v>
      </c>
      <c t="s">
        <v>58571</v>
      </c>
      <c t="s">
        <v>27486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884" s="1" t="str">
        <f ca="1">HYPERLINK("https://web.datatree.com/?/property?propertyId=32267307", "https://web.datatree.com/?/property?propertyId=32267307")</f>
        <v>https://web.datatree.com/?/property?propertyId=32267307</v>
      </c>
      <c r="Q884" t="s">
        <v>316</v>
      </c>
      <c>
        <v>0.243</v>
      </c>
      <c t="s">
        <v>6175</v>
      </c>
      <c t="s">
        <v>1134</v>
      </c>
      <c t="s">
        <v>45909</v>
      </c>
      <c t="s">
        <v>7996</v>
      </c>
      <c t="s">
        <v>45909</v>
      </c>
      <c t="s">
        <v>5476</v>
      </c>
      <c t="s">
        <v>23517</v>
      </c>
      <c t="s">
        <v>2517</v>
      </c>
      <c t="s">
        <v>39289</v>
      </c>
      <c>
        <v>33909</v>
      </c>
      <c t="s">
        <v>58741</v>
      </c>
      <c t="s">
        <v>48794</v>
      </c>
      <c t="s">
        <v>17825</v>
      </c>
      <c>
        <v>241</v>
      </c>
      <c r="AI884" t="s">
        <v>6486</v>
      </c>
      <c t="s">
        <v>24900</v>
      </c>
      <c r="AL884" t="s">
        <v>15772</v>
      </c>
      <c r="AN884" t="s">
        <v>50917</v>
      </c>
      <c t="s">
        <v>15677</v>
      </c>
      <c t="s">
        <v>34025</v>
      </c>
      <c t="s">
        <v>3093</v>
      </c>
      <c t="s">
        <v>33561</v>
      </c>
    </row>
    <row>
      <c t="s">
        <v>17594</v>
      </c>
      <c t="s">
        <v>26968</v>
      </c>
      <c t="s">
        <v>54302</v>
      </c>
      <c t="s">
        <v>61672</v>
      </c>
      <c t="s">
        <v>37935</v>
      </c>
      <c s="3">
        <v>11250</v>
      </c>
      <c s="3">
        <v>11250</v>
      </c>
      <c s="3">
        <v>5657</v>
      </c>
      <c>
        <v>0</v>
      </c>
      <c s="3">
        <v>0</v>
      </c>
      <c s="3">
        <v>153.6</v>
      </c>
      <c s="3">
        <v>11250</v>
      </c>
      <c>
        <v>2021</v>
      </c>
      <c>
        <v>198.32</v>
      </c>
      <c s="1" t="str">
        <f ca="1">HYPERLINK("https://web.datatree.com/?/property?propertyId=32267357", "https://web.datatree.com/?/property?propertyId=32267357")</f>
        <v>https://web.datatree.com/?/property?propertyId=32267357</v>
      </c>
      <c r="Q885" t="s">
        <v>316</v>
      </c>
      <c>
        <v>0.204</v>
      </c>
      <c t="s">
        <v>5471</v>
      </c>
      <c t="s">
        <v>24692</v>
      </c>
      <c t="s">
        <v>51499</v>
      </c>
      <c r="X885" t="s">
        <v>27335</v>
      </c>
      <c t="s">
        <v>37333</v>
      </c>
      <c t="s">
        <v>65059</v>
      </c>
      <c t="s">
        <v>39289</v>
      </c>
      <c>
        <v>33905</v>
      </c>
      <c t="s">
        <v>59170</v>
      </c>
      <c t="s">
        <v>48794</v>
      </c>
      <c t="s">
        <v>58755</v>
      </c>
      <c>
        <v>111</v>
      </c>
      <c r="AI885" t="s">
        <v>13158</v>
      </c>
      <c t="s">
        <v>55842</v>
      </c>
      <c r="AL885" t="s">
        <v>65650</v>
      </c>
      <c r="AN885" t="s">
        <v>3034</v>
      </c>
      <c t="s">
        <v>24463</v>
      </c>
      <c t="s">
        <v>22455</v>
      </c>
      <c t="s">
        <v>3093</v>
      </c>
      <c t="s">
        <v>43278</v>
      </c>
    </row>
    <row>
      <c t="s">
        <v>17594</v>
      </c>
      <c t="s">
        <v>27317</v>
      </c>
      <c t="s">
        <v>58869</v>
      </c>
      <c t="s">
        <v>54438</v>
      </c>
      <c t="s">
        <v>54453</v>
      </c>
      <c s="3">
        <v>51808</v>
      </c>
      <c s="3">
        <v>51808</v>
      </c>
      <c s="3">
        <v>19800</v>
      </c>
      <c>
        <v>0</v>
      </c>
      <c s="3">
        <v>0</v>
      </c>
      <c s="3">
        <v>827.25</v>
      </c>
      <c s="3">
        <v>51808</v>
      </c>
      <c>
        <v>2020</v>
      </c>
      <c>
        <v>815.97</v>
      </c>
      <c s="1" t="str">
        <f ca="1">HYPERLINK("https://web.datatree.com/?/property?propertyId=32267954", "https://web.datatree.com/?/property?propertyId=32267954")</f>
        <v>https://web.datatree.com/?/property?propertyId=32267954</v>
      </c>
      <c r="Q886" t="s">
        <v>316</v>
      </c>
      <c>
        <v>0.23</v>
      </c>
      <c t="s">
        <v>22490</v>
      </c>
      <c t="s">
        <v>50331</v>
      </c>
      <c t="s">
        <v>13339</v>
      </c>
      <c r="X886" t="s">
        <v>24778</v>
      </c>
      <c t="s">
        <v>53675</v>
      </c>
      <c t="s">
        <v>2517</v>
      </c>
      <c t="s">
        <v>39289</v>
      </c>
      <c>
        <v>33909</v>
      </c>
      <c t="s">
        <v>62395</v>
      </c>
      <c t="s">
        <v>48794</v>
      </c>
      <c t="s">
        <v>14421</v>
      </c>
      <c>
        <v>4320</v>
      </c>
      <c r="AI886" t="s">
        <v>21163</v>
      </c>
      <c t="s">
        <v>45393</v>
      </c>
      <c r="AL886" t="s">
        <v>7812</v>
      </c>
      <c r="AN886" t="s">
        <v>49572</v>
      </c>
      <c t="s">
        <v>4377</v>
      </c>
      <c t="s">
        <v>61410</v>
      </c>
      <c t="s">
        <v>3093</v>
      </c>
      <c t="s">
        <v>2891</v>
      </c>
    </row>
    <row>
      <c t="s">
        <v>17594</v>
      </c>
      <c t="s">
        <v>15845</v>
      </c>
      <c t="s">
        <v>34926</v>
      </c>
      <c t="s">
        <v>21415</v>
      </c>
      <c t="s">
        <v>34348</v>
      </c>
      <c s="3">
        <v>19706</v>
      </c>
      <c s="3">
        <v>19706</v>
      </c>
      <c s="3">
        <v>19706</v>
      </c>
      <c>
        <v>0</v>
      </c>
      <c s="3">
        <v>0</v>
      </c>
      <c s="3">
        <v>595.23</v>
      </c>
      <c s="3">
        <v>19706</v>
      </c>
      <c r="O887" s="1" t="str">
        <f ca="1">HYPERLINK("https://web.datatree.com/?/property?propertyId=32268095", "https://web.datatree.com/?/property?propertyId=32268095")</f>
        <v>https://web.datatree.com/?/property?propertyId=32268095</v>
      </c>
      <c r="Q887" t="s">
        <v>316</v>
      </c>
      <c>
        <v>0.3</v>
      </c>
      <c t="s">
        <v>6175</v>
      </c>
      <c t="s">
        <v>50331</v>
      </c>
      <c t="s">
        <v>44072</v>
      </c>
      <c t="s">
        <v>4619</v>
      </c>
      <c t="s">
        <v>44072</v>
      </c>
      <c t="s">
        <v>51226</v>
      </c>
      <c t="s">
        <v>13829</v>
      </c>
      <c t="s">
        <v>2517</v>
      </c>
      <c t="s">
        <v>39289</v>
      </c>
      <c>
        <v>33909</v>
      </c>
      <c t="s">
        <v>61859</v>
      </c>
      <c t="s">
        <v>48794</v>
      </c>
      <c t="s">
        <v>5250</v>
      </c>
      <c>
        <v>102</v>
      </c>
      <c r="AI887" t="s">
        <v>49323</v>
      </c>
      <c t="s">
        <v>40123</v>
      </c>
      <c r="AL887" t="s">
        <v>44814</v>
      </c>
      <c t="s">
        <v>44814</v>
      </c>
      <c t="s">
        <v>17331</v>
      </c>
      <c t="s">
        <v>47880</v>
      </c>
      <c t="s">
        <v>50779</v>
      </c>
      <c t="s">
        <v>3093</v>
      </c>
      <c t="s">
        <v>62179</v>
      </c>
    </row>
    <row>
      <c t="s">
        <v>17594</v>
      </c>
      <c t="s">
        <v>40152</v>
      </c>
      <c t="s">
        <v>3735</v>
      </c>
      <c t="s">
        <v>8544</v>
      </c>
      <c t="s">
        <v>11291</v>
      </c>
      <c s="3">
        <v>26250</v>
      </c>
      <c s="3">
        <v>26250</v>
      </c>
      <c s="3">
        <v>18975</v>
      </c>
      <c>
        <v>0</v>
      </c>
      <c s="3">
        <v>0</v>
      </c>
      <c s="3">
        <v>473.64</v>
      </c>
      <c s="3">
        <v>26250</v>
      </c>
      <c r="O888" s="1" t="str">
        <f ca="1">HYPERLINK("https://web.datatree.com/?/property?propertyId=32268379", "https://web.datatree.com/?/property?propertyId=32268379")</f>
        <v>https://web.datatree.com/?/property?propertyId=32268379</v>
      </c>
      <c r="Q888" t="s">
        <v>316</v>
      </c>
      <c>
        <v>0.28</v>
      </c>
      <c t="s">
        <v>5471</v>
      </c>
      <c t="s">
        <v>59175</v>
      </c>
      <c t="s">
        <v>4016</v>
      </c>
      <c r="X888" t="s">
        <v>39901</v>
      </c>
      <c t="s">
        <v>44457</v>
      </c>
      <c t="s">
        <v>65059</v>
      </c>
      <c t="s">
        <v>39289</v>
      </c>
      <c>
        <v>33905</v>
      </c>
      <c t="s">
        <v>2905</v>
      </c>
      <c t="s">
        <v>48794</v>
      </c>
      <c t="s">
        <v>51543</v>
      </c>
      <c>
        <v>4241</v>
      </c>
      <c r="AH888" t="s">
        <v>15376</v>
      </c>
      <c t="s">
        <v>14534</v>
      </c>
      <c t="s">
        <v>24900</v>
      </c>
      <c t="s">
        <v>17451</v>
      </c>
      <c t="s">
        <v>11713</v>
      </c>
      <c t="s">
        <v>21507</v>
      </c>
      <c t="s">
        <v>39289</v>
      </c>
      <c t="s">
        <v>47945</v>
      </c>
      <c t="s">
        <v>38085</v>
      </c>
      <c t="s">
        <v>3093</v>
      </c>
      <c t="s">
        <v>19894</v>
      </c>
    </row>
    <row>
      <c t="s">
        <v>17594</v>
      </c>
      <c t="s">
        <v>61771</v>
      </c>
      <c t="s">
        <v>29577</v>
      </c>
      <c t="s">
        <v>56698</v>
      </c>
      <c t="s">
        <v>34791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889" s="1" t="str">
        <f ca="1">HYPERLINK("https://web.datatree.com/?/property?propertyId=32268510", "https://web.datatree.com/?/property?propertyId=32268510")</f>
        <v>https://web.datatree.com/?/property?propertyId=32268510</v>
      </c>
      <c r="Q889" t="s">
        <v>316</v>
      </c>
      <c>
        <v>0.23</v>
      </c>
      <c t="s">
        <v>6175</v>
      </c>
      <c t="s">
        <v>58909</v>
      </c>
      <c t="s">
        <v>48188</v>
      </c>
      <c r="X889" t="s">
        <v>15201</v>
      </c>
      <c t="s">
        <v>53675</v>
      </c>
      <c t="s">
        <v>2517</v>
      </c>
      <c t="s">
        <v>39289</v>
      </c>
      <c>
        <v>33909</v>
      </c>
      <c t="s">
        <v>63468</v>
      </c>
      <c t="s">
        <v>48794</v>
      </c>
      <c t="s">
        <v>56567</v>
      </c>
      <c>
        <v>234</v>
      </c>
      <c r="AI889" t="s">
        <v>14406</v>
      </c>
      <c t="s">
        <v>45620</v>
      </c>
      <c r="AL889" t="s">
        <v>53615</v>
      </c>
      <c r="AN889" t="s">
        <v>10909</v>
      </c>
      <c t="s">
        <v>29873</v>
      </c>
      <c r="AQ889" t="s">
        <v>27814</v>
      </c>
      <c t="s">
        <v>28279</v>
      </c>
    </row>
    <row>
      <c t="s">
        <v>17594</v>
      </c>
      <c t="s">
        <v>67027</v>
      </c>
      <c t="s">
        <v>46824</v>
      </c>
      <c t="s">
        <v>21060</v>
      </c>
      <c t="s">
        <v>39193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890" s="1" t="str">
        <f ca="1">HYPERLINK("https://web.datatree.com/?/property?propertyId=32268865", "https://web.datatree.com/?/property?propertyId=32268865")</f>
        <v>https://web.datatree.com/?/property?propertyId=32268865</v>
      </c>
      <c r="Q890" t="s">
        <v>316</v>
      </c>
      <c>
        <v>0.241</v>
      </c>
      <c t="s">
        <v>6175</v>
      </c>
      <c t="s">
        <v>15214</v>
      </c>
      <c t="s">
        <v>30870</v>
      </c>
      <c r="X890" t="s">
        <v>33590</v>
      </c>
      <c t="s">
        <v>53675</v>
      </c>
      <c t="s">
        <v>2517</v>
      </c>
      <c t="s">
        <v>39289</v>
      </c>
      <c>
        <v>33909</v>
      </c>
      <c t="s">
        <v>24370</v>
      </c>
      <c t="s">
        <v>48794</v>
      </c>
      <c t="s">
        <v>18868</v>
      </c>
      <c>
        <v>10221</v>
      </c>
      <c r="AI890" t="s">
        <v>49122</v>
      </c>
      <c t="s">
        <v>45393</v>
      </c>
      <c r="AL890" t="s">
        <v>55393</v>
      </c>
      <c r="AN890" t="s">
        <v>39289</v>
      </c>
      <c t="s">
        <v>54426</v>
      </c>
      <c t="s">
        <v>43446</v>
      </c>
      <c t="s">
        <v>3093</v>
      </c>
      <c t="s">
        <v>56844</v>
      </c>
    </row>
    <row>
      <c t="s">
        <v>17594</v>
      </c>
      <c t="s">
        <v>53156</v>
      </c>
      <c t="s">
        <v>15301</v>
      </c>
      <c t="s">
        <v>53576</v>
      </c>
      <c t="s">
        <v>28276</v>
      </c>
      <c s="3">
        <v>9240</v>
      </c>
      <c s="3">
        <v>9240</v>
      </c>
      <c s="3">
        <v>9240</v>
      </c>
      <c>
        <v>0</v>
      </c>
      <c s="3">
        <v>0</v>
      </c>
      <c s="3">
        <v>573.9</v>
      </c>
      <c s="3">
        <v>9240</v>
      </c>
      <c>
        <v>2021</v>
      </c>
      <c>
        <v>672.9</v>
      </c>
      <c s="1" t="str">
        <f ca="1">HYPERLINK("https://web.datatree.com/?/property?propertyId=32269153", "https://web.datatree.com/?/property?propertyId=32269153")</f>
        <v>https://web.datatree.com/?/property?propertyId=32269153</v>
      </c>
      <c r="Q891" t="s">
        <v>316</v>
      </c>
      <c>
        <v>0.301</v>
      </c>
      <c t="s">
        <v>22490</v>
      </c>
      <c r="U891" t="s">
        <v>60831</v>
      </c>
      <c r="W891" t="s">
        <v>37526</v>
      </c>
      <c t="s">
        <v>13554</v>
      </c>
      <c t="s">
        <v>13829</v>
      </c>
      <c t="s">
        <v>2517</v>
      </c>
      <c t="s">
        <v>39289</v>
      </c>
      <c>
        <v>33909</v>
      </c>
      <c t="s">
        <v>66874</v>
      </c>
      <c t="s">
        <v>48794</v>
      </c>
      <c t="s">
        <v>18056</v>
      </c>
      <c>
        <v>9180</v>
      </c>
      <c r="AI891" t="s">
        <v>51343</v>
      </c>
      <c t="s">
        <v>40123</v>
      </c>
      <c>
        <v>400</v>
      </c>
      <c t="s">
        <v>11713</v>
      </c>
      <c t="s">
        <v>28790</v>
      </c>
      <c t="s">
        <v>39289</v>
      </c>
      <c t="s">
        <v>9403</v>
      </c>
      <c t="s">
        <v>56198</v>
      </c>
      <c t="s">
        <v>3093</v>
      </c>
      <c t="s">
        <v>26282</v>
      </c>
    </row>
    <row>
      <c t="s">
        <v>17594</v>
      </c>
      <c t="s">
        <v>179</v>
      </c>
      <c t="s">
        <v>52571</v>
      </c>
      <c t="s">
        <v>17540</v>
      </c>
      <c t="s">
        <v>5142</v>
      </c>
      <c s="3">
        <v>18361</v>
      </c>
      <c s="3">
        <v>18361</v>
      </c>
      <c s="3">
        <v>9130</v>
      </c>
      <c>
        <v>0</v>
      </c>
      <c s="3">
        <v>0</v>
      </c>
      <c s="3">
        <v>581.68</v>
      </c>
      <c s="3">
        <v>18361</v>
      </c>
      <c r="O892" s="1" t="str">
        <f ca="1">HYPERLINK("https://web.datatree.com/?/property?propertyId=32269381", "https://web.datatree.com/?/property?propertyId=32269381")</f>
        <v>https://web.datatree.com/?/property?propertyId=32269381</v>
      </c>
      <c r="Q892" t="s">
        <v>316</v>
      </c>
      <c>
        <v>0.229</v>
      </c>
      <c t="s">
        <v>45031</v>
      </c>
      <c r="U892" t="s">
        <v>10497</v>
      </c>
      <c r="W892" t="s">
        <v>28443</v>
      </c>
      <c t="s">
        <v>22181</v>
      </c>
      <c t="s">
        <v>47150</v>
      </c>
      <c t="s">
        <v>2517</v>
      </c>
      <c t="s">
        <v>39289</v>
      </c>
      <c>
        <v>33909</v>
      </c>
      <c t="s">
        <v>19793</v>
      </c>
      <c t="s">
        <v>48794</v>
      </c>
      <c t="s">
        <v>2172</v>
      </c>
      <c>
        <v>14600</v>
      </c>
      <c r="AI892" t="s">
        <v>50235</v>
      </c>
      <c t="s">
        <v>31192</v>
      </c>
      <c r="AL892" t="s">
        <v>48204</v>
      </c>
      <c r="AN892" t="s">
        <v>27481</v>
      </c>
      <c t="s">
        <v>16759</v>
      </c>
      <c t="s">
        <v>26242</v>
      </c>
      <c t="s">
        <v>3093</v>
      </c>
      <c t="s">
        <v>46456</v>
      </c>
    </row>
    <row>
      <c t="s">
        <v>42103</v>
      </c>
      <c t="s">
        <v>20524</v>
      </c>
      <c t="s">
        <v>62039</v>
      </c>
      <c t="s">
        <v>3131</v>
      </c>
      <c t="s">
        <v>61551</v>
      </c>
      <c s="3">
        <v>72805</v>
      </c>
      <c s="3">
        <v>63500</v>
      </c>
      <c s="3">
        <v>71037</v>
      </c>
      <c>
        <v>0</v>
      </c>
      <c s="3">
        <v>0</v>
      </c>
      <c s="3">
        <v>1078.26</v>
      </c>
      <c s="3">
        <v>72805</v>
      </c>
      <c r="O893" s="1" t="str">
        <f ca="1">HYPERLINK("https://web.datatree.com/?/property?propertyId=32269504", "https://web.datatree.com/?/property?propertyId=32269504")</f>
        <v>https://web.datatree.com/?/property?propertyId=32269504</v>
      </c>
      <c r="Q893" t="s">
        <v>316</v>
      </c>
      <c>
        <v>0.103</v>
      </c>
      <c t="s">
        <v>26492</v>
      </c>
      <c t="s">
        <v>8819</v>
      </c>
      <c t="s">
        <v>18062</v>
      </c>
      <c t="s">
        <v>25924</v>
      </c>
      <c t="s">
        <v>18062</v>
      </c>
      <c t="s">
        <v>47978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15734</v>
      </c>
      <c r="AI893" t="s">
        <v>53644</v>
      </c>
      <c r="AL893" t="s">
        <v>2932</v>
      </c>
      <c t="s">
        <v>40227</v>
      </c>
      <c t="s">
        <v>14509</v>
      </c>
      <c>
        <v>6094</v>
      </c>
      <c t="s">
        <v>15796</v>
      </c>
      <c t="s">
        <v>3093</v>
      </c>
      <c t="s">
        <v>8381</v>
      </c>
    </row>
    <row>
      <c t="s">
        <v>42103</v>
      </c>
      <c t="s">
        <v>2061</v>
      </c>
      <c t="s">
        <v>48957</v>
      </c>
      <c t="s">
        <v>30148</v>
      </c>
      <c t="s">
        <v>23199</v>
      </c>
      <c s="3">
        <v>12544</v>
      </c>
      <c s="3">
        <v>12544</v>
      </c>
      <c s="3">
        <v>6389</v>
      </c>
      <c>
        <v>0</v>
      </c>
      <c s="3">
        <v>0</v>
      </c>
      <c s="3">
        <v>325.76</v>
      </c>
      <c s="3">
        <v>12544</v>
      </c>
      <c r="O894" s="1" t="str">
        <f ca="1">HYPERLINK("https://web.datatree.com/?/property?propertyId=32270443", "https://web.datatree.com/?/property?propertyId=32270443")</f>
        <v>https://web.datatree.com/?/property?propertyId=32270443</v>
      </c>
      <c r="Q894" t="s">
        <v>316</v>
      </c>
      <c>
        <v>0.238</v>
      </c>
      <c t="s">
        <v>5471</v>
      </c>
      <c t="s">
        <v>32678</v>
      </c>
      <c t="s">
        <v>33155</v>
      </c>
      <c t="s">
        <v>1599</v>
      </c>
      <c t="s">
        <v>37696</v>
      </c>
      <c t="s">
        <v>48250</v>
      </c>
      <c t="s">
        <v>10854</v>
      </c>
      <c t="s">
        <v>65059</v>
      </c>
      <c t="s">
        <v>39289</v>
      </c>
      <c>
        <v>33905</v>
      </c>
      <c t="s">
        <v>423</v>
      </c>
      <c t="s">
        <v>48794</v>
      </c>
      <c t="s">
        <v>45713</v>
      </c>
      <c r="AI894" t="s">
        <v>57495</v>
      </c>
      <c r="AL894" t="s">
        <v>25857</v>
      </c>
      <c t="s">
        <v>25857</v>
      </c>
      <c t="s">
        <v>39289</v>
      </c>
      <c t="s">
        <v>57694</v>
      </c>
      <c t="s">
        <v>9590</v>
      </c>
      <c t="s">
        <v>3093</v>
      </c>
      <c t="s">
        <v>1669</v>
      </c>
    </row>
    <row>
      <c t="s">
        <v>17594</v>
      </c>
      <c t="s">
        <v>62837</v>
      </c>
      <c t="s">
        <v>27601</v>
      </c>
      <c t="s">
        <v>23892</v>
      </c>
      <c t="s">
        <v>24338</v>
      </c>
      <c s="3">
        <v>25057</v>
      </c>
      <c s="3">
        <v>25057</v>
      </c>
      <c s="3">
        <v>9599</v>
      </c>
      <c>
        <v>0</v>
      </c>
      <c s="3">
        <v>0</v>
      </c>
      <c s="3">
        <v>714.8</v>
      </c>
      <c s="3">
        <v>25057</v>
      </c>
      <c r="O895" s="1" t="str">
        <f ca="1">HYPERLINK("https://web.datatree.com/?/property?propertyId=32270597", "https://web.datatree.com/?/property?propertyId=32270597")</f>
        <v>https://web.datatree.com/?/property?propertyId=32270597</v>
      </c>
      <c r="Q895" t="s">
        <v>316</v>
      </c>
      <c>
        <v>0.344</v>
      </c>
      <c t="s">
        <v>6175</v>
      </c>
      <c t="s">
        <v>16080</v>
      </c>
      <c t="s">
        <v>56451</v>
      </c>
      <c r="X895" t="s">
        <v>4799</v>
      </c>
      <c t="s">
        <v>39082</v>
      </c>
      <c t="s">
        <v>2517</v>
      </c>
      <c t="s">
        <v>39289</v>
      </c>
      <c>
        <v>33909</v>
      </c>
      <c t="s">
        <v>18539</v>
      </c>
      <c t="s">
        <v>48794</v>
      </c>
      <c t="s">
        <v>18324</v>
      </c>
      <c>
        <v>1128</v>
      </c>
      <c r="AI895" t="s">
        <v>64318</v>
      </c>
      <c t="s">
        <v>24900</v>
      </c>
      <c r="AL895" t="s">
        <v>41142</v>
      </c>
      <c r="AN895" t="s">
        <v>26016</v>
      </c>
      <c t="s">
        <v>63311</v>
      </c>
      <c t="s">
        <v>1951</v>
      </c>
      <c t="s">
        <v>3093</v>
      </c>
      <c t="s">
        <v>66229</v>
      </c>
    </row>
    <row>
      <c t="s">
        <v>17594</v>
      </c>
      <c t="s">
        <v>15177</v>
      </c>
      <c t="s">
        <v>20132</v>
      </c>
      <c t="s">
        <v>36189</v>
      </c>
      <c t="s">
        <v>39868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896" s="1" t="str">
        <f ca="1">HYPERLINK("https://web.datatree.com/?/property?propertyId=32270845", "https://web.datatree.com/?/property?propertyId=32270845")</f>
        <v>https://web.datatree.com/?/property?propertyId=32270845</v>
      </c>
      <c r="Q896" t="s">
        <v>316</v>
      </c>
      <c>
        <v>0.23</v>
      </c>
      <c t="s">
        <v>22490</v>
      </c>
      <c t="s">
        <v>44368</v>
      </c>
      <c t="s">
        <v>46638</v>
      </c>
      <c r="X896" t="s">
        <v>42080</v>
      </c>
      <c t="s">
        <v>2619</v>
      </c>
      <c t="s">
        <v>2517</v>
      </c>
      <c t="s">
        <v>39289</v>
      </c>
      <c>
        <v>33909</v>
      </c>
      <c t="s">
        <v>27463</v>
      </c>
      <c t="s">
        <v>48794</v>
      </c>
      <c t="s">
        <v>20255</v>
      </c>
      <c>
        <v>500</v>
      </c>
      <c r="AI896" t="s">
        <v>34435</v>
      </c>
      <c t="s">
        <v>55842</v>
      </c>
      <c r="AL896" t="s">
        <v>27095</v>
      </c>
      <c t="s">
        <v>65650</v>
      </c>
      <c t="s">
        <v>66651</v>
      </c>
      <c t="s">
        <v>36668</v>
      </c>
      <c t="s">
        <v>5811</v>
      </c>
      <c t="s">
        <v>3093</v>
      </c>
      <c t="s">
        <v>42789</v>
      </c>
    </row>
    <row>
      <c t="s">
        <v>17594</v>
      </c>
      <c t="s">
        <v>64344</v>
      </c>
      <c t="s">
        <v>19902</v>
      </c>
      <c t="s">
        <v>14622</v>
      </c>
      <c t="s">
        <v>57132</v>
      </c>
      <c s="3">
        <v>25104</v>
      </c>
      <c s="3">
        <v>25104</v>
      </c>
      <c s="3">
        <v>12826</v>
      </c>
      <c>
        <v>0</v>
      </c>
      <c s="3">
        <v>0</v>
      </c>
      <c s="3">
        <v>666.8</v>
      </c>
      <c s="3">
        <v>25104</v>
      </c>
      <c r="O897" s="1" t="str">
        <f ca="1">HYPERLINK("https://web.datatree.com/?/property?propertyId=32271062", "https://web.datatree.com/?/property?propertyId=32271062")</f>
        <v>https://web.datatree.com/?/property?propertyId=32271062</v>
      </c>
      <c r="Q897" t="s">
        <v>316</v>
      </c>
      <c>
        <v>0.243</v>
      </c>
      <c t="s">
        <v>42044</v>
      </c>
      <c r="U897" t="s">
        <v>51010</v>
      </c>
      <c r="W897" t="s">
        <v>24601</v>
      </c>
      <c t="s">
        <v>39382</v>
      </c>
      <c t="s">
        <v>15510</v>
      </c>
      <c t="s">
        <v>2517</v>
      </c>
      <c t="s">
        <v>39289</v>
      </c>
      <c>
        <v>33904</v>
      </c>
      <c t="s">
        <v>28830</v>
      </c>
      <c t="s">
        <v>48794</v>
      </c>
      <c t="s">
        <v>15999</v>
      </c>
      <c>
        <v>1293</v>
      </c>
      <c r="AI897" t="s">
        <v>18318</v>
      </c>
      <c t="s">
        <v>24900</v>
      </c>
      <c>
        <v>9</v>
      </c>
      <c t="s">
        <v>8109</v>
      </c>
      <c t="s">
        <v>13397</v>
      </c>
      <c t="s">
        <v>50917</v>
      </c>
      <c t="s">
        <v>12361</v>
      </c>
      <c t="s">
        <v>34162</v>
      </c>
      <c t="s">
        <v>3093</v>
      </c>
      <c t="s">
        <v>29197</v>
      </c>
    </row>
    <row>
      <c t="s">
        <v>17594</v>
      </c>
      <c t="s">
        <v>66219</v>
      </c>
      <c t="s">
        <v>50241</v>
      </c>
      <c t="s">
        <v>14585</v>
      </c>
      <c t="s">
        <v>39399</v>
      </c>
      <c s="3">
        <v>12544</v>
      </c>
      <c s="3">
        <v>12544</v>
      </c>
      <c s="3">
        <v>4972</v>
      </c>
      <c>
        <v>0</v>
      </c>
      <c s="3">
        <v>0</v>
      </c>
      <c s="3">
        <v>320.56</v>
      </c>
      <c s="3">
        <v>12544</v>
      </c>
      <c>
        <v>2021</v>
      </c>
      <c>
        <v>349.92</v>
      </c>
      <c s="1" t="str">
        <f ca="1">HYPERLINK("https://web.datatree.com/?/property?propertyId=32271847", "https://web.datatree.com/?/property?propertyId=32271847")</f>
        <v>https://web.datatree.com/?/property?propertyId=32271847</v>
      </c>
      <c r="Q898" t="s">
        <v>316</v>
      </c>
      <c>
        <v>0.268</v>
      </c>
      <c t="s">
        <v>5471</v>
      </c>
      <c t="s">
        <v>47922</v>
      </c>
      <c t="s">
        <v>45445</v>
      </c>
      <c t="s">
        <v>8031</v>
      </c>
      <c t="s">
        <v>45445</v>
      </c>
      <c t="s">
        <v>37728</v>
      </c>
      <c t="s">
        <v>39583</v>
      </c>
      <c t="s">
        <v>65059</v>
      </c>
      <c t="s">
        <v>39289</v>
      </c>
      <c>
        <v>33905</v>
      </c>
      <c>
        <v>33905</v>
      </c>
      <c t="s">
        <v>48794</v>
      </c>
      <c t="s">
        <v>41404</v>
      </c>
      <c>
        <v>6300</v>
      </c>
      <c r="AI898" t="s">
        <v>53675</v>
      </c>
      <c t="s">
        <v>45393</v>
      </c>
      <c r="AL898" t="s">
        <v>54231</v>
      </c>
      <c t="s">
        <v>40227</v>
      </c>
      <c t="s">
        <v>39289</v>
      </c>
      <c t="s">
        <v>49556</v>
      </c>
      <c t="s">
        <v>12241</v>
      </c>
      <c t="s">
        <v>3093</v>
      </c>
      <c t="s">
        <v>61033</v>
      </c>
    </row>
    <row>
      <c t="s">
        <v>17594</v>
      </c>
      <c t="s">
        <v>65262</v>
      </c>
      <c t="s">
        <v>38717</v>
      </c>
      <c t="s">
        <v>44449</v>
      </c>
      <c t="s">
        <v>54126</v>
      </c>
      <c s="3">
        <v>10600</v>
      </c>
      <c s="3">
        <v>10600</v>
      </c>
      <c s="3">
        <v>10600</v>
      </c>
      <c>
        <v>0</v>
      </c>
      <c s="3">
        <v>0</v>
      </c>
      <c s="3">
        <v>789.11</v>
      </c>
      <c s="3">
        <v>10600</v>
      </c>
      <c r="O899" s="1" t="str">
        <f ca="1">HYPERLINK("https://web.datatree.com/?/property?propertyId=32271934", "https://web.datatree.com/?/property?propertyId=32271934")</f>
        <v>https://web.datatree.com/?/property?propertyId=32271934</v>
      </c>
      <c r="Q899" t="s">
        <v>316</v>
      </c>
      <c>
        <v>0.23</v>
      </c>
      <c t="s">
        <v>6175</v>
      </c>
      <c t="s">
        <v>552</v>
      </c>
      <c t="s">
        <v>17314</v>
      </c>
      <c r="X899" t="s">
        <v>42200</v>
      </c>
      <c t="s">
        <v>53675</v>
      </c>
      <c t="s">
        <v>2517</v>
      </c>
      <c t="s">
        <v>39289</v>
      </c>
      <c>
        <v>33909</v>
      </c>
      <c t="s">
        <v>18393</v>
      </c>
      <c t="s">
        <v>48794</v>
      </c>
      <c t="s">
        <v>8248</v>
      </c>
      <c>
        <v>11513</v>
      </c>
      <c r="AI899" t="s">
        <v>55359</v>
      </c>
      <c t="s">
        <v>1671</v>
      </c>
      <c r="AL899" t="s">
        <v>3402</v>
      </c>
      <c t="s">
        <v>43287</v>
      </c>
      <c t="s">
        <v>39289</v>
      </c>
      <c>
        <v>34211</v>
      </c>
      <c t="s">
        <v>62562</v>
      </c>
      <c t="s">
        <v>3093</v>
      </c>
      <c t="s">
        <v>18793</v>
      </c>
    </row>
    <row>
      <c t="s">
        <v>17594</v>
      </c>
      <c t="s">
        <v>25893</v>
      </c>
      <c t="s">
        <v>41611</v>
      </c>
      <c t="s">
        <v>5188</v>
      </c>
      <c t="s">
        <v>43724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900" s="1" t="str">
        <f ca="1">HYPERLINK("https://web.datatree.com/?/property?propertyId=32271967", "https://web.datatree.com/?/property?propertyId=32271967")</f>
        <v>https://web.datatree.com/?/property?propertyId=32271967</v>
      </c>
      <c r="Q900" t="s">
        <v>316</v>
      </c>
      <c>
        <v>0.23</v>
      </c>
      <c t="s">
        <v>6175</v>
      </c>
      <c t="s">
        <v>1859</v>
      </c>
      <c t="s">
        <v>18171</v>
      </c>
      <c t="s">
        <v>30240</v>
      </c>
      <c t="s">
        <v>18171</v>
      </c>
      <c t="s">
        <v>66359</v>
      </c>
      <c t="s">
        <v>39082</v>
      </c>
      <c t="s">
        <v>2517</v>
      </c>
      <c t="s">
        <v>39289</v>
      </c>
      <c>
        <v>33909</v>
      </c>
      <c t="s">
        <v>61983</v>
      </c>
      <c t="s">
        <v>48794</v>
      </c>
      <c t="s">
        <v>32356</v>
      </c>
      <c>
        <v>215</v>
      </c>
      <c r="AI900" t="s">
        <v>10274</v>
      </c>
      <c t="s">
        <v>45393</v>
      </c>
      <c r="AL900" t="s">
        <v>60193</v>
      </c>
      <c r="AN900" t="s">
        <v>19878</v>
      </c>
      <c t="s">
        <v>23800</v>
      </c>
      <c t="s">
        <v>26242</v>
      </c>
      <c t="s">
        <v>3093</v>
      </c>
      <c t="s">
        <v>13404</v>
      </c>
    </row>
    <row>
      <c t="s">
        <v>17594</v>
      </c>
      <c t="s">
        <v>17753</v>
      </c>
      <c t="s">
        <v>12305</v>
      </c>
      <c t="s">
        <v>6991</v>
      </c>
      <c t="s">
        <v>29926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901" s="1" t="str">
        <f ca="1">HYPERLINK("https://web.datatree.com/?/property?propertyId=32272352", "https://web.datatree.com/?/property?propertyId=32272352")</f>
        <v>https://web.datatree.com/?/property?propertyId=32272352</v>
      </c>
      <c r="Q901" t="s">
        <v>316</v>
      </c>
      <c>
        <v>0.23</v>
      </c>
      <c t="s">
        <v>6175</v>
      </c>
      <c r="U901" t="s">
        <v>855</v>
      </c>
      <c t="s">
        <v>52701</v>
      </c>
      <c t="s">
        <v>28394</v>
      </c>
      <c t="s">
        <v>6006</v>
      </c>
      <c t="s">
        <v>13478</v>
      </c>
      <c t="s">
        <v>2517</v>
      </c>
      <c t="s">
        <v>39289</v>
      </c>
      <c>
        <v>33909</v>
      </c>
      <c t="s">
        <v>56427</v>
      </c>
      <c t="s">
        <v>48794</v>
      </c>
      <c t="s">
        <v>2821</v>
      </c>
      <c>
        <v>131</v>
      </c>
      <c r="AI901" t="s">
        <v>95</v>
      </c>
      <c t="s">
        <v>45393</v>
      </c>
      <c r="AL901" t="s">
        <v>34265</v>
      </c>
      <c t="s">
        <v>34265</v>
      </c>
      <c t="s">
        <v>14798</v>
      </c>
      <c t="s">
        <v>66124</v>
      </c>
      <c t="s">
        <v>49695</v>
      </c>
      <c t="s">
        <v>3093</v>
      </c>
      <c t="s">
        <v>45016</v>
      </c>
    </row>
    <row>
      <c t="s">
        <v>17594</v>
      </c>
      <c t="s">
        <v>58879</v>
      </c>
      <c t="s">
        <v>59095</v>
      </c>
      <c t="s">
        <v>60806</v>
      </c>
      <c t="s">
        <v>54268</v>
      </c>
      <c s="3">
        <v>81708</v>
      </c>
      <c s="3">
        <v>81708</v>
      </c>
      <c s="3">
        <v>63250</v>
      </c>
      <c>
        <v>0</v>
      </c>
      <c s="3">
        <v>0</v>
      </c>
      <c s="3">
        <v>1455.51</v>
      </c>
      <c s="3">
        <v>81708</v>
      </c>
      <c r="O902" s="1" t="str">
        <f ca="1">HYPERLINK("https://web.datatree.com/?/property?propertyId=32273261", "https://web.datatree.com/?/property?propertyId=32273261")</f>
        <v>https://web.datatree.com/?/property?propertyId=32273261</v>
      </c>
      <c r="Q902" t="s">
        <v>316</v>
      </c>
      <c>
        <v>0.147</v>
      </c>
      <c t="s">
        <v>58519</v>
      </c>
      <c t="s">
        <v>4617</v>
      </c>
      <c t="s">
        <v>30004</v>
      </c>
      <c r="X902" t="s">
        <v>8088</v>
      </c>
      <c t="s">
        <v>41855</v>
      </c>
      <c t="s">
        <v>65059</v>
      </c>
      <c t="s">
        <v>39289</v>
      </c>
      <c>
        <v>33901</v>
      </c>
      <c t="s">
        <v>32408</v>
      </c>
      <c t="s">
        <v>48794</v>
      </c>
      <c t="s">
        <v>33589</v>
      </c>
      <c>
        <v>74</v>
      </c>
      <c r="AI902" t="s">
        <v>11849</v>
      </c>
      <c t="s">
        <v>31192</v>
      </c>
      <c r="AL902" t="s">
        <v>2085</v>
      </c>
      <c r="AN902" t="s">
        <v>32576</v>
      </c>
      <c t="s">
        <v>40861</v>
      </c>
      <c t="s">
        <v>15980</v>
      </c>
      <c t="s">
        <v>3093</v>
      </c>
      <c t="s">
        <v>19053</v>
      </c>
    </row>
    <row>
      <c t="s">
        <v>17594</v>
      </c>
      <c t="s">
        <v>46134</v>
      </c>
      <c t="s">
        <v>39435</v>
      </c>
      <c t="s">
        <v>63807</v>
      </c>
      <c t="s">
        <v>55918</v>
      </c>
      <c s="3">
        <v>91471</v>
      </c>
      <c s="3">
        <v>82500</v>
      </c>
      <c s="3">
        <v>83625</v>
      </c>
      <c>
        <v>0</v>
      </c>
      <c s="3">
        <v>0</v>
      </c>
      <c s="3">
        <v>1300.49</v>
      </c>
      <c s="3">
        <v>91471</v>
      </c>
      <c r="O903" s="1" t="str">
        <f ca="1">HYPERLINK("https://web.datatree.com/?/property?propertyId=32273374", "https://web.datatree.com/?/property?propertyId=32273374")</f>
        <v>https://web.datatree.com/?/property?propertyId=32273374</v>
      </c>
      <c r="Q903" t="s">
        <v>316</v>
      </c>
      <c>
        <v>0.125</v>
      </c>
      <c t="s">
        <v>26492</v>
      </c>
      <c t="s">
        <v>16200</v>
      </c>
      <c t="s">
        <v>41389</v>
      </c>
      <c t="s">
        <v>1599</v>
      </c>
      <c t="s">
        <v>41389</v>
      </c>
      <c t="s">
        <v>56808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14480</v>
      </c>
      <c>
        <v>6901</v>
      </c>
      <c r="AI903" t="s">
        <v>60074</v>
      </c>
      <c t="s">
        <v>45620</v>
      </c>
      <c r="AL903" t="s">
        <v>63097</v>
      </c>
      <c t="s">
        <v>40227</v>
      </c>
      <c t="s">
        <v>22275</v>
      </c>
      <c t="s">
        <v>65938</v>
      </c>
      <c t="s">
        <v>22152</v>
      </c>
      <c t="s">
        <v>3093</v>
      </c>
      <c t="s">
        <v>21109</v>
      </c>
      <c>
        <v>2005</v>
      </c>
    </row>
    <row>
      <c t="s">
        <v>42103</v>
      </c>
      <c t="s">
        <v>3907</v>
      </c>
      <c t="s">
        <v>4675</v>
      </c>
      <c t="s">
        <v>62828</v>
      </c>
      <c t="s">
        <v>54249</v>
      </c>
      <c s="3">
        <v>8576</v>
      </c>
      <c s="3">
        <v>8576</v>
      </c>
      <c s="3">
        <v>4952</v>
      </c>
      <c>
        <v>0</v>
      </c>
      <c s="3">
        <v>0</v>
      </c>
      <c s="3">
        <v>315.22</v>
      </c>
      <c s="3">
        <v>8576</v>
      </c>
      <c r="O904" s="1" t="str">
        <f ca="1">HYPERLINK("https://web.datatree.com/?/property?propertyId=32273455", "https://web.datatree.com/?/property?propertyId=32273455")</f>
        <v>https://web.datatree.com/?/property?propertyId=32273455</v>
      </c>
      <c r="Q904" t="s">
        <v>316</v>
      </c>
      <c>
        <v>0.227</v>
      </c>
      <c t="s">
        <v>5471</v>
      </c>
      <c t="s">
        <v>53622</v>
      </c>
      <c t="s">
        <v>33056</v>
      </c>
      <c r="X904" t="s">
        <v>7057</v>
      </c>
      <c t="s">
        <v>19394</v>
      </c>
      <c t="s">
        <v>65059</v>
      </c>
      <c t="s">
        <v>39289</v>
      </c>
      <c>
        <v>33905</v>
      </c>
      <c t="s">
        <v>602</v>
      </c>
      <c t="s">
        <v>48794</v>
      </c>
      <c t="s">
        <v>48013</v>
      </c>
      <c r="AI904" t="s">
        <v>38738</v>
      </c>
      <c r="AL904" t="s">
        <v>216</v>
      </c>
      <c r="AN904" t="s">
        <v>66651</v>
      </c>
      <c>
        <v>31131</v>
      </c>
      <c t="s">
        <v>23536</v>
      </c>
      <c t="s">
        <v>3093</v>
      </c>
      <c t="s">
        <v>6069</v>
      </c>
    </row>
    <row>
      <c t="s">
        <v>17594</v>
      </c>
      <c t="s">
        <v>59259</v>
      </c>
      <c t="s">
        <v>43679</v>
      </c>
      <c t="s">
        <v>26267</v>
      </c>
      <c t="s">
        <v>24459</v>
      </c>
      <c s="3">
        <v>21556</v>
      </c>
      <c s="3">
        <v>21556</v>
      </c>
      <c s="3">
        <v>10613</v>
      </c>
      <c>
        <v>0</v>
      </c>
      <c s="3">
        <v>0</v>
      </c>
      <c s="3">
        <v>186.12</v>
      </c>
      <c s="3">
        <v>21556</v>
      </c>
      <c r="O905" s="1" t="str">
        <f ca="1">HYPERLINK("https://web.datatree.com/?/property?propertyId=32273553", "https://web.datatree.com/?/property?propertyId=32273553")</f>
        <v>https://web.datatree.com/?/property?propertyId=32273553</v>
      </c>
      <c r="Q905" t="s">
        <v>316</v>
      </c>
      <c>
        <v>0.219</v>
      </c>
      <c t="s">
        <v>36917</v>
      </c>
      <c t="s">
        <v>6617</v>
      </c>
      <c t="s">
        <v>54428</v>
      </c>
      <c r="X905" t="s">
        <v>42358</v>
      </c>
      <c t="s">
        <v>30230</v>
      </c>
      <c t="s">
        <v>65059</v>
      </c>
      <c t="s">
        <v>39289</v>
      </c>
      <c>
        <v>33908</v>
      </c>
      <c t="s">
        <v>34081</v>
      </c>
      <c t="s">
        <v>48794</v>
      </c>
      <c t="s">
        <v>63839</v>
      </c>
      <c>
        <v>801</v>
      </c>
      <c r="AI905" t="s">
        <v>34731</v>
      </c>
      <c t="s">
        <v>24900</v>
      </c>
      <c r="AL905" t="s">
        <v>33214</v>
      </c>
      <c r="AN905" t="s">
        <v>39289</v>
      </c>
      <c t="s">
        <v>33196</v>
      </c>
      <c t="s">
        <v>32746</v>
      </c>
      <c t="s">
        <v>3093</v>
      </c>
      <c t="s">
        <v>64624</v>
      </c>
    </row>
    <row>
      <c t="s">
        <v>17594</v>
      </c>
      <c t="s">
        <v>39136</v>
      </c>
      <c t="s">
        <v>55299</v>
      </c>
      <c t="s">
        <v>26996</v>
      </c>
      <c t="s">
        <v>52578</v>
      </c>
      <c s="3">
        <v>14210</v>
      </c>
      <c s="3">
        <v>14210</v>
      </c>
      <c s="3">
        <v>5856</v>
      </c>
      <c>
        <v>0</v>
      </c>
      <c s="3">
        <v>0</v>
      </c>
      <c s="3">
        <v>147.8</v>
      </c>
      <c s="3">
        <v>14210</v>
      </c>
      <c r="O906" s="1" t="str">
        <f ca="1">HYPERLINK("https://web.datatree.com/?/property?propertyId=32273638", "https://web.datatree.com/?/property?propertyId=32273638")</f>
        <v>https://web.datatree.com/?/property?propertyId=32273638</v>
      </c>
      <c r="Q906" t="s">
        <v>316</v>
      </c>
      <c>
        <v>0.266</v>
      </c>
      <c t="s">
        <v>8155</v>
      </c>
      <c t="s">
        <v>62855</v>
      </c>
      <c t="s">
        <v>58896</v>
      </c>
      <c r="X906" t="s">
        <v>54760</v>
      </c>
      <c t="s">
        <v>49060</v>
      </c>
      <c t="s">
        <v>65059</v>
      </c>
      <c t="s">
        <v>39289</v>
      </c>
      <c>
        <v>33901</v>
      </c>
      <c t="s">
        <v>54245</v>
      </c>
      <c t="s">
        <v>48794</v>
      </c>
      <c t="s">
        <v>34927</v>
      </c>
      <c>
        <v>3914</v>
      </c>
      <c r="AI906" t="s">
        <v>35553</v>
      </c>
      <c t="s">
        <v>45393</v>
      </c>
      <c r="AL906" t="s">
        <v>29256</v>
      </c>
      <c t="s">
        <v>39989</v>
      </c>
      <c t="s">
        <v>39289</v>
      </c>
      <c t="s">
        <v>57099</v>
      </c>
      <c t="s">
        <v>42082</v>
      </c>
      <c t="s">
        <v>3093</v>
      </c>
      <c t="s">
        <v>8579</v>
      </c>
    </row>
    <row>
      <c t="s">
        <v>17594</v>
      </c>
      <c t="s">
        <v>11355</v>
      </c>
      <c t="s">
        <v>32614</v>
      </c>
      <c t="s">
        <v>16725</v>
      </c>
      <c t="s">
        <v>25926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907" s="1" t="str">
        <f ca="1">HYPERLINK("https://web.datatree.com/?/property?propertyId=32273763", "https://web.datatree.com/?/property?propertyId=32273763")</f>
        <v>https://web.datatree.com/?/property?propertyId=32273763</v>
      </c>
      <c r="Q907" t="s">
        <v>316</v>
      </c>
      <c>
        <v>0.23</v>
      </c>
      <c t="s">
        <v>22490</v>
      </c>
      <c t="s">
        <v>17314</v>
      </c>
      <c t="s">
        <v>61713</v>
      </c>
      <c r="X907" t="s">
        <v>35342</v>
      </c>
      <c t="s">
        <v>2626</v>
      </c>
      <c t="s">
        <v>2517</v>
      </c>
      <c t="s">
        <v>39289</v>
      </c>
      <c>
        <v>33909</v>
      </c>
      <c t="s">
        <v>45229</v>
      </c>
      <c t="s">
        <v>48794</v>
      </c>
      <c t="s">
        <v>45177</v>
      </c>
      <c>
        <v>131</v>
      </c>
      <c r="AI907" t="s">
        <v>19616</v>
      </c>
      <c t="s">
        <v>1289</v>
      </c>
      <c r="AL907" t="s">
        <v>56008</v>
      </c>
      <c r="AN907" t="s">
        <v>64022</v>
      </c>
      <c t="s">
        <v>51127</v>
      </c>
      <c t="s">
        <v>44573</v>
      </c>
      <c t="s">
        <v>3093</v>
      </c>
      <c t="s">
        <v>12977</v>
      </c>
    </row>
    <row>
      <c t="s">
        <v>17594</v>
      </c>
      <c t="s">
        <v>1441</v>
      </c>
      <c t="s">
        <v>13624</v>
      </c>
      <c t="s">
        <v>43383</v>
      </c>
      <c t="s">
        <v>18659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908" s="1" t="str">
        <f ca="1">HYPERLINK("https://web.datatree.com/?/property?propertyId=32274119", "https://web.datatree.com/?/property?propertyId=32274119")</f>
        <v>https://web.datatree.com/?/property?propertyId=32274119</v>
      </c>
      <c r="Q908" t="s">
        <v>316</v>
      </c>
      <c>
        <v>0.23</v>
      </c>
      <c t="s">
        <v>22490</v>
      </c>
      <c t="s">
        <v>27383</v>
      </c>
      <c t="s">
        <v>51814</v>
      </c>
      <c t="s">
        <v>1474</v>
      </c>
      <c t="s">
        <v>51814</v>
      </c>
      <c t="s">
        <v>63570</v>
      </c>
      <c t="s">
        <v>47150</v>
      </c>
      <c t="s">
        <v>2517</v>
      </c>
      <c t="s">
        <v>39289</v>
      </c>
      <c>
        <v>33909</v>
      </c>
      <c t="s">
        <v>40453</v>
      </c>
      <c t="s">
        <v>48794</v>
      </c>
      <c t="s">
        <v>50379</v>
      </c>
      <c>
        <v>933</v>
      </c>
      <c r="AI908" t="s">
        <v>47915</v>
      </c>
      <c t="s">
        <v>31192</v>
      </c>
      <c r="AL908" t="s">
        <v>15320</v>
      </c>
      <c r="AN908" t="s">
        <v>39289</v>
      </c>
      <c t="s">
        <v>42273</v>
      </c>
      <c t="s">
        <v>52393</v>
      </c>
      <c t="s">
        <v>3093</v>
      </c>
      <c t="s">
        <v>41462</v>
      </c>
    </row>
    <row>
      <c t="s">
        <v>17594</v>
      </c>
      <c t="s">
        <v>10183</v>
      </c>
      <c t="s">
        <v>18193</v>
      </c>
      <c t="s">
        <v>42627</v>
      </c>
      <c t="s">
        <v>8352</v>
      </c>
      <c s="3">
        <v>20840</v>
      </c>
      <c s="3">
        <v>20840</v>
      </c>
      <c s="3">
        <v>9599</v>
      </c>
      <c>
        <v>0</v>
      </c>
      <c s="3">
        <v>0</v>
      </c>
      <c s="3">
        <v>669.91</v>
      </c>
      <c s="3">
        <v>20840</v>
      </c>
      <c r="O909" s="1" t="str">
        <f ca="1">HYPERLINK("https://web.datatree.com/?/property?propertyId=32274170", "https://web.datatree.com/?/property?propertyId=32274170")</f>
        <v>https://web.datatree.com/?/property?propertyId=32274170</v>
      </c>
      <c r="Q909" t="s">
        <v>316</v>
      </c>
      <c>
        <v>0.344</v>
      </c>
      <c t="s">
        <v>33269</v>
      </c>
      <c t="s">
        <v>21379</v>
      </c>
      <c t="s">
        <v>39424</v>
      </c>
      <c r="X909" t="s">
        <v>20609</v>
      </c>
      <c t="s">
        <v>13478</v>
      </c>
      <c t="s">
        <v>2517</v>
      </c>
      <c t="s">
        <v>39289</v>
      </c>
      <c>
        <v>33909</v>
      </c>
      <c t="s">
        <v>59376</v>
      </c>
      <c t="s">
        <v>48794</v>
      </c>
      <c t="s">
        <v>41988</v>
      </c>
      <c>
        <v>1385</v>
      </c>
      <c r="AI909" t="s">
        <v>48116</v>
      </c>
      <c t="s">
        <v>31192</v>
      </c>
      <c r="AL909" t="s">
        <v>3071</v>
      </c>
      <c r="AN909" t="s">
        <v>39289</v>
      </c>
      <c t="s">
        <v>3057</v>
      </c>
      <c t="s">
        <v>10847</v>
      </c>
      <c t="s">
        <v>3093</v>
      </c>
      <c t="s">
        <v>36545</v>
      </c>
    </row>
    <row>
      <c t="s">
        <v>17594</v>
      </c>
      <c t="s">
        <v>6301</v>
      </c>
      <c t="s">
        <v>46257</v>
      </c>
      <c t="s">
        <v>6816</v>
      </c>
      <c t="s">
        <v>8022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910" s="1" t="str">
        <f ca="1">HYPERLINK("https://web.datatree.com/?/property?propertyId=32274587", "https://web.datatree.com/?/property?propertyId=32274587")</f>
        <v>https://web.datatree.com/?/property?propertyId=32274587</v>
      </c>
      <c r="Q910" t="s">
        <v>316</v>
      </c>
      <c>
        <v>0.23</v>
      </c>
      <c t="s">
        <v>22490</v>
      </c>
      <c t="s">
        <v>51895</v>
      </c>
      <c t="s">
        <v>8380</v>
      </c>
      <c t="s">
        <v>28873</v>
      </c>
      <c t="s">
        <v>8380</v>
      </c>
      <c t="s">
        <v>51364</v>
      </c>
      <c t="s">
        <v>47150</v>
      </c>
      <c t="s">
        <v>2517</v>
      </c>
      <c t="s">
        <v>39289</v>
      </c>
      <c>
        <v>33909</v>
      </c>
      <c t="s">
        <v>40314</v>
      </c>
      <c t="s">
        <v>48794</v>
      </c>
      <c t="s">
        <v>19654</v>
      </c>
      <c>
        <v>4420</v>
      </c>
      <c r="AI910" t="s">
        <v>51953</v>
      </c>
      <c t="s">
        <v>4151</v>
      </c>
      <c r="AL910" t="s">
        <v>2602</v>
      </c>
      <c r="AN910" t="s">
        <v>10909</v>
      </c>
      <c t="s">
        <v>7507</v>
      </c>
      <c r="AQ910" t="s">
        <v>27814</v>
      </c>
      <c t="s">
        <v>64373</v>
      </c>
    </row>
    <row>
      <c t="s">
        <v>17594</v>
      </c>
      <c t="s">
        <v>32127</v>
      </c>
      <c t="s">
        <v>54869</v>
      </c>
      <c t="s">
        <v>37160</v>
      </c>
      <c t="s">
        <v>33751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911" s="1" t="str">
        <f ca="1">HYPERLINK("https://web.datatree.com/?/property?propertyId=32275549", "https://web.datatree.com/?/property?propertyId=32275549")</f>
        <v>https://web.datatree.com/?/property?propertyId=32275549</v>
      </c>
      <c r="Q911" t="s">
        <v>316</v>
      </c>
      <c>
        <v>0.23</v>
      </c>
      <c t="s">
        <v>6175</v>
      </c>
      <c t="s">
        <v>37541</v>
      </c>
      <c t="s">
        <v>49266</v>
      </c>
      <c t="s">
        <v>52045</v>
      </c>
      <c t="s">
        <v>49266</v>
      </c>
      <c t="s">
        <v>55895</v>
      </c>
      <c t="s">
        <v>49674</v>
      </c>
      <c t="s">
        <v>2517</v>
      </c>
      <c t="s">
        <v>39289</v>
      </c>
      <c>
        <v>33909</v>
      </c>
      <c t="s">
        <v>63952</v>
      </c>
      <c t="s">
        <v>48794</v>
      </c>
      <c t="s">
        <v>20988</v>
      </c>
      <c>
        <v>30</v>
      </c>
      <c r="AI911" t="s">
        <v>22464</v>
      </c>
      <c t="s">
        <v>45393</v>
      </c>
      <c r="AL911" t="s">
        <v>45182</v>
      </c>
      <c r="AN911" t="s">
        <v>27747</v>
      </c>
      <c t="s">
        <v>50855</v>
      </c>
      <c t="s">
        <v>49977</v>
      </c>
      <c t="s">
        <v>3093</v>
      </c>
      <c t="s">
        <v>38273</v>
      </c>
    </row>
    <row>
      <c t="s">
        <v>17594</v>
      </c>
      <c t="s">
        <v>11840</v>
      </c>
      <c t="s">
        <v>49304</v>
      </c>
      <c t="s">
        <v>49470</v>
      </c>
      <c t="s">
        <v>44329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>
        <v>2021</v>
      </c>
      <c>
        <v>578.21</v>
      </c>
      <c s="1" t="str">
        <f ca="1">HYPERLINK("https://web.datatree.com/?/property?propertyId=32275781", "https://web.datatree.com/?/property?propertyId=32275781")</f>
        <v>https://web.datatree.com/?/property?propertyId=32275781</v>
      </c>
      <c r="Q912" t="s">
        <v>316</v>
      </c>
      <c>
        <v>0.23</v>
      </c>
      <c t="s">
        <v>22490</v>
      </c>
      <c t="s">
        <v>8614</v>
      </c>
      <c t="s">
        <v>61630</v>
      </c>
      <c r="X912" t="s">
        <v>25740</v>
      </c>
      <c t="s">
        <v>15510</v>
      </c>
      <c t="s">
        <v>2517</v>
      </c>
      <c t="s">
        <v>39289</v>
      </c>
      <c>
        <v>33909</v>
      </c>
      <c t="s">
        <v>7104</v>
      </c>
      <c t="s">
        <v>48794</v>
      </c>
      <c t="s">
        <v>43323</v>
      </c>
      <c>
        <v>17532</v>
      </c>
      <c r="AH912" t="s">
        <v>26580</v>
      </c>
      <c t="s">
        <v>21250</v>
      </c>
      <c t="s">
        <v>40123</v>
      </c>
      <c r="AL912" t="s">
        <v>29515</v>
      </c>
      <c t="s">
        <v>28635</v>
      </c>
      <c t="s">
        <v>39289</v>
      </c>
      <c t="s">
        <v>7960</v>
      </c>
      <c t="s">
        <v>27780</v>
      </c>
      <c t="s">
        <v>3093</v>
      </c>
      <c t="s">
        <v>65579</v>
      </c>
    </row>
    <row>
      <c t="s">
        <v>17594</v>
      </c>
      <c t="s">
        <v>55608</v>
      </c>
      <c t="s">
        <v>61822</v>
      </c>
      <c t="s">
        <v>8993</v>
      </c>
      <c t="s">
        <v>51501</v>
      </c>
      <c s="3">
        <v>132815</v>
      </c>
      <c s="3">
        <v>114500</v>
      </c>
      <c s="3">
        <v>132815</v>
      </c>
      <c>
        <v>0</v>
      </c>
      <c s="3">
        <v>0</v>
      </c>
      <c s="3">
        <v>1993.36</v>
      </c>
      <c s="3">
        <v>132815</v>
      </c>
      <c r="O913" s="1" t="str">
        <f ca="1">HYPERLINK("https://web.datatree.com/?/property?propertyId=32275942", "https://web.datatree.com/?/property?propertyId=32275942")</f>
        <v>https://web.datatree.com/?/property?propertyId=32275942</v>
      </c>
      <c r="Q913" t="s">
        <v>316</v>
      </c>
      <c>
        <v>0.125</v>
      </c>
      <c t="s">
        <v>26492</v>
      </c>
      <c t="s">
        <v>58113</v>
      </c>
      <c t="s">
        <v>15818</v>
      </c>
      <c r="X913" t="s">
        <v>45362</v>
      </c>
      <c t="s">
        <v>43388</v>
      </c>
      <c t="s">
        <v>65059</v>
      </c>
      <c t="s">
        <v>39289</v>
      </c>
      <c>
        <v>33905</v>
      </c>
      <c>
        <v>33905</v>
      </c>
      <c t="s">
        <v>48794</v>
      </c>
      <c t="s">
        <v>27903</v>
      </c>
      <c>
        <v>4455</v>
      </c>
      <c r="AH913" t="s">
        <v>52165</v>
      </c>
      <c t="s">
        <v>944</v>
      </c>
      <c t="s">
        <v>24900</v>
      </c>
      <c r="AL913" t="s">
        <v>870</v>
      </c>
      <c t="s">
        <v>40227</v>
      </c>
      <c t="s">
        <v>51137</v>
      </c>
      <c t="s">
        <v>61807</v>
      </c>
      <c t="s">
        <v>14695</v>
      </c>
      <c t="s">
        <v>3093</v>
      </c>
      <c t="s">
        <v>35282</v>
      </c>
      <c>
        <v>2005</v>
      </c>
    </row>
    <row>
      <c t="s">
        <v>17594</v>
      </c>
      <c t="s">
        <v>38447</v>
      </c>
      <c t="s">
        <v>8569</v>
      </c>
      <c t="s">
        <v>44845</v>
      </c>
      <c t="s">
        <v>12649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914" s="1" t="str">
        <f ca="1">HYPERLINK("https://web.datatree.com/?/property?propertyId=32276078", "https://web.datatree.com/?/property?propertyId=32276078")</f>
        <v>https://web.datatree.com/?/property?propertyId=32276078</v>
      </c>
      <c r="Q914" t="s">
        <v>316</v>
      </c>
      <c>
        <v>0.23</v>
      </c>
      <c t="s">
        <v>6175</v>
      </c>
      <c t="s">
        <v>38164</v>
      </c>
      <c t="s">
        <v>54145</v>
      </c>
      <c r="X914" t="s">
        <v>44370</v>
      </c>
      <c t="s">
        <v>49122</v>
      </c>
      <c t="s">
        <v>2517</v>
      </c>
      <c t="s">
        <v>39289</v>
      </c>
      <c>
        <v>33909</v>
      </c>
      <c t="s">
        <v>62365</v>
      </c>
      <c t="s">
        <v>48794</v>
      </c>
      <c t="s">
        <v>64924</v>
      </c>
      <c>
        <v>210</v>
      </c>
      <c r="AI914" t="s">
        <v>18330</v>
      </c>
      <c t="s">
        <v>45620</v>
      </c>
      <c r="AL914" t="s">
        <v>10898</v>
      </c>
      <c r="AN914" t="s">
        <v>10804</v>
      </c>
      <c t="s">
        <v>9395</v>
      </c>
      <c t="s">
        <v>38014</v>
      </c>
      <c t="s">
        <v>3093</v>
      </c>
      <c t="s">
        <v>22337</v>
      </c>
    </row>
    <row>
      <c t="s">
        <v>17594</v>
      </c>
      <c t="s">
        <v>35510</v>
      </c>
      <c t="s">
        <v>25985</v>
      </c>
      <c t="s">
        <v>41507</v>
      </c>
      <c t="s">
        <v>29942</v>
      </c>
      <c s="3">
        <v>26249</v>
      </c>
      <c s="3">
        <v>26249</v>
      </c>
      <c s="3">
        <v>12100</v>
      </c>
      <c>
        <v>0</v>
      </c>
      <c s="3">
        <v>0</v>
      </c>
      <c s="3">
        <v>2918.19</v>
      </c>
      <c s="3">
        <v>26249</v>
      </c>
      <c r="O915" s="1" t="str">
        <f ca="1">HYPERLINK("https://web.datatree.com/?/property?propertyId=32276089", "https://web.datatree.com/?/property?propertyId=32276089")</f>
        <v>https://web.datatree.com/?/property?propertyId=32276089</v>
      </c>
      <c r="Q915" t="s">
        <v>316</v>
      </c>
      <c>
        <v>0.23</v>
      </c>
      <c t="s">
        <v>22490</v>
      </c>
      <c t="s">
        <v>32236</v>
      </c>
      <c t="s">
        <v>42764</v>
      </c>
      <c r="X915" t="s">
        <v>47914</v>
      </c>
      <c t="s">
        <v>47150</v>
      </c>
      <c t="s">
        <v>2517</v>
      </c>
      <c t="s">
        <v>39289</v>
      </c>
      <c>
        <v>33909</v>
      </c>
      <c t="s">
        <v>14210</v>
      </c>
      <c t="s">
        <v>48794</v>
      </c>
      <c t="s">
        <v>23923</v>
      </c>
      <c r="AL915" t="s">
        <v>34</v>
      </c>
      <c r="AN915" t="s">
        <v>31580</v>
      </c>
    </row>
    <row>
      <c t="s">
        <v>17594</v>
      </c>
      <c t="s">
        <v>23345</v>
      </c>
      <c t="s">
        <v>66055</v>
      </c>
      <c t="s">
        <v>54878</v>
      </c>
      <c t="s">
        <v>67136</v>
      </c>
      <c s="3">
        <v>7300</v>
      </c>
      <c s="3">
        <v>7300</v>
      </c>
      <c s="3">
        <v>7300</v>
      </c>
      <c>
        <v>0</v>
      </c>
      <c s="3">
        <v>0</v>
      </c>
      <c s="3">
        <v>729.69</v>
      </c>
      <c s="3">
        <v>7300</v>
      </c>
      <c r="O916" s="1" t="str">
        <f ca="1">HYPERLINK("https://web.datatree.com/?/property?propertyId=32277356", "https://web.datatree.com/?/property?propertyId=32277356")</f>
        <v>https://web.datatree.com/?/property?propertyId=32277356</v>
      </c>
      <c r="Q916" t="s">
        <v>316</v>
      </c>
      <c>
        <v>0.285</v>
      </c>
      <c t="s">
        <v>22490</v>
      </c>
      <c t="s">
        <v>38808</v>
      </c>
      <c t="s">
        <v>54063</v>
      </c>
      <c r="X916" t="s">
        <v>11728</v>
      </c>
      <c t="s">
        <v>47150</v>
      </c>
      <c t="s">
        <v>2517</v>
      </c>
      <c t="s">
        <v>39289</v>
      </c>
      <c>
        <v>33909</v>
      </c>
      <c t="s">
        <v>53276</v>
      </c>
      <c t="s">
        <v>48794</v>
      </c>
      <c t="s">
        <v>21418</v>
      </c>
      <c>
        <v>5845</v>
      </c>
      <c r="AI916" t="s">
        <v>9616</v>
      </c>
      <c t="s">
        <v>40123</v>
      </c>
      <c r="AL916" t="s">
        <v>5970</v>
      </c>
      <c r="AN916" t="s">
        <v>66651</v>
      </c>
      <c t="s">
        <v>51602</v>
      </c>
      <c t="s">
        <v>31373</v>
      </c>
      <c t="s">
        <v>3093</v>
      </c>
      <c t="s">
        <v>21846</v>
      </c>
    </row>
    <row>
      <c t="s">
        <v>42103</v>
      </c>
      <c t="s">
        <v>67149</v>
      </c>
      <c t="s">
        <v>32736</v>
      </c>
      <c t="s">
        <v>15426</v>
      </c>
      <c t="s">
        <v>2867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917" s="1" t="str">
        <f ca="1">HYPERLINK("https://web.datatree.com/?/property?propertyId=32277529", "https://web.datatree.com/?/property?propertyId=32277529")</f>
        <v>https://web.datatree.com/?/property?propertyId=32277529</v>
      </c>
      <c r="Q917" t="s">
        <v>316</v>
      </c>
      <c>
        <v>0.23</v>
      </c>
      <c t="s">
        <v>6175</v>
      </c>
      <c r="U917" t="s">
        <v>34831</v>
      </c>
      <c r="W917" t="s">
        <v>17055</v>
      </c>
      <c t="s">
        <v>34831</v>
      </c>
      <c t="s">
        <v>2619</v>
      </c>
      <c t="s">
        <v>2517</v>
      </c>
      <c t="s">
        <v>39289</v>
      </c>
      <c>
        <v>33909</v>
      </c>
      <c t="s">
        <v>57475</v>
      </c>
      <c t="s">
        <v>48794</v>
      </c>
      <c t="s">
        <v>21562</v>
      </c>
      <c r="AI917" t="s">
        <v>54083</v>
      </c>
      <c r="AL917" t="s">
        <v>34819</v>
      </c>
      <c t="s">
        <v>34819</v>
      </c>
      <c t="s">
        <v>40451</v>
      </c>
      <c>
        <v>57382</v>
      </c>
      <c t="s">
        <v>15796</v>
      </c>
      <c t="s">
        <v>3093</v>
      </c>
      <c t="s">
        <v>61032</v>
      </c>
    </row>
    <row>
      <c t="s">
        <v>17594</v>
      </c>
      <c t="s">
        <v>6793</v>
      </c>
      <c t="s">
        <v>17218</v>
      </c>
      <c t="s">
        <v>18203</v>
      </c>
      <c t="s">
        <v>59931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918" s="1" t="str">
        <f ca="1">HYPERLINK("https://web.datatree.com/?/property?propertyId=32278468", "https://web.datatree.com/?/property?propertyId=32278468")</f>
        <v>https://web.datatree.com/?/property?propertyId=32278468</v>
      </c>
      <c r="Q918" t="s">
        <v>316</v>
      </c>
      <c>
        <v>0.23</v>
      </c>
      <c t="s">
        <v>22490</v>
      </c>
      <c t="s">
        <v>54382</v>
      </c>
      <c t="s">
        <v>57307</v>
      </c>
      <c t="s">
        <v>11805</v>
      </c>
      <c t="s">
        <v>57307</v>
      </c>
      <c t="s">
        <v>61113</v>
      </c>
      <c t="s">
        <v>35712</v>
      </c>
      <c t="s">
        <v>2517</v>
      </c>
      <c t="s">
        <v>39289</v>
      </c>
      <c>
        <v>33909</v>
      </c>
      <c>
        <v>33909</v>
      </c>
      <c t="s">
        <v>48794</v>
      </c>
      <c t="s">
        <v>17075</v>
      </c>
      <c r="AI918" t="s">
        <v>34739</v>
      </c>
      <c r="AK918">
        <v>7</v>
      </c>
      <c t="s">
        <v>60334</v>
      </c>
      <c t="s">
        <v>60334</v>
      </c>
      <c t="s">
        <v>27481</v>
      </c>
      <c>
        <v>53572</v>
      </c>
      <c r="AR918" t="s">
        <v>21235</v>
      </c>
    </row>
    <row>
      <c t="s">
        <v>17594</v>
      </c>
      <c t="s">
        <v>34851</v>
      </c>
      <c t="s">
        <v>805</v>
      </c>
      <c t="s">
        <v>61471</v>
      </c>
      <c t="s">
        <v>49973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919" s="1" t="str">
        <f ca="1">HYPERLINK("https://web.datatree.com/?/property?propertyId=32278508", "https://web.datatree.com/?/property?propertyId=32278508")</f>
        <v>https://web.datatree.com/?/property?propertyId=32278508</v>
      </c>
      <c r="Q919" t="s">
        <v>316</v>
      </c>
      <c>
        <v>0.23</v>
      </c>
      <c t="s">
        <v>22490</v>
      </c>
      <c r="U919" t="s">
        <v>1996</v>
      </c>
      <c r="W919" t="s">
        <v>23105</v>
      </c>
      <c t="s">
        <v>38222</v>
      </c>
      <c t="s">
        <v>2626</v>
      </c>
      <c t="s">
        <v>2517</v>
      </c>
      <c t="s">
        <v>39289</v>
      </c>
      <c>
        <v>33909</v>
      </c>
      <c t="s">
        <v>58671</v>
      </c>
      <c t="s">
        <v>48794</v>
      </c>
      <c t="s">
        <v>49961</v>
      </c>
      <c>
        <v>1135</v>
      </c>
      <c r="AI919" t="s">
        <v>21711</v>
      </c>
      <c t="s">
        <v>24900</v>
      </c>
      <c r="AL919" t="s">
        <v>59391</v>
      </c>
      <c r="AN919" t="s">
        <v>39289</v>
      </c>
      <c t="s">
        <v>52287</v>
      </c>
      <c t="s">
        <v>33029</v>
      </c>
      <c t="s">
        <v>3093</v>
      </c>
      <c t="s">
        <v>50407</v>
      </c>
    </row>
    <row>
      <c t="s">
        <v>17594</v>
      </c>
      <c t="s">
        <v>40095</v>
      </c>
      <c t="s">
        <v>33047</v>
      </c>
      <c t="s">
        <v>50048</v>
      </c>
      <c t="s">
        <v>30480</v>
      </c>
      <c s="3">
        <v>254590</v>
      </c>
      <c s="3">
        <v>251878</v>
      </c>
      <c s="3">
        <v>125798</v>
      </c>
      <c>
        <v>0</v>
      </c>
      <c s="3">
        <v>0</v>
      </c>
      <c s="3">
        <v>3050.38</v>
      </c>
      <c s="3">
        <v>254590</v>
      </c>
      <c r="O920" s="1" t="str">
        <f ca="1">HYPERLINK("https://web.datatree.com/?/property?propertyId=32279071", "https://web.datatree.com/?/property?propertyId=32279071")</f>
        <v>https://web.datatree.com/?/property?propertyId=32279071</v>
      </c>
      <c r="Q920" t="s">
        <v>316</v>
      </c>
      <c>
        <v>0.232</v>
      </c>
      <c t="s">
        <v>22490</v>
      </c>
      <c t="s">
        <v>13181</v>
      </c>
      <c t="s">
        <v>58296</v>
      </c>
      <c t="s">
        <v>2360</v>
      </c>
      <c t="s">
        <v>50728</v>
      </c>
      <c t="s">
        <v>24660</v>
      </c>
      <c t="s">
        <v>38550</v>
      </c>
      <c t="s">
        <v>2517</v>
      </c>
      <c t="s">
        <v>39289</v>
      </c>
      <c>
        <v>33904</v>
      </c>
      <c t="s">
        <v>62344</v>
      </c>
      <c t="s">
        <v>48794</v>
      </c>
      <c t="s">
        <v>55599</v>
      </c>
      <c>
        <v>6208</v>
      </c>
      <c r="AI920" t="s">
        <v>63164</v>
      </c>
      <c t="s">
        <v>31192</v>
      </c>
      <c r="AL920" t="s">
        <v>20419</v>
      </c>
      <c t="s">
        <v>66467</v>
      </c>
      <c t="s">
        <v>39289</v>
      </c>
      <c t="s">
        <v>10262</v>
      </c>
      <c t="s">
        <v>38014</v>
      </c>
      <c t="s">
        <v>3093</v>
      </c>
      <c t="s">
        <v>13147</v>
      </c>
    </row>
    <row>
      <c t="s">
        <v>17594</v>
      </c>
      <c t="s">
        <v>34356</v>
      </c>
      <c t="s">
        <v>62623</v>
      </c>
      <c t="s">
        <v>21257</v>
      </c>
      <c t="s">
        <v>57992</v>
      </c>
      <c s="3">
        <v>73643</v>
      </c>
      <c s="3">
        <v>73643</v>
      </c>
      <c s="3">
        <v>73643</v>
      </c>
      <c>
        <v>0</v>
      </c>
      <c s="3">
        <v>0</v>
      </c>
      <c s="3">
        <v>4305.88</v>
      </c>
      <c s="3">
        <v>73643</v>
      </c>
      <c r="O921" s="1" t="str">
        <f ca="1">HYPERLINK("https://web.datatree.com/?/property?propertyId=32279383", "https://web.datatree.com/?/property?propertyId=32279383")</f>
        <v>https://web.datatree.com/?/property?propertyId=32279383</v>
      </c>
      <c r="Q921" t="s">
        <v>316</v>
      </c>
      <c>
        <v>7.29</v>
      </c>
      <c t="s">
        <v>30497</v>
      </c>
      <c t="s">
        <v>2873</v>
      </c>
      <c t="s">
        <v>3458</v>
      </c>
      <c t="s">
        <v>27645</v>
      </c>
      <c t="s">
        <v>3458</v>
      </c>
      <c t="s">
        <v>24114</v>
      </c>
      <c t="s">
        <v>6406</v>
      </c>
      <c t="s">
        <v>65059</v>
      </c>
      <c t="s">
        <v>39289</v>
      </c>
      <c>
        <v>33905</v>
      </c>
      <c t="s">
        <v>56464</v>
      </c>
      <c t="s">
        <v>48794</v>
      </c>
      <c t="s">
        <v>44605</v>
      </c>
      <c>
        <v>1925</v>
      </c>
      <c r="AI921" t="s">
        <v>721</v>
      </c>
      <c t="s">
        <v>45620</v>
      </c>
      <c r="AL921" t="s">
        <v>18225</v>
      </c>
      <c t="s">
        <v>18225</v>
      </c>
      <c t="s">
        <v>51137</v>
      </c>
      <c t="s">
        <v>4351</v>
      </c>
      <c t="s">
        <v>60160</v>
      </c>
      <c t="s">
        <v>3093</v>
      </c>
      <c t="s">
        <v>3247</v>
      </c>
    </row>
    <row>
      <c t="s">
        <v>17594</v>
      </c>
      <c t="s">
        <v>62821</v>
      </c>
      <c t="s">
        <v>54837</v>
      </c>
      <c t="s">
        <v>35207</v>
      </c>
      <c t="s">
        <v>57894</v>
      </c>
      <c s="3">
        <v>18938</v>
      </c>
      <c s="3">
        <v>18938</v>
      </c>
      <c s="3">
        <v>7656</v>
      </c>
      <c>
        <v>0</v>
      </c>
      <c s="3">
        <v>0</v>
      </c>
      <c s="3">
        <v>583.68</v>
      </c>
      <c s="3">
        <v>18938</v>
      </c>
      <c r="O922" s="1" t="str">
        <f ca="1">HYPERLINK("https://web.datatree.com/?/property?propertyId=32280330", "https://web.datatree.com/?/property?propertyId=32280330")</f>
        <v>https://web.datatree.com/?/property?propertyId=32280330</v>
      </c>
      <c r="Q922" t="s">
        <v>316</v>
      </c>
      <c>
        <v>0.258</v>
      </c>
      <c t="s">
        <v>45031</v>
      </c>
      <c t="s">
        <v>62791</v>
      </c>
      <c t="s">
        <v>8795</v>
      </c>
      <c r="X922" t="s">
        <v>35835</v>
      </c>
      <c t="s">
        <v>38550</v>
      </c>
      <c t="s">
        <v>2517</v>
      </c>
      <c t="s">
        <v>39289</v>
      </c>
      <c>
        <v>33909</v>
      </c>
      <c t="s">
        <v>7436</v>
      </c>
      <c t="s">
        <v>48794</v>
      </c>
      <c t="s">
        <v>1811</v>
      </c>
      <c>
        <v>3034</v>
      </c>
      <c r="AI922" t="s">
        <v>38220</v>
      </c>
      <c t="s">
        <v>31192</v>
      </c>
      <c r="AL922" t="s">
        <v>16712</v>
      </c>
      <c t="s">
        <v>16712</v>
      </c>
      <c t="s">
        <v>14798</v>
      </c>
      <c t="s">
        <v>47074</v>
      </c>
      <c t="s">
        <v>62845</v>
      </c>
      <c t="s">
        <v>3093</v>
      </c>
      <c t="s">
        <v>39738</v>
      </c>
    </row>
    <row>
      <c t="s">
        <v>17594</v>
      </c>
      <c t="s">
        <v>48804</v>
      </c>
      <c t="s">
        <v>30974</v>
      </c>
      <c t="s">
        <v>36218</v>
      </c>
      <c t="s">
        <v>31446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2021</v>
      </c>
      <c>
        <v>535.19</v>
      </c>
      <c s="1" t="str">
        <f ca="1">HYPERLINK("https://web.datatree.com/?/property?propertyId=32280521", "https://web.datatree.com/?/property?propertyId=32280521")</f>
        <v>https://web.datatree.com/?/property?propertyId=32280521</v>
      </c>
      <c r="Q923" t="s">
        <v>316</v>
      </c>
      <c>
        <v>0.23</v>
      </c>
      <c t="s">
        <v>6175</v>
      </c>
      <c t="s">
        <v>3293</v>
      </c>
      <c t="s">
        <v>39649</v>
      </c>
      <c r="X923" t="s">
        <v>41314</v>
      </c>
      <c t="s">
        <v>66701</v>
      </c>
      <c t="s">
        <v>2517</v>
      </c>
      <c t="s">
        <v>39289</v>
      </c>
      <c>
        <v>33909</v>
      </c>
      <c t="s">
        <v>38495</v>
      </c>
      <c t="s">
        <v>48794</v>
      </c>
      <c t="s">
        <v>43425</v>
      </c>
      <c>
        <v>641</v>
      </c>
      <c r="AI923" t="s">
        <v>52275</v>
      </c>
      <c t="s">
        <v>31192</v>
      </c>
      <c r="AL923" t="s">
        <v>62877</v>
      </c>
      <c t="s">
        <v>62877</v>
      </c>
      <c t="s">
        <v>39289</v>
      </c>
      <c t="s">
        <v>55442</v>
      </c>
      <c t="s">
        <v>26242</v>
      </c>
      <c t="s">
        <v>3093</v>
      </c>
      <c t="s">
        <v>32636</v>
      </c>
    </row>
    <row>
      <c t="s">
        <v>17594</v>
      </c>
      <c t="s">
        <v>60055</v>
      </c>
      <c t="s">
        <v>19447</v>
      </c>
      <c t="s">
        <v>13470</v>
      </c>
      <c t="s">
        <v>17527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924" s="1" t="str">
        <f ca="1">HYPERLINK("https://web.datatree.com/?/property?propertyId=32280790", "https://web.datatree.com/?/property?propertyId=32280790")</f>
        <v>https://web.datatree.com/?/property?propertyId=32280790</v>
      </c>
      <c r="Q924" t="s">
        <v>316</v>
      </c>
      <c>
        <v>0.246</v>
      </c>
      <c t="s">
        <v>5471</v>
      </c>
      <c t="s">
        <v>66221</v>
      </c>
      <c t="s">
        <v>43498</v>
      </c>
      <c t="s">
        <v>52978</v>
      </c>
      <c t="s">
        <v>26375</v>
      </c>
      <c t="s">
        <v>39750</v>
      </c>
      <c t="s">
        <v>20650</v>
      </c>
      <c t="s">
        <v>65059</v>
      </c>
      <c t="s">
        <v>39289</v>
      </c>
      <c>
        <v>33905</v>
      </c>
      <c t="s">
        <v>46523</v>
      </c>
      <c t="s">
        <v>48794</v>
      </c>
      <c t="s">
        <v>81</v>
      </c>
      <c>
        <v>7797</v>
      </c>
      <c r="AI924" t="s">
        <v>53252</v>
      </c>
      <c t="s">
        <v>31192</v>
      </c>
      <c>
        <v>304</v>
      </c>
      <c t="s">
        <v>54231</v>
      </c>
      <c t="s">
        <v>54231</v>
      </c>
      <c t="s">
        <v>39289</v>
      </c>
      <c t="s">
        <v>43036</v>
      </c>
      <c t="s">
        <v>3364</v>
      </c>
      <c t="s">
        <v>3093</v>
      </c>
      <c t="s">
        <v>52643</v>
      </c>
    </row>
    <row>
      <c t="s">
        <v>17594</v>
      </c>
      <c t="s">
        <v>45106</v>
      </c>
      <c t="s">
        <v>19784</v>
      </c>
      <c t="s">
        <v>55477</v>
      </c>
      <c t="s">
        <v>32132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925" s="1" t="str">
        <f ca="1">HYPERLINK("https://web.datatree.com/?/property?propertyId=32280915", "https://web.datatree.com/?/property?propertyId=32280915")</f>
        <v>https://web.datatree.com/?/property?propertyId=32280915</v>
      </c>
      <c r="Q925" t="s">
        <v>316</v>
      </c>
      <c>
        <v>0.244</v>
      </c>
      <c t="s">
        <v>6175</v>
      </c>
      <c t="s">
        <v>64583</v>
      </c>
      <c t="s">
        <v>46398</v>
      </c>
      <c t="s">
        <v>16893</v>
      </c>
      <c t="s">
        <v>46398</v>
      </c>
      <c t="s">
        <v>14220</v>
      </c>
      <c t="s">
        <v>13829</v>
      </c>
      <c t="s">
        <v>2517</v>
      </c>
      <c t="s">
        <v>39289</v>
      </c>
      <c>
        <v>33909</v>
      </c>
      <c t="s">
        <v>31492</v>
      </c>
      <c t="s">
        <v>48794</v>
      </c>
      <c t="s">
        <v>65510</v>
      </c>
      <c>
        <v>5256</v>
      </c>
      <c r="AI925" t="s">
        <v>61607</v>
      </c>
      <c t="s">
        <v>4985</v>
      </c>
      <c>
        <v>7</v>
      </c>
      <c t="s">
        <v>59996</v>
      </c>
      <c r="AN925" t="s">
        <v>49572</v>
      </c>
      <c t="s">
        <v>47673</v>
      </c>
      <c t="s">
        <v>61564</v>
      </c>
      <c t="s">
        <v>3093</v>
      </c>
      <c t="s">
        <v>21497</v>
      </c>
    </row>
    <row>
      <c t="s">
        <v>17594</v>
      </c>
      <c t="s">
        <v>12680</v>
      </c>
      <c t="s">
        <v>56680</v>
      </c>
      <c t="s">
        <v>32498</v>
      </c>
      <c t="s">
        <v>46751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926" s="1" t="str">
        <f ca="1">HYPERLINK("https://web.datatree.com/?/property?propertyId=32282037", "https://web.datatree.com/?/property?propertyId=32282037")</f>
        <v>https://web.datatree.com/?/property?propertyId=32282037</v>
      </c>
      <c r="Q926" t="s">
        <v>316</v>
      </c>
      <c>
        <v>0.23</v>
      </c>
      <c t="s">
        <v>6175</v>
      </c>
      <c t="s">
        <v>8033</v>
      </c>
      <c t="s">
        <v>48923</v>
      </c>
      <c r="X926" t="s">
        <v>62842</v>
      </c>
      <c t="s">
        <v>2626</v>
      </c>
      <c t="s">
        <v>2517</v>
      </c>
      <c t="s">
        <v>39289</v>
      </c>
      <c>
        <v>33909</v>
      </c>
      <c t="s">
        <v>36406</v>
      </c>
      <c t="s">
        <v>48794</v>
      </c>
      <c t="s">
        <v>39995</v>
      </c>
      <c>
        <v>23</v>
      </c>
      <c r="AI926" t="s">
        <v>43073</v>
      </c>
      <c t="s">
        <v>45620</v>
      </c>
      <c r="AL926" t="s">
        <v>59367</v>
      </c>
      <c r="AN926" t="s">
        <v>22275</v>
      </c>
      <c t="s">
        <v>11520</v>
      </c>
      <c t="s">
        <v>22455</v>
      </c>
      <c t="s">
        <v>3093</v>
      </c>
      <c t="s">
        <v>23170</v>
      </c>
    </row>
    <row>
      <c t="s">
        <v>17594</v>
      </c>
      <c t="s">
        <v>32286</v>
      </c>
      <c t="s">
        <v>47538</v>
      </c>
      <c t="s">
        <v>6308</v>
      </c>
      <c t="s">
        <v>23229</v>
      </c>
      <c s="3">
        <v>35272</v>
      </c>
      <c s="3">
        <v>35272</v>
      </c>
      <c s="3">
        <v>30030</v>
      </c>
      <c>
        <v>0</v>
      </c>
      <c s="3">
        <v>0</v>
      </c>
      <c s="3">
        <v>928.46</v>
      </c>
      <c s="3">
        <v>35272</v>
      </c>
      <c r="O927" s="1" t="str">
        <f ca="1">HYPERLINK("https://web.datatree.com/?/property?propertyId=32282299", "https://web.datatree.com/?/property?propertyId=32282299")</f>
        <v>https://web.datatree.com/?/property?propertyId=32282299</v>
      </c>
      <c r="Q927" t="s">
        <v>316</v>
      </c>
      <c>
        <v>0.247</v>
      </c>
      <c t="s">
        <v>6175</v>
      </c>
      <c t="s">
        <v>981</v>
      </c>
      <c t="s">
        <v>45370</v>
      </c>
      <c r="X927" t="s">
        <v>55238</v>
      </c>
      <c t="s">
        <v>58797</v>
      </c>
      <c t="s">
        <v>2517</v>
      </c>
      <c t="s">
        <v>39289</v>
      </c>
      <c>
        <v>33904</v>
      </c>
      <c t="s">
        <v>36795</v>
      </c>
      <c t="s">
        <v>48794</v>
      </c>
      <c t="s">
        <v>24228</v>
      </c>
      <c>
        <v>7207</v>
      </c>
      <c r="AI927" t="s">
        <v>36567</v>
      </c>
      <c t="s">
        <v>835</v>
      </c>
      <c r="AL927" t="s">
        <v>2849</v>
      </c>
      <c t="s">
        <v>17837</v>
      </c>
      <c t="s">
        <v>26016</v>
      </c>
      <c t="s">
        <v>35982</v>
      </c>
      <c t="s">
        <v>30106</v>
      </c>
      <c t="s">
        <v>3093</v>
      </c>
      <c t="s">
        <v>6538</v>
      </c>
    </row>
    <row>
      <c t="s">
        <v>17594</v>
      </c>
      <c t="s">
        <v>47850</v>
      </c>
      <c t="s">
        <v>1321</v>
      </c>
      <c t="s">
        <v>63521</v>
      </c>
      <c t="s">
        <v>38890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928" s="1" t="str">
        <f ca="1">HYPERLINK("https://web.datatree.com/?/property?propertyId=32282569", "https://web.datatree.com/?/property?propertyId=32282569")</f>
        <v>https://web.datatree.com/?/property?propertyId=32282569</v>
      </c>
      <c r="Q928" t="s">
        <v>316</v>
      </c>
      <c>
        <v>0.23</v>
      </c>
      <c t="s">
        <v>6175</v>
      </c>
      <c r="U928" t="s">
        <v>855</v>
      </c>
      <c t="s">
        <v>64322</v>
      </c>
      <c t="s">
        <v>46057</v>
      </c>
      <c t="s">
        <v>54025</v>
      </c>
      <c t="s">
        <v>47150</v>
      </c>
      <c t="s">
        <v>2517</v>
      </c>
      <c t="s">
        <v>39289</v>
      </c>
      <c>
        <v>33909</v>
      </c>
      <c t="s">
        <v>52581</v>
      </c>
      <c t="s">
        <v>48794</v>
      </c>
      <c t="s">
        <v>41429</v>
      </c>
      <c>
        <v>6900</v>
      </c>
      <c r="AI928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1733</v>
      </c>
      <c t="s">
        <v>42223</v>
      </c>
      <c t="s">
        <v>23664</v>
      </c>
      <c t="s">
        <v>26972</v>
      </c>
      <c s="3">
        <v>53932</v>
      </c>
      <c s="3">
        <v>45774</v>
      </c>
      <c s="3">
        <v>41452</v>
      </c>
      <c>
        <v>0</v>
      </c>
      <c s="3">
        <v>0</v>
      </c>
      <c s="3">
        <v>648.49</v>
      </c>
      <c s="3">
        <v>53932</v>
      </c>
      <c r="O929" s="1" t="str">
        <f ca="1">HYPERLINK("https://web.datatree.com/?/property?propertyId=32283313", "https://web.datatree.com/?/property?propertyId=32283313")</f>
        <v>https://web.datatree.com/?/property?propertyId=32283313</v>
      </c>
      <c r="Q929" t="s">
        <v>316</v>
      </c>
      <c>
        <v>0.29</v>
      </c>
      <c t="s">
        <v>5471</v>
      </c>
      <c t="s">
        <v>54155</v>
      </c>
      <c t="s">
        <v>19843</v>
      </c>
      <c t="s">
        <v>9485</v>
      </c>
      <c t="s">
        <v>34974</v>
      </c>
      <c t="s">
        <v>12661</v>
      </c>
      <c t="s">
        <v>55646</v>
      </c>
      <c t="s">
        <v>65059</v>
      </c>
      <c t="s">
        <v>39289</v>
      </c>
      <c>
        <v>33908</v>
      </c>
      <c>
        <v>33908</v>
      </c>
      <c t="s">
        <v>48794</v>
      </c>
      <c t="s">
        <v>48226</v>
      </c>
      <c>
        <v>84</v>
      </c>
      <c r="AI929" t="s">
        <v>54473</v>
      </c>
      <c t="s">
        <v>45620</v>
      </c>
      <c r="AL929" t="s">
        <v>10959</v>
      </c>
      <c t="s">
        <v>10959</v>
      </c>
      <c t="s">
        <v>50917</v>
      </c>
      <c t="s">
        <v>22208</v>
      </c>
      <c t="s">
        <v>702</v>
      </c>
      <c t="s">
        <v>3093</v>
      </c>
      <c t="s">
        <v>46836</v>
      </c>
    </row>
    <row>
      <c t="s">
        <v>17594</v>
      </c>
      <c t="s">
        <v>43231</v>
      </c>
      <c t="s">
        <v>6199</v>
      </c>
      <c t="s">
        <v>24102</v>
      </c>
      <c t="s">
        <v>57202</v>
      </c>
      <c s="3">
        <v>112144</v>
      </c>
      <c s="3">
        <v>112144</v>
      </c>
      <c s="3">
        <v>92899</v>
      </c>
      <c>
        <v>0</v>
      </c>
      <c s="3">
        <v>0</v>
      </c>
      <c s="3">
        <v>2038.45</v>
      </c>
      <c s="3">
        <v>112144</v>
      </c>
      <c r="O930" s="1" t="str">
        <f ca="1">HYPERLINK("https://web.datatree.com/?/property?propertyId=32283383", "https://web.datatree.com/?/property?propertyId=32283383")</f>
        <v>https://web.datatree.com/?/property?propertyId=32283383</v>
      </c>
      <c r="Q930" t="s">
        <v>316</v>
      </c>
      <c>
        <v>0.278</v>
      </c>
      <c t="s">
        <v>32050</v>
      </c>
      <c t="s">
        <v>3941</v>
      </c>
      <c t="s">
        <v>21463</v>
      </c>
      <c t="s">
        <v>33243</v>
      </c>
      <c t="s">
        <v>52486</v>
      </c>
      <c t="s">
        <v>15535</v>
      </c>
      <c t="s">
        <v>15510</v>
      </c>
      <c t="s">
        <v>2517</v>
      </c>
      <c t="s">
        <v>39289</v>
      </c>
      <c>
        <v>33904</v>
      </c>
      <c>
        <v>33904</v>
      </c>
      <c t="s">
        <v>48794</v>
      </c>
      <c t="s">
        <v>27288</v>
      </c>
      <c>
        <v>931</v>
      </c>
      <c r="AI930" t="s">
        <v>33841</v>
      </c>
      <c t="s">
        <v>45620</v>
      </c>
      <c r="AL930" t="s">
        <v>55987</v>
      </c>
      <c r="AN930" t="s">
        <v>22275</v>
      </c>
      <c t="s">
        <v>50601</v>
      </c>
      <c t="s">
        <v>34162</v>
      </c>
      <c t="s">
        <v>3093</v>
      </c>
      <c t="s">
        <v>28498</v>
      </c>
    </row>
    <row>
      <c t="s">
        <v>17594</v>
      </c>
      <c t="s">
        <v>22438</v>
      </c>
      <c t="s">
        <v>45054</v>
      </c>
      <c t="s">
        <v>1566</v>
      </c>
      <c t="s">
        <v>60778</v>
      </c>
      <c s="3">
        <v>9000</v>
      </c>
      <c s="3">
        <v>9000</v>
      </c>
      <c s="3">
        <v>9000</v>
      </c>
      <c>
        <v>0</v>
      </c>
      <c s="3">
        <v>0</v>
      </c>
      <c s="3">
        <v>939.16</v>
      </c>
      <c s="3">
        <v>9000</v>
      </c>
      <c r="O931" s="1" t="str">
        <f ca="1">HYPERLINK("https://web.datatree.com/?/property?propertyId=32284250", "https://web.datatree.com/?/property?propertyId=32284250")</f>
        <v>https://web.datatree.com/?/property?propertyId=32284250</v>
      </c>
      <c r="Q931" t="s">
        <v>316</v>
      </c>
      <c>
        <v>0.413</v>
      </c>
      <c t="s">
        <v>32782</v>
      </c>
      <c t="s">
        <v>24179</v>
      </c>
      <c t="s">
        <v>23904</v>
      </c>
      <c r="X931" t="s">
        <v>30815</v>
      </c>
      <c t="s">
        <v>8669</v>
      </c>
      <c t="s">
        <v>2517</v>
      </c>
      <c t="s">
        <v>39289</v>
      </c>
      <c>
        <v>33909</v>
      </c>
      <c t="s">
        <v>36484</v>
      </c>
      <c t="s">
        <v>48794</v>
      </c>
      <c t="s">
        <v>61327</v>
      </c>
      <c>
        <v>13</v>
      </c>
      <c r="AI931" t="s">
        <v>2626</v>
      </c>
      <c t="s">
        <v>24900</v>
      </c>
      <c r="AL931" t="s">
        <v>48388</v>
      </c>
      <c t="s">
        <v>48388</v>
      </c>
      <c t="s">
        <v>26016</v>
      </c>
      <c t="s">
        <v>16115</v>
      </c>
      <c t="s">
        <v>61410</v>
      </c>
      <c t="s">
        <v>3093</v>
      </c>
      <c t="s">
        <v>62050</v>
      </c>
    </row>
    <row>
      <c t="s">
        <v>17594</v>
      </c>
      <c t="s">
        <v>56942</v>
      </c>
      <c t="s">
        <v>15223</v>
      </c>
      <c t="s">
        <v>40392</v>
      </c>
      <c t="s">
        <v>53665</v>
      </c>
      <c s="3">
        <v>8000</v>
      </c>
      <c s="3">
        <v>8000</v>
      </c>
      <c s="3">
        <v>8000</v>
      </c>
      <c>
        <v>0</v>
      </c>
      <c s="3">
        <v>0</v>
      </c>
      <c s="3">
        <v>517.07</v>
      </c>
      <c s="3">
        <v>8000</v>
      </c>
      <c r="O932" s="1" t="str">
        <f ca="1">HYPERLINK("https://web.datatree.com/?/property?propertyId=32284928", "https://web.datatree.com/?/property?propertyId=32284928")</f>
        <v>https://web.datatree.com/?/property?propertyId=32284928</v>
      </c>
      <c r="Q932" t="s">
        <v>316</v>
      </c>
      <c>
        <v>0.254</v>
      </c>
      <c t="s">
        <v>22490</v>
      </c>
      <c t="s">
        <v>6682</v>
      </c>
      <c t="s">
        <v>29892</v>
      </c>
      <c t="s">
        <v>44457</v>
      </c>
      <c t="s">
        <v>41809</v>
      </c>
      <c t="s">
        <v>6506</v>
      </c>
      <c t="s">
        <v>29190</v>
      </c>
      <c t="s">
        <v>2517</v>
      </c>
      <c t="s">
        <v>39289</v>
      </c>
      <c>
        <v>33909</v>
      </c>
      <c t="s">
        <v>55894</v>
      </c>
      <c t="s">
        <v>48794</v>
      </c>
      <c t="s">
        <v>22845</v>
      </c>
      <c>
        <v>1240</v>
      </c>
      <c r="AI932" t="s">
        <v>2626</v>
      </c>
      <c t="s">
        <v>55842</v>
      </c>
      <c r="AL932" t="s">
        <v>29515</v>
      </c>
      <c t="s">
        <v>29515</v>
      </c>
      <c t="s">
        <v>39289</v>
      </c>
      <c t="s">
        <v>25575</v>
      </c>
      <c t="s">
        <v>38085</v>
      </c>
      <c t="s">
        <v>3093</v>
      </c>
      <c t="s">
        <v>33773</v>
      </c>
    </row>
    <row>
      <c t="s">
        <v>17594</v>
      </c>
      <c t="s">
        <v>39990</v>
      </c>
      <c t="s">
        <v>39732</v>
      </c>
      <c t="s">
        <v>62886</v>
      </c>
      <c t="s">
        <v>63717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933" s="1" t="str">
        <f ca="1">HYPERLINK("https://web.datatree.com/?/property?propertyId=32284997", "https://web.datatree.com/?/property?propertyId=32284997")</f>
        <v>https://web.datatree.com/?/property?propertyId=32284997</v>
      </c>
      <c r="Q933" t="s">
        <v>316</v>
      </c>
      <c>
        <v>0.23</v>
      </c>
      <c t="s">
        <v>45031</v>
      </c>
      <c t="s">
        <v>36356</v>
      </c>
      <c t="s">
        <v>25991</v>
      </c>
      <c t="s">
        <v>38445</v>
      </c>
      <c t="s">
        <v>2140</v>
      </c>
      <c t="s">
        <v>54733</v>
      </c>
      <c t="s">
        <v>47150</v>
      </c>
      <c t="s">
        <v>2517</v>
      </c>
      <c t="s">
        <v>39289</v>
      </c>
      <c>
        <v>33909</v>
      </c>
      <c t="s">
        <v>44832</v>
      </c>
      <c t="s">
        <v>48794</v>
      </c>
      <c t="s">
        <v>40632</v>
      </c>
      <c>
        <v>238</v>
      </c>
      <c r="AI933" t="s">
        <v>55197</v>
      </c>
      <c r="AL933" t="s">
        <v>34720</v>
      </c>
      <c r="AN933" t="s">
        <v>32840</v>
      </c>
      <c r="AR933" t="s">
        <v>58020</v>
      </c>
    </row>
    <row>
      <c t="s">
        <v>17594</v>
      </c>
      <c s="2" t="s">
        <v>6803</v>
      </c>
      <c t="s">
        <v>52989</v>
      </c>
      <c t="s">
        <v>63441</v>
      </c>
      <c t="s">
        <v>59790</v>
      </c>
      <c s="3">
        <v>26250</v>
      </c>
      <c s="3">
        <v>26250</v>
      </c>
      <c s="3">
        <v>9433</v>
      </c>
      <c>
        <v>0</v>
      </c>
      <c s="3">
        <v>0</v>
      </c>
      <c s="3">
        <v>411.77</v>
      </c>
      <c s="3">
        <v>26250</v>
      </c>
      <c r="O934" s="1" t="str">
        <f ca="1">HYPERLINK("https://web.datatree.com/?/property?propertyId=32285784", "https://web.datatree.com/?/property?propertyId=32285784")</f>
        <v>https://web.datatree.com/?/property?propertyId=32285784</v>
      </c>
      <c r="Q934" t="s">
        <v>316</v>
      </c>
      <c>
        <v>0.219</v>
      </c>
      <c t="s">
        <v>5471</v>
      </c>
      <c t="s">
        <v>57302</v>
      </c>
      <c t="s">
        <v>56182</v>
      </c>
      <c t="s">
        <v>53622</v>
      </c>
      <c t="s">
        <v>31802</v>
      </c>
      <c t="s">
        <v>11958</v>
      </c>
      <c t="s">
        <v>10601</v>
      </c>
      <c t="s">
        <v>65059</v>
      </c>
      <c t="s">
        <v>39289</v>
      </c>
      <c>
        <v>33905</v>
      </c>
      <c t="s">
        <v>63473</v>
      </c>
      <c t="s">
        <v>48794</v>
      </c>
      <c s="2" t="s">
        <v>3891</v>
      </c>
      <c>
        <v>1232</v>
      </c>
      <c r="AI934" t="s">
        <v>36695</v>
      </c>
      <c t="s">
        <v>45393</v>
      </c>
      <c r="AL934" t="s">
        <v>8109</v>
      </c>
      <c r="AN934" t="s">
        <v>50917</v>
      </c>
      <c t="s">
        <v>48504</v>
      </c>
      <c t="s">
        <v>16126</v>
      </c>
      <c t="s">
        <v>3093</v>
      </c>
      <c t="s">
        <v>59639</v>
      </c>
    </row>
    <row>
      <c t="s">
        <v>17594</v>
      </c>
      <c t="s">
        <v>46449</v>
      </c>
      <c t="s">
        <v>50302</v>
      </c>
      <c t="s">
        <v>25860</v>
      </c>
      <c t="s">
        <v>4389</v>
      </c>
      <c s="3">
        <v>20612</v>
      </c>
      <c s="3">
        <v>20612</v>
      </c>
      <c s="3">
        <v>9339</v>
      </c>
      <c>
        <v>0</v>
      </c>
      <c s="3">
        <v>0</v>
      </c>
      <c s="3">
        <v>714.68</v>
      </c>
      <c s="3">
        <v>20612</v>
      </c>
      <c r="O935" s="1" t="str">
        <f ca="1">HYPERLINK("https://web.datatree.com/?/property?propertyId=32286021", "https://web.datatree.com/?/property?propertyId=32286021")</f>
        <v>https://web.datatree.com/?/property?propertyId=32286021</v>
      </c>
      <c r="Q935" t="s">
        <v>316</v>
      </c>
      <c>
        <v>0.241</v>
      </c>
      <c t="s">
        <v>54449</v>
      </c>
      <c t="s">
        <v>38760</v>
      </c>
      <c t="s">
        <v>1816</v>
      </c>
      <c r="X935" t="s">
        <v>7320</v>
      </c>
      <c t="s">
        <v>17022</v>
      </c>
      <c t="s">
        <v>2517</v>
      </c>
      <c t="s">
        <v>39289</v>
      </c>
      <c>
        <v>33909</v>
      </c>
      <c t="s">
        <v>58228</v>
      </c>
      <c t="s">
        <v>48794</v>
      </c>
      <c t="s">
        <v>65275</v>
      </c>
      <c>
        <v>756</v>
      </c>
      <c r="AI935" t="s">
        <v>51043</v>
      </c>
      <c t="s">
        <v>24900</v>
      </c>
      <c r="AL935" t="s">
        <v>20040</v>
      </c>
      <c t="s">
        <v>20040</v>
      </c>
      <c t="s">
        <v>26016</v>
      </c>
      <c t="s">
        <v>33421</v>
      </c>
      <c t="s">
        <v>25140</v>
      </c>
      <c t="s">
        <v>3093</v>
      </c>
      <c t="s">
        <v>51120</v>
      </c>
    </row>
    <row>
      <c t="s">
        <v>17594</v>
      </c>
      <c t="s">
        <v>26900</v>
      </c>
      <c t="s">
        <v>58494</v>
      </c>
      <c t="s">
        <v>5798</v>
      </c>
      <c t="s">
        <v>63378</v>
      </c>
      <c s="3">
        <v>846779</v>
      </c>
      <c s="3">
        <v>846779</v>
      </c>
      <c s="3">
        <v>846779</v>
      </c>
      <c>
        <v>0</v>
      </c>
      <c s="3">
        <v>0</v>
      </c>
      <c s="3">
        <v>13826.4</v>
      </c>
      <c s="3">
        <v>846779</v>
      </c>
      <c r="O936" s="1" t="str">
        <f ca="1">HYPERLINK("https://web.datatree.com/?/property?propertyId=32286112", "https://web.datatree.com/?/property?propertyId=32286112")</f>
        <v>https://web.datatree.com/?/property?propertyId=32286112</v>
      </c>
      <c r="Q936" t="s">
        <v>316</v>
      </c>
      <c>
        <v>0.445</v>
      </c>
      <c t="s">
        <v>22490</v>
      </c>
      <c t="s">
        <v>26023</v>
      </c>
      <c t="s">
        <v>4535</v>
      </c>
      <c r="X936" t="s">
        <v>20672</v>
      </c>
      <c t="s">
        <v>19735</v>
      </c>
      <c t="s">
        <v>2517</v>
      </c>
      <c t="s">
        <v>39289</v>
      </c>
      <c>
        <v>33904</v>
      </c>
      <c t="s">
        <v>17347</v>
      </c>
      <c t="s">
        <v>48794</v>
      </c>
      <c t="s">
        <v>24685</v>
      </c>
      <c>
        <v>900</v>
      </c>
      <c r="AH936" t="s">
        <v>12549</v>
      </c>
      <c t="s">
        <v>29190</v>
      </c>
      <c t="s">
        <v>24900</v>
      </c>
      <c>
        <v>1602</v>
      </c>
      <c t="s">
        <v>20838</v>
      </c>
      <c t="s">
        <v>19597</v>
      </c>
      <c t="s">
        <v>32657</v>
      </c>
      <c t="s">
        <v>2719</v>
      </c>
      <c t="s">
        <v>27780</v>
      </c>
      <c t="s">
        <v>3093</v>
      </c>
      <c t="s">
        <v>18</v>
      </c>
    </row>
    <row>
      <c t="s">
        <v>17594</v>
      </c>
      <c t="s">
        <v>20589</v>
      </c>
      <c t="s">
        <v>29950</v>
      </c>
      <c t="s">
        <v>48502</v>
      </c>
      <c t="s">
        <v>50327</v>
      </c>
      <c s="3">
        <v>16682</v>
      </c>
      <c s="3">
        <v>16682</v>
      </c>
      <c s="3">
        <v>8470</v>
      </c>
      <c>
        <v>0</v>
      </c>
      <c s="3">
        <v>0</v>
      </c>
      <c s="3">
        <v>553.39</v>
      </c>
      <c s="3">
        <v>16682</v>
      </c>
      <c r="O937" s="1" t="str">
        <f ca="1">HYPERLINK("https://web.datatree.com/?/property?propertyId=32286278", "https://web.datatree.com/?/property?propertyId=32286278")</f>
        <v>https://web.datatree.com/?/property?propertyId=32286278</v>
      </c>
      <c r="Q937" t="s">
        <v>316</v>
      </c>
      <c>
        <v>0.232</v>
      </c>
      <c t="s">
        <v>6175</v>
      </c>
      <c t="s">
        <v>12670</v>
      </c>
      <c t="s">
        <v>60168</v>
      </c>
      <c r="X937" t="s">
        <v>39969</v>
      </c>
      <c t="s">
        <v>29190</v>
      </c>
      <c t="s">
        <v>2517</v>
      </c>
      <c t="s">
        <v>39289</v>
      </c>
      <c>
        <v>33909</v>
      </c>
      <c t="s">
        <v>57233</v>
      </c>
      <c t="s">
        <v>48794</v>
      </c>
      <c t="s">
        <v>66948</v>
      </c>
      <c>
        <v>178</v>
      </c>
      <c r="AI937" t="s">
        <v>64745</v>
      </c>
      <c t="s">
        <v>45393</v>
      </c>
      <c r="AL937" t="s">
        <v>51095</v>
      </c>
      <c r="AN937" t="s">
        <v>26016</v>
      </c>
      <c t="s">
        <v>64417</v>
      </c>
      <c t="s">
        <v>23744</v>
      </c>
      <c t="s">
        <v>3093</v>
      </c>
      <c t="s">
        <v>7121</v>
      </c>
    </row>
    <row>
      <c t="s">
        <v>17594</v>
      </c>
      <c t="s">
        <v>2052</v>
      </c>
      <c t="s">
        <v>17094</v>
      </c>
      <c t="s">
        <v>16645</v>
      </c>
      <c t="s">
        <v>34370</v>
      </c>
      <c s="3">
        <v>8700</v>
      </c>
      <c s="3">
        <v>8700</v>
      </c>
      <c s="3">
        <v>8700</v>
      </c>
      <c>
        <v>0</v>
      </c>
      <c s="3">
        <v>0</v>
      </c>
      <c s="3">
        <v>602.8</v>
      </c>
      <c s="3">
        <v>8700</v>
      </c>
      <c r="O938" s="1" t="str">
        <f ca="1">HYPERLINK("https://web.datatree.com/?/property?propertyId=32286717", "https://web.datatree.com/?/property?propertyId=32286717")</f>
        <v>https://web.datatree.com/?/property?propertyId=32286717</v>
      </c>
      <c r="Q938" t="s">
        <v>316</v>
      </c>
      <c>
        <v>0.255</v>
      </c>
      <c t="s">
        <v>6175</v>
      </c>
      <c t="s">
        <v>66812</v>
      </c>
      <c t="s">
        <v>26531</v>
      </c>
      <c t="s">
        <v>39994</v>
      </c>
      <c t="s">
        <v>26531</v>
      </c>
      <c t="s">
        <v>24061</v>
      </c>
      <c t="s">
        <v>53675</v>
      </c>
      <c t="s">
        <v>2517</v>
      </c>
      <c t="s">
        <v>39289</v>
      </c>
      <c>
        <v>33909</v>
      </c>
      <c t="s">
        <v>63468</v>
      </c>
      <c t="s">
        <v>48794</v>
      </c>
      <c t="s">
        <v>2820</v>
      </c>
      <c>
        <v>81</v>
      </c>
      <c r="AI938" t="s">
        <v>10990</v>
      </c>
      <c t="s">
        <v>45393</v>
      </c>
      <c r="AL938" t="s">
        <v>26023</v>
      </c>
      <c r="AN938" t="s">
        <v>26016</v>
      </c>
      <c t="s">
        <v>58537</v>
      </c>
      <c t="s">
        <v>31626</v>
      </c>
      <c t="s">
        <v>3093</v>
      </c>
      <c t="s">
        <v>17500</v>
      </c>
    </row>
    <row>
      <c t="s">
        <v>17594</v>
      </c>
      <c t="s">
        <v>48477</v>
      </c>
      <c t="s">
        <v>18601</v>
      </c>
      <c t="s">
        <v>39878</v>
      </c>
      <c t="s">
        <v>58198</v>
      </c>
      <c s="3">
        <v>27651</v>
      </c>
      <c s="3">
        <v>27651</v>
      </c>
      <c s="3">
        <v>14078</v>
      </c>
      <c>
        <v>0</v>
      </c>
      <c s="3">
        <v>0</v>
      </c>
      <c s="3">
        <v>672.25</v>
      </c>
      <c s="3">
        <v>27651</v>
      </c>
      <c r="O939" s="1" t="str">
        <f ca="1">HYPERLINK("https://web.datatree.com/?/property?propertyId=32286803", "https://web.datatree.com/?/property?propertyId=32286803")</f>
        <v>https://web.datatree.com/?/property?propertyId=32286803</v>
      </c>
      <c r="Q939" t="s">
        <v>316</v>
      </c>
      <c>
        <v>0.23</v>
      </c>
      <c t="s">
        <v>22490</v>
      </c>
      <c t="s">
        <v>59963</v>
      </c>
      <c t="s">
        <v>7636</v>
      </c>
      <c r="X939" t="s">
        <v>45759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23256</v>
      </c>
      <c>
        <v>29</v>
      </c>
      <c r="AI939" t="s">
        <v>11941</v>
      </c>
      <c t="s">
        <v>45393</v>
      </c>
      <c r="AL939" t="s">
        <v>2916</v>
      </c>
      <c r="AN939" t="s">
        <v>27747</v>
      </c>
      <c>
        <v>1773</v>
      </c>
      <c r="AR939" t="s">
        <v>30818</v>
      </c>
    </row>
    <row>
      <c t="s">
        <v>17594</v>
      </c>
      <c t="s">
        <v>16555</v>
      </c>
      <c t="s">
        <v>17587</v>
      </c>
      <c t="s">
        <v>13161</v>
      </c>
      <c t="s">
        <v>54704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940" s="1" t="str">
        <f ca="1">HYPERLINK("https://web.datatree.com/?/property?propertyId=32287122", "https://web.datatree.com/?/property?propertyId=32287122")</f>
        <v>https://web.datatree.com/?/property?propertyId=32287122</v>
      </c>
      <c r="Q940" t="s">
        <v>316</v>
      </c>
      <c>
        <v>0.23</v>
      </c>
      <c t="s">
        <v>54449</v>
      </c>
      <c t="s">
        <v>49272</v>
      </c>
      <c t="s">
        <v>44893</v>
      </c>
      <c r="X940" t="s">
        <v>13323</v>
      </c>
      <c t="s">
        <v>39777</v>
      </c>
      <c t="s">
        <v>2517</v>
      </c>
      <c t="s">
        <v>39289</v>
      </c>
      <c>
        <v>33909</v>
      </c>
      <c t="s">
        <v>40003</v>
      </c>
      <c t="s">
        <v>48794</v>
      </c>
      <c t="s">
        <v>50654</v>
      </c>
      <c>
        <v>1117</v>
      </c>
      <c r="AI940" t="s">
        <v>39934</v>
      </c>
      <c t="s">
        <v>45393</v>
      </c>
      <c r="AL940" t="s">
        <v>50455</v>
      </c>
      <c t="s">
        <v>50455</v>
      </c>
      <c t="s">
        <v>27222</v>
      </c>
      <c t="s">
        <v>45894</v>
      </c>
      <c t="s">
        <v>53476</v>
      </c>
      <c t="s">
        <v>3093</v>
      </c>
      <c t="s">
        <v>30685</v>
      </c>
    </row>
    <row>
      <c t="s">
        <v>17594</v>
      </c>
      <c t="s">
        <v>62325</v>
      </c>
      <c t="s">
        <v>45315</v>
      </c>
      <c t="s">
        <v>31926</v>
      </c>
      <c t="s">
        <v>22744</v>
      </c>
      <c s="3">
        <v>118649</v>
      </c>
      <c s="3">
        <v>118649</v>
      </c>
      <c s="3">
        <v>46200</v>
      </c>
      <c>
        <v>0</v>
      </c>
      <c s="3">
        <v>0</v>
      </c>
      <c s="3">
        <v>1187.69</v>
      </c>
      <c s="3">
        <v>118649</v>
      </c>
      <c r="O941" s="1" t="str">
        <f ca="1">HYPERLINK("https://web.datatree.com/?/property?propertyId=32287684", "https://web.datatree.com/?/property?propertyId=32287684")</f>
        <v>https://web.datatree.com/?/property?propertyId=32287684</v>
      </c>
      <c r="Q941" t="s">
        <v>316</v>
      </c>
      <c>
        <v>0.23</v>
      </c>
      <c t="s">
        <v>6175</v>
      </c>
      <c t="s">
        <v>56645</v>
      </c>
      <c t="s">
        <v>34943</v>
      </c>
      <c r="X941" t="s">
        <v>20848</v>
      </c>
      <c t="s">
        <v>62065</v>
      </c>
      <c t="s">
        <v>2517</v>
      </c>
      <c t="s">
        <v>39289</v>
      </c>
      <c>
        <v>33904</v>
      </c>
      <c t="s">
        <v>4529</v>
      </c>
      <c t="s">
        <v>48794</v>
      </c>
      <c t="s">
        <v>56012</v>
      </c>
      <c>
        <v>251</v>
      </c>
      <c r="AI941" t="s">
        <v>19249</v>
      </c>
      <c t="s">
        <v>45393</v>
      </c>
      <c r="AL941" t="s">
        <v>47701</v>
      </c>
      <c t="s">
        <v>47701</v>
      </c>
      <c t="s">
        <v>50917</v>
      </c>
      <c t="s">
        <v>13133</v>
      </c>
      <c t="s">
        <v>25140</v>
      </c>
      <c t="s">
        <v>3093</v>
      </c>
      <c t="s">
        <v>11922</v>
      </c>
    </row>
    <row>
      <c t="s">
        <v>17594</v>
      </c>
      <c t="s">
        <v>44840</v>
      </c>
      <c t="s">
        <v>16640</v>
      </c>
      <c t="s">
        <v>8688</v>
      </c>
      <c t="s">
        <v>36177</v>
      </c>
      <c s="3">
        <v>8400</v>
      </c>
      <c s="3">
        <v>8400</v>
      </c>
      <c s="3">
        <v>8400</v>
      </c>
      <c>
        <v>0</v>
      </c>
      <c s="3">
        <v>0</v>
      </c>
      <c s="3">
        <v>694.27</v>
      </c>
      <c s="3">
        <v>8400</v>
      </c>
      <c>
        <v>2021</v>
      </c>
      <c>
        <v>604.34</v>
      </c>
      <c s="1" t="str">
        <f ca="1">HYPERLINK("https://web.datatree.com/?/property?propertyId=32288037", "https://web.datatree.com/?/property?propertyId=32288037")</f>
        <v>https://web.datatree.com/?/property?propertyId=32288037</v>
      </c>
      <c r="Q942" t="s">
        <v>316</v>
      </c>
      <c>
        <v>0.238</v>
      </c>
      <c t="s">
        <v>22490</v>
      </c>
      <c t="s">
        <v>20370</v>
      </c>
      <c t="s">
        <v>14013</v>
      </c>
      <c t="s">
        <v>10630</v>
      </c>
      <c t="s">
        <v>65466</v>
      </c>
      <c t="s">
        <v>5425</v>
      </c>
      <c t="s">
        <v>2619</v>
      </c>
      <c t="s">
        <v>2517</v>
      </c>
      <c t="s">
        <v>39289</v>
      </c>
      <c>
        <v>33909</v>
      </c>
      <c t="s">
        <v>43005</v>
      </c>
      <c t="s">
        <v>48794</v>
      </c>
      <c t="s">
        <v>46433</v>
      </c>
      <c>
        <v>3405</v>
      </c>
      <c r="AI942" t="s">
        <v>22946</v>
      </c>
      <c t="s">
        <v>45393</v>
      </c>
      <c r="AL942" t="s">
        <v>62986</v>
      </c>
      <c t="s">
        <v>62986</v>
      </c>
      <c t="s">
        <v>18236</v>
      </c>
      <c t="s">
        <v>62168</v>
      </c>
      <c t="s">
        <v>61280</v>
      </c>
      <c t="s">
        <v>3093</v>
      </c>
      <c t="s">
        <v>29335</v>
      </c>
    </row>
    <row>
      <c t="s">
        <v>17594</v>
      </c>
      <c t="s">
        <v>6790</v>
      </c>
      <c t="s">
        <v>65317</v>
      </c>
      <c t="s">
        <v>30335</v>
      </c>
      <c t="s">
        <v>14559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943" s="1" t="str">
        <f ca="1">HYPERLINK("https://web.datatree.com/?/property?propertyId=32289880", "https://web.datatree.com/?/property?propertyId=32289880")</f>
        <v>https://web.datatree.com/?/property?propertyId=32289880</v>
      </c>
      <c r="Q943" t="s">
        <v>316</v>
      </c>
      <c>
        <v>0.23</v>
      </c>
      <c t="s">
        <v>6175</v>
      </c>
      <c t="s">
        <v>1599</v>
      </c>
      <c t="s">
        <v>51792</v>
      </c>
      <c t="s">
        <v>43826</v>
      </c>
      <c t="s">
        <v>62261</v>
      </c>
      <c t="s">
        <v>22603</v>
      </c>
      <c t="s">
        <v>2626</v>
      </c>
      <c t="s">
        <v>2517</v>
      </c>
      <c t="s">
        <v>39289</v>
      </c>
      <c>
        <v>33909</v>
      </c>
      <c t="s">
        <v>12226</v>
      </c>
      <c t="s">
        <v>48794</v>
      </c>
      <c t="s">
        <v>10199</v>
      </c>
      <c>
        <v>789</v>
      </c>
      <c r="AI943" t="s">
        <v>37569</v>
      </c>
      <c t="s">
        <v>45620</v>
      </c>
      <c r="AL943" t="s">
        <v>61342</v>
      </c>
      <c r="AN943" t="s">
        <v>26016</v>
      </c>
      <c t="s">
        <v>4538</v>
      </c>
      <c t="s">
        <v>44428</v>
      </c>
      <c t="s">
        <v>3093</v>
      </c>
      <c t="s">
        <v>60200</v>
      </c>
    </row>
    <row>
      <c t="s">
        <v>17594</v>
      </c>
      <c t="s">
        <v>52592</v>
      </c>
      <c t="s">
        <v>36230</v>
      </c>
      <c t="s">
        <v>27852</v>
      </c>
      <c t="s">
        <v>22959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944" s="1" t="str">
        <f ca="1">HYPERLINK("https://web.datatree.com/?/property?propertyId=32290081", "https://web.datatree.com/?/property?propertyId=32290081")</f>
        <v>https://web.datatree.com/?/property?propertyId=32290081</v>
      </c>
      <c r="Q944" t="s">
        <v>316</v>
      </c>
      <c>
        <v>0.23</v>
      </c>
      <c t="s">
        <v>6175</v>
      </c>
      <c t="s">
        <v>58699</v>
      </c>
      <c t="s">
        <v>31565</v>
      </c>
      <c r="X944" t="s">
        <v>2489</v>
      </c>
      <c t="s">
        <v>10653</v>
      </c>
      <c t="s">
        <v>2517</v>
      </c>
      <c t="s">
        <v>39289</v>
      </c>
      <c>
        <v>33909</v>
      </c>
      <c t="s">
        <v>12165</v>
      </c>
      <c t="s">
        <v>48794</v>
      </c>
      <c t="s">
        <v>64869</v>
      </c>
      <c>
        <v>3633</v>
      </c>
      <c r="AI944" t="s">
        <v>59373</v>
      </c>
      <c t="s">
        <v>24900</v>
      </c>
      <c r="AL944" t="s">
        <v>54654</v>
      </c>
      <c r="AN944" t="s">
        <v>50917</v>
      </c>
      <c t="s">
        <v>41223</v>
      </c>
      <c t="s">
        <v>1951</v>
      </c>
      <c t="s">
        <v>3093</v>
      </c>
      <c t="s">
        <v>22371</v>
      </c>
    </row>
    <row>
      <c t="s">
        <v>17594</v>
      </c>
      <c t="s">
        <v>36729</v>
      </c>
      <c t="s">
        <v>22872</v>
      </c>
      <c t="s">
        <v>23278</v>
      </c>
      <c t="s">
        <v>16614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>
        <v>2021</v>
      </c>
      <c>
        <v>543.71</v>
      </c>
      <c s="1" t="str">
        <f ca="1">HYPERLINK("https://web.datatree.com/?/property?propertyId=32290105", "https://web.datatree.com/?/property?propertyId=32290105")</f>
        <v>https://web.datatree.com/?/property?propertyId=32290105</v>
      </c>
      <c r="Q945" t="s">
        <v>316</v>
      </c>
      <c>
        <v>0.236</v>
      </c>
      <c t="s">
        <v>22490</v>
      </c>
      <c t="s">
        <v>44541</v>
      </c>
      <c t="s">
        <v>10165</v>
      </c>
      <c r="X945" t="s">
        <v>17301</v>
      </c>
      <c t="s">
        <v>53675</v>
      </c>
      <c t="s">
        <v>2517</v>
      </c>
      <c t="s">
        <v>39289</v>
      </c>
      <c>
        <v>33909</v>
      </c>
      <c t="s">
        <v>3381</v>
      </c>
      <c t="s">
        <v>48794</v>
      </c>
      <c t="s">
        <v>63027</v>
      </c>
      <c>
        <v>182</v>
      </c>
      <c r="AI945" t="s">
        <v>4547</v>
      </c>
      <c t="s">
        <v>40123</v>
      </c>
      <c r="AL945" t="s">
        <v>11498</v>
      </c>
      <c r="AN945" t="s">
        <v>10804</v>
      </c>
      <c t="s">
        <v>15694</v>
      </c>
      <c t="s">
        <v>702</v>
      </c>
      <c t="s">
        <v>3093</v>
      </c>
      <c t="s">
        <v>46778</v>
      </c>
    </row>
    <row>
      <c t="s">
        <v>17594</v>
      </c>
      <c t="s">
        <v>16749</v>
      </c>
      <c t="s">
        <v>1321</v>
      </c>
      <c t="s">
        <v>15754</v>
      </c>
      <c t="s">
        <v>40609</v>
      </c>
      <c s="3">
        <v>20002</v>
      </c>
      <c s="3">
        <v>20002</v>
      </c>
      <c s="3">
        <v>9570</v>
      </c>
      <c>
        <v>0</v>
      </c>
      <c s="3">
        <v>0</v>
      </c>
      <c s="3">
        <v>583.58</v>
      </c>
      <c s="3">
        <v>20002</v>
      </c>
      <c r="O946" s="1" t="str">
        <f ca="1">HYPERLINK("https://web.datatree.com/?/property?propertyId=32290220", "https://web.datatree.com/?/property?propertyId=32290220")</f>
        <v>https://web.datatree.com/?/property?propertyId=32290220</v>
      </c>
      <c r="Q946" t="s">
        <v>316</v>
      </c>
      <c>
        <v>0.23</v>
      </c>
      <c t="s">
        <v>6175</v>
      </c>
      <c r="U946" t="s">
        <v>855</v>
      </c>
      <c t="s">
        <v>43719</v>
      </c>
      <c t="s">
        <v>5832</v>
      </c>
      <c t="s">
        <v>732</v>
      </c>
      <c t="s">
        <v>22731</v>
      </c>
      <c t="s">
        <v>2517</v>
      </c>
      <c t="s">
        <v>39289</v>
      </c>
      <c>
        <v>33909</v>
      </c>
      <c t="s">
        <v>37114</v>
      </c>
      <c t="s">
        <v>48794</v>
      </c>
      <c t="s">
        <v>30329</v>
      </c>
      <c>
        <v>6900</v>
      </c>
      <c r="AI946" t="s">
        <v>42233</v>
      </c>
      <c t="s">
        <v>31192</v>
      </c>
      <c>
        <v>603</v>
      </c>
      <c t="s">
        <v>38297</v>
      </c>
      <c r="AN946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50380</v>
      </c>
      <c t="s">
        <v>11370</v>
      </c>
      <c t="s">
        <v>16619</v>
      </c>
      <c t="s">
        <v>1138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947" s="1" t="str">
        <f ca="1">HYPERLINK("https://web.datatree.com/?/property?propertyId=32291315", "https://web.datatree.com/?/property?propertyId=32291315")</f>
        <v>https://web.datatree.com/?/property?propertyId=32291315</v>
      </c>
      <c r="Q947" t="s">
        <v>316</v>
      </c>
      <c>
        <v>0.23</v>
      </c>
      <c t="s">
        <v>6175</v>
      </c>
      <c t="s">
        <v>33659</v>
      </c>
      <c t="s">
        <v>42480</v>
      </c>
      <c r="X947" t="s">
        <v>19968</v>
      </c>
      <c t="s">
        <v>23517</v>
      </c>
      <c t="s">
        <v>2517</v>
      </c>
      <c t="s">
        <v>39289</v>
      </c>
      <c>
        <v>33909</v>
      </c>
      <c t="s">
        <v>15670</v>
      </c>
      <c t="s">
        <v>48794</v>
      </c>
      <c t="s">
        <v>4246</v>
      </c>
      <c>
        <v>34765</v>
      </c>
      <c r="AI947" t="s">
        <v>65143</v>
      </c>
      <c t="s">
        <v>41372</v>
      </c>
      <c>
        <v>100</v>
      </c>
      <c t="s">
        <v>12652</v>
      </c>
      <c t="s">
        <v>12652</v>
      </c>
      <c t="s">
        <v>65451</v>
      </c>
      <c t="s">
        <v>46771</v>
      </c>
      <c t="s">
        <v>43446</v>
      </c>
      <c t="s">
        <v>3093</v>
      </c>
      <c t="s">
        <v>22572</v>
      </c>
    </row>
    <row>
      <c t="s">
        <v>17594</v>
      </c>
      <c t="s">
        <v>59076</v>
      </c>
      <c t="s">
        <v>47226</v>
      </c>
      <c t="s">
        <v>7560</v>
      </c>
      <c t="s">
        <v>63959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948" s="1" t="str">
        <f ca="1">HYPERLINK("https://web.datatree.com/?/property?propertyId=32291578", "https://web.datatree.com/?/property?propertyId=32291578")</f>
        <v>https://web.datatree.com/?/property?propertyId=32291578</v>
      </c>
      <c r="Q948" t="s">
        <v>316</v>
      </c>
      <c>
        <v>0.23</v>
      </c>
      <c t="s">
        <v>45031</v>
      </c>
      <c t="s">
        <v>55147</v>
      </c>
      <c t="s">
        <v>7714</v>
      </c>
      <c t="s">
        <v>66235</v>
      </c>
      <c t="s">
        <v>15358</v>
      </c>
      <c t="s">
        <v>15915</v>
      </c>
      <c t="s">
        <v>39082</v>
      </c>
      <c t="s">
        <v>2517</v>
      </c>
      <c t="s">
        <v>39289</v>
      </c>
      <c>
        <v>33909</v>
      </c>
      <c t="s">
        <v>44514</v>
      </c>
      <c t="s">
        <v>48794</v>
      </c>
      <c t="s">
        <v>30290</v>
      </c>
      <c>
        <v>73</v>
      </c>
      <c r="AI948" t="s">
        <v>64748</v>
      </c>
      <c t="s">
        <v>24900</v>
      </c>
      <c r="AL948" t="s">
        <v>4336</v>
      </c>
      <c r="AN948" t="s">
        <v>50917</v>
      </c>
      <c t="s">
        <v>29453</v>
      </c>
      <c t="s">
        <v>42082</v>
      </c>
      <c t="s">
        <v>3093</v>
      </c>
      <c t="s">
        <v>49915</v>
      </c>
    </row>
    <row>
      <c t="s">
        <v>17594</v>
      </c>
      <c t="s">
        <v>23900</v>
      </c>
      <c t="s">
        <v>12976</v>
      </c>
      <c t="s">
        <v>35265</v>
      </c>
      <c t="s">
        <v>23485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949" s="1" t="str">
        <f ca="1">HYPERLINK("https://web.datatree.com/?/property?propertyId=32291630", "https://web.datatree.com/?/property?propertyId=32291630")</f>
        <v>https://web.datatree.com/?/property?propertyId=32291630</v>
      </c>
      <c r="Q949" t="s">
        <v>316</v>
      </c>
      <c>
        <v>0.237</v>
      </c>
      <c t="s">
        <v>5471</v>
      </c>
      <c t="s">
        <v>47922</v>
      </c>
      <c t="s">
        <v>10269</v>
      </c>
      <c t="s">
        <v>39635</v>
      </c>
      <c t="s">
        <v>10269</v>
      </c>
      <c t="s">
        <v>33141</v>
      </c>
      <c t="s">
        <v>20199</v>
      </c>
      <c t="s">
        <v>65059</v>
      </c>
      <c t="s">
        <v>39289</v>
      </c>
      <c>
        <v>33905</v>
      </c>
      <c t="s">
        <v>59368</v>
      </c>
      <c t="s">
        <v>48794</v>
      </c>
      <c t="s">
        <v>47435</v>
      </c>
      <c>
        <v>3312</v>
      </c>
      <c r="AI949" t="s">
        <v>25273</v>
      </c>
      <c t="s">
        <v>31192</v>
      </c>
      <c r="AL949" t="s">
        <v>5193</v>
      </c>
      <c r="AN949" t="s">
        <v>65467</v>
      </c>
      <c t="s">
        <v>12436</v>
      </c>
      <c t="s">
        <v>19978</v>
      </c>
      <c t="s">
        <v>3093</v>
      </c>
      <c t="s">
        <v>53601</v>
      </c>
    </row>
    <row>
      <c t="s">
        <v>17594</v>
      </c>
      <c t="s">
        <v>62374</v>
      </c>
      <c t="s">
        <v>2633</v>
      </c>
      <c t="s">
        <v>45105</v>
      </c>
      <c t="s">
        <v>16567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950" s="1" t="str">
        <f ca="1">HYPERLINK("https://web.datatree.com/?/property?propertyId=32292169", "https://web.datatree.com/?/property?propertyId=32292169")</f>
        <v>https://web.datatree.com/?/property?propertyId=32292169</v>
      </c>
      <c r="Q950" t="s">
        <v>316</v>
      </c>
      <c>
        <v>0.23</v>
      </c>
      <c t="s">
        <v>6175</v>
      </c>
      <c t="s">
        <v>3293</v>
      </c>
      <c t="s">
        <v>1898</v>
      </c>
      <c t="s">
        <v>33720</v>
      </c>
      <c t="s">
        <v>1898</v>
      </c>
      <c t="s">
        <v>36461</v>
      </c>
      <c t="s">
        <v>34731</v>
      </c>
      <c t="s">
        <v>2517</v>
      </c>
      <c t="s">
        <v>39289</v>
      </c>
      <c>
        <v>33909</v>
      </c>
      <c t="s">
        <v>18246</v>
      </c>
      <c t="s">
        <v>48794</v>
      </c>
      <c t="s">
        <v>26935</v>
      </c>
      <c>
        <v>19</v>
      </c>
      <c r="AI950" t="s">
        <v>51665</v>
      </c>
      <c t="s">
        <v>24900</v>
      </c>
      <c r="AL950" t="s">
        <v>24288</v>
      </c>
      <c r="AN950" t="s">
        <v>50917</v>
      </c>
      <c t="s">
        <v>7317</v>
      </c>
      <c t="s">
        <v>33029</v>
      </c>
      <c t="s">
        <v>3093</v>
      </c>
      <c t="s">
        <v>3396</v>
      </c>
    </row>
    <row>
      <c t="s">
        <v>17594</v>
      </c>
      <c t="s">
        <v>19739</v>
      </c>
      <c t="s">
        <v>31362</v>
      </c>
      <c t="s">
        <v>56474</v>
      </c>
      <c t="s">
        <v>5891</v>
      </c>
      <c s="3">
        <v>16840</v>
      </c>
      <c s="3">
        <v>16840</v>
      </c>
      <c s="3">
        <v>16840</v>
      </c>
      <c>
        <v>0</v>
      </c>
      <c s="3">
        <v>0</v>
      </c>
      <c s="3">
        <v>640.46</v>
      </c>
      <c s="3">
        <v>16840</v>
      </c>
      <c r="O951" s="1" t="str">
        <f ca="1">HYPERLINK("https://web.datatree.com/?/property?propertyId=32293008", "https://web.datatree.com/?/property?propertyId=32293008")</f>
        <v>https://web.datatree.com/?/property?propertyId=32293008</v>
      </c>
      <c r="Q951" t="s">
        <v>316</v>
      </c>
      <c>
        <v>0.23</v>
      </c>
      <c t="s">
        <v>33269</v>
      </c>
      <c t="s">
        <v>64030</v>
      </c>
      <c t="s">
        <v>50588</v>
      </c>
      <c r="X951" t="s">
        <v>44799</v>
      </c>
      <c t="s">
        <v>66701</v>
      </c>
      <c t="s">
        <v>2517</v>
      </c>
      <c t="s">
        <v>39289</v>
      </c>
      <c>
        <v>33909</v>
      </c>
      <c t="s">
        <v>35111</v>
      </c>
      <c t="s">
        <v>48794</v>
      </c>
      <c t="s">
        <v>51299</v>
      </c>
      <c>
        <v>7013</v>
      </c>
      <c r="AI951" t="s">
        <v>39832</v>
      </c>
      <c t="s">
        <v>55842</v>
      </c>
      <c r="AL951" t="s">
        <v>29515</v>
      </c>
      <c t="s">
        <v>29515</v>
      </c>
      <c t="s">
        <v>39289</v>
      </c>
      <c t="s">
        <v>40735</v>
      </c>
      <c t="s">
        <v>22152</v>
      </c>
      <c t="s">
        <v>3093</v>
      </c>
      <c t="s">
        <v>45211</v>
      </c>
    </row>
    <row>
      <c t="s">
        <v>17594</v>
      </c>
      <c t="s">
        <v>20863</v>
      </c>
      <c t="s">
        <v>44482</v>
      </c>
      <c t="s">
        <v>55110</v>
      </c>
      <c t="s">
        <v>2954</v>
      </c>
      <c s="3">
        <v>24937</v>
      </c>
      <c s="3">
        <v>24937</v>
      </c>
      <c s="3">
        <v>9079</v>
      </c>
      <c>
        <v>0</v>
      </c>
      <c s="3">
        <v>0</v>
      </c>
      <c s="3">
        <v>2977.63</v>
      </c>
      <c s="3">
        <v>24937</v>
      </c>
      <c r="O952" s="1" t="str">
        <f ca="1">HYPERLINK("https://web.datatree.com/?/property?propertyId=32293318", "https://web.datatree.com/?/property?propertyId=32293318")</f>
        <v>https://web.datatree.com/?/property?propertyId=32293318</v>
      </c>
      <c r="Q952" t="s">
        <v>316</v>
      </c>
      <c>
        <v>0.245</v>
      </c>
      <c t="s">
        <v>6175</v>
      </c>
      <c r="U952" t="s">
        <v>60444</v>
      </c>
      <c r="W952" t="s">
        <v>1779</v>
      </c>
      <c t="s">
        <v>65188</v>
      </c>
      <c t="s">
        <v>61865</v>
      </c>
      <c t="s">
        <v>2517</v>
      </c>
      <c t="s">
        <v>39289</v>
      </c>
      <c>
        <v>33909</v>
      </c>
      <c t="s">
        <v>58513</v>
      </c>
      <c t="s">
        <v>48794</v>
      </c>
      <c t="s">
        <v>54906</v>
      </c>
      <c>
        <v>1428</v>
      </c>
      <c r="AI952" t="s">
        <v>26714</v>
      </c>
      <c t="s">
        <v>24900</v>
      </c>
      <c r="AL952" t="s">
        <v>49335</v>
      </c>
      <c t="s">
        <v>49335</v>
      </c>
      <c t="s">
        <v>65451</v>
      </c>
      <c t="s">
        <v>4322</v>
      </c>
      <c t="s">
        <v>12241</v>
      </c>
      <c t="s">
        <v>3093</v>
      </c>
      <c t="s">
        <v>6475</v>
      </c>
    </row>
    <row>
      <c t="s">
        <v>17594</v>
      </c>
      <c t="s">
        <v>49072</v>
      </c>
      <c t="s">
        <v>64978</v>
      </c>
      <c t="s">
        <v>15573</v>
      </c>
      <c t="s">
        <v>26213</v>
      </c>
      <c s="3">
        <v>18020</v>
      </c>
      <c s="3">
        <v>18020</v>
      </c>
      <c s="3">
        <v>8360</v>
      </c>
      <c>
        <v>0</v>
      </c>
      <c s="3">
        <v>0</v>
      </c>
      <c s="3">
        <v>577.67</v>
      </c>
      <c s="3">
        <v>18020</v>
      </c>
      <c r="O953" s="1" t="str">
        <f ca="1">HYPERLINK("https://web.datatree.com/?/property?propertyId=32293621", "https://web.datatree.com/?/property?propertyId=32293621")</f>
        <v>https://web.datatree.com/?/property?propertyId=32293621</v>
      </c>
      <c r="Q953" t="s">
        <v>316</v>
      </c>
      <c>
        <v>0.258</v>
      </c>
      <c t="s">
        <v>6175</v>
      </c>
      <c t="s">
        <v>50992</v>
      </c>
      <c t="s">
        <v>34349</v>
      </c>
      <c r="X953" t="s">
        <v>55381</v>
      </c>
      <c t="s">
        <v>49122</v>
      </c>
      <c t="s">
        <v>2517</v>
      </c>
      <c t="s">
        <v>39289</v>
      </c>
      <c>
        <v>33909</v>
      </c>
      <c t="s">
        <v>11700</v>
      </c>
      <c t="s">
        <v>48794</v>
      </c>
      <c t="s">
        <v>4177</v>
      </c>
      <c>
        <v>9716</v>
      </c>
      <c r="AI953" t="s">
        <v>64208</v>
      </c>
      <c t="s">
        <v>40123</v>
      </c>
      <c r="AL953" t="s">
        <v>60853</v>
      </c>
      <c r="AN953" t="s">
        <v>65467</v>
      </c>
      <c t="s">
        <v>43798</v>
      </c>
      <c t="s">
        <v>34025</v>
      </c>
      <c t="s">
        <v>3093</v>
      </c>
      <c t="s">
        <v>61405</v>
      </c>
    </row>
    <row>
      <c t="s">
        <v>17594</v>
      </c>
      <c t="s">
        <v>7263</v>
      </c>
      <c t="s">
        <v>53603</v>
      </c>
      <c t="s">
        <v>64240</v>
      </c>
      <c t="s">
        <v>42782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 r="O954" s="1" t="str">
        <f ca="1">HYPERLINK("https://web.datatree.com/?/property?propertyId=32295246", "https://web.datatree.com/?/property?propertyId=32295246")</f>
        <v>https://web.datatree.com/?/property?propertyId=32295246</v>
      </c>
      <c r="Q954" t="s">
        <v>316</v>
      </c>
      <c>
        <v>0.344</v>
      </c>
      <c t="s">
        <v>6175</v>
      </c>
      <c r="U954" t="s">
        <v>50863</v>
      </c>
      <c r="W954" t="s">
        <v>3720</v>
      </c>
      <c t="s">
        <v>34709</v>
      </c>
      <c t="s">
        <v>61865</v>
      </c>
      <c t="s">
        <v>2517</v>
      </c>
      <c t="s">
        <v>39289</v>
      </c>
      <c>
        <v>33909</v>
      </c>
      <c t="s">
        <v>38112</v>
      </c>
      <c t="s">
        <v>48794</v>
      </c>
      <c t="s">
        <v>14486</v>
      </c>
      <c>
        <v>8655</v>
      </c>
      <c r="AI954" t="s">
        <v>35433</v>
      </c>
      <c t="s">
        <v>30533</v>
      </c>
      <c r="AL954" t="s">
        <v>216</v>
      </c>
      <c r="AN954" t="s">
        <v>66651</v>
      </c>
      <c t="s">
        <v>13623</v>
      </c>
      <c t="s">
        <v>62830</v>
      </c>
      <c t="s">
        <v>3093</v>
      </c>
      <c t="s">
        <v>37454</v>
      </c>
    </row>
    <row>
      <c t="s">
        <v>17594</v>
      </c>
      <c t="s">
        <v>56935</v>
      </c>
      <c t="s">
        <v>63842</v>
      </c>
      <c t="s">
        <v>65507</v>
      </c>
      <c t="s">
        <v>22481</v>
      </c>
      <c s="3">
        <v>22874</v>
      </c>
      <c s="3">
        <v>22874</v>
      </c>
      <c s="3">
        <v>9433</v>
      </c>
      <c>
        <v>0</v>
      </c>
      <c s="3">
        <v>0</v>
      </c>
      <c s="3">
        <v>414.38</v>
      </c>
      <c s="3">
        <v>22874</v>
      </c>
      <c r="O955" s="1" t="str">
        <f ca="1">HYPERLINK("https://web.datatree.com/?/property?propertyId=32296080", "https://web.datatree.com/?/property?propertyId=32296080")</f>
        <v>https://web.datatree.com/?/property?propertyId=32296080</v>
      </c>
      <c r="Q955" t="s">
        <v>316</v>
      </c>
      <c>
        <v>0.235</v>
      </c>
      <c t="s">
        <v>5471</v>
      </c>
      <c t="s">
        <v>31882</v>
      </c>
      <c t="s">
        <v>2479</v>
      </c>
      <c r="X955" t="s">
        <v>12466</v>
      </c>
      <c t="s">
        <v>12246</v>
      </c>
      <c t="s">
        <v>65059</v>
      </c>
      <c t="s">
        <v>39289</v>
      </c>
      <c>
        <v>33905</v>
      </c>
      <c t="s">
        <v>56830</v>
      </c>
      <c t="s">
        <v>48794</v>
      </c>
      <c t="s">
        <v>46873</v>
      </c>
      <c>
        <v>1213</v>
      </c>
      <c r="AI955" t="s">
        <v>2619</v>
      </c>
      <c t="s">
        <v>45393</v>
      </c>
      <c>
        <v>197</v>
      </c>
      <c t="s">
        <v>19286</v>
      </c>
      <c r="AN955" t="s">
        <v>39289</v>
      </c>
      <c t="s">
        <v>56482</v>
      </c>
      <c t="s">
        <v>62701</v>
      </c>
      <c t="s">
        <v>3093</v>
      </c>
      <c t="s">
        <v>2940</v>
      </c>
    </row>
    <row>
      <c t="s">
        <v>17594</v>
      </c>
      <c t="s">
        <v>36710</v>
      </c>
      <c t="s">
        <v>34788</v>
      </c>
      <c t="s">
        <v>8125</v>
      </c>
      <c t="s">
        <v>22332</v>
      </c>
      <c s="3">
        <v>7700</v>
      </c>
      <c s="3">
        <v>7700</v>
      </c>
      <c s="3">
        <v>7700</v>
      </c>
      <c>
        <v>0</v>
      </c>
      <c s="3">
        <v>0</v>
      </c>
      <c s="3">
        <v>561.47</v>
      </c>
      <c s="3">
        <v>7700</v>
      </c>
      <c>
        <v>2020</v>
      </c>
      <c>
        <v>1736.76</v>
      </c>
      <c s="1" t="str">
        <f ca="1">HYPERLINK("https://web.datatree.com/?/property?propertyId=32296389", "https://web.datatree.com/?/property?propertyId=32296389")</f>
        <v>https://web.datatree.com/?/property?propertyId=32296389</v>
      </c>
      <c r="Q956" t="s">
        <v>316</v>
      </c>
      <c>
        <v>0.247</v>
      </c>
      <c t="s">
        <v>6175</v>
      </c>
      <c r="U956" t="s">
        <v>63287</v>
      </c>
      <c r="W956" t="s">
        <v>49889</v>
      </c>
      <c t="s">
        <v>7918</v>
      </c>
      <c t="s">
        <v>30928</v>
      </c>
      <c t="s">
        <v>2517</v>
      </c>
      <c t="s">
        <v>39289</v>
      </c>
      <c>
        <v>33909</v>
      </c>
      <c t="s">
        <v>36343</v>
      </c>
      <c t="s">
        <v>48794</v>
      </c>
      <c t="s">
        <v>43170</v>
      </c>
      <c>
        <v>5608</v>
      </c>
      <c r="AI956" t="s">
        <v>43978</v>
      </c>
      <c t="s">
        <v>24900</v>
      </c>
      <c r="AL956" t="s">
        <v>50373</v>
      </c>
      <c r="AN956" t="s">
        <v>17331</v>
      </c>
      <c t="s">
        <v>45134</v>
      </c>
      <c t="s">
        <v>44843</v>
      </c>
      <c t="s">
        <v>3093</v>
      </c>
      <c t="s">
        <v>28290</v>
      </c>
    </row>
    <row>
      <c t="s">
        <v>17594</v>
      </c>
      <c t="s">
        <v>48491</v>
      </c>
      <c t="s">
        <v>16444</v>
      </c>
      <c t="s">
        <v>34708</v>
      </c>
      <c t="s">
        <v>8851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957" s="1" t="str">
        <f ca="1">HYPERLINK("https://web.datatree.com/?/property?propertyId=32296412", "https://web.datatree.com/?/property?propertyId=32296412")</f>
        <v>https://web.datatree.com/?/property?propertyId=32296412</v>
      </c>
      <c r="Q957" t="s">
        <v>316</v>
      </c>
      <c>
        <v>0.243</v>
      </c>
      <c t="s">
        <v>6175</v>
      </c>
      <c t="s">
        <v>32056</v>
      </c>
      <c t="s">
        <v>28448</v>
      </c>
      <c t="s">
        <v>21670</v>
      </c>
      <c t="s">
        <v>28448</v>
      </c>
      <c t="s">
        <v>47115</v>
      </c>
      <c t="s">
        <v>13065</v>
      </c>
      <c t="s">
        <v>2517</v>
      </c>
      <c t="s">
        <v>39289</v>
      </c>
      <c>
        <v>33909</v>
      </c>
      <c t="s">
        <v>60372</v>
      </c>
      <c t="s">
        <v>48794</v>
      </c>
      <c t="s">
        <v>12272</v>
      </c>
      <c>
        <v>72</v>
      </c>
      <c r="AI957" t="s">
        <v>41284</v>
      </c>
      <c t="s">
        <v>45620</v>
      </c>
      <c r="AL957" t="s">
        <v>43474</v>
      </c>
      <c r="AN957" t="s">
        <v>27747</v>
      </c>
      <c t="s">
        <v>60864</v>
      </c>
      <c t="s">
        <v>22455</v>
      </c>
      <c t="s">
        <v>3093</v>
      </c>
      <c t="s">
        <v>6621</v>
      </c>
    </row>
    <row>
      <c t="s">
        <v>17594</v>
      </c>
      <c t="s">
        <v>14882</v>
      </c>
      <c t="s">
        <v>7820</v>
      </c>
      <c t="s">
        <v>10324</v>
      </c>
      <c t="s">
        <v>21200</v>
      </c>
      <c s="3">
        <v>38750</v>
      </c>
      <c s="3">
        <v>38750</v>
      </c>
      <c s="3">
        <v>17050</v>
      </c>
      <c>
        <v>0</v>
      </c>
      <c s="3">
        <v>0</v>
      </c>
      <c s="3">
        <v>764.36</v>
      </c>
      <c s="3">
        <v>38750</v>
      </c>
      <c r="O958" s="1" t="str">
        <f ca="1">HYPERLINK("https://web.datatree.com/?/property?propertyId=32296496", "https://web.datatree.com/?/property?propertyId=32296496")</f>
        <v>https://web.datatree.com/?/property?propertyId=32296496</v>
      </c>
      <c r="Q958" t="s">
        <v>316</v>
      </c>
      <c>
        <v>0.23</v>
      </c>
      <c t="s">
        <v>45031</v>
      </c>
      <c t="s">
        <v>35571</v>
      </c>
      <c t="s">
        <v>24508</v>
      </c>
      <c r="X958" t="s">
        <v>9166</v>
      </c>
      <c t="s">
        <v>30928</v>
      </c>
      <c t="s">
        <v>2517</v>
      </c>
      <c t="s">
        <v>39289</v>
      </c>
      <c>
        <v>33909</v>
      </c>
      <c t="s">
        <v>44122</v>
      </c>
      <c t="s">
        <v>48794</v>
      </c>
      <c t="s">
        <v>54817</v>
      </c>
      <c>
        <v>4072</v>
      </c>
      <c r="AI958" t="s">
        <v>18655</v>
      </c>
      <c t="s">
        <v>31192</v>
      </c>
      <c>
        <v>10</v>
      </c>
      <c t="s">
        <v>32381</v>
      </c>
      <c t="s">
        <v>47577</v>
      </c>
      <c t="s">
        <v>39289</v>
      </c>
      <c t="s">
        <v>50410</v>
      </c>
      <c t="s">
        <v>39566</v>
      </c>
      <c t="s">
        <v>3093</v>
      </c>
      <c t="s">
        <v>13425</v>
      </c>
    </row>
    <row>
      <c t="s">
        <v>17594</v>
      </c>
      <c t="s">
        <v>1451</v>
      </c>
      <c t="s">
        <v>17833</v>
      </c>
      <c t="s">
        <v>1965</v>
      </c>
      <c t="s">
        <v>60994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959" s="1" t="str">
        <f ca="1">HYPERLINK("https://web.datatree.com/?/property?propertyId=32296525", "https://web.datatree.com/?/property?propertyId=32296525")</f>
        <v>https://web.datatree.com/?/property?propertyId=32296525</v>
      </c>
      <c r="Q959" t="s">
        <v>316</v>
      </c>
      <c>
        <v>0.23</v>
      </c>
      <c t="s">
        <v>22490</v>
      </c>
      <c r="U959" t="s">
        <v>5438</v>
      </c>
      <c r="W959" t="s">
        <v>63219</v>
      </c>
      <c t="s">
        <v>8074</v>
      </c>
      <c t="s">
        <v>66701</v>
      </c>
      <c t="s">
        <v>2517</v>
      </c>
      <c t="s">
        <v>39289</v>
      </c>
      <c>
        <v>33909</v>
      </c>
      <c t="s">
        <v>33143</v>
      </c>
      <c t="s">
        <v>48794</v>
      </c>
      <c t="s">
        <v>18957</v>
      </c>
      <c>
        <v>8</v>
      </c>
      <c r="AI959" t="s">
        <v>37887</v>
      </c>
      <c t="s">
        <v>55842</v>
      </c>
      <c r="AL959" t="s">
        <v>56857</v>
      </c>
      <c r="AN959" t="s">
        <v>26016</v>
      </c>
      <c t="s">
        <v>34126</v>
      </c>
      <c t="s">
        <v>34162</v>
      </c>
      <c t="s">
        <v>3093</v>
      </c>
      <c t="s">
        <v>39431</v>
      </c>
    </row>
    <row>
      <c t="s">
        <v>17594</v>
      </c>
      <c t="s">
        <v>67017</v>
      </c>
      <c t="s">
        <v>50447</v>
      </c>
      <c t="s">
        <v>17384</v>
      </c>
      <c t="s">
        <v>12221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960" s="1" t="str">
        <f ca="1">HYPERLINK("https://web.datatree.com/?/property?propertyId=32296587", "https://web.datatree.com/?/property?propertyId=32296587")</f>
        <v>https://web.datatree.com/?/property?propertyId=32296587</v>
      </c>
      <c r="Q960" t="s">
        <v>316</v>
      </c>
      <c>
        <v>0.225</v>
      </c>
      <c t="s">
        <v>5471</v>
      </c>
      <c t="s">
        <v>35571</v>
      </c>
      <c t="s">
        <v>30224</v>
      </c>
      <c t="s">
        <v>21379</v>
      </c>
      <c t="s">
        <v>30224</v>
      </c>
      <c t="s">
        <v>25614</v>
      </c>
      <c t="s">
        <v>26561</v>
      </c>
      <c t="s">
        <v>65059</v>
      </c>
      <c t="s">
        <v>39289</v>
      </c>
      <c>
        <v>33905</v>
      </c>
      <c t="s">
        <v>11852</v>
      </c>
      <c t="s">
        <v>48794</v>
      </c>
      <c t="s">
        <v>62851</v>
      </c>
      <c>
        <v>350</v>
      </c>
      <c r="AI960" t="s">
        <v>52171</v>
      </c>
      <c t="s">
        <v>45393</v>
      </c>
      <c t="s">
        <v>13874</v>
      </c>
      <c t="s">
        <v>13397</v>
      </c>
      <c r="AN960" t="s">
        <v>50917</v>
      </c>
      <c t="s">
        <v>12148</v>
      </c>
      <c t="s">
        <v>25140</v>
      </c>
      <c t="s">
        <v>3093</v>
      </c>
      <c t="s">
        <v>5416</v>
      </c>
    </row>
    <row>
      <c t="s">
        <v>17594</v>
      </c>
      <c t="s">
        <v>13081</v>
      </c>
      <c t="s">
        <v>8062</v>
      </c>
      <c t="s">
        <v>30648</v>
      </c>
      <c t="s">
        <v>23415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961" s="1" t="str">
        <f ca="1">HYPERLINK("https://web.datatree.com/?/property?propertyId=32297696", "https://web.datatree.com/?/property?propertyId=32297696")</f>
        <v>https://web.datatree.com/?/property?propertyId=32297696</v>
      </c>
      <c r="Q961" t="s">
        <v>316</v>
      </c>
      <c>
        <v>0.23</v>
      </c>
      <c t="s">
        <v>22490</v>
      </c>
      <c t="s">
        <v>52880</v>
      </c>
      <c t="s">
        <v>43620</v>
      </c>
      <c r="X961" t="s">
        <v>64597</v>
      </c>
      <c t="s">
        <v>47150</v>
      </c>
      <c t="s">
        <v>2517</v>
      </c>
      <c t="s">
        <v>39289</v>
      </c>
      <c>
        <v>33909</v>
      </c>
      <c t="s">
        <v>40314</v>
      </c>
      <c t="s">
        <v>48794</v>
      </c>
      <c t="s">
        <v>22938</v>
      </c>
      <c>
        <v>3307</v>
      </c>
      <c r="AI961" t="s">
        <v>47122</v>
      </c>
      <c t="s">
        <v>45393</v>
      </c>
      <c r="AL961" t="s">
        <v>2040</v>
      </c>
      <c t="s">
        <v>13397</v>
      </c>
      <c t="s">
        <v>50917</v>
      </c>
      <c t="s">
        <v>62267</v>
      </c>
      <c t="s">
        <v>4797</v>
      </c>
      <c t="s">
        <v>3093</v>
      </c>
      <c t="s">
        <v>25591</v>
      </c>
    </row>
    <row>
      <c t="s">
        <v>17594</v>
      </c>
      <c t="s">
        <v>56140</v>
      </c>
      <c t="s">
        <v>56433</v>
      </c>
      <c t="s">
        <v>47679</v>
      </c>
      <c t="s">
        <v>45659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962" s="1" t="str">
        <f ca="1">HYPERLINK("https://web.datatree.com/?/property?propertyId=32298648", "https://web.datatree.com/?/property?propertyId=32298648")</f>
        <v>https://web.datatree.com/?/property?propertyId=32298648</v>
      </c>
      <c r="Q962" t="s">
        <v>316</v>
      </c>
      <c>
        <v>0.241</v>
      </c>
      <c t="s">
        <v>6175</v>
      </c>
      <c t="s">
        <v>42606</v>
      </c>
      <c t="s">
        <v>64480</v>
      </c>
      <c r="X962" t="s">
        <v>53988</v>
      </c>
      <c t="s">
        <v>18679</v>
      </c>
      <c t="s">
        <v>2517</v>
      </c>
      <c t="s">
        <v>39289</v>
      </c>
      <c>
        <v>33909</v>
      </c>
      <c t="s">
        <v>51106</v>
      </c>
      <c t="s">
        <v>48794</v>
      </c>
      <c t="s">
        <v>25014</v>
      </c>
      <c>
        <v>12</v>
      </c>
      <c r="AI962" t="s">
        <v>10810</v>
      </c>
      <c r="AL962" t="s">
        <v>34463</v>
      </c>
      <c t="s">
        <v>34463</v>
      </c>
      <c t="s">
        <v>14509</v>
      </c>
      <c>
        <v>6011</v>
      </c>
      <c r="AR962" t="s">
        <v>1246</v>
      </c>
    </row>
    <row>
      <c t="s">
        <v>17594</v>
      </c>
      <c t="s">
        <v>12189</v>
      </c>
      <c t="s">
        <v>45428</v>
      </c>
      <c t="s">
        <v>52752</v>
      </c>
      <c t="s">
        <v>61609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963" s="1" t="str">
        <f ca="1">HYPERLINK("https://web.datatree.com/?/property?propertyId=32299418", "https://web.datatree.com/?/property?propertyId=32299418")</f>
        <v>https://web.datatree.com/?/property?propertyId=32299418</v>
      </c>
      <c r="Q963" t="s">
        <v>316</v>
      </c>
      <c>
        <v>0.23</v>
      </c>
      <c t="s">
        <v>6175</v>
      </c>
      <c t="s">
        <v>58876</v>
      </c>
      <c t="s">
        <v>23684</v>
      </c>
      <c t="s">
        <v>39889</v>
      </c>
      <c t="s">
        <v>23684</v>
      </c>
      <c t="s">
        <v>57820</v>
      </c>
      <c t="s">
        <v>39082</v>
      </c>
      <c t="s">
        <v>2517</v>
      </c>
      <c t="s">
        <v>39289</v>
      </c>
      <c>
        <v>33909</v>
      </c>
      <c t="s">
        <v>7151</v>
      </c>
      <c t="s">
        <v>48794</v>
      </c>
      <c t="s">
        <v>12615</v>
      </c>
      <c>
        <v>190</v>
      </c>
      <c r="AH963" t="s">
        <v>15376</v>
      </c>
      <c t="s">
        <v>62691</v>
      </c>
      <c t="s">
        <v>40123</v>
      </c>
      <c r="AL963" t="s">
        <v>216</v>
      </c>
      <c t="s">
        <v>50530</v>
      </c>
      <c t="s">
        <v>66651</v>
      </c>
      <c t="s">
        <v>8677</v>
      </c>
      <c t="s">
        <v>38085</v>
      </c>
      <c t="s">
        <v>3093</v>
      </c>
      <c t="s">
        <v>47471</v>
      </c>
    </row>
    <row>
      <c t="s">
        <v>17594</v>
      </c>
      <c t="s">
        <v>63858</v>
      </c>
      <c t="s">
        <v>41764</v>
      </c>
      <c t="s">
        <v>55782</v>
      </c>
      <c t="s">
        <v>31922</v>
      </c>
      <c s="3">
        <v>19200</v>
      </c>
      <c s="3">
        <v>19200</v>
      </c>
      <c s="3">
        <v>9339</v>
      </c>
      <c>
        <v>0</v>
      </c>
      <c s="3">
        <v>0</v>
      </c>
      <c s="3">
        <v>580.03</v>
      </c>
      <c s="3">
        <v>19200</v>
      </c>
      <c r="O964" s="1" t="str">
        <f ca="1">HYPERLINK("https://web.datatree.com/?/property?propertyId=32299445", "https://web.datatree.com/?/property?propertyId=32299445")</f>
        <v>https://web.datatree.com/?/property?propertyId=32299445</v>
      </c>
      <c r="Q964" t="s">
        <v>316</v>
      </c>
      <c>
        <v>0.244</v>
      </c>
      <c t="s">
        <v>6175</v>
      </c>
      <c t="s">
        <v>1859</v>
      </c>
      <c t="s">
        <v>55459</v>
      </c>
      <c r="X964" t="s">
        <v>12511</v>
      </c>
      <c t="s">
        <v>39082</v>
      </c>
      <c t="s">
        <v>2517</v>
      </c>
      <c t="s">
        <v>39289</v>
      </c>
      <c>
        <v>33909</v>
      </c>
      <c t="s">
        <v>23098</v>
      </c>
      <c t="s">
        <v>48794</v>
      </c>
      <c t="s">
        <v>31299</v>
      </c>
      <c>
        <v>191</v>
      </c>
      <c r="AI964" t="s">
        <v>41090</v>
      </c>
      <c t="s">
        <v>31192</v>
      </c>
      <c r="AL964" t="s">
        <v>44088</v>
      </c>
      <c r="AN964" t="s">
        <v>39289</v>
      </c>
      <c>
        <v>32081</v>
      </c>
      <c t="s">
        <v>27681</v>
      </c>
      <c t="s">
        <v>3093</v>
      </c>
      <c t="s">
        <v>16351</v>
      </c>
    </row>
    <row>
      <c t="s">
        <v>17594</v>
      </c>
      <c t="s">
        <v>42289</v>
      </c>
      <c t="s">
        <v>42078</v>
      </c>
      <c t="s">
        <v>42303</v>
      </c>
      <c t="s">
        <v>56544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965" s="1" t="str">
        <f ca="1">HYPERLINK("https://web.datatree.com/?/property?propertyId=32299551", "https://web.datatree.com/?/property?propertyId=32299551")</f>
        <v>https://web.datatree.com/?/property?propertyId=32299551</v>
      </c>
      <c r="Q965" t="s">
        <v>316</v>
      </c>
      <c>
        <v>0.23</v>
      </c>
      <c t="s">
        <v>6175</v>
      </c>
      <c t="s">
        <v>59236</v>
      </c>
      <c t="s">
        <v>434</v>
      </c>
      <c r="X965" t="s">
        <v>32739</v>
      </c>
      <c t="s">
        <v>53675</v>
      </c>
      <c t="s">
        <v>2517</v>
      </c>
      <c t="s">
        <v>39289</v>
      </c>
      <c>
        <v>33909</v>
      </c>
      <c t="s">
        <v>15584</v>
      </c>
      <c t="s">
        <v>48794</v>
      </c>
      <c t="s">
        <v>37437</v>
      </c>
      <c r="AI965" t="s">
        <v>12538</v>
      </c>
      <c r="AL965" t="s">
        <v>30698</v>
      </c>
      <c r="AN965" t="s">
        <v>63985</v>
      </c>
      <c>
        <v>91056</v>
      </c>
      <c r="AR965" t="s">
        <v>31976</v>
      </c>
    </row>
    <row>
      <c t="s">
        <v>17594</v>
      </c>
      <c t="s">
        <v>59094</v>
      </c>
      <c t="s">
        <v>14063</v>
      </c>
      <c t="s">
        <v>60235</v>
      </c>
      <c t="s">
        <v>52188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966" s="1" t="str">
        <f ca="1">HYPERLINK("https://web.datatree.com/?/property?propertyId=32300002", "https://web.datatree.com/?/property?propertyId=32300002")</f>
        <v>https://web.datatree.com/?/property?propertyId=32300002</v>
      </c>
      <c r="Q966" t="s">
        <v>316</v>
      </c>
      <c>
        <v>0.23</v>
      </c>
      <c t="s">
        <v>6175</v>
      </c>
      <c t="s">
        <v>35571</v>
      </c>
      <c t="s">
        <v>42156</v>
      </c>
      <c r="X966" t="s">
        <v>64585</v>
      </c>
      <c t="s">
        <v>13065</v>
      </c>
      <c t="s">
        <v>2517</v>
      </c>
      <c t="s">
        <v>39289</v>
      </c>
      <c>
        <v>33909</v>
      </c>
      <c t="s">
        <v>20151</v>
      </c>
      <c t="s">
        <v>48794</v>
      </c>
      <c t="s">
        <v>53256</v>
      </c>
      <c>
        <v>1091</v>
      </c>
      <c r="AI966" t="s">
        <v>37783</v>
      </c>
      <c t="s">
        <v>24900</v>
      </c>
      <c r="AL966" t="s">
        <v>6365</v>
      </c>
      <c t="s">
        <v>6365</v>
      </c>
      <c t="s">
        <v>39289</v>
      </c>
      <c t="s">
        <v>31163</v>
      </c>
      <c t="s">
        <v>52393</v>
      </c>
      <c t="s">
        <v>3093</v>
      </c>
      <c t="s">
        <v>48484</v>
      </c>
    </row>
    <row>
      <c t="s">
        <v>17594</v>
      </c>
      <c t="s">
        <v>35047</v>
      </c>
      <c t="s">
        <v>65134</v>
      </c>
      <c t="s">
        <v>41321</v>
      </c>
      <c t="s">
        <v>17547</v>
      </c>
      <c s="3">
        <v>9411</v>
      </c>
      <c s="3">
        <v>9411</v>
      </c>
      <c s="3">
        <v>4972</v>
      </c>
      <c>
        <v>0</v>
      </c>
      <c s="3">
        <v>0</v>
      </c>
      <c s="3">
        <v>321.86</v>
      </c>
      <c s="3">
        <v>9411</v>
      </c>
      <c r="O967" s="1" t="str">
        <f ca="1">HYPERLINK("https://web.datatree.com/?/property?propertyId=32300251", "https://web.datatree.com/?/property?propertyId=32300251")</f>
        <v>https://web.datatree.com/?/property?propertyId=32300251</v>
      </c>
      <c r="Q967" t="s">
        <v>316</v>
      </c>
      <c>
        <v>0.284</v>
      </c>
      <c t="s">
        <v>5471</v>
      </c>
      <c t="s">
        <v>59417</v>
      </c>
      <c t="s">
        <v>11640</v>
      </c>
      <c r="X967" t="s">
        <v>3544</v>
      </c>
      <c t="s">
        <v>26561</v>
      </c>
      <c t="s">
        <v>65059</v>
      </c>
      <c t="s">
        <v>39289</v>
      </c>
      <c>
        <v>33905</v>
      </c>
      <c t="s">
        <v>11992</v>
      </c>
      <c t="s">
        <v>48794</v>
      </c>
      <c t="s">
        <v>5484</v>
      </c>
      <c>
        <v>213</v>
      </c>
      <c r="AI967" t="s">
        <v>19249</v>
      </c>
      <c t="s">
        <v>45393</v>
      </c>
      <c r="AL967" t="s">
        <v>28841</v>
      </c>
      <c t="s">
        <v>28841</v>
      </c>
      <c t="s">
        <v>39289</v>
      </c>
      <c t="s">
        <v>5118</v>
      </c>
      <c t="s">
        <v>34025</v>
      </c>
      <c t="s">
        <v>3093</v>
      </c>
      <c t="s">
        <v>5166</v>
      </c>
    </row>
    <row>
      <c t="s">
        <v>17594</v>
      </c>
      <c t="s">
        <v>30973</v>
      </c>
      <c t="s">
        <v>4159</v>
      </c>
      <c t="s">
        <v>18823</v>
      </c>
      <c t="s">
        <v>50446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968" s="1" t="str">
        <f ca="1">HYPERLINK("https://web.datatree.com/?/property?propertyId=32300387", "https://web.datatree.com/?/property?propertyId=32300387")</f>
        <v>https://web.datatree.com/?/property?propertyId=32300387</v>
      </c>
      <c r="Q968" t="s">
        <v>316</v>
      </c>
      <c>
        <v>0.244</v>
      </c>
      <c t="s">
        <v>6175</v>
      </c>
      <c t="s">
        <v>23807</v>
      </c>
      <c t="s">
        <v>47513</v>
      </c>
      <c t="s">
        <v>1765</v>
      </c>
      <c t="s">
        <v>50085</v>
      </c>
      <c t="s">
        <v>16243</v>
      </c>
      <c t="s">
        <v>13829</v>
      </c>
      <c t="s">
        <v>2517</v>
      </c>
      <c t="s">
        <v>39289</v>
      </c>
      <c>
        <v>33909</v>
      </c>
      <c t="s">
        <v>32758</v>
      </c>
      <c t="s">
        <v>48794</v>
      </c>
      <c t="s">
        <v>20448</v>
      </c>
      <c>
        <v>790</v>
      </c>
      <c r="AI968" t="s">
        <v>17072</v>
      </c>
      <c t="s">
        <v>24900</v>
      </c>
      <c>
        <v>1</v>
      </c>
      <c t="s">
        <v>8109</v>
      </c>
      <c r="AN968" t="s">
        <v>50917</v>
      </c>
      <c t="s">
        <v>41161</v>
      </c>
      <c t="s">
        <v>48506</v>
      </c>
      <c t="s">
        <v>3093</v>
      </c>
      <c t="s">
        <v>20056</v>
      </c>
    </row>
    <row>
      <c t="s">
        <v>17594</v>
      </c>
      <c t="s">
        <v>23283</v>
      </c>
      <c t="s">
        <v>39642</v>
      </c>
      <c t="s">
        <v>47856</v>
      </c>
      <c t="s">
        <v>11023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969" s="1" t="str">
        <f ca="1">HYPERLINK("https://web.datatree.com/?/property?propertyId=32300623", "https://web.datatree.com/?/property?propertyId=32300623")</f>
        <v>https://web.datatree.com/?/property?propertyId=32300623</v>
      </c>
      <c r="Q969" t="s">
        <v>316</v>
      </c>
      <c>
        <v>0.228</v>
      </c>
      <c t="s">
        <v>5471</v>
      </c>
      <c t="s">
        <v>60243</v>
      </c>
      <c t="s">
        <v>51458</v>
      </c>
      <c t="s">
        <v>45099</v>
      </c>
      <c t="s">
        <v>22555</v>
      </c>
      <c t="s">
        <v>58518</v>
      </c>
      <c t="s">
        <v>20307</v>
      </c>
      <c t="s">
        <v>65059</v>
      </c>
      <c t="s">
        <v>39289</v>
      </c>
      <c>
        <v>33905</v>
      </c>
      <c t="s">
        <v>9129</v>
      </c>
      <c t="s">
        <v>48794</v>
      </c>
      <c t="s">
        <v>21583</v>
      </c>
      <c>
        <v>5203</v>
      </c>
      <c r="AI969" t="s">
        <v>34815</v>
      </c>
      <c t="s">
        <v>41372</v>
      </c>
      <c r="AL969" t="s">
        <v>2040</v>
      </c>
      <c r="AN969" t="s">
        <v>50917</v>
      </c>
      <c t="s">
        <v>53726</v>
      </c>
      <c t="s">
        <v>4480</v>
      </c>
      <c t="s">
        <v>3093</v>
      </c>
      <c t="s">
        <v>11550</v>
      </c>
    </row>
    <row>
      <c t="s">
        <v>17594</v>
      </c>
      <c t="s">
        <v>58147</v>
      </c>
      <c t="s">
        <v>48820</v>
      </c>
      <c t="s">
        <v>23912</v>
      </c>
      <c t="s">
        <v>4600</v>
      </c>
      <c s="3">
        <v>19500</v>
      </c>
      <c s="3">
        <v>19500</v>
      </c>
      <c s="3">
        <v>10450</v>
      </c>
      <c>
        <v>0</v>
      </c>
      <c s="3">
        <v>0</v>
      </c>
      <c s="3">
        <v>604.32</v>
      </c>
      <c s="3">
        <v>19500</v>
      </c>
      <c r="O970" s="1" t="str">
        <f ca="1">HYPERLINK("https://web.datatree.com/?/property?propertyId=32301204", "https://web.datatree.com/?/property?propertyId=32301204")</f>
        <v>https://web.datatree.com/?/property?propertyId=32301204</v>
      </c>
      <c r="Q970" t="s">
        <v>316</v>
      </c>
      <c>
        <v>0.23</v>
      </c>
      <c t="s">
        <v>22490</v>
      </c>
      <c r="U970" t="s">
        <v>42177</v>
      </c>
      <c r="W970" t="s">
        <v>9847</v>
      </c>
      <c t="s">
        <v>66859</v>
      </c>
      <c t="s">
        <v>52171</v>
      </c>
      <c t="s">
        <v>2517</v>
      </c>
      <c t="s">
        <v>39289</v>
      </c>
      <c>
        <v>33909</v>
      </c>
      <c t="s">
        <v>8662</v>
      </c>
      <c t="s">
        <v>48794</v>
      </c>
      <c t="s">
        <v>26298</v>
      </c>
      <c>
        <v>15762</v>
      </c>
      <c r="AI970" t="s">
        <v>28104</v>
      </c>
      <c t="s">
        <v>40123</v>
      </c>
      <c r="AL970" t="s">
        <v>61005</v>
      </c>
      <c r="AN970" t="s">
        <v>51137</v>
      </c>
      <c t="s">
        <v>15211</v>
      </c>
      <c t="s">
        <v>44428</v>
      </c>
      <c t="s">
        <v>3093</v>
      </c>
      <c t="s">
        <v>55726</v>
      </c>
    </row>
    <row>
      <c t="s">
        <v>17594</v>
      </c>
      <c t="s">
        <v>48486</v>
      </c>
      <c t="s">
        <v>43253</v>
      </c>
      <c t="s">
        <v>6767</v>
      </c>
      <c t="s">
        <v>7641</v>
      </c>
      <c s="3">
        <v>7700</v>
      </c>
      <c s="3">
        <v>7700</v>
      </c>
      <c s="3">
        <v>7700</v>
      </c>
      <c>
        <v>0</v>
      </c>
      <c s="3">
        <v>0</v>
      </c>
      <c s="3">
        <v>615.41</v>
      </c>
      <c s="3">
        <v>7700</v>
      </c>
      <c r="O971" s="1" t="str">
        <f ca="1">HYPERLINK("https://web.datatree.com/?/property?propertyId=32301272", "https://web.datatree.com/?/property?propertyId=32301272")</f>
        <v>https://web.datatree.com/?/property?propertyId=32301272</v>
      </c>
      <c r="Q971" t="s">
        <v>316</v>
      </c>
      <c>
        <v>0.279</v>
      </c>
      <c t="s">
        <v>6175</v>
      </c>
      <c t="s">
        <v>32243</v>
      </c>
      <c t="s">
        <v>8599</v>
      </c>
      <c t="s">
        <v>24611</v>
      </c>
      <c t="s">
        <v>8599</v>
      </c>
      <c t="s">
        <v>24699</v>
      </c>
      <c t="s">
        <v>50440</v>
      </c>
      <c t="s">
        <v>2517</v>
      </c>
      <c t="s">
        <v>39289</v>
      </c>
      <c>
        <v>33909</v>
      </c>
      <c t="s">
        <v>26261</v>
      </c>
      <c t="s">
        <v>48794</v>
      </c>
      <c t="s">
        <v>22661</v>
      </c>
      <c>
        <v>7826</v>
      </c>
      <c r="AI971" t="s">
        <v>50440</v>
      </c>
      <c t="s">
        <v>40123</v>
      </c>
      <c t="s">
        <v>17594</v>
      </c>
      <c t="s">
        <v>4859</v>
      </c>
      <c t="s">
        <v>4859</v>
      </c>
      <c t="s">
        <v>39289</v>
      </c>
      <c t="s">
        <v>42820</v>
      </c>
      <c t="s">
        <v>864</v>
      </c>
      <c t="s">
        <v>3093</v>
      </c>
      <c t="s">
        <v>39823</v>
      </c>
    </row>
    <row>
      <c t="s">
        <v>17594</v>
      </c>
      <c t="s">
        <v>5573</v>
      </c>
      <c t="s">
        <v>34888</v>
      </c>
      <c t="s">
        <v>20109</v>
      </c>
      <c t="s">
        <v>13648</v>
      </c>
      <c s="3">
        <v>121448</v>
      </c>
      <c s="3">
        <v>121448</v>
      </c>
      <c s="3">
        <v>121448</v>
      </c>
      <c>
        <v>0</v>
      </c>
      <c s="3">
        <v>0</v>
      </c>
      <c s="3">
        <v>2363.06</v>
      </c>
      <c s="3">
        <v>121448</v>
      </c>
      <c r="O972" s="1" t="str">
        <f ca="1">HYPERLINK("https://web.datatree.com/?/property?propertyId=32302047", "https://web.datatree.com/?/property?propertyId=32302047")</f>
        <v>https://web.datatree.com/?/property?propertyId=32302047</v>
      </c>
      <c r="Q972" t="s">
        <v>316</v>
      </c>
      <c>
        <v>0.27</v>
      </c>
      <c t="s">
        <v>22490</v>
      </c>
      <c r="U972" t="s">
        <v>15792</v>
      </c>
      <c t="s">
        <v>42801</v>
      </c>
      <c t="s">
        <v>26571</v>
      </c>
      <c t="s">
        <v>40248</v>
      </c>
      <c t="s">
        <v>17022</v>
      </c>
      <c t="s">
        <v>2517</v>
      </c>
      <c t="s">
        <v>39289</v>
      </c>
      <c>
        <v>33904</v>
      </c>
      <c t="s">
        <v>60348</v>
      </c>
      <c t="s">
        <v>48794</v>
      </c>
      <c t="s">
        <v>27466</v>
      </c>
      <c>
        <v>65</v>
      </c>
      <c r="AI972" t="s">
        <v>10958</v>
      </c>
      <c t="s">
        <v>45620</v>
      </c>
      <c r="AL972" t="s">
        <v>24957</v>
      </c>
      <c t="s">
        <v>42128</v>
      </c>
      <c t="s">
        <v>14509</v>
      </c>
      <c t="s">
        <v>28797</v>
      </c>
      <c t="s">
        <v>5652</v>
      </c>
      <c t="s">
        <v>3093</v>
      </c>
      <c t="s">
        <v>22</v>
      </c>
    </row>
    <row>
      <c t="s">
        <v>17594</v>
      </c>
      <c t="s">
        <v>41741</v>
      </c>
      <c t="s">
        <v>3866</v>
      </c>
      <c t="s">
        <v>51921</v>
      </c>
      <c t="s">
        <v>40470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 r="O973" s="1" t="str">
        <f ca="1">HYPERLINK("https://web.datatree.com/?/property?propertyId=32302177", "https://web.datatree.com/?/property?propertyId=32302177")</f>
        <v>https://web.datatree.com/?/property?propertyId=32302177</v>
      </c>
      <c r="Q973" t="s">
        <v>316</v>
      </c>
      <c>
        <v>0.344</v>
      </c>
      <c t="s">
        <v>6175</v>
      </c>
      <c t="s">
        <v>9565</v>
      </c>
      <c t="s">
        <v>43690</v>
      </c>
      <c r="X973" t="s">
        <v>4999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16824</v>
      </c>
      <c>
        <v>245</v>
      </c>
      <c r="AI973" t="s">
        <v>48518</v>
      </c>
      <c t="s">
        <v>45393</v>
      </c>
      <c r="AL973" t="s">
        <v>22231</v>
      </c>
      <c r="AN973" t="s">
        <v>26016</v>
      </c>
      <c t="s">
        <v>37203</v>
      </c>
      <c t="s">
        <v>26242</v>
      </c>
      <c t="s">
        <v>3093</v>
      </c>
      <c t="s">
        <v>28093</v>
      </c>
    </row>
    <row>
      <c t="s">
        <v>17594</v>
      </c>
      <c t="s">
        <v>2448</v>
      </c>
      <c t="s">
        <v>61493</v>
      </c>
      <c t="s">
        <v>12780</v>
      </c>
      <c t="s">
        <v>39355</v>
      </c>
      <c s="3">
        <v>10600</v>
      </c>
      <c s="3">
        <v>10600</v>
      </c>
      <c s="3">
        <v>10600</v>
      </c>
      <c>
        <v>0</v>
      </c>
      <c s="3">
        <v>0</v>
      </c>
      <c s="3">
        <v>2903.98</v>
      </c>
      <c s="3">
        <v>10600</v>
      </c>
      <c r="O974" s="1" t="str">
        <f ca="1">HYPERLINK("https://web.datatree.com/?/property?propertyId=32302343", "https://web.datatree.com/?/property?propertyId=32302343")</f>
        <v>https://web.datatree.com/?/property?propertyId=32302343</v>
      </c>
      <c r="Q974" t="s">
        <v>316</v>
      </c>
      <c>
        <v>0.23</v>
      </c>
      <c t="s">
        <v>6175</v>
      </c>
      <c t="s">
        <v>64395</v>
      </c>
      <c t="s">
        <v>19806</v>
      </c>
      <c t="s">
        <v>34016</v>
      </c>
      <c t="s">
        <v>55271</v>
      </c>
      <c t="s">
        <v>28073</v>
      </c>
      <c t="s">
        <v>53675</v>
      </c>
      <c t="s">
        <v>2517</v>
      </c>
      <c t="s">
        <v>39289</v>
      </c>
      <c>
        <v>33909</v>
      </c>
      <c t="s">
        <v>47606</v>
      </c>
      <c t="s">
        <v>48794</v>
      </c>
      <c t="s">
        <v>26475</v>
      </c>
      <c>
        <v>25</v>
      </c>
      <c r="AI974" t="s">
        <v>13464</v>
      </c>
      <c t="s">
        <v>40123</v>
      </c>
      <c r="AL974" t="s">
        <v>55393</v>
      </c>
      <c t="s">
        <v>55393</v>
      </c>
      <c t="s">
        <v>39289</v>
      </c>
      <c t="s">
        <v>48694</v>
      </c>
      <c t="s">
        <v>66620</v>
      </c>
      <c t="s">
        <v>3093</v>
      </c>
      <c t="s">
        <v>24578</v>
      </c>
    </row>
    <row>
      <c t="s">
        <v>17594</v>
      </c>
      <c t="s">
        <v>12654</v>
      </c>
      <c t="s">
        <v>58998</v>
      </c>
      <c t="s">
        <v>14634</v>
      </c>
      <c t="s">
        <v>42745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975" s="1" t="str">
        <f ca="1">HYPERLINK("https://web.datatree.com/?/property?propertyId=32302831", "https://web.datatree.com/?/property?propertyId=32302831")</f>
        <v>https://web.datatree.com/?/property?propertyId=32302831</v>
      </c>
      <c r="Q975" t="s">
        <v>316</v>
      </c>
      <c>
        <v>0.23</v>
      </c>
      <c t="s">
        <v>6175</v>
      </c>
      <c t="s">
        <v>749</v>
      </c>
      <c t="s">
        <v>22376</v>
      </c>
      <c r="X975" t="s">
        <v>54376</v>
      </c>
      <c t="s">
        <v>29190</v>
      </c>
      <c t="s">
        <v>2517</v>
      </c>
      <c t="s">
        <v>39289</v>
      </c>
      <c>
        <v>33909</v>
      </c>
      <c t="s">
        <v>34047</v>
      </c>
      <c t="s">
        <v>48794</v>
      </c>
      <c t="s">
        <v>24747</v>
      </c>
      <c>
        <v>1127</v>
      </c>
      <c r="AI975" t="s">
        <v>49122</v>
      </c>
      <c t="s">
        <v>24900</v>
      </c>
      <c r="AL975" t="s">
        <v>55393</v>
      </c>
      <c r="AN975" t="s">
        <v>39289</v>
      </c>
      <c t="s">
        <v>28629</v>
      </c>
      <c t="s">
        <v>7361</v>
      </c>
      <c t="s">
        <v>3093</v>
      </c>
      <c t="s">
        <v>5752</v>
      </c>
    </row>
    <row>
      <c t="s">
        <v>17594</v>
      </c>
      <c t="s">
        <v>3016</v>
      </c>
      <c t="s">
        <v>54964</v>
      </c>
      <c t="s">
        <v>44109</v>
      </c>
      <c t="s">
        <v>55302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976" s="1" t="str">
        <f ca="1">HYPERLINK("https://web.datatree.com/?/property?propertyId=32303106", "https://web.datatree.com/?/property?propertyId=32303106")</f>
        <v>https://web.datatree.com/?/property?propertyId=32303106</v>
      </c>
      <c r="Q976" t="s">
        <v>316</v>
      </c>
      <c>
        <v>0.23</v>
      </c>
      <c t="s">
        <v>6175</v>
      </c>
      <c r="U976" t="s">
        <v>29766</v>
      </c>
      <c t="s">
        <v>16893</v>
      </c>
      <c t="s">
        <v>42926</v>
      </c>
      <c t="s">
        <v>44384</v>
      </c>
      <c t="s">
        <v>50440</v>
      </c>
      <c t="s">
        <v>2517</v>
      </c>
      <c t="s">
        <v>39289</v>
      </c>
      <c>
        <v>33909</v>
      </c>
      <c t="s">
        <v>11006</v>
      </c>
      <c t="s">
        <v>48794</v>
      </c>
      <c t="s">
        <v>61450</v>
      </c>
      <c>
        <v>4411</v>
      </c>
      <c r="AH976" t="s">
        <v>26580</v>
      </c>
      <c t="s">
        <v>10215</v>
      </c>
      <c t="s">
        <v>1671</v>
      </c>
      <c r="AL976" t="s">
        <v>48150</v>
      </c>
      <c r="AN976" t="s">
        <v>39289</v>
      </c>
      <c t="s">
        <v>28307</v>
      </c>
      <c t="s">
        <v>61719</v>
      </c>
      <c t="s">
        <v>3093</v>
      </c>
      <c t="s">
        <v>34960</v>
      </c>
    </row>
    <row>
      <c t="s">
        <v>42103</v>
      </c>
      <c t="s">
        <v>28051</v>
      </c>
      <c t="s">
        <v>46862</v>
      </c>
      <c t="s">
        <v>21942</v>
      </c>
      <c t="s">
        <v>52344</v>
      </c>
      <c s="3">
        <v>31534</v>
      </c>
      <c s="3">
        <v>31534</v>
      </c>
      <c s="3">
        <v>9079</v>
      </c>
      <c>
        <v>0</v>
      </c>
      <c s="3">
        <v>0</v>
      </c>
      <c s="3">
        <v>3166.05</v>
      </c>
      <c s="3">
        <v>31534</v>
      </c>
      <c r="O977" s="1" t="str">
        <f ca="1">HYPERLINK("https://web.datatree.com/?/property?propertyId=32303171", "https://web.datatree.com/?/property?propertyId=32303171")</f>
        <v>https://web.datatree.com/?/property?propertyId=32303171</v>
      </c>
      <c r="Q977" t="s">
        <v>316</v>
      </c>
      <c>
        <v>0.282</v>
      </c>
      <c t="s">
        <v>37741</v>
      </c>
      <c t="s">
        <v>44457</v>
      </c>
      <c t="s">
        <v>61905</v>
      </c>
      <c r="X977" t="s">
        <v>3990</v>
      </c>
      <c t="s">
        <v>25017</v>
      </c>
      <c t="s">
        <v>2517</v>
      </c>
      <c t="s">
        <v>39289</v>
      </c>
      <c>
        <v>33909</v>
      </c>
      <c t="s">
        <v>45251</v>
      </c>
      <c t="s">
        <v>48794</v>
      </c>
      <c t="s">
        <v>46590</v>
      </c>
      <c r="AI977" t="s">
        <v>64602</v>
      </c>
      <c r="AL977" t="s">
        <v>46989</v>
      </c>
      <c r="AN977" t="s">
        <v>39289</v>
      </c>
      <c t="s">
        <v>44841</v>
      </c>
      <c t="s">
        <v>1762</v>
      </c>
      <c t="s">
        <v>3093</v>
      </c>
      <c t="s">
        <v>15505</v>
      </c>
    </row>
    <row>
      <c t="s">
        <v>17594</v>
      </c>
      <c t="s">
        <v>59510</v>
      </c>
      <c t="s">
        <v>27927</v>
      </c>
      <c t="s">
        <v>60719</v>
      </c>
      <c t="s">
        <v>44550</v>
      </c>
      <c s="3">
        <v>7560</v>
      </c>
      <c s="3">
        <v>7560</v>
      </c>
      <c s="3">
        <v>7560</v>
      </c>
      <c>
        <v>0</v>
      </c>
      <c s="3">
        <v>0</v>
      </c>
      <c s="3">
        <v>609.82</v>
      </c>
      <c s="3">
        <v>7560</v>
      </c>
      <c r="O978" s="1" t="str">
        <f ca="1">HYPERLINK("https://web.datatree.com/?/property?propertyId=32303682", "https://web.datatree.com/?/property?propertyId=32303682")</f>
        <v>https://web.datatree.com/?/property?propertyId=32303682</v>
      </c>
      <c r="Q978" t="s">
        <v>316</v>
      </c>
      <c>
        <v>0.364</v>
      </c>
      <c t="s">
        <v>6175</v>
      </c>
      <c t="s">
        <v>12695</v>
      </c>
      <c t="s">
        <v>38635</v>
      </c>
      <c t="s">
        <v>48468</v>
      </c>
      <c t="s">
        <v>38635</v>
      </c>
      <c t="s">
        <v>585</v>
      </c>
      <c t="s">
        <v>34136</v>
      </c>
      <c t="s">
        <v>2517</v>
      </c>
      <c t="s">
        <v>39289</v>
      </c>
      <c>
        <v>33909</v>
      </c>
      <c t="s">
        <v>65334</v>
      </c>
      <c t="s">
        <v>48794</v>
      </c>
      <c t="s">
        <v>8131</v>
      </c>
      <c>
        <v>14</v>
      </c>
      <c r="AI978" t="s">
        <v>24145</v>
      </c>
      <c r="AL978" t="s">
        <v>20938</v>
      </c>
      <c t="s">
        <v>20938</v>
      </c>
      <c t="s">
        <v>27747</v>
      </c>
      <c>
        <v>1470</v>
      </c>
      <c r="AR978" t="s">
        <v>3851</v>
      </c>
    </row>
    <row>
      <c t="s">
        <v>17594</v>
      </c>
      <c t="s">
        <v>17529</v>
      </c>
      <c t="s">
        <v>60321</v>
      </c>
      <c t="s">
        <v>17552</v>
      </c>
      <c t="s">
        <v>46664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>
        <v>2021</v>
      </c>
      <c>
        <v>355.82</v>
      </c>
      <c s="1" t="str">
        <f ca="1">HYPERLINK("https://web.datatree.com/?/property?propertyId=32303726", "https://web.datatree.com/?/property?propertyId=32303726")</f>
        <v>https://web.datatree.com/?/property?propertyId=32303726</v>
      </c>
      <c r="Q979" t="s">
        <v>316</v>
      </c>
      <c>
        <v>0.284</v>
      </c>
      <c t="s">
        <v>5471</v>
      </c>
      <c t="s">
        <v>552</v>
      </c>
      <c t="s">
        <v>20807</v>
      </c>
      <c t="s">
        <v>64355</v>
      </c>
      <c t="s">
        <v>20807</v>
      </c>
      <c t="s">
        <v>45043</v>
      </c>
      <c t="s">
        <v>19611</v>
      </c>
      <c t="s">
        <v>65059</v>
      </c>
      <c t="s">
        <v>39289</v>
      </c>
      <c>
        <v>33905</v>
      </c>
      <c t="s">
        <v>61387</v>
      </c>
      <c t="s">
        <v>48794</v>
      </c>
      <c t="s">
        <v>61997</v>
      </c>
      <c>
        <v>15019</v>
      </c>
      <c r="AI979" t="s">
        <v>34936</v>
      </c>
      <c t="s">
        <v>45393</v>
      </c>
      <c r="AL979" t="s">
        <v>51262</v>
      </c>
      <c r="AN979" t="s">
        <v>65451</v>
      </c>
      <c t="s">
        <v>3897</v>
      </c>
      <c t="s">
        <v>17380</v>
      </c>
      <c t="s">
        <v>3093</v>
      </c>
      <c t="s">
        <v>48752</v>
      </c>
    </row>
    <row>
      <c t="s">
        <v>17594</v>
      </c>
      <c t="s">
        <v>11397</v>
      </c>
      <c t="s">
        <v>28007</v>
      </c>
      <c t="s">
        <v>39307</v>
      </c>
      <c t="s">
        <v>8278</v>
      </c>
      <c s="3">
        <v>23969</v>
      </c>
      <c s="3">
        <v>23969</v>
      </c>
      <c s="3">
        <v>15180</v>
      </c>
      <c>
        <v>0</v>
      </c>
      <c s="3">
        <v>0</v>
      </c>
      <c s="3">
        <v>799.58</v>
      </c>
      <c s="3">
        <v>23969</v>
      </c>
      <c r="O980" s="1" t="str">
        <f ca="1">HYPERLINK("https://web.datatree.com/?/property?propertyId=32304704", "https://web.datatree.com/?/property?propertyId=32304704")</f>
        <v>https://web.datatree.com/?/property?propertyId=32304704</v>
      </c>
      <c r="Q980" t="s">
        <v>316</v>
      </c>
      <c>
        <v>0.344</v>
      </c>
      <c t="s">
        <v>58725</v>
      </c>
      <c t="s">
        <v>35571</v>
      </c>
      <c t="s">
        <v>66516</v>
      </c>
      <c r="X980" t="s">
        <v>21274</v>
      </c>
      <c t="s">
        <v>39082</v>
      </c>
      <c t="s">
        <v>2517</v>
      </c>
      <c t="s">
        <v>39289</v>
      </c>
      <c>
        <v>33909</v>
      </c>
      <c t="s">
        <v>4264</v>
      </c>
      <c t="s">
        <v>48794</v>
      </c>
      <c t="s">
        <v>12713</v>
      </c>
      <c>
        <v>237</v>
      </c>
      <c r="AI980" t="s">
        <v>65944</v>
      </c>
      <c t="s">
        <v>45620</v>
      </c>
      <c r="AL980" t="s">
        <v>2704</v>
      </c>
      <c r="AN980" t="s">
        <v>27747</v>
      </c>
      <c t="s">
        <v>33474</v>
      </c>
      <c t="s">
        <v>52247</v>
      </c>
      <c t="s">
        <v>3093</v>
      </c>
      <c t="s">
        <v>22043</v>
      </c>
    </row>
    <row>
      <c t="s">
        <v>17594</v>
      </c>
      <c t="s">
        <v>30640</v>
      </c>
      <c t="s">
        <v>31056</v>
      </c>
      <c t="s">
        <v>23395</v>
      </c>
      <c t="s">
        <v>59688</v>
      </c>
      <c s="3">
        <v>7500</v>
      </c>
      <c s="3">
        <v>7500</v>
      </c>
      <c s="3">
        <v>7500</v>
      </c>
      <c>
        <v>0</v>
      </c>
      <c s="3">
        <v>0</v>
      </c>
      <c s="3">
        <v>543.05</v>
      </c>
      <c s="3">
        <v>7500</v>
      </c>
      <c r="O981" s="1" t="str">
        <f ca="1">HYPERLINK("https://web.datatree.com/?/property?propertyId=32305354", "https://web.datatree.com/?/property?propertyId=32305354")</f>
        <v>https://web.datatree.com/?/property?propertyId=32305354</v>
      </c>
      <c r="Q981" t="s">
        <v>316</v>
      </c>
      <c>
        <v>0.23</v>
      </c>
      <c t="s">
        <v>6175</v>
      </c>
      <c t="s">
        <v>61272</v>
      </c>
      <c t="s">
        <v>9592</v>
      </c>
      <c t="s">
        <v>39094</v>
      </c>
      <c t="s">
        <v>9592</v>
      </c>
      <c t="s">
        <v>58332</v>
      </c>
      <c t="s">
        <v>5115</v>
      </c>
      <c t="s">
        <v>2517</v>
      </c>
      <c t="s">
        <v>39289</v>
      </c>
      <c>
        <v>33909</v>
      </c>
      <c t="s">
        <v>61100</v>
      </c>
      <c t="s">
        <v>48794</v>
      </c>
      <c t="s">
        <v>54264</v>
      </c>
      <c>
        <v>6</v>
      </c>
      <c r="AI981" t="s">
        <v>33694</v>
      </c>
      <c t="s">
        <v>41372</v>
      </c>
      <c r="AL981" t="s">
        <v>56619</v>
      </c>
      <c r="AN981" t="s">
        <v>26016</v>
      </c>
      <c t="s">
        <v>29816</v>
      </c>
      <c t="s">
        <v>51100</v>
      </c>
      <c t="s">
        <v>3093</v>
      </c>
      <c t="s">
        <v>57630</v>
      </c>
    </row>
    <row>
      <c t="s">
        <v>17594</v>
      </c>
      <c t="s">
        <v>24639</v>
      </c>
      <c t="s">
        <v>59388</v>
      </c>
      <c t="s">
        <v>25780</v>
      </c>
      <c t="s">
        <v>28997</v>
      </c>
      <c s="3">
        <v>40875</v>
      </c>
      <c s="3">
        <v>40875</v>
      </c>
      <c s="3">
        <v>40875</v>
      </c>
      <c>
        <v>0</v>
      </c>
      <c s="3">
        <v>0</v>
      </c>
      <c s="3">
        <v>550.66</v>
      </c>
      <c s="3">
        <v>40875</v>
      </c>
      <c r="O982" s="1" t="str">
        <f ca="1">HYPERLINK("https://web.datatree.com/?/property?propertyId=32305394", "https://web.datatree.com/?/property?propertyId=32305394")</f>
        <v>https://web.datatree.com/?/property?propertyId=32305394</v>
      </c>
      <c r="Q982" t="s">
        <v>316</v>
      </c>
      <c>
        <v>0.552</v>
      </c>
      <c t="s">
        <v>23582</v>
      </c>
      <c t="s">
        <v>30720</v>
      </c>
      <c t="s">
        <v>66698</v>
      </c>
      <c r="X982" t="s">
        <v>64050</v>
      </c>
      <c t="s">
        <v>23876</v>
      </c>
      <c t="s">
        <v>65059</v>
      </c>
      <c t="s">
        <v>39289</v>
      </c>
      <c>
        <v>33905</v>
      </c>
      <c t="s">
        <v>20119</v>
      </c>
      <c t="s">
        <v>48794</v>
      </c>
      <c t="s">
        <v>40222</v>
      </c>
      <c>
        <v>14</v>
      </c>
      <c r="AI982" t="s">
        <v>23986</v>
      </c>
      <c t="s">
        <v>45393</v>
      </c>
      <c>
        <v>2</v>
      </c>
      <c t="s">
        <v>40534</v>
      </c>
      <c t="s">
        <v>40534</v>
      </c>
      <c t="s">
        <v>14509</v>
      </c>
      <c t="s">
        <v>25085</v>
      </c>
      <c t="s">
        <v>22455</v>
      </c>
      <c t="s">
        <v>3093</v>
      </c>
      <c t="s">
        <v>26938</v>
      </c>
    </row>
    <row>
      <c t="s">
        <v>17594</v>
      </c>
      <c t="s">
        <v>57506</v>
      </c>
      <c t="s">
        <v>43503</v>
      </c>
      <c t="s">
        <v>61008</v>
      </c>
      <c t="s">
        <v>44226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983" s="1" t="str">
        <f ca="1">HYPERLINK("https://web.datatree.com/?/property?propertyId=32305562", "https://web.datatree.com/?/property?propertyId=32305562")</f>
        <v>https://web.datatree.com/?/property?propertyId=32305562</v>
      </c>
      <c r="Q983" t="s">
        <v>316</v>
      </c>
      <c>
        <v>0.23</v>
      </c>
      <c t="s">
        <v>6175</v>
      </c>
      <c t="s">
        <v>55464</v>
      </c>
      <c t="s">
        <v>56965</v>
      </c>
      <c t="s">
        <v>65460</v>
      </c>
      <c t="s">
        <v>59294</v>
      </c>
      <c t="s">
        <v>59102</v>
      </c>
      <c t="s">
        <v>33179</v>
      </c>
      <c t="s">
        <v>2517</v>
      </c>
      <c t="s">
        <v>39289</v>
      </c>
      <c>
        <v>33909</v>
      </c>
      <c t="s">
        <v>65636</v>
      </c>
      <c t="s">
        <v>48794</v>
      </c>
      <c t="s">
        <v>49855</v>
      </c>
      <c>
        <v>1534</v>
      </c>
      <c r="AI983" t="s">
        <v>373</v>
      </c>
      <c t="s">
        <v>24900</v>
      </c>
      <c r="AL983" t="s">
        <v>1153</v>
      </c>
      <c t="s">
        <v>1153</v>
      </c>
      <c t="s">
        <v>65451</v>
      </c>
      <c t="s">
        <v>17584</v>
      </c>
      <c t="s">
        <v>26242</v>
      </c>
      <c t="s">
        <v>3093</v>
      </c>
      <c t="s">
        <v>63286</v>
      </c>
    </row>
    <row>
      <c t="s">
        <v>17594</v>
      </c>
      <c t="s">
        <v>64907</v>
      </c>
      <c t="s">
        <v>1321</v>
      </c>
      <c t="s">
        <v>53123</v>
      </c>
      <c t="s">
        <v>9459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984" s="1" t="str">
        <f ca="1">HYPERLINK("https://web.datatree.com/?/property?propertyId=32305710", "https://web.datatree.com/?/property?propertyId=32305710")</f>
        <v>https://web.datatree.com/?/property?propertyId=32305710</v>
      </c>
      <c r="Q984" t="s">
        <v>316</v>
      </c>
      <c>
        <v>0.241</v>
      </c>
      <c t="s">
        <v>6175</v>
      </c>
      <c t="s">
        <v>20374</v>
      </c>
      <c t="s">
        <v>18314</v>
      </c>
      <c r="X984" t="s">
        <v>62435</v>
      </c>
      <c t="s">
        <v>60363</v>
      </c>
      <c t="s">
        <v>2517</v>
      </c>
      <c t="s">
        <v>39289</v>
      </c>
      <c>
        <v>33909</v>
      </c>
      <c t="s">
        <v>30177</v>
      </c>
      <c t="s">
        <v>48794</v>
      </c>
      <c t="s">
        <v>27190</v>
      </c>
      <c>
        <v>6900</v>
      </c>
      <c r="AI984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15252</v>
      </c>
      <c t="s">
        <v>63318</v>
      </c>
      <c t="s">
        <v>35323</v>
      </c>
      <c t="s">
        <v>22022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985" s="1" t="str">
        <f ca="1">HYPERLINK("https://web.datatree.com/?/property?propertyId=32305958", "https://web.datatree.com/?/property?propertyId=32305958")</f>
        <v>https://web.datatree.com/?/property?propertyId=32305958</v>
      </c>
      <c r="Q985" t="s">
        <v>316</v>
      </c>
      <c>
        <v>0.23</v>
      </c>
      <c t="s">
        <v>6175</v>
      </c>
      <c t="s">
        <v>2873</v>
      </c>
      <c t="s">
        <v>32633</v>
      </c>
      <c t="s">
        <v>24409</v>
      </c>
      <c t="s">
        <v>32633</v>
      </c>
      <c t="s">
        <v>56903</v>
      </c>
      <c t="s">
        <v>14917</v>
      </c>
      <c t="s">
        <v>2517</v>
      </c>
      <c t="s">
        <v>39289</v>
      </c>
      <c>
        <v>33909</v>
      </c>
      <c>
        <v>33909</v>
      </c>
      <c t="s">
        <v>48794</v>
      </c>
      <c t="s">
        <v>58997</v>
      </c>
      <c>
        <v>8268</v>
      </c>
      <c r="AI985" t="s">
        <v>61407</v>
      </c>
      <c r="AL985" t="s">
        <v>40737</v>
      </c>
      <c t="s">
        <v>12334</v>
      </c>
      <c t="s">
        <v>49572</v>
      </c>
      <c>
        <v>46552</v>
      </c>
      <c r="AQ985" t="s">
        <v>3093</v>
      </c>
      <c t="s">
        <v>47769</v>
      </c>
    </row>
    <row>
      <c t="s">
        <v>17594</v>
      </c>
      <c t="s">
        <v>65270</v>
      </c>
      <c t="s">
        <v>30440</v>
      </c>
      <c t="s">
        <v>17368</v>
      </c>
      <c t="s">
        <v>1343</v>
      </c>
      <c s="3">
        <v>138000</v>
      </c>
      <c s="3">
        <v>138000</v>
      </c>
      <c s="3">
        <v>77000</v>
      </c>
      <c>
        <v>0</v>
      </c>
      <c s="3">
        <v>0</v>
      </c>
      <c s="3">
        <v>1974.4</v>
      </c>
      <c s="3">
        <v>138000</v>
      </c>
      <c r="O986" s="1" t="str">
        <f ca="1">HYPERLINK("https://web.datatree.com/?/property?propertyId=32306965", "https://web.datatree.com/?/property?propertyId=32306965")</f>
        <v>https://web.datatree.com/?/property?propertyId=32306965</v>
      </c>
      <c r="Q986" t="s">
        <v>316</v>
      </c>
      <c>
        <v>0.241</v>
      </c>
      <c t="s">
        <v>22490</v>
      </c>
      <c t="s">
        <v>30886</v>
      </c>
      <c t="s">
        <v>44314</v>
      </c>
      <c t="s">
        <v>26163</v>
      </c>
      <c t="s">
        <v>44314</v>
      </c>
      <c t="s">
        <v>10960</v>
      </c>
      <c t="s">
        <v>2626</v>
      </c>
      <c t="s">
        <v>2517</v>
      </c>
      <c t="s">
        <v>39289</v>
      </c>
      <c>
        <v>33904</v>
      </c>
      <c t="s">
        <v>28956</v>
      </c>
      <c t="s">
        <v>48794</v>
      </c>
      <c t="s">
        <v>3980</v>
      </c>
      <c>
        <v>2667</v>
      </c>
      <c r="AH986" t="s">
        <v>60953</v>
      </c>
      <c t="s">
        <v>44038</v>
      </c>
      <c t="s">
        <v>45393</v>
      </c>
      <c r="AL986" t="s">
        <v>12830</v>
      </c>
      <c r="AN986" t="s">
        <v>51137</v>
      </c>
      <c t="s">
        <v>10669</v>
      </c>
      <c t="s">
        <v>32895</v>
      </c>
      <c t="s">
        <v>3093</v>
      </c>
      <c t="s">
        <v>22819</v>
      </c>
    </row>
    <row>
      <c t="s">
        <v>17594</v>
      </c>
      <c t="s">
        <v>24884</v>
      </c>
      <c t="s">
        <v>33896</v>
      </c>
      <c t="s">
        <v>34104</v>
      </c>
      <c t="s">
        <v>65602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987" s="1" t="str">
        <f ca="1">HYPERLINK("https://web.datatree.com/?/property?propertyId=32307222", "https://web.datatree.com/?/property?propertyId=32307222")</f>
        <v>https://web.datatree.com/?/property?propertyId=32307222</v>
      </c>
      <c r="Q987" t="s">
        <v>316</v>
      </c>
      <c>
        <v>0.23</v>
      </c>
      <c t="s">
        <v>6175</v>
      </c>
      <c t="s">
        <v>13419</v>
      </c>
      <c t="s">
        <v>14617</v>
      </c>
      <c t="s">
        <v>16893</v>
      </c>
      <c t="s">
        <v>56202</v>
      </c>
      <c t="s">
        <v>36391</v>
      </c>
      <c t="s">
        <v>2619</v>
      </c>
      <c t="s">
        <v>2517</v>
      </c>
      <c t="s">
        <v>39289</v>
      </c>
      <c>
        <v>33909</v>
      </c>
      <c t="s">
        <v>22871</v>
      </c>
      <c t="s">
        <v>48794</v>
      </c>
      <c t="s">
        <v>37278</v>
      </c>
      <c>
        <v>12233</v>
      </c>
      <c r="AI987" t="s">
        <v>28473</v>
      </c>
      <c t="s">
        <v>45620</v>
      </c>
      <c r="AL987" t="s">
        <v>5581</v>
      </c>
      <c r="AN987" t="s">
        <v>51137</v>
      </c>
      <c t="s">
        <v>17263</v>
      </c>
      <c t="s">
        <v>10634</v>
      </c>
      <c t="s">
        <v>3093</v>
      </c>
      <c t="s">
        <v>52402</v>
      </c>
    </row>
    <row>
      <c t="s">
        <v>17594</v>
      </c>
      <c t="s">
        <v>40697</v>
      </c>
      <c t="s">
        <v>47881</v>
      </c>
      <c t="s">
        <v>42688</v>
      </c>
      <c t="s">
        <v>874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>
        <v>2021</v>
      </c>
      <c>
        <v>393.2</v>
      </c>
      <c s="1" t="str">
        <f ca="1">HYPERLINK("https://web.datatree.com/?/property?propertyId=32307654", "https://web.datatree.com/?/property?propertyId=32307654")</f>
        <v>https://web.datatree.com/?/property?propertyId=32307654</v>
      </c>
      <c r="Q988" t="s">
        <v>316</v>
      </c>
      <c>
        <v>0.228</v>
      </c>
      <c t="s">
        <v>5471</v>
      </c>
      <c t="s">
        <v>28873</v>
      </c>
      <c t="s">
        <v>8664</v>
      </c>
      <c t="s">
        <v>60671</v>
      </c>
      <c t="s">
        <v>16954</v>
      </c>
      <c t="s">
        <v>31617</v>
      </c>
      <c t="s">
        <v>12246</v>
      </c>
      <c t="s">
        <v>65059</v>
      </c>
      <c t="s">
        <v>39289</v>
      </c>
      <c>
        <v>33905</v>
      </c>
      <c t="s">
        <v>58</v>
      </c>
      <c t="s">
        <v>48794</v>
      </c>
      <c t="s">
        <v>24476</v>
      </c>
      <c>
        <v>19123</v>
      </c>
      <c r="AI988" t="s">
        <v>4373</v>
      </c>
      <c t="s">
        <v>40123</v>
      </c>
      <c t="s">
        <v>39118</v>
      </c>
      <c t="s">
        <v>62020</v>
      </c>
      <c t="s">
        <v>25857</v>
      </c>
      <c t="s">
        <v>39289</v>
      </c>
      <c t="s">
        <v>31193</v>
      </c>
      <c t="s">
        <v>19978</v>
      </c>
      <c t="s">
        <v>3093</v>
      </c>
      <c t="s">
        <v>9623</v>
      </c>
    </row>
    <row>
      <c t="s">
        <v>17594</v>
      </c>
      <c t="s">
        <v>28711</v>
      </c>
      <c t="s">
        <v>25816</v>
      </c>
      <c t="s">
        <v>29819</v>
      </c>
      <c t="s">
        <v>66783</v>
      </c>
      <c s="3">
        <v>20214</v>
      </c>
      <c s="3">
        <v>20214</v>
      </c>
      <c s="3">
        <v>20214</v>
      </c>
      <c>
        <v>0</v>
      </c>
      <c s="3">
        <v>0</v>
      </c>
      <c s="3">
        <v>662.57</v>
      </c>
      <c s="3">
        <v>20214</v>
      </c>
      <c r="O989" s="1" t="str">
        <f ca="1">HYPERLINK("https://web.datatree.com/?/property?propertyId=32307794", "https://web.datatree.com/?/property?propertyId=32307794")</f>
        <v>https://web.datatree.com/?/property?propertyId=32307794</v>
      </c>
      <c r="Q989" t="s">
        <v>316</v>
      </c>
      <c>
        <v>0.23</v>
      </c>
      <c t="s">
        <v>22490</v>
      </c>
      <c t="s">
        <v>65985</v>
      </c>
      <c t="s">
        <v>29780</v>
      </c>
      <c t="s">
        <v>47165</v>
      </c>
      <c t="s">
        <v>29780</v>
      </c>
      <c t="s">
        <v>34858</v>
      </c>
      <c t="s">
        <v>30928</v>
      </c>
      <c t="s">
        <v>2517</v>
      </c>
      <c t="s">
        <v>39289</v>
      </c>
      <c>
        <v>33909</v>
      </c>
      <c t="s">
        <v>40424</v>
      </c>
      <c t="s">
        <v>48794</v>
      </c>
      <c t="s">
        <v>8042</v>
      </c>
      <c>
        <v>769</v>
      </c>
      <c r="AI989" t="s">
        <v>65443</v>
      </c>
      <c t="s">
        <v>45620</v>
      </c>
      <c r="AL989" t="s">
        <v>30925</v>
      </c>
      <c r="AN989" t="s">
        <v>50917</v>
      </c>
      <c t="s">
        <v>3755</v>
      </c>
      <c t="s">
        <v>44428</v>
      </c>
      <c t="s">
        <v>3093</v>
      </c>
      <c t="s">
        <v>7267</v>
      </c>
    </row>
    <row>
      <c t="s">
        <v>17594</v>
      </c>
      <c t="s">
        <v>10310</v>
      </c>
      <c t="s">
        <v>34744</v>
      </c>
      <c t="s">
        <v>59545</v>
      </c>
      <c t="s">
        <v>41796</v>
      </c>
      <c s="3">
        <v>77575</v>
      </c>
      <c s="3">
        <v>77575</v>
      </c>
      <c s="3">
        <v>60088</v>
      </c>
      <c>
        <v>0</v>
      </c>
      <c s="3">
        <v>0</v>
      </c>
      <c s="3">
        <v>996.81</v>
      </c>
      <c s="3">
        <v>77575</v>
      </c>
      <c r="O990" s="1" t="str">
        <f ca="1">HYPERLINK("https://web.datatree.com/?/property?propertyId=32308001", "https://web.datatree.com/?/property?propertyId=32308001")</f>
        <v>https://web.datatree.com/?/property?propertyId=32308001</v>
      </c>
      <c r="Q990" t="s">
        <v>316</v>
      </c>
      <c>
        <v>1.003</v>
      </c>
      <c t="s">
        <v>30497</v>
      </c>
      <c t="s">
        <v>30547</v>
      </c>
      <c t="s">
        <v>17945</v>
      </c>
      <c r="X990" t="s">
        <v>42956</v>
      </c>
      <c t="s">
        <v>12613</v>
      </c>
      <c t="s">
        <v>65059</v>
      </c>
      <c t="s">
        <v>39289</v>
      </c>
      <c>
        <v>33905</v>
      </c>
      <c t="s">
        <v>23288</v>
      </c>
      <c t="s">
        <v>48794</v>
      </c>
      <c t="s">
        <v>3733</v>
      </c>
      <c>
        <v>7538</v>
      </c>
      <c r="AI990" t="s">
        <v>983</v>
      </c>
      <c t="s">
        <v>31192</v>
      </c>
      <c r="AL990" t="s">
        <v>6324</v>
      </c>
      <c t="s">
        <v>23243</v>
      </c>
      <c t="s">
        <v>65467</v>
      </c>
      <c t="s">
        <v>7705</v>
      </c>
      <c t="s">
        <v>26242</v>
      </c>
      <c t="s">
        <v>3093</v>
      </c>
      <c t="s">
        <v>58750</v>
      </c>
    </row>
    <row>
      <c t="s">
        <v>17594</v>
      </c>
      <c t="s">
        <v>62324</v>
      </c>
      <c t="s">
        <v>64573</v>
      </c>
      <c t="s">
        <v>27593</v>
      </c>
      <c t="s">
        <v>36404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991" s="1" t="str">
        <f ca="1">HYPERLINK("https://web.datatree.com/?/property?propertyId=32308907", "https://web.datatree.com/?/property?propertyId=32308907")</f>
        <v>https://web.datatree.com/?/property?propertyId=32308907</v>
      </c>
      <c r="Q991" t="s">
        <v>316</v>
      </c>
      <c>
        <v>0.23</v>
      </c>
      <c t="s">
        <v>22490</v>
      </c>
      <c t="s">
        <v>5121</v>
      </c>
      <c t="s">
        <v>47799</v>
      </c>
      <c r="X991" t="s">
        <v>5709</v>
      </c>
      <c t="s">
        <v>52171</v>
      </c>
      <c t="s">
        <v>2517</v>
      </c>
      <c t="s">
        <v>39289</v>
      </c>
      <c>
        <v>33909</v>
      </c>
      <c>
        <v>33909</v>
      </c>
      <c t="s">
        <v>48794</v>
      </c>
      <c t="s">
        <v>12575</v>
      </c>
      <c>
        <v>4988</v>
      </c>
      <c r="AI991" t="s">
        <v>4637</v>
      </c>
      <c t="s">
        <v>1671</v>
      </c>
      <c r="AL991" t="s">
        <v>59494</v>
      </c>
      <c t="s">
        <v>59494</v>
      </c>
      <c t="s">
        <v>65451</v>
      </c>
      <c t="s">
        <v>17673</v>
      </c>
      <c t="s">
        <v>53800</v>
      </c>
      <c t="s">
        <v>3093</v>
      </c>
      <c t="s">
        <v>7915</v>
      </c>
    </row>
    <row>
      <c t="s">
        <v>17594</v>
      </c>
      <c t="s">
        <v>19592</v>
      </c>
      <c t="s">
        <v>29518</v>
      </c>
      <c t="s">
        <v>66671</v>
      </c>
      <c t="s">
        <v>43966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992" s="1" t="str">
        <f ca="1">HYPERLINK("https://web.datatree.com/?/property?propertyId=32309890", "https://web.datatree.com/?/property?propertyId=32309890")</f>
        <v>https://web.datatree.com/?/property?propertyId=32309890</v>
      </c>
      <c r="Q992" t="s">
        <v>316</v>
      </c>
      <c>
        <v>0.23</v>
      </c>
      <c t="s">
        <v>6175</v>
      </c>
      <c t="s">
        <v>26827</v>
      </c>
      <c t="s">
        <v>18891</v>
      </c>
      <c t="s">
        <v>63047</v>
      </c>
      <c t="s">
        <v>18891</v>
      </c>
      <c t="s">
        <v>19866</v>
      </c>
      <c t="s">
        <v>49122</v>
      </c>
      <c t="s">
        <v>2517</v>
      </c>
      <c t="s">
        <v>39289</v>
      </c>
      <c>
        <v>33909</v>
      </c>
      <c t="s">
        <v>44625</v>
      </c>
      <c t="s">
        <v>48794</v>
      </c>
      <c t="s">
        <v>12051</v>
      </c>
      <c>
        <v>4826</v>
      </c>
      <c r="AI992" t="s">
        <v>45304</v>
      </c>
      <c t="s">
        <v>39321</v>
      </c>
      <c r="AL992" t="s">
        <v>65608</v>
      </c>
      <c r="AN992" t="s">
        <v>39289</v>
      </c>
      <c t="s">
        <v>32722</v>
      </c>
      <c t="s">
        <v>15968</v>
      </c>
      <c t="s">
        <v>3093</v>
      </c>
      <c t="s">
        <v>10047</v>
      </c>
    </row>
    <row>
      <c t="s">
        <v>17594</v>
      </c>
      <c t="s">
        <v>45889</v>
      </c>
      <c t="s">
        <v>21081</v>
      </c>
      <c t="s">
        <v>58311</v>
      </c>
      <c t="s">
        <v>59968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993" s="1" t="str">
        <f ca="1">HYPERLINK("https://web.datatree.com/?/property?propertyId=32310191", "https://web.datatree.com/?/property?propertyId=32310191")</f>
        <v>https://web.datatree.com/?/property?propertyId=32310191</v>
      </c>
      <c r="Q993" t="s">
        <v>316</v>
      </c>
      <c>
        <v>0.229</v>
      </c>
      <c t="s">
        <v>42044</v>
      </c>
      <c t="s">
        <v>51844</v>
      </c>
      <c t="s">
        <v>38828</v>
      </c>
      <c t="s">
        <v>36252</v>
      </c>
      <c t="s">
        <v>38828</v>
      </c>
      <c t="s">
        <v>30806</v>
      </c>
      <c t="s">
        <v>61865</v>
      </c>
      <c t="s">
        <v>2517</v>
      </c>
      <c t="s">
        <v>39289</v>
      </c>
      <c>
        <v>33909</v>
      </c>
      <c t="s">
        <v>17333</v>
      </c>
      <c t="s">
        <v>48794</v>
      </c>
      <c t="s">
        <v>40446</v>
      </c>
      <c>
        <v>4682</v>
      </c>
      <c r="AI993" t="s">
        <v>33800</v>
      </c>
      <c t="s">
        <v>40123</v>
      </c>
      <c r="AL993" t="s">
        <v>55393</v>
      </c>
      <c r="AN993" t="s">
        <v>39289</v>
      </c>
      <c t="s">
        <v>56681</v>
      </c>
      <c t="s">
        <v>57360</v>
      </c>
      <c t="s">
        <v>3093</v>
      </c>
      <c t="s">
        <v>65560</v>
      </c>
    </row>
    <row>
      <c t="s">
        <v>17594</v>
      </c>
      <c t="s">
        <v>46369</v>
      </c>
      <c t="s">
        <v>58405</v>
      </c>
      <c t="s">
        <v>45143</v>
      </c>
      <c t="s">
        <v>4939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994" s="1" t="str">
        <f ca="1">HYPERLINK("https://web.datatree.com/?/property?propertyId=32310410", "https://web.datatree.com/?/property?propertyId=32310410")</f>
        <v>https://web.datatree.com/?/property?propertyId=32310410</v>
      </c>
      <c r="Q994" t="s">
        <v>316</v>
      </c>
      <c>
        <v>0.241</v>
      </c>
      <c t="s">
        <v>6175</v>
      </c>
      <c t="s">
        <v>42397</v>
      </c>
      <c t="s">
        <v>10289</v>
      </c>
      <c r="X994" t="s">
        <v>24164</v>
      </c>
      <c t="s">
        <v>23517</v>
      </c>
      <c t="s">
        <v>2517</v>
      </c>
      <c t="s">
        <v>39289</v>
      </c>
      <c>
        <v>33909</v>
      </c>
      <c t="s">
        <v>8198</v>
      </c>
      <c t="s">
        <v>48794</v>
      </c>
      <c t="s">
        <v>20831</v>
      </c>
      <c>
        <v>13810</v>
      </c>
      <c r="AH994" t="s">
        <v>26580</v>
      </c>
      <c t="s">
        <v>55828</v>
      </c>
      <c t="s">
        <v>31192</v>
      </c>
      <c>
        <v>315</v>
      </c>
      <c t="s">
        <v>17200</v>
      </c>
      <c t="s">
        <v>17200</v>
      </c>
      <c t="s">
        <v>39289</v>
      </c>
      <c t="s">
        <v>49297</v>
      </c>
      <c t="s">
        <v>17694</v>
      </c>
      <c t="s">
        <v>3093</v>
      </c>
      <c t="s">
        <v>17096</v>
      </c>
    </row>
    <row>
      <c t="s">
        <v>17594</v>
      </c>
      <c t="s">
        <v>11659</v>
      </c>
      <c t="s">
        <v>38065</v>
      </c>
      <c t="s">
        <v>62371</v>
      </c>
      <c t="s">
        <v>64463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995" s="1" t="str">
        <f ca="1">HYPERLINK("https://web.datatree.com/?/property?propertyId=32310602", "https://web.datatree.com/?/property?propertyId=32310602")</f>
        <v>https://web.datatree.com/?/property?propertyId=32310602</v>
      </c>
      <c r="Q995" t="s">
        <v>316</v>
      </c>
      <c>
        <v>0.23</v>
      </c>
      <c t="s">
        <v>22490</v>
      </c>
      <c t="s">
        <v>44457</v>
      </c>
      <c t="s">
        <v>15959</v>
      </c>
      <c t="s">
        <v>50865</v>
      </c>
      <c t="s">
        <v>15959</v>
      </c>
      <c t="s">
        <v>42382</v>
      </c>
      <c t="s">
        <v>47150</v>
      </c>
      <c t="s">
        <v>2517</v>
      </c>
      <c t="s">
        <v>39289</v>
      </c>
      <c>
        <v>33909</v>
      </c>
      <c t="s">
        <v>46758</v>
      </c>
      <c t="s">
        <v>48794</v>
      </c>
      <c t="s">
        <v>15236</v>
      </c>
      <c>
        <v>5901</v>
      </c>
      <c r="AI995" t="s">
        <v>54750</v>
      </c>
      <c t="s">
        <v>55842</v>
      </c>
      <c r="AL995" t="s">
        <v>2913</v>
      </c>
      <c r="AN995" t="s">
        <v>19878</v>
      </c>
      <c t="s">
        <v>6117</v>
      </c>
      <c t="s">
        <v>12241</v>
      </c>
      <c t="s">
        <v>3093</v>
      </c>
      <c t="s">
        <v>20993</v>
      </c>
    </row>
    <row>
      <c t="s">
        <v>17594</v>
      </c>
      <c t="s">
        <v>38588</v>
      </c>
      <c t="s">
        <v>37739</v>
      </c>
      <c t="s">
        <v>4940</v>
      </c>
      <c t="s">
        <v>52988</v>
      </c>
      <c s="3">
        <v>557675</v>
      </c>
      <c s="3">
        <v>557675</v>
      </c>
      <c s="3">
        <v>480145</v>
      </c>
      <c>
        <v>0</v>
      </c>
      <c s="3">
        <v>0</v>
      </c>
      <c s="3">
        <v>8486.2</v>
      </c>
      <c s="3">
        <v>557675</v>
      </c>
      <c r="O996" s="1" t="str">
        <f ca="1">HYPERLINK("https://web.datatree.com/?/property?propertyId=32311638", "https://web.datatree.com/?/property?propertyId=32311638")</f>
        <v>https://web.datatree.com/?/property?propertyId=32311638</v>
      </c>
      <c r="Q996" t="s">
        <v>316</v>
      </c>
      <c>
        <v>0.285</v>
      </c>
      <c t="s">
        <v>22490</v>
      </c>
      <c t="s">
        <v>64451</v>
      </c>
      <c t="s">
        <v>21859</v>
      </c>
      <c t="s">
        <v>58849</v>
      </c>
      <c t="s">
        <v>21859</v>
      </c>
      <c t="s">
        <v>33148</v>
      </c>
      <c t="s">
        <v>64376</v>
      </c>
      <c t="s">
        <v>2517</v>
      </c>
      <c t="s">
        <v>39289</v>
      </c>
      <c>
        <v>33904</v>
      </c>
      <c t="s">
        <v>20236</v>
      </c>
      <c t="s">
        <v>48794</v>
      </c>
      <c t="s">
        <v>14642</v>
      </c>
      <c>
        <v>1221</v>
      </c>
      <c r="AI996" t="s">
        <v>64666</v>
      </c>
      <c t="s">
        <v>40123</v>
      </c>
      <c r="AL996" t="s">
        <v>16779</v>
      </c>
      <c t="s">
        <v>16779</v>
      </c>
      <c t="s">
        <v>19878</v>
      </c>
      <c t="s">
        <v>21126</v>
      </c>
      <c t="s">
        <v>24994</v>
      </c>
      <c t="s">
        <v>3093</v>
      </c>
      <c t="s">
        <v>2833</v>
      </c>
    </row>
    <row>
      <c t="s">
        <v>17594</v>
      </c>
      <c t="s">
        <v>23884</v>
      </c>
      <c t="s">
        <v>26787</v>
      </c>
      <c t="s">
        <v>43931</v>
      </c>
      <c t="s">
        <v>63238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>
        <v>2021</v>
      </c>
      <c>
        <v>586.06</v>
      </c>
      <c s="1" t="str">
        <f ca="1">HYPERLINK("https://web.datatree.com/?/property?propertyId=32311788", "https://web.datatree.com/?/property?propertyId=32311788")</f>
        <v>https://web.datatree.com/?/property?propertyId=32311788</v>
      </c>
      <c r="Q997" t="s">
        <v>316</v>
      </c>
      <c>
        <v>0.23</v>
      </c>
      <c t="s">
        <v>6175</v>
      </c>
      <c t="s">
        <v>33044</v>
      </c>
      <c t="s">
        <v>9592</v>
      </c>
      <c t="s">
        <v>12142</v>
      </c>
      <c t="s">
        <v>9592</v>
      </c>
      <c t="s">
        <v>28768</v>
      </c>
      <c t="s">
        <v>29190</v>
      </c>
      <c t="s">
        <v>2517</v>
      </c>
      <c t="s">
        <v>39289</v>
      </c>
      <c>
        <v>33909</v>
      </c>
      <c t="s">
        <v>63572</v>
      </c>
      <c t="s">
        <v>48794</v>
      </c>
      <c t="s">
        <v>65582</v>
      </c>
      <c>
        <v>416</v>
      </c>
      <c r="AI997" t="s">
        <v>41467</v>
      </c>
      <c t="s">
        <v>45620</v>
      </c>
      <c r="AL997" t="s">
        <v>14979</v>
      </c>
      <c r="AN997" t="s">
        <v>26016</v>
      </c>
      <c t="s">
        <v>56297</v>
      </c>
      <c t="s">
        <v>38085</v>
      </c>
      <c t="s">
        <v>3093</v>
      </c>
      <c t="s">
        <v>49269</v>
      </c>
    </row>
    <row>
      <c t="s">
        <v>17594</v>
      </c>
      <c t="s">
        <v>33403</v>
      </c>
      <c t="s">
        <v>3025</v>
      </c>
      <c t="s">
        <v>16762</v>
      </c>
      <c t="s">
        <v>41166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998" s="1" t="str">
        <f ca="1">HYPERLINK("https://web.datatree.com/?/property?propertyId=32311900", "https://web.datatree.com/?/property?propertyId=32311900")</f>
        <v>https://web.datatree.com/?/property?propertyId=32311900</v>
      </c>
      <c r="Q998" t="s">
        <v>316</v>
      </c>
      <c>
        <v>0.244</v>
      </c>
      <c t="s">
        <v>22490</v>
      </c>
      <c t="s">
        <v>33172</v>
      </c>
      <c t="s">
        <v>10979</v>
      </c>
      <c t="s">
        <v>14620</v>
      </c>
      <c t="s">
        <v>10979</v>
      </c>
      <c t="s">
        <v>8901</v>
      </c>
      <c t="s">
        <v>59763</v>
      </c>
      <c t="s">
        <v>2517</v>
      </c>
      <c t="s">
        <v>39289</v>
      </c>
      <c>
        <v>33909</v>
      </c>
      <c>
        <v>33909</v>
      </c>
      <c t="s">
        <v>48794</v>
      </c>
      <c t="s">
        <v>825</v>
      </c>
      <c>
        <v>6358</v>
      </c>
      <c r="AI998" t="s">
        <v>27023</v>
      </c>
      <c t="s">
        <v>835</v>
      </c>
      <c r="AL998" t="s">
        <v>22531</v>
      </c>
      <c r="AN998" t="s">
        <v>39289</v>
      </c>
      <c t="s">
        <v>25380</v>
      </c>
      <c t="s">
        <v>6081</v>
      </c>
      <c t="s">
        <v>3093</v>
      </c>
      <c t="s">
        <v>34186</v>
      </c>
    </row>
    <row>
      <c t="s">
        <v>17594</v>
      </c>
      <c t="s">
        <v>52745</v>
      </c>
      <c t="s">
        <v>40545</v>
      </c>
      <c t="s">
        <v>55326</v>
      </c>
      <c t="s">
        <v>17512</v>
      </c>
      <c s="3">
        <v>12544</v>
      </c>
      <c s="3">
        <v>12544</v>
      </c>
      <c s="3">
        <v>4972</v>
      </c>
      <c>
        <v>0</v>
      </c>
      <c s="3">
        <v>0</v>
      </c>
      <c s="3">
        <v>346.59</v>
      </c>
      <c s="3">
        <v>12544</v>
      </c>
      <c>
        <v>2021</v>
      </c>
      <c>
        <v>342.43</v>
      </c>
      <c s="1" t="str">
        <f ca="1">HYPERLINK("https://web.datatree.com/?/property?propertyId=32312350", "https://web.datatree.com/?/property?propertyId=32312350")</f>
        <v>https://web.datatree.com/?/property?propertyId=32312350</v>
      </c>
      <c r="Q999" t="s">
        <v>316</v>
      </c>
      <c>
        <v>0.474</v>
      </c>
      <c t="s">
        <v>5471</v>
      </c>
      <c t="s">
        <v>49820</v>
      </c>
      <c t="s">
        <v>29215</v>
      </c>
      <c t="s">
        <v>56429</v>
      </c>
      <c t="s">
        <v>29215</v>
      </c>
      <c t="s">
        <v>23521</v>
      </c>
      <c t="s">
        <v>10490</v>
      </c>
      <c t="s">
        <v>65059</v>
      </c>
      <c t="s">
        <v>39289</v>
      </c>
      <c>
        <v>33905</v>
      </c>
      <c t="s">
        <v>40373</v>
      </c>
      <c t="s">
        <v>48794</v>
      </c>
      <c t="s">
        <v>52842</v>
      </c>
      <c t="s">
        <v>60915</v>
      </c>
      <c r="AI999" t="s">
        <v>57393</v>
      </c>
      <c t="s">
        <v>31192</v>
      </c>
      <c r="AL999" t="s">
        <v>2960</v>
      </c>
      <c r="AN999" t="s">
        <v>26016</v>
      </c>
      <c t="s">
        <v>16624</v>
      </c>
      <c t="s">
        <v>66620</v>
      </c>
      <c t="s">
        <v>3093</v>
      </c>
      <c t="s">
        <v>7100</v>
      </c>
    </row>
    <row>
      <c t="s">
        <v>17594</v>
      </c>
      <c t="s">
        <v>31657</v>
      </c>
      <c t="s">
        <v>58383</v>
      </c>
      <c t="s">
        <v>21251</v>
      </c>
      <c t="s">
        <v>47737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>
        <v>2019</v>
      </c>
      <c>
        <v>1099.7</v>
      </c>
      <c s="1" t="str">
        <f ca="1">HYPERLINK("https://web.datatree.com/?/property?propertyId=32312384", "https://web.datatree.com/?/property?propertyId=32312384")</f>
        <v>https://web.datatree.com/?/property?propertyId=32312384</v>
      </c>
      <c r="Q1000" t="s">
        <v>316</v>
      </c>
      <c>
        <v>0.23</v>
      </c>
      <c t="s">
        <v>6175</v>
      </c>
      <c t="s">
        <v>1059</v>
      </c>
      <c t="s">
        <v>53306</v>
      </c>
      <c r="X1000" t="s">
        <v>30781</v>
      </c>
      <c t="s">
        <v>53675</v>
      </c>
      <c t="s">
        <v>2517</v>
      </c>
      <c t="s">
        <v>39289</v>
      </c>
      <c>
        <v>33909</v>
      </c>
      <c t="s">
        <v>63468</v>
      </c>
      <c t="s">
        <v>48794</v>
      </c>
      <c t="s">
        <v>25318</v>
      </c>
      <c>
        <v>42</v>
      </c>
      <c r="AI1000" t="s">
        <v>22297</v>
      </c>
      <c t="s">
        <v>41372</v>
      </c>
      <c t="s">
        <v>54841</v>
      </c>
      <c t="s">
        <v>12794</v>
      </c>
      <c r="AN1000" t="s">
        <v>50917</v>
      </c>
      <c t="s">
        <v>45073</v>
      </c>
      <c t="s">
        <v>48506</v>
      </c>
      <c t="s">
        <v>3093</v>
      </c>
      <c t="s">
        <v>1397</v>
      </c>
    </row>
    <row>
      <c t="s">
        <v>17594</v>
      </c>
      <c t="s">
        <v>21173</v>
      </c>
      <c t="s">
        <v>30093</v>
      </c>
      <c t="s">
        <v>32823</v>
      </c>
      <c t="s">
        <v>57955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1001" s="1" t="str">
        <f ca="1">HYPERLINK("https://web.datatree.com/?/property?propertyId=32312388", "https://web.datatree.com/?/property?propertyId=32312388")</f>
        <v>https://web.datatree.com/?/property?propertyId=32312388</v>
      </c>
      <c r="Q1001" t="s">
        <v>316</v>
      </c>
      <c>
        <v>0.23</v>
      </c>
      <c t="s">
        <v>22490</v>
      </c>
      <c t="s">
        <v>10451</v>
      </c>
      <c t="s">
        <v>12912</v>
      </c>
      <c r="X1001" t="s">
        <v>52348</v>
      </c>
      <c t="s">
        <v>66701</v>
      </c>
      <c t="s">
        <v>2517</v>
      </c>
      <c t="s">
        <v>39289</v>
      </c>
      <c>
        <v>33909</v>
      </c>
      <c t="s">
        <v>33788</v>
      </c>
      <c t="s">
        <v>48794</v>
      </c>
      <c t="s">
        <v>59623</v>
      </c>
      <c>
        <v>108</v>
      </c>
      <c r="AI1001" t="s">
        <v>33025</v>
      </c>
      <c t="s">
        <v>24900</v>
      </c>
      <c r="AL1001" t="s">
        <v>58856</v>
      </c>
      <c r="AN1001" t="s">
        <v>14509</v>
      </c>
      <c t="s">
        <v>57232</v>
      </c>
      <c t="s">
        <v>47183</v>
      </c>
      <c t="s">
        <v>3093</v>
      </c>
      <c t="s">
        <v>55997</v>
      </c>
    </row>
    <row>
      <c t="s">
        <v>17594</v>
      </c>
      <c t="s">
        <v>41560</v>
      </c>
      <c t="s">
        <v>39737</v>
      </c>
      <c t="s">
        <v>11991</v>
      </c>
      <c t="s">
        <v>29306</v>
      </c>
      <c s="3">
        <v>23969</v>
      </c>
      <c s="3">
        <v>23969</v>
      </c>
      <c s="3">
        <v>23969</v>
      </c>
      <c>
        <v>0</v>
      </c>
      <c s="3">
        <v>0</v>
      </c>
      <c s="3">
        <v>789.75</v>
      </c>
      <c s="3">
        <v>23969</v>
      </c>
      <c r="O1002" s="1" t="str">
        <f ca="1">HYPERLINK("https://web.datatree.com/?/property?propertyId=32312402", "https://web.datatree.com/?/property?propertyId=32312402")</f>
        <v>https://web.datatree.com/?/property?propertyId=32312402</v>
      </c>
      <c r="Q1002" t="s">
        <v>316</v>
      </c>
      <c>
        <v>0.23</v>
      </c>
      <c t="s">
        <v>58725</v>
      </c>
      <c t="s">
        <v>57626</v>
      </c>
      <c t="s">
        <v>8917</v>
      </c>
      <c r="X1002" t="s">
        <v>46383</v>
      </c>
      <c t="s">
        <v>39082</v>
      </c>
      <c t="s">
        <v>2517</v>
      </c>
      <c t="s">
        <v>39289</v>
      </c>
      <c>
        <v>33909</v>
      </c>
      <c t="s">
        <v>4264</v>
      </c>
      <c t="s">
        <v>48794</v>
      </c>
      <c t="s">
        <v>22036</v>
      </c>
      <c>
        <v>2645</v>
      </c>
      <c r="AI1002" t="s">
        <v>60900</v>
      </c>
      <c t="s">
        <v>1671</v>
      </c>
      <c r="AL1002" t="s">
        <v>27475</v>
      </c>
      <c t="s">
        <v>27475</v>
      </c>
      <c t="s">
        <v>65451</v>
      </c>
      <c t="s">
        <v>44713</v>
      </c>
      <c t="s">
        <v>54605</v>
      </c>
      <c t="s">
        <v>3093</v>
      </c>
      <c t="s">
        <v>66366</v>
      </c>
    </row>
    <row>
      <c t="s">
        <v>17594</v>
      </c>
      <c t="s">
        <v>33553</v>
      </c>
      <c t="s">
        <v>34713</v>
      </c>
      <c t="s">
        <v>55880</v>
      </c>
      <c t="s">
        <v>53844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1003" s="1" t="str">
        <f ca="1">HYPERLINK("https://web.datatree.com/?/property?propertyId=32312564", "https://web.datatree.com/?/property?propertyId=32312564")</f>
        <v>https://web.datatree.com/?/property?propertyId=32312564</v>
      </c>
      <c r="Q1003" t="s">
        <v>316</v>
      </c>
      <c>
        <v>0.23</v>
      </c>
      <c t="s">
        <v>22490</v>
      </c>
      <c t="s">
        <v>60671</v>
      </c>
      <c t="s">
        <v>10702</v>
      </c>
      <c t="s">
        <v>64990</v>
      </c>
      <c t="s">
        <v>10702</v>
      </c>
      <c t="s">
        <v>53286</v>
      </c>
      <c t="s">
        <v>47150</v>
      </c>
      <c t="s">
        <v>2517</v>
      </c>
      <c t="s">
        <v>39289</v>
      </c>
      <c>
        <v>33909</v>
      </c>
      <c t="s">
        <v>16358</v>
      </c>
      <c t="s">
        <v>48794</v>
      </c>
      <c t="s">
        <v>62763</v>
      </c>
      <c>
        <v>489</v>
      </c>
      <c r="AI1003" t="s">
        <v>5105</v>
      </c>
      <c t="s">
        <v>45393</v>
      </c>
      <c r="AL1003" t="s">
        <v>46211</v>
      </c>
      <c r="AN1003" t="s">
        <v>27747</v>
      </c>
      <c t="s">
        <v>65485</v>
      </c>
      <c t="s">
        <v>11138</v>
      </c>
      <c t="s">
        <v>3093</v>
      </c>
      <c t="s">
        <v>5889</v>
      </c>
    </row>
    <row>
      <c t="s">
        <v>17594</v>
      </c>
      <c t="s">
        <v>14959</v>
      </c>
      <c t="s">
        <v>52586</v>
      </c>
      <c t="s">
        <v>47185</v>
      </c>
      <c t="s">
        <v>1468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004" s="1" t="str">
        <f ca="1">HYPERLINK("https://web.datatree.com/?/property?propertyId=32312835", "https://web.datatree.com/?/property?propertyId=32312835")</f>
        <v>https://web.datatree.com/?/property?propertyId=32312835</v>
      </c>
      <c r="Q1004" t="s">
        <v>316</v>
      </c>
      <c>
        <v>0.23</v>
      </c>
      <c t="s">
        <v>22490</v>
      </c>
      <c t="s">
        <v>44457</v>
      </c>
      <c t="s">
        <v>400</v>
      </c>
      <c t="s">
        <v>20358</v>
      </c>
      <c t="s">
        <v>400</v>
      </c>
      <c t="s">
        <v>55750</v>
      </c>
      <c t="s">
        <v>53675</v>
      </c>
      <c t="s">
        <v>2517</v>
      </c>
      <c t="s">
        <v>39289</v>
      </c>
      <c>
        <v>33909</v>
      </c>
      <c t="s">
        <v>12391</v>
      </c>
      <c t="s">
        <v>48794</v>
      </c>
      <c t="s">
        <v>14006</v>
      </c>
      <c>
        <v>4855</v>
      </c>
      <c r="AI1004" t="s">
        <v>31709</v>
      </c>
      <c t="s">
        <v>24900</v>
      </c>
      <c r="AL1004" t="s">
        <v>63025</v>
      </c>
      <c r="AN1004" t="s">
        <v>19878</v>
      </c>
      <c t="s">
        <v>40092</v>
      </c>
      <c t="s">
        <v>3228</v>
      </c>
      <c t="s">
        <v>3093</v>
      </c>
      <c t="s">
        <v>27333</v>
      </c>
    </row>
    <row>
      <c t="s">
        <v>17594</v>
      </c>
      <c t="s">
        <v>62969</v>
      </c>
      <c t="s">
        <v>40729</v>
      </c>
      <c t="s">
        <v>14260</v>
      </c>
      <c t="s">
        <v>900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005" s="1" t="str">
        <f ca="1">HYPERLINK("https://web.datatree.com/?/property?propertyId=32313125", "https://web.datatree.com/?/property?propertyId=32313125")</f>
        <v>https://web.datatree.com/?/property?propertyId=32313125</v>
      </c>
      <c r="Q1005" t="s">
        <v>316</v>
      </c>
      <c>
        <v>0.23</v>
      </c>
      <c t="s">
        <v>22490</v>
      </c>
      <c t="s">
        <v>16080</v>
      </c>
      <c t="s">
        <v>15361</v>
      </c>
      <c t="s">
        <v>63182</v>
      </c>
      <c t="s">
        <v>15361</v>
      </c>
      <c t="s">
        <v>3278</v>
      </c>
      <c t="s">
        <v>25017</v>
      </c>
      <c t="s">
        <v>2517</v>
      </c>
      <c t="s">
        <v>39289</v>
      </c>
      <c>
        <v>33909</v>
      </c>
      <c t="s">
        <v>13933</v>
      </c>
      <c t="s">
        <v>48794</v>
      </c>
      <c t="s">
        <v>64013</v>
      </c>
      <c>
        <v>4</v>
      </c>
      <c r="AI1005" t="s">
        <v>12715</v>
      </c>
      <c t="s">
        <v>24900</v>
      </c>
      <c r="AL1005" t="s">
        <v>45572</v>
      </c>
      <c r="AN1005" t="s">
        <v>26016</v>
      </c>
      <c t="s">
        <v>2618</v>
      </c>
      <c t="s">
        <v>17380</v>
      </c>
      <c t="s">
        <v>3093</v>
      </c>
      <c t="s">
        <v>44996</v>
      </c>
    </row>
    <row>
      <c t="s">
        <v>17594</v>
      </c>
      <c t="s">
        <v>65671</v>
      </c>
      <c t="s">
        <v>59308</v>
      </c>
      <c t="s">
        <v>17751</v>
      </c>
      <c t="s">
        <v>34488</v>
      </c>
      <c s="3">
        <v>19448</v>
      </c>
      <c s="3">
        <v>19448</v>
      </c>
      <c s="3">
        <v>8674</v>
      </c>
      <c>
        <v>0</v>
      </c>
      <c s="3">
        <v>0</v>
      </c>
      <c s="3">
        <v>644.12</v>
      </c>
      <c s="3">
        <v>19448</v>
      </c>
      <c r="O1006" s="1" t="str">
        <f ca="1">HYPERLINK("https://web.datatree.com/?/property?propertyId=32313318", "https://web.datatree.com/?/property?propertyId=32313318")</f>
        <v>https://web.datatree.com/?/property?propertyId=32313318</v>
      </c>
      <c r="Q1006" t="s">
        <v>316</v>
      </c>
      <c>
        <v>0.316</v>
      </c>
      <c t="s">
        <v>45031</v>
      </c>
      <c t="s">
        <v>55665</v>
      </c>
      <c t="s">
        <v>43112</v>
      </c>
      <c r="X1006" t="s">
        <v>41293</v>
      </c>
      <c t="s">
        <v>22731</v>
      </c>
      <c t="s">
        <v>2517</v>
      </c>
      <c t="s">
        <v>39289</v>
      </c>
      <c>
        <v>33909</v>
      </c>
      <c t="s">
        <v>6235</v>
      </c>
      <c t="s">
        <v>48794</v>
      </c>
      <c t="s">
        <v>47764</v>
      </c>
      <c>
        <v>6698</v>
      </c>
      <c r="AI1006" t="s">
        <v>39832</v>
      </c>
      <c t="s">
        <v>45393</v>
      </c>
      <c r="AL1006" t="s">
        <v>55393</v>
      </c>
      <c t="s">
        <v>13066</v>
      </c>
      <c t="s">
        <v>39289</v>
      </c>
      <c t="s">
        <v>34969</v>
      </c>
      <c t="s">
        <v>27780</v>
      </c>
      <c t="s">
        <v>3093</v>
      </c>
      <c t="s">
        <v>64418</v>
      </c>
    </row>
    <row>
      <c t="s">
        <v>42103</v>
      </c>
      <c t="s">
        <v>29582</v>
      </c>
      <c t="s">
        <v>5392</v>
      </c>
      <c t="s">
        <v>3</v>
      </c>
      <c t="s">
        <v>39849</v>
      </c>
      <c s="3">
        <v>8700</v>
      </c>
      <c s="3">
        <v>8700</v>
      </c>
      <c s="3">
        <v>8700</v>
      </c>
      <c>
        <v>0</v>
      </c>
      <c s="3">
        <v>0</v>
      </c>
      <c s="3">
        <v>585.26</v>
      </c>
      <c s="3">
        <v>8700</v>
      </c>
      <c r="O1007" s="1" t="str">
        <f ca="1">HYPERLINK("https://web.datatree.com/?/property?propertyId=32313436", "https://web.datatree.com/?/property?propertyId=32313436")</f>
        <v>https://web.datatree.com/?/property?propertyId=32313436</v>
      </c>
      <c r="Q1007" t="s">
        <v>316</v>
      </c>
      <c>
        <v>0.241</v>
      </c>
      <c t="s">
        <v>6175</v>
      </c>
      <c t="s">
        <v>52899</v>
      </c>
      <c t="s">
        <v>28044</v>
      </c>
      <c t="s">
        <v>52701</v>
      </c>
      <c t="s">
        <v>28044</v>
      </c>
      <c t="s">
        <v>20907</v>
      </c>
      <c t="s">
        <v>61850</v>
      </c>
      <c t="s">
        <v>2517</v>
      </c>
      <c t="s">
        <v>39289</v>
      </c>
      <c>
        <v>33909</v>
      </c>
      <c t="s">
        <v>54089</v>
      </c>
      <c t="s">
        <v>48794</v>
      </c>
      <c t="s">
        <v>43103</v>
      </c>
      <c r="AI1007" t="s">
        <v>51634</v>
      </c>
      <c r="AL1007" t="s">
        <v>29515</v>
      </c>
      <c t="s">
        <v>29515</v>
      </c>
      <c t="s">
        <v>39289</v>
      </c>
      <c t="s">
        <v>30343</v>
      </c>
      <c t="s">
        <v>18372</v>
      </c>
      <c t="s">
        <v>3093</v>
      </c>
      <c t="s">
        <v>50896</v>
      </c>
    </row>
    <row>
      <c t="s">
        <v>17594</v>
      </c>
      <c t="s">
        <v>10470</v>
      </c>
      <c t="s">
        <v>38387</v>
      </c>
      <c t="s">
        <v>60354</v>
      </c>
      <c t="s">
        <v>14863</v>
      </c>
      <c s="3">
        <v>12544</v>
      </c>
      <c s="3">
        <v>12544</v>
      </c>
      <c s="3">
        <v>6389</v>
      </c>
      <c>
        <v>0</v>
      </c>
      <c s="3">
        <v>0</v>
      </c>
      <c s="3">
        <v>332.26</v>
      </c>
      <c s="3">
        <v>12544</v>
      </c>
      <c r="O1008" s="1" t="str">
        <f ca="1">HYPERLINK("https://web.datatree.com/?/property?propertyId=32313616", "https://web.datatree.com/?/property?propertyId=32313616")</f>
        <v>https://web.datatree.com/?/property?propertyId=32313616</v>
      </c>
      <c r="Q1008" t="s">
        <v>316</v>
      </c>
      <c>
        <v>0.288</v>
      </c>
      <c t="s">
        <v>5471</v>
      </c>
      <c t="s">
        <v>56637</v>
      </c>
      <c t="s">
        <v>844</v>
      </c>
      <c t="s">
        <v>62236</v>
      </c>
      <c t="s">
        <v>844</v>
      </c>
      <c t="s">
        <v>55033</v>
      </c>
      <c t="s">
        <v>61415</v>
      </c>
      <c t="s">
        <v>65059</v>
      </c>
      <c t="s">
        <v>39289</v>
      </c>
      <c>
        <v>33905</v>
      </c>
      <c t="s">
        <v>56759</v>
      </c>
      <c t="s">
        <v>48794</v>
      </c>
      <c t="s">
        <v>64665</v>
      </c>
      <c>
        <v>7730</v>
      </c>
      <c r="AI1008" t="s">
        <v>61096</v>
      </c>
      <c t="s">
        <v>45393</v>
      </c>
      <c>
        <v>507</v>
      </c>
      <c t="s">
        <v>7634</v>
      </c>
      <c r="AN1008" t="s">
        <v>39289</v>
      </c>
      <c t="s">
        <v>19587</v>
      </c>
      <c t="s">
        <v>38085</v>
      </c>
      <c t="s">
        <v>3093</v>
      </c>
      <c t="s">
        <v>8118</v>
      </c>
    </row>
    <row>
      <c t="s">
        <v>17594</v>
      </c>
      <c t="s">
        <v>58248</v>
      </c>
      <c t="s">
        <v>36432</v>
      </c>
      <c t="s">
        <v>44387</v>
      </c>
      <c t="s">
        <v>24936</v>
      </c>
      <c s="3">
        <v>24711</v>
      </c>
      <c s="3">
        <v>24711</v>
      </c>
      <c s="3">
        <v>24711</v>
      </c>
      <c>
        <v>0</v>
      </c>
      <c s="3">
        <v>0</v>
      </c>
      <c s="3">
        <v>764.8</v>
      </c>
      <c s="3">
        <v>24711</v>
      </c>
      <c r="O1009" s="1" t="str">
        <f ca="1">HYPERLINK("https://web.datatree.com/?/property?propertyId=32314167", "https://web.datatree.com/?/property?propertyId=32314167")</f>
        <v>https://web.datatree.com/?/property?propertyId=32314167</v>
      </c>
      <c r="Q1009" t="s">
        <v>316</v>
      </c>
      <c>
        <v>0.23</v>
      </c>
      <c t="s">
        <v>22490</v>
      </c>
      <c t="s">
        <v>66904</v>
      </c>
      <c t="s">
        <v>20424</v>
      </c>
      <c r="X1009" t="s">
        <v>8554</v>
      </c>
      <c t="s">
        <v>35712</v>
      </c>
      <c t="s">
        <v>2517</v>
      </c>
      <c t="s">
        <v>39289</v>
      </c>
      <c>
        <v>33909</v>
      </c>
      <c>
        <v>33909</v>
      </c>
      <c t="s">
        <v>48794</v>
      </c>
      <c t="s">
        <v>28809</v>
      </c>
      <c>
        <v>196</v>
      </c>
      <c r="AI1009" t="s">
        <v>4141</v>
      </c>
      <c t="s">
        <v>45393</v>
      </c>
      <c t="s">
        <v>27330</v>
      </c>
      <c t="s">
        <v>10382</v>
      </c>
      <c t="s">
        <v>10382</v>
      </c>
      <c t="s">
        <v>26016</v>
      </c>
      <c t="s">
        <v>11217</v>
      </c>
      <c t="s">
        <v>34162</v>
      </c>
      <c t="s">
        <v>3093</v>
      </c>
      <c t="s">
        <v>29119</v>
      </c>
    </row>
    <row>
      <c t="s">
        <v>17594</v>
      </c>
      <c t="s">
        <v>55017</v>
      </c>
      <c t="s">
        <v>49737</v>
      </c>
      <c t="s">
        <v>25257</v>
      </c>
      <c t="s">
        <v>52743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1010" s="1" t="str">
        <f ca="1">HYPERLINK("https://web.datatree.com/?/property?propertyId=32314617", "https://web.datatree.com/?/property?propertyId=32314617")</f>
        <v>https://web.datatree.com/?/property?propertyId=32314617</v>
      </c>
      <c r="Q1010" t="s">
        <v>316</v>
      </c>
      <c>
        <v>0.23</v>
      </c>
      <c t="s">
        <v>6175</v>
      </c>
      <c t="s">
        <v>56577</v>
      </c>
      <c t="s">
        <v>14262</v>
      </c>
      <c t="s">
        <v>36941</v>
      </c>
      <c t="s">
        <v>23662</v>
      </c>
      <c t="s">
        <v>17952</v>
      </c>
      <c t="s">
        <v>39082</v>
      </c>
      <c t="s">
        <v>2517</v>
      </c>
      <c t="s">
        <v>39289</v>
      </c>
      <c>
        <v>33909</v>
      </c>
      <c t="s">
        <v>23683</v>
      </c>
      <c t="s">
        <v>48794</v>
      </c>
      <c t="s">
        <v>55849</v>
      </c>
      <c>
        <v>1289</v>
      </c>
      <c r="AI1010" t="s">
        <v>42962</v>
      </c>
      <c t="s">
        <v>1671</v>
      </c>
      <c r="AL1010" t="s">
        <v>17856</v>
      </c>
      <c r="AN1010" t="s">
        <v>50829</v>
      </c>
      <c t="s">
        <v>55702</v>
      </c>
      <c t="s">
        <v>14845</v>
      </c>
      <c t="s">
        <v>3093</v>
      </c>
      <c t="s">
        <v>52321</v>
      </c>
    </row>
    <row>
      <c t="s">
        <v>17594</v>
      </c>
      <c t="s">
        <v>24195</v>
      </c>
      <c t="s">
        <v>44126</v>
      </c>
      <c t="s">
        <v>24454</v>
      </c>
      <c t="s">
        <v>65581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1011" s="1" t="str">
        <f ca="1">HYPERLINK("https://web.datatree.com/?/property?propertyId=32315576", "https://web.datatree.com/?/property?propertyId=32315576")</f>
        <v>https://web.datatree.com/?/property?propertyId=32315576</v>
      </c>
      <c r="Q1011" t="s">
        <v>316</v>
      </c>
      <c>
        <v>0.23</v>
      </c>
      <c t="s">
        <v>28270</v>
      </c>
      <c t="s">
        <v>57374</v>
      </c>
      <c t="s">
        <v>34170</v>
      </c>
      <c r="X1011" t="s">
        <v>37175</v>
      </c>
      <c t="s">
        <v>30928</v>
      </c>
      <c t="s">
        <v>2517</v>
      </c>
      <c t="s">
        <v>39289</v>
      </c>
      <c>
        <v>33909</v>
      </c>
      <c t="s">
        <v>14414</v>
      </c>
      <c t="s">
        <v>48794</v>
      </c>
      <c t="s">
        <v>7598</v>
      </c>
      <c>
        <v>8608</v>
      </c>
      <c r="AI1011" t="s">
        <v>60600</v>
      </c>
      <c t="s">
        <v>45620</v>
      </c>
      <c r="AL1011" t="s">
        <v>15244</v>
      </c>
      <c r="AN1011" t="s">
        <v>48152</v>
      </c>
      <c t="s">
        <v>8874</v>
      </c>
      <c t="s">
        <v>64128</v>
      </c>
      <c t="s">
        <v>3093</v>
      </c>
      <c t="s">
        <v>11973</v>
      </c>
    </row>
    <row>
      <c t="s">
        <v>42103</v>
      </c>
      <c t="s">
        <v>15255</v>
      </c>
      <c t="s">
        <v>18548</v>
      </c>
      <c t="s">
        <v>44369</v>
      </c>
      <c t="s">
        <v>24593</v>
      </c>
      <c s="3">
        <v>7500</v>
      </c>
      <c s="3">
        <v>7500</v>
      </c>
      <c s="3">
        <v>7500</v>
      </c>
      <c>
        <v>0</v>
      </c>
      <c s="3">
        <v>0</v>
      </c>
      <c s="3">
        <v>623.83</v>
      </c>
      <c s="3">
        <v>7500</v>
      </c>
      <c r="O1012" s="1" t="str">
        <f ca="1">HYPERLINK("https://web.datatree.com/?/property?propertyId=32318479", "https://web.datatree.com/?/property?propertyId=32318479")</f>
        <v>https://web.datatree.com/?/property?propertyId=32318479</v>
      </c>
      <c r="Q1012" t="s">
        <v>316</v>
      </c>
      <c>
        <v>0.23</v>
      </c>
      <c t="s">
        <v>6175</v>
      </c>
      <c r="U1012" t="s">
        <v>47586</v>
      </c>
      <c r="X1012" t="s">
        <v>60303</v>
      </c>
      <c t="s">
        <v>61865</v>
      </c>
      <c t="s">
        <v>2517</v>
      </c>
      <c t="s">
        <v>39289</v>
      </c>
      <c>
        <v>33909</v>
      </c>
      <c t="s">
        <v>11018</v>
      </c>
      <c t="s">
        <v>48794</v>
      </c>
      <c t="s">
        <v>21205</v>
      </c>
      <c r="AI1012" t="s">
        <v>1102</v>
      </c>
      <c r="AK1012">
        <v>1</v>
      </c>
      <c t="s">
        <v>65425</v>
      </c>
      <c t="s">
        <v>65425</v>
      </c>
      <c t="s">
        <v>65451</v>
      </c>
      <c t="s">
        <v>20987</v>
      </c>
      <c t="s">
        <v>49655</v>
      </c>
      <c t="s">
        <v>3093</v>
      </c>
      <c t="s">
        <v>65045</v>
      </c>
    </row>
    <row>
      <c t="s">
        <v>17594</v>
      </c>
      <c t="s">
        <v>24475</v>
      </c>
      <c t="s">
        <v>1185</v>
      </c>
      <c t="s">
        <v>10963</v>
      </c>
      <c t="s">
        <v>22730</v>
      </c>
      <c s="3">
        <v>24937</v>
      </c>
      <c s="3">
        <v>24937</v>
      </c>
      <c s="3">
        <v>24937</v>
      </c>
      <c>
        <v>0</v>
      </c>
      <c s="3">
        <v>0</v>
      </c>
      <c s="3">
        <v>814.24</v>
      </c>
      <c s="3">
        <v>24937</v>
      </c>
      <c r="O1013" s="1" t="str">
        <f ca="1">HYPERLINK("https://web.datatree.com/?/property?propertyId=32319029", "https://web.datatree.com/?/property?propertyId=32319029")</f>
        <v>https://web.datatree.com/?/property?propertyId=32319029</v>
      </c>
      <c r="Q1013" t="s">
        <v>316</v>
      </c>
      <c>
        <v>0.255</v>
      </c>
      <c t="s">
        <v>6175</v>
      </c>
      <c t="s">
        <v>2140</v>
      </c>
      <c t="s">
        <v>25451</v>
      </c>
      <c r="X1013" t="s">
        <v>5632</v>
      </c>
      <c t="s">
        <v>34731</v>
      </c>
      <c t="s">
        <v>2517</v>
      </c>
      <c t="s">
        <v>39289</v>
      </c>
      <c>
        <v>33909</v>
      </c>
      <c t="s">
        <v>9289</v>
      </c>
      <c t="s">
        <v>48794</v>
      </c>
      <c t="s">
        <v>2623</v>
      </c>
      <c>
        <v>4207</v>
      </c>
      <c r="AI1013" t="s">
        <v>36129</v>
      </c>
      <c t="s">
        <v>1289</v>
      </c>
      <c>
        <v>12210</v>
      </c>
      <c t="s">
        <v>36080</v>
      </c>
      <c t="s">
        <v>36080</v>
      </c>
      <c t="s">
        <v>39289</v>
      </c>
      <c t="s">
        <v>6942</v>
      </c>
      <c t="s">
        <v>53660</v>
      </c>
      <c t="s">
        <v>3093</v>
      </c>
      <c t="s">
        <v>12819</v>
      </c>
    </row>
    <row>
      <c t="s">
        <v>17594</v>
      </c>
      <c t="s">
        <v>35893</v>
      </c>
      <c t="s">
        <v>13698</v>
      </c>
      <c t="s">
        <v>32803</v>
      </c>
      <c t="s">
        <v>16562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014" s="1" t="str">
        <f ca="1">HYPERLINK("https://web.datatree.com/?/property?propertyId=32319067", "https://web.datatree.com/?/property?propertyId=32319067")</f>
        <v>https://web.datatree.com/?/property?propertyId=32319067</v>
      </c>
      <c r="Q1014" t="s">
        <v>316</v>
      </c>
      <c>
        <v>0.23</v>
      </c>
      <c t="s">
        <v>6175</v>
      </c>
      <c t="s">
        <v>52057</v>
      </c>
      <c t="s">
        <v>6914</v>
      </c>
      <c t="s">
        <v>2636</v>
      </c>
      <c t="s">
        <v>53486</v>
      </c>
      <c t="s">
        <v>48929</v>
      </c>
      <c t="s">
        <v>38550</v>
      </c>
      <c t="s">
        <v>2517</v>
      </c>
      <c t="s">
        <v>39289</v>
      </c>
      <c>
        <v>33909</v>
      </c>
      <c t="s">
        <v>50393</v>
      </c>
      <c t="s">
        <v>48794</v>
      </c>
      <c t="s">
        <v>66885</v>
      </c>
      <c>
        <v>4649</v>
      </c>
      <c r="AI1014" t="s">
        <v>47683</v>
      </c>
      <c t="s">
        <v>24900</v>
      </c>
      <c r="AL1014" t="s">
        <v>23972</v>
      </c>
      <c r="AN1014" t="s">
        <v>19878</v>
      </c>
      <c t="s">
        <v>63740</v>
      </c>
      <c t="s">
        <v>38085</v>
      </c>
      <c t="s">
        <v>3093</v>
      </c>
      <c t="s">
        <v>12749</v>
      </c>
    </row>
    <row>
      <c t="s">
        <v>17594</v>
      </c>
      <c t="s">
        <v>13990</v>
      </c>
      <c t="s">
        <v>1321</v>
      </c>
      <c t="s">
        <v>10453</v>
      </c>
      <c t="s">
        <v>29298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1015" s="1" t="str">
        <f ca="1">HYPERLINK("https://web.datatree.com/?/property?propertyId=32319349", "https://web.datatree.com/?/property?propertyId=32319349")</f>
        <v>https://web.datatree.com/?/property?propertyId=32319349</v>
      </c>
      <c r="Q1015" t="s">
        <v>316</v>
      </c>
      <c>
        <v>0.235</v>
      </c>
      <c t="s">
        <v>42044</v>
      </c>
      <c r="U1015" t="s">
        <v>855</v>
      </c>
      <c t="s">
        <v>5146</v>
      </c>
      <c t="s">
        <v>32426</v>
      </c>
      <c t="s">
        <v>49041</v>
      </c>
      <c t="s">
        <v>57064</v>
      </c>
      <c t="s">
        <v>2517</v>
      </c>
      <c t="s">
        <v>39289</v>
      </c>
      <c>
        <v>33909</v>
      </c>
      <c t="s">
        <v>19189</v>
      </c>
      <c t="s">
        <v>48794</v>
      </c>
      <c t="s">
        <v>62197</v>
      </c>
      <c>
        <v>6900</v>
      </c>
      <c r="AI1015" t="s">
        <v>42233</v>
      </c>
      <c t="s">
        <v>31192</v>
      </c>
      <c>
        <v>603</v>
      </c>
      <c t="s">
        <v>38297</v>
      </c>
      <c r="AN1015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25921</v>
      </c>
      <c t="s">
        <v>59911</v>
      </c>
      <c t="s">
        <v>12634</v>
      </c>
      <c t="s">
        <v>29307</v>
      </c>
      <c s="3">
        <v>93570</v>
      </c>
      <c s="3">
        <v>93570</v>
      </c>
      <c s="3">
        <v>65316</v>
      </c>
      <c>
        <v>0</v>
      </c>
      <c s="3">
        <v>0</v>
      </c>
      <c s="3">
        <v>1846.53</v>
      </c>
      <c s="3">
        <v>93570</v>
      </c>
      <c r="O1016" s="1" t="str">
        <f ca="1">HYPERLINK("https://web.datatree.com/?/property?propertyId=32319570", "https://web.datatree.com/?/property?propertyId=32319570")</f>
        <v>https://web.datatree.com/?/property?propertyId=32319570</v>
      </c>
      <c r="Q1016" t="s">
        <v>316</v>
      </c>
      <c>
        <v>0.266</v>
      </c>
      <c t="s">
        <v>22490</v>
      </c>
      <c r="U1016" t="s">
        <v>18924</v>
      </c>
      <c r="W1016" t="s">
        <v>25635</v>
      </c>
      <c t="s">
        <v>16738</v>
      </c>
      <c t="s">
        <v>64331</v>
      </c>
      <c t="s">
        <v>2517</v>
      </c>
      <c t="s">
        <v>39289</v>
      </c>
      <c>
        <v>33904</v>
      </c>
      <c t="s">
        <v>25261</v>
      </c>
      <c t="s">
        <v>48794</v>
      </c>
      <c t="s">
        <v>30820</v>
      </c>
      <c>
        <v>31101</v>
      </c>
      <c r="AI1016" t="s">
        <v>34344</v>
      </c>
      <c t="s">
        <v>40123</v>
      </c>
      <c r="AL1016" t="s">
        <v>66905</v>
      </c>
      <c r="AN1016" t="s">
        <v>17134</v>
      </c>
      <c t="s">
        <v>2936</v>
      </c>
      <c t="s">
        <v>19978</v>
      </c>
      <c t="s">
        <v>3093</v>
      </c>
      <c t="s">
        <v>35241</v>
      </c>
    </row>
    <row>
      <c t="s">
        <v>17594</v>
      </c>
      <c t="s">
        <v>8828</v>
      </c>
      <c t="s">
        <v>55891</v>
      </c>
      <c t="s">
        <v>41032</v>
      </c>
      <c t="s">
        <v>44440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017" s="1" t="str">
        <f ca="1">HYPERLINK("https://web.datatree.com/?/property?propertyId=32320088", "https://web.datatree.com/?/property?propertyId=32320088")</f>
        <v>https://web.datatree.com/?/property?propertyId=32320088</v>
      </c>
      <c r="Q1017" t="s">
        <v>316</v>
      </c>
      <c>
        <v>0.23</v>
      </c>
      <c t="s">
        <v>6175</v>
      </c>
      <c t="s">
        <v>21945</v>
      </c>
      <c t="s">
        <v>46283</v>
      </c>
      <c t="s">
        <v>41113</v>
      </c>
      <c t="s">
        <v>46283</v>
      </c>
      <c t="s">
        <v>41381</v>
      </c>
      <c t="s">
        <v>29190</v>
      </c>
      <c t="s">
        <v>2517</v>
      </c>
      <c t="s">
        <v>39289</v>
      </c>
      <c>
        <v>33909</v>
      </c>
      <c t="s">
        <v>32541</v>
      </c>
      <c t="s">
        <v>48794</v>
      </c>
      <c t="s">
        <v>64425</v>
      </c>
      <c>
        <v>10371</v>
      </c>
      <c r="AI1017" t="s">
        <v>53675</v>
      </c>
      <c t="s">
        <v>55842</v>
      </c>
      <c r="AL1017" t="s">
        <v>25857</v>
      </c>
      <c t="s">
        <v>25857</v>
      </c>
      <c t="s">
        <v>39289</v>
      </c>
      <c t="s">
        <v>23335</v>
      </c>
      <c t="s">
        <v>40645</v>
      </c>
      <c t="s">
        <v>3093</v>
      </c>
      <c t="s">
        <v>47762</v>
      </c>
    </row>
    <row>
      <c t="s">
        <v>17594</v>
      </c>
      <c t="s">
        <v>5643</v>
      </c>
      <c t="s">
        <v>30434</v>
      </c>
      <c t="s">
        <v>33583</v>
      </c>
      <c t="s">
        <v>49638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1018" s="1" t="str">
        <f ca="1">HYPERLINK("https://web.datatree.com/?/property?propertyId=32320377", "https://web.datatree.com/?/property?propertyId=32320377")</f>
        <v>https://web.datatree.com/?/property?propertyId=32320377</v>
      </c>
      <c r="Q1018" t="s">
        <v>316</v>
      </c>
      <c>
        <v>0.23</v>
      </c>
      <c t="s">
        <v>6175</v>
      </c>
      <c t="s">
        <v>36612</v>
      </c>
      <c t="s">
        <v>57192</v>
      </c>
      <c r="X1018" t="s">
        <v>46583</v>
      </c>
      <c t="s">
        <v>22731</v>
      </c>
      <c t="s">
        <v>2517</v>
      </c>
      <c t="s">
        <v>39289</v>
      </c>
      <c>
        <v>33909</v>
      </c>
      <c t="s">
        <v>6090</v>
      </c>
      <c t="s">
        <v>48794</v>
      </c>
      <c t="s">
        <v>18334</v>
      </c>
      <c>
        <v>11590</v>
      </c>
      <c r="AI1018" t="s">
        <v>31759</v>
      </c>
      <c t="s">
        <v>45620</v>
      </c>
      <c r="AL1018" t="s">
        <v>4859</v>
      </c>
      <c r="AN1018" t="s">
        <v>39289</v>
      </c>
      <c t="s">
        <v>2224</v>
      </c>
      <c t="s">
        <v>57360</v>
      </c>
      <c t="s">
        <v>3093</v>
      </c>
      <c t="s">
        <v>28419</v>
      </c>
    </row>
    <row>
      <c t="s">
        <v>17594</v>
      </c>
      <c t="s">
        <v>52809</v>
      </c>
      <c t="s">
        <v>66186</v>
      </c>
      <c t="s">
        <v>27753</v>
      </c>
      <c t="s">
        <v>61384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019" s="1" t="str">
        <f ca="1">HYPERLINK("https://web.datatree.com/?/property?propertyId=32320777", "https://web.datatree.com/?/property?propertyId=32320777")</f>
        <v>https://web.datatree.com/?/property?propertyId=32320777</v>
      </c>
      <c r="Q1019" t="s">
        <v>316</v>
      </c>
      <c>
        <v>0.23</v>
      </c>
      <c t="s">
        <v>22490</v>
      </c>
      <c t="s">
        <v>38585</v>
      </c>
      <c t="s">
        <v>9555</v>
      </c>
      <c t="s">
        <v>52333</v>
      </c>
      <c t="s">
        <v>9555</v>
      </c>
      <c t="s">
        <v>31880</v>
      </c>
      <c t="s">
        <v>39082</v>
      </c>
      <c t="s">
        <v>2517</v>
      </c>
      <c t="s">
        <v>39289</v>
      </c>
      <c>
        <v>33909</v>
      </c>
      <c t="s">
        <v>16023</v>
      </c>
      <c t="s">
        <v>48794</v>
      </c>
      <c t="s">
        <v>42741</v>
      </c>
      <c>
        <v>36</v>
      </c>
      <c r="AI1019" t="s">
        <v>11181</v>
      </c>
      <c t="s">
        <v>24900</v>
      </c>
      <c r="AL1019" t="s">
        <v>22017</v>
      </c>
      <c t="s">
        <v>22017</v>
      </c>
      <c t="s">
        <v>26016</v>
      </c>
      <c t="s">
        <v>26706</v>
      </c>
      <c t="s">
        <v>40645</v>
      </c>
      <c t="s">
        <v>3093</v>
      </c>
      <c t="s">
        <v>12326</v>
      </c>
    </row>
    <row>
      <c t="s">
        <v>17594</v>
      </c>
      <c t="s">
        <v>10357</v>
      </c>
      <c t="s">
        <v>20308</v>
      </c>
      <c t="s">
        <v>37410</v>
      </c>
      <c t="s">
        <v>54355</v>
      </c>
      <c s="3">
        <v>36210</v>
      </c>
      <c s="3">
        <v>36210</v>
      </c>
      <c s="3">
        <v>9804</v>
      </c>
      <c>
        <v>0</v>
      </c>
      <c s="3">
        <v>0</v>
      </c>
      <c s="3">
        <v>705.7</v>
      </c>
      <c s="3">
        <v>36210</v>
      </c>
      <c r="O1020" s="1" t="str">
        <f ca="1">HYPERLINK("https://web.datatree.com/?/property?propertyId=32321219", "https://web.datatree.com/?/property?propertyId=32321219")</f>
        <v>https://web.datatree.com/?/property?propertyId=32321219</v>
      </c>
      <c r="Q1020" t="s">
        <v>316</v>
      </c>
      <c>
        <v>0.275</v>
      </c>
      <c t="s">
        <v>42044</v>
      </c>
      <c t="s">
        <v>25238</v>
      </c>
      <c t="s">
        <v>60525</v>
      </c>
      <c t="s">
        <v>61259</v>
      </c>
      <c t="s">
        <v>60525</v>
      </c>
      <c t="s">
        <v>19728</v>
      </c>
      <c t="s">
        <v>8669</v>
      </c>
      <c t="s">
        <v>2517</v>
      </c>
      <c t="s">
        <v>39289</v>
      </c>
      <c>
        <v>33909</v>
      </c>
      <c>
        <v>33909</v>
      </c>
      <c t="s">
        <v>48794</v>
      </c>
      <c t="s">
        <v>30738</v>
      </c>
      <c>
        <v>10</v>
      </c>
      <c r="AI1020" t="s">
        <v>30037</v>
      </c>
      <c t="s">
        <v>55842</v>
      </c>
      <c r="AL1020" t="s">
        <v>37127</v>
      </c>
      <c r="AN1020" t="s">
        <v>50917</v>
      </c>
      <c t="s">
        <v>63196</v>
      </c>
      <c t="s">
        <v>4480</v>
      </c>
      <c t="s">
        <v>3093</v>
      </c>
      <c t="s">
        <v>53780</v>
      </c>
    </row>
    <row>
      <c t="s">
        <v>17594</v>
      </c>
      <c t="s">
        <v>10523</v>
      </c>
      <c t="s">
        <v>4607</v>
      </c>
      <c t="s">
        <v>66027</v>
      </c>
      <c t="s">
        <v>13743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021" s="1" t="str">
        <f ca="1">HYPERLINK("https://web.datatree.com/?/property?propertyId=32322386", "https://web.datatree.com/?/property?propertyId=32322386")</f>
        <v>https://web.datatree.com/?/property?propertyId=32322386</v>
      </c>
      <c r="Q1021" t="s">
        <v>316</v>
      </c>
      <c>
        <v>0.231</v>
      </c>
      <c t="s">
        <v>6175</v>
      </c>
      <c t="s">
        <v>3724</v>
      </c>
      <c t="s">
        <v>22457</v>
      </c>
      <c t="s">
        <v>1599</v>
      </c>
      <c t="s">
        <v>22457</v>
      </c>
      <c t="s">
        <v>61349</v>
      </c>
      <c t="s">
        <v>23517</v>
      </c>
      <c t="s">
        <v>2517</v>
      </c>
      <c t="s">
        <v>39289</v>
      </c>
      <c>
        <v>33909</v>
      </c>
      <c t="s">
        <v>23360</v>
      </c>
      <c t="s">
        <v>48794</v>
      </c>
      <c t="s">
        <v>30100</v>
      </c>
      <c>
        <v>36</v>
      </c>
      <c r="AI1021" t="s">
        <v>20353</v>
      </c>
      <c t="s">
        <v>45620</v>
      </c>
      <c r="AL1021" t="s">
        <v>61202</v>
      </c>
      <c r="AN1021" t="s">
        <v>49572</v>
      </c>
      <c t="s">
        <v>53762</v>
      </c>
      <c t="s">
        <v>44428</v>
      </c>
      <c t="s">
        <v>3093</v>
      </c>
      <c t="s">
        <v>28238</v>
      </c>
    </row>
    <row>
      <c t="s">
        <v>17594</v>
      </c>
      <c t="s">
        <v>31157</v>
      </c>
      <c t="s">
        <v>55182</v>
      </c>
      <c t="s">
        <v>58510</v>
      </c>
      <c t="s">
        <v>54478</v>
      </c>
      <c s="3">
        <v>8400</v>
      </c>
      <c s="3">
        <v>8400</v>
      </c>
      <c s="3">
        <v>8400</v>
      </c>
      <c>
        <v>0</v>
      </c>
      <c s="3">
        <v>0</v>
      </c>
      <c s="3">
        <v>539.66</v>
      </c>
      <c s="3">
        <v>8400</v>
      </c>
      <c r="O1022" s="1" t="str">
        <f ca="1">HYPERLINK("https://web.datatree.com/?/property?propertyId=32322659", "https://web.datatree.com/?/property?propertyId=32322659")</f>
        <v>https://web.datatree.com/?/property?propertyId=32322659</v>
      </c>
      <c r="Q1022" t="s">
        <v>316</v>
      </c>
      <c>
        <v>0.23</v>
      </c>
      <c t="s">
        <v>6175</v>
      </c>
      <c t="s">
        <v>773</v>
      </c>
      <c t="s">
        <v>20964</v>
      </c>
      <c t="s">
        <v>18547</v>
      </c>
      <c t="s">
        <v>45445</v>
      </c>
      <c t="s">
        <v>31182</v>
      </c>
      <c t="s">
        <v>29190</v>
      </c>
      <c t="s">
        <v>2517</v>
      </c>
      <c t="s">
        <v>39289</v>
      </c>
      <c>
        <v>33909</v>
      </c>
      <c t="s">
        <v>20836</v>
      </c>
      <c t="s">
        <v>48794</v>
      </c>
      <c t="s">
        <v>48120</v>
      </c>
      <c>
        <v>195</v>
      </c>
      <c r="AH1022" t="s">
        <v>26580</v>
      </c>
      <c t="s">
        <v>13165</v>
      </c>
      <c r="AL1022" t="s">
        <v>27522</v>
      </c>
      <c r="AN1022" t="s">
        <v>26016</v>
      </c>
      <c t="s">
        <v>16504</v>
      </c>
      <c t="s">
        <v>326</v>
      </c>
      <c t="s">
        <v>3093</v>
      </c>
      <c t="s">
        <v>18161</v>
      </c>
    </row>
    <row>
      <c t="s">
        <v>17594</v>
      </c>
      <c t="s">
        <v>63571</v>
      </c>
      <c t="s">
        <v>35890</v>
      </c>
      <c t="s">
        <v>66164</v>
      </c>
      <c t="s">
        <v>3693</v>
      </c>
      <c s="3">
        <v>26706</v>
      </c>
      <c s="3">
        <v>26706</v>
      </c>
      <c s="3">
        <v>9599</v>
      </c>
      <c>
        <v>0</v>
      </c>
      <c s="3">
        <v>0</v>
      </c>
      <c s="3">
        <v>915.02</v>
      </c>
      <c s="3">
        <v>26706</v>
      </c>
      <c r="O1023" s="1" t="str">
        <f ca="1">HYPERLINK("https://web.datatree.com/?/property?propertyId=32322776", "https://web.datatree.com/?/property?propertyId=32322776")</f>
        <v>https://web.datatree.com/?/property?propertyId=32322776</v>
      </c>
      <c r="Q1023" t="s">
        <v>316</v>
      </c>
      <c>
        <v>0.373</v>
      </c>
      <c t="s">
        <v>65422</v>
      </c>
      <c t="s">
        <v>33822</v>
      </c>
      <c t="s">
        <v>11151</v>
      </c>
      <c r="X1023" t="s">
        <v>33673</v>
      </c>
      <c t="s">
        <v>39082</v>
      </c>
      <c t="s">
        <v>2517</v>
      </c>
      <c t="s">
        <v>39289</v>
      </c>
      <c>
        <v>33909</v>
      </c>
      <c t="s">
        <v>54580</v>
      </c>
      <c t="s">
        <v>48794</v>
      </c>
      <c t="s">
        <v>19755</v>
      </c>
      <c>
        <v>411</v>
      </c>
      <c r="AI1023" t="s">
        <v>48388</v>
      </c>
      <c t="s">
        <v>45393</v>
      </c>
      <c r="AL1023" t="s">
        <v>18513</v>
      </c>
      <c r="AN1023" t="s">
        <v>50917</v>
      </c>
      <c t="s">
        <v>43927</v>
      </c>
      <c t="s">
        <v>51249</v>
      </c>
      <c t="s">
        <v>3093</v>
      </c>
      <c t="s">
        <v>23012</v>
      </c>
    </row>
    <row>
      <c t="s">
        <v>17594</v>
      </c>
      <c t="s">
        <v>21529</v>
      </c>
      <c t="s">
        <v>22631</v>
      </c>
      <c t="s">
        <v>6086</v>
      </c>
      <c t="s">
        <v>61681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024" s="1" t="str">
        <f ca="1">HYPERLINK("https://web.datatree.com/?/property?propertyId=32323562", "https://web.datatree.com/?/property?propertyId=32323562")</f>
        <v>https://web.datatree.com/?/property?propertyId=32323562</v>
      </c>
      <c r="Q1024" t="s">
        <v>316</v>
      </c>
      <c>
        <v>0.23</v>
      </c>
      <c t="s">
        <v>6175</v>
      </c>
      <c t="s">
        <v>40231</v>
      </c>
      <c t="s">
        <v>31111</v>
      </c>
      <c t="s">
        <v>52644</v>
      </c>
      <c t="s">
        <v>1083</v>
      </c>
      <c t="s">
        <v>10167</v>
      </c>
      <c t="s">
        <v>66701</v>
      </c>
      <c t="s">
        <v>2517</v>
      </c>
      <c t="s">
        <v>39289</v>
      </c>
      <c>
        <v>33909</v>
      </c>
      <c t="s">
        <v>27382</v>
      </c>
      <c t="s">
        <v>48794</v>
      </c>
      <c t="s">
        <v>66942</v>
      </c>
      <c>
        <v>1993</v>
      </c>
      <c r="AI1024" t="s">
        <v>25403</v>
      </c>
      <c t="s">
        <v>31192</v>
      </c>
      <c r="AL1024" t="s">
        <v>53894</v>
      </c>
      <c r="AN1024" t="s">
        <v>18594</v>
      </c>
      <c t="s">
        <v>35957</v>
      </c>
      <c t="s">
        <v>12241</v>
      </c>
      <c t="s">
        <v>3093</v>
      </c>
      <c t="s">
        <v>37653</v>
      </c>
    </row>
    <row>
      <c t="s">
        <v>17594</v>
      </c>
      <c t="s">
        <v>13539</v>
      </c>
      <c t="s">
        <v>20239</v>
      </c>
      <c t="s">
        <v>41750</v>
      </c>
      <c t="s">
        <v>40649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1025" s="1" t="str">
        <f ca="1">HYPERLINK("https://web.datatree.com/?/property?propertyId=32324018", "https://web.datatree.com/?/property?propertyId=32324018")</f>
        <v>https://web.datatree.com/?/property?propertyId=32324018</v>
      </c>
      <c r="Q1025" t="s">
        <v>316</v>
      </c>
      <c>
        <v>0.23</v>
      </c>
      <c t="s">
        <v>22490</v>
      </c>
      <c t="s">
        <v>1494</v>
      </c>
      <c t="s">
        <v>25447</v>
      </c>
      <c r="X1025" t="s">
        <v>35974</v>
      </c>
      <c t="s">
        <v>11985</v>
      </c>
      <c t="s">
        <v>2517</v>
      </c>
      <c t="s">
        <v>39289</v>
      </c>
      <c>
        <v>33909</v>
      </c>
      <c>
        <v>33909</v>
      </c>
      <c t="s">
        <v>48794</v>
      </c>
      <c t="s">
        <v>21740</v>
      </c>
      <c>
        <v>5928</v>
      </c>
      <c r="AI1025" t="s">
        <v>24816</v>
      </c>
      <c t="s">
        <v>45620</v>
      </c>
      <c r="AL1025" t="s">
        <v>7812</v>
      </c>
      <c t="s">
        <v>7107</v>
      </c>
      <c t="s">
        <v>49572</v>
      </c>
      <c t="s">
        <v>29858</v>
      </c>
      <c t="s">
        <v>42082</v>
      </c>
      <c t="s">
        <v>3093</v>
      </c>
      <c t="s">
        <v>61877</v>
      </c>
    </row>
    <row>
      <c t="s">
        <v>17594</v>
      </c>
      <c t="s">
        <v>63847</v>
      </c>
      <c t="s">
        <v>43586</v>
      </c>
      <c t="s">
        <v>41400</v>
      </c>
      <c t="s">
        <v>21489</v>
      </c>
      <c s="3">
        <v>68718</v>
      </c>
      <c s="3">
        <v>68718</v>
      </c>
      <c s="3">
        <v>37508</v>
      </c>
      <c>
        <v>0</v>
      </c>
      <c s="3">
        <v>0</v>
      </c>
      <c s="3">
        <v>1140.44</v>
      </c>
      <c s="3">
        <v>68718</v>
      </c>
      <c r="O1026" s="1" t="str">
        <f ca="1">HYPERLINK("https://web.datatree.com/?/property?propertyId=32324366", "https://web.datatree.com/?/property?propertyId=32324366")</f>
        <v>https://web.datatree.com/?/property?propertyId=32324366</v>
      </c>
      <c r="Q1026" t="s">
        <v>316</v>
      </c>
      <c>
        <v>0.23</v>
      </c>
      <c t="s">
        <v>22490</v>
      </c>
      <c t="s">
        <v>10441</v>
      </c>
      <c t="s">
        <v>12233</v>
      </c>
      <c t="s">
        <v>11223</v>
      </c>
      <c t="s">
        <v>50123</v>
      </c>
      <c t="s">
        <v>4144</v>
      </c>
      <c t="s">
        <v>22731</v>
      </c>
      <c t="s">
        <v>2517</v>
      </c>
      <c t="s">
        <v>39289</v>
      </c>
      <c>
        <v>33909</v>
      </c>
      <c>
        <v>33909</v>
      </c>
      <c t="s">
        <v>48794</v>
      </c>
      <c t="s">
        <v>35210</v>
      </c>
      <c>
        <v>162</v>
      </c>
      <c r="AI1026" t="s">
        <v>49337</v>
      </c>
      <c t="s">
        <v>45620</v>
      </c>
      <c r="AL1026" t="s">
        <v>33217</v>
      </c>
      <c r="AN1026" t="s">
        <v>26016</v>
      </c>
      <c t="s">
        <v>23663</v>
      </c>
      <c t="s">
        <v>52393</v>
      </c>
      <c t="s">
        <v>3093</v>
      </c>
      <c t="s">
        <v>8971</v>
      </c>
    </row>
    <row>
      <c t="s">
        <v>42103</v>
      </c>
      <c t="s">
        <v>42748</v>
      </c>
      <c t="s">
        <v>2756</v>
      </c>
      <c t="s">
        <v>22719</v>
      </c>
      <c t="s">
        <v>38363</v>
      </c>
      <c s="3">
        <v>10000</v>
      </c>
      <c s="3">
        <v>10000</v>
      </c>
      <c s="3">
        <v>4992</v>
      </c>
      <c>
        <v>0</v>
      </c>
      <c s="3">
        <v>0</v>
      </c>
      <c s="3">
        <v>114.24</v>
      </c>
      <c s="3">
        <v>10000</v>
      </c>
      <c r="O1027" s="1" t="str">
        <f ca="1">HYPERLINK("https://web.datatree.com/?/property?propertyId=32324373", "https://web.datatree.com/?/property?propertyId=32324373")</f>
        <v>https://web.datatree.com/?/property?propertyId=32324373</v>
      </c>
      <c r="Q1027" t="s">
        <v>316</v>
      </c>
      <c>
        <v>0.157</v>
      </c>
      <c t="s">
        <v>66399</v>
      </c>
      <c t="s">
        <v>26375</v>
      </c>
      <c t="s">
        <v>9302</v>
      </c>
      <c r="X1027" t="s">
        <v>27687</v>
      </c>
      <c t="s">
        <v>61227</v>
      </c>
      <c t="s">
        <v>65059</v>
      </c>
      <c t="s">
        <v>39289</v>
      </c>
      <c>
        <v>33905</v>
      </c>
      <c>
        <v>33905</v>
      </c>
      <c t="s">
        <v>48794</v>
      </c>
      <c t="s">
        <v>58420</v>
      </c>
      <c r="AI1027" t="s">
        <v>42646</v>
      </c>
      <c r="AL1027" t="s">
        <v>51376</v>
      </c>
      <c t="s">
        <v>51376</v>
      </c>
      <c t="s">
        <v>14509</v>
      </c>
      <c t="s">
        <v>25616</v>
      </c>
      <c t="s">
        <v>39239</v>
      </c>
      <c t="s">
        <v>3093</v>
      </c>
      <c t="s">
        <v>4393</v>
      </c>
    </row>
    <row>
      <c t="s">
        <v>17594</v>
      </c>
      <c t="s">
        <v>48025</v>
      </c>
      <c t="s">
        <v>64808</v>
      </c>
      <c t="s">
        <v>54765</v>
      </c>
      <c t="s">
        <v>5086</v>
      </c>
      <c s="3">
        <v>19925</v>
      </c>
      <c s="3">
        <v>19925</v>
      </c>
      <c s="3">
        <v>9240</v>
      </c>
      <c>
        <v>0</v>
      </c>
      <c s="3">
        <v>0</v>
      </c>
      <c s="3">
        <v>580.14</v>
      </c>
      <c s="3">
        <v>19925</v>
      </c>
      <c r="O1028" s="1" t="str">
        <f ca="1">HYPERLINK("https://web.datatree.com/?/property?propertyId=32324563", "https://web.datatree.com/?/property?propertyId=32324563")</f>
        <v>https://web.datatree.com/?/property?propertyId=32324563</v>
      </c>
      <c r="Q1028" t="s">
        <v>316</v>
      </c>
      <c>
        <v>0.228</v>
      </c>
      <c t="s">
        <v>22490</v>
      </c>
      <c t="s">
        <v>45627</v>
      </c>
      <c t="s">
        <v>18158</v>
      </c>
      <c r="X1028" t="s">
        <v>5787</v>
      </c>
      <c t="s">
        <v>61850</v>
      </c>
      <c t="s">
        <v>2517</v>
      </c>
      <c t="s">
        <v>39289</v>
      </c>
      <c>
        <v>33909</v>
      </c>
      <c t="s">
        <v>55313</v>
      </c>
      <c t="s">
        <v>48794</v>
      </c>
      <c t="s">
        <v>28612</v>
      </c>
      <c>
        <v>1900</v>
      </c>
      <c r="AI1028" t="s">
        <v>66667</v>
      </c>
      <c t="s">
        <v>24900</v>
      </c>
      <c r="AL1028" t="s">
        <v>6144</v>
      </c>
      <c r="AN1028" t="s">
        <v>50917</v>
      </c>
      <c t="s">
        <v>35066</v>
      </c>
      <c t="s">
        <v>22302</v>
      </c>
      <c t="s">
        <v>3093</v>
      </c>
      <c t="s">
        <v>6990</v>
      </c>
    </row>
    <row>
      <c t="s">
        <v>17594</v>
      </c>
      <c t="s">
        <v>14291</v>
      </c>
      <c t="s">
        <v>37342</v>
      </c>
      <c t="s">
        <v>33364</v>
      </c>
      <c t="s">
        <v>49990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029" s="1" t="str">
        <f ca="1">HYPERLINK("https://web.datatree.com/?/property?propertyId=32325540", "https://web.datatree.com/?/property?propertyId=32325540")</f>
        <v>https://web.datatree.com/?/property?propertyId=32325540</v>
      </c>
      <c r="Q1029" t="s">
        <v>316</v>
      </c>
      <c>
        <v>0.23</v>
      </c>
      <c t="s">
        <v>6175</v>
      </c>
      <c r="U1029" t="s">
        <v>52674</v>
      </c>
      <c r="X1029" t="s">
        <v>65410</v>
      </c>
      <c t="s">
        <v>33335</v>
      </c>
      <c t="s">
        <v>2517</v>
      </c>
      <c t="s">
        <v>39289</v>
      </c>
      <c>
        <v>33909</v>
      </c>
      <c t="s">
        <v>19404</v>
      </c>
      <c t="s">
        <v>48794</v>
      </c>
      <c t="s">
        <v>56362</v>
      </c>
      <c>
        <v>2326</v>
      </c>
      <c r="AI1029" t="s">
        <v>7415</v>
      </c>
      <c t="s">
        <v>24900</v>
      </c>
      <c t="s">
        <v>44635</v>
      </c>
      <c t="s">
        <v>46797</v>
      </c>
      <c t="s">
        <v>11369</v>
      </c>
      <c t="s">
        <v>39289</v>
      </c>
      <c t="s">
        <v>58308</v>
      </c>
      <c t="s">
        <v>52393</v>
      </c>
      <c t="s">
        <v>3093</v>
      </c>
      <c t="s">
        <v>64605</v>
      </c>
    </row>
    <row>
      <c t="s">
        <v>17594</v>
      </c>
      <c t="s">
        <v>47518</v>
      </c>
      <c t="s">
        <v>65543</v>
      </c>
      <c t="s">
        <v>61702</v>
      </c>
      <c t="s">
        <v>12499</v>
      </c>
      <c s="3">
        <v>14400</v>
      </c>
      <c s="3">
        <v>14400</v>
      </c>
      <c s="3">
        <v>14400</v>
      </c>
      <c>
        <v>0</v>
      </c>
      <c s="3">
        <v>0</v>
      </c>
      <c s="3">
        <v>816.32</v>
      </c>
      <c s="3">
        <v>14400</v>
      </c>
      <c r="O1030" s="1" t="str">
        <f ca="1">HYPERLINK("https://web.datatree.com/?/property?propertyId=32325544", "https://web.datatree.com/?/property?propertyId=32325544")</f>
        <v>https://web.datatree.com/?/property?propertyId=32325544</v>
      </c>
      <c r="Q1030" t="s">
        <v>316</v>
      </c>
      <c>
        <v>0.488</v>
      </c>
      <c t="s">
        <v>6175</v>
      </c>
      <c t="s">
        <v>47977</v>
      </c>
      <c t="s">
        <v>16070</v>
      </c>
      <c t="s">
        <v>27417</v>
      </c>
      <c t="s">
        <v>16070</v>
      </c>
      <c t="s">
        <v>25768</v>
      </c>
      <c t="s">
        <v>59763</v>
      </c>
      <c t="s">
        <v>2517</v>
      </c>
      <c t="s">
        <v>39289</v>
      </c>
      <c>
        <v>33909</v>
      </c>
      <c t="s">
        <v>41681</v>
      </c>
      <c t="s">
        <v>48794</v>
      </c>
      <c t="s">
        <v>65072</v>
      </c>
      <c>
        <v>26722</v>
      </c>
      <c r="AI1030" t="s">
        <v>16558</v>
      </c>
      <c t="s">
        <v>31192</v>
      </c>
      <c r="AL1030" t="s">
        <v>45132</v>
      </c>
      <c r="AN1030" t="s">
        <v>19878</v>
      </c>
      <c t="s">
        <v>32494</v>
      </c>
      <c t="s">
        <v>702</v>
      </c>
      <c t="s">
        <v>3093</v>
      </c>
      <c t="s">
        <v>40915</v>
      </c>
    </row>
    <row>
      <c t="s">
        <v>17594</v>
      </c>
      <c t="s">
        <v>17786</v>
      </c>
      <c t="s">
        <v>22928</v>
      </c>
      <c t="s">
        <v>31484</v>
      </c>
      <c t="s">
        <v>16462</v>
      </c>
      <c s="3">
        <v>8600</v>
      </c>
      <c s="3">
        <v>8600</v>
      </c>
      <c s="3">
        <v>8600</v>
      </c>
      <c>
        <v>0</v>
      </c>
      <c s="3">
        <v>0</v>
      </c>
      <c s="3">
        <v>2807.25</v>
      </c>
      <c s="3">
        <v>8600</v>
      </c>
      <c r="O1031" s="1" t="str">
        <f ca="1">HYPERLINK("https://web.datatree.com/?/property?propertyId=32325560", "https://web.datatree.com/?/property?propertyId=32325560")</f>
        <v>https://web.datatree.com/?/property?propertyId=32325560</v>
      </c>
      <c r="Q1031" t="s">
        <v>316</v>
      </c>
      <c>
        <v>0.24</v>
      </c>
      <c t="s">
        <v>6175</v>
      </c>
      <c t="s">
        <v>66614</v>
      </c>
      <c t="s">
        <v>42925</v>
      </c>
      <c t="s">
        <v>42380</v>
      </c>
      <c t="s">
        <v>39982</v>
      </c>
      <c t="s">
        <v>19681</v>
      </c>
      <c t="s">
        <v>59356</v>
      </c>
      <c t="s">
        <v>2517</v>
      </c>
      <c t="s">
        <v>39289</v>
      </c>
      <c>
        <v>33909</v>
      </c>
      <c t="s">
        <v>5692</v>
      </c>
      <c t="s">
        <v>48794</v>
      </c>
      <c t="s">
        <v>62693</v>
      </c>
      <c r="AI1031" t="s">
        <v>40387</v>
      </c>
      <c t="s">
        <v>31192</v>
      </c>
      <c>
        <v>111</v>
      </c>
      <c t="s">
        <v>30396</v>
      </c>
      <c t="s">
        <v>47422</v>
      </c>
      <c t="s">
        <v>39289</v>
      </c>
      <c>
        <v>33033</v>
      </c>
      <c t="s">
        <v>2121</v>
      </c>
      <c t="s">
        <v>3093</v>
      </c>
      <c t="s">
        <v>15716</v>
      </c>
    </row>
    <row>
      <c t="s">
        <v>17594</v>
      </c>
      <c t="s">
        <v>6444</v>
      </c>
      <c t="s">
        <v>6428</v>
      </c>
      <c t="s">
        <v>40865</v>
      </c>
      <c t="s">
        <v>50490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032" s="1" t="str">
        <f ca="1">HYPERLINK("https://web.datatree.com/?/property?propertyId=32326615", "https://web.datatree.com/?/property?propertyId=32326615")</f>
        <v>https://web.datatree.com/?/property?propertyId=32326615</v>
      </c>
      <c r="Q1032" t="s">
        <v>316</v>
      </c>
      <c>
        <v>0.23</v>
      </c>
      <c t="s">
        <v>22490</v>
      </c>
      <c r="U1032" t="s">
        <v>51939</v>
      </c>
      <c t="s">
        <v>10361</v>
      </c>
      <c t="s">
        <v>50179</v>
      </c>
      <c t="s">
        <v>6129</v>
      </c>
      <c t="s">
        <v>46469</v>
      </c>
      <c t="s">
        <v>2517</v>
      </c>
      <c t="s">
        <v>39289</v>
      </c>
      <c>
        <v>33909</v>
      </c>
      <c t="s">
        <v>52632</v>
      </c>
      <c t="s">
        <v>48794</v>
      </c>
      <c t="s">
        <v>61907</v>
      </c>
      <c>
        <v>831</v>
      </c>
      <c r="AI1032" t="s">
        <v>20949</v>
      </c>
      <c t="s">
        <v>41372</v>
      </c>
      <c>
        <v>2108</v>
      </c>
      <c t="s">
        <v>66511</v>
      </c>
      <c t="s">
        <v>66511</v>
      </c>
      <c t="s">
        <v>32576</v>
      </c>
      <c t="s">
        <v>67169</v>
      </c>
      <c t="s">
        <v>62562</v>
      </c>
      <c t="s">
        <v>3093</v>
      </c>
      <c t="s">
        <v>15324</v>
      </c>
    </row>
    <row>
      <c t="s">
        <v>17594</v>
      </c>
      <c t="s">
        <v>29852</v>
      </c>
      <c t="s">
        <v>51053</v>
      </c>
      <c t="s">
        <v>22038</v>
      </c>
      <c t="s">
        <v>54201</v>
      </c>
      <c s="3">
        <v>131166</v>
      </c>
      <c s="3">
        <v>114500</v>
      </c>
      <c s="3">
        <v>129846</v>
      </c>
      <c>
        <v>0</v>
      </c>
      <c s="3">
        <v>0</v>
      </c>
      <c s="3">
        <v>1956.24</v>
      </c>
      <c s="3">
        <v>131166</v>
      </c>
      <c r="O1033" s="1" t="str">
        <f ca="1">HYPERLINK("https://web.datatree.com/?/property?propertyId=32326631", "https://web.datatree.com/?/property?propertyId=32326631")</f>
        <v>https://web.datatree.com/?/property?propertyId=32326631</v>
      </c>
      <c r="Q1033" t="s">
        <v>316</v>
      </c>
      <c>
        <v>0.204</v>
      </c>
      <c t="s">
        <v>26492</v>
      </c>
      <c r="U1033" t="s">
        <v>14869</v>
      </c>
      <c r="W1033" t="s">
        <v>18738</v>
      </c>
      <c t="s">
        <v>24220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33277</v>
      </c>
      <c>
        <v>2630</v>
      </c>
      <c r="AI1033" t="s">
        <v>40438</v>
      </c>
      <c t="s">
        <v>835</v>
      </c>
      <c r="AL1033" t="s">
        <v>29560</v>
      </c>
      <c t="s">
        <v>29560</v>
      </c>
      <c t="s">
        <v>39289</v>
      </c>
      <c t="s">
        <v>2914</v>
      </c>
      <c t="s">
        <v>41021</v>
      </c>
      <c t="s">
        <v>3093</v>
      </c>
      <c t="s">
        <v>48914</v>
      </c>
      <c>
        <v>2005</v>
      </c>
    </row>
    <row>
      <c t="s">
        <v>17594</v>
      </c>
      <c t="s">
        <v>63494</v>
      </c>
      <c t="s">
        <v>16717</v>
      </c>
      <c t="s">
        <v>49924</v>
      </c>
      <c t="s">
        <v>42556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034" s="1" t="str">
        <f ca="1">HYPERLINK("https://web.datatree.com/?/property?propertyId=32327432", "https://web.datatree.com/?/property?propertyId=32327432")</f>
        <v>https://web.datatree.com/?/property?propertyId=32327432</v>
      </c>
      <c r="Q1034" t="s">
        <v>316</v>
      </c>
      <c>
        <v>0.23</v>
      </c>
      <c t="s">
        <v>6175</v>
      </c>
      <c r="U1034" t="s">
        <v>58682</v>
      </c>
      <c r="X1034" t="s">
        <v>48194</v>
      </c>
      <c t="s">
        <v>33893</v>
      </c>
      <c t="s">
        <v>2517</v>
      </c>
      <c t="s">
        <v>39289</v>
      </c>
      <c>
        <v>33909</v>
      </c>
      <c>
        <v>33909</v>
      </c>
      <c t="s">
        <v>48794</v>
      </c>
      <c t="s">
        <v>10666</v>
      </c>
      <c>
        <v>10235</v>
      </c>
      <c r="AI1034" t="s">
        <v>17179</v>
      </c>
      <c t="s">
        <v>1671</v>
      </c>
      <c r="AL1034" t="s">
        <v>25636</v>
      </c>
      <c r="AN1034" t="s">
        <v>14798</v>
      </c>
      <c t="s">
        <v>30370</v>
      </c>
      <c t="s">
        <v>13315</v>
      </c>
      <c t="s">
        <v>3093</v>
      </c>
      <c t="s">
        <v>49314</v>
      </c>
    </row>
    <row>
      <c t="s">
        <v>17594</v>
      </c>
      <c t="s">
        <v>51153</v>
      </c>
      <c t="s">
        <v>37427</v>
      </c>
      <c t="s">
        <v>646</v>
      </c>
      <c t="s">
        <v>60036</v>
      </c>
      <c s="3">
        <v>9243</v>
      </c>
      <c s="3">
        <v>9243</v>
      </c>
      <c s="3">
        <v>4972</v>
      </c>
      <c>
        <v>0</v>
      </c>
      <c s="3">
        <v>0</v>
      </c>
      <c s="3">
        <v>323.16</v>
      </c>
      <c s="3">
        <v>9243</v>
      </c>
      <c r="O1035" s="1" t="str">
        <f ca="1">HYPERLINK("https://web.datatree.com/?/property?propertyId=32328167", "https://web.datatree.com/?/property?propertyId=32328167")</f>
        <v>https://web.datatree.com/?/property?propertyId=32328167</v>
      </c>
      <c r="Q1035" t="s">
        <v>316</v>
      </c>
      <c>
        <v>0.29</v>
      </c>
      <c t="s">
        <v>5471</v>
      </c>
      <c t="s">
        <v>24692</v>
      </c>
      <c t="s">
        <v>17945</v>
      </c>
      <c r="X1035" t="s">
        <v>16530</v>
      </c>
      <c t="s">
        <v>47180</v>
      </c>
      <c t="s">
        <v>65059</v>
      </c>
      <c t="s">
        <v>39289</v>
      </c>
      <c>
        <v>33905</v>
      </c>
      <c t="s">
        <v>3683</v>
      </c>
      <c t="s">
        <v>48794</v>
      </c>
      <c t="s">
        <v>13363</v>
      </c>
      <c>
        <v>5209</v>
      </c>
      <c r="AI1035" t="s">
        <v>2607</v>
      </c>
      <c t="s">
        <v>31192</v>
      </c>
      <c r="AL1035" t="s">
        <v>7070</v>
      </c>
      <c r="AN1035" t="s">
        <v>10804</v>
      </c>
      <c t="s">
        <v>27951</v>
      </c>
      <c t="s">
        <v>26143</v>
      </c>
      <c t="s">
        <v>3093</v>
      </c>
      <c t="s">
        <v>8766</v>
      </c>
    </row>
    <row>
      <c t="s">
        <v>17594</v>
      </c>
      <c t="s">
        <v>61303</v>
      </c>
      <c t="s">
        <v>4026</v>
      </c>
      <c t="s">
        <v>64277</v>
      </c>
      <c t="s">
        <v>4459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1036" s="1" t="str">
        <f ca="1">HYPERLINK("https://web.datatree.com/?/property?propertyId=32330000", "https://web.datatree.com/?/property?propertyId=32330000")</f>
        <v>https://web.datatree.com/?/property?propertyId=32330000</v>
      </c>
      <c r="Q1036" t="s">
        <v>316</v>
      </c>
      <c>
        <v>0.229</v>
      </c>
      <c t="s">
        <v>5471</v>
      </c>
      <c t="s">
        <v>39139</v>
      </c>
      <c t="s">
        <v>51665</v>
      </c>
      <c t="s">
        <v>17206</v>
      </c>
      <c t="s">
        <v>51665</v>
      </c>
      <c t="s">
        <v>3630</v>
      </c>
      <c t="s">
        <v>26561</v>
      </c>
      <c t="s">
        <v>65059</v>
      </c>
      <c t="s">
        <v>39289</v>
      </c>
      <c>
        <v>33905</v>
      </c>
      <c t="s">
        <v>11852</v>
      </c>
      <c t="s">
        <v>48794</v>
      </c>
      <c t="s">
        <v>10721</v>
      </c>
      <c>
        <v>143</v>
      </c>
      <c r="AI1036" t="s">
        <v>6421</v>
      </c>
      <c t="s">
        <v>45620</v>
      </c>
      <c r="AL1036" t="s">
        <v>49279</v>
      </c>
      <c r="AN1036" t="s">
        <v>22275</v>
      </c>
      <c t="s">
        <v>58390</v>
      </c>
      <c t="s">
        <v>44428</v>
      </c>
      <c t="s">
        <v>3093</v>
      </c>
      <c t="s">
        <v>64607</v>
      </c>
    </row>
    <row>
      <c t="s">
        <v>17594</v>
      </c>
      <c t="s">
        <v>2576</v>
      </c>
      <c t="s">
        <v>9782</v>
      </c>
      <c t="s">
        <v>9102</v>
      </c>
      <c t="s">
        <v>42617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1037" s="1" t="str">
        <f ca="1">HYPERLINK("https://web.datatree.com/?/property?propertyId=32330929", "https://web.datatree.com/?/property?propertyId=32330929")</f>
        <v>https://web.datatree.com/?/property?propertyId=32330929</v>
      </c>
      <c r="Q1037" t="s">
        <v>316</v>
      </c>
      <c>
        <v>0.23</v>
      </c>
      <c t="s">
        <v>6175</v>
      </c>
      <c t="s">
        <v>25477</v>
      </c>
      <c t="s">
        <v>9592</v>
      </c>
      <c t="s">
        <v>65351</v>
      </c>
      <c t="s">
        <v>9592</v>
      </c>
      <c t="s">
        <v>62503</v>
      </c>
      <c t="s">
        <v>18679</v>
      </c>
      <c t="s">
        <v>2517</v>
      </c>
      <c t="s">
        <v>39289</v>
      </c>
      <c>
        <v>33909</v>
      </c>
      <c t="s">
        <v>15368</v>
      </c>
      <c t="s">
        <v>48794</v>
      </c>
      <c t="s">
        <v>3059</v>
      </c>
      <c>
        <v>605</v>
      </c>
      <c r="AI1037" t="s">
        <v>26023</v>
      </c>
      <c t="s">
        <v>24900</v>
      </c>
      <c r="AL1037" t="s">
        <v>22231</v>
      </c>
      <c r="AN1037" t="s">
        <v>26016</v>
      </c>
      <c t="s">
        <v>917</v>
      </c>
      <c t="s">
        <v>42082</v>
      </c>
      <c t="s">
        <v>3093</v>
      </c>
      <c t="s">
        <v>19634</v>
      </c>
    </row>
    <row>
      <c t="s">
        <v>17594</v>
      </c>
      <c t="s">
        <v>13278</v>
      </c>
      <c t="s">
        <v>26130</v>
      </c>
      <c t="s">
        <v>20630</v>
      </c>
      <c t="s">
        <v>4832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>
        <v>2021</v>
      </c>
      <c>
        <v>597.9</v>
      </c>
      <c s="1" t="str">
        <f ca="1">HYPERLINK("https://web.datatree.com/?/property?propertyId=32331027", "https://web.datatree.com/?/property?propertyId=32331027")</f>
        <v>https://web.datatree.com/?/property?propertyId=32331027</v>
      </c>
      <c r="Q1038" t="s">
        <v>316</v>
      </c>
      <c>
        <v>0.229</v>
      </c>
      <c t="s">
        <v>45031</v>
      </c>
      <c t="s">
        <v>29009</v>
      </c>
      <c t="s">
        <v>59021</v>
      </c>
      <c t="s">
        <v>64470</v>
      </c>
      <c t="s">
        <v>59021</v>
      </c>
      <c t="s">
        <v>51041</v>
      </c>
      <c t="s">
        <v>38550</v>
      </c>
      <c t="s">
        <v>2517</v>
      </c>
      <c t="s">
        <v>39289</v>
      </c>
      <c>
        <v>33909</v>
      </c>
      <c t="s">
        <v>64606</v>
      </c>
      <c t="s">
        <v>48794</v>
      </c>
      <c t="s">
        <v>25537</v>
      </c>
      <c>
        <v>111</v>
      </c>
      <c r="AI1038" t="s">
        <v>44541</v>
      </c>
      <c t="s">
        <v>45393</v>
      </c>
      <c>
        <v>800</v>
      </c>
      <c t="s">
        <v>13397</v>
      </c>
      <c r="AN1038" t="s">
        <v>50917</v>
      </c>
      <c t="s">
        <v>53163</v>
      </c>
      <c t="s">
        <v>25140</v>
      </c>
      <c t="s">
        <v>3093</v>
      </c>
      <c t="s">
        <v>21234</v>
      </c>
    </row>
    <row>
      <c t="s">
        <v>17594</v>
      </c>
      <c t="s">
        <v>34607</v>
      </c>
      <c t="s">
        <v>14039</v>
      </c>
      <c t="s">
        <v>65754</v>
      </c>
      <c t="s">
        <v>38678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1039" s="1" t="str">
        <f ca="1">HYPERLINK("https://web.datatree.com/?/property?propertyId=32332251", "https://web.datatree.com/?/property?propertyId=32332251")</f>
        <v>https://web.datatree.com/?/property?propertyId=32332251</v>
      </c>
      <c r="Q1039" t="s">
        <v>316</v>
      </c>
      <c>
        <v>0.23</v>
      </c>
      <c t="s">
        <v>6175</v>
      </c>
      <c t="s">
        <v>52701</v>
      </c>
      <c t="s">
        <v>63753</v>
      </c>
      <c t="s">
        <v>3238</v>
      </c>
      <c t="s">
        <v>63753</v>
      </c>
      <c t="s">
        <v>1838</v>
      </c>
      <c t="s">
        <v>53663</v>
      </c>
      <c t="s">
        <v>2517</v>
      </c>
      <c t="s">
        <v>39289</v>
      </c>
      <c>
        <v>33909</v>
      </c>
      <c t="s">
        <v>8601</v>
      </c>
      <c t="s">
        <v>48794</v>
      </c>
      <c t="s">
        <v>9369</v>
      </c>
      <c>
        <v>10146</v>
      </c>
      <c r="AI1039" t="s">
        <v>6328</v>
      </c>
      <c t="s">
        <v>45393</v>
      </c>
      <c r="AL1039" t="s">
        <v>29515</v>
      </c>
      <c t="s">
        <v>47157</v>
      </c>
      <c t="s">
        <v>39289</v>
      </c>
      <c t="s">
        <v>17639</v>
      </c>
      <c t="s">
        <v>60160</v>
      </c>
      <c t="s">
        <v>3093</v>
      </c>
      <c t="s">
        <v>28591</v>
      </c>
    </row>
    <row>
      <c t="s">
        <v>17594</v>
      </c>
      <c t="s">
        <v>55861</v>
      </c>
      <c t="s">
        <v>62806</v>
      </c>
      <c t="s">
        <v>52325</v>
      </c>
      <c t="s">
        <v>27075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040" s="1" t="str">
        <f ca="1">HYPERLINK("https://web.datatree.com/?/property?propertyId=32332363", "https://web.datatree.com/?/property?propertyId=32332363")</f>
        <v>https://web.datatree.com/?/property?propertyId=32332363</v>
      </c>
      <c r="Q1040" t="s">
        <v>316</v>
      </c>
      <c>
        <v>0.23</v>
      </c>
      <c t="s">
        <v>6175</v>
      </c>
      <c t="s">
        <v>30129</v>
      </c>
      <c t="s">
        <v>31178</v>
      </c>
      <c t="s">
        <v>63182</v>
      </c>
      <c t="s">
        <v>31178</v>
      </c>
      <c t="s">
        <v>4281</v>
      </c>
      <c t="s">
        <v>25017</v>
      </c>
      <c t="s">
        <v>2517</v>
      </c>
      <c t="s">
        <v>39289</v>
      </c>
      <c>
        <v>33909</v>
      </c>
      <c t="s">
        <v>17487</v>
      </c>
      <c t="s">
        <v>48794</v>
      </c>
      <c t="s">
        <v>36726</v>
      </c>
      <c>
        <v>400</v>
      </c>
      <c r="AI1040" t="s">
        <v>14143</v>
      </c>
      <c t="s">
        <v>45620</v>
      </c>
      <c r="AL1040" t="s">
        <v>4103</v>
      </c>
      <c t="s">
        <v>4103</v>
      </c>
      <c t="s">
        <v>17331</v>
      </c>
      <c t="s">
        <v>23296</v>
      </c>
      <c t="s">
        <v>32746</v>
      </c>
      <c t="s">
        <v>3093</v>
      </c>
      <c t="s">
        <v>55221</v>
      </c>
    </row>
    <row>
      <c t="s">
        <v>17594</v>
      </c>
      <c t="s">
        <v>200</v>
      </c>
      <c t="s">
        <v>38922</v>
      </c>
      <c t="s">
        <v>365</v>
      </c>
      <c t="s">
        <v>64879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041" s="1" t="str">
        <f ca="1">HYPERLINK("https://web.datatree.com/?/property?propertyId=32333051", "https://web.datatree.com/?/property?propertyId=32333051")</f>
        <v>https://web.datatree.com/?/property?propertyId=32333051</v>
      </c>
      <c r="Q1041" t="s">
        <v>316</v>
      </c>
      <c>
        <v>0.244</v>
      </c>
      <c t="s">
        <v>5471</v>
      </c>
      <c t="s">
        <v>64500</v>
      </c>
      <c t="s">
        <v>9655</v>
      </c>
      <c r="X1041" t="s">
        <v>33267</v>
      </c>
      <c t="s">
        <v>61272</v>
      </c>
      <c t="s">
        <v>65059</v>
      </c>
      <c t="s">
        <v>39289</v>
      </c>
      <c>
        <v>33905</v>
      </c>
      <c t="s">
        <v>59883</v>
      </c>
      <c t="s">
        <v>48794</v>
      </c>
      <c t="s">
        <v>48201</v>
      </c>
      <c>
        <v>65</v>
      </c>
      <c r="AI1041" t="s">
        <v>50775</v>
      </c>
      <c t="s">
        <v>45393</v>
      </c>
      <c r="AL1041" t="s">
        <v>37818</v>
      </c>
      <c t="s">
        <v>37818</v>
      </c>
      <c t="s">
        <v>50917</v>
      </c>
      <c t="s">
        <v>18306</v>
      </c>
      <c t="s">
        <v>3364</v>
      </c>
      <c t="s">
        <v>3093</v>
      </c>
      <c t="s">
        <v>14437</v>
      </c>
    </row>
    <row>
      <c t="s">
        <v>17594</v>
      </c>
      <c t="s">
        <v>28967</v>
      </c>
      <c t="s">
        <v>28432</v>
      </c>
      <c t="s">
        <v>65506</v>
      </c>
      <c t="s">
        <v>11994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537.87</v>
      </c>
      <c s="1" t="str">
        <f ca="1">HYPERLINK("https://web.datatree.com/?/property?propertyId=32333310", "https://web.datatree.com/?/property?propertyId=32333310")</f>
        <v>https://web.datatree.com/?/property?propertyId=32333310</v>
      </c>
      <c r="Q1042" t="s">
        <v>316</v>
      </c>
      <c>
        <v>0.23</v>
      </c>
      <c t="s">
        <v>6175</v>
      </c>
      <c t="s">
        <v>54692</v>
      </c>
      <c t="s">
        <v>36594</v>
      </c>
      <c t="s">
        <v>5941</v>
      </c>
      <c t="s">
        <v>36594</v>
      </c>
      <c t="s">
        <v>11174</v>
      </c>
      <c t="s">
        <v>30928</v>
      </c>
      <c t="s">
        <v>2517</v>
      </c>
      <c t="s">
        <v>39289</v>
      </c>
      <c>
        <v>33909</v>
      </c>
      <c t="s">
        <v>23707</v>
      </c>
      <c t="s">
        <v>48794</v>
      </c>
      <c t="s">
        <v>9377</v>
      </c>
      <c>
        <v>15620</v>
      </c>
      <c r="AI1042" t="s">
        <v>14982</v>
      </c>
      <c t="s">
        <v>24900</v>
      </c>
      <c r="AL1042" t="s">
        <v>22531</v>
      </c>
      <c r="AN1042" t="s">
        <v>39289</v>
      </c>
      <c t="s">
        <v>60500</v>
      </c>
      <c t="s">
        <v>63972</v>
      </c>
      <c t="s">
        <v>3093</v>
      </c>
      <c t="s">
        <v>19336</v>
      </c>
    </row>
    <row>
      <c t="s">
        <v>17594</v>
      </c>
      <c t="s">
        <v>62786</v>
      </c>
      <c t="s">
        <v>42568</v>
      </c>
      <c t="s">
        <v>2889</v>
      </c>
      <c t="s">
        <v>341</v>
      </c>
      <c s="3">
        <v>13400</v>
      </c>
      <c s="3">
        <v>13400</v>
      </c>
      <c s="3">
        <v>6948</v>
      </c>
      <c>
        <v>0</v>
      </c>
      <c s="3">
        <v>0</v>
      </c>
      <c s="3">
        <v>146.83</v>
      </c>
      <c s="3">
        <v>13400</v>
      </c>
      <c r="O1043" s="1" t="str">
        <f ca="1">HYPERLINK("https://web.datatree.com/?/property?propertyId=32334317", "https://web.datatree.com/?/property?propertyId=32334317")</f>
        <v>https://web.datatree.com/?/property?propertyId=32334317</v>
      </c>
      <c r="Q1043" t="s">
        <v>316</v>
      </c>
      <c>
        <v>0.222</v>
      </c>
      <c t="s">
        <v>5471</v>
      </c>
      <c t="s">
        <v>44541</v>
      </c>
      <c t="s">
        <v>54669</v>
      </c>
      <c r="X1043" t="s">
        <v>1983</v>
      </c>
      <c t="s">
        <v>16673</v>
      </c>
      <c t="s">
        <v>54524</v>
      </c>
      <c t="s">
        <v>39289</v>
      </c>
      <c>
        <v>33903</v>
      </c>
      <c t="s">
        <v>34931</v>
      </c>
      <c t="s">
        <v>48794</v>
      </c>
      <c t="s">
        <v>59599</v>
      </c>
      <c>
        <v>14</v>
      </c>
      <c r="AI1043" t="s">
        <v>21803</v>
      </c>
      <c t="s">
        <v>31192</v>
      </c>
      <c r="AL1043" t="s">
        <v>18662</v>
      </c>
      <c r="AN1043" t="s">
        <v>26016</v>
      </c>
      <c t="s">
        <v>5403</v>
      </c>
      <c t="s">
        <v>66620</v>
      </c>
      <c t="s">
        <v>3093</v>
      </c>
      <c t="s">
        <v>9394</v>
      </c>
    </row>
    <row>
      <c t="s">
        <v>17594</v>
      </c>
      <c t="s">
        <v>11737</v>
      </c>
      <c t="s">
        <v>28382</v>
      </c>
      <c t="s">
        <v>16379</v>
      </c>
      <c t="s">
        <v>55320</v>
      </c>
      <c s="3">
        <v>48620</v>
      </c>
      <c s="3">
        <v>48620</v>
      </c>
      <c s="3">
        <v>33129</v>
      </c>
      <c>
        <v>0</v>
      </c>
      <c s="3">
        <v>0</v>
      </c>
      <c s="3">
        <v>559.23</v>
      </c>
      <c s="3">
        <v>48620</v>
      </c>
      <c r="O1044" s="1" t="str">
        <f ca="1">HYPERLINK("https://web.datatree.com/?/property?propertyId=32335183", "https://web.datatree.com/?/property?propertyId=32335183")</f>
        <v>https://web.datatree.com/?/property?propertyId=32335183</v>
      </c>
      <c r="Q1044" t="s">
        <v>316</v>
      </c>
      <c>
        <v>0.195</v>
      </c>
      <c t="s">
        <v>23582</v>
      </c>
      <c t="s">
        <v>54854</v>
      </c>
      <c t="s">
        <v>25463</v>
      </c>
      <c t="s">
        <v>12173</v>
      </c>
      <c t="s">
        <v>25463</v>
      </c>
      <c t="s">
        <v>64827</v>
      </c>
      <c t="s">
        <v>9615</v>
      </c>
      <c t="s">
        <v>65059</v>
      </c>
      <c t="s">
        <v>39289</v>
      </c>
      <c>
        <v>33908</v>
      </c>
      <c t="s">
        <v>10247</v>
      </c>
      <c t="s">
        <v>48794</v>
      </c>
      <c t="s">
        <v>61549</v>
      </c>
      <c>
        <v>2624</v>
      </c>
      <c r="AI1044" t="s">
        <v>38860</v>
      </c>
      <c t="s">
        <v>45393</v>
      </c>
      <c r="AL1044" t="s">
        <v>25779</v>
      </c>
      <c t="s">
        <v>53482</v>
      </c>
      <c t="s">
        <v>19878</v>
      </c>
      <c t="s">
        <v>38198</v>
      </c>
      <c t="s">
        <v>42082</v>
      </c>
      <c t="s">
        <v>3093</v>
      </c>
      <c t="s">
        <v>5061</v>
      </c>
    </row>
    <row>
      <c t="s">
        <v>17594</v>
      </c>
      <c t="s">
        <v>61513</v>
      </c>
      <c t="s">
        <v>35889</v>
      </c>
      <c t="s">
        <v>49132</v>
      </c>
      <c t="s">
        <v>9522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1045" s="1" t="str">
        <f ca="1">HYPERLINK("https://web.datatree.com/?/property?propertyId=32335213", "https://web.datatree.com/?/property?propertyId=32335213")</f>
        <v>https://web.datatree.com/?/property?propertyId=32335213</v>
      </c>
      <c r="Q1045" t="s">
        <v>316</v>
      </c>
      <c>
        <v>0.23</v>
      </c>
      <c t="s">
        <v>22490</v>
      </c>
      <c t="s">
        <v>66603</v>
      </c>
      <c t="s">
        <v>17732</v>
      </c>
      <c r="X1045" t="s">
        <v>29524</v>
      </c>
      <c t="s">
        <v>52171</v>
      </c>
      <c t="s">
        <v>2517</v>
      </c>
      <c t="s">
        <v>39289</v>
      </c>
      <c>
        <v>33904</v>
      </c>
      <c t="s">
        <v>36800</v>
      </c>
      <c t="s">
        <v>48794</v>
      </c>
      <c t="s">
        <v>27186</v>
      </c>
      <c>
        <v>114</v>
      </c>
      <c r="AI1045" t="s">
        <v>21250</v>
      </c>
      <c t="s">
        <v>24900</v>
      </c>
      <c r="AL1045" t="s">
        <v>55393</v>
      </c>
      <c r="AN1045" t="s">
        <v>39289</v>
      </c>
      <c t="s">
        <v>62539</v>
      </c>
      <c t="s">
        <v>14845</v>
      </c>
      <c t="s">
        <v>3093</v>
      </c>
      <c t="s">
        <v>9124</v>
      </c>
    </row>
    <row>
      <c t="s">
        <v>17594</v>
      </c>
      <c t="s">
        <v>65239</v>
      </c>
      <c t="s">
        <v>51540</v>
      </c>
      <c t="s">
        <v>12835</v>
      </c>
      <c t="s">
        <v>38368</v>
      </c>
      <c s="3">
        <v>24856</v>
      </c>
      <c s="3">
        <v>24856</v>
      </c>
      <c s="3">
        <v>10049</v>
      </c>
      <c>
        <v>0</v>
      </c>
      <c s="3">
        <v>0</v>
      </c>
      <c s="3">
        <v>662.67</v>
      </c>
      <c s="3">
        <v>24856</v>
      </c>
      <c r="O1046" s="1" t="str">
        <f ca="1">HYPERLINK("https://web.datatree.com/?/property?propertyId=32335217", "https://web.datatree.com/?/property?propertyId=32335217")</f>
        <v>https://web.datatree.com/?/property?propertyId=32335217</v>
      </c>
      <c r="Q1046" t="s">
        <v>316</v>
      </c>
      <c>
        <v>0.283</v>
      </c>
      <c t="s">
        <v>45031</v>
      </c>
      <c t="s">
        <v>8244</v>
      </c>
      <c t="s">
        <v>36196</v>
      </c>
      <c t="s">
        <v>58425</v>
      </c>
      <c t="s">
        <v>35522</v>
      </c>
      <c t="s">
        <v>60524</v>
      </c>
      <c t="s">
        <v>46469</v>
      </c>
      <c t="s">
        <v>2517</v>
      </c>
      <c t="s">
        <v>39289</v>
      </c>
      <c>
        <v>33909</v>
      </c>
      <c t="s">
        <v>23245</v>
      </c>
      <c t="s">
        <v>48794</v>
      </c>
      <c t="s">
        <v>44263</v>
      </c>
      <c>
        <v>966</v>
      </c>
      <c r="AI1046" t="s">
        <v>64895</v>
      </c>
      <c t="s">
        <v>1671</v>
      </c>
      <c r="AL1046" t="s">
        <v>2602</v>
      </c>
      <c r="AN1046" t="s">
        <v>10909</v>
      </c>
      <c t="s">
        <v>18401</v>
      </c>
      <c r="AQ1046" t="s">
        <v>27814</v>
      </c>
      <c t="s">
        <v>6198</v>
      </c>
    </row>
    <row>
      <c t="s">
        <v>17594</v>
      </c>
      <c t="s">
        <v>60343</v>
      </c>
      <c t="s">
        <v>44977</v>
      </c>
      <c t="s">
        <v>18545</v>
      </c>
      <c t="s">
        <v>57743</v>
      </c>
      <c s="3">
        <v>21918</v>
      </c>
      <c s="3">
        <v>21918</v>
      </c>
      <c s="3">
        <v>9599</v>
      </c>
      <c>
        <v>0</v>
      </c>
      <c s="3">
        <v>0</v>
      </c>
      <c s="3">
        <v>680.91</v>
      </c>
      <c s="3">
        <v>21918</v>
      </c>
      <c r="O1047" s="1" t="str">
        <f ca="1">HYPERLINK("https://web.datatree.com/?/property?propertyId=32335880", "https://web.datatree.com/?/property?propertyId=32335880")</f>
        <v>https://web.datatree.com/?/property?propertyId=32335880</v>
      </c>
      <c r="Q1047" t="s">
        <v>316</v>
      </c>
      <c>
        <v>0.344</v>
      </c>
      <c t="s">
        <v>6175</v>
      </c>
      <c t="s">
        <v>41819</v>
      </c>
      <c t="s">
        <v>18889</v>
      </c>
      <c r="X1047" t="s">
        <v>49718</v>
      </c>
      <c t="s">
        <v>23517</v>
      </c>
      <c t="s">
        <v>2517</v>
      </c>
      <c t="s">
        <v>39289</v>
      </c>
      <c>
        <v>33909</v>
      </c>
      <c t="s">
        <v>61003</v>
      </c>
      <c t="s">
        <v>48794</v>
      </c>
      <c t="s">
        <v>14936</v>
      </c>
      <c>
        <v>8018</v>
      </c>
      <c r="AI1047" t="s">
        <v>51548</v>
      </c>
      <c t="s">
        <v>31192</v>
      </c>
      <c r="AL1047" t="s">
        <v>38297</v>
      </c>
      <c t="s">
        <v>37981</v>
      </c>
      <c t="s">
        <v>27222</v>
      </c>
      <c>
        <v>89123</v>
      </c>
      <c t="s">
        <v>42082</v>
      </c>
      <c t="s">
        <v>3093</v>
      </c>
      <c t="s">
        <v>7079</v>
      </c>
    </row>
    <row>
      <c t="s">
        <v>17594</v>
      </c>
      <c t="s">
        <v>64960</v>
      </c>
      <c t="s">
        <v>158</v>
      </c>
      <c t="s">
        <v>1555</v>
      </c>
      <c t="s">
        <v>15356</v>
      </c>
      <c s="3">
        <v>554404</v>
      </c>
      <c s="3">
        <v>554404</v>
      </c>
      <c s="3">
        <v>478089</v>
      </c>
      <c>
        <v>0</v>
      </c>
      <c s="3">
        <v>0</v>
      </c>
      <c s="3">
        <v>8390.13</v>
      </c>
      <c s="3">
        <v>554404</v>
      </c>
      <c r="O1048" s="1" t="str">
        <f ca="1">HYPERLINK("https://web.datatree.com/?/property?propertyId=32336128", "https://web.datatree.com/?/property?propertyId=32336128")</f>
        <v>https://web.datatree.com/?/property?propertyId=32336128</v>
      </c>
      <c r="Q1048" t="s">
        <v>316</v>
      </c>
      <c>
        <v>0.23</v>
      </c>
      <c t="s">
        <v>22490</v>
      </c>
      <c r="U1048" t="s">
        <v>62808</v>
      </c>
      <c r="W1048" t="s">
        <v>65828</v>
      </c>
      <c t="s">
        <v>60949</v>
      </c>
      <c t="s">
        <v>52157</v>
      </c>
      <c t="s">
        <v>2517</v>
      </c>
      <c t="s">
        <v>39289</v>
      </c>
      <c>
        <v>33904</v>
      </c>
      <c t="s">
        <v>13929</v>
      </c>
      <c t="s">
        <v>48794</v>
      </c>
      <c t="s">
        <v>1295</v>
      </c>
      <c>
        <v>1169</v>
      </c>
      <c r="AI1048" t="s">
        <v>62950</v>
      </c>
      <c t="s">
        <v>4985</v>
      </c>
      <c r="AL1048" t="s">
        <v>46210</v>
      </c>
      <c t="s">
        <v>46210</v>
      </c>
      <c t="s">
        <v>27747</v>
      </c>
      <c t="s">
        <v>29877</v>
      </c>
      <c t="s">
        <v>4797</v>
      </c>
      <c t="s">
        <v>3093</v>
      </c>
      <c t="s">
        <v>49734</v>
      </c>
    </row>
    <row>
      <c t="s">
        <v>17594</v>
      </c>
      <c t="s">
        <v>61582</v>
      </c>
      <c t="s">
        <v>26024</v>
      </c>
      <c t="s">
        <v>33368</v>
      </c>
      <c t="s">
        <v>41939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1049" s="1" t="str">
        <f ca="1">HYPERLINK("https://web.datatree.com/?/property?propertyId=32336281", "https://web.datatree.com/?/property?propertyId=32336281")</f>
        <v>https://web.datatree.com/?/property?propertyId=32336281</v>
      </c>
      <c r="Q1049" t="s">
        <v>316</v>
      </c>
      <c>
        <v>0.23</v>
      </c>
      <c t="s">
        <v>6175</v>
      </c>
      <c r="U1049" t="s">
        <v>25548</v>
      </c>
      <c t="s">
        <v>58113</v>
      </c>
      <c t="s">
        <v>46450</v>
      </c>
      <c t="s">
        <v>37275</v>
      </c>
      <c t="s">
        <v>18679</v>
      </c>
      <c t="s">
        <v>2517</v>
      </c>
      <c t="s">
        <v>39289</v>
      </c>
      <c>
        <v>33909</v>
      </c>
      <c t="s">
        <v>9703</v>
      </c>
      <c t="s">
        <v>48794</v>
      </c>
      <c t="s">
        <v>8252</v>
      </c>
      <c>
        <v>5024</v>
      </c>
      <c r="AI1049" t="s">
        <v>9274</v>
      </c>
      <c t="s">
        <v>41372</v>
      </c>
      <c>
        <v>200</v>
      </c>
      <c t="s">
        <v>62109</v>
      </c>
      <c t="s">
        <v>62109</v>
      </c>
      <c t="s">
        <v>40451</v>
      </c>
      <c t="s">
        <v>7408</v>
      </c>
      <c t="s">
        <v>62845</v>
      </c>
      <c t="s">
        <v>3093</v>
      </c>
      <c t="s">
        <v>58613</v>
      </c>
    </row>
    <row>
      <c t="s">
        <v>17594</v>
      </c>
      <c t="s">
        <v>25852</v>
      </c>
      <c t="s">
        <v>42353</v>
      </c>
      <c t="s">
        <v>15381</v>
      </c>
      <c t="s">
        <v>44756</v>
      </c>
      <c s="3">
        <v>31592</v>
      </c>
      <c s="3">
        <v>31592</v>
      </c>
      <c s="3">
        <v>11858</v>
      </c>
      <c>
        <v>0</v>
      </c>
      <c s="3">
        <v>0</v>
      </c>
      <c s="3">
        <v>2935.69</v>
      </c>
      <c s="3">
        <v>31592</v>
      </c>
      <c>
        <v>2021</v>
      </c>
      <c>
        <v>3193.89</v>
      </c>
      <c s="1" t="str">
        <f ca="1">HYPERLINK("https://web.datatree.com/?/property?propertyId=32337352", "https://web.datatree.com/?/property?propertyId=32337352")</f>
        <v>https://web.datatree.com/?/property?propertyId=32337352</v>
      </c>
      <c r="Q1050" t="s">
        <v>316</v>
      </c>
      <c>
        <v>0.23</v>
      </c>
      <c t="s">
        <v>22490</v>
      </c>
      <c t="s">
        <v>552</v>
      </c>
      <c t="s">
        <v>60650</v>
      </c>
      <c r="X1050" t="s">
        <v>33918</v>
      </c>
      <c t="s">
        <v>2626</v>
      </c>
      <c t="s">
        <v>2517</v>
      </c>
      <c t="s">
        <v>39289</v>
      </c>
      <c>
        <v>33909</v>
      </c>
      <c t="s">
        <v>15647</v>
      </c>
      <c t="s">
        <v>48794</v>
      </c>
      <c t="s">
        <v>31351</v>
      </c>
      <c>
        <v>1448</v>
      </c>
      <c r="AH1050" t="s">
        <v>6851</v>
      </c>
      <c t="s">
        <v>6309</v>
      </c>
      <c t="s">
        <v>45620</v>
      </c>
      <c r="AL1050" t="s">
        <v>216</v>
      </c>
      <c r="AN1050" t="s">
        <v>66651</v>
      </c>
      <c t="s">
        <v>57912</v>
      </c>
      <c t="s">
        <v>40645</v>
      </c>
      <c t="s">
        <v>3093</v>
      </c>
      <c t="s">
        <v>47021</v>
      </c>
    </row>
    <row>
      <c t="s">
        <v>17594</v>
      </c>
      <c t="s">
        <v>24455</v>
      </c>
      <c t="s">
        <v>59994</v>
      </c>
      <c t="s">
        <v>2212</v>
      </c>
      <c t="s">
        <v>5179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1051" s="1" t="str">
        <f ca="1">HYPERLINK("https://web.datatree.com/?/property?propertyId=32337556", "https://web.datatree.com/?/property?propertyId=32337556")</f>
        <v>https://web.datatree.com/?/property?propertyId=32337556</v>
      </c>
      <c r="Q1051" t="s">
        <v>316</v>
      </c>
      <c>
        <v>0.285</v>
      </c>
      <c t="s">
        <v>5471</v>
      </c>
      <c t="s">
        <v>61602</v>
      </c>
      <c t="s">
        <v>24508</v>
      </c>
      <c t="s">
        <v>50666</v>
      </c>
      <c t="s">
        <v>4033</v>
      </c>
      <c t="s">
        <v>15763</v>
      </c>
      <c t="s">
        <v>51290</v>
      </c>
      <c t="s">
        <v>65059</v>
      </c>
      <c t="s">
        <v>39289</v>
      </c>
      <c>
        <v>33905</v>
      </c>
      <c t="s">
        <v>35345</v>
      </c>
      <c t="s">
        <v>48794</v>
      </c>
      <c t="s">
        <v>57836</v>
      </c>
      <c t="s">
        <v>6930</v>
      </c>
      <c r="AI1051" t="s">
        <v>45393</v>
      </c>
      <c r="AK1051">
        <v>11425</v>
      </c>
      <c t="s">
        <v>56896</v>
      </c>
      <c r="AN1051" t="s">
        <v>45851</v>
      </c>
      <c t="s">
        <v>41333</v>
      </c>
      <c r="AQ1051" t="s">
        <v>27814</v>
      </c>
      <c t="s">
        <v>12928</v>
      </c>
    </row>
    <row>
      <c t="s">
        <v>17594</v>
      </c>
      <c t="s">
        <v>17392</v>
      </c>
      <c t="s">
        <v>7197</v>
      </c>
      <c t="s">
        <v>8631</v>
      </c>
      <c t="s">
        <v>19744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2019</v>
      </c>
      <c>
        <v>3322.83</v>
      </c>
      <c s="1" t="str">
        <f ca="1">HYPERLINK("https://web.datatree.com/?/property?propertyId=32339043", "https://web.datatree.com/?/property?propertyId=32339043")</f>
        <v>https://web.datatree.com/?/property?propertyId=32339043</v>
      </c>
      <c r="Q1052" t="s">
        <v>316</v>
      </c>
      <c>
        <v>0.23</v>
      </c>
      <c t="s">
        <v>6175</v>
      </c>
      <c t="s">
        <v>65152</v>
      </c>
      <c t="s">
        <v>13906</v>
      </c>
      <c t="s">
        <v>36718</v>
      </c>
      <c t="s">
        <v>13906</v>
      </c>
      <c t="s">
        <v>32284</v>
      </c>
      <c t="s">
        <v>66701</v>
      </c>
      <c t="s">
        <v>2517</v>
      </c>
      <c t="s">
        <v>39289</v>
      </c>
      <c>
        <v>33909</v>
      </c>
      <c t="s">
        <v>57281</v>
      </c>
      <c t="s">
        <v>48794</v>
      </c>
      <c t="s">
        <v>22166</v>
      </c>
      <c>
        <v>13738</v>
      </c>
      <c r="AI1052" t="s">
        <v>37910</v>
      </c>
      <c t="s">
        <v>39321</v>
      </c>
      <c r="AL1052" t="s">
        <v>55393</v>
      </c>
      <c r="AN1052" t="s">
        <v>39289</v>
      </c>
      <c t="s">
        <v>4692</v>
      </c>
      <c t="s">
        <v>61719</v>
      </c>
      <c t="s">
        <v>3093</v>
      </c>
      <c t="s">
        <v>3880</v>
      </c>
    </row>
    <row>
      <c t="s">
        <v>17594</v>
      </c>
      <c t="s">
        <v>2935</v>
      </c>
      <c t="s">
        <v>28117</v>
      </c>
      <c t="s">
        <v>33345</v>
      </c>
      <c t="s">
        <v>58037</v>
      </c>
      <c s="3">
        <v>103477</v>
      </c>
      <c s="3">
        <v>93500</v>
      </c>
      <c s="3">
        <v>103477</v>
      </c>
      <c>
        <v>0</v>
      </c>
      <c s="3">
        <v>0</v>
      </c>
      <c s="3">
        <v>1554.13</v>
      </c>
      <c s="3">
        <v>103477</v>
      </c>
      <c r="O1053" s="1" t="str">
        <f ca="1">HYPERLINK("https://web.datatree.com/?/property?propertyId=32339471", "https://web.datatree.com/?/property?propertyId=32339471")</f>
        <v>https://web.datatree.com/?/property?propertyId=32339471</v>
      </c>
      <c r="Q1053" t="s">
        <v>316</v>
      </c>
      <c>
        <v>0.097</v>
      </c>
      <c t="s">
        <v>26492</v>
      </c>
      <c t="s">
        <v>55067</v>
      </c>
      <c t="s">
        <v>22092</v>
      </c>
      <c t="s">
        <v>18654</v>
      </c>
      <c t="s">
        <v>66515</v>
      </c>
      <c t="s">
        <v>38173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62087</v>
      </c>
      <c>
        <v>7003</v>
      </c>
      <c r="AI1053" t="s">
        <v>4373</v>
      </c>
      <c t="s">
        <v>24900</v>
      </c>
      <c r="AL1053" t="s">
        <v>38841</v>
      </c>
      <c t="s">
        <v>40227</v>
      </c>
      <c t="s">
        <v>51137</v>
      </c>
      <c t="s">
        <v>17977</v>
      </c>
      <c t="s">
        <v>44428</v>
      </c>
      <c t="s">
        <v>3093</v>
      </c>
      <c t="s">
        <v>60673</v>
      </c>
    </row>
    <row>
      <c t="s">
        <v>17594</v>
      </c>
      <c t="s">
        <v>17185</v>
      </c>
      <c t="s">
        <v>14915</v>
      </c>
      <c t="s">
        <v>62953</v>
      </c>
      <c t="s">
        <v>45737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054" s="1" t="str">
        <f ca="1">HYPERLINK("https://web.datatree.com/?/property?propertyId=32339765", "https://web.datatree.com/?/property?propertyId=32339765")</f>
        <v>https://web.datatree.com/?/property?propertyId=32339765</v>
      </c>
      <c r="Q1054" t="s">
        <v>316</v>
      </c>
      <c>
        <v>0.23</v>
      </c>
      <c t="s">
        <v>22490</v>
      </c>
      <c t="s">
        <v>36493</v>
      </c>
      <c t="s">
        <v>18508</v>
      </c>
      <c t="s">
        <v>33168</v>
      </c>
      <c t="s">
        <v>18508</v>
      </c>
      <c t="s">
        <v>5206</v>
      </c>
      <c t="s">
        <v>46469</v>
      </c>
      <c t="s">
        <v>2517</v>
      </c>
      <c t="s">
        <v>39289</v>
      </c>
      <c>
        <v>33909</v>
      </c>
      <c t="s">
        <v>21737</v>
      </c>
      <c t="s">
        <v>48794</v>
      </c>
      <c t="s">
        <v>56764</v>
      </c>
      <c>
        <v>541</v>
      </c>
      <c r="AI1054" t="s">
        <v>31772</v>
      </c>
      <c t="s">
        <v>45620</v>
      </c>
      <c r="AL1054" t="s">
        <v>61074</v>
      </c>
      <c r="AN1054" t="s">
        <v>19878</v>
      </c>
      <c t="s">
        <v>3766</v>
      </c>
      <c t="s">
        <v>14845</v>
      </c>
      <c t="s">
        <v>3093</v>
      </c>
      <c t="s">
        <v>31879</v>
      </c>
    </row>
    <row>
      <c t="s">
        <v>17594</v>
      </c>
      <c t="s">
        <v>45226</v>
      </c>
      <c t="s">
        <v>27503</v>
      </c>
      <c t="s">
        <v>15343</v>
      </c>
      <c t="s">
        <v>25049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2021</v>
      </c>
      <c>
        <v>594.94</v>
      </c>
      <c s="1" t="str">
        <f ca="1">HYPERLINK("https://web.datatree.com/?/property?propertyId=32340418", "https://web.datatree.com/?/property?propertyId=32340418")</f>
        <v>https://web.datatree.com/?/property?propertyId=32340418</v>
      </c>
      <c r="Q1055" t="s">
        <v>316</v>
      </c>
      <c>
        <v>0.23</v>
      </c>
      <c t="s">
        <v>6175</v>
      </c>
      <c t="s">
        <v>24692</v>
      </c>
      <c t="s">
        <v>14691</v>
      </c>
      <c t="s">
        <v>63411</v>
      </c>
      <c t="s">
        <v>14691</v>
      </c>
      <c t="s">
        <v>29049</v>
      </c>
      <c t="s">
        <v>34731</v>
      </c>
      <c t="s">
        <v>2517</v>
      </c>
      <c t="s">
        <v>39289</v>
      </c>
      <c>
        <v>33909</v>
      </c>
      <c t="s">
        <v>17479</v>
      </c>
      <c t="s">
        <v>48794</v>
      </c>
      <c t="s">
        <v>31494</v>
      </c>
      <c>
        <v>21</v>
      </c>
      <c r="AI1055" t="s">
        <v>2474</v>
      </c>
      <c t="s">
        <v>24900</v>
      </c>
      <c r="AL1055" t="s">
        <v>57358</v>
      </c>
      <c r="AN1055" t="s">
        <v>26016</v>
      </c>
      <c t="s">
        <v>51520</v>
      </c>
      <c t="s">
        <v>61719</v>
      </c>
      <c t="s">
        <v>3093</v>
      </c>
      <c t="s">
        <v>32343</v>
      </c>
    </row>
    <row>
      <c t="s">
        <v>17594</v>
      </c>
      <c t="s">
        <v>38662</v>
      </c>
      <c t="s">
        <v>10001</v>
      </c>
      <c t="s">
        <v>25428</v>
      </c>
      <c t="s">
        <v>11765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056" s="1" t="str">
        <f ca="1">HYPERLINK("https://web.datatree.com/?/property?propertyId=32341214", "https://web.datatree.com/?/property?propertyId=32341214")</f>
        <v>https://web.datatree.com/?/property?propertyId=32341214</v>
      </c>
      <c r="Q1056" t="s">
        <v>316</v>
      </c>
      <c>
        <v>0.23</v>
      </c>
      <c t="s">
        <v>22490</v>
      </c>
      <c t="s">
        <v>687</v>
      </c>
      <c t="s">
        <v>42884</v>
      </c>
      <c r="X1056" t="s">
        <v>65564</v>
      </c>
      <c t="s">
        <v>22731</v>
      </c>
      <c t="s">
        <v>2517</v>
      </c>
      <c t="s">
        <v>39289</v>
      </c>
      <c>
        <v>33909</v>
      </c>
      <c t="s">
        <v>8445</v>
      </c>
      <c t="s">
        <v>48794</v>
      </c>
      <c t="s">
        <v>15262</v>
      </c>
      <c>
        <v>470</v>
      </c>
      <c r="AI1056" t="s">
        <v>62171</v>
      </c>
      <c r="AL1056" t="s">
        <v>10360</v>
      </c>
      <c r="AN1056" t="s">
        <v>22275</v>
      </c>
      <c>
        <v>15349</v>
      </c>
      <c r="AR1056" t="s">
        <v>11559</v>
      </c>
    </row>
    <row>
      <c t="s">
        <v>17594</v>
      </c>
      <c t="s">
        <v>21154</v>
      </c>
      <c t="s">
        <v>55505</v>
      </c>
      <c t="s">
        <v>14148</v>
      </c>
      <c t="s">
        <v>56623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057" s="1" t="str">
        <f ca="1">HYPERLINK("https://web.datatree.com/?/property?propertyId=32341719", "https://web.datatree.com/?/property?propertyId=32341719")</f>
        <v>https://web.datatree.com/?/property?propertyId=32341719</v>
      </c>
      <c r="Q1057" t="s">
        <v>316</v>
      </c>
      <c>
        <v>0.23</v>
      </c>
      <c t="s">
        <v>6175</v>
      </c>
      <c t="s">
        <v>32294</v>
      </c>
      <c t="s">
        <v>12417</v>
      </c>
      <c t="s">
        <v>552</v>
      </c>
      <c t="s">
        <v>4474</v>
      </c>
      <c t="s">
        <v>36533</v>
      </c>
      <c t="s">
        <v>38550</v>
      </c>
      <c t="s">
        <v>2517</v>
      </c>
      <c t="s">
        <v>39289</v>
      </c>
      <c>
        <v>33909</v>
      </c>
      <c t="s">
        <v>40132</v>
      </c>
      <c t="s">
        <v>48794</v>
      </c>
      <c t="s">
        <v>60415</v>
      </c>
      <c>
        <v>2040</v>
      </c>
      <c r="AI1057" t="s">
        <v>26561</v>
      </c>
      <c t="s">
        <v>4985</v>
      </c>
      <c r="AL1057" t="s">
        <v>23972</v>
      </c>
      <c r="AN1057" t="s">
        <v>19878</v>
      </c>
      <c t="s">
        <v>39362</v>
      </c>
      <c t="s">
        <v>44843</v>
      </c>
      <c t="s">
        <v>3093</v>
      </c>
      <c t="s">
        <v>35756</v>
      </c>
    </row>
    <row>
      <c t="s">
        <v>17594</v>
      </c>
      <c t="s">
        <v>51230</v>
      </c>
      <c t="s">
        <v>53263</v>
      </c>
      <c t="s">
        <v>58141</v>
      </c>
      <c t="s">
        <v>8880</v>
      </c>
      <c s="3">
        <v>23012</v>
      </c>
      <c s="3">
        <v>23012</v>
      </c>
      <c s="3">
        <v>10450</v>
      </c>
      <c>
        <v>0</v>
      </c>
      <c s="3">
        <v>0</v>
      </c>
      <c s="3">
        <v>528.53</v>
      </c>
      <c s="3">
        <v>23012</v>
      </c>
      <c r="O1058" s="1" t="str">
        <f ca="1">HYPERLINK("https://web.datatree.com/?/property?propertyId=32342738", "https://web.datatree.com/?/property?propertyId=32342738")</f>
        <v>https://web.datatree.com/?/property?propertyId=32342738</v>
      </c>
      <c r="Q1058" t="s">
        <v>316</v>
      </c>
      <c>
        <v>0.23</v>
      </c>
      <c t="s">
        <v>45031</v>
      </c>
      <c r="U1058" t="s">
        <v>13423</v>
      </c>
      <c t="s">
        <v>55174</v>
      </c>
      <c t="s">
        <v>53449</v>
      </c>
      <c t="s">
        <v>36360</v>
      </c>
      <c t="s">
        <v>18679</v>
      </c>
      <c t="s">
        <v>2517</v>
      </c>
      <c t="s">
        <v>39289</v>
      </c>
      <c>
        <v>33909</v>
      </c>
      <c t="s">
        <v>14059</v>
      </c>
      <c t="s">
        <v>48794</v>
      </c>
      <c t="s">
        <v>10603</v>
      </c>
      <c>
        <v>121</v>
      </c>
      <c r="AI1058" t="s">
        <v>21142</v>
      </c>
      <c t="s">
        <v>24900</v>
      </c>
      <c r="AL1058" t="s">
        <v>13392</v>
      </c>
      <c t="s">
        <v>13392</v>
      </c>
      <c t="s">
        <v>5859</v>
      </c>
      <c t="s">
        <v>54409</v>
      </c>
      <c t="s">
        <v>61410</v>
      </c>
      <c t="s">
        <v>3093</v>
      </c>
      <c t="s">
        <v>25472</v>
      </c>
    </row>
    <row>
      <c t="s">
        <v>17594</v>
      </c>
      <c t="s">
        <v>699</v>
      </c>
      <c t="s">
        <v>16312</v>
      </c>
      <c t="s">
        <v>10805</v>
      </c>
      <c t="s">
        <v>11629</v>
      </c>
      <c s="3">
        <v>26158</v>
      </c>
      <c s="3">
        <v>26158</v>
      </c>
      <c s="3">
        <v>9433</v>
      </c>
      <c>
        <v>0</v>
      </c>
      <c s="3">
        <v>0</v>
      </c>
      <c s="3">
        <v>414.38</v>
      </c>
      <c s="3">
        <v>26158</v>
      </c>
      <c r="O1059" s="1" t="str">
        <f ca="1">HYPERLINK("https://web.datatree.com/?/property?propertyId=32343286", "https://web.datatree.com/?/property?propertyId=32343286")</f>
        <v>https://web.datatree.com/?/property?propertyId=32343286</v>
      </c>
      <c r="Q1059" t="s">
        <v>316</v>
      </c>
      <c>
        <v>0.24</v>
      </c>
      <c t="s">
        <v>5471</v>
      </c>
      <c t="s">
        <v>26046</v>
      </c>
      <c t="s">
        <v>56127</v>
      </c>
      <c r="X1059" t="s">
        <v>37359</v>
      </c>
      <c t="s">
        <v>31198</v>
      </c>
      <c t="s">
        <v>65059</v>
      </c>
      <c t="s">
        <v>39289</v>
      </c>
      <c>
        <v>33905</v>
      </c>
      <c t="s">
        <v>63647</v>
      </c>
      <c t="s">
        <v>48794</v>
      </c>
      <c t="s">
        <v>56627</v>
      </c>
      <c>
        <v>1</v>
      </c>
      <c r="AI1059" t="s">
        <v>41286</v>
      </c>
      <c t="s">
        <v>55842</v>
      </c>
      <c r="AL1059" t="s">
        <v>2651</v>
      </c>
      <c r="AN1059" t="s">
        <v>50917</v>
      </c>
      <c t="s">
        <v>39559</v>
      </c>
      <c t="s">
        <v>32746</v>
      </c>
      <c t="s">
        <v>3093</v>
      </c>
      <c t="s">
        <v>55672</v>
      </c>
    </row>
    <row>
      <c t="s">
        <v>17594</v>
      </c>
      <c t="s">
        <v>31236</v>
      </c>
      <c t="s">
        <v>32673</v>
      </c>
      <c t="s">
        <v>45653</v>
      </c>
      <c t="s">
        <v>27256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>
        <v>2021</v>
      </c>
      <c>
        <v>520</v>
      </c>
      <c s="1" t="str">
        <f ca="1">HYPERLINK("https://web.datatree.com/?/property?propertyId=32343472", "https://web.datatree.com/?/property?propertyId=32343472")</f>
        <v>https://web.datatree.com/?/property?propertyId=32343472</v>
      </c>
      <c r="Q1060" t="s">
        <v>316</v>
      </c>
      <c>
        <v>0.23</v>
      </c>
      <c t="s">
        <v>22490</v>
      </c>
      <c t="s">
        <v>24179</v>
      </c>
      <c t="s">
        <v>1422</v>
      </c>
      <c t="s">
        <v>37826</v>
      </c>
      <c t="s">
        <v>1422</v>
      </c>
      <c t="s">
        <v>885</v>
      </c>
      <c t="s">
        <v>2619</v>
      </c>
      <c t="s">
        <v>2517</v>
      </c>
      <c t="s">
        <v>39289</v>
      </c>
      <c>
        <v>33909</v>
      </c>
      <c t="s">
        <v>16979</v>
      </c>
      <c t="s">
        <v>48794</v>
      </c>
      <c t="s">
        <v>59353</v>
      </c>
      <c>
        <v>232</v>
      </c>
      <c r="AI1060" t="s">
        <v>42626</v>
      </c>
      <c t="s">
        <v>41372</v>
      </c>
      <c t="s">
        <v>11082</v>
      </c>
      <c t="s">
        <v>22966</v>
      </c>
      <c r="AN1060" t="s">
        <v>26016</v>
      </c>
      <c t="s">
        <v>18711</v>
      </c>
      <c t="s">
        <v>33029</v>
      </c>
      <c t="s">
        <v>3093</v>
      </c>
      <c t="s">
        <v>12597</v>
      </c>
    </row>
    <row>
      <c t="s">
        <v>17594</v>
      </c>
      <c t="s">
        <v>65774</v>
      </c>
      <c t="s">
        <v>41000</v>
      </c>
      <c t="s">
        <v>49959</v>
      </c>
      <c t="s">
        <v>44593</v>
      </c>
      <c s="3">
        <v>8124</v>
      </c>
      <c s="3">
        <v>8124</v>
      </c>
      <c s="3">
        <v>4972</v>
      </c>
      <c>
        <v>0</v>
      </c>
      <c s="3">
        <v>0</v>
      </c>
      <c s="3">
        <v>316.66</v>
      </c>
      <c s="3">
        <v>8124</v>
      </c>
      <c r="O1061" s="1" t="str">
        <f ca="1">HYPERLINK("https://web.datatree.com/?/property?propertyId=32343648", "https://web.datatree.com/?/property?propertyId=32343648")</f>
        <v>https://web.datatree.com/?/property?propertyId=32343648</v>
      </c>
      <c r="Q1061" t="s">
        <v>316</v>
      </c>
      <c>
        <v>0.237</v>
      </c>
      <c t="s">
        <v>5471</v>
      </c>
      <c t="s">
        <v>552</v>
      </c>
      <c t="s">
        <v>6871</v>
      </c>
      <c r="X1061" t="s">
        <v>47555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30901</v>
      </c>
      <c>
        <v>10</v>
      </c>
      <c r="AI1061" t="s">
        <v>6508</v>
      </c>
      <c t="s">
        <v>45620</v>
      </c>
      <c r="AL1061" t="s">
        <v>47905</v>
      </c>
      <c r="AN1061" t="s">
        <v>50917</v>
      </c>
      <c t="s">
        <v>42493</v>
      </c>
      <c t="s">
        <v>34162</v>
      </c>
      <c t="s">
        <v>3093</v>
      </c>
      <c t="s">
        <v>39415</v>
      </c>
    </row>
    <row>
      <c t="s">
        <v>17594</v>
      </c>
      <c t="s">
        <v>8565</v>
      </c>
      <c t="s">
        <v>30084</v>
      </c>
      <c t="s">
        <v>40381</v>
      </c>
      <c t="s">
        <v>36342</v>
      </c>
      <c s="3">
        <v>10600</v>
      </c>
      <c s="3">
        <v>10600</v>
      </c>
      <c s="3">
        <v>9339</v>
      </c>
      <c>
        <v>0</v>
      </c>
      <c s="3">
        <v>0</v>
      </c>
      <c s="3">
        <v>659.1</v>
      </c>
      <c s="3">
        <v>10600</v>
      </c>
      <c r="O1062" s="1" t="str">
        <f ca="1">HYPERLINK("https://web.datatree.com/?/property?propertyId=32343650", "https://web.datatree.com/?/property?propertyId=32343650")</f>
        <v>https://web.datatree.com/?/property?propertyId=32343650</v>
      </c>
      <c r="Q1062" t="s">
        <v>316</v>
      </c>
      <c>
        <v>0.279</v>
      </c>
      <c t="s">
        <v>6175</v>
      </c>
      <c t="s">
        <v>61517</v>
      </c>
      <c t="s">
        <v>37973</v>
      </c>
      <c t="s">
        <v>38619</v>
      </c>
      <c t="s">
        <v>37973</v>
      </c>
      <c t="s">
        <v>1026</v>
      </c>
      <c t="s">
        <v>10653</v>
      </c>
      <c t="s">
        <v>2517</v>
      </c>
      <c t="s">
        <v>39289</v>
      </c>
      <c>
        <v>33909</v>
      </c>
      <c t="s">
        <v>47043</v>
      </c>
      <c t="s">
        <v>48794</v>
      </c>
      <c t="s">
        <v>57827</v>
      </c>
      <c>
        <v>4209</v>
      </c>
      <c r="AI1062" t="s">
        <v>23045</v>
      </c>
      <c t="s">
        <v>31192</v>
      </c>
      <c r="AL1062" t="s">
        <v>17856</v>
      </c>
      <c r="AN1062" t="s">
        <v>50829</v>
      </c>
      <c t="s">
        <v>40523</v>
      </c>
      <c t="s">
        <v>34162</v>
      </c>
      <c t="s">
        <v>3093</v>
      </c>
      <c t="s">
        <v>63931</v>
      </c>
    </row>
    <row>
      <c t="s">
        <v>17594</v>
      </c>
      <c t="s">
        <v>17961</v>
      </c>
      <c t="s">
        <v>36950</v>
      </c>
      <c t="s">
        <v>52629</v>
      </c>
      <c t="s">
        <v>66179</v>
      </c>
      <c s="3">
        <v>52640</v>
      </c>
      <c s="3">
        <v>52640</v>
      </c>
      <c s="3">
        <v>52640</v>
      </c>
      <c>
        <v>0</v>
      </c>
      <c s="3">
        <v>0</v>
      </c>
      <c s="3">
        <v>1249.2</v>
      </c>
      <c s="3">
        <v>52640</v>
      </c>
      <c r="O1063" s="1" t="str">
        <f ca="1">HYPERLINK("https://web.datatree.com/?/property?propertyId=32343716", "https://web.datatree.com/?/property?propertyId=32343716")</f>
        <v>https://web.datatree.com/?/property?propertyId=32343716</v>
      </c>
      <c r="Q1063" t="s">
        <v>316</v>
      </c>
      <c>
        <v>0.281</v>
      </c>
      <c t="s">
        <v>22490</v>
      </c>
      <c t="s">
        <v>35571</v>
      </c>
      <c t="s">
        <v>385</v>
      </c>
      <c t="s">
        <v>50938</v>
      </c>
      <c t="s">
        <v>385</v>
      </c>
      <c t="s">
        <v>41885</v>
      </c>
      <c t="s">
        <v>22731</v>
      </c>
      <c t="s">
        <v>2517</v>
      </c>
      <c t="s">
        <v>39289</v>
      </c>
      <c>
        <v>33909</v>
      </c>
      <c t="s">
        <v>31156</v>
      </c>
      <c t="s">
        <v>48794</v>
      </c>
      <c t="s">
        <v>10650</v>
      </c>
      <c>
        <v>3</v>
      </c>
      <c r="AI1063" t="s">
        <v>19473</v>
      </c>
      <c r="AL1063" t="s">
        <v>19473</v>
      </c>
      <c r="AN1063" t="s">
        <v>63985</v>
      </c>
      <c>
        <v>96199</v>
      </c>
      <c r="AQ1063" t="s">
        <v>3093</v>
      </c>
      <c t="s">
        <v>36813</v>
      </c>
    </row>
    <row>
      <c t="s">
        <v>17594</v>
      </c>
      <c t="s">
        <v>13361</v>
      </c>
      <c t="s">
        <v>52841</v>
      </c>
      <c t="s">
        <v>41214</v>
      </c>
      <c t="s">
        <v>64055</v>
      </c>
      <c s="3">
        <v>8660</v>
      </c>
      <c s="3">
        <v>8660</v>
      </c>
      <c s="3">
        <v>4972</v>
      </c>
      <c>
        <v>0</v>
      </c>
      <c s="3">
        <v>0</v>
      </c>
      <c s="3">
        <v>316.66</v>
      </c>
      <c s="3">
        <v>8660</v>
      </c>
      <c r="O1064" s="1" t="str">
        <f ca="1">HYPERLINK("https://web.datatree.com/?/property?propertyId=32344327", "https://web.datatree.com/?/property?propertyId=32344327")</f>
        <v>https://web.datatree.com/?/property?propertyId=32344327</v>
      </c>
      <c r="Q1064" t="s">
        <v>316</v>
      </c>
      <c>
        <v>0.242</v>
      </c>
      <c t="s">
        <v>5471</v>
      </c>
      <c t="s">
        <v>23659</v>
      </c>
      <c t="s">
        <v>1759</v>
      </c>
      <c t="s">
        <v>44541</v>
      </c>
      <c t="s">
        <v>1759</v>
      </c>
      <c t="s">
        <v>45453</v>
      </c>
      <c t="s">
        <v>20199</v>
      </c>
      <c t="s">
        <v>65059</v>
      </c>
      <c t="s">
        <v>39289</v>
      </c>
      <c>
        <v>33905</v>
      </c>
      <c t="s">
        <v>59368</v>
      </c>
      <c t="s">
        <v>48794</v>
      </c>
      <c t="s">
        <v>33092</v>
      </c>
      <c>
        <v>10207</v>
      </c>
      <c r="AI1064" t="s">
        <v>13170</v>
      </c>
      <c t="s">
        <v>40123</v>
      </c>
      <c r="AL1064" t="s">
        <v>55393</v>
      </c>
      <c t="s">
        <v>461</v>
      </c>
      <c t="s">
        <v>39289</v>
      </c>
      <c t="s">
        <v>44720</v>
      </c>
      <c t="s">
        <v>44843</v>
      </c>
      <c t="s">
        <v>3093</v>
      </c>
      <c t="s">
        <v>34018</v>
      </c>
    </row>
    <row>
      <c t="s">
        <v>17594</v>
      </c>
      <c t="s">
        <v>47758</v>
      </c>
      <c t="s">
        <v>62848</v>
      </c>
      <c t="s">
        <v>30737</v>
      </c>
      <c t="s">
        <v>27700</v>
      </c>
      <c s="3">
        <v>28000</v>
      </c>
      <c s="3">
        <v>28000</v>
      </c>
      <c s="3">
        <v>12100</v>
      </c>
      <c>
        <v>0</v>
      </c>
      <c s="3">
        <v>0</v>
      </c>
      <c s="3">
        <v>2976.7</v>
      </c>
      <c s="3">
        <v>28000</v>
      </c>
      <c r="O1065" s="1" t="str">
        <f ca="1">HYPERLINK("https://web.datatree.com/?/property?propertyId=32344720", "https://web.datatree.com/?/property?propertyId=32344720")</f>
        <v>https://web.datatree.com/?/property?propertyId=32344720</v>
      </c>
      <c r="Q1065" t="s">
        <v>316</v>
      </c>
      <c>
        <v>0.244</v>
      </c>
      <c t="s">
        <v>45031</v>
      </c>
      <c t="s">
        <v>59344</v>
      </c>
      <c t="s">
        <v>46237</v>
      </c>
      <c t="s">
        <v>48365</v>
      </c>
      <c t="s">
        <v>46237</v>
      </c>
      <c t="s">
        <v>23844</v>
      </c>
      <c t="s">
        <v>18679</v>
      </c>
      <c t="s">
        <v>2517</v>
      </c>
      <c t="s">
        <v>39289</v>
      </c>
      <c>
        <v>33909</v>
      </c>
      <c t="s">
        <v>20846</v>
      </c>
      <c t="s">
        <v>48794</v>
      </c>
      <c t="s">
        <v>6532</v>
      </c>
      <c>
        <v>16</v>
      </c>
      <c r="AI1065" t="s">
        <v>19565</v>
      </c>
      <c t="s">
        <v>31192</v>
      </c>
      <c>
        <v>804</v>
      </c>
      <c t="s">
        <v>52885</v>
      </c>
      <c r="AN1065" t="s">
        <v>26016</v>
      </c>
      <c t="s">
        <v>36940</v>
      </c>
      <c t="s">
        <v>58410</v>
      </c>
      <c t="s">
        <v>3093</v>
      </c>
      <c t="s">
        <v>36290</v>
      </c>
    </row>
    <row>
      <c t="s">
        <v>17594</v>
      </c>
      <c t="s">
        <v>22635</v>
      </c>
      <c t="s">
        <v>47851</v>
      </c>
      <c t="s">
        <v>31058</v>
      </c>
      <c t="s">
        <v>63255</v>
      </c>
      <c s="3">
        <v>18425</v>
      </c>
      <c s="3">
        <v>18425</v>
      </c>
      <c s="3">
        <v>8217</v>
      </c>
      <c>
        <v>0</v>
      </c>
      <c s="3">
        <v>0</v>
      </c>
      <c s="3">
        <v>633.75</v>
      </c>
      <c s="3">
        <v>18425</v>
      </c>
      <c>
        <v>2021</v>
      </c>
      <c>
        <v>661.81</v>
      </c>
      <c s="1" t="str">
        <f ca="1">HYPERLINK("https://web.datatree.com/?/property?propertyId=32346521", "https://web.datatree.com/?/property?propertyId=32346521")</f>
        <v>https://web.datatree.com/?/property?propertyId=32346521</v>
      </c>
      <c r="Q1066" t="s">
        <v>316</v>
      </c>
      <c>
        <v>0.316</v>
      </c>
      <c t="s">
        <v>45031</v>
      </c>
      <c t="s">
        <v>29247</v>
      </c>
      <c t="s">
        <v>27968</v>
      </c>
      <c t="s">
        <v>63177</v>
      </c>
      <c t="s">
        <v>4742</v>
      </c>
      <c t="s">
        <v>37966</v>
      </c>
      <c t="s">
        <v>39082</v>
      </c>
      <c t="s">
        <v>2517</v>
      </c>
      <c t="s">
        <v>39289</v>
      </c>
      <c>
        <v>33909</v>
      </c>
      <c t="s">
        <v>54580</v>
      </c>
      <c t="s">
        <v>48794</v>
      </c>
      <c t="s">
        <v>66051</v>
      </c>
      <c>
        <v>11753</v>
      </c>
      <c r="AI1066" t="s">
        <v>30657</v>
      </c>
      <c t="s">
        <v>4985</v>
      </c>
      <c>
        <v>5</v>
      </c>
      <c t="s">
        <v>4859</v>
      </c>
      <c t="s">
        <v>4859</v>
      </c>
      <c t="s">
        <v>39289</v>
      </c>
      <c t="s">
        <v>49953</v>
      </c>
      <c t="s">
        <v>26242</v>
      </c>
      <c t="s">
        <v>3093</v>
      </c>
      <c t="s">
        <v>28723</v>
      </c>
    </row>
    <row>
      <c t="s">
        <v>17594</v>
      </c>
      <c t="s">
        <v>6700</v>
      </c>
      <c t="s">
        <v>42562</v>
      </c>
      <c t="s">
        <v>11314</v>
      </c>
      <c t="s">
        <v>11730</v>
      </c>
      <c s="3">
        <v>23352</v>
      </c>
      <c s="3">
        <v>23352</v>
      </c>
      <c s="3">
        <v>8800</v>
      </c>
      <c>
        <v>0</v>
      </c>
      <c s="3">
        <v>0</v>
      </c>
      <c s="3">
        <v>598.34</v>
      </c>
      <c s="3">
        <v>23352</v>
      </c>
      <c r="O1067" s="1" t="str">
        <f ca="1">HYPERLINK("https://web.datatree.com/?/property?propertyId=32347013", "https://web.datatree.com/?/property?propertyId=32347013")</f>
        <v>https://web.datatree.com/?/property?propertyId=32347013</v>
      </c>
      <c r="Q1067" t="s">
        <v>316</v>
      </c>
      <c>
        <v>0.245</v>
      </c>
      <c t="s">
        <v>22490</v>
      </c>
      <c t="s">
        <v>37097</v>
      </c>
      <c t="s">
        <v>1224</v>
      </c>
      <c t="s">
        <v>53791</v>
      </c>
      <c t="s">
        <v>1224</v>
      </c>
      <c t="s">
        <v>42995</v>
      </c>
      <c t="s">
        <v>23517</v>
      </c>
      <c t="s">
        <v>2517</v>
      </c>
      <c t="s">
        <v>39289</v>
      </c>
      <c>
        <v>33909</v>
      </c>
      <c t="s">
        <v>23360</v>
      </c>
      <c t="s">
        <v>48794</v>
      </c>
      <c t="s">
        <v>2339</v>
      </c>
      <c>
        <v>203</v>
      </c>
      <c r="AI1067" t="s">
        <v>28219</v>
      </c>
      <c t="s">
        <v>45393</v>
      </c>
      <c r="AL1067" t="s">
        <v>20973</v>
      </c>
      <c t="s">
        <v>20973</v>
      </c>
      <c t="s">
        <v>51087</v>
      </c>
      <c t="s">
        <v>17427</v>
      </c>
      <c t="s">
        <v>23744</v>
      </c>
      <c t="s">
        <v>3093</v>
      </c>
      <c t="s">
        <v>1746</v>
      </c>
    </row>
    <row>
      <c t="s">
        <v>17594</v>
      </c>
      <c t="s">
        <v>50409</v>
      </c>
      <c t="s">
        <v>65721</v>
      </c>
      <c t="s">
        <v>35624</v>
      </c>
      <c t="s">
        <v>48520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068" s="1" t="str">
        <f ca="1">HYPERLINK("https://web.datatree.com/?/property?propertyId=32347327", "https://web.datatree.com/?/property?propertyId=32347327")</f>
        <v>https://web.datatree.com/?/property?propertyId=32347327</v>
      </c>
      <c r="Q1068" t="s">
        <v>316</v>
      </c>
      <c>
        <v>0.23</v>
      </c>
      <c t="s">
        <v>6175</v>
      </c>
      <c t="s">
        <v>18849</v>
      </c>
      <c t="s">
        <v>63346</v>
      </c>
      <c t="s">
        <v>773</v>
      </c>
      <c t="s">
        <v>63346</v>
      </c>
      <c t="s">
        <v>52512</v>
      </c>
      <c t="s">
        <v>34731</v>
      </c>
      <c t="s">
        <v>2517</v>
      </c>
      <c t="s">
        <v>39289</v>
      </c>
      <c>
        <v>33909</v>
      </c>
      <c t="s">
        <v>20905</v>
      </c>
      <c t="s">
        <v>48794</v>
      </c>
      <c t="s">
        <v>34055</v>
      </c>
      <c>
        <v>2307</v>
      </c>
      <c r="AI1068" t="s">
        <v>45348</v>
      </c>
      <c t="s">
        <v>45620</v>
      </c>
      <c r="AL1068" t="s">
        <v>6799</v>
      </c>
      <c r="AN1068" t="s">
        <v>10804</v>
      </c>
      <c t="s">
        <v>28199</v>
      </c>
      <c t="s">
        <v>7062</v>
      </c>
      <c t="s">
        <v>3093</v>
      </c>
      <c t="s">
        <v>21148</v>
      </c>
    </row>
    <row>
      <c t="s">
        <v>17594</v>
      </c>
      <c t="s">
        <v>50770</v>
      </c>
      <c t="s">
        <v>39543</v>
      </c>
      <c t="s">
        <v>64976</v>
      </c>
      <c t="s">
        <v>57186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069" s="1" t="str">
        <f ca="1">HYPERLINK("https://web.datatree.com/?/property?propertyId=32347659", "https://web.datatree.com/?/property?propertyId=32347659")</f>
        <v>https://web.datatree.com/?/property?propertyId=32347659</v>
      </c>
      <c r="Q1069" t="s">
        <v>316</v>
      </c>
      <c>
        <v>0.23</v>
      </c>
      <c t="s">
        <v>6175</v>
      </c>
      <c t="s">
        <v>19357</v>
      </c>
      <c t="s">
        <v>35379</v>
      </c>
      <c t="s">
        <v>27417</v>
      </c>
      <c t="s">
        <v>35379</v>
      </c>
      <c t="s">
        <v>59020</v>
      </c>
      <c t="s">
        <v>13829</v>
      </c>
      <c t="s">
        <v>2517</v>
      </c>
      <c t="s">
        <v>39289</v>
      </c>
      <c>
        <v>33909</v>
      </c>
      <c t="s">
        <v>19558</v>
      </c>
      <c t="s">
        <v>48794</v>
      </c>
      <c t="s">
        <v>12467</v>
      </c>
      <c>
        <v>40</v>
      </c>
      <c r="AI1069" t="s">
        <v>62262</v>
      </c>
      <c t="s">
        <v>40123</v>
      </c>
      <c r="AL1069" t="s">
        <v>33286</v>
      </c>
      <c r="AN1069" t="s">
        <v>26016</v>
      </c>
      <c t="s">
        <v>61468</v>
      </c>
      <c t="s">
        <v>17380</v>
      </c>
      <c t="s">
        <v>3093</v>
      </c>
      <c t="s">
        <v>63406</v>
      </c>
    </row>
    <row>
      <c t="s">
        <v>17594</v>
      </c>
      <c t="s">
        <v>8738</v>
      </c>
      <c t="s">
        <v>57828</v>
      </c>
      <c t="s">
        <v>34149</v>
      </c>
      <c t="s">
        <v>4158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070" s="1" t="str">
        <f ca="1">HYPERLINK("https://web.datatree.com/?/property?propertyId=32347891", "https://web.datatree.com/?/property?propertyId=32347891")</f>
        <v>https://web.datatree.com/?/property?propertyId=32347891</v>
      </c>
      <c r="Q1070" t="s">
        <v>316</v>
      </c>
      <c>
        <v>0.23</v>
      </c>
      <c t="s">
        <v>6175</v>
      </c>
      <c t="s">
        <v>7602</v>
      </c>
      <c t="s">
        <v>60724</v>
      </c>
      <c r="X1070" t="s">
        <v>56890</v>
      </c>
      <c t="s">
        <v>17022</v>
      </c>
      <c t="s">
        <v>2517</v>
      </c>
      <c t="s">
        <v>39289</v>
      </c>
      <c>
        <v>33909</v>
      </c>
      <c t="s">
        <v>62898</v>
      </c>
      <c t="s">
        <v>48794</v>
      </c>
      <c t="s">
        <v>23698</v>
      </c>
      <c>
        <v>730</v>
      </c>
      <c r="AI1070" t="s">
        <v>49122</v>
      </c>
      <c t="s">
        <v>45393</v>
      </c>
      <c r="AL1070" t="s">
        <v>29515</v>
      </c>
      <c r="AN1070" t="s">
        <v>39289</v>
      </c>
      <c t="s">
        <v>34125</v>
      </c>
      <c t="s">
        <v>4660</v>
      </c>
      <c t="s">
        <v>3093</v>
      </c>
      <c t="s">
        <v>62288</v>
      </c>
    </row>
    <row>
      <c t="s">
        <v>17594</v>
      </c>
      <c t="s">
        <v>55539</v>
      </c>
      <c t="s">
        <v>62869</v>
      </c>
      <c t="s">
        <v>5864</v>
      </c>
      <c t="s">
        <v>25198</v>
      </c>
      <c s="3">
        <v>25432</v>
      </c>
      <c s="3">
        <v>25432</v>
      </c>
      <c s="3">
        <v>12018</v>
      </c>
      <c>
        <v>0</v>
      </c>
      <c s="3">
        <v>0</v>
      </c>
      <c s="3">
        <v>638.81</v>
      </c>
      <c s="3">
        <v>25432</v>
      </c>
      <c r="O1071" s="1" t="str">
        <f ca="1">HYPERLINK("https://web.datatree.com/?/property?propertyId=32348020", "https://web.datatree.com/?/property?propertyId=32348020")</f>
        <v>https://web.datatree.com/?/property?propertyId=32348020</v>
      </c>
      <c r="Q1071" t="s">
        <v>316</v>
      </c>
      <c>
        <v>0.23</v>
      </c>
      <c t="s">
        <v>22490</v>
      </c>
      <c t="s">
        <v>2140</v>
      </c>
      <c t="s">
        <v>26624</v>
      </c>
      <c t="s">
        <v>54921</v>
      </c>
      <c t="s">
        <v>26624</v>
      </c>
      <c t="s">
        <v>64084</v>
      </c>
      <c t="s">
        <v>15510</v>
      </c>
      <c t="s">
        <v>2517</v>
      </c>
      <c t="s">
        <v>39289</v>
      </c>
      <c>
        <v>33909</v>
      </c>
      <c>
        <v>33909</v>
      </c>
      <c t="s">
        <v>48794</v>
      </c>
      <c t="s">
        <v>55327</v>
      </c>
      <c>
        <v>1815</v>
      </c>
      <c r="AI1071" t="s">
        <v>17299</v>
      </c>
      <c t="s">
        <v>45620</v>
      </c>
      <c r="AL1071" t="s">
        <v>31194</v>
      </c>
      <c r="AN1071" t="s">
        <v>3034</v>
      </c>
      <c t="s">
        <v>66175</v>
      </c>
      <c t="s">
        <v>58683</v>
      </c>
      <c t="s">
        <v>3093</v>
      </c>
      <c t="s">
        <v>60409</v>
      </c>
    </row>
    <row>
      <c t="s">
        <v>17594</v>
      </c>
      <c t="s">
        <v>25224</v>
      </c>
      <c t="s">
        <v>10427</v>
      </c>
      <c t="s">
        <v>29905</v>
      </c>
      <c t="s">
        <v>56729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072" s="1" t="str">
        <f ca="1">HYPERLINK("https://web.datatree.com/?/property?propertyId=32348237", "https://web.datatree.com/?/property?propertyId=32348237")</f>
        <v>https://web.datatree.com/?/property?propertyId=32348237</v>
      </c>
      <c r="Q1072" t="s">
        <v>316</v>
      </c>
      <c>
        <v>0.23</v>
      </c>
      <c t="s">
        <v>6175</v>
      </c>
      <c t="s">
        <v>4958</v>
      </c>
      <c t="s">
        <v>60494</v>
      </c>
      <c r="X1072" t="s">
        <v>44112</v>
      </c>
      <c t="s">
        <v>13829</v>
      </c>
      <c t="s">
        <v>2517</v>
      </c>
      <c t="s">
        <v>39289</v>
      </c>
      <c>
        <v>33909</v>
      </c>
      <c t="s">
        <v>31784</v>
      </c>
      <c t="s">
        <v>48794</v>
      </c>
      <c t="s">
        <v>12346</v>
      </c>
      <c>
        <v>1616</v>
      </c>
      <c r="AI1072" t="s">
        <v>45323</v>
      </c>
      <c t="s">
        <v>31192</v>
      </c>
      <c r="AL1072" t="s">
        <v>63499</v>
      </c>
      <c r="AN1072" t="s">
        <v>18236</v>
      </c>
      <c t="s">
        <v>34902</v>
      </c>
      <c t="s">
        <v>42082</v>
      </c>
      <c t="s">
        <v>3093</v>
      </c>
      <c t="s">
        <v>57735</v>
      </c>
    </row>
    <row>
      <c t="s">
        <v>17594</v>
      </c>
      <c t="s">
        <v>16391</v>
      </c>
      <c t="s">
        <v>35979</v>
      </c>
      <c t="s">
        <v>19854</v>
      </c>
      <c t="s">
        <v>19032</v>
      </c>
      <c s="3">
        <v>438734</v>
      </c>
      <c s="3">
        <v>438734</v>
      </c>
      <c s="3">
        <v>274670</v>
      </c>
      <c>
        <v>0</v>
      </c>
      <c s="3">
        <v>0</v>
      </c>
      <c s="3">
        <v>4870.26</v>
      </c>
      <c s="3">
        <v>438734</v>
      </c>
      <c>
        <v>2021</v>
      </c>
      <c>
        <v>8275.24</v>
      </c>
      <c s="1" t="str">
        <f ca="1">HYPERLINK("https://web.datatree.com/?/property?propertyId=32348487", "https://web.datatree.com/?/property?propertyId=32348487")</f>
        <v>https://web.datatree.com/?/property?propertyId=32348487</v>
      </c>
      <c r="Q1073" t="s">
        <v>316</v>
      </c>
      <c>
        <v>0.287</v>
      </c>
      <c t="s">
        <v>22490</v>
      </c>
      <c t="s">
        <v>44541</v>
      </c>
      <c t="s">
        <v>18748</v>
      </c>
      <c r="X1073" t="s">
        <v>50310</v>
      </c>
      <c t="s">
        <v>58441</v>
      </c>
      <c t="s">
        <v>2517</v>
      </c>
      <c t="s">
        <v>39289</v>
      </c>
      <c>
        <v>33904</v>
      </c>
      <c t="s">
        <v>31406</v>
      </c>
      <c t="s">
        <v>48794</v>
      </c>
      <c t="s">
        <v>45191</v>
      </c>
      <c>
        <v>130</v>
      </c>
      <c r="AI1073" t="s">
        <v>31690</v>
      </c>
      <c t="s">
        <v>45620</v>
      </c>
      <c r="AL1073" t="s">
        <v>26340</v>
      </c>
      <c r="AN1073" t="s">
        <v>5859</v>
      </c>
      <c t="s">
        <v>60080</v>
      </c>
      <c t="s">
        <v>30106</v>
      </c>
      <c t="s">
        <v>3093</v>
      </c>
      <c t="s">
        <v>39216</v>
      </c>
    </row>
    <row>
      <c t="s">
        <v>17594</v>
      </c>
      <c t="s">
        <v>4031</v>
      </c>
      <c t="s">
        <v>59954</v>
      </c>
      <c t="s">
        <v>50632</v>
      </c>
      <c t="s">
        <v>51849</v>
      </c>
      <c s="3">
        <v>8100</v>
      </c>
      <c s="3">
        <v>8100</v>
      </c>
      <c s="3">
        <v>8100</v>
      </c>
      <c>
        <v>0</v>
      </c>
      <c s="3">
        <v>0</v>
      </c>
      <c s="3">
        <v>608.62</v>
      </c>
      <c s="3">
        <v>8100</v>
      </c>
      <c r="O1074" s="1" t="str">
        <f ca="1">HYPERLINK("https://web.datatree.com/?/property?propertyId=32348648", "https://web.datatree.com/?/property?propertyId=32348648")</f>
        <v>https://web.datatree.com/?/property?propertyId=32348648</v>
      </c>
      <c r="Q1074" t="s">
        <v>316</v>
      </c>
      <c>
        <v>0.23</v>
      </c>
      <c t="s">
        <v>6175</v>
      </c>
      <c t="s">
        <v>16044</v>
      </c>
      <c t="s">
        <v>5275</v>
      </c>
      <c r="X1074" t="s">
        <v>42117</v>
      </c>
      <c t="s">
        <v>49122</v>
      </c>
      <c t="s">
        <v>2517</v>
      </c>
      <c t="s">
        <v>39289</v>
      </c>
      <c>
        <v>33909</v>
      </c>
      <c t="s">
        <v>47080</v>
      </c>
      <c t="s">
        <v>48794</v>
      </c>
      <c t="s">
        <v>29889</v>
      </c>
      <c>
        <v>4510</v>
      </c>
      <c r="AI1074" t="s">
        <v>15510</v>
      </c>
      <c t="s">
        <v>45393</v>
      </c>
      <c>
        <v>403</v>
      </c>
      <c t="s">
        <v>50287</v>
      </c>
      <c t="s">
        <v>50287</v>
      </c>
      <c t="s">
        <v>39289</v>
      </c>
      <c t="s">
        <v>20989</v>
      </c>
      <c t="s">
        <v>38085</v>
      </c>
      <c t="s">
        <v>3093</v>
      </c>
      <c t="s">
        <v>27281</v>
      </c>
    </row>
    <row>
      <c t="s">
        <v>17594</v>
      </c>
      <c t="s">
        <v>51361</v>
      </c>
      <c t="s">
        <v>13046</v>
      </c>
      <c t="s">
        <v>34879</v>
      </c>
      <c t="s">
        <v>55748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075" s="1" t="str">
        <f ca="1">HYPERLINK("https://web.datatree.com/?/property?propertyId=32349263", "https://web.datatree.com/?/property?propertyId=32349263")</f>
        <v>https://web.datatree.com/?/property?propertyId=32349263</v>
      </c>
      <c r="Q1075" t="s">
        <v>316</v>
      </c>
      <c>
        <v>0.23</v>
      </c>
      <c t="s">
        <v>22490</v>
      </c>
      <c t="s">
        <v>12637</v>
      </c>
      <c t="s">
        <v>60958</v>
      </c>
      <c t="s">
        <v>56231</v>
      </c>
      <c t="s">
        <v>60958</v>
      </c>
      <c t="s">
        <v>23785</v>
      </c>
      <c t="s">
        <v>46469</v>
      </c>
      <c t="s">
        <v>2517</v>
      </c>
      <c t="s">
        <v>39289</v>
      </c>
      <c>
        <v>33909</v>
      </c>
      <c t="s">
        <v>52632</v>
      </c>
      <c t="s">
        <v>48794</v>
      </c>
      <c t="s">
        <v>44239</v>
      </c>
      <c>
        <v>479</v>
      </c>
      <c r="AI1075" t="s">
        <v>29684</v>
      </c>
      <c r="AL1075" t="s">
        <v>32114</v>
      </c>
      <c r="AN1075" t="s">
        <v>32840</v>
      </c>
      <c r="AR1075" t="s">
        <v>8186</v>
      </c>
    </row>
    <row>
      <c t="s">
        <v>42103</v>
      </c>
      <c t="s">
        <v>54526</v>
      </c>
      <c t="s">
        <v>695</v>
      </c>
      <c t="s">
        <v>2018</v>
      </c>
      <c t="s">
        <v>62231</v>
      </c>
      <c s="3">
        <v>8114</v>
      </c>
      <c s="3">
        <v>8114</v>
      </c>
      <c s="3">
        <v>4952</v>
      </c>
      <c>
        <v>0</v>
      </c>
      <c s="3">
        <v>0</v>
      </c>
      <c s="3">
        <v>313.92</v>
      </c>
      <c s="3">
        <v>8114</v>
      </c>
      <c r="O1076" s="1" t="str">
        <f ca="1">HYPERLINK("https://web.datatree.com/?/property?propertyId=32349674", "https://web.datatree.com/?/property?propertyId=32349674")</f>
        <v>https://web.datatree.com/?/property?propertyId=32349674</v>
      </c>
      <c r="Q1076" t="s">
        <v>316</v>
      </c>
      <c>
        <v>0.221</v>
      </c>
      <c t="s">
        <v>5471</v>
      </c>
      <c t="s">
        <v>8033</v>
      </c>
      <c t="s">
        <v>29938</v>
      </c>
      <c r="X1076" t="s">
        <v>24774</v>
      </c>
      <c t="s">
        <v>39583</v>
      </c>
      <c t="s">
        <v>65059</v>
      </c>
      <c t="s">
        <v>39289</v>
      </c>
      <c>
        <v>33905</v>
      </c>
      <c t="s">
        <v>32505</v>
      </c>
      <c t="s">
        <v>48794</v>
      </c>
      <c t="s">
        <v>38268</v>
      </c>
      <c r="AI1076" t="s">
        <v>2757</v>
      </c>
      <c r="AL1076" t="s">
        <v>15506</v>
      </c>
      <c r="AN1076" t="s">
        <v>17134</v>
      </c>
      <c>
        <v>45846</v>
      </c>
      <c t="s">
        <v>23536</v>
      </c>
      <c t="s">
        <v>3093</v>
      </c>
      <c t="s">
        <v>48861</v>
      </c>
    </row>
    <row>
      <c t="s">
        <v>17594</v>
      </c>
      <c t="s">
        <v>64444</v>
      </c>
      <c t="s">
        <v>52829</v>
      </c>
      <c t="s">
        <v>66843</v>
      </c>
      <c t="s">
        <v>46304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1077" s="1" t="str">
        <f ca="1">HYPERLINK("https://web.datatree.com/?/property?propertyId=32351002", "https://web.datatree.com/?/property?propertyId=32351002")</f>
        <v>https://web.datatree.com/?/property?propertyId=32351002</v>
      </c>
      <c r="Q1077" t="s">
        <v>316</v>
      </c>
      <c>
        <v>0.23</v>
      </c>
      <c t="s">
        <v>22490</v>
      </c>
      <c t="s">
        <v>65985</v>
      </c>
      <c t="s">
        <v>63746</v>
      </c>
      <c t="s">
        <v>6326</v>
      </c>
      <c t="s">
        <v>63746</v>
      </c>
      <c t="s">
        <v>36415</v>
      </c>
      <c t="s">
        <v>52171</v>
      </c>
      <c t="s">
        <v>2517</v>
      </c>
      <c t="s">
        <v>39289</v>
      </c>
      <c>
        <v>33909</v>
      </c>
      <c t="s">
        <v>27331</v>
      </c>
      <c t="s">
        <v>48794</v>
      </c>
      <c t="s">
        <v>23987</v>
      </c>
      <c t="s">
        <v>64866</v>
      </c>
      <c r="AI1077" t="s">
        <v>62949</v>
      </c>
      <c t="s">
        <v>45620</v>
      </c>
      <c r="AL1077" t="s">
        <v>35776</v>
      </c>
      <c r="AN1077" t="s">
        <v>27481</v>
      </c>
      <c t="s">
        <v>9270</v>
      </c>
      <c t="s">
        <v>14695</v>
      </c>
      <c t="s">
        <v>3093</v>
      </c>
      <c t="s">
        <v>10799</v>
      </c>
    </row>
    <row>
      <c t="s">
        <v>17594</v>
      </c>
      <c t="s">
        <v>55542</v>
      </c>
      <c t="s">
        <v>34483</v>
      </c>
      <c t="s">
        <v>38942</v>
      </c>
      <c t="s">
        <v>65117</v>
      </c>
      <c s="3">
        <v>20472</v>
      </c>
      <c s="3">
        <v>20472</v>
      </c>
      <c s="3">
        <v>20472</v>
      </c>
      <c>
        <v>0</v>
      </c>
      <c s="3">
        <v>0</v>
      </c>
      <c s="3">
        <v>723.45</v>
      </c>
      <c s="3">
        <v>20472</v>
      </c>
      <c r="O1078" s="1" t="str">
        <f ca="1">HYPERLINK("https://web.datatree.com/?/property?propertyId=32351148", "https://web.datatree.com/?/property?propertyId=32351148")</f>
        <v>https://web.datatree.com/?/property?propertyId=32351148</v>
      </c>
      <c r="Q1078" t="s">
        <v>316</v>
      </c>
      <c>
        <v>0.259</v>
      </c>
      <c t="s">
        <v>45031</v>
      </c>
      <c t="s">
        <v>23529</v>
      </c>
      <c t="s">
        <v>61221</v>
      </c>
      <c r="X1078" t="s">
        <v>48529</v>
      </c>
      <c t="s">
        <v>22731</v>
      </c>
      <c t="s">
        <v>2517</v>
      </c>
      <c t="s">
        <v>39289</v>
      </c>
      <c>
        <v>33909</v>
      </c>
      <c t="s">
        <v>10393</v>
      </c>
      <c t="s">
        <v>48794</v>
      </c>
      <c t="s">
        <v>41186</v>
      </c>
      <c>
        <v>3</v>
      </c>
      <c r="AI1078" t="s">
        <v>1727</v>
      </c>
      <c t="s">
        <v>45620</v>
      </c>
      <c r="AL1078" t="s">
        <v>46008</v>
      </c>
      <c r="AN1078" t="s">
        <v>5982</v>
      </c>
      <c t="s">
        <v>41095</v>
      </c>
      <c t="s">
        <v>67084</v>
      </c>
      <c t="s">
        <v>3093</v>
      </c>
      <c t="s">
        <v>30543</v>
      </c>
    </row>
    <row>
      <c t="s">
        <v>42103</v>
      </c>
      <c t="s">
        <v>66499</v>
      </c>
      <c t="s">
        <v>18694</v>
      </c>
      <c t="s">
        <v>16178</v>
      </c>
      <c t="s">
        <v>54600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079" s="1" t="str">
        <f ca="1">HYPERLINK("https://web.datatree.com/?/property?propertyId=32351177", "https://web.datatree.com/?/property?propertyId=32351177")</f>
        <v>https://web.datatree.com/?/property?propertyId=32351177</v>
      </c>
      <c r="Q1079" t="s">
        <v>316</v>
      </c>
      <c>
        <v>0.242</v>
      </c>
      <c t="s">
        <v>5471</v>
      </c>
      <c t="s">
        <v>60671</v>
      </c>
      <c t="s">
        <v>33056</v>
      </c>
      <c t="s">
        <v>36659</v>
      </c>
      <c t="s">
        <v>33056</v>
      </c>
      <c t="s">
        <v>22112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51905</v>
      </c>
      <c r="AI1079" t="s">
        <v>36897</v>
      </c>
      <c r="AL1079" t="s">
        <v>12545</v>
      </c>
      <c r="AN1079" t="s">
        <v>32657</v>
      </c>
      <c t="s">
        <v>50460</v>
      </c>
      <c t="s">
        <v>22417</v>
      </c>
      <c t="s">
        <v>3093</v>
      </c>
      <c t="s">
        <v>30299</v>
      </c>
    </row>
    <row>
      <c t="s">
        <v>17594</v>
      </c>
      <c t="s">
        <v>23472</v>
      </c>
      <c t="s">
        <v>582</v>
      </c>
      <c t="s">
        <v>8747</v>
      </c>
      <c t="s">
        <v>43956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080" s="1" t="str">
        <f ca="1">HYPERLINK("https://web.datatree.com/?/property?propertyId=32351370", "https://web.datatree.com/?/property?propertyId=32351370")</f>
        <v>https://web.datatree.com/?/property?propertyId=32351370</v>
      </c>
      <c r="Q1080" t="s">
        <v>316</v>
      </c>
      <c>
        <v>0.23</v>
      </c>
      <c t="s">
        <v>6175</v>
      </c>
      <c t="s">
        <v>29435</v>
      </c>
      <c t="s">
        <v>34170</v>
      </c>
      <c r="X1080" t="s">
        <v>65431</v>
      </c>
      <c t="s">
        <v>49674</v>
      </c>
      <c t="s">
        <v>2517</v>
      </c>
      <c t="s">
        <v>39289</v>
      </c>
      <c>
        <v>33909</v>
      </c>
      <c t="s">
        <v>20754</v>
      </c>
      <c t="s">
        <v>48794</v>
      </c>
      <c t="s">
        <v>5444</v>
      </c>
      <c>
        <v>32</v>
      </c>
      <c r="AI1080" t="s">
        <v>49358</v>
      </c>
      <c t="s">
        <v>1671</v>
      </c>
      <c r="AL1080" t="s">
        <v>39016</v>
      </c>
      <c r="AN1080" t="s">
        <v>50917</v>
      </c>
      <c t="s">
        <v>50603</v>
      </c>
      <c t="s">
        <v>45980</v>
      </c>
      <c t="s">
        <v>3093</v>
      </c>
      <c t="s">
        <v>64284</v>
      </c>
    </row>
    <row>
      <c t="s">
        <v>17594</v>
      </c>
      <c t="s">
        <v>60035</v>
      </c>
      <c t="s">
        <v>64352</v>
      </c>
      <c t="s">
        <v>16282</v>
      </c>
      <c t="s">
        <v>56052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081" s="1" t="str">
        <f ca="1">HYPERLINK("https://web.datatree.com/?/property?propertyId=32352414", "https://web.datatree.com/?/property?propertyId=32352414")</f>
        <v>https://web.datatree.com/?/property?propertyId=32352414</v>
      </c>
      <c r="Q1081" t="s">
        <v>316</v>
      </c>
      <c>
        <v>0.23</v>
      </c>
      <c t="s">
        <v>42044</v>
      </c>
      <c t="s">
        <v>16069</v>
      </c>
      <c t="s">
        <v>2283</v>
      </c>
      <c t="s">
        <v>29302</v>
      </c>
      <c t="s">
        <v>22458</v>
      </c>
      <c t="s">
        <v>16523</v>
      </c>
      <c t="s">
        <v>61144</v>
      </c>
      <c t="s">
        <v>2517</v>
      </c>
      <c t="s">
        <v>39289</v>
      </c>
      <c>
        <v>33909</v>
      </c>
      <c t="s">
        <v>16477</v>
      </c>
      <c t="s">
        <v>48794</v>
      </c>
      <c t="s">
        <v>35235</v>
      </c>
      <c>
        <v>2</v>
      </c>
      <c r="AI1081" t="s">
        <v>66021</v>
      </c>
      <c r="AL1081" t="s">
        <v>7567</v>
      </c>
      <c t="s">
        <v>7567</v>
      </c>
      <c t="s">
        <v>9533</v>
      </c>
      <c t="s">
        <v>37953</v>
      </c>
      <c t="s">
        <v>4797</v>
      </c>
      <c t="s">
        <v>3093</v>
      </c>
      <c t="s">
        <v>29424</v>
      </c>
    </row>
    <row>
      <c t="s">
        <v>17594</v>
      </c>
      <c t="s">
        <v>56141</v>
      </c>
      <c t="s">
        <v>4784</v>
      </c>
      <c t="s">
        <v>40775</v>
      </c>
      <c t="s">
        <v>5783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082" s="1" t="str">
        <f ca="1">HYPERLINK("https://web.datatree.com/?/property?propertyId=32352679", "https://web.datatree.com/?/property?propertyId=32352679")</f>
        <v>https://web.datatree.com/?/property?propertyId=32352679</v>
      </c>
      <c r="Q1082" t="s">
        <v>316</v>
      </c>
      <c>
        <v>0.23</v>
      </c>
      <c t="s">
        <v>6175</v>
      </c>
      <c t="s">
        <v>10419</v>
      </c>
      <c t="s">
        <v>58393</v>
      </c>
      <c t="s">
        <v>45640</v>
      </c>
      <c t="s">
        <v>58393</v>
      </c>
      <c t="s">
        <v>58055</v>
      </c>
      <c t="s">
        <v>60363</v>
      </c>
      <c t="s">
        <v>2517</v>
      </c>
      <c t="s">
        <v>39289</v>
      </c>
      <c>
        <v>33909</v>
      </c>
      <c t="s">
        <v>11939</v>
      </c>
      <c t="s">
        <v>48794</v>
      </c>
      <c t="s">
        <v>23709</v>
      </c>
      <c>
        <v>409</v>
      </c>
      <c r="AI1082" t="s">
        <v>5105</v>
      </c>
      <c t="s">
        <v>45393</v>
      </c>
      <c r="AL1082" t="s">
        <v>2726</v>
      </c>
      <c r="AN1082" t="s">
        <v>18236</v>
      </c>
      <c t="s">
        <v>8715</v>
      </c>
      <c t="s">
        <v>34162</v>
      </c>
      <c t="s">
        <v>3093</v>
      </c>
      <c t="s">
        <v>62367</v>
      </c>
    </row>
    <row>
      <c t="s">
        <v>17594</v>
      </c>
      <c t="s">
        <v>52010</v>
      </c>
      <c t="s">
        <v>43285</v>
      </c>
      <c t="s">
        <v>46675</v>
      </c>
      <c t="s">
        <v>21579</v>
      </c>
      <c s="3">
        <v>49440</v>
      </c>
      <c s="3">
        <v>49440</v>
      </c>
      <c s="3">
        <v>22824</v>
      </c>
      <c>
        <v>0</v>
      </c>
      <c s="3">
        <v>0</v>
      </c>
      <c s="3">
        <v>927.43</v>
      </c>
      <c s="3">
        <v>49440</v>
      </c>
      <c r="O1083" s="1" t="str">
        <f ca="1">HYPERLINK("https://web.datatree.com/?/property?propertyId=32352708", "https://web.datatree.com/?/property?propertyId=32352708")</f>
        <v>https://web.datatree.com/?/property?propertyId=32352708</v>
      </c>
      <c r="Q1083" t="s">
        <v>316</v>
      </c>
      <c>
        <v>0.238</v>
      </c>
      <c t="s">
        <v>6175</v>
      </c>
      <c t="s">
        <v>59512</v>
      </c>
      <c t="s">
        <v>38281</v>
      </c>
      <c t="s">
        <v>35618</v>
      </c>
      <c t="s">
        <v>38281</v>
      </c>
      <c t="s">
        <v>50517</v>
      </c>
      <c t="s">
        <v>24999</v>
      </c>
      <c t="s">
        <v>2517</v>
      </c>
      <c t="s">
        <v>39289</v>
      </c>
      <c>
        <v>33904</v>
      </c>
      <c t="s">
        <v>31706</v>
      </c>
      <c t="s">
        <v>48794</v>
      </c>
      <c t="s">
        <v>50044</v>
      </c>
      <c>
        <v>5800</v>
      </c>
      <c r="AI1083" t="s">
        <v>49873</v>
      </c>
      <c t="s">
        <v>45620</v>
      </c>
      <c r="AL1083" t="s">
        <v>39752</v>
      </c>
      <c r="AN1083" t="s">
        <v>56163</v>
      </c>
      <c t="s">
        <v>66007</v>
      </c>
      <c t="s">
        <v>63972</v>
      </c>
      <c t="s">
        <v>3093</v>
      </c>
      <c t="s">
        <v>23824</v>
      </c>
    </row>
    <row>
      <c t="s">
        <v>42103</v>
      </c>
      <c t="s">
        <v>11694</v>
      </c>
      <c t="s">
        <v>574</v>
      </c>
      <c t="s">
        <v>50298</v>
      </c>
      <c t="s">
        <v>57502</v>
      </c>
      <c s="3">
        <v>49341</v>
      </c>
      <c s="3">
        <v>49341</v>
      </c>
      <c s="3">
        <v>30030</v>
      </c>
      <c>
        <v>0</v>
      </c>
      <c s="3">
        <v>0</v>
      </c>
      <c s="3">
        <v>2372.03</v>
      </c>
      <c s="3">
        <v>49341</v>
      </c>
      <c r="O1084" s="1" t="str">
        <f ca="1">HYPERLINK("https://web.datatree.com/?/property?propertyId=32352721", "https://web.datatree.com/?/property?propertyId=32352721")</f>
        <v>https://web.datatree.com/?/property?propertyId=32352721</v>
      </c>
      <c r="Q1084" t="s">
        <v>316</v>
      </c>
      <c>
        <v>0.331</v>
      </c>
      <c t="s">
        <v>22490</v>
      </c>
      <c t="s">
        <v>9406</v>
      </c>
      <c t="s">
        <v>3295</v>
      </c>
      <c r="X1084" t="s">
        <v>53936</v>
      </c>
      <c t="s">
        <v>34731</v>
      </c>
      <c t="s">
        <v>2517</v>
      </c>
      <c t="s">
        <v>39289</v>
      </c>
      <c>
        <v>33909</v>
      </c>
      <c t="s">
        <v>20919</v>
      </c>
      <c t="s">
        <v>48794</v>
      </c>
      <c t="s">
        <v>47893</v>
      </c>
      <c r="AI1084" t="s">
        <v>63719</v>
      </c>
      <c r="AL1084" t="s">
        <v>59413</v>
      </c>
      <c r="AN1084" t="s">
        <v>65451</v>
      </c>
      <c t="s">
        <v>15130</v>
      </c>
      <c t="s">
        <v>17273</v>
      </c>
      <c t="s">
        <v>3093</v>
      </c>
      <c t="s">
        <v>56346</v>
      </c>
    </row>
    <row>
      <c t="s">
        <v>17594</v>
      </c>
      <c t="s">
        <v>50289</v>
      </c>
      <c t="s">
        <v>16022</v>
      </c>
      <c t="s">
        <v>25442</v>
      </c>
      <c t="s">
        <v>36554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085" s="1" t="str">
        <f ca="1">HYPERLINK("https://web.datatree.com/?/property?propertyId=32352942", "https://web.datatree.com/?/property?propertyId=32352942")</f>
        <v>https://web.datatree.com/?/property?propertyId=32352942</v>
      </c>
      <c r="Q1085" t="s">
        <v>316</v>
      </c>
      <c>
        <v>0.23</v>
      </c>
      <c t="s">
        <v>6175</v>
      </c>
      <c t="s">
        <v>35571</v>
      </c>
      <c t="s">
        <v>27591</v>
      </c>
      <c t="s">
        <v>50865</v>
      </c>
      <c t="s">
        <v>27591</v>
      </c>
      <c t="s">
        <v>26360</v>
      </c>
      <c t="s">
        <v>47150</v>
      </c>
      <c t="s">
        <v>2517</v>
      </c>
      <c t="s">
        <v>39289</v>
      </c>
      <c>
        <v>33909</v>
      </c>
      <c t="s">
        <v>40453</v>
      </c>
      <c t="s">
        <v>48794</v>
      </c>
      <c t="s">
        <v>60784</v>
      </c>
      <c>
        <v>20</v>
      </c>
      <c r="AI1085" t="s">
        <v>21616</v>
      </c>
      <c t="s">
        <v>24900</v>
      </c>
      <c r="AL1085" t="s">
        <v>22962</v>
      </c>
      <c r="AN1085" t="s">
        <v>14509</v>
      </c>
      <c t="s">
        <v>29665</v>
      </c>
      <c t="s">
        <v>44573</v>
      </c>
      <c t="s">
        <v>3093</v>
      </c>
      <c t="s">
        <v>27576</v>
      </c>
    </row>
    <row>
      <c t="s">
        <v>17594</v>
      </c>
      <c t="s">
        <v>35646</v>
      </c>
      <c t="s">
        <v>49356</v>
      </c>
      <c t="s">
        <v>1122</v>
      </c>
      <c t="s">
        <v>25728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1086" s="1" t="str">
        <f ca="1">HYPERLINK("https://web.datatree.com/?/property?propertyId=32352950", "https://web.datatree.com/?/property?propertyId=32352950")</f>
        <v>https://web.datatree.com/?/property?propertyId=32352950</v>
      </c>
      <c r="Q1086" t="s">
        <v>316</v>
      </c>
      <c>
        <v>0.101</v>
      </c>
      <c t="s">
        <v>26492</v>
      </c>
      <c t="s">
        <v>4699</v>
      </c>
      <c t="s">
        <v>51662</v>
      </c>
      <c t="s">
        <v>33832</v>
      </c>
      <c t="s">
        <v>4053</v>
      </c>
      <c t="s">
        <v>56991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27403</v>
      </c>
      <c>
        <v>15</v>
      </c>
      <c r="AI1086" t="s">
        <v>18929</v>
      </c>
      <c r="AK1086">
        <v>660</v>
      </c>
      <c t="s">
        <v>59764</v>
      </c>
      <c t="s">
        <v>40227</v>
      </c>
      <c t="s">
        <v>58811</v>
      </c>
      <c t="s">
        <v>62332</v>
      </c>
      <c r="AQ1086" t="s">
        <v>27814</v>
      </c>
      <c t="s">
        <v>16218</v>
      </c>
    </row>
    <row>
      <c t="s">
        <v>17594</v>
      </c>
      <c t="s">
        <v>37636</v>
      </c>
      <c t="s">
        <v>6887</v>
      </c>
      <c t="s">
        <v>61249</v>
      </c>
      <c t="s">
        <v>52507</v>
      </c>
      <c s="3">
        <v>41000</v>
      </c>
      <c s="3">
        <v>41000</v>
      </c>
      <c s="3">
        <v>13310</v>
      </c>
      <c>
        <v>0</v>
      </c>
      <c s="3">
        <v>0</v>
      </c>
      <c s="3">
        <v>738.57</v>
      </c>
      <c s="3">
        <v>41000</v>
      </c>
      <c r="O1087" s="1" t="str">
        <f ca="1">HYPERLINK("https://web.datatree.com/?/property?propertyId=32353037", "https://web.datatree.com/?/property?propertyId=32353037")</f>
        <v>https://web.datatree.com/?/property?propertyId=32353037</v>
      </c>
      <c r="Q1087" t="s">
        <v>316</v>
      </c>
      <c>
        <v>0.23</v>
      </c>
      <c t="s">
        <v>14479</v>
      </c>
      <c t="s">
        <v>552</v>
      </c>
      <c t="s">
        <v>8885</v>
      </c>
      <c r="X1087" t="s">
        <v>6047</v>
      </c>
      <c t="s">
        <v>39082</v>
      </c>
      <c t="s">
        <v>2517</v>
      </c>
      <c t="s">
        <v>39289</v>
      </c>
      <c>
        <v>33909</v>
      </c>
      <c t="s">
        <v>64059</v>
      </c>
      <c t="s">
        <v>48794</v>
      </c>
      <c t="s">
        <v>5996</v>
      </c>
      <c>
        <v>3</v>
      </c>
      <c r="AI1087" t="s">
        <v>25727</v>
      </c>
      <c r="AL1087" t="s">
        <v>54408</v>
      </c>
      <c r="AN1087" t="s">
        <v>32840</v>
      </c>
      <c r="AR1087" t="s">
        <v>4559</v>
      </c>
    </row>
    <row>
      <c t="s">
        <v>17594</v>
      </c>
      <c t="s">
        <v>56133</v>
      </c>
      <c t="s">
        <v>57212</v>
      </c>
      <c t="s">
        <v>62872</v>
      </c>
      <c t="s">
        <v>18676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1088" s="1" t="str">
        <f ca="1">HYPERLINK("https://web.datatree.com/?/property?propertyId=32353175", "https://web.datatree.com/?/property?propertyId=32353175")</f>
        <v>https://web.datatree.com/?/property?propertyId=32353175</v>
      </c>
      <c r="Q1088" t="s">
        <v>316</v>
      </c>
      <c>
        <v>0.244</v>
      </c>
      <c t="s">
        <v>6175</v>
      </c>
      <c t="s">
        <v>2873</v>
      </c>
      <c t="s">
        <v>58485</v>
      </c>
      <c t="s">
        <v>11948</v>
      </c>
      <c t="s">
        <v>64530</v>
      </c>
      <c t="s">
        <v>246</v>
      </c>
      <c t="s">
        <v>29190</v>
      </c>
      <c t="s">
        <v>2517</v>
      </c>
      <c t="s">
        <v>39289</v>
      </c>
      <c>
        <v>33909</v>
      </c>
      <c t="s">
        <v>10971</v>
      </c>
      <c t="s">
        <v>48794</v>
      </c>
      <c t="s">
        <v>50941</v>
      </c>
      <c>
        <v>1408</v>
      </c>
      <c r="AI1088" t="s">
        <v>59494</v>
      </c>
      <c t="s">
        <v>24900</v>
      </c>
      <c r="AL1088" t="s">
        <v>62827</v>
      </c>
      <c t="s">
        <v>62827</v>
      </c>
      <c t="s">
        <v>65451</v>
      </c>
      <c t="s">
        <v>50974</v>
      </c>
      <c t="s">
        <v>7062</v>
      </c>
      <c t="s">
        <v>3093</v>
      </c>
      <c t="s">
        <v>31234</v>
      </c>
    </row>
    <row>
      <c t="s">
        <v>17594</v>
      </c>
      <c t="s">
        <v>44386</v>
      </c>
      <c t="s">
        <v>18496</v>
      </c>
      <c t="s">
        <v>23097</v>
      </c>
      <c t="s">
        <v>34322</v>
      </c>
      <c s="3">
        <v>56856</v>
      </c>
      <c s="3">
        <v>56856</v>
      </c>
      <c s="3">
        <v>30360</v>
      </c>
      <c>
        <v>0</v>
      </c>
      <c s="3">
        <v>0</v>
      </c>
      <c s="3">
        <v>1178.93</v>
      </c>
      <c s="3">
        <v>56856</v>
      </c>
      <c r="O1089" s="1" t="str">
        <f ca="1">HYPERLINK("https://web.datatree.com/?/property?propertyId=32353187", "https://web.datatree.com/?/property?propertyId=32353187")</f>
        <v>https://web.datatree.com/?/property?propertyId=32353187</v>
      </c>
      <c r="Q1089" t="s">
        <v>316</v>
      </c>
      <c>
        <v>0.372</v>
      </c>
      <c t="s">
        <v>6175</v>
      </c>
      <c t="s">
        <v>66240</v>
      </c>
      <c t="s">
        <v>8016</v>
      </c>
      <c t="s">
        <v>18281</v>
      </c>
      <c t="s">
        <v>8016</v>
      </c>
      <c t="s">
        <v>24060</v>
      </c>
      <c t="s">
        <v>33179</v>
      </c>
      <c t="s">
        <v>2517</v>
      </c>
      <c t="s">
        <v>39289</v>
      </c>
      <c>
        <v>33904</v>
      </c>
      <c t="s">
        <v>48065</v>
      </c>
      <c t="s">
        <v>48794</v>
      </c>
      <c t="s">
        <v>4</v>
      </c>
      <c r="AI1089" t="s">
        <v>10447</v>
      </c>
      <c r="AK1089">
        <v>9</v>
      </c>
      <c t="s">
        <v>36113</v>
      </c>
      <c r="AN1089" t="s">
        <v>63985</v>
      </c>
      <c>
        <v>21033</v>
      </c>
      <c r="AR1089" t="s">
        <v>20099</v>
      </c>
    </row>
    <row>
      <c t="s">
        <v>17594</v>
      </c>
      <c t="s">
        <v>11239</v>
      </c>
      <c t="s">
        <v>54671</v>
      </c>
      <c t="s">
        <v>13622</v>
      </c>
      <c t="s">
        <v>27421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>
        <v>2021</v>
      </c>
      <c>
        <v>621.67</v>
      </c>
      <c s="1" t="str">
        <f ca="1">HYPERLINK("https://web.datatree.com/?/property?propertyId=32353335", "https://web.datatree.com/?/property?propertyId=32353335")</f>
        <v>https://web.datatree.com/?/property?propertyId=32353335</v>
      </c>
      <c r="Q1090" t="s">
        <v>316</v>
      </c>
      <c>
        <v>0.253</v>
      </c>
      <c t="s">
        <v>42044</v>
      </c>
      <c t="s">
        <v>22078</v>
      </c>
      <c t="s">
        <v>4190</v>
      </c>
      <c r="X1090" t="s">
        <v>62280</v>
      </c>
      <c t="s">
        <v>7113</v>
      </c>
      <c t="s">
        <v>2517</v>
      </c>
      <c t="s">
        <v>39289</v>
      </c>
      <c>
        <v>33909</v>
      </c>
      <c t="s">
        <v>22428</v>
      </c>
      <c t="s">
        <v>48794</v>
      </c>
      <c t="s">
        <v>35439</v>
      </c>
      <c r="AI1090" t="s">
        <v>34615</v>
      </c>
      <c r="AK1090">
        <v>2882</v>
      </c>
      <c t="s">
        <v>63176</v>
      </c>
      <c r="AN1090" t="s">
        <v>22282</v>
      </c>
      <c>
        <v>44520</v>
      </c>
      <c r="AR1090" t="s">
        <v>24101</v>
      </c>
    </row>
    <row>
      <c t="s">
        <v>17594</v>
      </c>
      <c t="s">
        <v>62083</v>
      </c>
      <c t="s">
        <v>15294</v>
      </c>
      <c t="s">
        <v>31074</v>
      </c>
      <c t="s">
        <v>53497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1091" s="1" t="str">
        <f ca="1">HYPERLINK("https://web.datatree.com/?/property?propertyId=32353660", "https://web.datatree.com/?/property?propertyId=32353660")</f>
        <v>https://web.datatree.com/?/property?propertyId=32353660</v>
      </c>
      <c r="Q1091" t="s">
        <v>316</v>
      </c>
      <c>
        <v>0.23</v>
      </c>
      <c t="s">
        <v>22490</v>
      </c>
      <c t="s">
        <v>10361</v>
      </c>
      <c t="s">
        <v>31098</v>
      </c>
      <c t="s">
        <v>14620</v>
      </c>
      <c t="s">
        <v>31098</v>
      </c>
      <c t="s">
        <v>20613</v>
      </c>
      <c t="s">
        <v>23517</v>
      </c>
      <c t="s">
        <v>2517</v>
      </c>
      <c t="s">
        <v>39289</v>
      </c>
      <c>
        <v>33909</v>
      </c>
      <c t="s">
        <v>50842</v>
      </c>
      <c t="s">
        <v>48794</v>
      </c>
      <c t="s">
        <v>25942</v>
      </c>
      <c>
        <v>6</v>
      </c>
      <c r="AI1091" t="s">
        <v>11353</v>
      </c>
      <c r="AL1091" t="s">
        <v>18930</v>
      </c>
      <c r="AN1091" t="s">
        <v>32840</v>
      </c>
      <c r="AR1091" t="s">
        <v>48687</v>
      </c>
    </row>
    <row>
      <c t="s">
        <v>17594</v>
      </c>
      <c t="s">
        <v>46311</v>
      </c>
      <c t="s">
        <v>62938</v>
      </c>
      <c t="s">
        <v>27427</v>
      </c>
      <c t="s">
        <v>38364</v>
      </c>
      <c s="3">
        <v>77340</v>
      </c>
      <c s="3">
        <v>67250</v>
      </c>
      <c s="3">
        <v>74099</v>
      </c>
      <c>
        <v>0</v>
      </c>
      <c s="3">
        <v>0</v>
      </c>
      <c s="3">
        <v>1132.28</v>
      </c>
      <c s="3">
        <v>77340</v>
      </c>
      <c r="O1092" s="1" t="str">
        <f ca="1">HYPERLINK("https://web.datatree.com/?/property?propertyId=32353996", "https://web.datatree.com/?/property?propertyId=32353996")</f>
        <v>https://web.datatree.com/?/property?propertyId=32353996</v>
      </c>
      <c r="Q1092" t="s">
        <v>316</v>
      </c>
      <c>
        <v>0.105</v>
      </c>
      <c t="s">
        <v>26492</v>
      </c>
      <c t="s">
        <v>17967</v>
      </c>
      <c t="s">
        <v>38043</v>
      </c>
      <c t="s">
        <v>53622</v>
      </c>
      <c t="s">
        <v>38043</v>
      </c>
      <c t="s">
        <v>66039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10901</v>
      </c>
      <c>
        <v>216</v>
      </c>
      <c r="AI1092" t="s">
        <v>45219</v>
      </c>
      <c t="s">
        <v>45393</v>
      </c>
      <c r="AL1092" t="s">
        <v>28716</v>
      </c>
      <c t="s">
        <v>40227</v>
      </c>
      <c t="s">
        <v>10909</v>
      </c>
      <c t="s">
        <v>32808</v>
      </c>
      <c r="AQ1092" t="s">
        <v>27814</v>
      </c>
      <c t="s">
        <v>15124</v>
      </c>
    </row>
    <row>
      <c t="s">
        <v>17594</v>
      </c>
      <c t="s">
        <v>37807</v>
      </c>
      <c t="s">
        <v>6152</v>
      </c>
      <c t="s">
        <v>22822</v>
      </c>
      <c t="s">
        <v>65704</v>
      </c>
      <c s="3">
        <v>8903</v>
      </c>
      <c s="3">
        <v>8903</v>
      </c>
      <c s="3">
        <v>4972</v>
      </c>
      <c>
        <v>0</v>
      </c>
      <c s="3">
        <v>0</v>
      </c>
      <c s="3">
        <v>316.66</v>
      </c>
      <c s="3">
        <v>8903</v>
      </c>
      <c r="O1093" s="1" t="str">
        <f ca="1">HYPERLINK("https://web.datatree.com/?/property?propertyId=32354126", "https://web.datatree.com/?/property?propertyId=32354126")</f>
        <v>https://web.datatree.com/?/property?propertyId=32354126</v>
      </c>
      <c r="Q1093" t="s">
        <v>316</v>
      </c>
      <c>
        <v>0.235</v>
      </c>
      <c t="s">
        <v>5471</v>
      </c>
      <c t="s">
        <v>1599</v>
      </c>
      <c t="s">
        <v>35412</v>
      </c>
      <c r="X1093" t="s">
        <v>43473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22037</v>
      </c>
      <c>
        <v>9731</v>
      </c>
      <c r="AI1093" t="s">
        <v>61850</v>
      </c>
      <c t="s">
        <v>45393</v>
      </c>
      <c r="AL1093" t="s">
        <v>25857</v>
      </c>
      <c t="s">
        <v>25857</v>
      </c>
      <c t="s">
        <v>39289</v>
      </c>
      <c t="s">
        <v>43506</v>
      </c>
      <c t="s">
        <v>19978</v>
      </c>
      <c t="s">
        <v>3093</v>
      </c>
      <c t="s">
        <v>42600</v>
      </c>
    </row>
    <row>
      <c t="s">
        <v>17594</v>
      </c>
      <c t="s">
        <v>59820</v>
      </c>
      <c t="s">
        <v>32407</v>
      </c>
      <c t="s">
        <v>55422</v>
      </c>
      <c t="s">
        <v>30454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1094" s="1" t="str">
        <f ca="1">HYPERLINK("https://web.datatree.com/?/property?propertyId=32354411", "https://web.datatree.com/?/property?propertyId=32354411")</f>
        <v>https://web.datatree.com/?/property?propertyId=32354411</v>
      </c>
      <c r="Q1094" t="s">
        <v>316</v>
      </c>
      <c>
        <v>0.23</v>
      </c>
      <c t="s">
        <v>6175</v>
      </c>
      <c t="s">
        <v>33224</v>
      </c>
      <c t="s">
        <v>1279</v>
      </c>
      <c r="X1094" t="s">
        <v>42531</v>
      </c>
      <c t="s">
        <v>13065</v>
      </c>
      <c t="s">
        <v>2517</v>
      </c>
      <c t="s">
        <v>39289</v>
      </c>
      <c>
        <v>33909</v>
      </c>
      <c t="s">
        <v>27251</v>
      </c>
      <c t="s">
        <v>48794</v>
      </c>
      <c t="s">
        <v>43207</v>
      </c>
      <c>
        <v>110</v>
      </c>
      <c r="AI1094" t="s">
        <v>48649</v>
      </c>
      <c t="s">
        <v>45393</v>
      </c>
      <c r="AL1094" t="s">
        <v>12446</v>
      </c>
      <c r="AN1094" t="s">
        <v>26016</v>
      </c>
      <c t="s">
        <v>55484</v>
      </c>
      <c t="s">
        <v>4797</v>
      </c>
      <c t="s">
        <v>3093</v>
      </c>
      <c t="s">
        <v>44353</v>
      </c>
    </row>
    <row>
      <c t="s">
        <v>17594</v>
      </c>
      <c t="s">
        <v>31605</v>
      </c>
      <c t="s">
        <v>67188</v>
      </c>
      <c t="s">
        <v>67252</v>
      </c>
      <c t="s">
        <v>21194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>
        <v>2020</v>
      </c>
      <c>
        <v>1146.9</v>
      </c>
      <c s="1" t="str">
        <f ca="1">HYPERLINK("https://web.datatree.com/?/property?propertyId=32354973", "https://web.datatree.com/?/property?propertyId=32354973")</f>
        <v>https://web.datatree.com/?/property?propertyId=32354973</v>
      </c>
      <c r="Q1095" t="s">
        <v>316</v>
      </c>
      <c>
        <v>0.231</v>
      </c>
      <c t="s">
        <v>22490</v>
      </c>
      <c t="s">
        <v>47754</v>
      </c>
      <c t="s">
        <v>1898</v>
      </c>
      <c t="s">
        <v>32675</v>
      </c>
      <c t="s">
        <v>1898</v>
      </c>
      <c t="s">
        <v>34129</v>
      </c>
      <c t="s">
        <v>13829</v>
      </c>
      <c t="s">
        <v>2517</v>
      </c>
      <c t="s">
        <v>39289</v>
      </c>
      <c>
        <v>33909</v>
      </c>
      <c>
        <v>33909</v>
      </c>
      <c t="s">
        <v>48794</v>
      </c>
      <c t="s">
        <v>44915</v>
      </c>
      <c t="str">
        <f>"71-1"</f>
        <v>71-1</v>
      </c>
      <c r="AI1095" t="s">
        <v>44321</v>
      </c>
      <c t="s">
        <v>45620</v>
      </c>
      <c r="AL1095" t="s">
        <v>12756</v>
      </c>
      <c r="AN1095" t="s">
        <v>14509</v>
      </c>
      <c t="s">
        <v>39791</v>
      </c>
      <c t="s">
        <v>27410</v>
      </c>
      <c t="s">
        <v>3093</v>
      </c>
      <c t="s">
        <v>25105</v>
      </c>
    </row>
    <row>
      <c t="s">
        <v>17594</v>
      </c>
      <c t="s">
        <v>9754</v>
      </c>
      <c t="s">
        <v>51224</v>
      </c>
      <c t="s">
        <v>15115</v>
      </c>
      <c t="s">
        <v>14555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096" s="1" t="str">
        <f ca="1">HYPERLINK("https://web.datatree.com/?/property?propertyId=32355131", "https://web.datatree.com/?/property?propertyId=32355131")</f>
        <v>https://web.datatree.com/?/property?propertyId=32355131</v>
      </c>
      <c r="Q1096" t="s">
        <v>316</v>
      </c>
      <c>
        <v>0.23</v>
      </c>
      <c t="s">
        <v>22490</v>
      </c>
      <c t="s">
        <v>2504</v>
      </c>
      <c t="s">
        <v>45794</v>
      </c>
      <c t="s">
        <v>21644</v>
      </c>
      <c t="s">
        <v>3535</v>
      </c>
      <c t="s">
        <v>50020</v>
      </c>
      <c t="s">
        <v>30928</v>
      </c>
      <c t="s">
        <v>2517</v>
      </c>
      <c t="s">
        <v>39289</v>
      </c>
      <c>
        <v>33909</v>
      </c>
      <c t="s">
        <v>47869</v>
      </c>
      <c t="s">
        <v>48794</v>
      </c>
      <c t="s">
        <v>60109</v>
      </c>
      <c>
        <v>11510</v>
      </c>
      <c r="AI1096" t="s">
        <v>6559</v>
      </c>
      <c t="s">
        <v>45393</v>
      </c>
      <c r="AL1096" t="s">
        <v>29040</v>
      </c>
      <c t="s">
        <v>29040</v>
      </c>
      <c t="s">
        <v>65451</v>
      </c>
      <c t="s">
        <v>12603</v>
      </c>
      <c t="s">
        <v>51249</v>
      </c>
      <c t="s">
        <v>3093</v>
      </c>
      <c t="s">
        <v>58619</v>
      </c>
    </row>
    <row>
      <c t="s">
        <v>42103</v>
      </c>
      <c t="s">
        <v>43254</v>
      </c>
      <c t="s">
        <v>48957</v>
      </c>
      <c t="s">
        <v>52967</v>
      </c>
      <c t="s">
        <v>61659</v>
      </c>
      <c s="3">
        <v>12544</v>
      </c>
      <c s="3">
        <v>12544</v>
      </c>
      <c s="3">
        <v>6389</v>
      </c>
      <c>
        <v>0</v>
      </c>
      <c s="3">
        <v>0</v>
      </c>
      <c s="3">
        <v>325.76</v>
      </c>
      <c s="3">
        <v>12544</v>
      </c>
      <c r="O1097" s="1" t="str">
        <f ca="1">HYPERLINK("https://web.datatree.com/?/property?propertyId=32355396", "https://web.datatree.com/?/property?propertyId=32355396")</f>
        <v>https://web.datatree.com/?/property?propertyId=32355396</v>
      </c>
      <c r="Q1097" t="s">
        <v>316</v>
      </c>
      <c>
        <v>0.24</v>
      </c>
      <c t="s">
        <v>5471</v>
      </c>
      <c r="U1097" t="s">
        <v>32467</v>
      </c>
      <c r="W1097" t="s">
        <v>66668</v>
      </c>
      <c t="s">
        <v>25906</v>
      </c>
      <c t="s">
        <v>26561</v>
      </c>
      <c t="s">
        <v>65059</v>
      </c>
      <c t="s">
        <v>39289</v>
      </c>
      <c>
        <v>33905</v>
      </c>
      <c t="s">
        <v>6885</v>
      </c>
      <c t="s">
        <v>48794</v>
      </c>
      <c t="s">
        <v>25248</v>
      </c>
      <c r="AI1097" t="s">
        <v>57495</v>
      </c>
      <c r="AL1097" t="s">
        <v>25857</v>
      </c>
      <c t="s">
        <v>25857</v>
      </c>
      <c t="s">
        <v>39289</v>
      </c>
      <c t="s">
        <v>57694</v>
      </c>
      <c t="s">
        <v>9590</v>
      </c>
      <c t="s">
        <v>3093</v>
      </c>
      <c t="s">
        <v>1669</v>
      </c>
    </row>
    <row>
      <c t="s">
        <v>17594</v>
      </c>
      <c t="s">
        <v>44320</v>
      </c>
      <c t="s">
        <v>32697</v>
      </c>
      <c t="s">
        <v>7593</v>
      </c>
      <c t="s">
        <v>4608</v>
      </c>
      <c s="3">
        <v>135835</v>
      </c>
      <c s="3">
        <v>135835</v>
      </c>
      <c s="3">
        <v>135835</v>
      </c>
      <c>
        <v>0</v>
      </c>
      <c s="3">
        <v>0</v>
      </c>
      <c s="3">
        <v>2558.96</v>
      </c>
      <c s="3">
        <v>135835</v>
      </c>
      <c r="O1098" s="1" t="str">
        <f ca="1">HYPERLINK("https://web.datatree.com/?/property?propertyId=32355535", "https://web.datatree.com/?/property?propertyId=32355535")</f>
        <v>https://web.datatree.com/?/property?propertyId=32355535</v>
      </c>
      <c r="Q1098" t="s">
        <v>316</v>
      </c>
      <c>
        <v>0.23</v>
      </c>
      <c t="s">
        <v>22490</v>
      </c>
      <c t="s">
        <v>35571</v>
      </c>
      <c t="s">
        <v>66300</v>
      </c>
      <c r="X1098" t="s">
        <v>54805</v>
      </c>
      <c t="s">
        <v>61850</v>
      </c>
      <c t="s">
        <v>2517</v>
      </c>
      <c t="s">
        <v>39289</v>
      </c>
      <c>
        <v>33904</v>
      </c>
      <c>
        <v>33904</v>
      </c>
      <c t="s">
        <v>48794</v>
      </c>
      <c t="s">
        <v>41922</v>
      </c>
      <c>
        <v>20</v>
      </c>
      <c r="AI1098" t="s">
        <v>49051</v>
      </c>
      <c t="s">
        <v>55842</v>
      </c>
      <c r="AL1098" t="s">
        <v>46821</v>
      </c>
      <c r="AN1098" t="s">
        <v>26016</v>
      </c>
      <c t="s">
        <v>11587</v>
      </c>
      <c t="s">
        <v>52247</v>
      </c>
      <c t="s">
        <v>3093</v>
      </c>
      <c t="s">
        <v>62995</v>
      </c>
    </row>
    <row>
      <c t="s">
        <v>17594</v>
      </c>
      <c t="s">
        <v>58452</v>
      </c>
      <c t="s">
        <v>57448</v>
      </c>
      <c t="s">
        <v>29070</v>
      </c>
      <c t="s">
        <v>43749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1099" s="1" t="str">
        <f ca="1">HYPERLINK("https://web.datatree.com/?/property?propertyId=32355923", "https://web.datatree.com/?/property?propertyId=32355923")</f>
        <v>https://web.datatree.com/?/property?propertyId=32355923</v>
      </c>
      <c r="Q1099" t="s">
        <v>316</v>
      </c>
      <c>
        <v>0.23</v>
      </c>
      <c t="s">
        <v>6175</v>
      </c>
      <c t="s">
        <v>24403</v>
      </c>
      <c t="s">
        <v>186</v>
      </c>
      <c t="s">
        <v>52259</v>
      </c>
      <c t="s">
        <v>19502</v>
      </c>
      <c t="s">
        <v>33328</v>
      </c>
      <c t="s">
        <v>17022</v>
      </c>
      <c t="s">
        <v>2517</v>
      </c>
      <c t="s">
        <v>39289</v>
      </c>
      <c>
        <v>33909</v>
      </c>
      <c t="s">
        <v>34939</v>
      </c>
      <c t="s">
        <v>48794</v>
      </c>
      <c t="s">
        <v>27725</v>
      </c>
      <c>
        <v>505</v>
      </c>
      <c r="AI1099" t="s">
        <v>371</v>
      </c>
      <c t="s">
        <v>45393</v>
      </c>
      <c>
        <v>3</v>
      </c>
      <c t="s">
        <v>60419</v>
      </c>
      <c t="s">
        <v>60419</v>
      </c>
      <c t="s">
        <v>65467</v>
      </c>
      <c t="s">
        <v>16468</v>
      </c>
      <c t="s">
        <v>24994</v>
      </c>
      <c t="s">
        <v>3093</v>
      </c>
      <c t="s">
        <v>49501</v>
      </c>
    </row>
    <row>
      <c t="s">
        <v>17594</v>
      </c>
      <c t="s">
        <v>55503</v>
      </c>
      <c t="s">
        <v>17431</v>
      </c>
      <c t="s">
        <v>65576</v>
      </c>
      <c t="s">
        <v>8496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100" s="1" t="str">
        <f ca="1">HYPERLINK("https://web.datatree.com/?/property?propertyId=32356115", "https://web.datatree.com/?/property?propertyId=32356115")</f>
        <v>https://web.datatree.com/?/property?propertyId=32356115</v>
      </c>
      <c r="Q1100" t="s">
        <v>316</v>
      </c>
      <c>
        <v>0.234</v>
      </c>
      <c t="s">
        <v>22490</v>
      </c>
      <c t="s">
        <v>34179</v>
      </c>
      <c t="s">
        <v>48222</v>
      </c>
      <c t="s">
        <v>28873</v>
      </c>
      <c t="s">
        <v>48222</v>
      </c>
      <c t="s">
        <v>18714</v>
      </c>
      <c t="s">
        <v>47150</v>
      </c>
      <c t="s">
        <v>2517</v>
      </c>
      <c t="s">
        <v>39289</v>
      </c>
      <c>
        <v>33909</v>
      </c>
      <c t="s">
        <v>12002</v>
      </c>
      <c t="s">
        <v>48794</v>
      </c>
      <c t="s">
        <v>21702</v>
      </c>
      <c>
        <v>14443</v>
      </c>
      <c r="AI1100" t="s">
        <v>63460</v>
      </c>
      <c r="AL1100" t="s">
        <v>25084</v>
      </c>
      <c r="AN1100" t="s">
        <v>10909</v>
      </c>
      <c t="s">
        <v>28821</v>
      </c>
      <c r="AQ1100" t="s">
        <v>27814</v>
      </c>
      <c t="s">
        <v>61761</v>
      </c>
    </row>
    <row>
      <c t="s">
        <v>17594</v>
      </c>
      <c t="s">
        <v>46853</v>
      </c>
      <c t="s">
        <v>51505</v>
      </c>
      <c t="s">
        <v>17911</v>
      </c>
      <c t="s">
        <v>42824</v>
      </c>
      <c s="3">
        <v>10080</v>
      </c>
      <c s="3">
        <v>10080</v>
      </c>
      <c s="3">
        <v>10080</v>
      </c>
      <c>
        <v>0</v>
      </c>
      <c s="3">
        <v>0</v>
      </c>
      <c s="3">
        <v>726.61</v>
      </c>
      <c s="3">
        <v>10080</v>
      </c>
      <c r="O1101" s="1" t="str">
        <f ca="1">HYPERLINK("https://web.datatree.com/?/property?propertyId=32357448", "https://web.datatree.com/?/property?propertyId=32357448")</f>
        <v>https://web.datatree.com/?/property?propertyId=32357448</v>
      </c>
      <c r="Q1101" t="s">
        <v>316</v>
      </c>
      <c>
        <v>0.344</v>
      </c>
      <c t="s">
        <v>22490</v>
      </c>
      <c t="s">
        <v>10361</v>
      </c>
      <c t="s">
        <v>45424</v>
      </c>
      <c t="s">
        <v>39477</v>
      </c>
      <c t="s">
        <v>58364</v>
      </c>
      <c t="s">
        <v>48374</v>
      </c>
      <c t="s">
        <v>61850</v>
      </c>
      <c t="s">
        <v>2517</v>
      </c>
      <c t="s">
        <v>39289</v>
      </c>
      <c>
        <v>33909</v>
      </c>
      <c t="s">
        <v>35955</v>
      </c>
      <c t="s">
        <v>48794</v>
      </c>
      <c t="s">
        <v>65386</v>
      </c>
      <c>
        <v>2410</v>
      </c>
      <c r="AI1101" t="s">
        <v>18679</v>
      </c>
      <c t="s">
        <v>24900</v>
      </c>
      <c r="AL1101" t="s">
        <v>2517</v>
      </c>
      <c r="AN1101" t="s">
        <v>39289</v>
      </c>
      <c t="s">
        <v>38395</v>
      </c>
      <c t="s">
        <v>34162</v>
      </c>
      <c t="s">
        <v>3093</v>
      </c>
      <c t="s">
        <v>50307</v>
      </c>
    </row>
    <row>
      <c t="s">
        <v>17594</v>
      </c>
      <c t="s">
        <v>43430</v>
      </c>
      <c t="s">
        <v>54222</v>
      </c>
      <c t="s">
        <v>43436</v>
      </c>
      <c t="s">
        <v>631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1102" s="1" t="str">
        <f ca="1">HYPERLINK("https://web.datatree.com/?/property?propertyId=32357892", "https://web.datatree.com/?/property?propertyId=32357892")</f>
        <v>https://web.datatree.com/?/property?propertyId=32357892</v>
      </c>
      <c r="Q1102" t="s">
        <v>316</v>
      </c>
      <c>
        <v>0.23</v>
      </c>
      <c t="s">
        <v>22490</v>
      </c>
      <c t="s">
        <v>8141</v>
      </c>
      <c t="s">
        <v>65311</v>
      </c>
      <c t="s">
        <v>65957</v>
      </c>
      <c t="s">
        <v>65311</v>
      </c>
      <c t="s">
        <v>40477</v>
      </c>
      <c t="s">
        <v>22731</v>
      </c>
      <c t="s">
        <v>2517</v>
      </c>
      <c t="s">
        <v>39289</v>
      </c>
      <c>
        <v>33909</v>
      </c>
      <c t="s">
        <v>15810</v>
      </c>
      <c t="s">
        <v>48794</v>
      </c>
      <c t="s">
        <v>63662</v>
      </c>
      <c>
        <v>199</v>
      </c>
      <c r="AI1102" t="s">
        <v>24725</v>
      </c>
      <c t="s">
        <v>835</v>
      </c>
      <c r="AL1102" t="s">
        <v>34512</v>
      </c>
      <c t="s">
        <v>17648</v>
      </c>
      <c t="s">
        <v>47028</v>
      </c>
      <c t="s">
        <v>54344</v>
      </c>
      <c t="s">
        <v>12241</v>
      </c>
      <c t="s">
        <v>3093</v>
      </c>
      <c t="s">
        <v>64709</v>
      </c>
    </row>
    <row>
      <c t="s">
        <v>17594</v>
      </c>
      <c t="s">
        <v>58664</v>
      </c>
      <c t="s">
        <v>58951</v>
      </c>
      <c t="s">
        <v>4861</v>
      </c>
      <c t="s">
        <v>10482</v>
      </c>
      <c s="3">
        <v>371850</v>
      </c>
      <c s="3">
        <v>371850</v>
      </c>
      <c s="3">
        <v>368500</v>
      </c>
      <c>
        <v>0</v>
      </c>
      <c s="3">
        <v>0</v>
      </c>
      <c s="3">
        <v>5075.11</v>
      </c>
      <c s="3">
        <v>371850</v>
      </c>
      <c r="O1103" s="1" t="str">
        <f ca="1">HYPERLINK("https://web.datatree.com/?/property?propertyId=32358187", "https://web.datatree.com/?/property?propertyId=32358187")</f>
        <v>https://web.datatree.com/?/property?propertyId=32358187</v>
      </c>
      <c r="Q1103" t="s">
        <v>316</v>
      </c>
      <c>
        <v>0.406</v>
      </c>
      <c t="s">
        <v>23247</v>
      </c>
      <c t="s">
        <v>2140</v>
      </c>
      <c t="s">
        <v>58840</v>
      </c>
      <c t="s">
        <v>41661</v>
      </c>
      <c t="s">
        <v>58840</v>
      </c>
      <c t="s">
        <v>12146</v>
      </c>
      <c t="s">
        <v>36859</v>
      </c>
      <c t="s">
        <v>65059</v>
      </c>
      <c t="s">
        <v>39289</v>
      </c>
      <c>
        <v>33908</v>
      </c>
      <c t="s">
        <v>35545</v>
      </c>
      <c t="s">
        <v>48794</v>
      </c>
      <c t="s">
        <v>51948</v>
      </c>
      <c>
        <v>4814</v>
      </c>
      <c r="AI1103" t="s">
        <v>37810</v>
      </c>
      <c t="s">
        <v>40123</v>
      </c>
      <c r="AL1103" t="s">
        <v>42695</v>
      </c>
      <c t="s">
        <v>42695</v>
      </c>
      <c t="s">
        <v>27481</v>
      </c>
      <c t="s">
        <v>38154</v>
      </c>
      <c t="s">
        <v>22455</v>
      </c>
      <c t="s">
        <v>3093</v>
      </c>
      <c t="s">
        <v>60588</v>
      </c>
    </row>
    <row>
      <c t="s">
        <v>17594</v>
      </c>
      <c t="s">
        <v>26165</v>
      </c>
      <c t="s">
        <v>65887</v>
      </c>
      <c t="s">
        <v>39992</v>
      </c>
      <c t="s">
        <v>7773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104" s="1" t="str">
        <f ca="1">HYPERLINK("https://web.datatree.com/?/property?propertyId=32358536", "https://web.datatree.com/?/property?propertyId=32358536")</f>
        <v>https://web.datatree.com/?/property?propertyId=32358536</v>
      </c>
      <c r="Q1104" t="s">
        <v>316</v>
      </c>
      <c>
        <v>0.23</v>
      </c>
      <c t="s">
        <v>6175</v>
      </c>
      <c t="s">
        <v>58668</v>
      </c>
      <c t="s">
        <v>58468</v>
      </c>
      <c t="s">
        <v>59169</v>
      </c>
      <c t="s">
        <v>58468</v>
      </c>
      <c t="s">
        <v>29104</v>
      </c>
      <c t="s">
        <v>49122</v>
      </c>
      <c t="s">
        <v>2517</v>
      </c>
      <c t="s">
        <v>39289</v>
      </c>
      <c>
        <v>33909</v>
      </c>
      <c t="s">
        <v>30091</v>
      </c>
      <c t="s">
        <v>48794</v>
      </c>
      <c t="s">
        <v>44836</v>
      </c>
      <c>
        <v>676</v>
      </c>
      <c r="AI1104" t="s">
        <v>49940</v>
      </c>
      <c t="s">
        <v>45620</v>
      </c>
      <c r="AL1104" t="s">
        <v>46008</v>
      </c>
      <c r="AN1104" t="s">
        <v>10909</v>
      </c>
      <c t="s">
        <v>49925</v>
      </c>
      <c r="AQ1104" t="s">
        <v>27814</v>
      </c>
      <c t="s">
        <v>11307</v>
      </c>
    </row>
    <row>
      <c t="s">
        <v>17594</v>
      </c>
      <c t="s">
        <v>19375</v>
      </c>
      <c t="s">
        <v>42391</v>
      </c>
      <c t="s">
        <v>8313</v>
      </c>
      <c t="s">
        <v>25543</v>
      </c>
      <c s="3">
        <v>26290</v>
      </c>
      <c s="3">
        <v>26290</v>
      </c>
      <c s="3">
        <v>12650</v>
      </c>
      <c>
        <v>0</v>
      </c>
      <c s="3">
        <v>0</v>
      </c>
      <c s="3">
        <v>2001.72</v>
      </c>
      <c s="3">
        <v>26290</v>
      </c>
      <c r="O1105" s="1" t="str">
        <f ca="1">HYPERLINK("https://web.datatree.com/?/property?propertyId=32359026", "https://web.datatree.com/?/property?propertyId=32359026")</f>
        <v>https://web.datatree.com/?/property?propertyId=32359026</v>
      </c>
      <c r="Q1105" t="s">
        <v>316</v>
      </c>
      <c>
        <v>0.23</v>
      </c>
      <c t="s">
        <v>22490</v>
      </c>
      <c t="s">
        <v>44541</v>
      </c>
      <c t="s">
        <v>21386</v>
      </c>
      <c t="s">
        <v>47656</v>
      </c>
      <c t="s">
        <v>819</v>
      </c>
      <c t="s">
        <v>45195</v>
      </c>
      <c t="s">
        <v>17022</v>
      </c>
      <c t="s">
        <v>2517</v>
      </c>
      <c t="s">
        <v>39289</v>
      </c>
      <c>
        <v>33909</v>
      </c>
      <c t="s">
        <v>40449</v>
      </c>
      <c t="s">
        <v>48794</v>
      </c>
      <c t="s">
        <v>42455</v>
      </c>
      <c>
        <v>18</v>
      </c>
      <c r="AI1105" t="s">
        <v>2949</v>
      </c>
      <c t="s">
        <v>4151</v>
      </c>
      <c r="AL1105" t="s">
        <v>47310</v>
      </c>
      <c r="AN1105" t="s">
        <v>7234</v>
      </c>
      <c>
        <v>0</v>
      </c>
      <c r="AR1105" t="s">
        <v>8084</v>
      </c>
    </row>
    <row>
      <c t="s">
        <v>42103</v>
      </c>
      <c t="s">
        <v>4181</v>
      </c>
      <c t="s">
        <v>58759</v>
      </c>
      <c t="s">
        <v>2848</v>
      </c>
      <c t="s">
        <v>13666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 r="O1106" s="1" t="str">
        <f ca="1">HYPERLINK("https://web.datatree.com/?/property?propertyId=32360769", "https://web.datatree.com/?/property?propertyId=32360769")</f>
        <v>https://web.datatree.com/?/property?propertyId=32360769</v>
      </c>
      <c r="Q1106" t="s">
        <v>316</v>
      </c>
      <c>
        <v>0.239</v>
      </c>
      <c t="s">
        <v>5471</v>
      </c>
      <c t="s">
        <v>50331</v>
      </c>
      <c t="s">
        <v>35374</v>
      </c>
      <c t="s">
        <v>37826</v>
      </c>
      <c t="s">
        <v>65907</v>
      </c>
      <c t="s">
        <v>5054</v>
      </c>
      <c t="s">
        <v>43940</v>
      </c>
      <c t="s">
        <v>65059</v>
      </c>
      <c t="s">
        <v>39289</v>
      </c>
      <c>
        <v>33905</v>
      </c>
      <c t="s">
        <v>4967</v>
      </c>
      <c t="s">
        <v>48794</v>
      </c>
      <c t="s">
        <v>64841</v>
      </c>
      <c r="AI1106" t="s">
        <v>18658</v>
      </c>
      <c r="AL1106" t="s">
        <v>3701</v>
      </c>
      <c r="AN1106" t="s">
        <v>10804</v>
      </c>
      <c t="s">
        <v>32946</v>
      </c>
      <c t="s">
        <v>1762</v>
      </c>
      <c t="s">
        <v>3093</v>
      </c>
      <c t="s">
        <v>30965</v>
      </c>
    </row>
    <row>
      <c t="s">
        <v>17594</v>
      </c>
      <c t="s">
        <v>43799</v>
      </c>
      <c t="s">
        <v>19586</v>
      </c>
      <c t="s">
        <v>7470</v>
      </c>
      <c t="s">
        <v>67094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1107" s="1" t="str">
        <f ca="1">HYPERLINK("https://web.datatree.com/?/property?propertyId=32361064", "https://web.datatree.com/?/property?propertyId=32361064")</f>
        <v>https://web.datatree.com/?/property?propertyId=32361064</v>
      </c>
      <c r="Q1107" t="s">
        <v>316</v>
      </c>
      <c>
        <v>0.23</v>
      </c>
      <c t="s">
        <v>6175</v>
      </c>
      <c t="s">
        <v>18302</v>
      </c>
      <c t="s">
        <v>22063</v>
      </c>
      <c t="s">
        <v>30490</v>
      </c>
      <c t="s">
        <v>22063</v>
      </c>
      <c t="s">
        <v>58338</v>
      </c>
      <c t="s">
        <v>22731</v>
      </c>
      <c t="s">
        <v>2517</v>
      </c>
      <c t="s">
        <v>39289</v>
      </c>
      <c>
        <v>33909</v>
      </c>
      <c t="s">
        <v>2944</v>
      </c>
      <c t="s">
        <v>48794</v>
      </c>
      <c t="s">
        <v>34475</v>
      </c>
      <c>
        <v>85</v>
      </c>
      <c r="AI1107" t="s">
        <v>46252</v>
      </c>
      <c t="s">
        <v>45393</v>
      </c>
      <c r="AL1107" t="s">
        <v>22810</v>
      </c>
      <c r="AN1107" t="s">
        <v>27747</v>
      </c>
      <c t="s">
        <v>64172</v>
      </c>
      <c t="s">
        <v>4480</v>
      </c>
      <c t="s">
        <v>3093</v>
      </c>
      <c t="s">
        <v>20276</v>
      </c>
    </row>
    <row>
      <c t="s">
        <v>17594</v>
      </c>
      <c t="s">
        <v>20674</v>
      </c>
      <c t="s">
        <v>57815</v>
      </c>
      <c t="s">
        <v>50053</v>
      </c>
      <c t="s">
        <v>41430</v>
      </c>
      <c s="3">
        <v>3800</v>
      </c>
      <c s="3">
        <v>3800</v>
      </c>
      <c s="3">
        <v>3800</v>
      </c>
      <c>
        <v>0</v>
      </c>
      <c s="3">
        <v>0</v>
      </c>
      <c s="3">
        <v>355.35</v>
      </c>
      <c s="3">
        <v>3800</v>
      </c>
      <c r="O1108" s="1" t="str">
        <f ca="1">HYPERLINK("https://web.datatree.com/?/property?propertyId=32361269", "https://web.datatree.com/?/property?propertyId=32361269")</f>
        <v>https://web.datatree.com/?/property?propertyId=32361269</v>
      </c>
      <c r="Q1108" t="s">
        <v>316</v>
      </c>
      <c>
        <v>0.115</v>
      </c>
      <c t="s">
        <v>6175</v>
      </c>
      <c t="s">
        <v>42212</v>
      </c>
      <c t="s">
        <v>45549</v>
      </c>
      <c t="s">
        <v>58876</v>
      </c>
      <c t="s">
        <v>45549</v>
      </c>
      <c t="s">
        <v>45088</v>
      </c>
      <c t="s">
        <v>60363</v>
      </c>
      <c t="s">
        <v>2517</v>
      </c>
      <c t="s">
        <v>39289</v>
      </c>
      <c>
        <v>33909</v>
      </c>
      <c t="s">
        <v>18620</v>
      </c>
      <c t="s">
        <v>48794</v>
      </c>
      <c t="s">
        <v>30689</v>
      </c>
      <c>
        <v>7</v>
      </c>
      <c r="AH1108" t="s">
        <v>15376</v>
      </c>
      <c t="s">
        <v>47133</v>
      </c>
      <c t="s">
        <v>40123</v>
      </c>
      <c r="AL1108" t="s">
        <v>11774</v>
      </c>
      <c r="AN1108" t="s">
        <v>49730</v>
      </c>
      <c t="s">
        <v>8194</v>
      </c>
      <c t="s">
        <v>42945</v>
      </c>
      <c t="s">
        <v>3093</v>
      </c>
      <c t="s">
        <v>61765</v>
      </c>
    </row>
    <row>
      <c t="s">
        <v>17594</v>
      </c>
      <c t="s">
        <v>9068</v>
      </c>
      <c t="s">
        <v>4368</v>
      </c>
      <c t="s">
        <v>33732</v>
      </c>
      <c t="s">
        <v>56611</v>
      </c>
      <c s="3">
        <v>1316213</v>
      </c>
      <c s="3">
        <v>1316213</v>
      </c>
      <c s="3">
        <v>975140</v>
      </c>
      <c>
        <v>0</v>
      </c>
      <c s="3">
        <v>0</v>
      </c>
      <c s="3">
        <v>18777.55</v>
      </c>
      <c s="3">
        <v>1316213</v>
      </c>
      <c r="O1109" s="1" t="str">
        <f ca="1">HYPERLINK("https://web.datatree.com/?/property?propertyId=32361339", "https://web.datatree.com/?/property?propertyId=32361339")</f>
        <v>https://web.datatree.com/?/property?propertyId=32361339</v>
      </c>
      <c r="Q1109" t="s">
        <v>316</v>
      </c>
      <c>
        <v>0.898</v>
      </c>
      <c t="s">
        <v>29704</v>
      </c>
      <c t="s">
        <v>6161</v>
      </c>
      <c t="s">
        <v>38873</v>
      </c>
      <c r="X1109" t="s">
        <v>52015</v>
      </c>
      <c t="s">
        <v>59221</v>
      </c>
      <c t="s">
        <v>65059</v>
      </c>
      <c t="s">
        <v>39289</v>
      </c>
      <c>
        <v>33901</v>
      </c>
      <c t="s">
        <v>66077</v>
      </c>
      <c t="s">
        <v>48794</v>
      </c>
      <c t="s">
        <v>7173</v>
      </c>
      <c>
        <v>1333</v>
      </c>
      <c r="AI1109" t="s">
        <v>41142</v>
      </c>
      <c t="s">
        <v>4985</v>
      </c>
      <c>
        <v>518</v>
      </c>
      <c t="s">
        <v>41642</v>
      </c>
      <c t="s">
        <v>41642</v>
      </c>
      <c t="s">
        <v>39289</v>
      </c>
      <c t="s">
        <v>40634</v>
      </c>
      <c t="s">
        <v>32746</v>
      </c>
      <c t="s">
        <v>3093</v>
      </c>
      <c t="s">
        <v>24960</v>
      </c>
    </row>
    <row>
      <c t="s">
        <v>17594</v>
      </c>
      <c t="s">
        <v>48976</v>
      </c>
      <c t="s">
        <v>41278</v>
      </c>
      <c t="s">
        <v>57074</v>
      </c>
      <c t="s">
        <v>37387</v>
      </c>
      <c s="3">
        <v>8400</v>
      </c>
      <c s="3">
        <v>8400</v>
      </c>
      <c s="3">
        <v>8400</v>
      </c>
      <c>
        <v>0</v>
      </c>
      <c s="3">
        <v>0</v>
      </c>
      <c s="3">
        <v>609.8</v>
      </c>
      <c s="3">
        <v>8400</v>
      </c>
      <c r="O1110" s="1" t="str">
        <f ca="1">HYPERLINK("https://web.datatree.com/?/property?propertyId=32361349", "https://web.datatree.com/?/property?propertyId=32361349")</f>
        <v>https://web.datatree.com/?/property?propertyId=32361349</v>
      </c>
      <c r="Q1110" t="s">
        <v>316</v>
      </c>
      <c>
        <v>0.275</v>
      </c>
      <c t="s">
        <v>22490</v>
      </c>
      <c t="s">
        <v>44457</v>
      </c>
      <c t="s">
        <v>24814</v>
      </c>
      <c t="s">
        <v>32015</v>
      </c>
      <c t="s">
        <v>24814</v>
      </c>
      <c t="s">
        <v>19776</v>
      </c>
      <c t="s">
        <v>371</v>
      </c>
      <c t="s">
        <v>2517</v>
      </c>
      <c t="s">
        <v>39289</v>
      </c>
      <c>
        <v>33909</v>
      </c>
      <c t="s">
        <v>39410</v>
      </c>
      <c t="s">
        <v>48794</v>
      </c>
      <c t="s">
        <v>58698</v>
      </c>
      <c>
        <v>3901</v>
      </c>
      <c r="AI1110" t="s">
        <v>29012</v>
      </c>
      <c t="s">
        <v>45393</v>
      </c>
      <c r="AL1110" t="s">
        <v>38297</v>
      </c>
      <c r="AN1110" t="s">
        <v>27222</v>
      </c>
      <c t="s">
        <v>32954</v>
      </c>
      <c t="s">
        <v>65450</v>
      </c>
      <c t="s">
        <v>3093</v>
      </c>
      <c t="s">
        <v>22246</v>
      </c>
    </row>
    <row>
      <c t="s">
        <v>17594</v>
      </c>
      <c t="s">
        <v>33460</v>
      </c>
      <c t="s">
        <v>59053</v>
      </c>
      <c t="s">
        <v>56824</v>
      </c>
      <c t="s">
        <v>22026</v>
      </c>
      <c s="3">
        <v>7700</v>
      </c>
      <c s="3">
        <v>7700</v>
      </c>
      <c s="3">
        <v>7700</v>
      </c>
      <c>
        <v>0</v>
      </c>
      <c s="3">
        <v>0</v>
      </c>
      <c s="3">
        <v>555.82</v>
      </c>
      <c s="3">
        <v>7700</v>
      </c>
      <c r="O1111" s="1" t="str">
        <f ca="1">HYPERLINK("https://web.datatree.com/?/property?propertyId=32362545", "https://web.datatree.com/?/property?propertyId=32362545")</f>
        <v>https://web.datatree.com/?/property?propertyId=32362545</v>
      </c>
      <c r="Q1111" t="s">
        <v>316</v>
      </c>
      <c>
        <v>0.244</v>
      </c>
      <c t="s">
        <v>6175</v>
      </c>
      <c t="s">
        <v>7448</v>
      </c>
      <c t="s">
        <v>18036</v>
      </c>
      <c t="s">
        <v>47493</v>
      </c>
      <c t="s">
        <v>67260</v>
      </c>
      <c t="s">
        <v>18424</v>
      </c>
      <c t="s">
        <v>46469</v>
      </c>
      <c t="s">
        <v>2517</v>
      </c>
      <c t="s">
        <v>39289</v>
      </c>
      <c>
        <v>33909</v>
      </c>
      <c t="s">
        <v>66481</v>
      </c>
      <c t="s">
        <v>48794</v>
      </c>
      <c t="s">
        <v>45400</v>
      </c>
      <c>
        <v>1195</v>
      </c>
      <c r="AI1111" t="s">
        <v>37541</v>
      </c>
      <c t="s">
        <v>31192</v>
      </c>
      <c r="AL1111" t="s">
        <v>3903</v>
      </c>
      <c r="AN1111" t="s">
        <v>32657</v>
      </c>
      <c t="s">
        <v>47865</v>
      </c>
      <c t="s">
        <v>5652</v>
      </c>
      <c t="s">
        <v>3093</v>
      </c>
      <c t="s">
        <v>59847</v>
      </c>
    </row>
    <row>
      <c t="s">
        <v>17594</v>
      </c>
      <c t="s">
        <v>37323</v>
      </c>
      <c t="s">
        <v>56477</v>
      </c>
      <c t="s">
        <v>65421</v>
      </c>
      <c t="s">
        <v>44855</v>
      </c>
      <c s="3">
        <v>54688</v>
      </c>
      <c s="3">
        <v>54688</v>
      </c>
      <c s="3">
        <v>23108</v>
      </c>
      <c>
        <v>0</v>
      </c>
      <c s="3">
        <v>0</v>
      </c>
      <c s="3">
        <v>826.51</v>
      </c>
      <c s="3">
        <v>54688</v>
      </c>
      <c r="O1112" s="1" t="str">
        <f ca="1">HYPERLINK("https://web.datatree.com/?/property?propertyId=32362785", "https://web.datatree.com/?/property?propertyId=32362785")</f>
        <v>https://web.datatree.com/?/property?propertyId=32362785</v>
      </c>
      <c r="Q1112" t="s">
        <v>316</v>
      </c>
      <c>
        <v>0.23</v>
      </c>
      <c t="s">
        <v>6175</v>
      </c>
      <c t="s">
        <v>48615</v>
      </c>
      <c t="s">
        <v>28771</v>
      </c>
      <c r="X1112" t="s">
        <v>57990</v>
      </c>
      <c t="s">
        <v>49674</v>
      </c>
      <c t="s">
        <v>2517</v>
      </c>
      <c t="s">
        <v>39289</v>
      </c>
      <c>
        <v>33904</v>
      </c>
      <c t="s">
        <v>5748</v>
      </c>
      <c t="s">
        <v>48794</v>
      </c>
      <c t="s">
        <v>45676</v>
      </c>
      <c>
        <v>9806</v>
      </c>
      <c r="AI1112" t="s">
        <v>53399</v>
      </c>
      <c t="s">
        <v>55842</v>
      </c>
      <c r="AL1112" t="s">
        <v>54986</v>
      </c>
      <c r="AN1112" t="s">
        <v>18236</v>
      </c>
      <c t="s">
        <v>51914</v>
      </c>
      <c t="s">
        <v>25140</v>
      </c>
      <c t="s">
        <v>3093</v>
      </c>
      <c t="s">
        <v>7422</v>
      </c>
    </row>
    <row>
      <c t="s">
        <v>17594</v>
      </c>
      <c t="s">
        <v>43769</v>
      </c>
      <c t="s">
        <v>13687</v>
      </c>
      <c t="s">
        <v>64109</v>
      </c>
      <c t="s">
        <v>6697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1113" s="1" t="str">
        <f ca="1">HYPERLINK("https://web.datatree.com/?/property?propertyId=32362902", "https://web.datatree.com/?/property?propertyId=32362902")</f>
        <v>https://web.datatree.com/?/property?propertyId=32362902</v>
      </c>
      <c r="Q1113" t="s">
        <v>316</v>
      </c>
      <c>
        <v>0.23</v>
      </c>
      <c t="s">
        <v>22490</v>
      </c>
      <c t="s">
        <v>2717</v>
      </c>
      <c t="s">
        <v>24508</v>
      </c>
      <c t="s">
        <v>32056</v>
      </c>
      <c t="s">
        <v>24508</v>
      </c>
      <c t="s">
        <v>25862</v>
      </c>
      <c t="s">
        <v>44061</v>
      </c>
      <c t="s">
        <v>2517</v>
      </c>
      <c t="s">
        <v>39289</v>
      </c>
      <c>
        <v>33909</v>
      </c>
      <c t="s">
        <v>65575</v>
      </c>
      <c t="s">
        <v>48794</v>
      </c>
      <c t="s">
        <v>35721</v>
      </c>
      <c>
        <v>34801</v>
      </c>
      <c r="AI1113" t="s">
        <v>55776</v>
      </c>
      <c t="s">
        <v>41372</v>
      </c>
      <c r="AL1113" t="s">
        <v>56370</v>
      </c>
      <c t="s">
        <v>64910</v>
      </c>
      <c t="s">
        <v>65451</v>
      </c>
      <c t="s">
        <v>39146</v>
      </c>
      <c t="s">
        <v>4480</v>
      </c>
      <c t="s">
        <v>3093</v>
      </c>
      <c t="s">
        <v>45198</v>
      </c>
    </row>
    <row>
      <c t="s">
        <v>17594</v>
      </c>
      <c t="s">
        <v>37695</v>
      </c>
      <c t="s">
        <v>29794</v>
      </c>
      <c t="s">
        <v>17497</v>
      </c>
      <c t="s">
        <v>399</v>
      </c>
      <c s="3">
        <v>26249</v>
      </c>
      <c s="3">
        <v>26249</v>
      </c>
      <c s="3">
        <v>9339</v>
      </c>
      <c>
        <v>0</v>
      </c>
      <c s="3">
        <v>0</v>
      </c>
      <c s="3">
        <v>3001.66</v>
      </c>
      <c s="3">
        <v>26249</v>
      </c>
      <c>
        <v>2021</v>
      </c>
      <c>
        <v>2981.79</v>
      </c>
      <c s="1" t="str">
        <f ca="1">HYPERLINK("https://web.datatree.com/?/property?propertyId=32363149", "https://web.datatree.com/?/property?propertyId=32363149")</f>
        <v>https://web.datatree.com/?/property?propertyId=32363149</v>
      </c>
      <c r="Q1114" t="s">
        <v>316</v>
      </c>
      <c>
        <v>0.255</v>
      </c>
      <c t="s">
        <v>6175</v>
      </c>
      <c t="s">
        <v>10361</v>
      </c>
      <c t="s">
        <v>14489</v>
      </c>
      <c r="X1114" t="s">
        <v>59403</v>
      </c>
      <c t="s">
        <v>53675</v>
      </c>
      <c t="s">
        <v>2517</v>
      </c>
      <c t="s">
        <v>39289</v>
      </c>
      <c>
        <v>33909</v>
      </c>
      <c t="s">
        <v>47425</v>
      </c>
      <c t="s">
        <v>48794</v>
      </c>
      <c t="s">
        <v>27988</v>
      </c>
      <c>
        <v>111</v>
      </c>
      <c r="AI1114" t="s">
        <v>2916</v>
      </c>
      <c t="s">
        <v>41372</v>
      </c>
      <c r="AL1114" t="s">
        <v>43328</v>
      </c>
      <c r="AN1114" t="s">
        <v>22275</v>
      </c>
      <c t="s">
        <v>14815</v>
      </c>
      <c t="s">
        <v>13610</v>
      </c>
      <c t="s">
        <v>3093</v>
      </c>
      <c t="s">
        <v>12736</v>
      </c>
    </row>
    <row>
      <c t="s">
        <v>17594</v>
      </c>
      <c t="s">
        <v>63577</v>
      </c>
      <c t="s">
        <v>35803</v>
      </c>
      <c t="s">
        <v>2310</v>
      </c>
      <c t="s">
        <v>11946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115" s="1" t="str">
        <f ca="1">HYPERLINK("https://web.datatree.com/?/property?propertyId=32363204", "https://web.datatree.com/?/property?propertyId=32363204")</f>
        <v>https://web.datatree.com/?/property?propertyId=32363204</v>
      </c>
      <c r="Q1115" t="s">
        <v>316</v>
      </c>
      <c>
        <v>0.235</v>
      </c>
      <c t="s">
        <v>22490</v>
      </c>
      <c t="s">
        <v>20597</v>
      </c>
      <c t="s">
        <v>56639</v>
      </c>
      <c t="s">
        <v>21668</v>
      </c>
      <c t="s">
        <v>56639</v>
      </c>
      <c t="s">
        <v>62070</v>
      </c>
      <c t="s">
        <v>371</v>
      </c>
      <c t="s">
        <v>2517</v>
      </c>
      <c t="s">
        <v>39289</v>
      </c>
      <c>
        <v>33909</v>
      </c>
      <c t="s">
        <v>33048</v>
      </c>
      <c t="s">
        <v>48794</v>
      </c>
      <c t="s">
        <v>45740</v>
      </c>
      <c>
        <v>301</v>
      </c>
      <c r="AI1115" t="s">
        <v>5105</v>
      </c>
      <c t="s">
        <v>45393</v>
      </c>
      <c r="AL1115" t="s">
        <v>62658</v>
      </c>
      <c r="AN1115" t="s">
        <v>27747</v>
      </c>
      <c t="s">
        <v>53593</v>
      </c>
      <c t="s">
        <v>3364</v>
      </c>
      <c t="s">
        <v>3093</v>
      </c>
      <c t="s">
        <v>9138</v>
      </c>
    </row>
    <row>
      <c t="s">
        <v>17594</v>
      </c>
      <c t="s">
        <v>28811</v>
      </c>
      <c t="s">
        <v>47385</v>
      </c>
      <c t="s">
        <v>8067</v>
      </c>
      <c t="s">
        <v>31725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1116" s="1" t="str">
        <f ca="1">HYPERLINK("https://web.datatree.com/?/property?propertyId=32363669", "https://web.datatree.com/?/property?propertyId=32363669")</f>
        <v>https://web.datatree.com/?/property?propertyId=32363669</v>
      </c>
      <c r="Q1116" t="s">
        <v>316</v>
      </c>
      <c>
        <v>0.23</v>
      </c>
      <c t="s">
        <v>45031</v>
      </c>
      <c r="U1116" t="s">
        <v>40715</v>
      </c>
      <c r="W1116" t="s">
        <v>25859</v>
      </c>
      <c t="s">
        <v>63030</v>
      </c>
      <c t="s">
        <v>22731</v>
      </c>
      <c t="s">
        <v>2517</v>
      </c>
      <c t="s">
        <v>39289</v>
      </c>
      <c>
        <v>33909</v>
      </c>
      <c t="s">
        <v>58084</v>
      </c>
      <c t="s">
        <v>48794</v>
      </c>
      <c t="s">
        <v>56666</v>
      </c>
      <c>
        <v>58</v>
      </c>
      <c r="AI1116" t="s">
        <v>40129</v>
      </c>
      <c t="s">
        <v>55842</v>
      </c>
      <c r="AL1116" t="s">
        <v>29337</v>
      </c>
      <c r="AN1116" t="s">
        <v>64022</v>
      </c>
      <c t="s">
        <v>7371</v>
      </c>
      <c t="s">
        <v>14695</v>
      </c>
      <c t="s">
        <v>3093</v>
      </c>
      <c t="s">
        <v>21848</v>
      </c>
    </row>
    <row>
      <c t="s">
        <v>17594</v>
      </c>
      <c t="s">
        <v>30874</v>
      </c>
      <c t="s">
        <v>49980</v>
      </c>
      <c t="s">
        <v>16042</v>
      </c>
      <c t="s">
        <v>37898</v>
      </c>
      <c s="3">
        <v>39960</v>
      </c>
      <c s="3">
        <v>39960</v>
      </c>
      <c s="3">
        <v>28551</v>
      </c>
      <c>
        <v>0</v>
      </c>
      <c s="3">
        <v>0</v>
      </c>
      <c s="3">
        <v>460.06</v>
      </c>
      <c s="3">
        <v>39960</v>
      </c>
      <c r="O1117" s="1" t="str">
        <f ca="1">HYPERLINK("https://web.datatree.com/?/property?propertyId=32363839", "https://web.datatree.com/?/property?propertyId=32363839")</f>
        <v>https://web.datatree.com/?/property?propertyId=32363839</v>
      </c>
      <c r="Q1117" t="s">
        <v>316</v>
      </c>
      <c>
        <v>0.043</v>
      </c>
      <c t="s">
        <v>45526</v>
      </c>
      <c t="s">
        <v>60280</v>
      </c>
      <c t="s">
        <v>17339</v>
      </c>
      <c t="s">
        <v>53563</v>
      </c>
      <c t="s">
        <v>17339</v>
      </c>
      <c t="s">
        <v>26101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8429</v>
      </c>
      <c>
        <v>601</v>
      </c>
      <c r="AI1117" t="s">
        <v>64518</v>
      </c>
      <c t="s">
        <v>24900</v>
      </c>
      <c r="AL1117" t="s">
        <v>32445</v>
      </c>
      <c t="s">
        <v>32445</v>
      </c>
      <c t="s">
        <v>49572</v>
      </c>
      <c t="s">
        <v>7393</v>
      </c>
      <c t="s">
        <v>39331</v>
      </c>
      <c t="s">
        <v>3093</v>
      </c>
      <c t="s">
        <v>21030</v>
      </c>
    </row>
    <row>
      <c t="s">
        <v>17594</v>
      </c>
      <c t="s">
        <v>63768</v>
      </c>
      <c t="s">
        <v>28995</v>
      </c>
      <c t="s">
        <v>14679</v>
      </c>
      <c t="s">
        <v>8561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1118" s="1" t="str">
        <f ca="1">HYPERLINK("https://web.datatree.com/?/property?propertyId=32364024", "https://web.datatree.com/?/property?propertyId=32364024")</f>
        <v>https://web.datatree.com/?/property?propertyId=32364024</v>
      </c>
      <c r="Q1118" t="s">
        <v>316</v>
      </c>
      <c>
        <v>0.23</v>
      </c>
      <c t="s">
        <v>22490</v>
      </c>
      <c t="s">
        <v>14333</v>
      </c>
      <c t="s">
        <v>32915</v>
      </c>
      <c t="s">
        <v>60526</v>
      </c>
      <c t="s">
        <v>32915</v>
      </c>
      <c t="s">
        <v>56877</v>
      </c>
      <c t="s">
        <v>53675</v>
      </c>
      <c t="s">
        <v>2517</v>
      </c>
      <c t="s">
        <v>39289</v>
      </c>
      <c>
        <v>33909</v>
      </c>
      <c t="s">
        <v>4314</v>
      </c>
      <c t="s">
        <v>48794</v>
      </c>
      <c t="s">
        <v>45232</v>
      </c>
      <c>
        <v>19310</v>
      </c>
      <c r="AI1118" t="s">
        <v>8722</v>
      </c>
      <c t="s">
        <v>24900</v>
      </c>
      <c r="AL1118" t="s">
        <v>34748</v>
      </c>
      <c r="AN1118" t="s">
        <v>50917</v>
      </c>
      <c t="s">
        <v>51720</v>
      </c>
      <c t="s">
        <v>12399</v>
      </c>
      <c t="s">
        <v>3093</v>
      </c>
      <c t="s">
        <v>11136</v>
      </c>
    </row>
    <row>
      <c t="s">
        <v>17594</v>
      </c>
      <c t="s">
        <v>26320</v>
      </c>
      <c t="s">
        <v>62207</v>
      </c>
      <c t="s">
        <v>16499</v>
      </c>
      <c t="s">
        <v>23099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119" s="1" t="str">
        <f ca="1">HYPERLINK("https://web.datatree.com/?/property?propertyId=32365052", "https://web.datatree.com/?/property?propertyId=32365052")</f>
        <v>https://web.datatree.com/?/property?propertyId=32365052</v>
      </c>
      <c r="Q1119" t="s">
        <v>316</v>
      </c>
      <c>
        <v>0.23</v>
      </c>
      <c t="s">
        <v>6175</v>
      </c>
      <c t="s">
        <v>64201</v>
      </c>
      <c t="s">
        <v>35440</v>
      </c>
      <c r="X1119" t="s">
        <v>37109</v>
      </c>
      <c t="s">
        <v>60363</v>
      </c>
      <c t="s">
        <v>2517</v>
      </c>
      <c t="s">
        <v>39289</v>
      </c>
      <c>
        <v>33909</v>
      </c>
      <c t="s">
        <v>30177</v>
      </c>
      <c t="s">
        <v>48794</v>
      </c>
      <c t="s">
        <v>32001</v>
      </c>
      <c>
        <v>11</v>
      </c>
      <c r="AI1119" t="s">
        <v>64923</v>
      </c>
      <c t="s">
        <v>40345</v>
      </c>
      <c r="AL1119" t="s">
        <v>39329</v>
      </c>
      <c r="AN1119" t="s">
        <v>10909</v>
      </c>
      <c t="s">
        <v>19478</v>
      </c>
      <c r="AQ1119" t="s">
        <v>27814</v>
      </c>
      <c t="s">
        <v>60971</v>
      </c>
    </row>
    <row>
      <c t="s">
        <v>17594</v>
      </c>
      <c t="s">
        <v>55557</v>
      </c>
      <c t="s">
        <v>10623</v>
      </c>
      <c t="s">
        <v>12137</v>
      </c>
      <c t="s">
        <v>49441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120" s="1" t="str">
        <f ca="1">HYPERLINK("https://web.datatree.com/?/property?propertyId=32365379", "https://web.datatree.com/?/property?propertyId=32365379")</f>
        <v>https://web.datatree.com/?/property?propertyId=32365379</v>
      </c>
      <c r="Q1120" t="s">
        <v>316</v>
      </c>
      <c>
        <v>0.24</v>
      </c>
      <c t="s">
        <v>5471</v>
      </c>
      <c t="s">
        <v>552</v>
      </c>
      <c t="s">
        <v>7137</v>
      </c>
      <c t="s">
        <v>55407</v>
      </c>
      <c t="s">
        <v>7137</v>
      </c>
      <c t="s">
        <v>49318</v>
      </c>
      <c t="s">
        <v>6481</v>
      </c>
      <c t="s">
        <v>65059</v>
      </c>
      <c t="s">
        <v>39289</v>
      </c>
      <c>
        <v>33905</v>
      </c>
      <c t="s">
        <v>20035</v>
      </c>
      <c t="s">
        <v>48794</v>
      </c>
      <c t="s">
        <v>33152</v>
      </c>
      <c>
        <v>38326</v>
      </c>
      <c r="AI1120" t="s">
        <v>32654</v>
      </c>
      <c t="s">
        <v>45620</v>
      </c>
      <c r="AL1120" t="s">
        <v>33575</v>
      </c>
      <c t="s">
        <v>26340</v>
      </c>
      <c t="s">
        <v>10909</v>
      </c>
      <c t="s">
        <v>47046</v>
      </c>
      <c t="s">
        <v>60333</v>
      </c>
      <c t="s">
        <v>3093</v>
      </c>
      <c t="s">
        <v>43731</v>
      </c>
    </row>
    <row>
      <c t="s">
        <v>17594</v>
      </c>
      <c t="s">
        <v>58280</v>
      </c>
      <c t="s">
        <v>14627</v>
      </c>
      <c t="s">
        <v>26799</v>
      </c>
      <c t="s">
        <v>58083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121" s="1" t="str">
        <f ca="1">HYPERLINK("https://web.datatree.com/?/property?propertyId=32365406", "https://web.datatree.com/?/property?propertyId=32365406")</f>
        <v>https://web.datatree.com/?/property?propertyId=32365406</v>
      </c>
      <c r="Q1121" t="s">
        <v>316</v>
      </c>
      <c>
        <v>0.23</v>
      </c>
      <c t="s">
        <v>6175</v>
      </c>
      <c t="s">
        <v>66704</v>
      </c>
      <c t="s">
        <v>36597</v>
      </c>
      <c t="s">
        <v>65583</v>
      </c>
      <c t="s">
        <v>8270</v>
      </c>
      <c t="s">
        <v>57769</v>
      </c>
      <c t="s">
        <v>38550</v>
      </c>
      <c t="s">
        <v>2517</v>
      </c>
      <c t="s">
        <v>39289</v>
      </c>
      <c>
        <v>33909</v>
      </c>
      <c t="s">
        <v>50393</v>
      </c>
      <c t="s">
        <v>48794</v>
      </c>
      <c t="s">
        <v>30927</v>
      </c>
      <c>
        <v>12125</v>
      </c>
      <c r="AI1121" t="s">
        <v>50039</v>
      </c>
      <c t="s">
        <v>4985</v>
      </c>
      <c r="AL1121" t="s">
        <v>51285</v>
      </c>
      <c r="AN1121" t="s">
        <v>32657</v>
      </c>
      <c t="s">
        <v>7618</v>
      </c>
      <c t="s">
        <v>22455</v>
      </c>
      <c t="s">
        <v>3093</v>
      </c>
      <c t="s">
        <v>37510</v>
      </c>
    </row>
    <row>
      <c t="s">
        <v>17594</v>
      </c>
      <c t="s">
        <v>51946</v>
      </c>
      <c t="s">
        <v>53005</v>
      </c>
      <c t="s">
        <v>17338</v>
      </c>
      <c t="s">
        <v>14533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1122" s="1" t="str">
        <f ca="1">HYPERLINK("https://web.datatree.com/?/property?propertyId=32365615", "https://web.datatree.com/?/property?propertyId=32365615")</f>
        <v>https://web.datatree.com/?/property?propertyId=32365615</v>
      </c>
      <c r="Q1122" t="s">
        <v>316</v>
      </c>
      <c>
        <v>0.23</v>
      </c>
      <c t="s">
        <v>6175</v>
      </c>
      <c t="s">
        <v>64191</v>
      </c>
      <c t="s">
        <v>4406</v>
      </c>
      <c r="X1122" t="s">
        <v>33490</v>
      </c>
      <c t="s">
        <v>61850</v>
      </c>
      <c t="s">
        <v>2517</v>
      </c>
      <c t="s">
        <v>39289</v>
      </c>
      <c>
        <v>33909</v>
      </c>
      <c t="s">
        <v>65646</v>
      </c>
      <c t="s">
        <v>48794</v>
      </c>
      <c t="s">
        <v>34054</v>
      </c>
      <c>
        <v>502</v>
      </c>
      <c r="AI1122" t="s">
        <v>60475</v>
      </c>
      <c t="s">
        <v>31192</v>
      </c>
      <c r="AL1122" t="s">
        <v>60079</v>
      </c>
      <c r="AN1122" t="s">
        <v>50917</v>
      </c>
      <c t="s">
        <v>16247</v>
      </c>
      <c t="s">
        <v>13449</v>
      </c>
      <c t="s">
        <v>3093</v>
      </c>
      <c t="s">
        <v>28153</v>
      </c>
    </row>
    <row>
      <c t="s">
        <v>17594</v>
      </c>
      <c t="s">
        <v>58971</v>
      </c>
      <c t="s">
        <v>6015</v>
      </c>
      <c t="s">
        <v>1892</v>
      </c>
      <c t="s">
        <v>45487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123" s="1" t="str">
        <f ca="1">HYPERLINK("https://web.datatree.com/?/property?propertyId=32366326", "https://web.datatree.com/?/property?propertyId=32366326")</f>
        <v>https://web.datatree.com/?/property?propertyId=32366326</v>
      </c>
      <c r="Q1123" t="s">
        <v>316</v>
      </c>
      <c>
        <v>0.23</v>
      </c>
      <c t="s">
        <v>6175</v>
      </c>
      <c t="s">
        <v>49692</v>
      </c>
      <c t="s">
        <v>48834</v>
      </c>
      <c r="X1123" t="s">
        <v>22451</v>
      </c>
      <c t="s">
        <v>23517</v>
      </c>
      <c t="s">
        <v>2517</v>
      </c>
      <c t="s">
        <v>39289</v>
      </c>
      <c>
        <v>33909</v>
      </c>
      <c t="s">
        <v>63868</v>
      </c>
      <c t="s">
        <v>48794</v>
      </c>
      <c t="s">
        <v>42527</v>
      </c>
      <c>
        <v>3687</v>
      </c>
      <c r="AI1123" t="s">
        <v>39022</v>
      </c>
      <c t="s">
        <v>1671</v>
      </c>
      <c r="AL1123" t="s">
        <v>3968</v>
      </c>
      <c r="AN1123" t="s">
        <v>39289</v>
      </c>
      <c t="s">
        <v>66787</v>
      </c>
      <c t="s">
        <v>62562</v>
      </c>
      <c t="s">
        <v>3093</v>
      </c>
      <c t="s">
        <v>15484</v>
      </c>
    </row>
    <row>
      <c t="s">
        <v>17594</v>
      </c>
      <c t="s">
        <v>26639</v>
      </c>
      <c t="s">
        <v>22738</v>
      </c>
      <c t="s">
        <v>31850</v>
      </c>
      <c t="s">
        <v>47296</v>
      </c>
      <c s="3">
        <v>11633</v>
      </c>
      <c s="3">
        <v>11633</v>
      </c>
      <c s="3">
        <v>9775</v>
      </c>
      <c>
        <v>0</v>
      </c>
      <c s="3">
        <v>0</v>
      </c>
      <c s="3">
        <v>154.24</v>
      </c>
      <c s="3">
        <v>11633</v>
      </c>
      <c r="O1124" s="1" t="str">
        <f ca="1">HYPERLINK("https://web.datatree.com/?/property?propertyId=32366607", "https://web.datatree.com/?/property?propertyId=32366607")</f>
        <v>https://web.datatree.com/?/property?propertyId=32366607</v>
      </c>
      <c r="Q1124" t="s">
        <v>316</v>
      </c>
      <c>
        <v>0.292</v>
      </c>
      <c t="s">
        <v>5471</v>
      </c>
      <c t="s">
        <v>26631</v>
      </c>
      <c t="s">
        <v>41513</v>
      </c>
      <c r="X1124" t="s">
        <v>50347</v>
      </c>
      <c t="s">
        <v>54719</v>
      </c>
      <c t="s">
        <v>54524</v>
      </c>
      <c t="s">
        <v>39289</v>
      </c>
      <c>
        <v>33903</v>
      </c>
      <c t="s">
        <v>5981</v>
      </c>
      <c t="s">
        <v>48794</v>
      </c>
      <c t="s">
        <v>13939</v>
      </c>
      <c>
        <v>1352</v>
      </c>
      <c r="AI1124" t="s">
        <v>51912</v>
      </c>
      <c t="s">
        <v>20615</v>
      </c>
      <c>
        <v>700</v>
      </c>
      <c t="s">
        <v>20040</v>
      </c>
      <c t="s">
        <v>20040</v>
      </c>
      <c t="s">
        <v>26016</v>
      </c>
      <c t="s">
        <v>30555</v>
      </c>
      <c t="s">
        <v>4660</v>
      </c>
      <c t="s">
        <v>3093</v>
      </c>
      <c t="s">
        <v>23422</v>
      </c>
    </row>
    <row>
      <c t="s">
        <v>17594</v>
      </c>
      <c t="s">
        <v>13088</v>
      </c>
      <c t="s">
        <v>48375</v>
      </c>
      <c t="s">
        <v>2315</v>
      </c>
      <c t="s">
        <v>14991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1125" s="1" t="str">
        <f ca="1">HYPERLINK("https://web.datatree.com/?/property?propertyId=32366926", "https://web.datatree.com/?/property?propertyId=32366926")</f>
        <v>https://web.datatree.com/?/property?propertyId=32366926</v>
      </c>
      <c r="Q1125" t="s">
        <v>316</v>
      </c>
      <c>
        <v>0.23</v>
      </c>
      <c t="s">
        <v>6175</v>
      </c>
      <c t="s">
        <v>41230</v>
      </c>
      <c t="s">
        <v>61905</v>
      </c>
      <c t="s">
        <v>36702</v>
      </c>
      <c t="s">
        <v>61905</v>
      </c>
      <c t="s">
        <v>25752</v>
      </c>
      <c t="s">
        <v>2626</v>
      </c>
      <c t="s">
        <v>2517</v>
      </c>
      <c t="s">
        <v>39289</v>
      </c>
      <c>
        <v>33909</v>
      </c>
      <c t="s">
        <v>57011</v>
      </c>
      <c t="s">
        <v>48794</v>
      </c>
      <c t="s">
        <v>51465</v>
      </c>
      <c>
        <v>7730</v>
      </c>
      <c r="AI1125" t="s">
        <v>15625</v>
      </c>
      <c t="s">
        <v>40123</v>
      </c>
      <c r="AL1125" t="s">
        <v>55393</v>
      </c>
      <c r="AN1125" t="s">
        <v>39289</v>
      </c>
      <c t="s">
        <v>41599</v>
      </c>
      <c t="s">
        <v>27553</v>
      </c>
      <c t="s">
        <v>3093</v>
      </c>
      <c t="s">
        <v>38351</v>
      </c>
    </row>
    <row>
      <c t="s">
        <v>17594</v>
      </c>
      <c t="s">
        <v>57612</v>
      </c>
      <c t="s">
        <v>30215</v>
      </c>
      <c t="s">
        <v>54048</v>
      </c>
      <c t="s">
        <v>44612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1126" s="1" t="str">
        <f ca="1">HYPERLINK("https://web.datatree.com/?/property?propertyId=32367159", "https://web.datatree.com/?/property?propertyId=32367159")</f>
        <v>https://web.datatree.com/?/property?propertyId=32367159</v>
      </c>
      <c r="Q1126" t="s">
        <v>316</v>
      </c>
      <c>
        <v>0.23</v>
      </c>
      <c t="s">
        <v>6175</v>
      </c>
      <c t="s">
        <v>39665</v>
      </c>
      <c t="s">
        <v>2076</v>
      </c>
      <c t="s">
        <v>56871</v>
      </c>
      <c t="s">
        <v>53284</v>
      </c>
      <c t="s">
        <v>66575</v>
      </c>
      <c t="s">
        <v>47150</v>
      </c>
      <c t="s">
        <v>2517</v>
      </c>
      <c t="s">
        <v>39289</v>
      </c>
      <c>
        <v>33909</v>
      </c>
      <c t="s">
        <v>65640</v>
      </c>
      <c t="s">
        <v>48794</v>
      </c>
      <c t="s">
        <v>29596</v>
      </c>
      <c>
        <v>2764</v>
      </c>
      <c r="AI1126" t="s">
        <v>5125</v>
      </c>
      <c t="s">
        <v>55842</v>
      </c>
      <c r="AL1126" t="s">
        <v>56470</v>
      </c>
      <c r="AN1126" t="s">
        <v>51137</v>
      </c>
      <c t="s">
        <v>19826</v>
      </c>
      <c t="s">
        <v>62983</v>
      </c>
      <c t="s">
        <v>3093</v>
      </c>
      <c t="s">
        <v>28459</v>
      </c>
    </row>
    <row>
      <c t="s">
        <v>17594</v>
      </c>
      <c t="s">
        <v>13203</v>
      </c>
      <c t="s">
        <v>7631</v>
      </c>
      <c t="s">
        <v>29024</v>
      </c>
      <c t="s">
        <v>13930</v>
      </c>
      <c s="3">
        <v>14998</v>
      </c>
      <c s="3">
        <v>14998</v>
      </c>
      <c s="3">
        <v>7838</v>
      </c>
      <c>
        <v>0</v>
      </c>
      <c s="3">
        <v>0</v>
      </c>
      <c s="3">
        <v>538.03</v>
      </c>
      <c s="3">
        <v>14998</v>
      </c>
      <c r="O1127" s="1" t="str">
        <f ca="1">HYPERLINK("https://web.datatree.com/?/property?propertyId=32367983", "https://web.datatree.com/?/property?propertyId=32367983")</f>
        <v>https://web.datatree.com/?/property?propertyId=32367983</v>
      </c>
      <c r="Q1127" t="s">
        <v>316</v>
      </c>
      <c>
        <v>0.234</v>
      </c>
      <c t="s">
        <v>42044</v>
      </c>
      <c t="s">
        <v>22994</v>
      </c>
      <c t="s">
        <v>46313</v>
      </c>
      <c r="X1127" t="s">
        <v>23929</v>
      </c>
      <c t="s">
        <v>61865</v>
      </c>
      <c t="s">
        <v>2517</v>
      </c>
      <c t="s">
        <v>39289</v>
      </c>
      <c>
        <v>33909</v>
      </c>
      <c t="s">
        <v>18943</v>
      </c>
      <c t="s">
        <v>48794</v>
      </c>
      <c t="s">
        <v>19346</v>
      </c>
      <c>
        <v>21</v>
      </c>
      <c r="AI1127" t="s">
        <v>40035</v>
      </c>
      <c t="s">
        <v>55842</v>
      </c>
      <c r="AL1127" t="s">
        <v>2085</v>
      </c>
      <c r="AN1127" t="s">
        <v>32576</v>
      </c>
      <c t="s">
        <v>14461</v>
      </c>
      <c t="s">
        <v>15980</v>
      </c>
      <c t="s">
        <v>3093</v>
      </c>
      <c t="s">
        <v>59000</v>
      </c>
    </row>
    <row>
      <c t="s">
        <v>17594</v>
      </c>
      <c t="s">
        <v>2948</v>
      </c>
      <c t="s">
        <v>25311</v>
      </c>
      <c t="s">
        <v>40332</v>
      </c>
      <c t="s">
        <v>5707</v>
      </c>
      <c s="3">
        <v>233253</v>
      </c>
      <c s="3">
        <v>226236</v>
      </c>
      <c s="3">
        <v>167565</v>
      </c>
      <c>
        <v>0</v>
      </c>
      <c s="3">
        <v>0</v>
      </c>
      <c s="3">
        <v>2831.88</v>
      </c>
      <c s="3">
        <v>233253</v>
      </c>
      <c r="O1128" s="1" t="str">
        <f ca="1">HYPERLINK("https://web.datatree.com/?/property?propertyId=32370592", "https://web.datatree.com/?/property?propertyId=32370592")</f>
        <v>https://web.datatree.com/?/property?propertyId=32370592</v>
      </c>
      <c>
        <v>1816</v>
      </c>
      <c t="s">
        <v>316</v>
      </c>
      <c>
        <v>0.56</v>
      </c>
      <c t="s">
        <v>5471</v>
      </c>
      <c t="s">
        <v>15568</v>
      </c>
      <c t="s">
        <v>24219</v>
      </c>
      <c r="X1128" t="s">
        <v>44055</v>
      </c>
      <c t="s">
        <v>21000</v>
      </c>
      <c t="s">
        <v>54524</v>
      </c>
      <c t="s">
        <v>39289</v>
      </c>
      <c>
        <v>33903</v>
      </c>
      <c t="s">
        <v>64890</v>
      </c>
      <c t="s">
        <v>48794</v>
      </c>
      <c t="s">
        <v>11100</v>
      </c>
      <c r="AI1128" t="s">
        <v>47109</v>
      </c>
      <c r="AL1128" t="s">
        <v>55646</v>
      </c>
      <c t="s">
        <v>55646</v>
      </c>
      <c t="s">
        <v>27747</v>
      </c>
      <c>
        <v>1220</v>
      </c>
      <c r="AR1128" t="s">
        <v>59991</v>
      </c>
      <c>
        <v>1965</v>
      </c>
    </row>
    <row>
      <c t="s">
        <v>17594</v>
      </c>
      <c t="s">
        <v>3658</v>
      </c>
      <c t="s">
        <v>24991</v>
      </c>
      <c t="s">
        <v>34307</v>
      </c>
      <c t="s">
        <v>28338</v>
      </c>
      <c s="3">
        <v>20717</v>
      </c>
      <c s="3">
        <v>20717</v>
      </c>
      <c s="3">
        <v>9599</v>
      </c>
      <c>
        <v>0</v>
      </c>
      <c s="3">
        <v>0</v>
      </c>
      <c s="3">
        <v>700.67</v>
      </c>
      <c s="3">
        <v>20717</v>
      </c>
      <c r="O1129" s="1" t="str">
        <f ca="1">HYPERLINK("https://web.datatree.com/?/property?propertyId=32371348", "https://web.datatree.com/?/property?propertyId=32371348")</f>
        <v>https://web.datatree.com/?/property?propertyId=32371348</v>
      </c>
      <c r="Q1129" t="s">
        <v>316</v>
      </c>
      <c>
        <v>0.356</v>
      </c>
      <c t="s">
        <v>6175</v>
      </c>
      <c t="s">
        <v>60671</v>
      </c>
      <c t="s">
        <v>24432</v>
      </c>
      <c r="X1129" t="s">
        <v>39599</v>
      </c>
      <c t="s">
        <v>61850</v>
      </c>
      <c t="s">
        <v>2517</v>
      </c>
      <c t="s">
        <v>39289</v>
      </c>
      <c>
        <v>33909</v>
      </c>
      <c>
        <v>33909</v>
      </c>
      <c t="s">
        <v>48794</v>
      </c>
      <c t="s">
        <v>53165</v>
      </c>
      <c>
        <v>309</v>
      </c>
      <c r="AI1129" t="s">
        <v>40821</v>
      </c>
      <c t="s">
        <v>24900</v>
      </c>
      <c r="AL1129" t="s">
        <v>5884</v>
      </c>
      <c r="AN1129" t="s">
        <v>26016</v>
      </c>
      <c t="s">
        <v>23488</v>
      </c>
      <c t="s">
        <v>4797</v>
      </c>
      <c t="s">
        <v>3093</v>
      </c>
      <c t="s">
        <v>35294</v>
      </c>
    </row>
    <row>
      <c t="s">
        <v>17594</v>
      </c>
      <c t="s">
        <v>48544</v>
      </c>
      <c t="s">
        <v>3962</v>
      </c>
      <c t="s">
        <v>34982</v>
      </c>
      <c t="s">
        <v>10652</v>
      </c>
      <c s="3">
        <v>7980</v>
      </c>
      <c s="3">
        <v>7980</v>
      </c>
      <c s="3">
        <v>7980</v>
      </c>
      <c>
        <v>0</v>
      </c>
      <c s="3">
        <v>0</v>
      </c>
      <c s="3">
        <v>660.2</v>
      </c>
      <c s="3">
        <v>7980</v>
      </c>
      <c r="O1130" s="1" t="str">
        <f ca="1">HYPERLINK("https://web.datatree.com/?/property?propertyId=32371425", "https://web.datatree.com/?/property?propertyId=32371425")</f>
        <v>https://web.datatree.com/?/property?propertyId=32371425</v>
      </c>
      <c r="Q1130" t="s">
        <v>316</v>
      </c>
      <c>
        <v>0.332</v>
      </c>
      <c t="s">
        <v>22490</v>
      </c>
      <c t="s">
        <v>41794</v>
      </c>
      <c t="s">
        <v>46676</v>
      </c>
      <c t="s">
        <v>56577</v>
      </c>
      <c t="s">
        <v>17371</v>
      </c>
      <c t="s">
        <v>57949</v>
      </c>
      <c t="s">
        <v>33893</v>
      </c>
      <c t="s">
        <v>2517</v>
      </c>
      <c t="s">
        <v>39289</v>
      </c>
      <c>
        <v>33909</v>
      </c>
      <c t="s">
        <v>9318</v>
      </c>
      <c t="s">
        <v>48794</v>
      </c>
      <c t="s">
        <v>6267</v>
      </c>
      <c>
        <v>7</v>
      </c>
      <c r="AI1130" t="s">
        <v>16008</v>
      </c>
      <c t="s">
        <v>31192</v>
      </c>
      <c r="AL1130" t="s">
        <v>66225</v>
      </c>
      <c r="AN1130" t="s">
        <v>27747</v>
      </c>
      <c t="s">
        <v>17734</v>
      </c>
      <c t="s">
        <v>26242</v>
      </c>
      <c t="s">
        <v>3093</v>
      </c>
      <c t="s">
        <v>43520</v>
      </c>
    </row>
    <row>
      <c t="s">
        <v>17594</v>
      </c>
      <c t="s">
        <v>4074</v>
      </c>
      <c t="s">
        <v>67233</v>
      </c>
      <c t="s">
        <v>51998</v>
      </c>
      <c t="s">
        <v>16659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1131" s="1" t="str">
        <f ca="1">HYPERLINK("https://web.datatree.com/?/property?propertyId=32371635", "https://web.datatree.com/?/property?propertyId=32371635")</f>
        <v>https://web.datatree.com/?/property?propertyId=32371635</v>
      </c>
      <c r="Q1131" t="s">
        <v>316</v>
      </c>
      <c>
        <v>0.23</v>
      </c>
      <c t="s">
        <v>6175</v>
      </c>
      <c t="s">
        <v>1859</v>
      </c>
      <c t="s">
        <v>65626</v>
      </c>
      <c r="W1131" t="s">
        <v>23725</v>
      </c>
      <c t="s">
        <v>7552</v>
      </c>
      <c t="s">
        <v>53675</v>
      </c>
      <c t="s">
        <v>2517</v>
      </c>
      <c t="s">
        <v>39289</v>
      </c>
      <c>
        <v>33909</v>
      </c>
      <c t="s">
        <v>21510</v>
      </c>
      <c t="s">
        <v>48794</v>
      </c>
      <c t="s">
        <v>15741</v>
      </c>
      <c>
        <v>24</v>
      </c>
      <c r="AI1131" t="s">
        <v>16533</v>
      </c>
      <c t="s">
        <v>24900</v>
      </c>
      <c r="AL1131" t="s">
        <v>56798</v>
      </c>
      <c r="AN1131" t="s">
        <v>26016</v>
      </c>
      <c t="s">
        <v>18580</v>
      </c>
      <c t="s">
        <v>33029</v>
      </c>
      <c t="s">
        <v>3093</v>
      </c>
      <c t="s">
        <v>58273</v>
      </c>
    </row>
    <row>
      <c t="s">
        <v>17594</v>
      </c>
      <c t="s">
        <v>5575</v>
      </c>
      <c t="s">
        <v>20666</v>
      </c>
      <c t="s">
        <v>17196</v>
      </c>
      <c t="s">
        <v>22137</v>
      </c>
      <c s="3">
        <v>28839</v>
      </c>
      <c s="3">
        <v>25675</v>
      </c>
      <c s="3">
        <v>15597</v>
      </c>
      <c>
        <v>0</v>
      </c>
      <c s="3">
        <v>0</v>
      </c>
      <c s="3">
        <v>793.17</v>
      </c>
      <c s="3">
        <v>28839</v>
      </c>
      <c>
        <v>2021</v>
      </c>
      <c>
        <v>817.6</v>
      </c>
      <c s="1" t="str">
        <f ca="1">HYPERLINK("https://web.datatree.com/?/property?propertyId=32371769", "https://web.datatree.com/?/property?propertyId=32371769")</f>
        <v>https://web.datatree.com/?/property?propertyId=32371769</v>
      </c>
      <c r="Q1132" t="s">
        <v>316</v>
      </c>
      <c>
        <v>0.344</v>
      </c>
      <c t="s">
        <v>22490</v>
      </c>
      <c t="s">
        <v>62495</v>
      </c>
      <c t="s">
        <v>25723</v>
      </c>
      <c r="X1132" t="s">
        <v>52541</v>
      </c>
      <c t="s">
        <v>18679</v>
      </c>
      <c t="s">
        <v>2517</v>
      </c>
      <c t="s">
        <v>39289</v>
      </c>
      <c>
        <v>33909</v>
      </c>
      <c>
        <v>33909</v>
      </c>
      <c t="s">
        <v>48794</v>
      </c>
      <c t="s">
        <v>46082</v>
      </c>
      <c>
        <v>16881</v>
      </c>
      <c r="AI1132" t="s">
        <v>29309</v>
      </c>
      <c t="s">
        <v>45393</v>
      </c>
      <c r="AL1132" t="s">
        <v>30396</v>
      </c>
      <c r="AN1132" t="s">
        <v>39289</v>
      </c>
      <c t="s">
        <v>1297</v>
      </c>
      <c t="s">
        <v>52393</v>
      </c>
      <c t="s">
        <v>3093</v>
      </c>
      <c t="s">
        <v>18505</v>
      </c>
    </row>
    <row>
      <c t="s">
        <v>17594</v>
      </c>
      <c t="s">
        <v>7851</v>
      </c>
      <c s="2" t="s">
        <v>21464</v>
      </c>
      <c t="s">
        <v>8229</v>
      </c>
      <c t="s">
        <v>21756</v>
      </c>
      <c s="3">
        <v>49341</v>
      </c>
      <c s="3">
        <v>49341</v>
      </c>
      <c s="3">
        <v>23108</v>
      </c>
      <c>
        <v>0</v>
      </c>
      <c s="3">
        <v>0</v>
      </c>
      <c s="3">
        <v>1739.05</v>
      </c>
      <c s="3">
        <v>49341</v>
      </c>
      <c r="O1133" s="1" t="str">
        <f ca="1">HYPERLINK("https://web.datatree.com/?/property?propertyId=32372626", "https://web.datatree.com/?/property?propertyId=32372626")</f>
        <v>https://web.datatree.com/?/property?propertyId=32372626</v>
      </c>
      <c r="Q1133" t="s">
        <v>316</v>
      </c>
      <c>
        <v>0.234</v>
      </c>
      <c t="s">
        <v>22490</v>
      </c>
      <c t="s">
        <v>43601</v>
      </c>
      <c t="s">
        <v>48165</v>
      </c>
      <c r="X1133" t="s">
        <v>58097</v>
      </c>
      <c t="s">
        <v>20024</v>
      </c>
      <c t="s">
        <v>2517</v>
      </c>
      <c t="s">
        <v>39289</v>
      </c>
      <c>
        <v>33909</v>
      </c>
      <c t="s">
        <v>10141</v>
      </c>
      <c t="s">
        <v>48794</v>
      </c>
      <c t="s">
        <v>41828</v>
      </c>
      <c>
        <v>46</v>
      </c>
      <c r="AI1133" t="s">
        <v>44508</v>
      </c>
      <c t="s">
        <v>45620</v>
      </c>
      <c r="AL1133" t="s">
        <v>60790</v>
      </c>
      <c r="AN1133" t="s">
        <v>27747</v>
      </c>
      <c t="s">
        <v>37634</v>
      </c>
      <c t="s">
        <v>54916</v>
      </c>
      <c t="s">
        <v>3093</v>
      </c>
      <c s="2" t="s">
        <v>27841</v>
      </c>
    </row>
    <row>
      <c t="s">
        <v>17594</v>
      </c>
      <c t="s">
        <v>49362</v>
      </c>
      <c t="s">
        <v>2422</v>
      </c>
      <c t="s">
        <v>48942</v>
      </c>
      <c t="s">
        <v>45778</v>
      </c>
      <c s="3">
        <v>168794</v>
      </c>
      <c s="3">
        <v>168794</v>
      </c>
      <c s="3">
        <v>168794</v>
      </c>
      <c>
        <v>0</v>
      </c>
      <c s="3">
        <v>0</v>
      </c>
      <c s="3">
        <v>3079.66</v>
      </c>
      <c s="3">
        <v>168794</v>
      </c>
      <c r="O1134" s="1" t="str">
        <f ca="1">HYPERLINK("https://web.datatree.com/?/property?propertyId=32374398", "https://web.datatree.com/?/property?propertyId=32374398")</f>
        <v>https://web.datatree.com/?/property?propertyId=32374398</v>
      </c>
      <c r="Q1134" t="s">
        <v>316</v>
      </c>
      <c>
        <v>0.23</v>
      </c>
      <c t="s">
        <v>42438</v>
      </c>
      <c r="U1134" t="s">
        <v>50734</v>
      </c>
      <c t="s">
        <v>44541</v>
      </c>
      <c t="s">
        <v>55884</v>
      </c>
      <c t="s">
        <v>52377</v>
      </c>
      <c t="s">
        <v>30864</v>
      </c>
      <c t="s">
        <v>2517</v>
      </c>
      <c t="s">
        <v>39289</v>
      </c>
      <c>
        <v>33904</v>
      </c>
      <c t="s">
        <v>17048</v>
      </c>
      <c t="s">
        <v>48794</v>
      </c>
      <c t="s">
        <v>25036</v>
      </c>
      <c>
        <v>356</v>
      </c>
      <c r="AI1134" t="s">
        <v>9756</v>
      </c>
      <c t="s">
        <v>45620</v>
      </c>
      <c r="AL1134" t="s">
        <v>34368</v>
      </c>
      <c r="AN1134" t="s">
        <v>64022</v>
      </c>
      <c t="s">
        <v>1038</v>
      </c>
      <c t="s">
        <v>14695</v>
      </c>
      <c t="s">
        <v>3093</v>
      </c>
      <c t="s">
        <v>49158</v>
      </c>
    </row>
    <row>
      <c t="s">
        <v>17594</v>
      </c>
      <c t="s">
        <v>12576</v>
      </c>
      <c t="s">
        <v>15183</v>
      </c>
      <c t="s">
        <v>5540</v>
      </c>
      <c t="s">
        <v>11582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1135" s="1" t="str">
        <f ca="1">HYPERLINK("https://web.datatree.com/?/property?propertyId=32375008", "https://web.datatree.com/?/property?propertyId=32375008")</f>
        <v>https://web.datatree.com/?/property?propertyId=32375008</v>
      </c>
      <c r="Q1135" t="s">
        <v>316</v>
      </c>
      <c>
        <v>0.245</v>
      </c>
      <c t="s">
        <v>6175</v>
      </c>
      <c t="s">
        <v>60059</v>
      </c>
      <c t="s">
        <v>19992</v>
      </c>
      <c t="s">
        <v>64201</v>
      </c>
      <c t="s">
        <v>42762</v>
      </c>
      <c t="s">
        <v>53714</v>
      </c>
      <c t="s">
        <v>14917</v>
      </c>
      <c t="s">
        <v>2517</v>
      </c>
      <c t="s">
        <v>39289</v>
      </c>
      <c>
        <v>33909</v>
      </c>
      <c t="s">
        <v>26841</v>
      </c>
      <c t="s">
        <v>48794</v>
      </c>
      <c t="s">
        <v>15975</v>
      </c>
      <c>
        <v>10755</v>
      </c>
      <c r="AI1135" t="s">
        <v>9600</v>
      </c>
      <c t="s">
        <v>45393</v>
      </c>
      <c r="AL1135" t="s">
        <v>63930</v>
      </c>
      <c t="s">
        <v>13397</v>
      </c>
      <c t="s">
        <v>50917</v>
      </c>
      <c t="s">
        <v>59661</v>
      </c>
      <c t="s">
        <v>48506</v>
      </c>
      <c t="s">
        <v>3093</v>
      </c>
      <c t="s">
        <v>46326</v>
      </c>
    </row>
    <row>
      <c t="s">
        <v>17594</v>
      </c>
      <c t="s">
        <v>62520</v>
      </c>
      <c t="s">
        <v>66616</v>
      </c>
      <c t="s">
        <v>65861</v>
      </c>
      <c t="s">
        <v>59750</v>
      </c>
      <c s="3">
        <v>15675</v>
      </c>
      <c s="3">
        <v>15675</v>
      </c>
      <c s="3">
        <v>5422</v>
      </c>
      <c>
        <v>0</v>
      </c>
      <c s="3">
        <v>0</v>
      </c>
      <c s="3">
        <v>331.79</v>
      </c>
      <c s="3">
        <v>15675</v>
      </c>
      <c r="O1136" s="1" t="str">
        <f ca="1">HYPERLINK("https://web.datatree.com/?/property?propertyId=32375688", "https://web.datatree.com/?/property?propertyId=32375688")</f>
        <v>https://web.datatree.com/?/property?propertyId=32375688</v>
      </c>
      <c r="Q1136" t="s">
        <v>316</v>
      </c>
      <c>
        <v>0.234</v>
      </c>
      <c t="s">
        <v>5471</v>
      </c>
      <c t="s">
        <v>17886</v>
      </c>
      <c t="s">
        <v>1857</v>
      </c>
      <c r="X1136" t="s">
        <v>44218</v>
      </c>
      <c t="s">
        <v>51919</v>
      </c>
      <c t="s">
        <v>65059</v>
      </c>
      <c t="s">
        <v>39289</v>
      </c>
      <c>
        <v>33905</v>
      </c>
      <c t="s">
        <v>51783</v>
      </c>
      <c t="s">
        <v>48794</v>
      </c>
      <c t="s">
        <v>6646</v>
      </c>
      <c r="AI1136" t="s">
        <v>32734</v>
      </c>
      <c r="AK1136">
        <v>32</v>
      </c>
      <c t="s">
        <v>34490</v>
      </c>
      <c r="AN1136" t="s">
        <v>13328</v>
      </c>
      <c>
        <v>0</v>
      </c>
      <c r="AR1136" t="s">
        <v>65517</v>
      </c>
    </row>
    <row>
      <c t="s">
        <v>17594</v>
      </c>
      <c t="s">
        <v>44189</v>
      </c>
      <c t="s">
        <v>29127</v>
      </c>
      <c t="s">
        <v>10388</v>
      </c>
      <c t="s">
        <v>56924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1137" s="1" t="str">
        <f ca="1">HYPERLINK("https://web.datatree.com/?/property?propertyId=32375916", "https://web.datatree.com/?/property?propertyId=32375916")</f>
        <v>https://web.datatree.com/?/property?propertyId=32375916</v>
      </c>
      <c r="Q1137" t="s">
        <v>316</v>
      </c>
      <c>
        <v>0.241</v>
      </c>
      <c t="s">
        <v>6175</v>
      </c>
      <c t="s">
        <v>66519</v>
      </c>
      <c t="s">
        <v>44893</v>
      </c>
      <c r="X1137" t="s">
        <v>7574</v>
      </c>
      <c t="s">
        <v>2626</v>
      </c>
      <c t="s">
        <v>2517</v>
      </c>
      <c t="s">
        <v>39289</v>
      </c>
      <c>
        <v>33909</v>
      </c>
      <c t="s">
        <v>2752</v>
      </c>
      <c t="s">
        <v>48794</v>
      </c>
      <c t="s">
        <v>56205</v>
      </c>
      <c>
        <v>7560</v>
      </c>
      <c r="AI1137" t="s">
        <v>36662</v>
      </c>
      <c t="s">
        <v>31192</v>
      </c>
      <c r="AL1137" t="s">
        <v>51207</v>
      </c>
      <c r="AN1137" t="s">
        <v>51137</v>
      </c>
      <c t="s">
        <v>39151</v>
      </c>
      <c t="s">
        <v>22455</v>
      </c>
      <c t="s">
        <v>3093</v>
      </c>
      <c t="s">
        <v>28648</v>
      </c>
    </row>
    <row>
      <c t="s">
        <v>17594</v>
      </c>
      <c t="s">
        <v>60875</v>
      </c>
      <c t="s">
        <v>40672</v>
      </c>
      <c t="s">
        <v>28380</v>
      </c>
      <c t="s">
        <v>46950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138" s="1" t="str">
        <f ca="1">HYPERLINK("https://web.datatree.com/?/property?propertyId=32376122", "https://web.datatree.com/?/property?propertyId=32376122")</f>
        <v>https://web.datatree.com/?/property?propertyId=32376122</v>
      </c>
      <c r="Q1138" t="s">
        <v>316</v>
      </c>
      <c>
        <v>0.23</v>
      </c>
      <c t="s">
        <v>22490</v>
      </c>
      <c t="s">
        <v>54921</v>
      </c>
      <c t="s">
        <v>29264</v>
      </c>
      <c r="X1138" t="s">
        <v>50531</v>
      </c>
      <c t="s">
        <v>34136</v>
      </c>
      <c t="s">
        <v>2517</v>
      </c>
      <c t="s">
        <v>39289</v>
      </c>
      <c>
        <v>33909</v>
      </c>
      <c t="s">
        <v>374</v>
      </c>
      <c t="s">
        <v>48794</v>
      </c>
      <c t="s">
        <v>47182</v>
      </c>
      <c>
        <v>2597</v>
      </c>
      <c r="AI1138" t="s">
        <v>52052</v>
      </c>
      <c t="s">
        <v>31192</v>
      </c>
      <c r="AL1138" t="s">
        <v>50455</v>
      </c>
      <c t="s">
        <v>50455</v>
      </c>
      <c t="s">
        <v>27222</v>
      </c>
      <c t="s">
        <v>13224</v>
      </c>
      <c t="s">
        <v>57360</v>
      </c>
      <c t="s">
        <v>3093</v>
      </c>
      <c t="s">
        <v>58455</v>
      </c>
    </row>
    <row>
      <c t="s">
        <v>17594</v>
      </c>
      <c t="s">
        <v>41552</v>
      </c>
      <c t="s">
        <v>15173</v>
      </c>
      <c t="s">
        <v>12172</v>
      </c>
      <c t="s">
        <v>43862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1139" s="1" t="str">
        <f ca="1">HYPERLINK("https://web.datatree.com/?/property?propertyId=32376252", "https://web.datatree.com/?/property?propertyId=32376252")</f>
        <v>https://web.datatree.com/?/property?propertyId=32376252</v>
      </c>
      <c r="Q1139" t="s">
        <v>316</v>
      </c>
      <c>
        <v>0.244</v>
      </c>
      <c t="s">
        <v>22490</v>
      </c>
      <c t="s">
        <v>48122</v>
      </c>
      <c t="s">
        <v>62632</v>
      </c>
      <c r="X1139" t="s">
        <v>8005</v>
      </c>
      <c t="s">
        <v>66701</v>
      </c>
      <c t="s">
        <v>2517</v>
      </c>
      <c t="s">
        <v>39289</v>
      </c>
      <c>
        <v>33909</v>
      </c>
      <c t="s">
        <v>32727</v>
      </c>
      <c t="s">
        <v>48794</v>
      </c>
      <c t="s">
        <v>13570</v>
      </c>
      <c>
        <v>50413</v>
      </c>
      <c r="AH1139" t="s">
        <v>12549</v>
      </c>
      <c t="s">
        <v>45209</v>
      </c>
      <c t="s">
        <v>7412</v>
      </c>
      <c r="AL1139" t="s">
        <v>8875</v>
      </c>
      <c r="AN1139" t="s">
        <v>51137</v>
      </c>
      <c t="s">
        <v>55676</v>
      </c>
      <c t="s">
        <v>35354</v>
      </c>
      <c t="s">
        <v>3093</v>
      </c>
      <c t="s">
        <v>47443</v>
      </c>
    </row>
    <row>
      <c t="s">
        <v>17594</v>
      </c>
      <c t="s">
        <v>15652</v>
      </c>
      <c t="s">
        <v>64223</v>
      </c>
      <c t="s">
        <v>42866</v>
      </c>
      <c t="s">
        <v>62218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1140" s="1" t="str">
        <f ca="1">HYPERLINK("https://web.datatree.com/?/property?propertyId=32376570", "https://web.datatree.com/?/property?propertyId=32376570")</f>
        <v>https://web.datatree.com/?/property?propertyId=32376570</v>
      </c>
      <c r="Q1140" t="s">
        <v>316</v>
      </c>
      <c>
        <v>0.23</v>
      </c>
      <c t="s">
        <v>6175</v>
      </c>
      <c t="s">
        <v>57248</v>
      </c>
      <c t="s">
        <v>44893</v>
      </c>
      <c r="X1140" t="s">
        <v>8178</v>
      </c>
      <c t="s">
        <v>34731</v>
      </c>
      <c t="s">
        <v>2517</v>
      </c>
      <c t="s">
        <v>39289</v>
      </c>
      <c>
        <v>33909</v>
      </c>
      <c t="s">
        <v>38179</v>
      </c>
      <c t="s">
        <v>48794</v>
      </c>
      <c t="s">
        <v>1469</v>
      </c>
      <c>
        <v>315</v>
      </c>
      <c r="AI1140" t="s">
        <v>16783</v>
      </c>
      <c t="s">
        <v>45393</v>
      </c>
      <c r="AL1140" t="s">
        <v>59767</v>
      </c>
      <c t="s">
        <v>59767</v>
      </c>
      <c t="s">
        <v>40451</v>
      </c>
      <c t="s">
        <v>8348</v>
      </c>
      <c t="s">
        <v>19978</v>
      </c>
      <c t="s">
        <v>3093</v>
      </c>
      <c t="s">
        <v>32879</v>
      </c>
    </row>
    <row>
      <c t="s">
        <v>17594</v>
      </c>
      <c t="s">
        <v>29871</v>
      </c>
      <c t="s">
        <v>34871</v>
      </c>
      <c t="s">
        <v>41813</v>
      </c>
      <c t="s">
        <v>53124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1141" s="1" t="str">
        <f ca="1">HYPERLINK("https://web.datatree.com/?/property?propertyId=32376961", "https://web.datatree.com/?/property?propertyId=32376961")</f>
        <v>https://web.datatree.com/?/property?propertyId=32376961</v>
      </c>
      <c r="Q1141" t="s">
        <v>316</v>
      </c>
      <c>
        <v>0.255</v>
      </c>
      <c t="s">
        <v>42044</v>
      </c>
      <c t="s">
        <v>47922</v>
      </c>
      <c t="s">
        <v>63431</v>
      </c>
      <c t="s">
        <v>13419</v>
      </c>
      <c t="s">
        <v>63431</v>
      </c>
      <c t="s">
        <v>21366</v>
      </c>
      <c t="s">
        <v>66701</v>
      </c>
      <c t="s">
        <v>2517</v>
      </c>
      <c t="s">
        <v>39289</v>
      </c>
      <c>
        <v>33909</v>
      </c>
      <c t="s">
        <v>37694</v>
      </c>
      <c t="s">
        <v>48794</v>
      </c>
      <c t="s">
        <v>64523</v>
      </c>
      <c>
        <v>16669</v>
      </c>
      <c r="AI1141" t="s">
        <v>13964</v>
      </c>
      <c t="s">
        <v>39321</v>
      </c>
      <c r="AL1141" t="s">
        <v>55393</v>
      </c>
      <c r="AN1141" t="s">
        <v>39289</v>
      </c>
      <c t="s">
        <v>29785</v>
      </c>
      <c t="s">
        <v>14564</v>
      </c>
      <c t="s">
        <v>3093</v>
      </c>
      <c t="s">
        <v>24713</v>
      </c>
    </row>
    <row>
      <c t="s">
        <v>17594</v>
      </c>
      <c t="s">
        <v>32959</v>
      </c>
      <c t="s">
        <v>5</v>
      </c>
      <c t="s">
        <v>65633</v>
      </c>
      <c t="s">
        <v>33429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142" s="1" t="str">
        <f ca="1">HYPERLINK("https://web.datatree.com/?/property?propertyId=32377208", "https://web.datatree.com/?/property?propertyId=32377208")</f>
        <v>https://web.datatree.com/?/property?propertyId=32377208</v>
      </c>
      <c r="Q1142" t="s">
        <v>316</v>
      </c>
      <c>
        <v>0.23</v>
      </c>
      <c t="s">
        <v>6175</v>
      </c>
      <c r="U1142" t="s">
        <v>7468</v>
      </c>
      <c r="W1142" t="s">
        <v>38098</v>
      </c>
      <c t="s">
        <v>65121</v>
      </c>
      <c t="s">
        <v>38550</v>
      </c>
      <c t="s">
        <v>2517</v>
      </c>
      <c t="s">
        <v>39289</v>
      </c>
      <c>
        <v>33909</v>
      </c>
      <c t="s">
        <v>40103</v>
      </c>
      <c t="s">
        <v>48794</v>
      </c>
      <c t="s">
        <v>63001</v>
      </c>
      <c>
        <v>308</v>
      </c>
      <c r="AI1142" t="s">
        <v>41329</v>
      </c>
      <c t="s">
        <v>24900</v>
      </c>
      <c r="AL1142" t="s">
        <v>63101</v>
      </c>
      <c r="AN1142" t="s">
        <v>18236</v>
      </c>
      <c t="s">
        <v>39807</v>
      </c>
      <c t="s">
        <v>34025</v>
      </c>
      <c t="s">
        <v>3093</v>
      </c>
      <c t="s">
        <v>15314</v>
      </c>
    </row>
    <row>
      <c t="s">
        <v>17594</v>
      </c>
      <c t="s">
        <v>49753</v>
      </c>
      <c t="s">
        <v>16332</v>
      </c>
      <c t="s">
        <v>60386</v>
      </c>
      <c t="s">
        <v>58341</v>
      </c>
      <c s="3">
        <v>32636</v>
      </c>
      <c s="3">
        <v>32636</v>
      </c>
      <c s="3">
        <v>14161</v>
      </c>
      <c>
        <v>0</v>
      </c>
      <c s="3">
        <v>0</v>
      </c>
      <c s="3">
        <v>243</v>
      </c>
      <c s="3">
        <v>32636</v>
      </c>
      <c r="O1143" s="1" t="str">
        <f ca="1">HYPERLINK("https://web.datatree.com/?/property?propertyId=32377342", "https://web.datatree.com/?/property?propertyId=32377342")</f>
        <v>https://web.datatree.com/?/property?propertyId=32377342</v>
      </c>
      <c r="Q1143" t="s">
        <v>316</v>
      </c>
      <c>
        <v>0.266</v>
      </c>
      <c t="s">
        <v>5471</v>
      </c>
      <c t="s">
        <v>10361</v>
      </c>
      <c t="s">
        <v>1923</v>
      </c>
      <c t="s">
        <v>52045</v>
      </c>
      <c t="s">
        <v>1923</v>
      </c>
      <c t="s">
        <v>56241</v>
      </c>
      <c t="s">
        <v>66379</v>
      </c>
      <c t="s">
        <v>65059</v>
      </c>
      <c t="s">
        <v>39289</v>
      </c>
      <c>
        <v>33905</v>
      </c>
      <c t="s">
        <v>38927</v>
      </c>
      <c t="s">
        <v>48794</v>
      </c>
      <c t="s">
        <v>7108</v>
      </c>
      <c>
        <v>152</v>
      </c>
      <c r="AI1143" t="s">
        <v>12948</v>
      </c>
      <c t="s">
        <v>55842</v>
      </c>
      <c r="AL1143" t="s">
        <v>42159</v>
      </c>
      <c t="s">
        <v>20902</v>
      </c>
      <c t="s">
        <v>27747</v>
      </c>
      <c t="s">
        <v>66938</v>
      </c>
      <c t="s">
        <v>52247</v>
      </c>
      <c t="s">
        <v>3093</v>
      </c>
      <c t="s">
        <v>43873</v>
      </c>
    </row>
    <row>
      <c t="s">
        <v>17594</v>
      </c>
      <c t="s">
        <v>11187</v>
      </c>
      <c t="s">
        <v>37201</v>
      </c>
      <c t="s">
        <v>15791</v>
      </c>
      <c t="s">
        <v>19738</v>
      </c>
      <c s="3">
        <v>43179</v>
      </c>
      <c s="3">
        <v>43179</v>
      </c>
      <c s="3">
        <v>43179</v>
      </c>
      <c>
        <v>0</v>
      </c>
      <c s="3">
        <v>0</v>
      </c>
      <c s="3">
        <v>592.48</v>
      </c>
      <c s="3">
        <v>43179</v>
      </c>
      <c>
        <v>2021</v>
      </c>
      <c>
        <v>445.15</v>
      </c>
      <c s="1" t="str">
        <f ca="1">HYPERLINK("https://web.datatree.com/?/property?propertyId=32377382", "https://web.datatree.com/?/property?propertyId=32377382")</f>
        <v>https://web.datatree.com/?/property?propertyId=32377382</v>
      </c>
      <c r="Q1144" t="s">
        <v>316</v>
      </c>
      <c>
        <v>0.252</v>
      </c>
      <c t="s">
        <v>37489</v>
      </c>
      <c t="s">
        <v>34748</v>
      </c>
      <c t="s">
        <v>29771</v>
      </c>
      <c t="s">
        <v>11948</v>
      </c>
      <c t="s">
        <v>15738</v>
      </c>
      <c t="s">
        <v>24806</v>
      </c>
      <c t="s">
        <v>51344</v>
      </c>
      <c t="s">
        <v>65059</v>
      </c>
      <c t="s">
        <v>39289</v>
      </c>
      <c>
        <v>33908</v>
      </c>
      <c>
        <v>33908</v>
      </c>
      <c t="s">
        <v>48794</v>
      </c>
      <c t="s">
        <v>15123</v>
      </c>
      <c>
        <v>31332</v>
      </c>
      <c r="AI1144" t="s">
        <v>45221</v>
      </c>
      <c r="AL1144" t="s">
        <v>4516</v>
      </c>
      <c t="s">
        <v>4516</v>
      </c>
      <c t="s">
        <v>39289</v>
      </c>
      <c t="s">
        <v>38788</v>
      </c>
      <c t="s">
        <v>14695</v>
      </c>
      <c t="s">
        <v>3093</v>
      </c>
      <c t="s">
        <v>25351</v>
      </c>
    </row>
    <row>
      <c t="s">
        <v>17594</v>
      </c>
      <c t="s">
        <v>46736</v>
      </c>
      <c t="s">
        <v>58286</v>
      </c>
      <c t="s">
        <v>39270</v>
      </c>
      <c t="s">
        <v>9763</v>
      </c>
      <c s="3">
        <v>17859</v>
      </c>
      <c s="3">
        <v>17859</v>
      </c>
      <c s="3">
        <v>8910</v>
      </c>
      <c>
        <v>0</v>
      </c>
      <c s="3">
        <v>0</v>
      </c>
      <c s="3">
        <v>566.28</v>
      </c>
      <c s="3">
        <v>17859</v>
      </c>
      <c>
        <v>2021</v>
      </c>
      <c>
        <v>598.45</v>
      </c>
      <c s="1" t="str">
        <f ca="1">HYPERLINK("https://web.datatree.com/?/property?propertyId=32377695", "https://web.datatree.com/?/property?propertyId=32377695")</f>
        <v>https://web.datatree.com/?/property?propertyId=32377695</v>
      </c>
      <c r="Q1145" t="s">
        <v>316</v>
      </c>
      <c>
        <v>0.244</v>
      </c>
      <c t="s">
        <v>6175</v>
      </c>
      <c t="s">
        <v>66812</v>
      </c>
      <c t="s">
        <v>9592</v>
      </c>
      <c r="X1145" t="s">
        <v>7002</v>
      </c>
      <c t="s">
        <v>59028</v>
      </c>
      <c t="s">
        <v>2517</v>
      </c>
      <c t="s">
        <v>39289</v>
      </c>
      <c>
        <v>33909</v>
      </c>
      <c t="s">
        <v>47251</v>
      </c>
      <c t="s">
        <v>48794</v>
      </c>
      <c t="s">
        <v>11644</v>
      </c>
      <c>
        <v>6303</v>
      </c>
      <c r="AI1145" t="s">
        <v>26976</v>
      </c>
      <c t="s">
        <v>31192</v>
      </c>
      <c>
        <v>400</v>
      </c>
      <c t="s">
        <v>55393</v>
      </c>
      <c r="AN1145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32179</v>
      </c>
      <c t="s">
        <v>44899</v>
      </c>
      <c t="s">
        <v>37571</v>
      </c>
      <c t="s">
        <v>40388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1146" s="1" t="str">
        <f ca="1">HYPERLINK("https://web.datatree.com/?/property?propertyId=32377739", "https://web.datatree.com/?/property?propertyId=32377739")</f>
        <v>https://web.datatree.com/?/property?propertyId=32377739</v>
      </c>
      <c r="Q1146" t="s">
        <v>316</v>
      </c>
      <c>
        <v>0.23</v>
      </c>
      <c t="s">
        <v>6175</v>
      </c>
      <c t="s">
        <v>18380</v>
      </c>
      <c t="s">
        <v>67081</v>
      </c>
      <c r="X1146" t="s">
        <v>21959</v>
      </c>
      <c t="s">
        <v>61865</v>
      </c>
      <c t="s">
        <v>2517</v>
      </c>
      <c t="s">
        <v>39289</v>
      </c>
      <c>
        <v>33909</v>
      </c>
      <c t="s">
        <v>50477</v>
      </c>
      <c t="s">
        <v>48794</v>
      </c>
      <c t="s">
        <v>27570</v>
      </c>
      <c>
        <v>5020</v>
      </c>
      <c r="AI1146" t="s">
        <v>35518</v>
      </c>
      <c t="s">
        <v>45393</v>
      </c>
      <c r="AL1146" t="s">
        <v>41781</v>
      </c>
      <c r="AN1146" t="s">
        <v>39289</v>
      </c>
      <c t="s">
        <v>16787</v>
      </c>
      <c t="s">
        <v>13449</v>
      </c>
      <c t="s">
        <v>3093</v>
      </c>
      <c t="s">
        <v>59558</v>
      </c>
    </row>
    <row>
      <c t="s">
        <v>17594</v>
      </c>
      <c t="s">
        <v>21215</v>
      </c>
      <c t="s">
        <v>62956</v>
      </c>
      <c t="s">
        <v>38583</v>
      </c>
      <c t="s">
        <v>37059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147" s="1" t="str">
        <f ca="1">HYPERLINK("https://web.datatree.com/?/property?propertyId=32378254", "https://web.datatree.com/?/property?propertyId=32378254")</f>
        <v>https://web.datatree.com/?/property?propertyId=32378254</v>
      </c>
      <c r="Q1147" t="s">
        <v>316</v>
      </c>
      <c>
        <v>0.23</v>
      </c>
      <c t="s">
        <v>6175</v>
      </c>
      <c r="U1147" t="s">
        <v>59912</v>
      </c>
      <c r="W1147" t="s">
        <v>26168</v>
      </c>
      <c t="s">
        <v>6291</v>
      </c>
      <c t="s">
        <v>49122</v>
      </c>
      <c t="s">
        <v>2517</v>
      </c>
      <c t="s">
        <v>39289</v>
      </c>
      <c>
        <v>33909</v>
      </c>
      <c t="s">
        <v>29860</v>
      </c>
      <c t="s">
        <v>48794</v>
      </c>
      <c t="s">
        <v>6943</v>
      </c>
      <c>
        <v>31534</v>
      </c>
      <c r="AI1147" t="s">
        <v>66972</v>
      </c>
      <c t="s">
        <v>55842</v>
      </c>
      <c r="AL1147" t="s">
        <v>12077</v>
      </c>
      <c t="s">
        <v>12077</v>
      </c>
      <c t="s">
        <v>51137</v>
      </c>
      <c t="s">
        <v>57564</v>
      </c>
      <c t="s">
        <v>26242</v>
      </c>
      <c t="s">
        <v>3093</v>
      </c>
      <c t="s">
        <v>54466</v>
      </c>
    </row>
    <row>
      <c t="s">
        <v>17594</v>
      </c>
      <c t="s">
        <v>52854</v>
      </c>
      <c t="s">
        <v>16617</v>
      </c>
      <c t="s">
        <v>49061</v>
      </c>
      <c t="s">
        <v>63118</v>
      </c>
      <c s="3">
        <v>20900</v>
      </c>
      <c s="3">
        <v>20900</v>
      </c>
      <c s="3">
        <v>10450</v>
      </c>
      <c>
        <v>0</v>
      </c>
      <c s="3">
        <v>0</v>
      </c>
      <c s="3">
        <v>601.61</v>
      </c>
      <c s="3">
        <v>20900</v>
      </c>
      <c r="O1148" s="1" t="str">
        <f ca="1">HYPERLINK("https://web.datatree.com/?/property?propertyId=32379100", "https://web.datatree.com/?/property?propertyId=32379100")</f>
        <v>https://web.datatree.com/?/property?propertyId=32379100</v>
      </c>
      <c r="Q1148" t="s">
        <v>316</v>
      </c>
      <c>
        <v>0.241</v>
      </c>
      <c t="s">
        <v>22490</v>
      </c>
      <c t="s">
        <v>33213</v>
      </c>
      <c t="s">
        <v>61905</v>
      </c>
      <c r="X1148" t="s">
        <v>32534</v>
      </c>
      <c t="s">
        <v>8669</v>
      </c>
      <c t="s">
        <v>2517</v>
      </c>
      <c t="s">
        <v>39289</v>
      </c>
      <c>
        <v>33909</v>
      </c>
      <c t="s">
        <v>866</v>
      </c>
      <c t="s">
        <v>48794</v>
      </c>
      <c t="s">
        <v>21635</v>
      </c>
      <c>
        <v>628</v>
      </c>
      <c r="AH1148" t="s">
        <v>26580</v>
      </c>
      <c t="s">
        <v>63306</v>
      </c>
      <c t="s">
        <v>24900</v>
      </c>
      <c r="AL1148" t="s">
        <v>11713</v>
      </c>
      <c t="s">
        <v>50509</v>
      </c>
      <c t="s">
        <v>39289</v>
      </c>
      <c t="s">
        <v>16685</v>
      </c>
      <c t="s">
        <v>43294</v>
      </c>
      <c t="s">
        <v>3093</v>
      </c>
      <c t="s">
        <v>52115</v>
      </c>
    </row>
    <row>
      <c t="s">
        <v>17594</v>
      </c>
      <c t="s">
        <v>67090</v>
      </c>
      <c t="s">
        <v>47739</v>
      </c>
      <c t="s">
        <v>24771</v>
      </c>
      <c t="s">
        <v>10917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149" s="1" t="str">
        <f ca="1">HYPERLINK("https://web.datatree.com/?/property?propertyId=32379468", "https://web.datatree.com/?/property?propertyId=32379468")</f>
        <v>https://web.datatree.com/?/property?propertyId=32379468</v>
      </c>
      <c r="Q1149" t="s">
        <v>316</v>
      </c>
      <c>
        <v>0.23</v>
      </c>
      <c t="s">
        <v>22490</v>
      </c>
      <c t="s">
        <v>21668</v>
      </c>
      <c t="s">
        <v>2507</v>
      </c>
      <c t="s">
        <v>7177</v>
      </c>
      <c t="s">
        <v>2507</v>
      </c>
      <c t="s">
        <v>2781</v>
      </c>
      <c t="s">
        <v>53675</v>
      </c>
      <c t="s">
        <v>2517</v>
      </c>
      <c t="s">
        <v>39289</v>
      </c>
      <c>
        <v>33909</v>
      </c>
      <c t="s">
        <v>20748</v>
      </c>
      <c t="s">
        <v>48794</v>
      </c>
      <c t="s">
        <v>37204</v>
      </c>
      <c>
        <v>38</v>
      </c>
      <c r="AI1149" t="s">
        <v>1432</v>
      </c>
      <c r="AL1149" t="s">
        <v>56128</v>
      </c>
      <c r="AN1149" t="s">
        <v>32840</v>
      </c>
      <c r="AR1149" t="s">
        <v>13609</v>
      </c>
    </row>
    <row>
      <c t="s">
        <v>17594</v>
      </c>
      <c t="s">
        <v>47107</v>
      </c>
      <c t="s">
        <v>50315</v>
      </c>
      <c t="s">
        <v>28287</v>
      </c>
      <c t="s">
        <v>59378</v>
      </c>
      <c s="3">
        <v>7700</v>
      </c>
      <c s="3">
        <v>7700</v>
      </c>
      <c s="3">
        <v>7700</v>
      </c>
      <c>
        <v>0</v>
      </c>
      <c s="3">
        <v>0</v>
      </c>
      <c s="3">
        <v>658.18</v>
      </c>
      <c s="3">
        <v>7700</v>
      </c>
      <c r="O1150" s="1" t="str">
        <f ca="1">HYPERLINK("https://web.datatree.com/?/property?propertyId=32379564", "https://web.datatree.com/?/property?propertyId=32379564")</f>
        <v>https://web.datatree.com/?/property?propertyId=32379564</v>
      </c>
      <c r="Q1150" t="s">
        <v>316</v>
      </c>
      <c>
        <v>0.253</v>
      </c>
      <c t="s">
        <v>6175</v>
      </c>
      <c t="s">
        <v>64618</v>
      </c>
      <c t="s">
        <v>928</v>
      </c>
      <c t="s">
        <v>52701</v>
      </c>
      <c t="s">
        <v>10709</v>
      </c>
      <c t="s">
        <v>56185</v>
      </c>
      <c t="s">
        <v>14534</v>
      </c>
      <c t="s">
        <v>2517</v>
      </c>
      <c t="s">
        <v>39289</v>
      </c>
      <c>
        <v>33909</v>
      </c>
      <c t="s">
        <v>40888</v>
      </c>
      <c t="s">
        <v>48794</v>
      </c>
      <c t="s">
        <v>61547</v>
      </c>
      <c>
        <v>3830</v>
      </c>
      <c r="AI1150" t="s">
        <v>35407</v>
      </c>
      <c t="s">
        <v>41372</v>
      </c>
      <c r="AL1150" t="s">
        <v>55393</v>
      </c>
      <c r="AN1150" t="s">
        <v>39289</v>
      </c>
      <c t="s">
        <v>286</v>
      </c>
      <c t="s">
        <v>65450</v>
      </c>
      <c t="s">
        <v>3093</v>
      </c>
      <c t="s">
        <v>25419</v>
      </c>
    </row>
    <row>
      <c t="s">
        <v>17594</v>
      </c>
      <c t="s">
        <v>42232</v>
      </c>
      <c t="s">
        <v>11245</v>
      </c>
      <c t="s">
        <v>5877</v>
      </c>
      <c t="s">
        <v>57995</v>
      </c>
      <c s="3">
        <v>42034</v>
      </c>
      <c s="3">
        <v>42034</v>
      </c>
      <c s="3">
        <v>15840</v>
      </c>
      <c>
        <v>0</v>
      </c>
      <c s="3">
        <v>0</v>
      </c>
      <c s="3">
        <v>1092.51</v>
      </c>
      <c s="3">
        <v>42034</v>
      </c>
      <c r="O1151" s="1" t="str">
        <f ca="1">HYPERLINK("https://web.datatree.com/?/property?propertyId=32380059", "https://web.datatree.com/?/property?propertyId=32380059")</f>
        <v>https://web.datatree.com/?/property?propertyId=32380059</v>
      </c>
      <c r="Q1151" t="s">
        <v>316</v>
      </c>
      <c>
        <v>0.611</v>
      </c>
      <c t="s">
        <v>22490</v>
      </c>
      <c t="s">
        <v>9113</v>
      </c>
      <c t="s">
        <v>9940</v>
      </c>
      <c t="s">
        <v>17464</v>
      </c>
      <c t="s">
        <v>9940</v>
      </c>
      <c t="s">
        <v>15735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57962</v>
      </c>
      <c>
        <v>376</v>
      </c>
      <c r="AI1151" t="s">
        <v>62065</v>
      </c>
      <c t="s">
        <v>41372</v>
      </c>
      <c r="AL1151" t="s">
        <v>6241</v>
      </c>
      <c t="s">
        <v>6241</v>
      </c>
      <c t="s">
        <v>65451</v>
      </c>
      <c t="s">
        <v>39294</v>
      </c>
      <c t="s">
        <v>61719</v>
      </c>
      <c t="s">
        <v>3093</v>
      </c>
      <c t="s">
        <v>4081</v>
      </c>
    </row>
    <row>
      <c t="s">
        <v>17594</v>
      </c>
      <c t="s">
        <v>53819</v>
      </c>
      <c t="s">
        <v>46054</v>
      </c>
      <c t="s">
        <v>30687</v>
      </c>
      <c t="s">
        <v>12267</v>
      </c>
      <c s="3">
        <v>17399</v>
      </c>
      <c s="3">
        <v>17399</v>
      </c>
      <c s="3">
        <v>8470</v>
      </c>
      <c>
        <v>0</v>
      </c>
      <c s="3">
        <v>0</v>
      </c>
      <c s="3">
        <v>576.29</v>
      </c>
      <c s="3">
        <v>17399</v>
      </c>
      <c r="O1152" s="1" t="str">
        <f ca="1">HYPERLINK("https://web.datatree.com/?/property?propertyId=32380374", "https://web.datatree.com/?/property?propertyId=32380374")</f>
        <v>https://web.datatree.com/?/property?propertyId=32380374</v>
      </c>
      <c r="Q1152" t="s">
        <v>316</v>
      </c>
      <c>
        <v>0.244</v>
      </c>
      <c t="s">
        <v>6175</v>
      </c>
      <c t="s">
        <v>33213</v>
      </c>
      <c t="s">
        <v>16075</v>
      </c>
      <c r="X1152" t="s">
        <v>44808</v>
      </c>
      <c t="s">
        <v>14534</v>
      </c>
      <c t="s">
        <v>2517</v>
      </c>
      <c t="s">
        <v>39289</v>
      </c>
      <c>
        <v>33909</v>
      </c>
      <c t="s">
        <v>19838</v>
      </c>
      <c t="s">
        <v>48794</v>
      </c>
      <c t="s">
        <v>12565</v>
      </c>
      <c>
        <v>1518</v>
      </c>
      <c r="AI1152" t="s">
        <v>44061</v>
      </c>
      <c t="s">
        <v>45393</v>
      </c>
      <c t="s">
        <v>52250</v>
      </c>
      <c t="s">
        <v>8109</v>
      </c>
      <c r="AN1152" t="s">
        <v>50917</v>
      </c>
      <c t="s">
        <v>61685</v>
      </c>
      <c t="s">
        <v>11138</v>
      </c>
      <c t="s">
        <v>3093</v>
      </c>
      <c t="s">
        <v>66496</v>
      </c>
    </row>
    <row>
      <c t="s">
        <v>17594</v>
      </c>
      <c t="s">
        <v>49128</v>
      </c>
      <c t="s">
        <v>3013</v>
      </c>
      <c t="s">
        <v>1897</v>
      </c>
      <c t="s">
        <v>2444</v>
      </c>
      <c s="3">
        <v>17741</v>
      </c>
      <c s="3">
        <v>17741</v>
      </c>
      <c s="3">
        <v>17741</v>
      </c>
      <c>
        <v>0</v>
      </c>
      <c s="3">
        <v>0</v>
      </c>
      <c s="3">
        <v>407.38</v>
      </c>
      <c s="3">
        <v>17741</v>
      </c>
      <c r="O1153" s="1" t="str">
        <f ca="1">HYPERLINK("https://web.datatree.com/?/property?propertyId=32380495", "https://web.datatree.com/?/property?propertyId=32380495")</f>
        <v>https://web.datatree.com/?/property?propertyId=32380495</v>
      </c>
      <c r="Q1153" t="s">
        <v>316</v>
      </c>
      <c>
        <v>0.23</v>
      </c>
      <c t="s">
        <v>6175</v>
      </c>
      <c t="s">
        <v>53608</v>
      </c>
      <c t="s">
        <v>48933</v>
      </c>
      <c r="X1153" t="s">
        <v>48161</v>
      </c>
      <c t="s">
        <v>18679</v>
      </c>
      <c t="s">
        <v>2517</v>
      </c>
      <c t="s">
        <v>39289</v>
      </c>
      <c>
        <v>33909</v>
      </c>
      <c t="s">
        <v>59001</v>
      </c>
      <c t="s">
        <v>48794</v>
      </c>
      <c t="s">
        <v>13935</v>
      </c>
      <c>
        <v>4392</v>
      </c>
      <c r="AI1153" t="s">
        <v>9600</v>
      </c>
      <c t="s">
        <v>835</v>
      </c>
      <c>
        <v>1</v>
      </c>
      <c t="s">
        <v>59143</v>
      </c>
      <c t="s">
        <v>59143</v>
      </c>
      <c t="s">
        <v>14798</v>
      </c>
      <c t="s">
        <v>6727</v>
      </c>
      <c t="s">
        <v>35508</v>
      </c>
      <c t="s">
        <v>3093</v>
      </c>
      <c t="s">
        <v>35767</v>
      </c>
    </row>
    <row>
      <c t="s">
        <v>17594</v>
      </c>
      <c t="s">
        <v>2119</v>
      </c>
      <c t="s">
        <v>59894</v>
      </c>
      <c t="s">
        <v>56584</v>
      </c>
      <c t="s">
        <v>53192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154" s="1" t="str">
        <f ca="1">HYPERLINK("https://web.datatree.com/?/property?propertyId=32380838", "https://web.datatree.com/?/property?propertyId=32380838")</f>
        <v>https://web.datatree.com/?/property?propertyId=32380838</v>
      </c>
      <c r="Q1154" t="s">
        <v>316</v>
      </c>
      <c>
        <v>0.23</v>
      </c>
      <c t="s">
        <v>6175</v>
      </c>
      <c t="s">
        <v>19454</v>
      </c>
      <c t="s">
        <v>19333</v>
      </c>
      <c t="s">
        <v>32302</v>
      </c>
      <c t="s">
        <v>19333</v>
      </c>
      <c t="s">
        <v>29585</v>
      </c>
      <c t="s">
        <v>15510</v>
      </c>
      <c t="s">
        <v>2517</v>
      </c>
      <c t="s">
        <v>39289</v>
      </c>
      <c>
        <v>33909</v>
      </c>
      <c t="s">
        <v>16385</v>
      </c>
      <c t="s">
        <v>48794</v>
      </c>
      <c t="s">
        <v>20811</v>
      </c>
      <c>
        <v>191</v>
      </c>
      <c r="AI1154" t="s">
        <v>60790</v>
      </c>
      <c t="s">
        <v>24900</v>
      </c>
      <c r="AL1154" t="s">
        <v>38069</v>
      </c>
      <c r="AN1154" t="s">
        <v>26016</v>
      </c>
      <c t="s">
        <v>41662</v>
      </c>
      <c t="s">
        <v>5800</v>
      </c>
      <c t="s">
        <v>3093</v>
      </c>
      <c t="s">
        <v>8425</v>
      </c>
    </row>
    <row>
      <c t="s">
        <v>17594</v>
      </c>
      <c t="s">
        <v>269</v>
      </c>
      <c t="s">
        <v>13116</v>
      </c>
      <c t="s">
        <v>10236</v>
      </c>
      <c t="s">
        <v>43888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1155" s="1" t="str">
        <f ca="1">HYPERLINK("https://web.datatree.com/?/property?propertyId=32382012", "https://web.datatree.com/?/property?propertyId=32382012")</f>
        <v>https://web.datatree.com/?/property?propertyId=32382012</v>
      </c>
      <c r="Q1155" t="s">
        <v>316</v>
      </c>
      <c>
        <v>0.255</v>
      </c>
      <c t="s">
        <v>6175</v>
      </c>
      <c t="s">
        <v>41697</v>
      </c>
      <c t="s">
        <v>3746</v>
      </c>
      <c t="s">
        <v>44392</v>
      </c>
      <c t="s">
        <v>3746</v>
      </c>
      <c t="s">
        <v>20344</v>
      </c>
      <c t="s">
        <v>2626</v>
      </c>
      <c t="s">
        <v>2517</v>
      </c>
      <c t="s">
        <v>39289</v>
      </c>
      <c>
        <v>33909</v>
      </c>
      <c t="s">
        <v>32462</v>
      </c>
      <c t="s">
        <v>48794</v>
      </c>
      <c t="s">
        <v>60614</v>
      </c>
      <c>
        <v>1551</v>
      </c>
      <c r="AI1155" t="s">
        <v>37764</v>
      </c>
      <c t="s">
        <v>1289</v>
      </c>
      <c r="AL1155" t="s">
        <v>65036</v>
      </c>
      <c r="AN1155" t="s">
        <v>65467</v>
      </c>
      <c t="s">
        <v>8985</v>
      </c>
      <c t="s">
        <v>22455</v>
      </c>
      <c t="s">
        <v>3093</v>
      </c>
      <c t="s">
        <v>50414</v>
      </c>
    </row>
    <row>
      <c t="s">
        <v>17594</v>
      </c>
      <c t="s">
        <v>37630</v>
      </c>
      <c t="s">
        <v>65918</v>
      </c>
      <c t="s">
        <v>10923</v>
      </c>
      <c t="s">
        <v>39035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1156" s="1" t="str">
        <f ca="1">HYPERLINK("https://web.datatree.com/?/property?propertyId=32382452", "https://web.datatree.com/?/property?propertyId=32382452")</f>
        <v>https://web.datatree.com/?/property?propertyId=32382452</v>
      </c>
      <c r="Q1156" t="s">
        <v>316</v>
      </c>
      <c>
        <v>0.244</v>
      </c>
      <c t="s">
        <v>6175</v>
      </c>
      <c t="s">
        <v>32587</v>
      </c>
      <c t="s">
        <v>48390</v>
      </c>
      <c r="X1156" t="s">
        <v>50253</v>
      </c>
      <c t="s">
        <v>25017</v>
      </c>
      <c t="s">
        <v>2517</v>
      </c>
      <c t="s">
        <v>39289</v>
      </c>
      <c>
        <v>33909</v>
      </c>
      <c t="s">
        <v>42672</v>
      </c>
      <c t="s">
        <v>48794</v>
      </c>
      <c t="s">
        <v>8385</v>
      </c>
      <c>
        <v>2858</v>
      </c>
      <c r="AI1156" t="s">
        <v>59150</v>
      </c>
      <c t="s">
        <v>24900</v>
      </c>
      <c r="AL1156" t="s">
        <v>21676</v>
      </c>
      <c t="s">
        <v>21676</v>
      </c>
      <c t="s">
        <v>39289</v>
      </c>
      <c t="s">
        <v>40663</v>
      </c>
      <c t="s">
        <v>11138</v>
      </c>
      <c t="s">
        <v>3093</v>
      </c>
      <c t="s">
        <v>53738</v>
      </c>
    </row>
    <row>
      <c t="s">
        <v>17594</v>
      </c>
      <c t="s">
        <v>66984</v>
      </c>
      <c t="s">
        <v>8151</v>
      </c>
      <c t="s">
        <v>57298</v>
      </c>
      <c t="s">
        <v>26376</v>
      </c>
      <c s="3">
        <v>22152</v>
      </c>
      <c s="3">
        <v>22152</v>
      </c>
      <c s="3">
        <v>8800</v>
      </c>
      <c>
        <v>0</v>
      </c>
      <c s="3">
        <v>0</v>
      </c>
      <c s="3">
        <v>588.04</v>
      </c>
      <c s="3">
        <v>22152</v>
      </c>
      <c r="O1157" s="1" t="str">
        <f ca="1">HYPERLINK("https://web.datatree.com/?/property?propertyId=32382673", "https://web.datatree.com/?/property?propertyId=32382673")</f>
        <v>https://web.datatree.com/?/property?propertyId=32382673</v>
      </c>
      <c r="Q1157" t="s">
        <v>316</v>
      </c>
      <c>
        <v>0.244</v>
      </c>
      <c t="s">
        <v>58725</v>
      </c>
      <c t="s">
        <v>36241</v>
      </c>
      <c t="s">
        <v>29286</v>
      </c>
      <c r="X1157" t="s">
        <v>64569</v>
      </c>
      <c t="s">
        <v>57064</v>
      </c>
      <c t="s">
        <v>2517</v>
      </c>
      <c t="s">
        <v>39289</v>
      </c>
      <c>
        <v>33909</v>
      </c>
      <c t="s">
        <v>19189</v>
      </c>
      <c t="s">
        <v>48794</v>
      </c>
      <c t="s">
        <v>32871</v>
      </c>
      <c>
        <v>4</v>
      </c>
      <c r="AI1157" t="s">
        <v>61633</v>
      </c>
      <c r="AL1157" t="s">
        <v>8987</v>
      </c>
      <c t="s">
        <v>8987</v>
      </c>
      <c t="s">
        <v>65467</v>
      </c>
      <c>
        <v>21220</v>
      </c>
      <c r="AR1157" t="s">
        <v>51063</v>
      </c>
    </row>
    <row>
      <c t="s">
        <v>17594</v>
      </c>
      <c t="s">
        <v>56085</v>
      </c>
      <c t="s">
        <v>65706</v>
      </c>
      <c t="s">
        <v>29734</v>
      </c>
      <c t="s">
        <v>3193</v>
      </c>
      <c s="3">
        <v>34005</v>
      </c>
      <c s="3">
        <v>34005</v>
      </c>
      <c s="3">
        <v>9339</v>
      </c>
      <c>
        <v>0</v>
      </c>
      <c s="3">
        <v>0</v>
      </c>
      <c s="3">
        <v>2134.58</v>
      </c>
      <c s="3">
        <v>34005</v>
      </c>
      <c r="O1158" s="1" t="str">
        <f ca="1">HYPERLINK("https://web.datatree.com/?/property?propertyId=32382830", "https://web.datatree.com/?/property?propertyId=32382830")</f>
        <v>https://web.datatree.com/?/property?propertyId=32382830</v>
      </c>
      <c r="Q1158" t="s">
        <v>316</v>
      </c>
      <c>
        <v>0.347</v>
      </c>
      <c t="s">
        <v>42044</v>
      </c>
      <c r="U1158" t="s">
        <v>10580</v>
      </c>
      <c r="W1158" t="s">
        <v>12526</v>
      </c>
      <c t="s">
        <v>58256</v>
      </c>
      <c t="s">
        <v>33179</v>
      </c>
      <c t="s">
        <v>2517</v>
      </c>
      <c t="s">
        <v>39289</v>
      </c>
      <c>
        <v>33909</v>
      </c>
      <c t="s">
        <v>61071</v>
      </c>
      <c t="s">
        <v>48794</v>
      </c>
      <c t="s">
        <v>61402</v>
      </c>
      <c>
        <v>3103</v>
      </c>
      <c r="AI1158" t="s">
        <v>9566</v>
      </c>
      <c t="s">
        <v>31192</v>
      </c>
      <c r="AL1158" t="s">
        <v>10524</v>
      </c>
      <c r="AN1158" t="s">
        <v>49572</v>
      </c>
      <c t="s">
        <v>6029</v>
      </c>
      <c t="s">
        <v>32746</v>
      </c>
      <c t="s">
        <v>3093</v>
      </c>
      <c t="s">
        <v>29429</v>
      </c>
    </row>
    <row>
      <c t="s">
        <v>17594</v>
      </c>
      <c t="s">
        <v>6007</v>
      </c>
      <c t="s">
        <v>47188</v>
      </c>
      <c t="s">
        <v>29565</v>
      </c>
      <c t="s">
        <v>29238</v>
      </c>
      <c s="3">
        <v>49760</v>
      </c>
      <c s="3">
        <v>49760</v>
      </c>
      <c s="3">
        <v>29476</v>
      </c>
      <c>
        <v>0</v>
      </c>
      <c s="3">
        <v>0</v>
      </c>
      <c s="3">
        <v>966.01</v>
      </c>
      <c s="3">
        <v>49760</v>
      </c>
      <c r="O1159" s="1" t="str">
        <f ca="1">HYPERLINK("https://web.datatree.com/?/property?propertyId=32382927", "https://web.datatree.com/?/property?propertyId=32382927")</f>
        <v>https://web.datatree.com/?/property?propertyId=32382927</v>
      </c>
      <c r="Q1159" t="s">
        <v>316</v>
      </c>
      <c>
        <v>0.23</v>
      </c>
      <c t="s">
        <v>14479</v>
      </c>
      <c t="s">
        <v>53572</v>
      </c>
      <c t="s">
        <v>22624</v>
      </c>
      <c r="X1159" t="s">
        <v>38676</v>
      </c>
      <c t="s">
        <v>25017</v>
      </c>
      <c t="s">
        <v>2517</v>
      </c>
      <c t="s">
        <v>39289</v>
      </c>
      <c>
        <v>33909</v>
      </c>
      <c t="s">
        <v>20318</v>
      </c>
      <c t="s">
        <v>48794</v>
      </c>
      <c t="s">
        <v>60982</v>
      </c>
      <c>
        <v>8620</v>
      </c>
      <c r="AI1159" t="s">
        <v>56039</v>
      </c>
      <c t="s">
        <v>4985</v>
      </c>
      <c r="AL1159" t="s">
        <v>34722</v>
      </c>
      <c t="s">
        <v>34722</v>
      </c>
      <c t="s">
        <v>39289</v>
      </c>
      <c t="s">
        <v>10984</v>
      </c>
      <c t="s">
        <v>43294</v>
      </c>
      <c t="s">
        <v>3093</v>
      </c>
      <c t="s">
        <v>32918</v>
      </c>
    </row>
    <row>
      <c t="s">
        <v>17594</v>
      </c>
      <c t="s">
        <v>26410</v>
      </c>
      <c t="s">
        <v>40322</v>
      </c>
      <c t="s">
        <v>18863</v>
      </c>
      <c t="s">
        <v>24615</v>
      </c>
      <c s="3">
        <v>36210</v>
      </c>
      <c s="3">
        <v>36210</v>
      </c>
      <c s="3">
        <v>9339</v>
      </c>
      <c>
        <v>0</v>
      </c>
      <c s="3">
        <v>0</v>
      </c>
      <c s="3">
        <v>692.87</v>
      </c>
      <c s="3">
        <v>36210</v>
      </c>
      <c r="O1160" s="1" t="str">
        <f ca="1">HYPERLINK("https://web.datatree.com/?/property?propertyId=32383177", "https://web.datatree.com/?/property?propertyId=32383177")</f>
        <v>https://web.datatree.com/?/property?propertyId=32383177</v>
      </c>
      <c r="Q1160" t="s">
        <v>316</v>
      </c>
      <c>
        <v>0.255</v>
      </c>
      <c t="s">
        <v>65422</v>
      </c>
      <c t="s">
        <v>3293</v>
      </c>
      <c t="s">
        <v>3552</v>
      </c>
      <c t="s">
        <v>21379</v>
      </c>
      <c t="s">
        <v>3552</v>
      </c>
      <c t="s">
        <v>32518</v>
      </c>
      <c t="s">
        <v>8669</v>
      </c>
      <c t="s">
        <v>2517</v>
      </c>
      <c t="s">
        <v>39289</v>
      </c>
      <c>
        <v>33909</v>
      </c>
      <c t="s">
        <v>7679</v>
      </c>
      <c t="s">
        <v>48794</v>
      </c>
      <c t="s">
        <v>18224</v>
      </c>
      <c>
        <v>22</v>
      </c>
      <c r="AI1160" t="s">
        <v>66176</v>
      </c>
      <c t="s">
        <v>45393</v>
      </c>
      <c r="AL1160" t="s">
        <v>84</v>
      </c>
      <c r="AN1160" t="s">
        <v>14509</v>
      </c>
      <c t="s">
        <v>50319</v>
      </c>
      <c t="s">
        <v>53800</v>
      </c>
      <c t="s">
        <v>3093</v>
      </c>
      <c t="s">
        <v>65260</v>
      </c>
    </row>
    <row>
      <c t="s">
        <v>17594</v>
      </c>
      <c t="s">
        <v>5374</v>
      </c>
      <c t="s">
        <v>12084</v>
      </c>
      <c t="s">
        <v>4093</v>
      </c>
      <c t="s">
        <v>10147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1161" s="1" t="str">
        <f ca="1">HYPERLINK("https://web.datatree.com/?/property?propertyId=32383598", "https://web.datatree.com/?/property?propertyId=32383598")</f>
        <v>https://web.datatree.com/?/property?propertyId=32383598</v>
      </c>
      <c r="Q1161" t="s">
        <v>316</v>
      </c>
      <c>
        <v>0.261</v>
      </c>
      <c t="s">
        <v>5471</v>
      </c>
      <c t="s">
        <v>64470</v>
      </c>
      <c t="s">
        <v>34462</v>
      </c>
      <c r="X1161" t="s">
        <v>57649</v>
      </c>
      <c t="s">
        <v>49407</v>
      </c>
      <c t="s">
        <v>65059</v>
      </c>
      <c t="s">
        <v>39289</v>
      </c>
      <c>
        <v>33905</v>
      </c>
      <c t="s">
        <v>47023</v>
      </c>
      <c t="s">
        <v>48794</v>
      </c>
      <c t="s">
        <v>28847</v>
      </c>
      <c>
        <v>15384</v>
      </c>
      <c r="AI1161" t="s">
        <v>33165</v>
      </c>
      <c r="AL1161" t="s">
        <v>24558</v>
      </c>
      <c r="AN1161" t="s">
        <v>51087</v>
      </c>
      <c>
        <v>23149</v>
      </c>
      <c r="AQ1161" t="s">
        <v>3093</v>
      </c>
      <c t="s">
        <v>66142</v>
      </c>
    </row>
    <row>
      <c t="s">
        <v>17594</v>
      </c>
      <c t="s">
        <v>30197</v>
      </c>
      <c t="s">
        <v>24260</v>
      </c>
      <c t="s">
        <v>65993</v>
      </c>
      <c t="s">
        <v>2184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1162" s="1" t="str">
        <f ca="1">HYPERLINK("https://web.datatree.com/?/property?propertyId=32383721", "https://web.datatree.com/?/property?propertyId=32383721")</f>
        <v>https://web.datatree.com/?/property?propertyId=32383721</v>
      </c>
      <c r="Q1162" t="s">
        <v>316</v>
      </c>
      <c>
        <v>0.23</v>
      </c>
      <c t="s">
        <v>22490</v>
      </c>
      <c t="s">
        <v>16080</v>
      </c>
      <c t="s">
        <v>56217</v>
      </c>
      <c r="X1162" t="s">
        <v>4546</v>
      </c>
      <c t="s">
        <v>2626</v>
      </c>
      <c t="s">
        <v>2517</v>
      </c>
      <c t="s">
        <v>39289</v>
      </c>
      <c>
        <v>33909</v>
      </c>
      <c t="s">
        <v>53751</v>
      </c>
      <c t="s">
        <v>48794</v>
      </c>
      <c t="s">
        <v>56943</v>
      </c>
      <c r="AI1162" t="s">
        <v>31170</v>
      </c>
      <c r="AK1162">
        <v>4490</v>
      </c>
      <c t="s">
        <v>62807</v>
      </c>
      <c r="AN1162" t="s">
        <v>54940</v>
      </c>
      <c r="AR1162" t="s">
        <v>58529</v>
      </c>
    </row>
    <row>
      <c t="s">
        <v>17594</v>
      </c>
      <c t="s">
        <v>64688</v>
      </c>
      <c t="s">
        <v>1321</v>
      </c>
      <c t="s">
        <v>54305</v>
      </c>
      <c t="s">
        <v>41232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1163" s="1" t="str">
        <f ca="1">HYPERLINK("https://web.datatree.com/?/property?propertyId=32383778", "https://web.datatree.com/?/property?propertyId=32383778")</f>
        <v>https://web.datatree.com/?/property?propertyId=32383778</v>
      </c>
      <c r="Q1163" t="s">
        <v>316</v>
      </c>
      <c>
        <v>0.231</v>
      </c>
      <c t="s">
        <v>6175</v>
      </c>
      <c r="U1163" t="s">
        <v>855</v>
      </c>
      <c t="s">
        <v>47165</v>
      </c>
      <c t="s">
        <v>33056</v>
      </c>
      <c t="s">
        <v>66258</v>
      </c>
      <c t="s">
        <v>46469</v>
      </c>
      <c t="s">
        <v>2517</v>
      </c>
      <c t="s">
        <v>39289</v>
      </c>
      <c>
        <v>33909</v>
      </c>
      <c t="s">
        <v>66719</v>
      </c>
      <c t="s">
        <v>48794</v>
      </c>
      <c t="s">
        <v>46991</v>
      </c>
      <c>
        <v>6900</v>
      </c>
      <c r="AI1163" t="s">
        <v>42233</v>
      </c>
      <c t="s">
        <v>31192</v>
      </c>
      <c>
        <v>603</v>
      </c>
      <c t="s">
        <v>38297</v>
      </c>
      <c r="AN1163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57965</v>
      </c>
      <c t="s">
        <v>8364</v>
      </c>
      <c t="s">
        <v>29902</v>
      </c>
      <c t="s">
        <v>5672</v>
      </c>
      <c s="3">
        <v>18361</v>
      </c>
      <c s="3">
        <v>18361</v>
      </c>
      <c s="3">
        <v>9339</v>
      </c>
      <c>
        <v>0</v>
      </c>
      <c s="3">
        <v>0</v>
      </c>
      <c s="3">
        <v>575.99</v>
      </c>
      <c s="3">
        <v>18361</v>
      </c>
      <c r="O1164" s="1" t="str">
        <f ca="1">HYPERLINK("https://web.datatree.com/?/property?propertyId=32384092", "https://web.datatree.com/?/property?propertyId=32384092")</f>
        <v>https://web.datatree.com/?/property?propertyId=32384092</v>
      </c>
      <c r="Q1164" t="s">
        <v>316</v>
      </c>
      <c>
        <v>0.23</v>
      </c>
      <c t="s">
        <v>6175</v>
      </c>
      <c t="s">
        <v>52880</v>
      </c>
      <c t="s">
        <v>42085</v>
      </c>
      <c r="X1164" t="s">
        <v>33294</v>
      </c>
      <c t="s">
        <v>39082</v>
      </c>
      <c t="s">
        <v>2517</v>
      </c>
      <c t="s">
        <v>39289</v>
      </c>
      <c>
        <v>33909</v>
      </c>
      <c t="s">
        <v>40544</v>
      </c>
      <c t="s">
        <v>48794</v>
      </c>
      <c t="s">
        <v>4581</v>
      </c>
      <c>
        <v>20</v>
      </c>
      <c r="AI1164" t="s">
        <v>1325</v>
      </c>
      <c t="s">
        <v>55842</v>
      </c>
      <c r="AL1164" t="s">
        <v>19948</v>
      </c>
      <c r="AN1164" t="s">
        <v>50917</v>
      </c>
      <c t="s">
        <v>8678</v>
      </c>
      <c t="s">
        <v>32746</v>
      </c>
      <c t="s">
        <v>3093</v>
      </c>
      <c t="s">
        <v>25279</v>
      </c>
    </row>
    <row>
      <c t="s">
        <v>17594</v>
      </c>
      <c t="s">
        <v>30351</v>
      </c>
      <c t="s">
        <v>1321</v>
      </c>
      <c t="s">
        <v>12053</v>
      </c>
      <c t="s">
        <v>9307</v>
      </c>
      <c s="3">
        <v>17913</v>
      </c>
      <c s="3">
        <v>17913</v>
      </c>
      <c s="3">
        <v>7865</v>
      </c>
      <c>
        <v>0</v>
      </c>
      <c s="3">
        <v>0</v>
      </c>
      <c s="3">
        <v>492.2</v>
      </c>
      <c s="3">
        <v>17913</v>
      </c>
      <c r="O1165" s="1" t="str">
        <f ca="1">HYPERLINK("https://web.datatree.com/?/property?propertyId=32385035", "https://web.datatree.com/?/property?propertyId=32385035")</f>
        <v>https://web.datatree.com/?/property?propertyId=32385035</v>
      </c>
      <c r="Q1165" t="s">
        <v>316</v>
      </c>
      <c>
        <v>0.236</v>
      </c>
      <c t="s">
        <v>6175</v>
      </c>
      <c t="s">
        <v>12670</v>
      </c>
      <c t="s">
        <v>61512</v>
      </c>
      <c r="X1165" t="s">
        <v>8735</v>
      </c>
      <c t="s">
        <v>61850</v>
      </c>
      <c t="s">
        <v>2517</v>
      </c>
      <c t="s">
        <v>39289</v>
      </c>
      <c>
        <v>33909</v>
      </c>
      <c t="s">
        <v>17498</v>
      </c>
      <c t="s">
        <v>48794</v>
      </c>
      <c t="s">
        <v>32900</v>
      </c>
      <c>
        <v>6900</v>
      </c>
      <c r="AI1165" t="s">
        <v>42233</v>
      </c>
      <c t="s">
        <v>31192</v>
      </c>
      <c>
        <v>603</v>
      </c>
      <c t="s">
        <v>38297</v>
      </c>
      <c r="AN1165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15003</v>
      </c>
      <c t="s">
        <v>7431</v>
      </c>
      <c t="s">
        <v>5058</v>
      </c>
      <c t="s">
        <v>17018</v>
      </c>
      <c s="3">
        <v>2100</v>
      </c>
      <c s="3">
        <v>2100</v>
      </c>
      <c s="3">
        <v>310</v>
      </c>
      <c>
        <v>0</v>
      </c>
      <c s="3">
        <v>0</v>
      </c>
      <c s="3">
        <v>251.7</v>
      </c>
      <c s="3">
        <v>2100</v>
      </c>
      <c r="O1166" s="1" t="str">
        <f ca="1">HYPERLINK("https://web.datatree.com/?/property?propertyId=32385263", "https://web.datatree.com/?/property?propertyId=32385263")</f>
        <v>https://web.datatree.com/?/property?propertyId=32385263</v>
      </c>
      <c r="Q1166" t="s">
        <v>316</v>
      </c>
      <c>
        <v>0.072</v>
      </c>
      <c t="s">
        <v>42044</v>
      </c>
      <c t="s">
        <v>17071</v>
      </c>
      <c t="s">
        <v>52908</v>
      </c>
      <c r="X1166" t="s">
        <v>41743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1029</v>
      </c>
      <c r="AI1166" t="s">
        <v>33335</v>
      </c>
      <c t="s">
        <v>45393</v>
      </c>
      <c r="AL1166" t="s">
        <v>24417</v>
      </c>
      <c t="s">
        <v>24417</v>
      </c>
      <c t="s">
        <v>19878</v>
      </c>
      <c t="s">
        <v>9286</v>
      </c>
      <c t="s">
        <v>38085</v>
      </c>
      <c t="s">
        <v>3093</v>
      </c>
      <c t="s">
        <v>27226</v>
      </c>
    </row>
    <row>
      <c t="s">
        <v>17594</v>
      </c>
      <c t="s">
        <v>66852</v>
      </c>
      <c t="s">
        <v>43882</v>
      </c>
      <c t="s">
        <v>58042</v>
      </c>
      <c t="s">
        <v>7798</v>
      </c>
      <c s="3">
        <v>8195</v>
      </c>
      <c s="3">
        <v>8195</v>
      </c>
      <c s="3">
        <v>4972</v>
      </c>
      <c>
        <v>0</v>
      </c>
      <c s="3">
        <v>0</v>
      </c>
      <c s="3">
        <v>316.66</v>
      </c>
      <c s="3">
        <v>8195</v>
      </c>
      <c r="O1167" s="1" t="str">
        <f ca="1">HYPERLINK("https://web.datatree.com/?/property?propertyId=32385563", "https://web.datatree.com/?/property?propertyId=32385563")</f>
        <v>https://web.datatree.com/?/property?propertyId=32385563</v>
      </c>
      <c r="Q1167" t="s">
        <v>316</v>
      </c>
      <c>
        <v>0.24</v>
      </c>
      <c t="s">
        <v>5471</v>
      </c>
      <c t="s">
        <v>42049</v>
      </c>
      <c t="s">
        <v>51733</v>
      </c>
      <c r="X1167" t="s">
        <v>38809</v>
      </c>
      <c t="s">
        <v>62688</v>
      </c>
      <c t="s">
        <v>65059</v>
      </c>
      <c t="s">
        <v>39289</v>
      </c>
      <c>
        <v>33905</v>
      </c>
      <c t="s">
        <v>64131</v>
      </c>
      <c t="s">
        <v>48794</v>
      </c>
      <c t="s">
        <v>65904</v>
      </c>
      <c>
        <v>4120</v>
      </c>
      <c r="AI1167" t="s">
        <v>5115</v>
      </c>
      <c t="s">
        <v>45393</v>
      </c>
      <c r="AL1167" t="s">
        <v>5488</v>
      </c>
      <c r="AN1167" t="s">
        <v>39289</v>
      </c>
      <c t="s">
        <v>66556</v>
      </c>
      <c t="s">
        <v>38085</v>
      </c>
      <c t="s">
        <v>3093</v>
      </c>
      <c t="s">
        <v>1962</v>
      </c>
    </row>
    <row>
      <c t="s">
        <v>17594</v>
      </c>
      <c t="s">
        <v>50275</v>
      </c>
      <c t="s">
        <v>61861</v>
      </c>
      <c t="s">
        <v>23059</v>
      </c>
      <c t="s">
        <v>2900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1168" s="1" t="str">
        <f ca="1">HYPERLINK("https://web.datatree.com/?/property?propertyId=32385590", "https://web.datatree.com/?/property?propertyId=32385590")</f>
        <v>https://web.datatree.com/?/property?propertyId=32385590</v>
      </c>
      <c r="Q1168" t="s">
        <v>316</v>
      </c>
      <c>
        <v>0.244</v>
      </c>
      <c t="s">
        <v>22490</v>
      </c>
      <c t="s">
        <v>41230</v>
      </c>
      <c t="s">
        <v>62201</v>
      </c>
      <c t="s">
        <v>12173</v>
      </c>
      <c t="s">
        <v>62201</v>
      </c>
      <c t="s">
        <v>43006</v>
      </c>
      <c t="s">
        <v>29190</v>
      </c>
      <c t="s">
        <v>2517</v>
      </c>
      <c t="s">
        <v>39289</v>
      </c>
      <c>
        <v>33909</v>
      </c>
      <c t="s">
        <v>13097</v>
      </c>
      <c t="s">
        <v>48794</v>
      </c>
      <c t="s">
        <v>13431</v>
      </c>
      <c>
        <v>4911</v>
      </c>
      <c r="AI1168" t="s">
        <v>23178</v>
      </c>
      <c t="s">
        <v>24900</v>
      </c>
      <c r="AL1168" t="s">
        <v>55393</v>
      </c>
      <c r="AN1168" t="s">
        <v>39289</v>
      </c>
      <c t="s">
        <v>45398</v>
      </c>
      <c t="s">
        <v>36802</v>
      </c>
      <c t="s">
        <v>3093</v>
      </c>
      <c t="s">
        <v>16641</v>
      </c>
    </row>
    <row>
      <c t="s">
        <v>17594</v>
      </c>
      <c t="s">
        <v>13247</v>
      </c>
      <c t="s">
        <v>46077</v>
      </c>
      <c t="s">
        <v>39699</v>
      </c>
      <c t="s">
        <v>50683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169" s="1" t="str">
        <f ca="1">HYPERLINK("https://web.datatree.com/?/property?propertyId=32385763", "https://web.datatree.com/?/property?propertyId=32385763")</f>
        <v>https://web.datatree.com/?/property?propertyId=32385763</v>
      </c>
      <c r="Q1169" t="s">
        <v>316</v>
      </c>
      <c>
        <v>0.239</v>
      </c>
      <c t="s">
        <v>5471</v>
      </c>
      <c t="s">
        <v>61273</v>
      </c>
      <c t="s">
        <v>35702</v>
      </c>
      <c t="s">
        <v>38445</v>
      </c>
      <c t="s">
        <v>35702</v>
      </c>
      <c t="s">
        <v>25184</v>
      </c>
      <c t="s">
        <v>52508</v>
      </c>
      <c t="s">
        <v>65059</v>
      </c>
      <c t="s">
        <v>39289</v>
      </c>
      <c>
        <v>33905</v>
      </c>
      <c t="s">
        <v>50827</v>
      </c>
      <c t="s">
        <v>48794</v>
      </c>
      <c t="s">
        <v>66682</v>
      </c>
      <c>
        <v>759</v>
      </c>
      <c r="AH1169" t="s">
        <v>12549</v>
      </c>
      <c t="s">
        <v>65398</v>
      </c>
      <c r="AL1169" t="s">
        <v>55937</v>
      </c>
      <c r="AN1169" t="s">
        <v>49572</v>
      </c>
      <c t="s">
        <v>13742</v>
      </c>
      <c t="s">
        <v>52247</v>
      </c>
      <c t="s">
        <v>3093</v>
      </c>
      <c t="s">
        <v>21539</v>
      </c>
    </row>
    <row>
      <c t="s">
        <v>17594</v>
      </c>
      <c t="s">
        <v>43173</v>
      </c>
      <c t="s">
        <v>29967</v>
      </c>
      <c t="s">
        <v>37652</v>
      </c>
      <c t="s">
        <v>27825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>
        <v>2021</v>
      </c>
      <c>
        <v>586.65</v>
      </c>
      <c s="1" t="str">
        <f ca="1">HYPERLINK("https://web.datatree.com/?/property?propertyId=32385961", "https://web.datatree.com/?/property?propertyId=32385961")</f>
        <v>https://web.datatree.com/?/property?propertyId=32385961</v>
      </c>
      <c r="Q1170" t="s">
        <v>316</v>
      </c>
      <c>
        <v>0.244</v>
      </c>
      <c t="s">
        <v>6175</v>
      </c>
      <c t="s">
        <v>52701</v>
      </c>
      <c t="s">
        <v>1898</v>
      </c>
      <c r="X1170" t="s">
        <v>12078</v>
      </c>
      <c t="s">
        <v>61865</v>
      </c>
      <c t="s">
        <v>2517</v>
      </c>
      <c t="s">
        <v>39289</v>
      </c>
      <c>
        <v>33909</v>
      </c>
      <c t="s">
        <v>29380</v>
      </c>
      <c t="s">
        <v>48794</v>
      </c>
      <c t="s">
        <v>62672</v>
      </c>
      <c>
        <v>989</v>
      </c>
      <c r="AI1170" t="s">
        <v>48527</v>
      </c>
      <c t="s">
        <v>45620</v>
      </c>
      <c>
        <v>1303</v>
      </c>
      <c t="s">
        <v>17200</v>
      </c>
      <c r="AN1170" t="s">
        <v>39289</v>
      </c>
      <c t="s">
        <v>60051</v>
      </c>
      <c t="s">
        <v>66797</v>
      </c>
      <c t="s">
        <v>3093</v>
      </c>
      <c t="s">
        <v>39156</v>
      </c>
    </row>
    <row>
      <c t="s">
        <v>17594</v>
      </c>
      <c t="s">
        <v>29932</v>
      </c>
      <c t="s">
        <v>9965</v>
      </c>
      <c t="s">
        <v>36260</v>
      </c>
      <c t="s">
        <v>31379</v>
      </c>
      <c s="3">
        <v>499164</v>
      </c>
      <c s="3">
        <v>499164</v>
      </c>
      <c s="3">
        <v>266200</v>
      </c>
      <c>
        <v>0</v>
      </c>
      <c s="3">
        <v>0</v>
      </c>
      <c s="3">
        <v>4757.4</v>
      </c>
      <c s="3">
        <v>499164</v>
      </c>
      <c r="O1171" s="1" t="str">
        <f ca="1">HYPERLINK("https://web.datatree.com/?/property?propertyId=32386134", "https://web.datatree.com/?/property?propertyId=32386134")</f>
        <v>https://web.datatree.com/?/property?propertyId=32386134</v>
      </c>
      <c r="Q1171" t="s">
        <v>316</v>
      </c>
      <c>
        <v>0.23</v>
      </c>
      <c t="s">
        <v>22490</v>
      </c>
      <c r="U1171" t="s">
        <v>57274</v>
      </c>
      <c t="s">
        <v>3293</v>
      </c>
      <c t="s">
        <v>5550</v>
      </c>
      <c t="s">
        <v>65218</v>
      </c>
      <c t="s">
        <v>33739</v>
      </c>
      <c t="s">
        <v>2517</v>
      </c>
      <c t="s">
        <v>39289</v>
      </c>
      <c>
        <v>33904</v>
      </c>
      <c t="s">
        <v>2295</v>
      </c>
      <c t="s">
        <v>48794</v>
      </c>
      <c t="s">
        <v>53308</v>
      </c>
      <c>
        <v>830</v>
      </c>
      <c r="AI1171" t="s">
        <v>54797</v>
      </c>
      <c t="s">
        <v>31192</v>
      </c>
      <c r="AL1171" t="s">
        <v>10584</v>
      </c>
      <c t="s">
        <v>10584</v>
      </c>
      <c t="s">
        <v>19878</v>
      </c>
      <c t="s">
        <v>6695</v>
      </c>
      <c t="s">
        <v>4480</v>
      </c>
      <c t="s">
        <v>3093</v>
      </c>
      <c t="s">
        <v>5685</v>
      </c>
    </row>
    <row>
      <c t="s">
        <v>17594</v>
      </c>
      <c t="s">
        <v>6245</v>
      </c>
      <c t="s">
        <v>41120</v>
      </c>
      <c t="s">
        <v>21098</v>
      </c>
      <c t="s">
        <v>20504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172" s="1" t="str">
        <f ca="1">HYPERLINK("https://web.datatree.com/?/property?propertyId=32386293", "https://web.datatree.com/?/property?propertyId=32386293")</f>
        <v>https://web.datatree.com/?/property?propertyId=32386293</v>
      </c>
      <c r="Q1172" t="s">
        <v>316</v>
      </c>
      <c>
        <v>0.23</v>
      </c>
      <c t="s">
        <v>22490</v>
      </c>
      <c t="s">
        <v>58276</v>
      </c>
      <c t="s">
        <v>17563</v>
      </c>
      <c t="s">
        <v>24692</v>
      </c>
      <c t="s">
        <v>17563</v>
      </c>
      <c t="s">
        <v>21608</v>
      </c>
      <c t="s">
        <v>49674</v>
      </c>
      <c t="s">
        <v>2517</v>
      </c>
      <c t="s">
        <v>39289</v>
      </c>
      <c>
        <v>33909</v>
      </c>
      <c t="s">
        <v>28565</v>
      </c>
      <c t="s">
        <v>48794</v>
      </c>
      <c t="s">
        <v>59154</v>
      </c>
      <c>
        <v>400</v>
      </c>
      <c r="AI1172" t="s">
        <v>31692</v>
      </c>
      <c t="s">
        <v>45620</v>
      </c>
      <c r="AL1172" t="s">
        <v>31427</v>
      </c>
      <c r="AN1172" t="s">
        <v>50917</v>
      </c>
      <c t="s">
        <v>16015</v>
      </c>
      <c t="s">
        <v>36638</v>
      </c>
      <c t="s">
        <v>3093</v>
      </c>
      <c t="s">
        <v>13279</v>
      </c>
    </row>
    <row>
      <c t="s">
        <v>17594</v>
      </c>
      <c t="s">
        <v>51800</v>
      </c>
      <c t="s">
        <v>11499</v>
      </c>
      <c t="s">
        <v>60283</v>
      </c>
      <c t="s">
        <v>57172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527.13</v>
      </c>
      <c s="1" t="str">
        <f ca="1">HYPERLINK("https://web.datatree.com/?/property?propertyId=32387478", "https://web.datatree.com/?/property?propertyId=32387478")</f>
        <v>https://web.datatree.com/?/property?propertyId=32387478</v>
      </c>
      <c r="Q1173" t="s">
        <v>316</v>
      </c>
      <c>
        <v>0.23</v>
      </c>
      <c t="s">
        <v>6175</v>
      </c>
      <c r="U1173" t="s">
        <v>27177</v>
      </c>
      <c r="W1173" t="s">
        <v>37823</v>
      </c>
      <c t="s">
        <v>34772</v>
      </c>
      <c t="s">
        <v>29190</v>
      </c>
      <c t="s">
        <v>2517</v>
      </c>
      <c t="s">
        <v>39289</v>
      </c>
      <c>
        <v>33909</v>
      </c>
      <c t="s">
        <v>56020</v>
      </c>
      <c t="s">
        <v>48794</v>
      </c>
      <c t="s">
        <v>64367</v>
      </c>
      <c>
        <v>163</v>
      </c>
      <c r="AI1173" t="s">
        <v>23045</v>
      </c>
      <c t="s">
        <v>1671</v>
      </c>
      <c>
        <v>313</v>
      </c>
      <c t="s">
        <v>39506</v>
      </c>
      <c t="s">
        <v>40616</v>
      </c>
      <c t="s">
        <v>50917</v>
      </c>
      <c t="s">
        <v>27985</v>
      </c>
      <c t="s">
        <v>60160</v>
      </c>
      <c t="s">
        <v>3093</v>
      </c>
      <c t="s">
        <v>54143</v>
      </c>
    </row>
    <row>
      <c t="s">
        <v>17594</v>
      </c>
      <c t="s">
        <v>23426</v>
      </c>
      <c t="s">
        <v>56765</v>
      </c>
      <c t="s">
        <v>10231</v>
      </c>
      <c t="s">
        <v>823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2019</v>
      </c>
      <c>
        <v>5398.89</v>
      </c>
      <c s="1" t="str">
        <f ca="1">HYPERLINK("https://web.datatree.com/?/property?propertyId=32387525", "https://web.datatree.com/?/property?propertyId=32387525")</f>
        <v>https://web.datatree.com/?/property?propertyId=32387525</v>
      </c>
      <c r="Q1174" t="s">
        <v>316</v>
      </c>
      <c>
        <v>0.23</v>
      </c>
      <c t="s">
        <v>22490</v>
      </c>
      <c t="s">
        <v>44541</v>
      </c>
      <c t="s">
        <v>5790</v>
      </c>
      <c t="s">
        <v>47119</v>
      </c>
      <c t="s">
        <v>5790</v>
      </c>
      <c t="s">
        <v>52476</v>
      </c>
      <c t="s">
        <v>53663</v>
      </c>
      <c t="s">
        <v>2517</v>
      </c>
      <c t="s">
        <v>39289</v>
      </c>
      <c>
        <v>33909</v>
      </c>
      <c t="s">
        <v>23117</v>
      </c>
      <c t="s">
        <v>48794</v>
      </c>
      <c t="s">
        <v>58590</v>
      </c>
      <c>
        <v>32421</v>
      </c>
      <c r="AI1174" t="s">
        <v>28994</v>
      </c>
      <c t="s">
        <v>45393</v>
      </c>
      <c r="AL1174" t="s">
        <v>31249</v>
      </c>
      <c r="AN1174" t="s">
        <v>51137</v>
      </c>
      <c t="s">
        <v>55731</v>
      </c>
      <c t="s">
        <v>40826</v>
      </c>
      <c t="s">
        <v>3093</v>
      </c>
      <c t="s">
        <v>42422</v>
      </c>
    </row>
    <row>
      <c t="s">
        <v>17594</v>
      </c>
      <c t="s">
        <v>28570</v>
      </c>
      <c t="s">
        <v>20769</v>
      </c>
      <c t="s">
        <v>10317</v>
      </c>
      <c t="s">
        <v>25684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175" s="1" t="str">
        <f ca="1">HYPERLINK("https://web.datatree.com/?/property?propertyId=32387757", "https://web.datatree.com/?/property?propertyId=32387757")</f>
        <v>https://web.datatree.com/?/property?propertyId=32387757</v>
      </c>
      <c r="Q1175" t="s">
        <v>316</v>
      </c>
      <c>
        <v>0.238</v>
      </c>
      <c t="s">
        <v>5471</v>
      </c>
      <c t="s">
        <v>30490</v>
      </c>
      <c t="s">
        <v>13679</v>
      </c>
      <c t="s">
        <v>59605</v>
      </c>
      <c t="s">
        <v>13679</v>
      </c>
      <c t="s">
        <v>36036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27674</v>
      </c>
      <c>
        <v>5947</v>
      </c>
      <c r="AI1175" t="s">
        <v>9753</v>
      </c>
      <c t="s">
        <v>24900</v>
      </c>
      <c r="AL1175" t="s">
        <v>22093</v>
      </c>
      <c t="s">
        <v>22093</v>
      </c>
      <c t="s">
        <v>65451</v>
      </c>
      <c>
        <v>95608</v>
      </c>
      <c t="s">
        <v>3364</v>
      </c>
      <c t="s">
        <v>3093</v>
      </c>
      <c t="s">
        <v>6807</v>
      </c>
    </row>
    <row>
      <c t="s">
        <v>17594</v>
      </c>
      <c t="s">
        <v>62908</v>
      </c>
      <c t="s">
        <v>15583</v>
      </c>
      <c t="s">
        <v>13054</v>
      </c>
      <c t="s">
        <v>40110</v>
      </c>
      <c s="3">
        <v>17097</v>
      </c>
      <c s="3">
        <v>17097</v>
      </c>
      <c s="3">
        <v>8470</v>
      </c>
      <c>
        <v>0</v>
      </c>
      <c s="3">
        <v>0</v>
      </c>
      <c s="3">
        <v>557.43</v>
      </c>
      <c s="3">
        <v>17097</v>
      </c>
      <c r="O1176" s="1" t="str">
        <f ca="1">HYPERLINK("https://web.datatree.com/?/property?propertyId=32387762", "https://web.datatree.com/?/property?propertyId=32387762")</f>
        <v>https://web.datatree.com/?/property?propertyId=32387762</v>
      </c>
      <c r="Q1176" t="s">
        <v>316</v>
      </c>
      <c>
        <v>0.244</v>
      </c>
      <c t="s">
        <v>6175</v>
      </c>
      <c t="s">
        <v>39916</v>
      </c>
      <c t="s">
        <v>24062</v>
      </c>
      <c r="X1176" t="s">
        <v>27596</v>
      </c>
      <c t="s">
        <v>30928</v>
      </c>
      <c t="s">
        <v>2517</v>
      </c>
      <c t="s">
        <v>39289</v>
      </c>
      <c>
        <v>33909</v>
      </c>
      <c t="s">
        <v>53041</v>
      </c>
      <c t="s">
        <v>48794</v>
      </c>
      <c t="s">
        <v>420</v>
      </c>
      <c>
        <v>5830</v>
      </c>
      <c r="AI1176" t="s">
        <v>55376</v>
      </c>
      <c t="s">
        <v>24900</v>
      </c>
      <c r="AL1176" t="s">
        <v>18092</v>
      </c>
      <c r="AN1176" t="s">
        <v>39289</v>
      </c>
      <c t="s">
        <v>49211</v>
      </c>
      <c t="s">
        <v>27780</v>
      </c>
      <c t="s">
        <v>3093</v>
      </c>
      <c t="s">
        <v>9332</v>
      </c>
    </row>
    <row>
      <c t="s">
        <v>17594</v>
      </c>
      <c t="s">
        <v>23392</v>
      </c>
      <c t="s">
        <v>13331</v>
      </c>
      <c t="s">
        <v>52981</v>
      </c>
      <c t="s">
        <v>59970</v>
      </c>
      <c s="3">
        <v>71143</v>
      </c>
      <c s="3">
        <v>63500</v>
      </c>
      <c s="3">
        <v>69175</v>
      </c>
      <c>
        <v>0</v>
      </c>
      <c s="3">
        <v>0</v>
      </c>
      <c s="3">
        <v>1051.5</v>
      </c>
      <c s="3">
        <v>71143</v>
      </c>
      <c r="O1177" s="1" t="str">
        <f ca="1">HYPERLINK("https://web.datatree.com/?/property?propertyId=32387794", "https://web.datatree.com/?/property?propertyId=32387794")</f>
        <v>https://web.datatree.com/?/property?propertyId=32387794</v>
      </c>
      <c r="Q1177" t="s">
        <v>316</v>
      </c>
      <c>
        <v>0.095</v>
      </c>
      <c t="s">
        <v>26492</v>
      </c>
      <c t="s">
        <v>50331</v>
      </c>
      <c t="s">
        <v>65458</v>
      </c>
      <c t="s">
        <v>40397</v>
      </c>
      <c t="s">
        <v>65458</v>
      </c>
      <c t="s">
        <v>52585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47162</v>
      </c>
      <c>
        <v>655</v>
      </c>
      <c r="AI1177" t="s">
        <v>29578</v>
      </c>
      <c t="s">
        <v>45620</v>
      </c>
      <c r="AL1177" t="s">
        <v>31702</v>
      </c>
      <c t="s">
        <v>40227</v>
      </c>
      <c t="s">
        <v>50917</v>
      </c>
      <c t="s">
        <v>64419</v>
      </c>
      <c t="s">
        <v>14695</v>
      </c>
      <c t="s">
        <v>3093</v>
      </c>
      <c t="s">
        <v>5794</v>
      </c>
    </row>
    <row>
      <c t="s">
        <v>42103</v>
      </c>
      <c t="s">
        <v>16036</v>
      </c>
      <c t="s">
        <v>59188</v>
      </c>
      <c t="s">
        <v>16405</v>
      </c>
      <c t="s">
        <v>7158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178" s="1" t="str">
        <f ca="1">HYPERLINK("https://web.datatree.com/?/property?propertyId=32388306", "https://web.datatree.com/?/property?propertyId=32388306")</f>
        <v>https://web.datatree.com/?/property?propertyId=32388306</v>
      </c>
      <c r="Q1178" t="s">
        <v>316</v>
      </c>
      <c>
        <v>0.23</v>
      </c>
      <c t="s">
        <v>6175</v>
      </c>
      <c t="s">
        <v>63877</v>
      </c>
      <c t="s">
        <v>14637</v>
      </c>
      <c r="X1178" t="s">
        <v>64103</v>
      </c>
      <c t="s">
        <v>23517</v>
      </c>
      <c t="s">
        <v>2517</v>
      </c>
      <c t="s">
        <v>39289</v>
      </c>
      <c>
        <v>33909</v>
      </c>
      <c t="s">
        <v>63841</v>
      </c>
      <c t="s">
        <v>48794</v>
      </c>
      <c t="s">
        <v>52193</v>
      </c>
      <c r="AI1178" t="s">
        <v>13691</v>
      </c>
      <c r="AK1178">
        <v>18</v>
      </c>
      <c t="s">
        <v>40690</v>
      </c>
      <c r="AN1178" t="s">
        <v>9533</v>
      </c>
      <c t="s">
        <v>46871</v>
      </c>
      <c t="s">
        <v>57762</v>
      </c>
      <c t="s">
        <v>3093</v>
      </c>
      <c t="s">
        <v>21155</v>
      </c>
    </row>
    <row>
      <c t="s">
        <v>17594</v>
      </c>
      <c t="s">
        <v>63163</v>
      </c>
      <c t="s">
        <v>15240</v>
      </c>
      <c t="s">
        <v>14334</v>
      </c>
      <c t="s">
        <v>21042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179" s="1" t="str">
        <f ca="1">HYPERLINK("https://web.datatree.com/?/property?propertyId=32388762", "https://web.datatree.com/?/property?propertyId=32388762")</f>
        <v>https://web.datatree.com/?/property?propertyId=32388762</v>
      </c>
      <c r="Q1179" t="s">
        <v>316</v>
      </c>
      <c>
        <v>0.23</v>
      </c>
      <c t="s">
        <v>22490</v>
      </c>
      <c t="s">
        <v>981</v>
      </c>
      <c t="s">
        <v>8741</v>
      </c>
      <c t="s">
        <v>41437</v>
      </c>
      <c t="s">
        <v>8741</v>
      </c>
      <c t="s">
        <v>16643</v>
      </c>
      <c t="s">
        <v>49674</v>
      </c>
      <c t="s">
        <v>2517</v>
      </c>
      <c t="s">
        <v>39289</v>
      </c>
      <c>
        <v>33909</v>
      </c>
      <c t="s">
        <v>20606</v>
      </c>
      <c t="s">
        <v>48794</v>
      </c>
      <c t="s">
        <v>9258</v>
      </c>
      <c>
        <v>50</v>
      </c>
      <c r="AI1179" t="s">
        <v>60746</v>
      </c>
      <c r="AL1179" t="s">
        <v>54750</v>
      </c>
      <c t="s">
        <v>54750</v>
      </c>
      <c t="s">
        <v>18236</v>
      </c>
      <c>
        <v>77630</v>
      </c>
      <c r="AR1179" t="s">
        <v>55458</v>
      </c>
    </row>
    <row>
      <c t="s">
        <v>17594</v>
      </c>
      <c t="s">
        <v>63655</v>
      </c>
      <c t="s">
        <v>26808</v>
      </c>
      <c t="s">
        <v>25113</v>
      </c>
      <c t="s">
        <v>29199</v>
      </c>
      <c s="3">
        <v>8100</v>
      </c>
      <c s="3">
        <v>8100</v>
      </c>
      <c s="3">
        <v>8100</v>
      </c>
      <c>
        <v>0</v>
      </c>
      <c s="3">
        <v>0</v>
      </c>
      <c s="3">
        <v>608.62</v>
      </c>
      <c s="3">
        <v>8100</v>
      </c>
      <c>
        <v>2021</v>
      </c>
      <c>
        <v>493.51</v>
      </c>
      <c s="1" t="str">
        <f ca="1">HYPERLINK("https://web.datatree.com/?/property?propertyId=32388901", "https://web.datatree.com/?/property?propertyId=32388901")</f>
        <v>https://web.datatree.com/?/property?propertyId=32388901</v>
      </c>
      <c r="Q1180" t="s">
        <v>316</v>
      </c>
      <c>
        <v>0.23</v>
      </c>
      <c t="s">
        <v>6175</v>
      </c>
      <c t="s">
        <v>40380</v>
      </c>
      <c t="s">
        <v>46201</v>
      </c>
      <c r="X1180" t="s">
        <v>30542</v>
      </c>
      <c t="s">
        <v>13829</v>
      </c>
      <c t="s">
        <v>2517</v>
      </c>
      <c t="s">
        <v>39289</v>
      </c>
      <c>
        <v>33909</v>
      </c>
      <c t="s">
        <v>56545</v>
      </c>
      <c t="s">
        <v>48794</v>
      </c>
      <c t="s">
        <v>3728</v>
      </c>
      <c>
        <v>7421</v>
      </c>
      <c r="AI1180" t="s">
        <v>18719</v>
      </c>
      <c t="s">
        <v>45393</v>
      </c>
      <c r="AL1180" t="s">
        <v>21676</v>
      </c>
      <c t="s">
        <v>21676</v>
      </c>
      <c t="s">
        <v>39289</v>
      </c>
      <c t="s">
        <v>38250</v>
      </c>
      <c t="s">
        <v>31626</v>
      </c>
      <c t="s">
        <v>3093</v>
      </c>
      <c t="s">
        <v>51648</v>
      </c>
    </row>
    <row>
      <c t="s">
        <v>17594</v>
      </c>
      <c t="s">
        <v>24529</v>
      </c>
      <c t="s">
        <v>40967</v>
      </c>
      <c t="s">
        <v>10581</v>
      </c>
      <c t="s">
        <v>5026</v>
      </c>
      <c s="3">
        <v>22115</v>
      </c>
      <c s="3">
        <v>22115</v>
      </c>
      <c s="3">
        <v>22115</v>
      </c>
      <c>
        <v>0</v>
      </c>
      <c s="3">
        <v>0</v>
      </c>
      <c s="3">
        <v>723.79</v>
      </c>
      <c s="3">
        <v>22115</v>
      </c>
      <c r="O1181" s="1" t="str">
        <f ca="1">HYPERLINK("https://web.datatree.com/?/property?propertyId=32389245", "https://web.datatree.com/?/property?propertyId=32389245")</f>
        <v>https://web.datatree.com/?/property?propertyId=32389245</v>
      </c>
      <c r="Q1181" t="s">
        <v>316</v>
      </c>
      <c>
        <v>0.23</v>
      </c>
      <c t="s">
        <v>22490</v>
      </c>
      <c t="s">
        <v>53354</v>
      </c>
      <c t="s">
        <v>17399</v>
      </c>
      <c r="X1181" t="s">
        <v>8928</v>
      </c>
      <c t="s">
        <v>52171</v>
      </c>
      <c t="s">
        <v>2517</v>
      </c>
      <c t="s">
        <v>39289</v>
      </c>
      <c>
        <v>33909</v>
      </c>
      <c t="s">
        <v>8662</v>
      </c>
      <c t="s">
        <v>48794</v>
      </c>
      <c t="s">
        <v>4003</v>
      </c>
      <c>
        <v>2329</v>
      </c>
      <c r="AI1181" t="s">
        <v>33179</v>
      </c>
      <c t="s">
        <v>45393</v>
      </c>
      <c r="AL1181" t="s">
        <v>18475</v>
      </c>
      <c t="s">
        <v>18475</v>
      </c>
      <c t="s">
        <v>22275</v>
      </c>
      <c t="s">
        <v>40774</v>
      </c>
      <c t="s">
        <v>39566</v>
      </c>
      <c t="s">
        <v>3093</v>
      </c>
      <c t="s">
        <v>27434</v>
      </c>
    </row>
    <row>
      <c t="s">
        <v>17594</v>
      </c>
      <c t="s">
        <v>43090</v>
      </c>
      <c t="s">
        <v>64599</v>
      </c>
      <c t="s">
        <v>64299</v>
      </c>
      <c t="s">
        <v>34325</v>
      </c>
      <c s="3">
        <v>23310</v>
      </c>
      <c s="3">
        <v>23310</v>
      </c>
      <c s="3">
        <v>10467</v>
      </c>
      <c>
        <v>0</v>
      </c>
      <c s="3">
        <v>0</v>
      </c>
      <c s="3">
        <v>898.73</v>
      </c>
      <c s="3">
        <v>23310</v>
      </c>
      <c r="O1182" s="1" t="str">
        <f ca="1">HYPERLINK("https://web.datatree.com/?/property?propertyId=32389476", "https://web.datatree.com/?/property?propertyId=32389476")</f>
        <v>https://web.datatree.com/?/property?propertyId=32389476</v>
      </c>
      <c r="Q1182" t="s">
        <v>316</v>
      </c>
      <c>
        <v>0.344</v>
      </c>
      <c t="s">
        <v>42044</v>
      </c>
      <c t="s">
        <v>56575</v>
      </c>
      <c t="s">
        <v>57569</v>
      </c>
      <c r="W1182" t="s">
        <v>21555</v>
      </c>
      <c t="s">
        <v>310</v>
      </c>
      <c t="s">
        <v>39777</v>
      </c>
      <c t="s">
        <v>2517</v>
      </c>
      <c t="s">
        <v>39289</v>
      </c>
      <c>
        <v>33909</v>
      </c>
      <c t="s">
        <v>66466</v>
      </c>
      <c t="s">
        <v>48794</v>
      </c>
      <c t="s">
        <v>37455</v>
      </c>
      <c>
        <v>10793</v>
      </c>
      <c r="AI1182" t="s">
        <v>2916</v>
      </c>
      <c t="s">
        <v>45393</v>
      </c>
      <c r="AL1182" t="s">
        <v>9277</v>
      </c>
      <c t="s">
        <v>9277</v>
      </c>
      <c t="s">
        <v>14798</v>
      </c>
      <c t="s">
        <v>24612</v>
      </c>
      <c t="s">
        <v>7207</v>
      </c>
      <c t="s">
        <v>3093</v>
      </c>
      <c t="s">
        <v>33753</v>
      </c>
    </row>
    <row>
      <c t="s">
        <v>17594</v>
      </c>
      <c t="s">
        <v>32858</v>
      </c>
      <c t="s">
        <v>1321</v>
      </c>
      <c t="s">
        <v>53186</v>
      </c>
      <c t="s">
        <v>63156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1183" s="1" t="str">
        <f ca="1">HYPERLINK("https://web.datatree.com/?/property?propertyId=32389615", "https://web.datatree.com/?/property?propertyId=32389615")</f>
        <v>https://web.datatree.com/?/property?propertyId=32389615</v>
      </c>
      <c r="Q1183" t="s">
        <v>316</v>
      </c>
      <c>
        <v>0.23</v>
      </c>
      <c t="s">
        <v>22490</v>
      </c>
      <c t="s">
        <v>52880</v>
      </c>
      <c t="s">
        <v>22003</v>
      </c>
      <c r="W1183" t="s">
        <v>855</v>
      </c>
      <c t="s">
        <v>24726</v>
      </c>
      <c t="s">
        <v>46469</v>
      </c>
      <c t="s">
        <v>2517</v>
      </c>
      <c t="s">
        <v>39289</v>
      </c>
      <c>
        <v>33909</v>
      </c>
      <c t="s">
        <v>40091</v>
      </c>
      <c t="s">
        <v>48794</v>
      </c>
      <c t="s">
        <v>858</v>
      </c>
      <c>
        <v>6900</v>
      </c>
      <c r="AI1183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54432</v>
      </c>
      <c t="s">
        <v>14953</v>
      </c>
      <c t="s">
        <v>37731</v>
      </c>
      <c t="s">
        <v>17798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1184" s="1" t="str">
        <f ca="1">HYPERLINK("https://web.datatree.com/?/property?propertyId=32389839", "https://web.datatree.com/?/property?propertyId=32389839")</f>
        <v>https://web.datatree.com/?/property?propertyId=32389839</v>
      </c>
      <c r="Q1184" t="s">
        <v>316</v>
      </c>
      <c>
        <v>0.246</v>
      </c>
      <c t="s">
        <v>22490</v>
      </c>
      <c t="s">
        <v>11714</v>
      </c>
      <c t="s">
        <v>2136</v>
      </c>
      <c r="X1184" t="s">
        <v>21211</v>
      </c>
      <c t="s">
        <v>41506</v>
      </c>
      <c t="s">
        <v>2517</v>
      </c>
      <c t="s">
        <v>39289</v>
      </c>
      <c>
        <v>33909</v>
      </c>
      <c t="s">
        <v>19783</v>
      </c>
      <c t="s">
        <v>48794</v>
      </c>
      <c t="s">
        <v>5606</v>
      </c>
      <c>
        <v>69</v>
      </c>
      <c r="AI1184" t="s">
        <v>62216</v>
      </c>
      <c r="AL1184" t="s">
        <v>24819</v>
      </c>
      <c r="AN1184" t="s">
        <v>63985</v>
      </c>
      <c>
        <v>66292</v>
      </c>
      <c r="AR1184" t="s">
        <v>41785</v>
      </c>
    </row>
    <row>
      <c t="s">
        <v>17594</v>
      </c>
      <c t="s">
        <v>8025</v>
      </c>
      <c t="s">
        <v>61287</v>
      </c>
      <c t="s">
        <v>12628</v>
      </c>
      <c t="s">
        <v>29022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185" s="1" t="str">
        <f ca="1">HYPERLINK("https://web.datatree.com/?/property?propertyId=32390368", "https://web.datatree.com/?/property?propertyId=32390368")</f>
        <v>https://web.datatree.com/?/property?propertyId=32390368</v>
      </c>
      <c r="Q1185" t="s">
        <v>316</v>
      </c>
      <c>
        <v>0.23</v>
      </c>
      <c t="s">
        <v>6175</v>
      </c>
      <c r="U1185" t="s">
        <v>46404</v>
      </c>
      <c r="W1185" t="s">
        <v>45879</v>
      </c>
      <c t="s">
        <v>64565</v>
      </c>
      <c t="s">
        <v>25017</v>
      </c>
      <c t="s">
        <v>2517</v>
      </c>
      <c t="s">
        <v>39289</v>
      </c>
      <c>
        <v>33909</v>
      </c>
      <c t="s">
        <v>4057</v>
      </c>
      <c t="s">
        <v>48794</v>
      </c>
      <c t="s">
        <v>63887</v>
      </c>
      <c>
        <v>7575</v>
      </c>
      <c r="AI1185" t="s">
        <v>21149</v>
      </c>
      <c t="s">
        <v>4985</v>
      </c>
      <c>
        <v>603</v>
      </c>
      <c t="s">
        <v>11713</v>
      </c>
      <c t="s">
        <v>21149</v>
      </c>
      <c t="s">
        <v>39289</v>
      </c>
      <c t="s">
        <v>40516</v>
      </c>
      <c t="s">
        <v>27780</v>
      </c>
      <c t="s">
        <v>3093</v>
      </c>
      <c t="s">
        <v>53368</v>
      </c>
    </row>
    <row>
      <c t="s">
        <v>17594</v>
      </c>
      <c t="s">
        <v>66838</v>
      </c>
      <c t="s">
        <v>58126</v>
      </c>
      <c t="s">
        <v>11528</v>
      </c>
      <c t="s">
        <v>66976</v>
      </c>
      <c s="3">
        <v>39239</v>
      </c>
      <c s="3">
        <v>38203</v>
      </c>
      <c s="3">
        <v>26440</v>
      </c>
      <c>
        <v>0</v>
      </c>
      <c s="3">
        <v>0</v>
      </c>
      <c s="3">
        <v>465.23</v>
      </c>
      <c s="3">
        <v>39239</v>
      </c>
      <c r="O1186" s="1" t="str">
        <f ca="1">HYPERLINK("https://web.datatree.com/?/property?propertyId=32390550", "https://web.datatree.com/?/property?propertyId=32390550")</f>
        <v>https://web.datatree.com/?/property?propertyId=32390550</v>
      </c>
      <c>
        <v>256</v>
      </c>
      <c t="s">
        <v>316</v>
      </c>
      <c>
        <v>0.05</v>
      </c>
      <c t="s">
        <v>54329</v>
      </c>
      <c t="s">
        <v>54873</v>
      </c>
      <c t="s">
        <v>37619</v>
      </c>
      <c t="s">
        <v>27351</v>
      </c>
      <c t="s">
        <v>37619</v>
      </c>
      <c t="s">
        <v>50168</v>
      </c>
      <c t="s">
        <v>6907</v>
      </c>
      <c t="s">
        <v>54524</v>
      </c>
      <c t="s">
        <v>39289</v>
      </c>
      <c>
        <v>33903</v>
      </c>
      <c t="s">
        <v>13227</v>
      </c>
      <c t="s">
        <v>48794</v>
      </c>
      <c t="s">
        <v>1750</v>
      </c>
      <c>
        <v>3846</v>
      </c>
      <c r="AI1186" t="s">
        <v>27795</v>
      </c>
      <c t="s">
        <v>45620</v>
      </c>
      <c r="AL1186" t="s">
        <v>55937</v>
      </c>
      <c t="s">
        <v>65059</v>
      </c>
      <c t="s">
        <v>3034</v>
      </c>
      <c t="s">
        <v>66969</v>
      </c>
      <c t="s">
        <v>37948</v>
      </c>
      <c t="s">
        <v>3093</v>
      </c>
      <c t="s">
        <v>43259</v>
      </c>
      <c>
        <v>1991</v>
      </c>
    </row>
    <row>
      <c t="s">
        <v>17594</v>
      </c>
      <c t="s">
        <v>25535</v>
      </c>
      <c t="s">
        <v>35123</v>
      </c>
      <c t="s">
        <v>37184</v>
      </c>
      <c t="s">
        <v>14735</v>
      </c>
      <c s="3">
        <v>81156</v>
      </c>
      <c s="3">
        <v>81156</v>
      </c>
      <c s="3">
        <v>74393</v>
      </c>
      <c>
        <v>0</v>
      </c>
      <c s="3">
        <v>0</v>
      </c>
      <c s="3">
        <v>1151.38</v>
      </c>
      <c s="3">
        <v>81156</v>
      </c>
      <c>
        <v>2021</v>
      </c>
      <c>
        <v>1219.61</v>
      </c>
      <c s="1" t="str">
        <f ca="1">HYPERLINK("https://web.datatree.com/?/property?propertyId=32390867", "https://web.datatree.com/?/property?propertyId=32390867")</f>
        <v>https://web.datatree.com/?/property?propertyId=32390867</v>
      </c>
      <c r="Q1187" t="s">
        <v>316</v>
      </c>
      <c>
        <v>1.002</v>
      </c>
      <c t="s">
        <v>30497</v>
      </c>
      <c t="s">
        <v>23807</v>
      </c>
      <c t="s">
        <v>58854</v>
      </c>
      <c r="X1187" t="s">
        <v>4080</v>
      </c>
      <c t="s">
        <v>17607</v>
      </c>
      <c t="s">
        <v>65059</v>
      </c>
      <c t="s">
        <v>39289</v>
      </c>
      <c>
        <v>33905</v>
      </c>
      <c t="s">
        <v>60785</v>
      </c>
      <c t="s">
        <v>48794</v>
      </c>
      <c t="s">
        <v>30362</v>
      </c>
      <c>
        <v>3825</v>
      </c>
      <c r="AI1187" t="s">
        <v>54608</v>
      </c>
      <c t="s">
        <v>31192</v>
      </c>
      <c r="AL1187" t="s">
        <v>11121</v>
      </c>
      <c t="s">
        <v>11121</v>
      </c>
      <c t="s">
        <v>9387</v>
      </c>
      <c t="s">
        <v>41935</v>
      </c>
      <c t="s">
        <v>44428</v>
      </c>
      <c t="s">
        <v>3093</v>
      </c>
      <c t="s">
        <v>48313</v>
      </c>
    </row>
    <row>
      <c t="s">
        <v>17594</v>
      </c>
      <c t="s">
        <v>22969</v>
      </c>
      <c t="s">
        <v>1321</v>
      </c>
      <c t="s">
        <v>14156</v>
      </c>
      <c t="s">
        <v>25335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1188" s="1" t="str">
        <f ca="1">HYPERLINK("https://web.datatree.com/?/property?propertyId=32391558", "https://web.datatree.com/?/property?propertyId=32391558")</f>
        <v>https://web.datatree.com/?/property?propertyId=32391558</v>
      </c>
      <c r="Q1188" t="s">
        <v>316</v>
      </c>
      <c>
        <v>0.241</v>
      </c>
      <c t="s">
        <v>6175</v>
      </c>
      <c r="U1188" t="s">
        <v>855</v>
      </c>
      <c t="s">
        <v>16080</v>
      </c>
      <c t="s">
        <v>66361</v>
      </c>
      <c t="s">
        <v>10568</v>
      </c>
      <c t="s">
        <v>38550</v>
      </c>
      <c t="s">
        <v>2517</v>
      </c>
      <c t="s">
        <v>39289</v>
      </c>
      <c>
        <v>33909</v>
      </c>
      <c t="s">
        <v>56184</v>
      </c>
      <c t="s">
        <v>48794</v>
      </c>
      <c t="s">
        <v>30944</v>
      </c>
      <c>
        <v>6900</v>
      </c>
      <c r="AI1188" t="s">
        <v>42233</v>
      </c>
      <c t="s">
        <v>31192</v>
      </c>
      <c>
        <v>603</v>
      </c>
      <c t="s">
        <v>38297</v>
      </c>
      <c r="AN1188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2802</v>
      </c>
      <c t="s">
        <v>13296</v>
      </c>
      <c t="s">
        <v>20956</v>
      </c>
      <c t="s">
        <v>48168</v>
      </c>
      <c s="3">
        <v>73500</v>
      </c>
      <c s="3">
        <v>63500</v>
      </c>
      <c s="3">
        <v>71836</v>
      </c>
      <c>
        <v>0</v>
      </c>
      <c s="3">
        <v>0</v>
      </c>
      <c s="3">
        <v>1089.65</v>
      </c>
      <c s="3">
        <v>73500</v>
      </c>
      <c r="O1189" s="1" t="str">
        <f ca="1">HYPERLINK("https://web.datatree.com/?/property?propertyId=32391865", "https://web.datatree.com/?/property?propertyId=32391865")</f>
        <v>https://web.datatree.com/?/property?propertyId=32391865</v>
      </c>
      <c r="Q1189" t="s">
        <v>316</v>
      </c>
      <c>
        <v>0.096</v>
      </c>
      <c t="s">
        <v>26492</v>
      </c>
      <c t="s">
        <v>61517</v>
      </c>
      <c t="s">
        <v>15671</v>
      </c>
      <c r="X1189" t="s">
        <v>2791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59905</v>
      </c>
      <c>
        <v>139</v>
      </c>
      <c r="AI1189" t="s">
        <v>10727</v>
      </c>
      <c t="s">
        <v>45620</v>
      </c>
      <c r="AL1189" t="s">
        <v>23807</v>
      </c>
      <c t="s">
        <v>53339</v>
      </c>
      <c t="s">
        <v>66651</v>
      </c>
      <c t="s">
        <v>67244</v>
      </c>
      <c t="s">
        <v>14695</v>
      </c>
      <c t="s">
        <v>3093</v>
      </c>
      <c t="s">
        <v>33627</v>
      </c>
    </row>
    <row>
      <c t="s">
        <v>17594</v>
      </c>
      <c t="s">
        <v>52007</v>
      </c>
      <c t="s">
        <v>65845</v>
      </c>
      <c t="s">
        <v>5494</v>
      </c>
      <c t="s">
        <v>52732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190" s="1" t="str">
        <f ca="1">HYPERLINK("https://web.datatree.com/?/property?propertyId=32391940", "https://web.datatree.com/?/property?propertyId=32391940")</f>
        <v>https://web.datatree.com/?/property?propertyId=32391940</v>
      </c>
      <c r="Q1190" t="s">
        <v>316</v>
      </c>
      <c>
        <v>0.236</v>
      </c>
      <c t="s">
        <v>6175</v>
      </c>
      <c t="s">
        <v>22046</v>
      </c>
      <c t="s">
        <v>12681</v>
      </c>
      <c r="X1190" t="s">
        <v>63210</v>
      </c>
      <c t="s">
        <v>29190</v>
      </c>
      <c t="s">
        <v>2517</v>
      </c>
      <c t="s">
        <v>39289</v>
      </c>
      <c>
        <v>33909</v>
      </c>
      <c t="s">
        <v>37679</v>
      </c>
      <c t="s">
        <v>48794</v>
      </c>
      <c t="s">
        <v>36378</v>
      </c>
      <c>
        <v>860</v>
      </c>
      <c r="AI1190" t="s">
        <v>8733</v>
      </c>
      <c t="s">
        <v>45620</v>
      </c>
      <c r="AL1190" t="s">
        <v>1016</v>
      </c>
      <c r="AN1190" t="s">
        <v>22275</v>
      </c>
      <c t="s">
        <v>62155</v>
      </c>
      <c t="s">
        <v>22455</v>
      </c>
      <c t="s">
        <v>3093</v>
      </c>
      <c t="s">
        <v>30010</v>
      </c>
    </row>
    <row>
      <c t="s">
        <v>17594</v>
      </c>
      <c t="s">
        <v>9626</v>
      </c>
      <c t="s">
        <v>34813</v>
      </c>
      <c t="s">
        <v>33447</v>
      </c>
      <c t="s">
        <v>13945</v>
      </c>
      <c s="3">
        <v>22736</v>
      </c>
      <c s="3">
        <v>22736</v>
      </c>
      <c s="3">
        <v>8800</v>
      </c>
      <c>
        <v>0</v>
      </c>
      <c s="3">
        <v>0</v>
      </c>
      <c s="3">
        <v>588.04</v>
      </c>
      <c s="3">
        <v>22736</v>
      </c>
      <c r="O1191" s="1" t="str">
        <f ca="1">HYPERLINK("https://web.datatree.com/?/property?propertyId=32393203", "https://web.datatree.com/?/property?propertyId=32393203")</f>
        <v>https://web.datatree.com/?/property?propertyId=32393203</v>
      </c>
      <c r="Q1191" t="s">
        <v>316</v>
      </c>
      <c>
        <v>0.244</v>
      </c>
      <c t="s">
        <v>22490</v>
      </c>
      <c t="s">
        <v>8762</v>
      </c>
      <c t="s">
        <v>30230</v>
      </c>
      <c r="X1191" t="s">
        <v>33704</v>
      </c>
      <c t="s">
        <v>57064</v>
      </c>
      <c t="s">
        <v>2517</v>
      </c>
      <c t="s">
        <v>39289</v>
      </c>
      <c>
        <v>33909</v>
      </c>
      <c t="s">
        <v>54528</v>
      </c>
      <c t="s">
        <v>48794</v>
      </c>
      <c t="s">
        <v>44330</v>
      </c>
      <c>
        <v>25502</v>
      </c>
      <c r="AI1191" t="s">
        <v>37572</v>
      </c>
      <c t="s">
        <v>41372</v>
      </c>
      <c r="AL1191" t="s">
        <v>64415</v>
      </c>
      <c t="s">
        <v>64415</v>
      </c>
      <c t="s">
        <v>65451</v>
      </c>
      <c t="s">
        <v>25983</v>
      </c>
      <c t="s">
        <v>3228</v>
      </c>
      <c t="s">
        <v>3093</v>
      </c>
      <c t="s">
        <v>1792</v>
      </c>
    </row>
    <row>
      <c t="s">
        <v>17594</v>
      </c>
      <c t="s">
        <v>50648</v>
      </c>
      <c t="s">
        <v>9759</v>
      </c>
      <c t="s">
        <v>10779</v>
      </c>
      <c t="s">
        <v>41899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1192" s="1" t="str">
        <f ca="1">HYPERLINK("https://web.datatree.com/?/property?propertyId=32393277", "https://web.datatree.com/?/property?propertyId=32393277")</f>
        <v>https://web.datatree.com/?/property?propertyId=32393277</v>
      </c>
      <c r="Q1192" t="s">
        <v>316</v>
      </c>
      <c>
        <v>0.23</v>
      </c>
      <c t="s">
        <v>6175</v>
      </c>
      <c t="s">
        <v>254</v>
      </c>
      <c t="s">
        <v>28762</v>
      </c>
      <c r="X1192" t="s">
        <v>34903</v>
      </c>
      <c t="s">
        <v>38550</v>
      </c>
      <c t="s">
        <v>2517</v>
      </c>
      <c t="s">
        <v>39289</v>
      </c>
      <c>
        <v>33909</v>
      </c>
      <c t="s">
        <v>5064</v>
      </c>
      <c t="s">
        <v>48794</v>
      </c>
      <c t="s">
        <v>34799</v>
      </c>
      <c>
        <v>732</v>
      </c>
      <c r="AI1192" t="s">
        <v>28635</v>
      </c>
      <c t="s">
        <v>56275</v>
      </c>
      <c r="AL1192" t="s">
        <v>23286</v>
      </c>
      <c r="AN1192" t="s">
        <v>17331</v>
      </c>
      <c t="s">
        <v>7352</v>
      </c>
      <c t="s">
        <v>44428</v>
      </c>
      <c t="s">
        <v>3093</v>
      </c>
      <c t="s">
        <v>48876</v>
      </c>
    </row>
    <row>
      <c t="s">
        <v>17594</v>
      </c>
      <c t="s">
        <v>67082</v>
      </c>
      <c t="s">
        <v>44666</v>
      </c>
      <c t="s">
        <v>20931</v>
      </c>
      <c t="s">
        <v>66278</v>
      </c>
      <c s="3">
        <v>47295</v>
      </c>
      <c s="3">
        <v>47295</v>
      </c>
      <c s="3">
        <v>9386</v>
      </c>
      <c>
        <v>0</v>
      </c>
      <c s="3">
        <v>0</v>
      </c>
      <c s="3">
        <v>348.83</v>
      </c>
      <c s="3">
        <v>47295</v>
      </c>
      <c r="O1193" s="1" t="str">
        <f ca="1">HYPERLINK("https://web.datatree.com/?/property?propertyId=32393381", "https://web.datatree.com/?/property?propertyId=32393381")</f>
        <v>https://web.datatree.com/?/property?propertyId=32393381</v>
      </c>
      <c r="Q1193" t="s">
        <v>316</v>
      </c>
      <c>
        <v>0.258</v>
      </c>
      <c t="s">
        <v>59618</v>
      </c>
      <c t="s">
        <v>49272</v>
      </c>
      <c t="s">
        <v>30230</v>
      </c>
      <c r="X1193" t="s">
        <v>61363</v>
      </c>
      <c t="s">
        <v>40716</v>
      </c>
      <c t="s">
        <v>2517</v>
      </c>
      <c t="s">
        <v>39289</v>
      </c>
      <c>
        <v>33909</v>
      </c>
      <c t="s">
        <v>25855</v>
      </c>
      <c t="s">
        <v>48794</v>
      </c>
      <c t="s">
        <v>919</v>
      </c>
      <c>
        <v>278</v>
      </c>
      <c r="AI1193" t="s">
        <v>30131</v>
      </c>
      <c t="s">
        <v>31192</v>
      </c>
      <c r="AL1193" t="s">
        <v>4391</v>
      </c>
      <c r="AN1193" t="s">
        <v>10804</v>
      </c>
      <c>
        <v>28792</v>
      </c>
      <c t="s">
        <v>22455</v>
      </c>
      <c t="s">
        <v>3093</v>
      </c>
      <c t="s">
        <v>9132</v>
      </c>
    </row>
    <row>
      <c t="s">
        <v>17594</v>
      </c>
      <c t="s">
        <v>48611</v>
      </c>
      <c t="s">
        <v>42705</v>
      </c>
      <c t="s">
        <v>15643</v>
      </c>
      <c t="s">
        <v>13249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1194" s="1" t="str">
        <f ca="1">HYPERLINK("https://web.datatree.com/?/property?propertyId=32393461", "https://web.datatree.com/?/property?propertyId=32393461")</f>
        <v>https://web.datatree.com/?/property?propertyId=32393461</v>
      </c>
      <c r="Q1194" t="s">
        <v>316</v>
      </c>
      <c>
        <v>0.23</v>
      </c>
      <c t="s">
        <v>22490</v>
      </c>
      <c t="s">
        <v>56498</v>
      </c>
      <c t="s">
        <v>8299</v>
      </c>
      <c t="s">
        <v>30630</v>
      </c>
      <c r="X1194" t="s">
        <v>11804</v>
      </c>
      <c t="s">
        <v>49674</v>
      </c>
      <c t="s">
        <v>2517</v>
      </c>
      <c t="s">
        <v>39289</v>
      </c>
      <c>
        <v>33909</v>
      </c>
      <c t="s">
        <v>20606</v>
      </c>
      <c t="s">
        <v>48794</v>
      </c>
      <c t="s">
        <v>55215</v>
      </c>
      <c>
        <v>5731</v>
      </c>
      <c r="AI1194" t="s">
        <v>33760</v>
      </c>
      <c t="s">
        <v>45393</v>
      </c>
      <c r="AL1194" t="s">
        <v>23828</v>
      </c>
      <c t="s">
        <v>23828</v>
      </c>
      <c t="s">
        <v>39289</v>
      </c>
      <c t="s">
        <v>50279</v>
      </c>
      <c t="s">
        <v>47183</v>
      </c>
      <c t="s">
        <v>3093</v>
      </c>
      <c t="s">
        <v>44224</v>
      </c>
    </row>
    <row>
      <c t="s">
        <v>17594</v>
      </c>
      <c t="s">
        <v>59749</v>
      </c>
      <c t="s">
        <v>15206</v>
      </c>
      <c t="s">
        <v>13700</v>
      </c>
      <c t="s">
        <v>11349</v>
      </c>
      <c s="3">
        <v>79082</v>
      </c>
      <c s="3">
        <v>67250</v>
      </c>
      <c s="3">
        <v>75913</v>
      </c>
      <c>
        <v>0</v>
      </c>
      <c s="3">
        <v>0</v>
      </c>
      <c s="3">
        <v>1159.05</v>
      </c>
      <c s="3">
        <v>79082</v>
      </c>
      <c r="O1195" s="1" t="str">
        <f ca="1">HYPERLINK("https://web.datatree.com/?/property?propertyId=32393642", "https://web.datatree.com/?/property?propertyId=32393642")</f>
        <v>https://web.datatree.com/?/property?propertyId=32393642</v>
      </c>
      <c r="Q1195" t="s">
        <v>316</v>
      </c>
      <c>
        <v>0.097</v>
      </c>
      <c t="s">
        <v>26492</v>
      </c>
      <c t="s">
        <v>8558</v>
      </c>
      <c t="s">
        <v>13752</v>
      </c>
      <c t="s">
        <v>14620</v>
      </c>
      <c t="s">
        <v>13752</v>
      </c>
      <c t="s">
        <v>65832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57606</v>
      </c>
      <c>
        <v>7425</v>
      </c>
      <c r="AH1195" t="s">
        <v>12549</v>
      </c>
      <c>
        <v>300</v>
      </c>
      <c r="AL1195" t="s">
        <v>24689</v>
      </c>
      <c t="s">
        <v>24689</v>
      </c>
      <c t="s">
        <v>49572</v>
      </c>
      <c t="s">
        <v>48133</v>
      </c>
      <c t="s">
        <v>60160</v>
      </c>
      <c t="s">
        <v>3093</v>
      </c>
      <c t="s">
        <v>32262</v>
      </c>
    </row>
    <row>
      <c t="s">
        <v>17594</v>
      </c>
      <c t="s">
        <v>37753</v>
      </c>
      <c t="s">
        <v>45130</v>
      </c>
      <c t="s">
        <v>58128</v>
      </c>
      <c t="s">
        <v>27114</v>
      </c>
      <c s="3">
        <v>8700</v>
      </c>
      <c s="3">
        <v>8700</v>
      </c>
      <c s="3">
        <v>8700</v>
      </c>
      <c>
        <v>0</v>
      </c>
      <c s="3">
        <v>0</v>
      </c>
      <c s="3">
        <v>609.2</v>
      </c>
      <c s="3">
        <v>8700</v>
      </c>
      <c r="O1196" s="1" t="str">
        <f ca="1">HYPERLINK("https://web.datatree.com/?/property?propertyId=32393840", "https://web.datatree.com/?/property?propertyId=32393840")</f>
        <v>https://web.datatree.com/?/property?propertyId=32393840</v>
      </c>
      <c r="Q1196" t="s">
        <v>316</v>
      </c>
      <c>
        <v>0.269</v>
      </c>
      <c t="s">
        <v>6175</v>
      </c>
      <c t="s">
        <v>21670</v>
      </c>
      <c t="s">
        <v>43840</v>
      </c>
      <c r="X1196" t="s">
        <v>27595</v>
      </c>
      <c t="s">
        <v>10653</v>
      </c>
      <c t="s">
        <v>2517</v>
      </c>
      <c t="s">
        <v>39289</v>
      </c>
      <c>
        <v>33909</v>
      </c>
      <c t="s">
        <v>56348</v>
      </c>
      <c t="s">
        <v>48794</v>
      </c>
      <c t="s">
        <v>42964</v>
      </c>
      <c>
        <v>15030</v>
      </c>
      <c r="AI1196" t="s">
        <v>11544</v>
      </c>
      <c t="s">
        <v>1671</v>
      </c>
      <c r="AL1196" t="s">
        <v>11713</v>
      </c>
      <c r="AN1196" t="s">
        <v>39289</v>
      </c>
      <c t="s">
        <v>66878</v>
      </c>
      <c t="s">
        <v>30807</v>
      </c>
      <c t="s">
        <v>3093</v>
      </c>
      <c t="s">
        <v>59441</v>
      </c>
    </row>
    <row>
      <c t="s">
        <v>17594</v>
      </c>
      <c t="s">
        <v>7109</v>
      </c>
      <c t="s">
        <v>55258</v>
      </c>
      <c t="s">
        <v>42143</v>
      </c>
      <c t="s">
        <v>58730</v>
      </c>
      <c s="3">
        <v>7500</v>
      </c>
      <c s="3">
        <v>7500</v>
      </c>
      <c s="3">
        <v>7500</v>
      </c>
      <c>
        <v>0</v>
      </c>
      <c s="3">
        <v>0</v>
      </c>
      <c s="3">
        <v>465.87</v>
      </c>
      <c s="3">
        <v>7500</v>
      </c>
      <c r="O1197" s="1" t="str">
        <f ca="1">HYPERLINK("https://web.datatree.com/?/property?propertyId=32394831", "https://web.datatree.com/?/property?propertyId=32394831")</f>
        <v>https://web.datatree.com/?/property?propertyId=32394831</v>
      </c>
      <c r="Q1197" t="s">
        <v>316</v>
      </c>
      <c>
        <v>0.23</v>
      </c>
      <c t="s">
        <v>6175</v>
      </c>
      <c t="s">
        <v>60938</v>
      </c>
      <c t="s">
        <v>24419</v>
      </c>
      <c r="X1197" t="s">
        <v>46346</v>
      </c>
      <c t="s">
        <v>61865</v>
      </c>
      <c t="s">
        <v>2517</v>
      </c>
      <c t="s">
        <v>39289</v>
      </c>
      <c>
        <v>33909</v>
      </c>
      <c t="s">
        <v>59023</v>
      </c>
      <c t="s">
        <v>48794</v>
      </c>
      <c t="s">
        <v>41351</v>
      </c>
      <c>
        <v>2516</v>
      </c>
      <c r="AI1197" t="s">
        <v>13593</v>
      </c>
      <c t="s">
        <v>45393</v>
      </c>
      <c r="AL1197" t="s">
        <v>36080</v>
      </c>
      <c t="s">
        <v>36080</v>
      </c>
      <c t="s">
        <v>39289</v>
      </c>
      <c t="s">
        <v>483</v>
      </c>
      <c t="s">
        <v>45980</v>
      </c>
      <c t="s">
        <v>3093</v>
      </c>
      <c t="s">
        <v>24584</v>
      </c>
    </row>
    <row>
      <c t="s">
        <v>42103</v>
      </c>
      <c t="s">
        <v>24890</v>
      </c>
      <c t="s">
        <v>33477</v>
      </c>
      <c t="s">
        <v>49708</v>
      </c>
      <c t="s">
        <v>31885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198" s="1" t="str">
        <f ca="1">HYPERLINK("https://web.datatree.com/?/property?propertyId=32395572", "https://web.datatree.com/?/property?propertyId=32395572")</f>
        <v>https://web.datatree.com/?/property?propertyId=32395572</v>
      </c>
      <c r="Q1198" t="s">
        <v>316</v>
      </c>
      <c>
        <v>0.23</v>
      </c>
      <c t="s">
        <v>22490</v>
      </c>
      <c t="s">
        <v>51333</v>
      </c>
      <c t="s">
        <v>10081</v>
      </c>
      <c r="X1198" t="s">
        <v>64826</v>
      </c>
      <c t="s">
        <v>11985</v>
      </c>
      <c t="s">
        <v>2517</v>
      </c>
      <c t="s">
        <v>39289</v>
      </c>
      <c>
        <v>33909</v>
      </c>
      <c t="s">
        <v>36263</v>
      </c>
      <c t="s">
        <v>48794</v>
      </c>
      <c t="s">
        <v>34590</v>
      </c>
      <c r="AI1198" t="s">
        <v>20470</v>
      </c>
      <c r="AN1198" t="s">
        <v>19878</v>
      </c>
      <c>
        <v>38523</v>
      </c>
      <c r="AR1198" t="s">
        <v>41955</v>
      </c>
    </row>
    <row>
      <c t="s">
        <v>17594</v>
      </c>
      <c t="s">
        <v>52032</v>
      </c>
      <c t="s">
        <v>41931</v>
      </c>
      <c t="s">
        <v>24849</v>
      </c>
      <c t="s">
        <v>8140</v>
      </c>
      <c s="3">
        <v>18938</v>
      </c>
      <c s="3">
        <v>18938</v>
      </c>
      <c s="3">
        <v>18938</v>
      </c>
      <c>
        <v>0</v>
      </c>
      <c s="3">
        <v>0</v>
      </c>
      <c s="3">
        <v>695.2</v>
      </c>
      <c s="3">
        <v>18938</v>
      </c>
      <c r="O1199" s="1" t="str">
        <f ca="1">HYPERLINK("https://web.datatree.com/?/property?propertyId=32396102", "https://web.datatree.com/?/property?propertyId=32396102")</f>
        <v>https://web.datatree.com/?/property?propertyId=32396102</v>
      </c>
      <c r="Q1199" t="s">
        <v>316</v>
      </c>
      <c>
        <v>0.258</v>
      </c>
      <c t="s">
        <v>22490</v>
      </c>
      <c t="s">
        <v>10469</v>
      </c>
      <c t="s">
        <v>17205</v>
      </c>
      <c t="s">
        <v>50723</v>
      </c>
      <c t="s">
        <v>26536</v>
      </c>
      <c t="s">
        <v>51203</v>
      </c>
      <c t="s">
        <v>29190</v>
      </c>
      <c t="s">
        <v>2517</v>
      </c>
      <c t="s">
        <v>39289</v>
      </c>
      <c>
        <v>33909</v>
      </c>
      <c t="s">
        <v>62214</v>
      </c>
      <c t="s">
        <v>48794</v>
      </c>
      <c t="s">
        <v>35910</v>
      </c>
      <c>
        <v>42</v>
      </c>
      <c r="AI1199" t="s">
        <v>21670</v>
      </c>
      <c t="s">
        <v>31192</v>
      </c>
      <c r="AL1199" t="s">
        <v>16336</v>
      </c>
      <c r="AN1199" t="s">
        <v>26016</v>
      </c>
      <c t="s">
        <v>5104</v>
      </c>
      <c t="s">
        <v>26893</v>
      </c>
      <c t="s">
        <v>3093</v>
      </c>
      <c t="s">
        <v>28024</v>
      </c>
    </row>
    <row>
      <c t="s">
        <v>17594</v>
      </c>
      <c t="s">
        <v>58187</v>
      </c>
      <c t="s">
        <v>62343</v>
      </c>
      <c t="s">
        <v>55318</v>
      </c>
      <c t="s">
        <v>59855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1200" s="1" t="str">
        <f ca="1">HYPERLINK("https://web.datatree.com/?/property?propertyId=32396257", "https://web.datatree.com/?/property?propertyId=32396257")</f>
        <v>https://web.datatree.com/?/property?propertyId=32396257</v>
      </c>
      <c r="Q1200" t="s">
        <v>316</v>
      </c>
      <c>
        <v>0.23</v>
      </c>
      <c t="s">
        <v>22490</v>
      </c>
      <c t="s">
        <v>32056</v>
      </c>
      <c t="s">
        <v>62850</v>
      </c>
      <c r="X1200" t="s">
        <v>62981</v>
      </c>
      <c t="s">
        <v>60363</v>
      </c>
      <c t="s">
        <v>2517</v>
      </c>
      <c t="s">
        <v>39289</v>
      </c>
      <c>
        <v>33909</v>
      </c>
      <c t="s">
        <v>60735</v>
      </c>
      <c t="s">
        <v>48794</v>
      </c>
      <c t="s">
        <v>62284</v>
      </c>
      <c>
        <v>359</v>
      </c>
      <c r="AI1200" t="s">
        <v>27952</v>
      </c>
      <c t="s">
        <v>45620</v>
      </c>
      <c r="AL1200" t="s">
        <v>22964</v>
      </c>
      <c r="AN1200" t="s">
        <v>50917</v>
      </c>
      <c t="s">
        <v>17680</v>
      </c>
      <c t="s">
        <v>66620</v>
      </c>
      <c t="s">
        <v>3093</v>
      </c>
      <c t="s">
        <v>6057</v>
      </c>
    </row>
    <row>
      <c t="s">
        <v>17594</v>
      </c>
      <c t="s">
        <v>15003</v>
      </c>
      <c t="s">
        <v>49459</v>
      </c>
      <c t="s">
        <v>55073</v>
      </c>
      <c t="s">
        <v>37580</v>
      </c>
      <c s="3">
        <v>2947</v>
      </c>
      <c s="3">
        <v>2947</v>
      </c>
      <c s="3">
        <v>620</v>
      </c>
      <c>
        <v>0</v>
      </c>
      <c s="3">
        <v>0</v>
      </c>
      <c s="3">
        <v>306.25</v>
      </c>
      <c s="3">
        <v>2947</v>
      </c>
      <c r="O1201" s="1" t="str">
        <f ca="1">HYPERLINK("https://web.datatree.com/?/property?propertyId=32396365", "https://web.datatree.com/?/property?propertyId=32396365")</f>
        <v>https://web.datatree.com/?/property?propertyId=32396365</v>
      </c>
      <c r="Q1201" t="s">
        <v>316</v>
      </c>
      <c>
        <v>0.143</v>
      </c>
      <c t="s">
        <v>42044</v>
      </c>
      <c t="s">
        <v>29274</v>
      </c>
      <c t="s">
        <v>36582</v>
      </c>
      <c r="X1201" t="s">
        <v>16419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185</v>
      </c>
      <c r="AI1201" t="s">
        <v>31801</v>
      </c>
      <c t="s">
        <v>45393</v>
      </c>
      <c t="s">
        <v>62033</v>
      </c>
      <c t="s">
        <v>13397</v>
      </c>
      <c r="AN1201" t="s">
        <v>50917</v>
      </c>
      <c t="s">
        <v>15998</v>
      </c>
      <c t="s">
        <v>23744</v>
      </c>
      <c t="s">
        <v>3093</v>
      </c>
      <c t="s">
        <v>41234</v>
      </c>
    </row>
    <row>
      <c t="s">
        <v>17594</v>
      </c>
      <c t="s">
        <v>15003</v>
      </c>
      <c t="s">
        <v>14365</v>
      </c>
      <c t="s">
        <v>21695</v>
      </c>
      <c t="s">
        <v>11280</v>
      </c>
      <c s="3">
        <v>2100</v>
      </c>
      <c s="3">
        <v>2100</v>
      </c>
      <c s="3">
        <v>310</v>
      </c>
      <c>
        <v>0</v>
      </c>
      <c s="3">
        <v>0</v>
      </c>
      <c s="3">
        <v>251.7</v>
      </c>
      <c s="3">
        <v>2100</v>
      </c>
      <c r="O1202" s="1" t="str">
        <f ca="1">HYPERLINK("https://web.datatree.com/?/property?propertyId=32396546", "https://web.datatree.com/?/property?propertyId=32396546")</f>
        <v>https://web.datatree.com/?/property?propertyId=32396546</v>
      </c>
      <c r="Q1202" t="s">
        <v>316</v>
      </c>
      <c>
        <v>0.072</v>
      </c>
      <c t="s">
        <v>42044</v>
      </c>
      <c t="s">
        <v>62380</v>
      </c>
      <c t="s">
        <v>12195</v>
      </c>
      <c r="X1202" t="s">
        <v>13527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7040</v>
      </c>
      <c r="AI1202" t="s">
        <v>10524</v>
      </c>
      <c t="s">
        <v>45620</v>
      </c>
      <c r="AL1202" t="s">
        <v>16939</v>
      </c>
      <c t="s">
        <v>16939</v>
      </c>
      <c t="s">
        <v>48152</v>
      </c>
      <c t="s">
        <v>61058</v>
      </c>
      <c t="s">
        <v>8407</v>
      </c>
      <c t="s">
        <v>3093</v>
      </c>
      <c t="s">
        <v>51757</v>
      </c>
    </row>
    <row>
      <c t="s">
        <v>17594</v>
      </c>
      <c t="s">
        <v>19096</v>
      </c>
      <c t="s">
        <v>40809</v>
      </c>
      <c t="s">
        <v>39172</v>
      </c>
      <c t="s">
        <v>14037</v>
      </c>
      <c s="3">
        <v>67278</v>
      </c>
      <c s="3">
        <v>67278</v>
      </c>
      <c s="3">
        <v>3137</v>
      </c>
      <c>
        <v>0</v>
      </c>
      <c s="3">
        <v>0</v>
      </c>
      <c s="3">
        <v>63.3</v>
      </c>
      <c s="3">
        <v>67278</v>
      </c>
      <c r="O1203" s="1" t="str">
        <f ca="1">HYPERLINK("https://web.datatree.com/?/property?propertyId=32397569", "https://web.datatree.com/?/property?propertyId=32397569")</f>
        <v>https://web.datatree.com/?/property?propertyId=32397569</v>
      </c>
      <c r="Q1203" t="s">
        <v>316</v>
      </c>
      <c>
        <v>0.186</v>
      </c>
      <c t="s">
        <v>5471</v>
      </c>
      <c t="s">
        <v>58960</v>
      </c>
      <c t="s">
        <v>14637</v>
      </c>
      <c r="X1203" t="s">
        <v>62602</v>
      </c>
      <c t="s">
        <v>4336</v>
      </c>
      <c t="s">
        <v>65059</v>
      </c>
      <c t="s">
        <v>39289</v>
      </c>
      <c>
        <v>33905</v>
      </c>
      <c t="s">
        <v>13710</v>
      </c>
      <c t="s">
        <v>48794</v>
      </c>
      <c t="s">
        <v>43858</v>
      </c>
      <c>
        <v>5306</v>
      </c>
      <c r="AI1203" t="s">
        <v>63053</v>
      </c>
      <c t="s">
        <v>45393</v>
      </c>
      <c r="AL1203" t="s">
        <v>11713</v>
      </c>
      <c r="AN1203" t="s">
        <v>39289</v>
      </c>
      <c t="s">
        <v>25755</v>
      </c>
      <c t="s">
        <v>22152</v>
      </c>
      <c t="s">
        <v>3093</v>
      </c>
      <c t="s">
        <v>64904</v>
      </c>
    </row>
    <row>
      <c t="s">
        <v>17594</v>
      </c>
      <c t="s">
        <v>29115</v>
      </c>
      <c t="s">
        <v>57863</v>
      </c>
      <c t="s">
        <v>15779</v>
      </c>
      <c t="s">
        <v>843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204" s="1" t="str">
        <f ca="1">HYPERLINK("https://web.datatree.com/?/property?propertyId=32397947", "https://web.datatree.com/?/property?propertyId=32397947")</f>
        <v>https://web.datatree.com/?/property?propertyId=32397947</v>
      </c>
      <c r="Q1204" t="s">
        <v>316</v>
      </c>
      <c>
        <v>0.232</v>
      </c>
      <c t="s">
        <v>45031</v>
      </c>
      <c t="s">
        <v>64470</v>
      </c>
      <c t="s">
        <v>40581</v>
      </c>
      <c t="s">
        <v>33317</v>
      </c>
      <c t="s">
        <v>40581</v>
      </c>
      <c t="s">
        <v>14337</v>
      </c>
      <c t="s">
        <v>29190</v>
      </c>
      <c t="s">
        <v>2517</v>
      </c>
      <c t="s">
        <v>39289</v>
      </c>
      <c>
        <v>33909</v>
      </c>
      <c t="s">
        <v>28033</v>
      </c>
      <c t="s">
        <v>48794</v>
      </c>
      <c t="s">
        <v>23953</v>
      </c>
      <c>
        <v>34</v>
      </c>
      <c r="AI1204" t="s">
        <v>19751</v>
      </c>
      <c r="AL1204" t="s">
        <v>34512</v>
      </c>
      <c t="s">
        <v>34512</v>
      </c>
      <c t="s">
        <v>47028</v>
      </c>
      <c>
        <v>84130</v>
      </c>
      <c r="AR1204" t="s">
        <v>4437</v>
      </c>
    </row>
    <row>
      <c t="s">
        <v>17594</v>
      </c>
      <c t="s">
        <v>47603</v>
      </c>
      <c t="s">
        <v>64274</v>
      </c>
      <c t="s">
        <v>11367</v>
      </c>
      <c t="s">
        <v>29152</v>
      </c>
      <c s="3">
        <v>7560</v>
      </c>
      <c s="3">
        <v>7560</v>
      </c>
      <c s="3">
        <v>7560</v>
      </c>
      <c>
        <v>0</v>
      </c>
      <c s="3">
        <v>0</v>
      </c>
      <c s="3">
        <v>467.07</v>
      </c>
      <c s="3">
        <v>7560</v>
      </c>
      <c r="O1205" s="1" t="str">
        <f ca="1">HYPERLINK("https://web.datatree.com/?/property?propertyId=32398272", "https://web.datatree.com/?/property?propertyId=32398272")</f>
        <v>https://web.datatree.com/?/property?propertyId=32398272</v>
      </c>
      <c r="Q1205" t="s">
        <v>316</v>
      </c>
      <c>
        <v>0.35</v>
      </c>
      <c t="s">
        <v>6175</v>
      </c>
      <c t="s">
        <v>14558</v>
      </c>
      <c t="s">
        <v>1007</v>
      </c>
      <c r="X1205" t="s">
        <v>17556</v>
      </c>
      <c t="s">
        <v>34136</v>
      </c>
      <c t="s">
        <v>2517</v>
      </c>
      <c t="s">
        <v>39289</v>
      </c>
      <c>
        <v>33909</v>
      </c>
      <c t="s">
        <v>36529</v>
      </c>
      <c t="s">
        <v>48794</v>
      </c>
      <c t="s">
        <v>22305</v>
      </c>
      <c>
        <v>1520</v>
      </c>
      <c r="AI1205" t="s">
        <v>1189</v>
      </c>
      <c t="s">
        <v>45620</v>
      </c>
      <c r="AL1205" t="s">
        <v>9894</v>
      </c>
      <c r="AN1205" t="s">
        <v>3034</v>
      </c>
      <c t="s">
        <v>52668</v>
      </c>
      <c t="s">
        <v>4491</v>
      </c>
      <c t="s">
        <v>3093</v>
      </c>
      <c t="s">
        <v>17506</v>
      </c>
    </row>
    <row>
      <c t="s">
        <v>17594</v>
      </c>
      <c t="s">
        <v>25388</v>
      </c>
      <c t="s">
        <v>2156</v>
      </c>
      <c t="s">
        <v>53923</v>
      </c>
      <c t="s">
        <v>45744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1206" s="1" t="str">
        <f ca="1">HYPERLINK("https://web.datatree.com/?/property?propertyId=32398302", "https://web.datatree.com/?/property?propertyId=32398302")</f>
        <v>https://web.datatree.com/?/property?propertyId=32398302</v>
      </c>
      <c r="Q1206" t="s">
        <v>316</v>
      </c>
      <c>
        <v>0.243</v>
      </c>
      <c t="s">
        <v>6175</v>
      </c>
      <c t="s">
        <v>23508</v>
      </c>
      <c t="s">
        <v>50728</v>
      </c>
      <c r="X1206" t="s">
        <v>9382</v>
      </c>
      <c t="s">
        <v>23517</v>
      </c>
      <c t="s">
        <v>2517</v>
      </c>
      <c t="s">
        <v>39289</v>
      </c>
      <c>
        <v>33909</v>
      </c>
      <c t="s">
        <v>44251</v>
      </c>
      <c t="s">
        <v>48794</v>
      </c>
      <c t="s">
        <v>22295</v>
      </c>
      <c t="str">
        <f>"355-32"</f>
        <v>355-32</v>
      </c>
      <c r="AI1206" t="s">
        <v>39795</v>
      </c>
      <c r="AK1206">
        <v>48</v>
      </c>
      <c t="s">
        <v>54403</v>
      </c>
      <c r="AN1206" t="s">
        <v>14798</v>
      </c>
      <c r="AR1206" t="s">
        <v>38093</v>
      </c>
    </row>
    <row>
      <c t="s">
        <v>17594</v>
      </c>
      <c t="s">
        <v>34660</v>
      </c>
      <c t="s">
        <v>65307</v>
      </c>
      <c t="s">
        <v>52562</v>
      </c>
      <c t="s">
        <v>11214</v>
      </c>
      <c s="3">
        <v>32353</v>
      </c>
      <c s="3">
        <v>32353</v>
      </c>
      <c s="3">
        <v>32353</v>
      </c>
      <c>
        <v>0</v>
      </c>
      <c s="3">
        <v>0</v>
      </c>
      <c s="3">
        <v>443.94</v>
      </c>
      <c s="3">
        <v>32353</v>
      </c>
      <c r="O1207" s="1" t="str">
        <f ca="1">HYPERLINK("https://web.datatree.com/?/property?propertyId=32398601", "https://web.datatree.com/?/property?propertyId=32398601")</f>
        <v>https://web.datatree.com/?/property?propertyId=32398601</v>
      </c>
      <c r="Q1207" t="s">
        <v>316</v>
      </c>
      <c>
        <v>0.041</v>
      </c>
      <c t="s">
        <v>54329</v>
      </c>
      <c t="s">
        <v>44541</v>
      </c>
      <c t="s">
        <v>20436</v>
      </c>
      <c r="X1207" t="s">
        <v>57100</v>
      </c>
      <c t="s">
        <v>66072</v>
      </c>
      <c t="s">
        <v>65059</v>
      </c>
      <c t="s">
        <v>39289</v>
      </c>
      <c>
        <v>33908</v>
      </c>
      <c t="s">
        <v>39045</v>
      </c>
      <c t="s">
        <v>48794</v>
      </c>
      <c t="s">
        <v>2031</v>
      </c>
      <c>
        <v>1048</v>
      </c>
      <c r="AI1207" t="s">
        <v>3222</v>
      </c>
      <c t="s">
        <v>45620</v>
      </c>
      <c r="AL1207" t="s">
        <v>47281</v>
      </c>
      <c t="s">
        <v>53482</v>
      </c>
      <c t="s">
        <v>460</v>
      </c>
      <c t="s">
        <v>37500</v>
      </c>
      <c t="s">
        <v>63972</v>
      </c>
      <c t="s">
        <v>3093</v>
      </c>
      <c t="s">
        <v>43928</v>
      </c>
    </row>
    <row>
      <c t="s">
        <v>17594</v>
      </c>
      <c t="s">
        <v>64214</v>
      </c>
      <c t="s">
        <v>12204</v>
      </c>
      <c t="s">
        <v>56820</v>
      </c>
      <c t="s">
        <v>20185</v>
      </c>
      <c s="3">
        <v>8400</v>
      </c>
      <c s="3">
        <v>8400</v>
      </c>
      <c s="3">
        <v>8400</v>
      </c>
      <c>
        <v>0</v>
      </c>
      <c s="3">
        <v>0</v>
      </c>
      <c s="3">
        <v>620.44</v>
      </c>
      <c s="3">
        <v>8400</v>
      </c>
      <c r="O1208" s="1" t="str">
        <f ca="1">HYPERLINK("https://web.datatree.com/?/property?propertyId=32398642", "https://web.datatree.com/?/property?propertyId=32398642")</f>
        <v>https://web.datatree.com/?/property?propertyId=32398642</v>
      </c>
      <c r="Q1208" t="s">
        <v>316</v>
      </c>
      <c>
        <v>0.226</v>
      </c>
      <c t="s">
        <v>65422</v>
      </c>
      <c t="s">
        <v>51968</v>
      </c>
      <c t="s">
        <v>6684</v>
      </c>
      <c t="s">
        <v>4868</v>
      </c>
      <c t="s">
        <v>49609</v>
      </c>
      <c t="s">
        <v>48115</v>
      </c>
      <c t="s">
        <v>13478</v>
      </c>
      <c t="s">
        <v>2517</v>
      </c>
      <c t="s">
        <v>39289</v>
      </c>
      <c>
        <v>33909</v>
      </c>
      <c t="s">
        <v>2991</v>
      </c>
      <c t="s">
        <v>48794</v>
      </c>
      <c t="s">
        <v>30383</v>
      </c>
      <c>
        <v>2233</v>
      </c>
      <c r="AI1208" t="s">
        <v>63427</v>
      </c>
      <c t="s">
        <v>31192</v>
      </c>
      <c r="AL1208" t="s">
        <v>10990</v>
      </c>
      <c r="AN1208" t="s">
        <v>17134</v>
      </c>
      <c t="s">
        <v>46328</v>
      </c>
      <c t="s">
        <v>14845</v>
      </c>
      <c t="s">
        <v>3093</v>
      </c>
      <c t="s">
        <v>53027</v>
      </c>
    </row>
    <row>
      <c t="s">
        <v>17594</v>
      </c>
      <c t="s">
        <v>6924</v>
      </c>
      <c t="s">
        <v>15668</v>
      </c>
      <c t="s">
        <v>62583</v>
      </c>
      <c t="s">
        <v>49582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>
        <v>2021</v>
      </c>
      <c>
        <v>588.6</v>
      </c>
      <c s="1" t="str">
        <f ca="1">HYPERLINK("https://web.datatree.com/?/property?propertyId=32399790", "https://web.datatree.com/?/property?propertyId=32399790")</f>
        <v>https://web.datatree.com/?/property?propertyId=32399790</v>
      </c>
      <c r="Q1209" t="s">
        <v>316</v>
      </c>
      <c>
        <v>0.244</v>
      </c>
      <c t="s">
        <v>6175</v>
      </c>
      <c r="U1209" t="s">
        <v>52697</v>
      </c>
      <c t="s">
        <v>66704</v>
      </c>
      <c t="s">
        <v>58692</v>
      </c>
      <c t="s">
        <v>45639</v>
      </c>
      <c t="s">
        <v>29190</v>
      </c>
      <c t="s">
        <v>2517</v>
      </c>
      <c t="s">
        <v>39289</v>
      </c>
      <c>
        <v>33909</v>
      </c>
      <c t="s">
        <v>18425</v>
      </c>
      <c t="s">
        <v>48794</v>
      </c>
      <c t="s">
        <v>575</v>
      </c>
      <c>
        <v>2811</v>
      </c>
      <c r="AI1209" t="s">
        <v>55449</v>
      </c>
      <c t="s">
        <v>40123</v>
      </c>
      <c r="AL1209" t="s">
        <v>15285</v>
      </c>
      <c t="s">
        <v>15285</v>
      </c>
      <c t="s">
        <v>54650</v>
      </c>
      <c t="s">
        <v>49603</v>
      </c>
      <c t="s">
        <v>22152</v>
      </c>
      <c t="s">
        <v>3093</v>
      </c>
      <c t="s">
        <v>58476</v>
      </c>
    </row>
    <row>
      <c t="s">
        <v>17594</v>
      </c>
      <c t="s">
        <v>24271</v>
      </c>
      <c t="s">
        <v>64382</v>
      </c>
      <c t="s">
        <v>16487</v>
      </c>
      <c t="s">
        <v>55584</v>
      </c>
      <c s="3">
        <v>178966</v>
      </c>
      <c s="3">
        <v>178966</v>
      </c>
      <c s="3">
        <v>178966</v>
      </c>
      <c>
        <v>0</v>
      </c>
      <c s="3">
        <v>0</v>
      </c>
      <c s="3">
        <v>3240.36</v>
      </c>
      <c s="3">
        <v>178966</v>
      </c>
      <c r="O1210" s="1" t="str">
        <f ca="1">HYPERLINK("https://web.datatree.com/?/property?propertyId=32399833", "https://web.datatree.com/?/property?propertyId=32399833")</f>
        <v>https://web.datatree.com/?/property?propertyId=32399833</v>
      </c>
      <c r="Q1210" t="s">
        <v>316</v>
      </c>
      <c>
        <v>0.23</v>
      </c>
      <c t="s">
        <v>22490</v>
      </c>
      <c t="s">
        <v>10561</v>
      </c>
      <c t="s">
        <v>61677</v>
      </c>
      <c t="s">
        <v>63611</v>
      </c>
      <c t="s">
        <v>61677</v>
      </c>
      <c t="s">
        <v>56766</v>
      </c>
      <c t="s">
        <v>46049</v>
      </c>
      <c t="s">
        <v>2517</v>
      </c>
      <c t="s">
        <v>39289</v>
      </c>
      <c>
        <v>33904</v>
      </c>
      <c>
        <v>33904</v>
      </c>
      <c t="s">
        <v>48794</v>
      </c>
      <c t="s">
        <v>766</v>
      </c>
      <c>
        <v>30</v>
      </c>
      <c r="AI1210" t="s">
        <v>9255</v>
      </c>
      <c r="AL1210" t="s">
        <v>27488</v>
      </c>
      <c r="AN1210" t="s">
        <v>63985</v>
      </c>
      <c>
        <v>23570</v>
      </c>
      <c r="AQ1210" t="s">
        <v>3093</v>
      </c>
      <c t="s">
        <v>5441</v>
      </c>
    </row>
    <row>
      <c t="s">
        <v>17594</v>
      </c>
      <c t="s">
        <v>36480</v>
      </c>
      <c t="s">
        <v>10763</v>
      </c>
      <c t="s">
        <v>6685</v>
      </c>
      <c t="s">
        <v>20850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1211" s="1" t="str">
        <f ca="1">HYPERLINK("https://web.datatree.com/?/property?propertyId=32400314", "https://web.datatree.com/?/property?propertyId=32400314")</f>
        <v>https://web.datatree.com/?/property?propertyId=32400314</v>
      </c>
      <c r="Q1211" t="s">
        <v>316</v>
      </c>
      <c>
        <v>0.23</v>
      </c>
      <c t="s">
        <v>22490</v>
      </c>
      <c t="s">
        <v>22046</v>
      </c>
      <c t="s">
        <v>26608</v>
      </c>
      <c t="s">
        <v>63623</v>
      </c>
      <c r="X1211" t="s">
        <v>48263</v>
      </c>
      <c t="s">
        <v>66701</v>
      </c>
      <c t="s">
        <v>2517</v>
      </c>
      <c t="s">
        <v>39289</v>
      </c>
      <c>
        <v>33909</v>
      </c>
      <c t="s">
        <v>33143</v>
      </c>
      <c t="s">
        <v>48794</v>
      </c>
      <c t="s">
        <v>47457</v>
      </c>
      <c>
        <v>2023</v>
      </c>
      <c r="AH1211" t="s">
        <v>15376</v>
      </c>
      <c t="s">
        <v>22577</v>
      </c>
      <c t="s">
        <v>45393</v>
      </c>
      <c r="AL1211" t="s">
        <v>17136</v>
      </c>
      <c t="s">
        <v>45554</v>
      </c>
      <c t="s">
        <v>4477</v>
      </c>
      <c t="s">
        <v>57059</v>
      </c>
      <c t="s">
        <v>5948</v>
      </c>
      <c t="s">
        <v>3093</v>
      </c>
      <c t="s">
        <v>56763</v>
      </c>
    </row>
    <row>
      <c t="s">
        <v>17594</v>
      </c>
      <c t="s">
        <v>2547</v>
      </c>
      <c t="s">
        <v>26390</v>
      </c>
      <c t="s">
        <v>31461</v>
      </c>
      <c t="s">
        <v>62810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212" s="1" t="str">
        <f ca="1">HYPERLINK("https://web.datatree.com/?/property?propertyId=32400385", "https://web.datatree.com/?/property?propertyId=32400385")</f>
        <v>https://web.datatree.com/?/property?propertyId=32400385</v>
      </c>
      <c r="Q1212" t="s">
        <v>316</v>
      </c>
      <c>
        <v>0.23</v>
      </c>
      <c t="s">
        <v>22490</v>
      </c>
      <c t="s">
        <v>50331</v>
      </c>
      <c t="s">
        <v>26818</v>
      </c>
      <c r="X1212" t="s">
        <v>11551</v>
      </c>
      <c t="s">
        <v>22731</v>
      </c>
      <c t="s">
        <v>2517</v>
      </c>
      <c t="s">
        <v>39289</v>
      </c>
      <c>
        <v>33909</v>
      </c>
      <c t="s">
        <v>44852</v>
      </c>
      <c t="s">
        <v>48794</v>
      </c>
      <c t="s">
        <v>67001</v>
      </c>
      <c>
        <v>4378</v>
      </c>
      <c r="AI1212" t="s">
        <v>35091</v>
      </c>
      <c t="s">
        <v>45393</v>
      </c>
      <c r="AL1212" t="s">
        <v>61808</v>
      </c>
      <c t="s">
        <v>3526</v>
      </c>
      <c t="s">
        <v>14798</v>
      </c>
      <c t="s">
        <v>22095</v>
      </c>
      <c t="s">
        <v>22455</v>
      </c>
      <c t="s">
        <v>3093</v>
      </c>
      <c t="s">
        <v>60230</v>
      </c>
    </row>
    <row>
      <c t="s">
        <v>17594</v>
      </c>
      <c t="s">
        <v>25498</v>
      </c>
      <c t="s">
        <v>6071</v>
      </c>
      <c t="s">
        <v>44870</v>
      </c>
      <c t="s">
        <v>7155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213" s="1" t="str">
        <f ca="1">HYPERLINK("https://web.datatree.com/?/property?propertyId=32401945", "https://web.datatree.com/?/property?propertyId=32401945")</f>
        <v>https://web.datatree.com/?/property?propertyId=32401945</v>
      </c>
      <c r="Q1213" t="s">
        <v>316</v>
      </c>
      <c>
        <v>0.23</v>
      </c>
      <c t="s">
        <v>6175</v>
      </c>
      <c r="U1213" t="s">
        <v>16342</v>
      </c>
      <c r="X1213" t="s">
        <v>42701</v>
      </c>
      <c t="s">
        <v>41506</v>
      </c>
      <c t="s">
        <v>2517</v>
      </c>
      <c t="s">
        <v>39289</v>
      </c>
      <c>
        <v>33909</v>
      </c>
      <c t="s">
        <v>19577</v>
      </c>
      <c t="s">
        <v>48794</v>
      </c>
      <c t="s">
        <v>35704</v>
      </c>
      <c>
        <v>9808</v>
      </c>
      <c r="AI1213" t="s">
        <v>1595</v>
      </c>
      <c t="s">
        <v>45620</v>
      </c>
      <c r="AL1213" t="s">
        <v>57818</v>
      </c>
      <c r="AN1213" t="s">
        <v>54650</v>
      </c>
      <c t="s">
        <v>17357</v>
      </c>
      <c t="s">
        <v>14695</v>
      </c>
      <c t="s">
        <v>3093</v>
      </c>
      <c t="s">
        <v>19773</v>
      </c>
    </row>
    <row>
      <c t="s">
        <v>17594</v>
      </c>
      <c t="s">
        <v>46396</v>
      </c>
      <c t="s">
        <v>64700</v>
      </c>
      <c t="s">
        <v>58080</v>
      </c>
      <c t="s">
        <v>29062</v>
      </c>
      <c s="3">
        <v>10281</v>
      </c>
      <c s="3">
        <v>10281</v>
      </c>
      <c s="3">
        <v>3388</v>
      </c>
      <c>
        <v>0</v>
      </c>
      <c s="3">
        <v>0</v>
      </c>
      <c s="3">
        <v>284.22</v>
      </c>
      <c s="3">
        <v>10281</v>
      </c>
      <c r="O1214" s="1" t="str">
        <f ca="1">HYPERLINK("https://web.datatree.com/?/property?propertyId=32402650", "https://web.datatree.com/?/property?propertyId=32402650")</f>
        <v>https://web.datatree.com/?/property?propertyId=32402650</v>
      </c>
      <c r="Q1214" t="s">
        <v>316</v>
      </c>
      <c>
        <v>0.09</v>
      </c>
      <c t="s">
        <v>6175</v>
      </c>
      <c t="s">
        <v>38445</v>
      </c>
      <c t="s">
        <v>6871</v>
      </c>
      <c r="X1214" t="s">
        <v>65805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12617</v>
      </c>
      <c>
        <v>9411</v>
      </c>
      <c r="AI1214" t="s">
        <v>65323</v>
      </c>
      <c t="s">
        <v>24900</v>
      </c>
      <c t="s">
        <v>5393</v>
      </c>
      <c t="s">
        <v>23788</v>
      </c>
      <c r="AN1214" t="s">
        <v>50917</v>
      </c>
      <c t="s">
        <v>31987</v>
      </c>
      <c t="s">
        <v>61410</v>
      </c>
      <c t="s">
        <v>3093</v>
      </c>
      <c t="s">
        <v>47523</v>
      </c>
    </row>
    <row>
      <c t="s">
        <v>17594</v>
      </c>
      <c t="s">
        <v>30570</v>
      </c>
      <c t="s">
        <v>13150</v>
      </c>
      <c t="s">
        <v>66745</v>
      </c>
      <c t="s">
        <v>49725</v>
      </c>
      <c s="3">
        <v>541</v>
      </c>
      <c s="3">
        <v>541</v>
      </c>
      <c s="3">
        <v>541</v>
      </c>
      <c>
        <v>0</v>
      </c>
      <c s="3">
        <v>0</v>
      </c>
      <c r="L1215" s="3">
        <v>541</v>
      </c>
      <c r="O1215" s="1" t="str">
        <f ca="1">HYPERLINK("https://web.datatree.com/?/property?propertyId=32403053", "https://web.datatree.com/?/property?propertyId=32403053")</f>
        <v>https://web.datatree.com/?/property?propertyId=32403053</v>
      </c>
      <c r="Q1215" t="s">
        <v>40482</v>
      </c>
      <c>
        <v>10.82</v>
      </c>
      <c r="T1215" t="s">
        <v>30015</v>
      </c>
      <c t="s">
        <v>35309</v>
      </c>
      <c r="X1215" t="s">
        <v>916</v>
      </c>
      <c t="s">
        <v>18633</v>
      </c>
      <c t="s">
        <v>65059</v>
      </c>
      <c t="s">
        <v>39289</v>
      </c>
      <c>
        <v>33905</v>
      </c>
      <c>
        <v>33905</v>
      </c>
      <c t="s">
        <v>48794</v>
      </c>
      <c t="s">
        <v>27550</v>
      </c>
      <c>
        <v>3434</v>
      </c>
      <c r="AI1215" t="s">
        <v>41971</v>
      </c>
      <c t="s">
        <v>24900</v>
      </c>
      <c>
        <v>200</v>
      </c>
      <c t="s">
        <v>36080</v>
      </c>
      <c t="s">
        <v>56208</v>
      </c>
      <c t="s">
        <v>39289</v>
      </c>
      <c t="s">
        <v>58087</v>
      </c>
      <c t="s">
        <v>49842</v>
      </c>
      <c t="s">
        <v>3093</v>
      </c>
      <c t="s">
        <v>42310</v>
      </c>
    </row>
    <row>
      <c t="s">
        <v>17594</v>
      </c>
      <c t="s">
        <v>62740</v>
      </c>
      <c t="s">
        <v>1585</v>
      </c>
      <c t="s">
        <v>23616</v>
      </c>
      <c t="s">
        <v>15079</v>
      </c>
      <c s="3">
        <v>8600</v>
      </c>
      <c s="3">
        <v>8600</v>
      </c>
      <c s="3">
        <v>8600</v>
      </c>
      <c>
        <v>0</v>
      </c>
      <c s="3">
        <v>0</v>
      </c>
      <c s="3">
        <v>585.47</v>
      </c>
      <c s="3">
        <v>8600</v>
      </c>
      <c>
        <v>2021</v>
      </c>
      <c>
        <v>535.19</v>
      </c>
      <c s="1" t="str">
        <f ca="1">HYPERLINK("https://web.datatree.com/?/property?propertyId=32403362", "https://web.datatree.com/?/property?propertyId=32403362")</f>
        <v>https://web.datatree.com/?/property?propertyId=32403362</v>
      </c>
      <c r="Q1216" t="s">
        <v>316</v>
      </c>
      <c>
        <v>0.23</v>
      </c>
      <c t="s">
        <v>42044</v>
      </c>
      <c t="s">
        <v>29735</v>
      </c>
      <c t="s">
        <v>11912</v>
      </c>
      <c t="s">
        <v>1859</v>
      </c>
      <c t="s">
        <v>11912</v>
      </c>
      <c t="s">
        <v>41938</v>
      </c>
      <c t="s">
        <v>39082</v>
      </c>
      <c t="s">
        <v>2517</v>
      </c>
      <c t="s">
        <v>39289</v>
      </c>
      <c>
        <v>33909</v>
      </c>
      <c t="s">
        <v>7312</v>
      </c>
      <c t="s">
        <v>48794</v>
      </c>
      <c t="s">
        <v>37351</v>
      </c>
      <c>
        <v>5463</v>
      </c>
      <c r="AH1216" t="s">
        <v>6851</v>
      </c>
      <c t="s">
        <v>48336</v>
      </c>
      <c t="s">
        <v>40123</v>
      </c>
      <c r="AL1216" t="s">
        <v>8714</v>
      </c>
      <c t="s">
        <v>8714</v>
      </c>
      <c t="s">
        <v>50829</v>
      </c>
      <c t="s">
        <v>18607</v>
      </c>
      <c t="s">
        <v>51100</v>
      </c>
      <c t="s">
        <v>3093</v>
      </c>
      <c t="s">
        <v>35316</v>
      </c>
    </row>
    <row>
      <c t="s">
        <v>17594</v>
      </c>
      <c t="s">
        <v>27132</v>
      </c>
      <c t="s">
        <v>43438</v>
      </c>
      <c t="s">
        <v>21889</v>
      </c>
      <c t="s">
        <v>44008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217" s="1" t="str">
        <f ca="1">HYPERLINK("https://web.datatree.com/?/property?propertyId=32403576", "https://web.datatree.com/?/property?propertyId=32403576")</f>
        <v>https://web.datatree.com/?/property?propertyId=32403576</v>
      </c>
      <c r="Q1217" t="s">
        <v>316</v>
      </c>
      <c>
        <v>0.23</v>
      </c>
      <c t="s">
        <v>6175</v>
      </c>
      <c t="s">
        <v>29798</v>
      </c>
      <c t="s">
        <v>16376</v>
      </c>
      <c r="X1217" t="s">
        <v>26659</v>
      </c>
      <c t="s">
        <v>33179</v>
      </c>
      <c t="s">
        <v>2517</v>
      </c>
      <c t="s">
        <v>39289</v>
      </c>
      <c>
        <v>33909</v>
      </c>
      <c t="s">
        <v>65248</v>
      </c>
      <c t="s">
        <v>48794</v>
      </c>
      <c t="s">
        <v>20626</v>
      </c>
      <c>
        <v>85</v>
      </c>
      <c r="AH1217" t="s">
        <v>63047</v>
      </c>
      <c t="s">
        <v>10599</v>
      </c>
      <c r="AK1217">
        <v>1230</v>
      </c>
      <c t="s">
        <v>59494</v>
      </c>
      <c r="AN1217" t="s">
        <v>65451</v>
      </c>
      <c t="s">
        <v>26057</v>
      </c>
      <c t="s">
        <v>3364</v>
      </c>
      <c t="s">
        <v>3093</v>
      </c>
      <c t="s">
        <v>42779</v>
      </c>
    </row>
    <row>
      <c t="s">
        <v>17594</v>
      </c>
      <c t="s">
        <v>24251</v>
      </c>
      <c t="s">
        <v>54175</v>
      </c>
      <c t="s">
        <v>57979</v>
      </c>
      <c t="s">
        <v>34335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1218" s="1" t="str">
        <f ca="1">HYPERLINK("https://web.datatree.com/?/property?propertyId=32403719", "https://web.datatree.com/?/property?propertyId=32403719")</f>
        <v>https://web.datatree.com/?/property?propertyId=32403719</v>
      </c>
      <c r="Q1218" t="s">
        <v>316</v>
      </c>
      <c>
        <v>0.281</v>
      </c>
      <c t="s">
        <v>5471</v>
      </c>
      <c r="U1218" t="s">
        <v>49363</v>
      </c>
      <c t="s">
        <v>4868</v>
      </c>
      <c t="s">
        <v>14737</v>
      </c>
      <c t="s">
        <v>57291</v>
      </c>
      <c t="s">
        <v>4082</v>
      </c>
      <c t="s">
        <v>65059</v>
      </c>
      <c t="s">
        <v>39289</v>
      </c>
      <c>
        <v>33905</v>
      </c>
      <c t="s">
        <v>2037</v>
      </c>
      <c t="s">
        <v>48794</v>
      </c>
      <c t="s">
        <v>32751</v>
      </c>
      <c>
        <v>205</v>
      </c>
      <c r="AI1218" t="s">
        <v>3489</v>
      </c>
      <c t="s">
        <v>45620</v>
      </c>
      <c r="AL1218" t="s">
        <v>43421</v>
      </c>
      <c t="s">
        <v>43421</v>
      </c>
      <c t="s">
        <v>49572</v>
      </c>
      <c t="s">
        <v>19061</v>
      </c>
      <c t="s">
        <v>52247</v>
      </c>
      <c t="s">
        <v>3093</v>
      </c>
      <c t="s">
        <v>26630</v>
      </c>
    </row>
    <row>
      <c t="s">
        <v>17594</v>
      </c>
      <c t="s">
        <v>37543</v>
      </c>
      <c t="s">
        <v>51196</v>
      </c>
      <c t="s">
        <v>44704</v>
      </c>
      <c t="s">
        <v>63739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219" s="1" t="str">
        <f ca="1">HYPERLINK("https://web.datatree.com/?/property?propertyId=32403720", "https://web.datatree.com/?/property?propertyId=32403720")</f>
        <v>https://web.datatree.com/?/property?propertyId=32403720</v>
      </c>
      <c r="Q1219" t="s">
        <v>316</v>
      </c>
      <c>
        <v>0.23</v>
      </c>
      <c t="s">
        <v>22490</v>
      </c>
      <c t="s">
        <v>3293</v>
      </c>
      <c t="s">
        <v>56920</v>
      </c>
      <c r="X1219" t="s">
        <v>18195</v>
      </c>
      <c t="s">
        <v>38550</v>
      </c>
      <c t="s">
        <v>2517</v>
      </c>
      <c t="s">
        <v>39289</v>
      </c>
      <c>
        <v>33909</v>
      </c>
      <c t="s">
        <v>30977</v>
      </c>
      <c t="s">
        <v>48794</v>
      </c>
      <c t="s">
        <v>53217</v>
      </c>
      <c>
        <v>33</v>
      </c>
      <c r="AI1219" t="s">
        <v>55623</v>
      </c>
      <c t="s">
        <v>45393</v>
      </c>
      <c r="AL1219" t="s">
        <v>11732</v>
      </c>
      <c t="s">
        <v>11732</v>
      </c>
      <c t="s">
        <v>5859</v>
      </c>
      <c t="s">
        <v>29729</v>
      </c>
      <c t="s">
        <v>26242</v>
      </c>
      <c t="s">
        <v>3093</v>
      </c>
      <c t="s">
        <v>50967</v>
      </c>
    </row>
    <row>
      <c t="s">
        <v>17594</v>
      </c>
      <c t="s">
        <v>7774</v>
      </c>
      <c t="s">
        <v>46135</v>
      </c>
      <c t="s">
        <v>47548</v>
      </c>
      <c t="s">
        <v>39952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1220" s="1" t="str">
        <f ca="1">HYPERLINK("https://web.datatree.com/?/property?propertyId=32403959", "https://web.datatree.com/?/property?propertyId=32403959")</f>
        <v>https://web.datatree.com/?/property?propertyId=32403959</v>
      </c>
      <c r="Q1220" t="s">
        <v>316</v>
      </c>
      <c>
        <v>0.23</v>
      </c>
      <c t="s">
        <v>22490</v>
      </c>
      <c r="U1220" t="s">
        <v>31595</v>
      </c>
      <c r="W1220" t="s">
        <v>1151</v>
      </c>
      <c t="s">
        <v>1568</v>
      </c>
      <c t="s">
        <v>2626</v>
      </c>
      <c t="s">
        <v>2517</v>
      </c>
      <c t="s">
        <v>39289</v>
      </c>
      <c>
        <v>33909</v>
      </c>
      <c t="s">
        <v>22952</v>
      </c>
      <c t="s">
        <v>48794</v>
      </c>
      <c t="s">
        <v>29102</v>
      </c>
      <c>
        <v>220</v>
      </c>
      <c r="AI1220" t="s">
        <v>55646</v>
      </c>
      <c t="s">
        <v>45393</v>
      </c>
      <c t="s">
        <v>48214</v>
      </c>
      <c t="s">
        <v>52196</v>
      </c>
      <c r="AN1220" t="s">
        <v>26016</v>
      </c>
      <c t="s">
        <v>58101</v>
      </c>
      <c t="s">
        <v>17380</v>
      </c>
      <c t="s">
        <v>3093</v>
      </c>
      <c t="s">
        <v>20048</v>
      </c>
    </row>
    <row>
      <c t="s">
        <v>17594</v>
      </c>
      <c t="s">
        <v>19632</v>
      </c>
      <c t="s">
        <v>40998</v>
      </c>
      <c t="s">
        <v>11549</v>
      </c>
      <c t="s">
        <v>67183</v>
      </c>
      <c s="3">
        <v>10600</v>
      </c>
      <c s="3">
        <v>10600</v>
      </c>
      <c s="3">
        <v>10600</v>
      </c>
      <c>
        <v>0</v>
      </c>
      <c s="3">
        <v>0</v>
      </c>
      <c s="3">
        <v>639.71</v>
      </c>
      <c s="3">
        <v>10600</v>
      </c>
      <c r="O1221" s="1" t="str">
        <f ca="1">HYPERLINK("https://web.datatree.com/?/property?propertyId=32404201", "https://web.datatree.com/?/property?propertyId=32404201")</f>
        <v>https://web.datatree.com/?/property?propertyId=32404201</v>
      </c>
      <c r="Q1221" t="s">
        <v>316</v>
      </c>
      <c>
        <v>0.23</v>
      </c>
      <c t="s">
        <v>6175</v>
      </c>
      <c t="s">
        <v>50331</v>
      </c>
      <c t="s">
        <v>5239</v>
      </c>
      <c r="X1221" t="s">
        <v>39240</v>
      </c>
      <c t="s">
        <v>39082</v>
      </c>
      <c t="s">
        <v>2517</v>
      </c>
      <c t="s">
        <v>39289</v>
      </c>
      <c>
        <v>33909</v>
      </c>
      <c t="s">
        <v>27816</v>
      </c>
      <c t="s">
        <v>48794</v>
      </c>
      <c t="s">
        <v>22945</v>
      </c>
      <c>
        <v>175</v>
      </c>
      <c r="AI1221" t="s">
        <v>29271</v>
      </c>
      <c t="s">
        <v>64789</v>
      </c>
      <c r="AL1221" t="s">
        <v>29044</v>
      </c>
      <c r="AN1221" t="s">
        <v>66651</v>
      </c>
      <c t="s">
        <v>55123</v>
      </c>
      <c t="s">
        <v>50779</v>
      </c>
      <c t="s">
        <v>3093</v>
      </c>
      <c t="s">
        <v>44371</v>
      </c>
    </row>
    <row>
      <c t="s">
        <v>17594</v>
      </c>
      <c t="s">
        <v>61340</v>
      </c>
      <c t="s">
        <v>59083</v>
      </c>
      <c t="s">
        <v>53934</v>
      </c>
      <c t="s">
        <v>41406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222" s="1" t="str">
        <f ca="1">HYPERLINK("https://web.datatree.com/?/property?propertyId=32404213", "https://web.datatree.com/?/property?propertyId=32404213")</f>
        <v>https://web.datatree.com/?/property?propertyId=32404213</v>
      </c>
      <c r="Q1222" t="s">
        <v>316</v>
      </c>
      <c>
        <v>0.23</v>
      </c>
      <c t="s">
        <v>6175</v>
      </c>
      <c t="s">
        <v>66812</v>
      </c>
      <c t="s">
        <v>54785</v>
      </c>
      <c t="s">
        <v>36138</v>
      </c>
      <c t="s">
        <v>22971</v>
      </c>
      <c t="s">
        <v>37680</v>
      </c>
      <c t="s">
        <v>33179</v>
      </c>
      <c t="s">
        <v>2517</v>
      </c>
      <c t="s">
        <v>39289</v>
      </c>
      <c>
        <v>33909</v>
      </c>
      <c t="s">
        <v>59049</v>
      </c>
      <c t="s">
        <v>48794</v>
      </c>
      <c t="s">
        <v>56922</v>
      </c>
      <c>
        <v>7466</v>
      </c>
      <c r="AI1222" t="s">
        <v>56492</v>
      </c>
      <c t="s">
        <v>41372</v>
      </c>
      <c r="AL1222" t="s">
        <v>55393</v>
      </c>
      <c r="AN1222" t="s">
        <v>39289</v>
      </c>
      <c t="s">
        <v>79</v>
      </c>
      <c t="s">
        <v>24994</v>
      </c>
      <c t="s">
        <v>3093</v>
      </c>
      <c t="s">
        <v>5714</v>
      </c>
    </row>
    <row>
      <c t="s">
        <v>17594</v>
      </c>
      <c t="s">
        <v>30333</v>
      </c>
      <c t="s">
        <v>41566</v>
      </c>
      <c t="s">
        <v>49017</v>
      </c>
      <c t="s">
        <v>33510</v>
      </c>
      <c s="3">
        <v>8600</v>
      </c>
      <c s="3">
        <v>8600</v>
      </c>
      <c s="3">
        <v>8600</v>
      </c>
      <c>
        <v>0</v>
      </c>
      <c s="3">
        <v>0</v>
      </c>
      <c s="3">
        <v>574.36</v>
      </c>
      <c s="3">
        <v>8600</v>
      </c>
      <c>
        <v>2020</v>
      </c>
      <c>
        <v>1725.08</v>
      </c>
      <c s="1" t="str">
        <f ca="1">HYPERLINK("https://web.datatree.com/?/property?propertyId=32404716", "https://web.datatree.com/?/property?propertyId=32404716")</f>
        <v>https://web.datatree.com/?/property?propertyId=32404716</v>
      </c>
      <c r="Q1223" t="s">
        <v>316</v>
      </c>
      <c>
        <v>0.25</v>
      </c>
      <c t="s">
        <v>6175</v>
      </c>
      <c t="s">
        <v>53608</v>
      </c>
      <c t="s">
        <v>42316</v>
      </c>
      <c r="X1223" t="s">
        <v>41550</v>
      </c>
      <c t="s">
        <v>61865</v>
      </c>
      <c t="s">
        <v>2517</v>
      </c>
      <c t="s">
        <v>39289</v>
      </c>
      <c>
        <v>33909</v>
      </c>
      <c t="s">
        <v>62095</v>
      </c>
      <c t="s">
        <v>48794</v>
      </c>
      <c t="s">
        <v>12840</v>
      </c>
      <c>
        <v>19</v>
      </c>
      <c r="AI1223" t="s">
        <v>15838</v>
      </c>
      <c r="AL1223" t="s">
        <v>37950</v>
      </c>
      <c t="s">
        <v>37950</v>
      </c>
      <c t="s">
        <v>27481</v>
      </c>
      <c>
        <v>53036</v>
      </c>
      <c r="AR1223" t="s">
        <v>56459</v>
      </c>
    </row>
    <row>
      <c t="s">
        <v>17594</v>
      </c>
      <c t="s">
        <v>55794</v>
      </c>
      <c t="s">
        <v>15829</v>
      </c>
      <c t="s">
        <v>23401</v>
      </c>
      <c t="s">
        <v>9839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1224" s="1" t="str">
        <f ca="1">HYPERLINK("https://web.datatree.com/?/property?propertyId=32405972", "https://web.datatree.com/?/property?propertyId=32405972")</f>
        <v>https://web.datatree.com/?/property?propertyId=32405972</v>
      </c>
      <c r="Q1224" t="s">
        <v>316</v>
      </c>
      <c>
        <v>0.23</v>
      </c>
      <c t="s">
        <v>22490</v>
      </c>
      <c t="s">
        <v>38445</v>
      </c>
      <c t="s">
        <v>9771</v>
      </c>
      <c r="X1224" t="s">
        <v>2245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25162</v>
      </c>
      <c>
        <v>6728</v>
      </c>
      <c r="AH1224" t="s">
        <v>60953</v>
      </c>
      <c t="s">
        <v>34731</v>
      </c>
      <c t="s">
        <v>45393</v>
      </c>
      <c r="AL1224" t="s">
        <v>29275</v>
      </c>
      <c r="AN1224" t="s">
        <v>34191</v>
      </c>
      <c t="s">
        <v>24871</v>
      </c>
      <c t="s">
        <v>19978</v>
      </c>
      <c t="s">
        <v>3093</v>
      </c>
      <c t="s">
        <v>16467</v>
      </c>
    </row>
    <row>
      <c t="s">
        <v>42103</v>
      </c>
      <c t="s">
        <v>52207</v>
      </c>
      <c t="s">
        <v>51452</v>
      </c>
      <c t="s">
        <v>60449</v>
      </c>
      <c t="s">
        <v>53624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605.74</v>
      </c>
      <c s="1" t="str">
        <f ca="1">HYPERLINK("https://web.datatree.com/?/property?propertyId=32407068", "https://web.datatree.com/?/property?propertyId=32407068")</f>
        <v>https://web.datatree.com/?/property?propertyId=32407068</v>
      </c>
      <c r="Q1225" t="s">
        <v>316</v>
      </c>
      <c>
        <v>0.23</v>
      </c>
      <c t="s">
        <v>22490</v>
      </c>
      <c t="s">
        <v>60671</v>
      </c>
      <c t="s">
        <v>24432</v>
      </c>
      <c t="s">
        <v>56498</v>
      </c>
      <c t="s">
        <v>24432</v>
      </c>
      <c t="s">
        <v>42107</v>
      </c>
      <c t="s">
        <v>41506</v>
      </c>
      <c t="s">
        <v>2517</v>
      </c>
      <c t="s">
        <v>39289</v>
      </c>
      <c>
        <v>33909</v>
      </c>
      <c t="s">
        <v>31428</v>
      </c>
      <c t="s">
        <v>48794</v>
      </c>
      <c t="s">
        <v>12815</v>
      </c>
      <c r="AI1225" t="s">
        <v>64928</v>
      </c>
      <c r="AL1225" t="s">
        <v>6144</v>
      </c>
      <c r="AN1225" t="s">
        <v>50917</v>
      </c>
      <c>
        <v>10458</v>
      </c>
      <c t="s">
        <v>57549</v>
      </c>
      <c t="s">
        <v>3093</v>
      </c>
      <c t="s">
        <v>61676</v>
      </c>
    </row>
    <row>
      <c t="s">
        <v>17594</v>
      </c>
      <c t="s">
        <v>15588</v>
      </c>
      <c t="s">
        <v>67097</v>
      </c>
      <c t="s">
        <v>19132</v>
      </c>
      <c t="s">
        <v>17042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1226" s="1" t="str">
        <f ca="1">HYPERLINK("https://web.datatree.com/?/property?propertyId=32408193", "https://web.datatree.com/?/property?propertyId=32408193")</f>
        <v>https://web.datatree.com/?/property?propertyId=32408193</v>
      </c>
      <c r="Q1226" t="s">
        <v>316</v>
      </c>
      <c>
        <v>0.23</v>
      </c>
      <c t="s">
        <v>22490</v>
      </c>
      <c t="s">
        <v>46676</v>
      </c>
      <c t="s">
        <v>45794</v>
      </c>
      <c t="s">
        <v>13478</v>
      </c>
      <c r="X1226" t="s">
        <v>47225</v>
      </c>
      <c t="s">
        <v>55273</v>
      </c>
      <c t="s">
        <v>2517</v>
      </c>
      <c t="s">
        <v>39289</v>
      </c>
      <c>
        <v>33909</v>
      </c>
      <c t="s">
        <v>55689</v>
      </c>
      <c t="s">
        <v>48794</v>
      </c>
      <c t="s">
        <v>57739</v>
      </c>
      <c>
        <v>6911</v>
      </c>
      <c r="AH1226" t="s">
        <v>12549</v>
      </c>
      <c t="s">
        <v>52171</v>
      </c>
      <c t="s">
        <v>24900</v>
      </c>
      <c r="AL1226" t="s">
        <v>40475</v>
      </c>
      <c t="s">
        <v>40475</v>
      </c>
      <c t="s">
        <v>4477</v>
      </c>
      <c t="s">
        <v>39709</v>
      </c>
      <c t="s">
        <v>26416</v>
      </c>
      <c t="s">
        <v>3093</v>
      </c>
      <c t="s">
        <v>45928</v>
      </c>
    </row>
    <row>
      <c t="s">
        <v>17594</v>
      </c>
      <c t="s">
        <v>62142</v>
      </c>
      <c t="s">
        <v>45480</v>
      </c>
      <c t="s">
        <v>14891</v>
      </c>
      <c t="s">
        <v>13533</v>
      </c>
      <c s="3">
        <v>22152</v>
      </c>
      <c s="3">
        <v>22152</v>
      </c>
      <c s="3">
        <v>22152</v>
      </c>
      <c>
        <v>0</v>
      </c>
      <c s="3">
        <v>0</v>
      </c>
      <c s="3">
        <v>633.3</v>
      </c>
      <c s="3">
        <v>22152</v>
      </c>
      <c r="O1227" s="1" t="str">
        <f ca="1">HYPERLINK("https://web.datatree.com/?/property?propertyId=32408446", "https://web.datatree.com/?/property?propertyId=32408446")</f>
        <v>https://web.datatree.com/?/property?propertyId=32408446</v>
      </c>
      <c r="Q1227" t="s">
        <v>316</v>
      </c>
      <c>
        <v>0.244</v>
      </c>
      <c t="s">
        <v>22490</v>
      </c>
      <c t="s">
        <v>64470</v>
      </c>
      <c t="s">
        <v>64286</v>
      </c>
      <c r="X1227" t="s">
        <v>7940</v>
      </c>
      <c t="s">
        <v>66701</v>
      </c>
      <c t="s">
        <v>2517</v>
      </c>
      <c t="s">
        <v>39289</v>
      </c>
      <c>
        <v>33909</v>
      </c>
      <c t="s">
        <v>55654</v>
      </c>
      <c t="s">
        <v>48794</v>
      </c>
      <c t="s">
        <v>13346</v>
      </c>
      <c>
        <v>10072</v>
      </c>
      <c r="AI1227" t="s">
        <v>63024</v>
      </c>
      <c t="s">
        <v>31192</v>
      </c>
      <c r="AL1227" t="s">
        <v>25565</v>
      </c>
      <c r="AN1227" t="s">
        <v>14798</v>
      </c>
      <c t="s">
        <v>1261</v>
      </c>
      <c t="s">
        <v>22455</v>
      </c>
      <c t="s">
        <v>3093</v>
      </c>
      <c t="s">
        <v>24458</v>
      </c>
    </row>
    <row>
      <c t="s">
        <v>17594</v>
      </c>
      <c t="s">
        <v>22288</v>
      </c>
      <c t="s">
        <v>36773</v>
      </c>
      <c t="s">
        <v>62226</v>
      </c>
      <c t="s">
        <v>46669</v>
      </c>
      <c s="3">
        <v>22874</v>
      </c>
      <c s="3">
        <v>22874</v>
      </c>
      <c s="3">
        <v>9433</v>
      </c>
      <c>
        <v>0</v>
      </c>
      <c s="3">
        <v>0</v>
      </c>
      <c s="3">
        <v>411.77</v>
      </c>
      <c s="3">
        <v>22874</v>
      </c>
      <c r="O1228" s="1" t="str">
        <f ca="1">HYPERLINK("https://web.datatree.com/?/property?propertyId=32408756", "https://web.datatree.com/?/property?propertyId=32408756")</f>
        <v>https://web.datatree.com/?/property?propertyId=32408756</v>
      </c>
      <c r="Q1228" t="s">
        <v>316</v>
      </c>
      <c>
        <v>0.22</v>
      </c>
      <c t="s">
        <v>5471</v>
      </c>
      <c t="s">
        <v>209</v>
      </c>
      <c t="s">
        <v>25208</v>
      </c>
      <c r="X1228" t="s">
        <v>38695</v>
      </c>
      <c t="s">
        <v>22254</v>
      </c>
      <c t="s">
        <v>65059</v>
      </c>
      <c t="s">
        <v>39289</v>
      </c>
      <c>
        <v>33905</v>
      </c>
      <c t="s">
        <v>23265</v>
      </c>
      <c t="s">
        <v>48794</v>
      </c>
      <c t="s">
        <v>59614</v>
      </c>
      <c>
        <v>359</v>
      </c>
      <c r="AI1228" t="s">
        <v>38714</v>
      </c>
      <c t="s">
        <v>24900</v>
      </c>
      <c t="s">
        <v>25384</v>
      </c>
      <c t="s">
        <v>13767</v>
      </c>
      <c r="AN1228" t="s">
        <v>65451</v>
      </c>
      <c t="s">
        <v>63707</v>
      </c>
      <c t="s">
        <v>15968</v>
      </c>
      <c t="s">
        <v>3093</v>
      </c>
      <c t="s">
        <v>42490</v>
      </c>
    </row>
    <row>
      <c t="s">
        <v>17594</v>
      </c>
      <c t="s">
        <v>54630</v>
      </c>
      <c t="s">
        <v>26107</v>
      </c>
      <c t="s">
        <v>1638</v>
      </c>
      <c t="s">
        <v>46803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1229" s="1" t="str">
        <f ca="1">HYPERLINK("https://web.datatree.com/?/property?propertyId=32408856", "https://web.datatree.com/?/property?propertyId=32408856")</f>
        <v>https://web.datatree.com/?/property?propertyId=32408856</v>
      </c>
      <c r="Q1229" t="s">
        <v>316</v>
      </c>
      <c>
        <v>0.244</v>
      </c>
      <c t="s">
        <v>6175</v>
      </c>
      <c t="s">
        <v>3293</v>
      </c>
      <c t="s">
        <v>14665</v>
      </c>
      <c t="s">
        <v>32375</v>
      </c>
      <c t="s">
        <v>14665</v>
      </c>
      <c t="s">
        <v>34612</v>
      </c>
      <c t="s">
        <v>39082</v>
      </c>
      <c t="s">
        <v>2517</v>
      </c>
      <c t="s">
        <v>39289</v>
      </c>
      <c>
        <v>33909</v>
      </c>
      <c t="s">
        <v>64270</v>
      </c>
      <c t="s">
        <v>48794</v>
      </c>
      <c t="s">
        <v>24624</v>
      </c>
      <c>
        <v>388</v>
      </c>
      <c r="AI1229" t="s">
        <v>66275</v>
      </c>
      <c t="s">
        <v>24900</v>
      </c>
      <c r="AL1229" t="s">
        <v>46985</v>
      </c>
      <c r="AN1229" t="s">
        <v>50917</v>
      </c>
      <c t="s">
        <v>56425</v>
      </c>
      <c t="s">
        <v>43446</v>
      </c>
      <c t="s">
        <v>3093</v>
      </c>
      <c t="s">
        <v>57333</v>
      </c>
    </row>
    <row>
      <c t="s">
        <v>17594</v>
      </c>
      <c t="s">
        <v>31804</v>
      </c>
      <c t="s">
        <v>20656</v>
      </c>
      <c t="s">
        <v>3852</v>
      </c>
      <c t="s">
        <v>14225</v>
      </c>
      <c s="3">
        <v>8085</v>
      </c>
      <c s="3">
        <v>8085</v>
      </c>
      <c s="3">
        <v>8085</v>
      </c>
      <c>
        <v>0</v>
      </c>
      <c s="3">
        <v>0</v>
      </c>
      <c s="3">
        <v>741.27</v>
      </c>
      <c s="3">
        <v>8085</v>
      </c>
      <c r="O1230" s="1" t="str">
        <f ca="1">HYPERLINK("https://web.datatree.com/?/property?propertyId=32409021", "https://web.datatree.com/?/property?propertyId=32409021")</f>
        <v>https://web.datatree.com/?/property?propertyId=32409021</v>
      </c>
      <c r="Q1230" t="s">
        <v>316</v>
      </c>
      <c>
        <v>0.412</v>
      </c>
      <c t="s">
        <v>6175</v>
      </c>
      <c t="s">
        <v>44541</v>
      </c>
      <c t="s">
        <v>17937</v>
      </c>
      <c t="s">
        <v>23659</v>
      </c>
      <c t="s">
        <v>17937</v>
      </c>
      <c t="s">
        <v>63534</v>
      </c>
      <c t="s">
        <v>13829</v>
      </c>
      <c t="s">
        <v>2517</v>
      </c>
      <c t="s">
        <v>39289</v>
      </c>
      <c>
        <v>33909</v>
      </c>
      <c t="s">
        <v>21880</v>
      </c>
      <c t="s">
        <v>48794</v>
      </c>
      <c t="s">
        <v>41281</v>
      </c>
      <c>
        <v>1110</v>
      </c>
      <c r="AI1230" t="s">
        <v>24720</v>
      </c>
      <c t="s">
        <v>55842</v>
      </c>
      <c r="AL1230" t="s">
        <v>52789</v>
      </c>
      <c r="AN1230" t="s">
        <v>39289</v>
      </c>
      <c t="s">
        <v>14475</v>
      </c>
      <c t="s">
        <v>52393</v>
      </c>
      <c t="s">
        <v>3093</v>
      </c>
      <c t="s">
        <v>30971</v>
      </c>
    </row>
    <row>
      <c t="s">
        <v>17594</v>
      </c>
      <c t="s">
        <v>6370</v>
      </c>
      <c t="s">
        <v>19181</v>
      </c>
      <c t="s">
        <v>44415</v>
      </c>
      <c t="s">
        <v>65605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1231" s="1" t="str">
        <f ca="1">HYPERLINK("https://web.datatree.com/?/property?propertyId=32409134", "https://web.datatree.com/?/property?propertyId=32409134")</f>
        <v>https://web.datatree.com/?/property?propertyId=32409134</v>
      </c>
      <c r="Q1231" t="s">
        <v>316</v>
      </c>
      <c>
        <v>0.241</v>
      </c>
      <c t="s">
        <v>6175</v>
      </c>
      <c t="s">
        <v>54895</v>
      </c>
      <c t="s">
        <v>50646</v>
      </c>
      <c r="X1231" t="s">
        <v>6982</v>
      </c>
      <c t="s">
        <v>61865</v>
      </c>
      <c t="s">
        <v>2517</v>
      </c>
      <c t="s">
        <v>39289</v>
      </c>
      <c>
        <v>33909</v>
      </c>
      <c t="s">
        <v>6738</v>
      </c>
      <c t="s">
        <v>48794</v>
      </c>
      <c t="s">
        <v>24384</v>
      </c>
      <c>
        <v>6940</v>
      </c>
      <c r="AI1231" t="s">
        <v>42943</v>
      </c>
      <c t="s">
        <v>45393</v>
      </c>
      <c r="AL1231" t="s">
        <v>23828</v>
      </c>
      <c r="AN1231" t="s">
        <v>39289</v>
      </c>
      <c t="s">
        <v>9698</v>
      </c>
      <c t="s">
        <v>41946</v>
      </c>
      <c t="s">
        <v>3093</v>
      </c>
      <c t="s">
        <v>33376</v>
      </c>
    </row>
    <row>
      <c t="s">
        <v>17594</v>
      </c>
      <c t="s">
        <v>35090</v>
      </c>
      <c t="s">
        <v>24505</v>
      </c>
      <c t="s">
        <v>33078</v>
      </c>
      <c t="s">
        <v>45684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232" s="1" t="str">
        <f ca="1">HYPERLINK("https://web.datatree.com/?/property?propertyId=32409854", "https://web.datatree.com/?/property?propertyId=32409854")</f>
        <v>https://web.datatree.com/?/property?propertyId=32409854</v>
      </c>
      <c r="Q1232" t="s">
        <v>316</v>
      </c>
      <c>
        <v>0.23</v>
      </c>
      <c t="s">
        <v>6175</v>
      </c>
      <c t="s">
        <v>15568</v>
      </c>
      <c t="s">
        <v>11787</v>
      </c>
      <c t="s">
        <v>5745</v>
      </c>
      <c t="s">
        <v>11787</v>
      </c>
      <c t="s">
        <v>55989</v>
      </c>
      <c t="s">
        <v>14917</v>
      </c>
      <c t="s">
        <v>2517</v>
      </c>
      <c t="s">
        <v>39289</v>
      </c>
      <c>
        <v>33909</v>
      </c>
      <c t="s">
        <v>20646</v>
      </c>
      <c t="s">
        <v>48794</v>
      </c>
      <c t="s">
        <v>30849</v>
      </c>
      <c>
        <v>7</v>
      </c>
      <c r="AI1232" t="s">
        <v>60157</v>
      </c>
      <c r="AL1232" t="s">
        <v>44951</v>
      </c>
      <c r="AN1232" t="s">
        <v>63985</v>
      </c>
      <c>
        <v>64331</v>
      </c>
      <c r="AR1232" t="s">
        <v>895</v>
      </c>
    </row>
    <row>
      <c t="s">
        <v>17594</v>
      </c>
      <c t="s">
        <v>45990</v>
      </c>
      <c t="s">
        <v>34474</v>
      </c>
      <c t="s">
        <v>44219</v>
      </c>
      <c t="s">
        <v>20761</v>
      </c>
      <c s="3">
        <v>47864</v>
      </c>
      <c s="3">
        <v>47864</v>
      </c>
      <c s="3">
        <v>17448</v>
      </c>
      <c>
        <v>0</v>
      </c>
      <c s="3">
        <v>0</v>
      </c>
      <c s="3">
        <v>857.63</v>
      </c>
      <c s="3">
        <v>47864</v>
      </c>
      <c r="O1233" s="1" t="str">
        <f ca="1">HYPERLINK("https://web.datatree.com/?/property?propertyId=32410362", "https://web.datatree.com/?/property?propertyId=32410362")</f>
        <v>https://web.datatree.com/?/property?propertyId=32410362</v>
      </c>
      <c r="Q1233" t="s">
        <v>316</v>
      </c>
      <c>
        <v>0.23</v>
      </c>
      <c t="s">
        <v>6175</v>
      </c>
      <c r="U1233" t="s">
        <v>56883</v>
      </c>
      <c r="W1233" t="s">
        <v>28810</v>
      </c>
      <c t="s">
        <v>45285</v>
      </c>
      <c t="s">
        <v>49674</v>
      </c>
      <c t="s">
        <v>2517</v>
      </c>
      <c t="s">
        <v>39289</v>
      </c>
      <c>
        <v>33904</v>
      </c>
      <c t="s">
        <v>20373</v>
      </c>
      <c t="s">
        <v>48794</v>
      </c>
      <c t="s">
        <v>17663</v>
      </c>
      <c>
        <v>356</v>
      </c>
      <c r="AI1233" t="s">
        <v>51598</v>
      </c>
      <c t="s">
        <v>31192</v>
      </c>
      <c r="AL1233" t="s">
        <v>34305</v>
      </c>
      <c t="s">
        <v>34305</v>
      </c>
      <c t="s">
        <v>17134</v>
      </c>
      <c t="s">
        <v>64504</v>
      </c>
      <c t="s">
        <v>12241</v>
      </c>
      <c t="s">
        <v>3093</v>
      </c>
      <c t="s">
        <v>26835</v>
      </c>
    </row>
    <row>
      <c t="s">
        <v>17594</v>
      </c>
      <c t="s">
        <v>33513</v>
      </c>
      <c t="s">
        <v>11190</v>
      </c>
      <c t="s">
        <v>21391</v>
      </c>
      <c t="s">
        <v>7381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234" s="1" t="str">
        <f ca="1">HYPERLINK("https://web.datatree.com/?/property?propertyId=32410691", "https://web.datatree.com/?/property?propertyId=32410691")</f>
        <v>https://web.datatree.com/?/property?propertyId=32410691</v>
      </c>
      <c r="Q1234" t="s">
        <v>316</v>
      </c>
      <c>
        <v>0.23</v>
      </c>
      <c t="s">
        <v>6175</v>
      </c>
      <c t="s">
        <v>58276</v>
      </c>
      <c t="s">
        <v>43689</v>
      </c>
      <c t="s">
        <v>27351</v>
      </c>
      <c t="s">
        <v>43689</v>
      </c>
      <c t="s">
        <v>19203</v>
      </c>
      <c t="s">
        <v>2619</v>
      </c>
      <c t="s">
        <v>2517</v>
      </c>
      <c t="s">
        <v>39289</v>
      </c>
      <c>
        <v>33909</v>
      </c>
      <c t="s">
        <v>27463</v>
      </c>
      <c t="s">
        <v>48794</v>
      </c>
      <c t="s">
        <v>10135</v>
      </c>
      <c>
        <v>8409</v>
      </c>
      <c r="AI1234" t="s">
        <v>50862</v>
      </c>
      <c t="s">
        <v>41372</v>
      </c>
      <c r="AL1234" t="s">
        <v>24373</v>
      </c>
      <c r="AN1234" t="s">
        <v>22275</v>
      </c>
      <c t="s">
        <v>16106</v>
      </c>
      <c t="s">
        <v>24994</v>
      </c>
      <c t="s">
        <v>3093</v>
      </c>
      <c t="s">
        <v>25946</v>
      </c>
    </row>
    <row>
      <c t="s">
        <v>17594</v>
      </c>
      <c t="s">
        <v>15834</v>
      </c>
      <c t="s">
        <v>23783</v>
      </c>
      <c t="s">
        <v>27352</v>
      </c>
      <c t="s">
        <v>40330</v>
      </c>
      <c s="3">
        <v>15675</v>
      </c>
      <c s="3">
        <v>15675</v>
      </c>
      <c s="3">
        <v>5657</v>
      </c>
      <c>
        <v>0</v>
      </c>
      <c s="3">
        <v>0</v>
      </c>
      <c s="3">
        <v>334.6</v>
      </c>
      <c s="3">
        <v>15675</v>
      </c>
      <c r="O1235" s="1" t="str">
        <f ca="1">HYPERLINK("https://web.datatree.com/?/property?propertyId=32410888", "https://web.datatree.com/?/property?propertyId=32410888")</f>
        <v>https://web.datatree.com/?/property?propertyId=32410888</v>
      </c>
      <c r="Q1235" t="s">
        <v>316</v>
      </c>
      <c>
        <v>0.243</v>
      </c>
      <c t="s">
        <v>5471</v>
      </c>
      <c t="s">
        <v>24894</v>
      </c>
      <c t="s">
        <v>10215</v>
      </c>
      <c r="X1235" t="s">
        <v>28078</v>
      </c>
      <c t="s">
        <v>51919</v>
      </c>
      <c t="s">
        <v>65059</v>
      </c>
      <c t="s">
        <v>39289</v>
      </c>
      <c>
        <v>33905</v>
      </c>
      <c t="s">
        <v>64961</v>
      </c>
      <c t="s">
        <v>48794</v>
      </c>
      <c t="s">
        <v>42254</v>
      </c>
      <c>
        <v>11</v>
      </c>
      <c r="AI1235" t="s">
        <v>35789</v>
      </c>
      <c t="s">
        <v>31192</v>
      </c>
      <c t="s">
        <v>59513</v>
      </c>
      <c t="s">
        <v>13397</v>
      </c>
      <c r="AN1235" t="s">
        <v>50917</v>
      </c>
      <c t="s">
        <v>17803</v>
      </c>
      <c t="s">
        <v>34342</v>
      </c>
      <c t="s">
        <v>3093</v>
      </c>
      <c t="s">
        <v>30731</v>
      </c>
    </row>
    <row>
      <c t="s">
        <v>17594</v>
      </c>
      <c t="s">
        <v>6772</v>
      </c>
      <c t="s">
        <v>65511</v>
      </c>
      <c t="s">
        <v>18128</v>
      </c>
      <c t="s">
        <v>22156</v>
      </c>
      <c s="3">
        <v>10000</v>
      </c>
      <c s="3">
        <v>10000</v>
      </c>
      <c s="3">
        <v>4992</v>
      </c>
      <c>
        <v>0</v>
      </c>
      <c s="3">
        <v>0</v>
      </c>
      <c s="3">
        <v>114.24</v>
      </c>
      <c s="3">
        <v>10000</v>
      </c>
      <c r="O1236" s="1" t="str">
        <f ca="1">HYPERLINK("https://web.datatree.com/?/property?propertyId=32410939", "https://web.datatree.com/?/property?propertyId=32410939")</f>
        <v>https://web.datatree.com/?/property?propertyId=32410939</v>
      </c>
      <c r="Q1236" t="s">
        <v>316</v>
      </c>
      <c>
        <v>0.151</v>
      </c>
      <c t="s">
        <v>66399</v>
      </c>
      <c t="s">
        <v>6153</v>
      </c>
      <c t="s">
        <v>25102</v>
      </c>
      <c r="X1236" t="s">
        <v>41836</v>
      </c>
      <c t="s">
        <v>61227</v>
      </c>
      <c t="s">
        <v>65059</v>
      </c>
      <c t="s">
        <v>39289</v>
      </c>
      <c>
        <v>33905</v>
      </c>
      <c>
        <v>33905</v>
      </c>
      <c t="s">
        <v>48794</v>
      </c>
      <c t="s">
        <v>30380</v>
      </c>
      <c>
        <v>212</v>
      </c>
      <c r="AI1236" t="s">
        <v>55646</v>
      </c>
      <c t="s">
        <v>24900</v>
      </c>
      <c r="AL1236" t="s">
        <v>13974</v>
      </c>
      <c t="s">
        <v>18343</v>
      </c>
      <c t="s">
        <v>24792</v>
      </c>
      <c t="s">
        <v>37698</v>
      </c>
      <c t="s">
        <v>4797</v>
      </c>
      <c t="s">
        <v>3093</v>
      </c>
      <c t="s">
        <v>61025</v>
      </c>
    </row>
    <row>
      <c t="s">
        <v>17594</v>
      </c>
      <c t="s">
        <v>47894</v>
      </c>
      <c t="s">
        <v>30066</v>
      </c>
      <c t="s">
        <v>22815</v>
      </c>
      <c t="s">
        <v>42578</v>
      </c>
      <c s="3">
        <v>17855</v>
      </c>
      <c s="3">
        <v>17855</v>
      </c>
      <c s="3">
        <v>7865</v>
      </c>
      <c>
        <v>0</v>
      </c>
      <c s="3">
        <v>0</v>
      </c>
      <c s="3">
        <v>488.16</v>
      </c>
      <c s="3">
        <v>17855</v>
      </c>
      <c r="O1237" s="1" t="str">
        <f ca="1">HYPERLINK("https://web.datatree.com/?/property?propertyId=32411255", "https://web.datatree.com/?/property?propertyId=32411255")</f>
        <v>https://web.datatree.com/?/property?propertyId=32411255</v>
      </c>
      <c r="Q1237" t="s">
        <v>316</v>
      </c>
      <c>
        <v>0.233</v>
      </c>
      <c t="s">
        <v>6175</v>
      </c>
      <c t="s">
        <v>16200</v>
      </c>
      <c t="s">
        <v>33230</v>
      </c>
      <c r="X1237" t="s">
        <v>54876</v>
      </c>
      <c t="s">
        <v>2619</v>
      </c>
      <c t="s">
        <v>2517</v>
      </c>
      <c t="s">
        <v>39289</v>
      </c>
      <c>
        <v>33909</v>
      </c>
      <c t="s">
        <v>37833</v>
      </c>
      <c t="s">
        <v>48794</v>
      </c>
      <c t="s">
        <v>56322</v>
      </c>
      <c>
        <v>2522</v>
      </c>
      <c r="AI1237" t="s">
        <v>15462</v>
      </c>
      <c t="s">
        <v>24900</v>
      </c>
      <c r="AL1237" t="s">
        <v>2466</v>
      </c>
      <c r="AN1237" t="s">
        <v>66651</v>
      </c>
      <c t="s">
        <v>62670</v>
      </c>
      <c t="s">
        <v>61719</v>
      </c>
      <c t="s">
        <v>3093</v>
      </c>
      <c t="s">
        <v>22186</v>
      </c>
    </row>
    <row>
      <c t="s">
        <v>17594</v>
      </c>
      <c t="s">
        <v>13671</v>
      </c>
      <c t="s">
        <v>21289</v>
      </c>
      <c t="s">
        <v>21220</v>
      </c>
      <c t="s">
        <v>14458</v>
      </c>
      <c s="3">
        <v>7600</v>
      </c>
      <c s="3">
        <v>7600</v>
      </c>
      <c s="3">
        <v>7600</v>
      </c>
      <c>
        <v>0</v>
      </c>
      <c s="3">
        <v>0</v>
      </c>
      <c s="3">
        <v>603.28</v>
      </c>
      <c s="3">
        <v>7600</v>
      </c>
      <c r="O1238" s="1" t="str">
        <f ca="1">HYPERLINK("https://web.datatree.com/?/property?propertyId=32412376", "https://web.datatree.com/?/property?propertyId=32412376")</f>
        <v>https://web.datatree.com/?/property?propertyId=32412376</v>
      </c>
      <c r="Q1238" t="s">
        <v>316</v>
      </c>
      <c>
        <v>0.297</v>
      </c>
      <c t="s">
        <v>6175</v>
      </c>
      <c t="s">
        <v>6361</v>
      </c>
      <c t="s">
        <v>20254</v>
      </c>
      <c t="s">
        <v>50331</v>
      </c>
      <c t="s">
        <v>19282</v>
      </c>
      <c t="s">
        <v>1323</v>
      </c>
      <c t="s">
        <v>23517</v>
      </c>
      <c t="s">
        <v>2517</v>
      </c>
      <c t="s">
        <v>39289</v>
      </c>
      <c>
        <v>33909</v>
      </c>
      <c t="s">
        <v>15670</v>
      </c>
      <c t="s">
        <v>48794</v>
      </c>
      <c t="s">
        <v>26299</v>
      </c>
      <c>
        <v>204</v>
      </c>
      <c r="AI1238" t="s">
        <v>58045</v>
      </c>
      <c t="s">
        <v>4985</v>
      </c>
      <c r="AL1238" t="s">
        <v>10781</v>
      </c>
      <c r="AN1238" t="s">
        <v>50917</v>
      </c>
      <c t="s">
        <v>18247</v>
      </c>
      <c t="s">
        <v>22455</v>
      </c>
      <c t="s">
        <v>3093</v>
      </c>
      <c t="s">
        <v>46899</v>
      </c>
    </row>
    <row>
      <c t="s">
        <v>42103</v>
      </c>
      <c t="s">
        <v>50788</v>
      </c>
      <c t="s">
        <v>51279</v>
      </c>
      <c t="s">
        <v>55375</v>
      </c>
      <c t="s">
        <v>59925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239" s="1" t="str">
        <f ca="1">HYPERLINK("https://web.datatree.com/?/property?propertyId=32412493", "https://web.datatree.com/?/property?propertyId=32412493")</f>
        <v>https://web.datatree.com/?/property?propertyId=32412493</v>
      </c>
      <c r="Q1239" t="s">
        <v>316</v>
      </c>
      <c>
        <v>0.23</v>
      </c>
      <c t="s">
        <v>42044</v>
      </c>
      <c t="s">
        <v>29462</v>
      </c>
      <c t="s">
        <v>17165</v>
      </c>
      <c t="s">
        <v>16811</v>
      </c>
      <c t="s">
        <v>17165</v>
      </c>
      <c t="s">
        <v>38337</v>
      </c>
      <c t="s">
        <v>61144</v>
      </c>
      <c t="s">
        <v>2517</v>
      </c>
      <c t="s">
        <v>39289</v>
      </c>
      <c>
        <v>33909</v>
      </c>
      <c>
        <v>33909</v>
      </c>
      <c t="s">
        <v>48794</v>
      </c>
      <c t="s">
        <v>57245</v>
      </c>
      <c r="AI1239" t="s">
        <v>8838</v>
      </c>
      <c r="AL1239" t="s">
        <v>50087</v>
      </c>
      <c r="AN1239" t="s">
        <v>10909</v>
      </c>
      <c t="s">
        <v>47086</v>
      </c>
      <c r="AQ1239" t="s">
        <v>27814</v>
      </c>
      <c t="s">
        <v>59744</v>
      </c>
    </row>
    <row>
      <c t="s">
        <v>17594</v>
      </c>
      <c t="s">
        <v>28580</v>
      </c>
      <c t="s">
        <v>30584</v>
      </c>
      <c t="s">
        <v>42716</v>
      </c>
      <c t="s">
        <v>62679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240" s="1" t="str">
        <f ca="1">HYPERLINK("https://web.datatree.com/?/property?propertyId=32412690", "https://web.datatree.com/?/property?propertyId=32412690")</f>
        <v>https://web.datatree.com/?/property?propertyId=32412690</v>
      </c>
      <c r="Q1240" t="s">
        <v>316</v>
      </c>
      <c>
        <v>0.233</v>
      </c>
      <c t="s">
        <v>6175</v>
      </c>
      <c t="s">
        <v>1859</v>
      </c>
      <c t="s">
        <v>14310</v>
      </c>
      <c t="s">
        <v>13491</v>
      </c>
      <c t="s">
        <v>14310</v>
      </c>
      <c t="s">
        <v>32865</v>
      </c>
      <c t="s">
        <v>29190</v>
      </c>
      <c t="s">
        <v>2517</v>
      </c>
      <c t="s">
        <v>39289</v>
      </c>
      <c>
        <v>33909</v>
      </c>
      <c t="s">
        <v>20743</v>
      </c>
      <c t="s">
        <v>48794</v>
      </c>
      <c t="s">
        <v>11652</v>
      </c>
      <c>
        <v>9</v>
      </c>
      <c r="AI1240" t="s">
        <v>2884</v>
      </c>
      <c t="s">
        <v>31192</v>
      </c>
      <c r="AL1240" t="s">
        <v>32998</v>
      </c>
      <c t="s">
        <v>43519</v>
      </c>
      <c t="s">
        <v>14509</v>
      </c>
      <c t="s">
        <v>30388</v>
      </c>
      <c t="s">
        <v>17380</v>
      </c>
      <c t="s">
        <v>3093</v>
      </c>
      <c t="s">
        <v>22365</v>
      </c>
    </row>
    <row>
      <c t="s">
        <v>17594</v>
      </c>
      <c t="s">
        <v>21469</v>
      </c>
      <c t="s">
        <v>58330</v>
      </c>
      <c t="s">
        <v>2332</v>
      </c>
      <c t="s">
        <v>22402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1241" s="1" t="str">
        <f ca="1">HYPERLINK("https://web.datatree.com/?/property?propertyId=32412925", "https://web.datatree.com/?/property?propertyId=32412925")</f>
        <v>https://web.datatree.com/?/property?propertyId=32412925</v>
      </c>
      <c r="Q1241" t="s">
        <v>316</v>
      </c>
      <c>
        <v>0.23</v>
      </c>
      <c t="s">
        <v>6175</v>
      </c>
      <c t="s">
        <v>46933</v>
      </c>
      <c t="s">
        <v>21656</v>
      </c>
      <c r="X1241" t="s">
        <v>48819</v>
      </c>
      <c t="s">
        <v>15510</v>
      </c>
      <c t="s">
        <v>2517</v>
      </c>
      <c t="s">
        <v>39289</v>
      </c>
      <c>
        <v>33909</v>
      </c>
      <c t="s">
        <v>24440</v>
      </c>
      <c t="s">
        <v>48794</v>
      </c>
      <c t="s">
        <v>39204</v>
      </c>
      <c>
        <v>623</v>
      </c>
      <c r="AI1241" t="s">
        <v>18649</v>
      </c>
      <c t="s">
        <v>45620</v>
      </c>
      <c r="AL1241" t="s">
        <v>64118</v>
      </c>
      <c r="AN1241" t="s">
        <v>19878</v>
      </c>
      <c t="s">
        <v>35088</v>
      </c>
      <c t="s">
        <v>34162</v>
      </c>
      <c t="s">
        <v>3093</v>
      </c>
      <c t="s">
        <v>42837</v>
      </c>
    </row>
    <row>
      <c t="s">
        <v>17594</v>
      </c>
      <c t="s">
        <v>15141</v>
      </c>
      <c t="s">
        <v>43504</v>
      </c>
      <c t="s">
        <v>30539</v>
      </c>
      <c t="s">
        <v>4932</v>
      </c>
      <c s="3">
        <v>12544</v>
      </c>
      <c s="3">
        <v>12544</v>
      </c>
      <c s="3">
        <v>7700</v>
      </c>
      <c>
        <v>0</v>
      </c>
      <c s="3">
        <v>0</v>
      </c>
      <c s="3">
        <v>332.83</v>
      </c>
      <c s="3">
        <v>12544</v>
      </c>
      <c r="O1242" s="1" t="str">
        <f ca="1">HYPERLINK("https://web.datatree.com/?/property?propertyId=32413231", "https://web.datatree.com/?/property?propertyId=32413231")</f>
        <v>https://web.datatree.com/?/property?propertyId=32413231</v>
      </c>
      <c r="Q1242" t="s">
        <v>316</v>
      </c>
      <c>
        <v>0.23</v>
      </c>
      <c t="s">
        <v>5471</v>
      </c>
      <c t="s">
        <v>42212</v>
      </c>
      <c t="s">
        <v>17897</v>
      </c>
      <c r="X1242" t="s">
        <v>8137</v>
      </c>
      <c t="s">
        <v>4082</v>
      </c>
      <c t="s">
        <v>65059</v>
      </c>
      <c t="s">
        <v>39289</v>
      </c>
      <c>
        <v>33905</v>
      </c>
      <c t="s">
        <v>2037</v>
      </c>
      <c t="s">
        <v>48794</v>
      </c>
      <c t="s">
        <v>54598</v>
      </c>
      <c>
        <v>259</v>
      </c>
      <c r="AI1242" t="s">
        <v>34731</v>
      </c>
      <c t="s">
        <v>45393</v>
      </c>
      <c r="AL1242" t="s">
        <v>52707</v>
      </c>
      <c t="s">
        <v>52707</v>
      </c>
      <c t="s">
        <v>17134</v>
      </c>
      <c t="s">
        <v>20934</v>
      </c>
      <c t="s">
        <v>14695</v>
      </c>
      <c t="s">
        <v>3093</v>
      </c>
      <c t="s">
        <v>30082</v>
      </c>
    </row>
    <row>
      <c t="s">
        <v>17594</v>
      </c>
      <c t="s">
        <v>12774</v>
      </c>
      <c t="s">
        <v>56983</v>
      </c>
      <c t="s">
        <v>5007</v>
      </c>
      <c t="s">
        <v>31019</v>
      </c>
      <c s="3">
        <v>8400</v>
      </c>
      <c s="3">
        <v>8400</v>
      </c>
      <c s="3">
        <v>8400</v>
      </c>
      <c>
        <v>0</v>
      </c>
      <c s="3">
        <v>0</v>
      </c>
      <c s="3">
        <v>638.03</v>
      </c>
      <c s="3">
        <v>8400</v>
      </c>
      <c r="O1243" s="1" t="str">
        <f ca="1">HYPERLINK("https://web.datatree.com/?/property?propertyId=32413338", "https://web.datatree.com/?/property?propertyId=32413338")</f>
        <v>https://web.datatree.com/?/property?propertyId=32413338</v>
      </c>
      <c r="Q1243" t="s">
        <v>316</v>
      </c>
      <c>
        <v>0.281</v>
      </c>
      <c t="s">
        <v>22490</v>
      </c>
      <c t="s">
        <v>15217</v>
      </c>
      <c t="s">
        <v>28880</v>
      </c>
      <c r="X1243" t="s">
        <v>39061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58186</v>
      </c>
      <c r="AI1243" t="s">
        <v>65284</v>
      </c>
      <c r="AK1243">
        <v>16</v>
      </c>
      <c t="s">
        <v>62902</v>
      </c>
      <c r="AN1243" t="s">
        <v>63985</v>
      </c>
      <c>
        <v>40547</v>
      </c>
      <c r="AR1243" t="s">
        <v>8924</v>
      </c>
    </row>
    <row>
      <c t="s">
        <v>17594</v>
      </c>
      <c t="s">
        <v>35962</v>
      </c>
      <c t="s">
        <v>19247</v>
      </c>
      <c t="s">
        <v>51646</v>
      </c>
      <c t="s">
        <v>23062</v>
      </c>
      <c s="3">
        <v>8000</v>
      </c>
      <c s="3">
        <v>8000</v>
      </c>
      <c s="3">
        <v>8000</v>
      </c>
      <c>
        <v>0</v>
      </c>
      <c s="3">
        <v>0</v>
      </c>
      <c s="3">
        <v>605.93</v>
      </c>
      <c s="3">
        <v>8000</v>
      </c>
      <c r="O1244" s="1" t="str">
        <f ca="1">HYPERLINK("https://web.datatree.com/?/property?propertyId=32413488", "https://web.datatree.com/?/property?propertyId=32413488")</f>
        <v>https://web.datatree.com/?/property?propertyId=32413488</v>
      </c>
      <c r="Q1244" t="s">
        <v>316</v>
      </c>
      <c>
        <v>0.256</v>
      </c>
      <c t="s">
        <v>22490</v>
      </c>
      <c t="s">
        <v>42397</v>
      </c>
      <c t="s">
        <v>19502</v>
      </c>
      <c r="X1244" t="s">
        <v>10338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48610</v>
      </c>
      <c>
        <v>17208</v>
      </c>
      <c r="AI1244" t="s">
        <v>58499</v>
      </c>
      <c t="s">
        <v>31192</v>
      </c>
      <c r="AL1244" t="s">
        <v>53102</v>
      </c>
      <c r="AN1244" t="s">
        <v>51087</v>
      </c>
      <c t="s">
        <v>30285</v>
      </c>
      <c t="s">
        <v>58683</v>
      </c>
      <c t="s">
        <v>3093</v>
      </c>
      <c t="s">
        <v>45837</v>
      </c>
    </row>
    <row>
      <c t="s">
        <v>17594</v>
      </c>
      <c t="s">
        <v>13633</v>
      </c>
      <c t="s">
        <v>40657</v>
      </c>
      <c t="s">
        <v>13882</v>
      </c>
      <c t="s">
        <v>37852</v>
      </c>
      <c s="3">
        <v>41248</v>
      </c>
      <c s="3">
        <v>41248</v>
      </c>
      <c s="3">
        <v>41248</v>
      </c>
      <c>
        <v>0</v>
      </c>
      <c s="3">
        <v>0</v>
      </c>
      <c s="3">
        <v>1127.08</v>
      </c>
      <c s="3">
        <v>41248</v>
      </c>
      <c r="O1245" s="1" t="str">
        <f ca="1">HYPERLINK("https://web.datatree.com/?/property?propertyId=32413823", "https://web.datatree.com/?/property?propertyId=32413823")</f>
        <v>https://web.datatree.com/?/property?propertyId=32413823</v>
      </c>
      <c r="Q1245" t="s">
        <v>316</v>
      </c>
      <c>
        <v>0.23</v>
      </c>
      <c t="s">
        <v>22490</v>
      </c>
      <c t="s">
        <v>552</v>
      </c>
      <c t="s">
        <v>29771</v>
      </c>
      <c t="s">
        <v>773</v>
      </c>
      <c t="s">
        <v>29771</v>
      </c>
      <c t="s">
        <v>35307</v>
      </c>
      <c t="s">
        <v>29190</v>
      </c>
      <c t="s">
        <v>2517</v>
      </c>
      <c t="s">
        <v>39289</v>
      </c>
      <c>
        <v>33909</v>
      </c>
      <c t="s">
        <v>15601</v>
      </c>
      <c t="s">
        <v>48794</v>
      </c>
      <c t="s">
        <v>43980</v>
      </c>
      <c>
        <v>773</v>
      </c>
      <c r="AI1245" t="s">
        <v>23132</v>
      </c>
      <c t="s">
        <v>39321</v>
      </c>
      <c r="AL1245" t="s">
        <v>35792</v>
      </c>
      <c r="AN1245" t="s">
        <v>22275</v>
      </c>
      <c t="s">
        <v>11964</v>
      </c>
      <c t="s">
        <v>61410</v>
      </c>
      <c t="s">
        <v>3093</v>
      </c>
      <c t="s">
        <v>65687</v>
      </c>
    </row>
    <row>
      <c t="s">
        <v>17594</v>
      </c>
      <c t="s">
        <v>4032</v>
      </c>
      <c t="s">
        <v>59084</v>
      </c>
      <c t="s">
        <v>1935</v>
      </c>
      <c t="s">
        <v>21434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2021</v>
      </c>
      <c>
        <v>349.92</v>
      </c>
      <c s="1" t="str">
        <f ca="1">HYPERLINK("https://web.datatree.com/?/property?propertyId=32414214", "https://web.datatree.com/?/property?propertyId=32414214")</f>
        <v>https://web.datatree.com/?/property?propertyId=32414214</v>
      </c>
      <c r="Q1246" t="s">
        <v>316</v>
      </c>
      <c>
        <v>0.244</v>
      </c>
      <c t="s">
        <v>5471</v>
      </c>
      <c t="s">
        <v>62125</v>
      </c>
      <c t="s">
        <v>33009</v>
      </c>
      <c t="s">
        <v>53563</v>
      </c>
      <c t="s">
        <v>33009</v>
      </c>
      <c t="s">
        <v>34169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64548</v>
      </c>
      <c>
        <v>2000</v>
      </c>
      <c r="AI1246" t="s">
        <v>52791</v>
      </c>
      <c t="s">
        <v>45620</v>
      </c>
      <c r="AL1246" t="s">
        <v>24373</v>
      </c>
      <c r="AN1246" t="s">
        <v>22275</v>
      </c>
      <c t="s">
        <v>11450</v>
      </c>
      <c t="s">
        <v>48506</v>
      </c>
      <c t="s">
        <v>3093</v>
      </c>
      <c t="s">
        <v>27926</v>
      </c>
    </row>
    <row>
      <c t="s">
        <v>17594</v>
      </c>
      <c t="s">
        <v>10644</v>
      </c>
      <c t="s">
        <v>29090</v>
      </c>
      <c t="s">
        <v>21697</v>
      </c>
      <c t="s">
        <v>51294</v>
      </c>
      <c s="3">
        <v>118661</v>
      </c>
      <c s="3">
        <v>107160</v>
      </c>
      <c s="3">
        <v>114522</v>
      </c>
      <c>
        <v>0</v>
      </c>
      <c s="3">
        <v>0</v>
      </c>
      <c s="3">
        <v>1723.55</v>
      </c>
      <c s="3">
        <v>118661</v>
      </c>
      <c r="O1247" s="1" t="str">
        <f ca="1">HYPERLINK("https://web.datatree.com/?/property?propertyId=32414296", "https://web.datatree.com/?/property?propertyId=32414296")</f>
        <v>https://web.datatree.com/?/property?propertyId=32414296</v>
      </c>
      <c r="Q1247" t="s">
        <v>316</v>
      </c>
      <c>
        <v>0.123</v>
      </c>
      <c t="s">
        <v>26492</v>
      </c>
      <c t="s">
        <v>13593</v>
      </c>
      <c t="s">
        <v>30230</v>
      </c>
      <c r="X1247" t="s">
        <v>23046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28222</v>
      </c>
      <c>
        <v>1022</v>
      </c>
      <c r="AI1247" t="s">
        <v>28139</v>
      </c>
      <c t="s">
        <v>45620</v>
      </c>
      <c r="AL1247" t="s">
        <v>49873</v>
      </c>
      <c t="s">
        <v>40227</v>
      </c>
      <c t="s">
        <v>44551</v>
      </c>
      <c t="s">
        <v>51483</v>
      </c>
      <c t="s">
        <v>5652</v>
      </c>
      <c t="s">
        <v>3093</v>
      </c>
      <c t="s">
        <v>44279</v>
      </c>
    </row>
    <row>
      <c t="s">
        <v>17594</v>
      </c>
      <c t="s">
        <v>59262</v>
      </c>
      <c t="s">
        <v>23871</v>
      </c>
      <c t="s">
        <v>4078</v>
      </c>
      <c t="s">
        <v>56582</v>
      </c>
      <c s="3">
        <v>54652</v>
      </c>
      <c s="3">
        <v>54652</v>
      </c>
      <c s="3">
        <v>53295</v>
      </c>
      <c>
        <v>0</v>
      </c>
      <c s="3">
        <v>0</v>
      </c>
      <c s="3">
        <v>841.87</v>
      </c>
      <c s="3">
        <v>54652</v>
      </c>
      <c>
        <v>2018</v>
      </c>
      <c>
        <v>4600.51</v>
      </c>
      <c s="1" t="str">
        <f ca="1">HYPERLINK("https://web.datatree.com/?/property?propertyId=32415261", "https://web.datatree.com/?/property?propertyId=32415261")</f>
        <v>https://web.datatree.com/?/property?propertyId=32415261</v>
      </c>
      <c r="Q1248" t="s">
        <v>316</v>
      </c>
      <c>
        <v>0.108</v>
      </c>
      <c t="s">
        <v>26492</v>
      </c>
      <c t="s">
        <v>552</v>
      </c>
      <c t="s">
        <v>30936</v>
      </c>
      <c r="X1248" t="s">
        <v>391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9910</v>
      </c>
      <c>
        <v>2055</v>
      </c>
      <c r="AI1248" t="s">
        <v>40213</v>
      </c>
      <c t="s">
        <v>31192</v>
      </c>
      <c>
        <v>5843</v>
      </c>
      <c t="s">
        <v>48150</v>
      </c>
      <c t="s">
        <v>40227</v>
      </c>
      <c t="s">
        <v>39289</v>
      </c>
      <c t="s">
        <v>41670</v>
      </c>
      <c t="s">
        <v>58410</v>
      </c>
      <c t="s">
        <v>3093</v>
      </c>
      <c t="s">
        <v>46626</v>
      </c>
    </row>
    <row>
      <c t="s">
        <v>17594</v>
      </c>
      <c t="s">
        <v>39337</v>
      </c>
      <c t="s">
        <v>14951</v>
      </c>
      <c t="s">
        <v>65322</v>
      </c>
      <c t="s">
        <v>6190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1249" s="1" t="str">
        <f ca="1">HYPERLINK("https://web.datatree.com/?/property?propertyId=32416300", "https://web.datatree.com/?/property?propertyId=32416300")</f>
        <v>https://web.datatree.com/?/property?propertyId=32416300</v>
      </c>
      <c r="Q1249" t="s">
        <v>316</v>
      </c>
      <c>
        <v>0.23</v>
      </c>
      <c t="s">
        <v>6175</v>
      </c>
      <c t="s">
        <v>66812</v>
      </c>
      <c t="s">
        <v>31813</v>
      </c>
      <c r="X1249" t="s">
        <v>38391</v>
      </c>
      <c t="s">
        <v>58797</v>
      </c>
      <c t="s">
        <v>2517</v>
      </c>
      <c t="s">
        <v>39289</v>
      </c>
      <c>
        <v>33909</v>
      </c>
      <c t="s">
        <v>51272</v>
      </c>
      <c t="s">
        <v>48794</v>
      </c>
      <c t="s">
        <v>14752</v>
      </c>
      <c>
        <v>850</v>
      </c>
      <c r="AI1249" t="s">
        <v>58045</v>
      </c>
      <c t="s">
        <v>45393</v>
      </c>
      <c r="AL1249" t="s">
        <v>14113</v>
      </c>
      <c r="AN1249" t="s">
        <v>26016</v>
      </c>
      <c t="s">
        <v>55550</v>
      </c>
      <c t="s">
        <v>864</v>
      </c>
      <c t="s">
        <v>3093</v>
      </c>
      <c t="s">
        <v>43299</v>
      </c>
    </row>
    <row>
      <c t="s">
        <v>17594</v>
      </c>
      <c t="s">
        <v>43369</v>
      </c>
      <c t="s">
        <v>42573</v>
      </c>
      <c t="s">
        <v>19513</v>
      </c>
      <c t="s">
        <v>28539</v>
      </c>
      <c s="3">
        <v>13908</v>
      </c>
      <c s="3">
        <v>13908</v>
      </c>
      <c s="3">
        <v>12540</v>
      </c>
      <c>
        <v>0</v>
      </c>
      <c s="3">
        <v>0</v>
      </c>
      <c s="3">
        <v>176.54</v>
      </c>
      <c s="3">
        <v>13908</v>
      </c>
      <c>
        <v>2021</v>
      </c>
      <c>
        <v>213.8</v>
      </c>
      <c s="1" t="str">
        <f ca="1">HYPERLINK("https://web.datatree.com/?/property?propertyId=32416307", "https://web.datatree.com/?/property?propertyId=32416307")</f>
        <v>https://web.datatree.com/?/property?propertyId=32416307</v>
      </c>
      <c r="Q1250" t="s">
        <v>316</v>
      </c>
      <c>
        <v>0.223</v>
      </c>
      <c t="s">
        <v>5471</v>
      </c>
      <c t="s">
        <v>10361</v>
      </c>
      <c t="s">
        <v>33944</v>
      </c>
      <c r="X1250" t="s">
        <v>16446</v>
      </c>
      <c t="s">
        <v>42449</v>
      </c>
      <c t="s">
        <v>65059</v>
      </c>
      <c t="s">
        <v>39289</v>
      </c>
      <c>
        <v>33905</v>
      </c>
      <c t="s">
        <v>42322</v>
      </c>
      <c t="s">
        <v>48794</v>
      </c>
      <c t="s">
        <v>35377</v>
      </c>
      <c>
        <v>111</v>
      </c>
      <c r="AI1250" t="s">
        <v>42513</v>
      </c>
      <c t="s">
        <v>24900</v>
      </c>
      <c r="AL1250" t="s">
        <v>48233</v>
      </c>
      <c t="s">
        <v>48233</v>
      </c>
      <c t="s">
        <v>50917</v>
      </c>
      <c t="s">
        <v>33319</v>
      </c>
      <c t="s">
        <v>34162</v>
      </c>
      <c t="s">
        <v>3093</v>
      </c>
      <c t="s">
        <v>49539</v>
      </c>
    </row>
    <row>
      <c t="s">
        <v>17594</v>
      </c>
      <c t="s">
        <v>64527</v>
      </c>
      <c t="s">
        <v>9116</v>
      </c>
      <c t="s">
        <v>7209</v>
      </c>
      <c t="s">
        <v>53244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251" s="1" t="str">
        <f ca="1">HYPERLINK("https://web.datatree.com/?/property?propertyId=32417045", "https://web.datatree.com/?/property?propertyId=32417045")</f>
        <v>https://web.datatree.com/?/property?propertyId=32417045</v>
      </c>
      <c r="Q1251" t="s">
        <v>316</v>
      </c>
      <c>
        <v>0.23</v>
      </c>
      <c t="s">
        <v>6175</v>
      </c>
      <c t="s">
        <v>17594</v>
      </c>
      <c t="s">
        <v>14353</v>
      </c>
      <c t="s">
        <v>3965</v>
      </c>
      <c t="s">
        <v>14353</v>
      </c>
      <c t="s">
        <v>39794</v>
      </c>
      <c t="s">
        <v>29190</v>
      </c>
      <c t="s">
        <v>2517</v>
      </c>
      <c t="s">
        <v>39289</v>
      </c>
      <c>
        <v>33909</v>
      </c>
      <c t="s">
        <v>47814</v>
      </c>
      <c t="s">
        <v>48794</v>
      </c>
      <c t="s">
        <v>2926</v>
      </c>
      <c>
        <v>417</v>
      </c>
      <c r="AI1251" t="s">
        <v>7913</v>
      </c>
      <c t="s">
        <v>45620</v>
      </c>
      <c r="AL1251" t="s">
        <v>62380</v>
      </c>
      <c r="AN1251" t="s">
        <v>22275</v>
      </c>
      <c t="s">
        <v>12640</v>
      </c>
      <c t="s">
        <v>51249</v>
      </c>
      <c t="s">
        <v>3093</v>
      </c>
      <c t="s">
        <v>43785</v>
      </c>
    </row>
    <row>
      <c t="s">
        <v>17594</v>
      </c>
      <c t="s">
        <v>36100</v>
      </c>
      <c t="s">
        <v>63486</v>
      </c>
      <c t="s">
        <v>4305</v>
      </c>
      <c t="s">
        <v>51532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>
        <v>2021</v>
      </c>
      <c>
        <v>532.49</v>
      </c>
      <c s="1" t="str">
        <f ca="1">HYPERLINK("https://web.datatree.com/?/property?propertyId=32417370", "https://web.datatree.com/?/property?propertyId=32417370")</f>
        <v>https://web.datatree.com/?/property?propertyId=32417370</v>
      </c>
      <c r="Q1252" t="s">
        <v>316</v>
      </c>
      <c>
        <v>0.23</v>
      </c>
      <c t="s">
        <v>22490</v>
      </c>
      <c t="s">
        <v>51166</v>
      </c>
      <c t="s">
        <v>51958</v>
      </c>
      <c r="X1252" t="s">
        <v>31257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63856</v>
      </c>
      <c>
        <v>519</v>
      </c>
      <c r="AI1252" t="s">
        <v>51491</v>
      </c>
      <c t="s">
        <v>24900</v>
      </c>
      <c r="AL1252" t="s">
        <v>58093</v>
      </c>
      <c r="AN1252" t="s">
        <v>26016</v>
      </c>
      <c t="s">
        <v>62557</v>
      </c>
      <c t="s">
        <v>15968</v>
      </c>
      <c t="s">
        <v>3093</v>
      </c>
      <c t="s">
        <v>47787</v>
      </c>
    </row>
    <row>
      <c t="s">
        <v>17594</v>
      </c>
      <c t="s">
        <v>12953</v>
      </c>
      <c t="s">
        <v>44969</v>
      </c>
      <c t="s">
        <v>53778</v>
      </c>
      <c t="s">
        <v>34100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1253" s="1" t="str">
        <f ca="1">HYPERLINK("https://web.datatree.com/?/property?propertyId=32417386", "https://web.datatree.com/?/property?propertyId=32417386")</f>
        <v>https://web.datatree.com/?/property?propertyId=32417386</v>
      </c>
      <c r="Q1253" t="s">
        <v>316</v>
      </c>
      <c>
        <v>0.23</v>
      </c>
      <c t="s">
        <v>45031</v>
      </c>
      <c t="s">
        <v>40487</v>
      </c>
      <c t="s">
        <v>10702</v>
      </c>
      <c t="s">
        <v>3267</v>
      </c>
      <c t="s">
        <v>43055</v>
      </c>
      <c t="s">
        <v>43327</v>
      </c>
      <c t="s">
        <v>14534</v>
      </c>
      <c t="s">
        <v>2517</v>
      </c>
      <c t="s">
        <v>39289</v>
      </c>
      <c>
        <v>33909</v>
      </c>
      <c t="s">
        <v>35747</v>
      </c>
      <c t="s">
        <v>48794</v>
      </c>
      <c t="s">
        <v>58491</v>
      </c>
      <c>
        <v>610</v>
      </c>
      <c r="AI1253" t="s">
        <v>32957</v>
      </c>
      <c t="s">
        <v>40123</v>
      </c>
      <c r="AL1253" t="s">
        <v>31207</v>
      </c>
      <c t="s">
        <v>31207</v>
      </c>
      <c t="s">
        <v>18236</v>
      </c>
      <c t="s">
        <v>31561</v>
      </c>
      <c t="s">
        <v>11950</v>
      </c>
      <c t="s">
        <v>3093</v>
      </c>
      <c t="s">
        <v>43215</v>
      </c>
    </row>
    <row>
      <c t="s">
        <v>17594</v>
      </c>
      <c t="s">
        <v>16683</v>
      </c>
      <c t="s">
        <v>50399</v>
      </c>
      <c t="s">
        <v>50367</v>
      </c>
      <c t="s">
        <v>18872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254" s="1" t="str">
        <f ca="1">HYPERLINK("https://web.datatree.com/?/property?propertyId=32417604", "https://web.datatree.com/?/property?propertyId=32417604")</f>
        <v>https://web.datatree.com/?/property?propertyId=32417604</v>
      </c>
      <c r="Q1254" t="s">
        <v>316</v>
      </c>
      <c>
        <v>0.23</v>
      </c>
      <c t="s">
        <v>6175</v>
      </c>
      <c t="s">
        <v>10361</v>
      </c>
      <c t="s">
        <v>54681</v>
      </c>
      <c t="s">
        <v>16558</v>
      </c>
      <c t="s">
        <v>54681</v>
      </c>
      <c t="s">
        <v>36224</v>
      </c>
      <c t="s">
        <v>2619</v>
      </c>
      <c t="s">
        <v>2517</v>
      </c>
      <c t="s">
        <v>39289</v>
      </c>
      <c>
        <v>33909</v>
      </c>
      <c t="s">
        <v>54834</v>
      </c>
      <c t="s">
        <v>48794</v>
      </c>
      <c t="s">
        <v>49194</v>
      </c>
      <c>
        <v>11250</v>
      </c>
      <c r="AI1254" t="s">
        <v>61866</v>
      </c>
      <c t="s">
        <v>1289</v>
      </c>
      <c r="AL1254" t="s">
        <v>21872</v>
      </c>
      <c r="AN1254" t="s">
        <v>17134</v>
      </c>
      <c t="s">
        <v>9995</v>
      </c>
      <c t="s">
        <v>14695</v>
      </c>
      <c t="s">
        <v>3093</v>
      </c>
      <c t="s">
        <v>63416</v>
      </c>
    </row>
    <row>
      <c t="s">
        <v>17594</v>
      </c>
      <c t="s">
        <v>41999</v>
      </c>
      <c t="s">
        <v>46258</v>
      </c>
      <c t="s">
        <v>850</v>
      </c>
      <c t="s">
        <v>59484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255" s="1" t="str">
        <f ca="1">HYPERLINK("https://web.datatree.com/?/property?propertyId=32417982", "https://web.datatree.com/?/property?propertyId=32417982")</f>
        <v>https://web.datatree.com/?/property?propertyId=32417982</v>
      </c>
      <c r="Q1255" t="s">
        <v>316</v>
      </c>
      <c>
        <v>0.23</v>
      </c>
      <c t="s">
        <v>22490</v>
      </c>
      <c t="s">
        <v>4909</v>
      </c>
      <c t="s">
        <v>11601</v>
      </c>
      <c t="s">
        <v>38089</v>
      </c>
      <c t="s">
        <v>45895</v>
      </c>
      <c t="s">
        <v>18625</v>
      </c>
      <c t="s">
        <v>52171</v>
      </c>
      <c t="s">
        <v>2517</v>
      </c>
      <c t="s">
        <v>39289</v>
      </c>
      <c>
        <v>33909</v>
      </c>
      <c t="s">
        <v>27331</v>
      </c>
      <c t="s">
        <v>48794</v>
      </c>
      <c t="s">
        <v>6672</v>
      </c>
      <c>
        <v>46</v>
      </c>
      <c r="AI1255" t="s">
        <v>37788</v>
      </c>
      <c t="s">
        <v>45393</v>
      </c>
      <c r="AL1255" t="s">
        <v>31522</v>
      </c>
      <c r="AN1255" t="s">
        <v>19878</v>
      </c>
      <c>
        <v>38523</v>
      </c>
      <c r="AR1255" t="s">
        <v>11384</v>
      </c>
    </row>
    <row>
      <c t="s">
        <v>17594</v>
      </c>
      <c t="s">
        <v>40369</v>
      </c>
      <c t="s">
        <v>32537</v>
      </c>
      <c t="s">
        <v>23587</v>
      </c>
      <c t="s">
        <v>60296</v>
      </c>
      <c s="3">
        <v>26000</v>
      </c>
      <c s="3">
        <v>26000</v>
      </c>
      <c s="3">
        <v>14300</v>
      </c>
      <c>
        <v>0</v>
      </c>
      <c s="3">
        <v>0</v>
      </c>
      <c s="3">
        <v>608.13</v>
      </c>
      <c s="3">
        <v>26000</v>
      </c>
      <c>
        <v>2019</v>
      </c>
      <c>
        <v>2437.5</v>
      </c>
      <c s="1" t="str">
        <f ca="1">HYPERLINK("https://web.datatree.com/?/property?propertyId=32419290", "https://web.datatree.com/?/property?propertyId=32419290")</f>
        <v>https://web.datatree.com/?/property?propertyId=32419290</v>
      </c>
      <c r="Q1256" t="s">
        <v>316</v>
      </c>
      <c>
        <v>0.144</v>
      </c>
      <c t="s">
        <v>22490</v>
      </c>
      <c t="s">
        <v>50366</v>
      </c>
      <c t="s">
        <v>9640</v>
      </c>
      <c t="s">
        <v>29297</v>
      </c>
      <c t="s">
        <v>49567</v>
      </c>
      <c t="s">
        <v>27242</v>
      </c>
      <c t="s">
        <v>47150</v>
      </c>
      <c t="s">
        <v>2517</v>
      </c>
      <c t="s">
        <v>39289</v>
      </c>
      <c>
        <v>33909</v>
      </c>
      <c t="s">
        <v>63975</v>
      </c>
      <c t="s">
        <v>48794</v>
      </c>
      <c t="s">
        <v>34766</v>
      </c>
      <c>
        <v>3116</v>
      </c>
      <c r="AI1256" t="s">
        <v>57908</v>
      </c>
      <c t="s">
        <v>45393</v>
      </c>
      <c r="AL1256" t="s">
        <v>63688</v>
      </c>
      <c r="AN1256" t="s">
        <v>50917</v>
      </c>
      <c t="s">
        <v>10631</v>
      </c>
      <c t="s">
        <v>32746</v>
      </c>
      <c t="s">
        <v>3093</v>
      </c>
      <c t="s">
        <v>15920</v>
      </c>
    </row>
    <row>
      <c t="s">
        <v>17594</v>
      </c>
      <c t="s">
        <v>1745</v>
      </c>
      <c t="s">
        <v>12074</v>
      </c>
      <c t="s">
        <v>51311</v>
      </c>
      <c t="s">
        <v>41463</v>
      </c>
      <c s="3">
        <v>46360</v>
      </c>
      <c s="3">
        <v>46360</v>
      </c>
      <c s="3">
        <v>41800</v>
      </c>
      <c>
        <v>0</v>
      </c>
      <c s="3">
        <v>0</v>
      </c>
      <c s="3">
        <v>588.46</v>
      </c>
      <c s="3">
        <v>46360</v>
      </c>
      <c r="O1257" s="1" t="str">
        <f ca="1">HYPERLINK("https://web.datatree.com/?/property?propertyId=32419509", "https://web.datatree.com/?/property?propertyId=32419509")</f>
        <v>https://web.datatree.com/?/property?propertyId=32419509</v>
      </c>
      <c r="Q1257" t="s">
        <v>316</v>
      </c>
      <c>
        <v>0.29</v>
      </c>
      <c t="s">
        <v>5471</v>
      </c>
      <c r="U1257" t="s">
        <v>33912</v>
      </c>
      <c t="s">
        <v>11223</v>
      </c>
      <c t="s">
        <v>58582</v>
      </c>
      <c t="s">
        <v>16206</v>
      </c>
      <c t="s">
        <v>32108</v>
      </c>
      <c t="s">
        <v>65059</v>
      </c>
      <c t="s">
        <v>39289</v>
      </c>
      <c>
        <v>33905</v>
      </c>
      <c t="s">
        <v>55409</v>
      </c>
      <c t="s">
        <v>48794</v>
      </c>
      <c t="s">
        <v>22914</v>
      </c>
      <c>
        <v>156</v>
      </c>
      <c r="AI1257" t="s">
        <v>39139</v>
      </c>
      <c t="s">
        <v>45393</v>
      </c>
      <c r="AL1257" t="s">
        <v>65059</v>
      </c>
      <c t="s">
        <v>36965</v>
      </c>
      <c t="s">
        <v>39289</v>
      </c>
      <c t="s">
        <v>45282</v>
      </c>
      <c t="s">
        <v>11138</v>
      </c>
      <c t="s">
        <v>3093</v>
      </c>
      <c t="s">
        <v>49768</v>
      </c>
    </row>
    <row>
      <c t="s">
        <v>17594</v>
      </c>
      <c t="s">
        <v>66075</v>
      </c>
      <c t="s">
        <v>11563</v>
      </c>
      <c t="s">
        <v>24613</v>
      </c>
      <c t="s">
        <v>15656</v>
      </c>
      <c s="3">
        <v>8312</v>
      </c>
      <c s="3">
        <v>8312</v>
      </c>
      <c s="3">
        <v>4972</v>
      </c>
      <c>
        <v>0</v>
      </c>
      <c s="3">
        <v>0</v>
      </c>
      <c s="3">
        <v>317.96</v>
      </c>
      <c s="3">
        <v>8312</v>
      </c>
      <c r="O1258" s="1" t="str">
        <f ca="1">HYPERLINK("https://web.datatree.com/?/property?propertyId=32419600", "https://web.datatree.com/?/property?propertyId=32419600")</f>
        <v>https://web.datatree.com/?/property?propertyId=32419600</v>
      </c>
      <c r="Q1258" t="s">
        <v>316</v>
      </c>
      <c>
        <v>0.246</v>
      </c>
      <c t="s">
        <v>5471</v>
      </c>
      <c t="s">
        <v>16387</v>
      </c>
      <c t="s">
        <v>24523</v>
      </c>
      <c r="X1258" t="s">
        <v>34567</v>
      </c>
      <c t="s">
        <v>54532</v>
      </c>
      <c t="s">
        <v>65059</v>
      </c>
      <c t="s">
        <v>39289</v>
      </c>
      <c>
        <v>33905</v>
      </c>
      <c t="s">
        <v>48887</v>
      </c>
      <c t="s">
        <v>48794</v>
      </c>
      <c t="s">
        <v>48454</v>
      </c>
      <c>
        <v>13</v>
      </c>
      <c r="AI1258" t="s">
        <v>44857</v>
      </c>
      <c t="s">
        <v>45393</v>
      </c>
      <c r="AL1258" t="s">
        <v>12608</v>
      </c>
      <c r="AN1258" t="s">
        <v>50917</v>
      </c>
      <c t="s">
        <v>36885</v>
      </c>
      <c t="s">
        <v>4797</v>
      </c>
      <c t="s">
        <v>3093</v>
      </c>
      <c t="s">
        <v>8018</v>
      </c>
    </row>
    <row>
      <c t="s">
        <v>17594</v>
      </c>
      <c t="s">
        <v>46927</v>
      </c>
      <c t="s">
        <v>52013</v>
      </c>
      <c t="s">
        <v>30672</v>
      </c>
      <c t="s">
        <v>66867</v>
      </c>
      <c s="3">
        <v>12544</v>
      </c>
      <c s="3">
        <v>12544</v>
      </c>
      <c s="3">
        <v>5853</v>
      </c>
      <c>
        <v>0</v>
      </c>
      <c s="3">
        <v>0</v>
      </c>
      <c s="3">
        <v>321.01</v>
      </c>
      <c s="3">
        <v>12544</v>
      </c>
      <c r="O1259" s="1" t="str">
        <f ca="1">HYPERLINK("https://web.datatree.com/?/property?propertyId=32420675", "https://web.datatree.com/?/property?propertyId=32420675")</f>
        <v>https://web.datatree.com/?/property?propertyId=32420675</v>
      </c>
      <c r="Q1259" t="s">
        <v>316</v>
      </c>
      <c>
        <v>0.232</v>
      </c>
      <c t="s">
        <v>5471</v>
      </c>
      <c t="s">
        <v>49300</v>
      </c>
      <c t="s">
        <v>21432</v>
      </c>
      <c r="X1259" t="s">
        <v>23705</v>
      </c>
      <c t="s">
        <v>48116</v>
      </c>
      <c t="s">
        <v>65059</v>
      </c>
      <c t="s">
        <v>39289</v>
      </c>
      <c>
        <v>33905</v>
      </c>
      <c t="s">
        <v>45822</v>
      </c>
      <c t="s">
        <v>48794</v>
      </c>
      <c t="s">
        <v>66370</v>
      </c>
      <c>
        <v>1232</v>
      </c>
      <c r="AI1259" t="s">
        <v>62006</v>
      </c>
      <c t="s">
        <v>835</v>
      </c>
      <c r="AL1259" t="s">
        <v>60619</v>
      </c>
      <c r="AN1259" t="s">
        <v>65451</v>
      </c>
      <c t="s">
        <v>58142</v>
      </c>
      <c t="s">
        <v>35479</v>
      </c>
      <c t="s">
        <v>3093</v>
      </c>
      <c t="s">
        <v>60896</v>
      </c>
    </row>
    <row>
      <c t="s">
        <v>17594</v>
      </c>
      <c t="s">
        <v>54811</v>
      </c>
      <c t="s">
        <v>30050</v>
      </c>
      <c t="s">
        <v>63661</v>
      </c>
      <c t="s">
        <v>24140</v>
      </c>
      <c s="3">
        <v>24856</v>
      </c>
      <c s="3">
        <v>24856</v>
      </c>
      <c s="3">
        <v>10049</v>
      </c>
      <c>
        <v>0</v>
      </c>
      <c s="3">
        <v>0</v>
      </c>
      <c s="3">
        <v>662.67</v>
      </c>
      <c s="3">
        <v>24856</v>
      </c>
      <c r="O1260" s="1" t="str">
        <f ca="1">HYPERLINK("https://web.datatree.com/?/property?propertyId=32422648", "https://web.datatree.com/?/property?propertyId=32422648")</f>
        <v>https://web.datatree.com/?/property?propertyId=32422648</v>
      </c>
      <c r="Q1260" t="s">
        <v>316</v>
      </c>
      <c>
        <v>0.286</v>
      </c>
      <c t="s">
        <v>22490</v>
      </c>
      <c t="s">
        <v>50666</v>
      </c>
      <c t="s">
        <v>54945</v>
      </c>
      <c t="s">
        <v>7996</v>
      </c>
      <c t="s">
        <v>54945</v>
      </c>
      <c t="s">
        <v>53296</v>
      </c>
      <c t="s">
        <v>29190</v>
      </c>
      <c t="s">
        <v>2517</v>
      </c>
      <c t="s">
        <v>39289</v>
      </c>
      <c>
        <v>33909</v>
      </c>
      <c t="s">
        <v>56020</v>
      </c>
      <c t="s">
        <v>48794</v>
      </c>
      <c t="s">
        <v>65937</v>
      </c>
      <c>
        <v>24991</v>
      </c>
      <c r="AI1260" t="s">
        <v>66494</v>
      </c>
      <c t="s">
        <v>45393</v>
      </c>
      <c r="AL1260" t="s">
        <v>64415</v>
      </c>
      <c r="AN1260" t="s">
        <v>65451</v>
      </c>
      <c t="s">
        <v>52792</v>
      </c>
      <c t="s">
        <v>34342</v>
      </c>
      <c t="s">
        <v>3093</v>
      </c>
      <c t="s">
        <v>63081</v>
      </c>
    </row>
    <row>
      <c t="s">
        <v>17594</v>
      </c>
      <c t="s">
        <v>25741</v>
      </c>
      <c t="s">
        <v>30322</v>
      </c>
      <c t="s">
        <v>62379</v>
      </c>
      <c t="s">
        <v>28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261" s="1" t="str">
        <f ca="1">HYPERLINK("https://web.datatree.com/?/property?propertyId=32423324", "https://web.datatree.com/?/property?propertyId=32423324")</f>
        <v>https://web.datatree.com/?/property?propertyId=32423324</v>
      </c>
      <c r="Q1261" t="s">
        <v>316</v>
      </c>
      <c>
        <v>0.23</v>
      </c>
      <c t="s">
        <v>6175</v>
      </c>
      <c r="U1261" t="s">
        <v>507</v>
      </c>
      <c r="W1261" t="s">
        <v>50982</v>
      </c>
      <c t="s">
        <v>14378</v>
      </c>
      <c t="s">
        <v>13065</v>
      </c>
      <c t="s">
        <v>2517</v>
      </c>
      <c t="s">
        <v>39289</v>
      </c>
      <c>
        <v>33909</v>
      </c>
      <c t="s">
        <v>16203</v>
      </c>
      <c t="s">
        <v>48794</v>
      </c>
      <c t="s">
        <v>63296</v>
      </c>
      <c>
        <v>12300</v>
      </c>
      <c r="AI1261" t="s">
        <v>56700</v>
      </c>
      <c t="s">
        <v>45393</v>
      </c>
      <c>
        <v>186</v>
      </c>
      <c t="s">
        <v>55393</v>
      </c>
      <c r="AN1261" t="s">
        <v>39289</v>
      </c>
      <c t="s">
        <v>56644</v>
      </c>
      <c t="s">
        <v>15968</v>
      </c>
      <c t="s">
        <v>3093</v>
      </c>
      <c t="s">
        <v>41061</v>
      </c>
    </row>
    <row>
      <c t="s">
        <v>17594</v>
      </c>
      <c t="s">
        <v>2945</v>
      </c>
      <c t="s">
        <v>15113</v>
      </c>
      <c t="s">
        <v>6733</v>
      </c>
      <c t="s">
        <v>7875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1262" s="1" t="str">
        <f ca="1">HYPERLINK("https://web.datatree.com/?/property?propertyId=32423387", "https://web.datatree.com/?/property?propertyId=32423387")</f>
        <v>https://web.datatree.com/?/property?propertyId=32423387</v>
      </c>
      <c r="Q1262" t="s">
        <v>316</v>
      </c>
      <c>
        <v>0.23</v>
      </c>
      <c t="s">
        <v>6175</v>
      </c>
      <c t="s">
        <v>12385</v>
      </c>
      <c t="s">
        <v>40336</v>
      </c>
      <c r="X1262" t="s">
        <v>25370</v>
      </c>
      <c t="s">
        <v>64331</v>
      </c>
      <c t="s">
        <v>2517</v>
      </c>
      <c t="s">
        <v>39289</v>
      </c>
      <c>
        <v>33909</v>
      </c>
      <c t="s">
        <v>634</v>
      </c>
      <c t="s">
        <v>48794</v>
      </c>
      <c t="s">
        <v>39328</v>
      </c>
      <c>
        <v>1189</v>
      </c>
      <c r="AI1262" t="s">
        <v>7005</v>
      </c>
      <c t="s">
        <v>31192</v>
      </c>
      <c r="AL1262" t="s">
        <v>29342</v>
      </c>
      <c r="AN1262" t="s">
        <v>3034</v>
      </c>
      <c t="s">
        <v>18530</v>
      </c>
      <c t="s">
        <v>22455</v>
      </c>
      <c t="s">
        <v>3093</v>
      </c>
      <c t="s">
        <v>40589</v>
      </c>
    </row>
    <row>
      <c t="s">
        <v>17594</v>
      </c>
      <c t="s">
        <v>31129</v>
      </c>
      <c t="s">
        <v>24312</v>
      </c>
      <c t="s">
        <v>60046</v>
      </c>
      <c t="s">
        <v>33028</v>
      </c>
      <c s="3">
        <v>17097</v>
      </c>
      <c s="3">
        <v>17097</v>
      </c>
      <c s="3">
        <v>8470</v>
      </c>
      <c>
        <v>0</v>
      </c>
      <c s="3">
        <v>0</v>
      </c>
      <c s="3">
        <v>557.43</v>
      </c>
      <c s="3">
        <v>17097</v>
      </c>
      <c r="O1263" s="1" t="str">
        <f ca="1">HYPERLINK("https://web.datatree.com/?/property?propertyId=32423790", "https://web.datatree.com/?/property?propertyId=32423790")</f>
        <v>https://web.datatree.com/?/property?propertyId=32423790</v>
      </c>
      <c r="Q1263" t="s">
        <v>316</v>
      </c>
      <c>
        <v>0.244</v>
      </c>
      <c t="s">
        <v>6175</v>
      </c>
      <c t="s">
        <v>34996</v>
      </c>
      <c t="s">
        <v>16223</v>
      </c>
      <c r="X1263" t="s">
        <v>9957</v>
      </c>
      <c t="s">
        <v>61850</v>
      </c>
      <c t="s">
        <v>2517</v>
      </c>
      <c t="s">
        <v>39289</v>
      </c>
      <c>
        <v>33909</v>
      </c>
      <c t="s">
        <v>6186</v>
      </c>
      <c t="s">
        <v>48794</v>
      </c>
      <c t="s">
        <v>26197</v>
      </c>
      <c>
        <v>3131</v>
      </c>
      <c r="AH1263" t="s">
        <v>15376</v>
      </c>
      <c t="s">
        <v>28464</v>
      </c>
      <c t="s">
        <v>45393</v>
      </c>
      <c r="AL1263" t="s">
        <v>11713</v>
      </c>
      <c r="AN1263" t="s">
        <v>39289</v>
      </c>
      <c t="s">
        <v>33802</v>
      </c>
      <c t="s">
        <v>28833</v>
      </c>
      <c t="s">
        <v>3093</v>
      </c>
      <c t="s">
        <v>10846</v>
      </c>
    </row>
    <row>
      <c t="s">
        <v>17594</v>
      </c>
      <c t="s">
        <v>23979</v>
      </c>
      <c t="s">
        <v>54183</v>
      </c>
      <c t="s">
        <v>59826</v>
      </c>
      <c t="s">
        <v>64819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264" s="1" t="str">
        <f ca="1">HYPERLINK("https://web.datatree.com/?/property?propertyId=32423884", "https://web.datatree.com/?/property?propertyId=32423884")</f>
        <v>https://web.datatree.com/?/property?propertyId=32423884</v>
      </c>
      <c r="Q1264" t="s">
        <v>316</v>
      </c>
      <c>
        <v>0.23</v>
      </c>
      <c t="s">
        <v>6175</v>
      </c>
      <c t="s">
        <v>24692</v>
      </c>
      <c t="s">
        <v>36131</v>
      </c>
      <c t="s">
        <v>4868</v>
      </c>
      <c t="s">
        <v>36131</v>
      </c>
      <c t="s">
        <v>45924</v>
      </c>
      <c t="s">
        <v>66701</v>
      </c>
      <c t="s">
        <v>2517</v>
      </c>
      <c t="s">
        <v>39289</v>
      </c>
      <c>
        <v>33909</v>
      </c>
      <c t="s">
        <v>7931</v>
      </c>
      <c t="s">
        <v>48794</v>
      </c>
      <c t="s">
        <v>55126</v>
      </c>
      <c r="AL1264" t="s">
        <v>32939</v>
      </c>
      <c r="AN1264" t="s">
        <v>10909</v>
      </c>
      <c t="s">
        <v>63633</v>
      </c>
      <c r="AQ1264" t="s">
        <v>27814</v>
      </c>
    </row>
    <row>
      <c t="s">
        <v>17594</v>
      </c>
      <c t="s">
        <v>56321</v>
      </c>
      <c t="s">
        <v>2060</v>
      </c>
      <c t="s">
        <v>42465</v>
      </c>
      <c t="s">
        <v>40726</v>
      </c>
      <c s="3">
        <v>49440</v>
      </c>
      <c s="3">
        <v>49440</v>
      </c>
      <c s="3">
        <v>26400</v>
      </c>
      <c>
        <v>0</v>
      </c>
      <c s="3">
        <v>0</v>
      </c>
      <c s="3">
        <v>958.06</v>
      </c>
      <c s="3">
        <v>49440</v>
      </c>
      <c r="O1265" s="1" t="str">
        <f ca="1">HYPERLINK("https://web.datatree.com/?/property?propertyId=32424570", "https://web.datatree.com/?/property?propertyId=32424570")</f>
        <v>https://web.datatree.com/?/property?propertyId=32424570</v>
      </c>
      <c r="Q1265" t="s">
        <v>316</v>
      </c>
      <c>
        <v>0.23</v>
      </c>
      <c t="s">
        <v>6175</v>
      </c>
      <c r="U1265" t="s">
        <v>17344</v>
      </c>
      <c r="W1265" t="s">
        <v>22550</v>
      </c>
      <c t="s">
        <v>7680</v>
      </c>
      <c t="s">
        <v>55279</v>
      </c>
      <c t="s">
        <v>2517</v>
      </c>
      <c t="s">
        <v>39289</v>
      </c>
      <c>
        <v>33904</v>
      </c>
      <c t="s">
        <v>22692</v>
      </c>
      <c t="s">
        <v>48794</v>
      </c>
      <c t="s">
        <v>27685</v>
      </c>
      <c>
        <v>3411</v>
      </c>
      <c r="AI1265" t="s">
        <v>22297</v>
      </c>
      <c t="s">
        <v>31192</v>
      </c>
      <c r="AL1265" t="s">
        <v>29086</v>
      </c>
      <c t="s">
        <v>57437</v>
      </c>
      <c t="s">
        <v>17134</v>
      </c>
      <c t="s">
        <v>1514</v>
      </c>
      <c t="s">
        <v>1951</v>
      </c>
      <c t="s">
        <v>3093</v>
      </c>
      <c t="s">
        <v>25737</v>
      </c>
    </row>
    <row>
      <c t="s">
        <v>17594</v>
      </c>
      <c t="s">
        <v>11465</v>
      </c>
      <c t="s">
        <v>66535</v>
      </c>
      <c t="s">
        <v>47906</v>
      </c>
      <c t="s">
        <v>62698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1266" s="1" t="str">
        <f ca="1">HYPERLINK("https://web.datatree.com/?/property?propertyId=32425487", "https://web.datatree.com/?/property?propertyId=32425487")</f>
        <v>https://web.datatree.com/?/property?propertyId=32425487</v>
      </c>
      <c r="Q1266" t="s">
        <v>316</v>
      </c>
      <c>
        <v>0.23</v>
      </c>
      <c t="s">
        <v>45031</v>
      </c>
      <c t="s">
        <v>64310</v>
      </c>
      <c t="s">
        <v>36410</v>
      </c>
      <c t="s">
        <v>8837</v>
      </c>
      <c r="X1266" t="s">
        <v>51607</v>
      </c>
      <c t="s">
        <v>22731</v>
      </c>
      <c t="s">
        <v>2517</v>
      </c>
      <c t="s">
        <v>39289</v>
      </c>
      <c>
        <v>33909</v>
      </c>
      <c t="s">
        <v>45364</v>
      </c>
      <c t="s">
        <v>48794</v>
      </c>
      <c t="s">
        <v>66677</v>
      </c>
      <c>
        <v>5028</v>
      </c>
      <c r="AH1266" t="s">
        <v>57851</v>
      </c>
      <c t="s">
        <v>3567</v>
      </c>
      <c t="s">
        <v>45393</v>
      </c>
      <c r="AL1266" t="s">
        <v>3402</v>
      </c>
      <c t="s">
        <v>54510</v>
      </c>
      <c t="s">
        <v>39289</v>
      </c>
      <c t="s">
        <v>14380</v>
      </c>
      <c t="s">
        <v>62701</v>
      </c>
      <c t="s">
        <v>3093</v>
      </c>
      <c t="s">
        <v>55617</v>
      </c>
    </row>
    <row>
      <c t="s">
        <v>17594</v>
      </c>
      <c t="s">
        <v>61988</v>
      </c>
      <c t="s">
        <v>33635</v>
      </c>
      <c t="s">
        <v>8339</v>
      </c>
      <c t="s">
        <v>28532</v>
      </c>
      <c s="3">
        <v>31830</v>
      </c>
      <c s="3">
        <v>31830</v>
      </c>
      <c s="3">
        <v>23863</v>
      </c>
      <c>
        <v>0</v>
      </c>
      <c s="3">
        <v>0</v>
      </c>
      <c s="3">
        <v>859.67</v>
      </c>
      <c s="3">
        <v>31830</v>
      </c>
      <c r="O1267" s="1" t="str">
        <f ca="1">HYPERLINK("https://web.datatree.com/?/property?propertyId=32426011", "https://web.datatree.com/?/property?propertyId=32426011")</f>
        <v>https://web.datatree.com/?/property?propertyId=32426011</v>
      </c>
      <c r="Q1267" t="s">
        <v>316</v>
      </c>
      <c>
        <v>0.254</v>
      </c>
      <c t="s">
        <v>6175</v>
      </c>
      <c t="s">
        <v>331</v>
      </c>
      <c t="s">
        <v>43422</v>
      </c>
      <c t="s">
        <v>13491</v>
      </c>
      <c t="s">
        <v>43422</v>
      </c>
      <c t="s">
        <v>25232</v>
      </c>
      <c t="s">
        <v>10653</v>
      </c>
      <c t="s">
        <v>2517</v>
      </c>
      <c t="s">
        <v>39289</v>
      </c>
      <c>
        <v>33904</v>
      </c>
      <c t="s">
        <v>54537</v>
      </c>
      <c t="s">
        <v>48794</v>
      </c>
      <c t="s">
        <v>60206</v>
      </c>
      <c>
        <v>702</v>
      </c>
      <c r="AI1267" t="s">
        <v>31435</v>
      </c>
      <c t="s">
        <v>45393</v>
      </c>
      <c r="AL1267" t="s">
        <v>27425</v>
      </c>
      <c r="AN1267" t="s">
        <v>65451</v>
      </c>
      <c t="s">
        <v>31889</v>
      </c>
      <c t="s">
        <v>53800</v>
      </c>
      <c t="s">
        <v>3093</v>
      </c>
      <c t="s">
        <v>28060</v>
      </c>
    </row>
    <row>
      <c t="s">
        <v>17594</v>
      </c>
      <c t="s">
        <v>32326</v>
      </c>
      <c t="s">
        <v>1742</v>
      </c>
      <c t="s">
        <v>40781</v>
      </c>
      <c t="s">
        <v>36864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268" s="1" t="str">
        <f ca="1">HYPERLINK("https://web.datatree.com/?/property?propertyId=32426232", "https://web.datatree.com/?/property?propertyId=32426232")</f>
        <v>https://web.datatree.com/?/property?propertyId=32426232</v>
      </c>
      <c r="Q1268" t="s">
        <v>316</v>
      </c>
      <c>
        <v>0.23</v>
      </c>
      <c t="s">
        <v>6175</v>
      </c>
      <c r="U1268" t="s">
        <v>59407</v>
      </c>
      <c r="W1268" t="s">
        <v>31838</v>
      </c>
      <c t="s">
        <v>22065</v>
      </c>
      <c t="s">
        <v>49122</v>
      </c>
      <c t="s">
        <v>2517</v>
      </c>
      <c t="s">
        <v>39289</v>
      </c>
      <c>
        <v>33909</v>
      </c>
      <c t="s">
        <v>32395</v>
      </c>
      <c t="s">
        <v>48794</v>
      </c>
      <c t="s">
        <v>55199</v>
      </c>
      <c>
        <v>4200</v>
      </c>
      <c r="AI1268" t="s">
        <v>53927</v>
      </c>
      <c t="s">
        <v>45620</v>
      </c>
      <c r="AL1268" t="s">
        <v>31808</v>
      </c>
      <c r="AN1268" t="s">
        <v>17134</v>
      </c>
      <c t="s">
        <v>29046</v>
      </c>
      <c t="s">
        <v>22152</v>
      </c>
      <c t="s">
        <v>3093</v>
      </c>
      <c t="s">
        <v>63392</v>
      </c>
    </row>
    <row>
      <c t="s">
        <v>17594</v>
      </c>
      <c t="s">
        <v>59347</v>
      </c>
      <c t="s">
        <v>16854</v>
      </c>
      <c t="s">
        <v>51526</v>
      </c>
      <c t="s">
        <v>16149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1269" s="1" t="str">
        <f ca="1">HYPERLINK("https://web.datatree.com/?/property?propertyId=32426360", "https://web.datatree.com/?/property?propertyId=32426360")</f>
        <v>https://web.datatree.com/?/property?propertyId=32426360</v>
      </c>
      <c r="Q1269" t="s">
        <v>316</v>
      </c>
      <c>
        <v>0.23</v>
      </c>
      <c t="s">
        <v>22490</v>
      </c>
      <c r="U1269" t="s">
        <v>6041</v>
      </c>
      <c r="X1269" t="s">
        <v>27200</v>
      </c>
      <c t="s">
        <v>15510</v>
      </c>
      <c t="s">
        <v>2517</v>
      </c>
      <c t="s">
        <v>39289</v>
      </c>
      <c>
        <v>33909</v>
      </c>
      <c t="s">
        <v>44481</v>
      </c>
      <c t="s">
        <v>48794</v>
      </c>
      <c t="s">
        <v>20469</v>
      </c>
      <c>
        <v>2112</v>
      </c>
      <c r="AI1269" t="s">
        <v>4962</v>
      </c>
      <c r="AL1269" t="s">
        <v>62922</v>
      </c>
      <c t="s">
        <v>62922</v>
      </c>
      <c t="s">
        <v>65451</v>
      </c>
      <c t="s">
        <v>64813</v>
      </c>
      <c t="s">
        <v>46114</v>
      </c>
      <c t="s">
        <v>3093</v>
      </c>
      <c t="s">
        <v>33138</v>
      </c>
    </row>
    <row>
      <c t="s">
        <v>17594</v>
      </c>
      <c t="s">
        <v>57343</v>
      </c>
      <c t="s">
        <v>22560</v>
      </c>
      <c t="s">
        <v>30344</v>
      </c>
      <c t="s">
        <v>18190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1270" s="1" t="str">
        <f ca="1">HYPERLINK("https://web.datatree.com/?/property?propertyId=32426390", "https://web.datatree.com/?/property?propertyId=32426390")</f>
        <v>https://web.datatree.com/?/property?propertyId=32426390</v>
      </c>
      <c r="Q1270" t="s">
        <v>316</v>
      </c>
      <c>
        <v>0.23</v>
      </c>
      <c t="s">
        <v>6175</v>
      </c>
      <c t="s">
        <v>32517</v>
      </c>
      <c t="s">
        <v>36644</v>
      </c>
      <c r="X1270" t="s">
        <v>44445</v>
      </c>
      <c t="s">
        <v>10653</v>
      </c>
      <c t="s">
        <v>2517</v>
      </c>
      <c t="s">
        <v>39289</v>
      </c>
      <c>
        <v>33909</v>
      </c>
      <c t="s">
        <v>66730</v>
      </c>
      <c t="s">
        <v>48794</v>
      </c>
      <c t="s">
        <v>67102</v>
      </c>
      <c>
        <v>27</v>
      </c>
      <c r="AI1270" t="s">
        <v>51399</v>
      </c>
      <c t="s">
        <v>45620</v>
      </c>
      <c r="AL1270" t="s">
        <v>624</v>
      </c>
      <c r="AN1270" t="s">
        <v>26016</v>
      </c>
      <c t="s">
        <v>64914</v>
      </c>
      <c t="s">
        <v>42082</v>
      </c>
      <c t="s">
        <v>3093</v>
      </c>
      <c t="s">
        <v>26040</v>
      </c>
    </row>
    <row>
      <c t="s">
        <v>17594</v>
      </c>
      <c t="s">
        <v>22250</v>
      </c>
      <c t="s">
        <v>3709</v>
      </c>
      <c t="s">
        <v>9621</v>
      </c>
      <c t="s">
        <v>36901</v>
      </c>
      <c s="3">
        <v>26378</v>
      </c>
      <c s="3">
        <v>26378</v>
      </c>
      <c s="3">
        <v>15036</v>
      </c>
      <c>
        <v>0</v>
      </c>
      <c s="3">
        <v>0</v>
      </c>
      <c s="3">
        <v>674.98</v>
      </c>
      <c s="3">
        <v>26378</v>
      </c>
      <c r="O1271" s="1" t="str">
        <f ca="1">HYPERLINK("https://web.datatree.com/?/property?propertyId=32426632", "https://web.datatree.com/?/property?propertyId=32426632")</f>
        <v>https://web.datatree.com/?/property?propertyId=32426632</v>
      </c>
      <c r="Q1271" t="s">
        <v>316</v>
      </c>
      <c>
        <v>0.229</v>
      </c>
      <c t="s">
        <v>45031</v>
      </c>
      <c t="s">
        <v>18389</v>
      </c>
      <c t="s">
        <v>14097</v>
      </c>
      <c t="s">
        <v>62664</v>
      </c>
      <c t="s">
        <v>14097</v>
      </c>
      <c t="s">
        <v>8547</v>
      </c>
      <c t="s">
        <v>38550</v>
      </c>
      <c t="s">
        <v>2517</v>
      </c>
      <c t="s">
        <v>39289</v>
      </c>
      <c>
        <v>33909</v>
      </c>
      <c t="s">
        <v>66625</v>
      </c>
      <c t="s">
        <v>48794</v>
      </c>
      <c t="s">
        <v>59331</v>
      </c>
      <c>
        <v>120</v>
      </c>
      <c r="AI1271" t="s">
        <v>4958</v>
      </c>
      <c t="s">
        <v>4985</v>
      </c>
      <c r="AL1271" t="s">
        <v>17172</v>
      </c>
      <c t="s">
        <v>3600</v>
      </c>
      <c t="s">
        <v>26016</v>
      </c>
      <c t="s">
        <v>60662</v>
      </c>
      <c t="s">
        <v>48506</v>
      </c>
      <c t="s">
        <v>3093</v>
      </c>
      <c t="s">
        <v>16102</v>
      </c>
    </row>
    <row>
      <c t="s">
        <v>17594</v>
      </c>
      <c t="s">
        <v>2678</v>
      </c>
      <c t="s">
        <v>13032</v>
      </c>
      <c t="s">
        <v>56957</v>
      </c>
      <c t="s">
        <v>36920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2019</v>
      </c>
      <c>
        <v>1162.25</v>
      </c>
      <c s="1" t="str">
        <f ca="1">HYPERLINK("https://web.datatree.com/?/property?propertyId=32426649", "https://web.datatree.com/?/property?propertyId=32426649")</f>
        <v>https://web.datatree.com/?/property?propertyId=32426649</v>
      </c>
      <c r="Q1272" t="s">
        <v>316</v>
      </c>
      <c>
        <v>0.23</v>
      </c>
      <c t="s">
        <v>6175</v>
      </c>
      <c t="s">
        <v>66766</v>
      </c>
      <c t="s">
        <v>10503</v>
      </c>
      <c r="X1272" t="s">
        <v>15666</v>
      </c>
      <c t="s">
        <v>61865</v>
      </c>
      <c t="s">
        <v>2517</v>
      </c>
      <c t="s">
        <v>39289</v>
      </c>
      <c>
        <v>33909</v>
      </c>
      <c t="s">
        <v>36049</v>
      </c>
      <c t="s">
        <v>48794</v>
      </c>
      <c t="s">
        <v>62271</v>
      </c>
      <c>
        <v>7327</v>
      </c>
      <c r="AI1272" t="s">
        <v>25923</v>
      </c>
      <c t="s">
        <v>31192</v>
      </c>
      <c r="AL1272" t="s">
        <v>36970</v>
      </c>
      <c r="AN1272" t="s">
        <v>39289</v>
      </c>
      <c t="s">
        <v>54181</v>
      </c>
      <c t="s">
        <v>33856</v>
      </c>
      <c t="s">
        <v>3093</v>
      </c>
      <c t="s">
        <v>19958</v>
      </c>
    </row>
    <row>
      <c t="s">
        <v>17594</v>
      </c>
      <c t="s">
        <v>45353</v>
      </c>
      <c t="s">
        <v>25961</v>
      </c>
      <c t="s">
        <v>24320</v>
      </c>
      <c t="s">
        <v>32979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273" s="1" t="str">
        <f ca="1">HYPERLINK("https://web.datatree.com/?/property?propertyId=32426793", "https://web.datatree.com/?/property?propertyId=32426793")</f>
        <v>https://web.datatree.com/?/property?propertyId=32426793</v>
      </c>
      <c r="Q1273" t="s">
        <v>316</v>
      </c>
      <c>
        <v>0.23</v>
      </c>
      <c t="s">
        <v>22490</v>
      </c>
      <c t="s">
        <v>44541</v>
      </c>
      <c t="s">
        <v>57856</v>
      </c>
      <c t="s">
        <v>34344</v>
      </c>
      <c t="s">
        <v>57856</v>
      </c>
      <c t="s">
        <v>32822</v>
      </c>
      <c t="s">
        <v>39082</v>
      </c>
      <c t="s">
        <v>2517</v>
      </c>
      <c t="s">
        <v>39289</v>
      </c>
      <c>
        <v>33909</v>
      </c>
      <c t="s">
        <v>16023</v>
      </c>
      <c t="s">
        <v>48794</v>
      </c>
      <c t="s">
        <v>37593</v>
      </c>
      <c>
        <v>85</v>
      </c>
      <c r="AI1273" t="s">
        <v>28074</v>
      </c>
      <c t="s">
        <v>45393</v>
      </c>
      <c r="AL1273" t="s">
        <v>46210</v>
      </c>
      <c r="AN1273" t="s">
        <v>27747</v>
      </c>
      <c t="s">
        <v>18041</v>
      </c>
      <c t="s">
        <v>52393</v>
      </c>
      <c t="s">
        <v>3093</v>
      </c>
      <c t="s">
        <v>43139</v>
      </c>
    </row>
    <row>
      <c t="s">
        <v>17594</v>
      </c>
      <c t="s">
        <v>31748</v>
      </c>
      <c t="s">
        <v>4993</v>
      </c>
      <c t="s">
        <v>7170</v>
      </c>
      <c t="s">
        <v>21172</v>
      </c>
      <c s="3">
        <v>72157</v>
      </c>
      <c s="3">
        <v>63500</v>
      </c>
      <c s="3">
        <v>70330</v>
      </c>
      <c>
        <v>0</v>
      </c>
      <c s="3">
        <v>0</v>
      </c>
      <c s="3">
        <v>1068</v>
      </c>
      <c s="3">
        <v>72157</v>
      </c>
      <c r="O1274" s="1" t="str">
        <f ca="1">HYPERLINK("https://web.datatree.com/?/property?propertyId=32427324", "https://web.datatree.com/?/property?propertyId=32427324")</f>
        <v>https://web.datatree.com/?/property?propertyId=32427324</v>
      </c>
      <c r="Q1274" t="s">
        <v>316</v>
      </c>
      <c>
        <v>0.101</v>
      </c>
      <c t="s">
        <v>26492</v>
      </c>
      <c t="s">
        <v>19357</v>
      </c>
      <c t="s">
        <v>51665</v>
      </c>
      <c t="s">
        <v>53557</v>
      </c>
      <c t="s">
        <v>36882</v>
      </c>
      <c t="s">
        <v>31265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52526</v>
      </c>
      <c>
        <v>4</v>
      </c>
      <c r="AI1274" t="s">
        <v>8757</v>
      </c>
      <c t="s">
        <v>45393</v>
      </c>
      <c r="AL1274" t="s">
        <v>67231</v>
      </c>
      <c t="s">
        <v>40227</v>
      </c>
      <c t="s">
        <v>10909</v>
      </c>
      <c t="s">
        <v>27233</v>
      </c>
      <c r="AQ1274" t="s">
        <v>27814</v>
      </c>
      <c t="s">
        <v>38607</v>
      </c>
    </row>
    <row>
      <c t="s">
        <v>17594</v>
      </c>
      <c t="s">
        <v>11393</v>
      </c>
      <c t="s">
        <v>19059</v>
      </c>
      <c t="s">
        <v>28195</v>
      </c>
      <c t="s">
        <v>54272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1275" s="1" t="str">
        <f ca="1">HYPERLINK("https://web.datatree.com/?/property?propertyId=32427732", "https://web.datatree.com/?/property?propertyId=32427732")</f>
        <v>https://web.datatree.com/?/property?propertyId=32427732</v>
      </c>
      <c r="Q1275" t="s">
        <v>316</v>
      </c>
      <c>
        <v>0.23</v>
      </c>
      <c t="s">
        <v>42044</v>
      </c>
      <c t="s">
        <v>16298</v>
      </c>
      <c t="s">
        <v>38054</v>
      </c>
      <c r="X1275" t="s">
        <v>63826</v>
      </c>
      <c t="s">
        <v>57064</v>
      </c>
      <c t="s">
        <v>2517</v>
      </c>
      <c t="s">
        <v>39289</v>
      </c>
      <c>
        <v>33909</v>
      </c>
      <c t="s">
        <v>11423</v>
      </c>
      <c t="s">
        <v>48794</v>
      </c>
      <c t="s">
        <v>66409</v>
      </c>
      <c>
        <v>236</v>
      </c>
      <c r="AI1275" t="s">
        <v>33556</v>
      </c>
      <c t="s">
        <v>45620</v>
      </c>
      <c r="AL1275" t="s">
        <v>19638</v>
      </c>
      <c r="AN1275" t="s">
        <v>50917</v>
      </c>
      <c t="s">
        <v>61749</v>
      </c>
      <c t="s">
        <v>22455</v>
      </c>
      <c t="s">
        <v>3093</v>
      </c>
      <c t="s">
        <v>4531</v>
      </c>
    </row>
    <row>
      <c t="s">
        <v>17594</v>
      </c>
      <c t="s">
        <v>14698</v>
      </c>
      <c t="s">
        <v>30599</v>
      </c>
      <c t="s">
        <v>57534</v>
      </c>
      <c t="s">
        <v>39195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1276" s="1" t="str">
        <f ca="1">HYPERLINK("https://web.datatree.com/?/property?propertyId=32428317", "https://web.datatree.com/?/property?propertyId=32428317")</f>
        <v>https://web.datatree.com/?/property?propertyId=32428317</v>
      </c>
      <c r="Q1276" t="s">
        <v>316</v>
      </c>
      <c>
        <v>0.23</v>
      </c>
      <c t="s">
        <v>22490</v>
      </c>
      <c t="s">
        <v>62720</v>
      </c>
      <c t="s">
        <v>32915</v>
      </c>
      <c t="s">
        <v>772</v>
      </c>
      <c t="s">
        <v>32915</v>
      </c>
      <c t="s">
        <v>23203</v>
      </c>
      <c t="s">
        <v>49122</v>
      </c>
      <c t="s">
        <v>2517</v>
      </c>
      <c t="s">
        <v>39289</v>
      </c>
      <c>
        <v>33909</v>
      </c>
      <c t="s">
        <v>447</v>
      </c>
      <c t="s">
        <v>48794</v>
      </c>
      <c t="s">
        <v>49049</v>
      </c>
      <c>
        <v>2889</v>
      </c>
      <c r="AI1276" t="s">
        <v>54027</v>
      </c>
      <c t="s">
        <v>24900</v>
      </c>
      <c r="AL1276" t="s">
        <v>6144</v>
      </c>
      <c t="s">
        <v>13397</v>
      </c>
      <c t="s">
        <v>50917</v>
      </c>
      <c t="s">
        <v>30359</v>
      </c>
      <c t="s">
        <v>7207</v>
      </c>
      <c t="s">
        <v>3093</v>
      </c>
      <c t="s">
        <v>16086</v>
      </c>
    </row>
    <row>
      <c t="s">
        <v>42103</v>
      </c>
      <c t="s">
        <v>6052</v>
      </c>
      <c t="s">
        <v>23274</v>
      </c>
      <c t="s">
        <v>57507</v>
      </c>
      <c t="s">
        <v>50631</v>
      </c>
      <c s="3">
        <v>566468</v>
      </c>
      <c s="3">
        <v>566468</v>
      </c>
      <c s="3">
        <v>490138</v>
      </c>
      <c>
        <v>0</v>
      </c>
      <c s="3">
        <v>0</v>
      </c>
      <c s="3">
        <v>8674.8</v>
      </c>
      <c s="3">
        <v>566468</v>
      </c>
      <c r="O1277" s="1" t="str">
        <f ca="1">HYPERLINK("https://web.datatree.com/?/property?propertyId=32428360", "https://web.datatree.com/?/property?propertyId=32428360")</f>
        <v>https://web.datatree.com/?/property?propertyId=32428360</v>
      </c>
      <c r="Q1277" t="s">
        <v>316</v>
      </c>
      <c>
        <v>0.327</v>
      </c>
      <c t="s">
        <v>22490</v>
      </c>
      <c r="U1277" t="s">
        <v>33595</v>
      </c>
      <c t="s">
        <v>57278</v>
      </c>
      <c t="s">
        <v>16048</v>
      </c>
      <c t="s">
        <v>3149</v>
      </c>
      <c t="s">
        <v>29190</v>
      </c>
      <c t="s">
        <v>2517</v>
      </c>
      <c t="s">
        <v>39289</v>
      </c>
      <c>
        <v>33904</v>
      </c>
      <c t="s">
        <v>2231</v>
      </c>
      <c t="s">
        <v>48794</v>
      </c>
      <c t="s">
        <v>30195</v>
      </c>
      <c r="AI1277" t="s">
        <v>44031</v>
      </c>
      <c r="AL1277" t="s">
        <v>10844</v>
      </c>
      <c t="s">
        <v>10844</v>
      </c>
      <c t="s">
        <v>14798</v>
      </c>
      <c t="s">
        <v>57251</v>
      </c>
      <c t="s">
        <v>22274</v>
      </c>
      <c t="s">
        <v>3093</v>
      </c>
      <c t="s">
        <v>52992</v>
      </c>
    </row>
    <row>
      <c t="s">
        <v>17594</v>
      </c>
      <c t="s">
        <v>24267</v>
      </c>
      <c t="s">
        <v>57562</v>
      </c>
      <c t="s">
        <v>39480</v>
      </c>
      <c t="s">
        <v>42714</v>
      </c>
      <c s="3">
        <v>55793</v>
      </c>
      <c s="3">
        <v>55793</v>
      </c>
      <c s="3">
        <v>17448</v>
      </c>
      <c>
        <v>0</v>
      </c>
      <c s="3">
        <v>0</v>
      </c>
      <c s="3">
        <v>857.63</v>
      </c>
      <c s="3">
        <v>55793</v>
      </c>
      <c r="O1278" s="1" t="str">
        <f ca="1">HYPERLINK("https://web.datatree.com/?/property?propertyId=32428490", "https://web.datatree.com/?/property?propertyId=32428490")</f>
        <v>https://web.datatree.com/?/property?propertyId=32428490</v>
      </c>
      <c r="Q1278" t="s">
        <v>316</v>
      </c>
      <c>
        <v>0.23</v>
      </c>
      <c t="s">
        <v>6175</v>
      </c>
      <c t="s">
        <v>3581</v>
      </c>
      <c t="s">
        <v>5968</v>
      </c>
      <c r="X1278" t="s">
        <v>9200</v>
      </c>
      <c t="s">
        <v>49674</v>
      </c>
      <c t="s">
        <v>2517</v>
      </c>
      <c t="s">
        <v>39289</v>
      </c>
      <c>
        <v>33904</v>
      </c>
      <c t="s">
        <v>20373</v>
      </c>
      <c t="s">
        <v>48794</v>
      </c>
      <c t="s">
        <v>44862</v>
      </c>
      <c>
        <v>544</v>
      </c>
      <c r="AI1278" t="s">
        <v>62085</v>
      </c>
      <c r="AL1278" t="s">
        <v>28329</v>
      </c>
      <c r="AN1278" t="s">
        <v>26016</v>
      </c>
      <c t="s">
        <v>9610</v>
      </c>
      <c t="s">
        <v>53800</v>
      </c>
      <c t="s">
        <v>3093</v>
      </c>
      <c t="s">
        <v>44338</v>
      </c>
    </row>
    <row>
      <c t="s">
        <v>17594</v>
      </c>
      <c t="s">
        <v>4521</v>
      </c>
      <c t="s">
        <v>36143</v>
      </c>
      <c t="s">
        <v>31596</v>
      </c>
      <c t="s">
        <v>30292</v>
      </c>
      <c s="3">
        <v>20900</v>
      </c>
      <c s="3">
        <v>20900</v>
      </c>
      <c s="3">
        <v>10450</v>
      </c>
      <c>
        <v>0</v>
      </c>
      <c s="3">
        <v>0</v>
      </c>
      <c s="3">
        <v>597.57</v>
      </c>
      <c s="3">
        <v>20900</v>
      </c>
      <c>
        <v>2021</v>
      </c>
      <c>
        <v>621.52</v>
      </c>
      <c s="1" t="str">
        <f ca="1">HYPERLINK("https://web.datatree.com/?/property?propertyId=32428631", "https://web.datatree.com/?/property?propertyId=32428631")</f>
        <v>https://web.datatree.com/?/property?propertyId=32428631</v>
      </c>
      <c r="Q1279" t="s">
        <v>316</v>
      </c>
      <c>
        <v>0.23</v>
      </c>
      <c t="s">
        <v>22490</v>
      </c>
      <c t="s">
        <v>347</v>
      </c>
      <c t="s">
        <v>27484</v>
      </c>
      <c r="X1279" t="s">
        <v>36236</v>
      </c>
      <c t="s">
        <v>50440</v>
      </c>
      <c t="s">
        <v>2517</v>
      </c>
      <c t="s">
        <v>39289</v>
      </c>
      <c>
        <v>33909</v>
      </c>
      <c t="s">
        <v>50147</v>
      </c>
      <c t="s">
        <v>48794</v>
      </c>
      <c t="s">
        <v>12731</v>
      </c>
      <c>
        <v>4801</v>
      </c>
      <c r="AI1279" t="s">
        <v>5740</v>
      </c>
      <c t="s">
        <v>31192</v>
      </c>
      <c r="AL1279" t="s">
        <v>51967</v>
      </c>
      <c t="s">
        <v>42362</v>
      </c>
      <c t="s">
        <v>65467</v>
      </c>
      <c t="s">
        <v>1177</v>
      </c>
      <c t="s">
        <v>56028</v>
      </c>
      <c t="s">
        <v>3093</v>
      </c>
      <c t="s">
        <v>56613</v>
      </c>
    </row>
    <row>
      <c t="s">
        <v>17594</v>
      </c>
      <c t="s">
        <v>30505</v>
      </c>
      <c t="s">
        <v>17513</v>
      </c>
      <c t="s">
        <v>58645</v>
      </c>
      <c t="s">
        <v>67264</v>
      </c>
      <c s="3">
        <v>28294</v>
      </c>
      <c s="3">
        <v>28294</v>
      </c>
      <c s="3">
        <v>8254</v>
      </c>
      <c>
        <v>0</v>
      </c>
      <c s="3">
        <v>0</v>
      </c>
      <c s="3">
        <v>438.65</v>
      </c>
      <c s="3">
        <v>28294</v>
      </c>
      <c r="O1280" s="1" t="str">
        <f ca="1">HYPERLINK("https://web.datatree.com/?/property?propertyId=32428758", "https://web.datatree.com/?/property?propertyId=32428758")</f>
        <v>https://web.datatree.com/?/property?propertyId=32428758</v>
      </c>
      <c r="Q1280" t="s">
        <v>316</v>
      </c>
      <c>
        <v>0.481</v>
      </c>
      <c t="s">
        <v>5471</v>
      </c>
      <c t="s">
        <v>42987</v>
      </c>
      <c t="s">
        <v>38707</v>
      </c>
      <c r="X1280" t="s">
        <v>6335</v>
      </c>
      <c t="s">
        <v>10854</v>
      </c>
      <c t="s">
        <v>65059</v>
      </c>
      <c t="s">
        <v>39289</v>
      </c>
      <c>
        <v>33905</v>
      </c>
      <c t="s">
        <v>37738</v>
      </c>
      <c t="s">
        <v>48794</v>
      </c>
      <c t="s">
        <v>52397</v>
      </c>
      <c>
        <v>108</v>
      </c>
      <c r="AI1280" t="s">
        <v>2636</v>
      </c>
      <c t="s">
        <v>24900</v>
      </c>
      <c t="s">
        <v>33269</v>
      </c>
      <c t="s">
        <v>63932</v>
      </c>
      <c r="AN1280" t="s">
        <v>65451</v>
      </c>
      <c t="s">
        <v>13291</v>
      </c>
      <c t="s">
        <v>864</v>
      </c>
      <c t="s">
        <v>3093</v>
      </c>
      <c t="s">
        <v>61801</v>
      </c>
    </row>
    <row>
      <c t="s">
        <v>17594</v>
      </c>
      <c t="s">
        <v>61088</v>
      </c>
      <c t="s">
        <v>64650</v>
      </c>
      <c t="s">
        <v>63509</v>
      </c>
      <c t="s">
        <v>34045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1281" s="1" t="str">
        <f ca="1">HYPERLINK("https://web.datatree.com/?/property?propertyId=32428943", "https://web.datatree.com/?/property?propertyId=32428943")</f>
        <v>https://web.datatree.com/?/property?propertyId=32428943</v>
      </c>
      <c r="Q1281" t="s">
        <v>316</v>
      </c>
      <c>
        <v>0.23</v>
      </c>
      <c t="s">
        <v>22490</v>
      </c>
      <c t="s">
        <v>44744</v>
      </c>
      <c t="s">
        <v>3172</v>
      </c>
      <c r="X1281" t="s">
        <v>38876</v>
      </c>
      <c t="s">
        <v>60363</v>
      </c>
      <c t="s">
        <v>2517</v>
      </c>
      <c t="s">
        <v>39289</v>
      </c>
      <c>
        <v>33909</v>
      </c>
      <c t="s">
        <v>62150</v>
      </c>
      <c t="s">
        <v>48794</v>
      </c>
      <c t="s">
        <v>28663</v>
      </c>
      <c>
        <v>12506</v>
      </c>
      <c r="AI1281" t="s">
        <v>59367</v>
      </c>
      <c t="s">
        <v>4985</v>
      </c>
      <c r="AL1281" t="s">
        <v>46797</v>
      </c>
      <c r="AN1281" t="s">
        <v>39289</v>
      </c>
      <c t="s">
        <v>38047</v>
      </c>
      <c t="s">
        <v>27410</v>
      </c>
      <c t="s">
        <v>3093</v>
      </c>
      <c t="s">
        <v>50075</v>
      </c>
    </row>
    <row>
      <c t="s">
        <v>42103</v>
      </c>
      <c t="s">
        <v>21706</v>
      </c>
      <c t="s">
        <v>52231</v>
      </c>
      <c t="s">
        <v>66733</v>
      </c>
      <c t="s">
        <v>34275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 r="O1282" s="1" t="str">
        <f ca="1">HYPERLINK("https://web.datatree.com/?/property?propertyId=32429173", "https://web.datatree.com/?/property?propertyId=32429173")</f>
        <v>https://web.datatree.com/?/property?propertyId=32429173</v>
      </c>
      <c r="Q1282" t="s">
        <v>316</v>
      </c>
      <c>
        <v>0.344</v>
      </c>
      <c t="s">
        <v>6175</v>
      </c>
      <c t="s">
        <v>51844</v>
      </c>
      <c t="s">
        <v>6509</v>
      </c>
      <c r="X1282" t="s">
        <v>66452</v>
      </c>
      <c t="s">
        <v>38550</v>
      </c>
      <c t="s">
        <v>2517</v>
      </c>
      <c t="s">
        <v>39289</v>
      </c>
      <c>
        <v>33909</v>
      </c>
      <c t="s">
        <v>49617</v>
      </c>
      <c t="s">
        <v>48794</v>
      </c>
      <c t="s">
        <v>57748</v>
      </c>
      <c r="AI1282" t="s">
        <v>52208</v>
      </c>
      <c r="AL1282" t="s">
        <v>19286</v>
      </c>
      <c r="AN1282" t="s">
        <v>39289</v>
      </c>
      <c t="s">
        <v>9897</v>
      </c>
      <c t="s">
        <v>61509</v>
      </c>
      <c t="s">
        <v>3093</v>
      </c>
      <c t="s">
        <v>58796</v>
      </c>
    </row>
    <row>
      <c t="s">
        <v>17594</v>
      </c>
      <c t="s">
        <v>2294</v>
      </c>
      <c t="s">
        <v>6156</v>
      </c>
      <c t="s">
        <v>8700</v>
      </c>
      <c t="s">
        <v>18451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1283" s="1" t="str">
        <f ca="1">HYPERLINK("https://web.datatree.com/?/property?propertyId=32429406", "https://web.datatree.com/?/property?propertyId=32429406")</f>
        <v>https://web.datatree.com/?/property?propertyId=32429406</v>
      </c>
      <c r="Q1283" t="s">
        <v>316</v>
      </c>
      <c>
        <v>0.23</v>
      </c>
      <c t="s">
        <v>22490</v>
      </c>
      <c t="s">
        <v>5941</v>
      </c>
      <c t="s">
        <v>16987</v>
      </c>
      <c r="X1283" t="s">
        <v>57441</v>
      </c>
      <c t="s">
        <v>66701</v>
      </c>
      <c t="s">
        <v>2517</v>
      </c>
      <c t="s">
        <v>39289</v>
      </c>
      <c>
        <v>33909</v>
      </c>
      <c t="s">
        <v>37072</v>
      </c>
      <c t="s">
        <v>48794</v>
      </c>
      <c t="s">
        <v>49456</v>
      </c>
      <c>
        <v>19230</v>
      </c>
      <c r="AI1283" t="s">
        <v>28635</v>
      </c>
      <c t="s">
        <v>31192</v>
      </c>
      <c r="AL1283" t="s">
        <v>55393</v>
      </c>
      <c t="s">
        <v>45140</v>
      </c>
      <c t="s">
        <v>39289</v>
      </c>
      <c t="s">
        <v>5264</v>
      </c>
      <c t="s">
        <v>12241</v>
      </c>
      <c t="s">
        <v>3093</v>
      </c>
      <c t="s">
        <v>44246</v>
      </c>
    </row>
    <row>
      <c t="s">
        <v>17594</v>
      </c>
      <c t="s">
        <v>53085</v>
      </c>
      <c t="s">
        <v>11980</v>
      </c>
      <c t="s">
        <v>42371</v>
      </c>
      <c t="s">
        <v>63801</v>
      </c>
      <c s="3">
        <v>20580</v>
      </c>
      <c s="3">
        <v>20580</v>
      </c>
      <c s="3">
        <v>8591</v>
      </c>
      <c>
        <v>0</v>
      </c>
      <c s="3">
        <v>0</v>
      </c>
      <c s="3">
        <v>580.79</v>
      </c>
      <c s="3">
        <v>20580</v>
      </c>
      <c r="O1284" s="1" t="str">
        <f ca="1">HYPERLINK("https://web.datatree.com/?/property?propertyId=32429920", "https://web.datatree.com/?/property?propertyId=32429920")</f>
        <v>https://web.datatree.com/?/property?propertyId=32429920</v>
      </c>
      <c r="Q1284" t="s">
        <v>316</v>
      </c>
      <c>
        <v>0.244</v>
      </c>
      <c t="s">
        <v>6175</v>
      </c>
      <c t="s">
        <v>34179</v>
      </c>
      <c t="s">
        <v>6665</v>
      </c>
      <c t="s">
        <v>26580</v>
      </c>
      <c t="s">
        <v>6665</v>
      </c>
      <c t="s">
        <v>2959</v>
      </c>
      <c t="s">
        <v>8669</v>
      </c>
      <c t="s">
        <v>2517</v>
      </c>
      <c t="s">
        <v>39289</v>
      </c>
      <c>
        <v>33909</v>
      </c>
      <c t="s">
        <v>22637</v>
      </c>
      <c t="s">
        <v>48794</v>
      </c>
      <c t="s">
        <v>28211</v>
      </c>
      <c>
        <v>14</v>
      </c>
      <c r="AI1284" t="s">
        <v>41756</v>
      </c>
      <c t="s">
        <v>40345</v>
      </c>
      <c r="AL1284" t="s">
        <v>51134</v>
      </c>
      <c r="AN1284" t="s">
        <v>10909</v>
      </c>
      <c t="s">
        <v>28075</v>
      </c>
      <c r="AQ1284" t="s">
        <v>27814</v>
      </c>
      <c t="s">
        <v>60006</v>
      </c>
    </row>
    <row>
      <c t="s">
        <v>17594</v>
      </c>
      <c t="s">
        <v>17468</v>
      </c>
      <c t="s">
        <v>47331</v>
      </c>
      <c t="s">
        <v>46455</v>
      </c>
      <c t="s">
        <v>23720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1285" s="1" t="str">
        <f ca="1">HYPERLINK("https://web.datatree.com/?/property?propertyId=32430074", "https://web.datatree.com/?/property?propertyId=32430074")</f>
        <v>https://web.datatree.com/?/property?propertyId=32430074</v>
      </c>
      <c r="Q1285" t="s">
        <v>316</v>
      </c>
      <c>
        <v>0.23</v>
      </c>
      <c t="s">
        <v>6175</v>
      </c>
      <c t="s">
        <v>20889</v>
      </c>
      <c t="s">
        <v>47024</v>
      </c>
      <c t="s">
        <v>51983</v>
      </c>
      <c t="s">
        <v>42690</v>
      </c>
      <c t="s">
        <v>2839</v>
      </c>
      <c t="s">
        <v>39082</v>
      </c>
      <c t="s">
        <v>2517</v>
      </c>
      <c t="s">
        <v>39289</v>
      </c>
      <c>
        <v>33909</v>
      </c>
      <c t="s">
        <v>64407</v>
      </c>
      <c t="s">
        <v>48794</v>
      </c>
      <c t="s">
        <v>17074</v>
      </c>
      <c>
        <v>325</v>
      </c>
      <c r="AI1285" t="s">
        <v>44982</v>
      </c>
      <c t="s">
        <v>45393</v>
      </c>
      <c>
        <v>95</v>
      </c>
      <c t="s">
        <v>10437</v>
      </c>
      <c t="s">
        <v>10437</v>
      </c>
      <c t="s">
        <v>39289</v>
      </c>
      <c t="s">
        <v>59248</v>
      </c>
      <c t="s">
        <v>51100</v>
      </c>
      <c t="s">
        <v>3093</v>
      </c>
      <c t="s">
        <v>25970</v>
      </c>
    </row>
    <row>
      <c t="s">
        <v>17594</v>
      </c>
      <c t="s">
        <v>34150</v>
      </c>
      <c t="s">
        <v>63377</v>
      </c>
      <c t="s">
        <v>44552</v>
      </c>
      <c t="s">
        <v>64839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1286" s="1" t="str">
        <f ca="1">HYPERLINK("https://web.datatree.com/?/property?propertyId=32430346", "https://web.datatree.com/?/property?propertyId=32430346")</f>
        <v>https://web.datatree.com/?/property?propertyId=32430346</v>
      </c>
      <c r="Q1286" t="s">
        <v>316</v>
      </c>
      <c>
        <v>0.23</v>
      </c>
      <c t="s">
        <v>6175</v>
      </c>
      <c t="s">
        <v>58276</v>
      </c>
      <c t="s">
        <v>22336</v>
      </c>
      <c r="X1286" t="s">
        <v>22786</v>
      </c>
      <c t="s">
        <v>41506</v>
      </c>
      <c t="s">
        <v>2517</v>
      </c>
      <c t="s">
        <v>39289</v>
      </c>
      <c>
        <v>33904</v>
      </c>
      <c t="s">
        <v>34065</v>
      </c>
      <c t="s">
        <v>48794</v>
      </c>
      <c t="s">
        <v>56622</v>
      </c>
      <c>
        <v>746</v>
      </c>
      <c r="AI1286" t="s">
        <v>47419</v>
      </c>
      <c t="s">
        <v>24900</v>
      </c>
      <c r="AL1286" t="s">
        <v>10382</v>
      </c>
      <c r="AN1286" t="s">
        <v>26016</v>
      </c>
      <c t="s">
        <v>20075</v>
      </c>
      <c t="s">
        <v>62830</v>
      </c>
      <c t="s">
        <v>3093</v>
      </c>
      <c t="s">
        <v>27880</v>
      </c>
    </row>
    <row>
      <c t="s">
        <v>17594</v>
      </c>
      <c t="s">
        <v>17079</v>
      </c>
      <c t="s">
        <v>13766</v>
      </c>
      <c t="s">
        <v>8949</v>
      </c>
      <c t="s">
        <v>34909</v>
      </c>
      <c s="3">
        <v>28022</v>
      </c>
      <c s="3">
        <v>28022</v>
      </c>
      <c s="3">
        <v>10560</v>
      </c>
      <c>
        <v>0</v>
      </c>
      <c s="3">
        <v>0</v>
      </c>
      <c s="3">
        <v>754.25</v>
      </c>
      <c s="3">
        <v>28022</v>
      </c>
      <c r="O1287" s="1" t="str">
        <f ca="1">HYPERLINK("https://web.datatree.com/?/property?propertyId=32430533", "https://web.datatree.com/?/property?propertyId=32430533")</f>
        <v>https://web.datatree.com/?/property?propertyId=32430533</v>
      </c>
      <c r="Q1287" t="s">
        <v>316</v>
      </c>
      <c>
        <v>0.368</v>
      </c>
      <c t="s">
        <v>22490</v>
      </c>
      <c t="s">
        <v>59800</v>
      </c>
      <c t="s">
        <v>65946</v>
      </c>
      <c t="s">
        <v>53238</v>
      </c>
      <c t="s">
        <v>65946</v>
      </c>
      <c t="s">
        <v>23654</v>
      </c>
      <c t="s">
        <v>49122</v>
      </c>
      <c t="s">
        <v>2517</v>
      </c>
      <c t="s">
        <v>39289</v>
      </c>
      <c>
        <v>33909</v>
      </c>
      <c t="s">
        <v>53067</v>
      </c>
      <c t="s">
        <v>48794</v>
      </c>
      <c t="s">
        <v>27096</v>
      </c>
      <c>
        <v>10526</v>
      </c>
      <c r="AH1287" t="s">
        <v>6851</v>
      </c>
      <c t="s">
        <v>33568</v>
      </c>
      <c t="s">
        <v>45620</v>
      </c>
      <c r="AL1287" t="s">
        <v>16876</v>
      </c>
      <c r="AN1287" t="s">
        <v>56163</v>
      </c>
      <c t="s">
        <v>1374</v>
      </c>
      <c t="s">
        <v>14695</v>
      </c>
      <c t="s">
        <v>3093</v>
      </c>
      <c t="s">
        <v>41491</v>
      </c>
    </row>
    <row>
      <c t="s">
        <v>17594</v>
      </c>
      <c t="s">
        <v>48151</v>
      </c>
      <c t="s">
        <v>13318</v>
      </c>
      <c t="s">
        <v>15983</v>
      </c>
      <c t="s">
        <v>51167</v>
      </c>
      <c s="3">
        <v>26464</v>
      </c>
      <c s="3">
        <v>26464</v>
      </c>
      <c s="3">
        <v>26464</v>
      </c>
      <c>
        <v>0</v>
      </c>
      <c s="3">
        <v>0</v>
      </c>
      <c s="3">
        <v>1114.47</v>
      </c>
      <c s="3">
        <v>26464</v>
      </c>
      <c r="O1288" s="1" t="str">
        <f ca="1">HYPERLINK("https://web.datatree.com/?/property?propertyId=32430598", "https://web.datatree.com/?/property?propertyId=32430598")</f>
        <v>https://web.datatree.com/?/property?propertyId=32430598</v>
      </c>
      <c r="Q1288" t="s">
        <v>316</v>
      </c>
      <c>
        <v>0.37</v>
      </c>
      <c t="s">
        <v>14479</v>
      </c>
      <c t="s">
        <v>51166</v>
      </c>
      <c t="s">
        <v>41361</v>
      </c>
      <c t="s">
        <v>32906</v>
      </c>
      <c t="s">
        <v>41361</v>
      </c>
      <c t="s">
        <v>47879</v>
      </c>
      <c t="s">
        <v>22731</v>
      </c>
      <c t="s">
        <v>2517</v>
      </c>
      <c t="s">
        <v>39289</v>
      </c>
      <c>
        <v>33909</v>
      </c>
      <c t="s">
        <v>50233</v>
      </c>
      <c t="s">
        <v>48794</v>
      </c>
      <c t="s">
        <v>46698</v>
      </c>
      <c>
        <v>18211</v>
      </c>
      <c r="AI1288" t="s">
        <v>49122</v>
      </c>
      <c t="s">
        <v>45393</v>
      </c>
      <c r="AL1288" t="s">
        <v>21676</v>
      </c>
      <c t="s">
        <v>21676</v>
      </c>
      <c t="s">
        <v>39289</v>
      </c>
      <c t="s">
        <v>47200</v>
      </c>
      <c t="s">
        <v>36638</v>
      </c>
      <c t="s">
        <v>3093</v>
      </c>
      <c t="s">
        <v>46223</v>
      </c>
    </row>
    <row>
      <c t="s">
        <v>17594</v>
      </c>
      <c t="s">
        <v>18212</v>
      </c>
      <c t="s">
        <v>56826</v>
      </c>
      <c t="s">
        <v>22660</v>
      </c>
      <c t="s">
        <v>58082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289" s="1" t="str">
        <f ca="1">HYPERLINK("https://web.datatree.com/?/property?propertyId=32430645", "https://web.datatree.com/?/property?propertyId=32430645")</f>
        <v>https://web.datatree.com/?/property?propertyId=32430645</v>
      </c>
      <c r="Q1289" t="s">
        <v>316</v>
      </c>
      <c>
        <v>0.23</v>
      </c>
      <c t="s">
        <v>22490</v>
      </c>
      <c t="s">
        <v>54943</v>
      </c>
      <c t="s">
        <v>48794</v>
      </c>
      <c r="X1289" t="s">
        <v>42405</v>
      </c>
      <c t="s">
        <v>53675</v>
      </c>
      <c t="s">
        <v>2517</v>
      </c>
      <c t="s">
        <v>39289</v>
      </c>
      <c>
        <v>33909</v>
      </c>
      <c t="s">
        <v>51398</v>
      </c>
      <c t="s">
        <v>48794</v>
      </c>
      <c t="s">
        <v>3459</v>
      </c>
      <c>
        <v>135</v>
      </c>
      <c r="AI1289" t="s">
        <v>63526</v>
      </c>
      <c t="s">
        <v>45393</v>
      </c>
      <c>
        <v>604</v>
      </c>
      <c t="s">
        <v>12580</v>
      </c>
      <c t="s">
        <v>12580</v>
      </c>
      <c t="s">
        <v>27747</v>
      </c>
      <c t="s">
        <v>15542</v>
      </c>
      <c t="s">
        <v>31626</v>
      </c>
      <c t="s">
        <v>3093</v>
      </c>
      <c t="s">
        <v>20600</v>
      </c>
    </row>
    <row>
      <c t="s">
        <v>17594</v>
      </c>
      <c t="s">
        <v>41102</v>
      </c>
      <c t="s">
        <v>30619</v>
      </c>
      <c t="s">
        <v>46251</v>
      </c>
      <c t="s">
        <v>17443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290" s="1" t="str">
        <f ca="1">HYPERLINK("https://web.datatree.com/?/property?propertyId=32431405", "https://web.datatree.com/?/property?propertyId=32431405")</f>
        <v>https://web.datatree.com/?/property?propertyId=32431405</v>
      </c>
      <c r="Q1290" t="s">
        <v>316</v>
      </c>
      <c>
        <v>0.23</v>
      </c>
      <c t="s">
        <v>22490</v>
      </c>
      <c t="s">
        <v>51874</v>
      </c>
      <c t="s">
        <v>57473</v>
      </c>
      <c r="X1290" t="s">
        <v>15631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53888</v>
      </c>
      <c r="AI1290" t="s">
        <v>18574</v>
      </c>
      <c r="AK1290">
        <v>4</v>
      </c>
      <c t="s">
        <v>62140</v>
      </c>
      <c r="AN1290" t="s">
        <v>63985</v>
      </c>
      <c>
        <v>28844</v>
      </c>
      <c r="AR1290" t="s">
        <v>17084</v>
      </c>
    </row>
    <row>
      <c t="s">
        <v>17594</v>
      </c>
      <c t="s">
        <v>53311</v>
      </c>
      <c t="s">
        <v>11703</v>
      </c>
      <c t="s">
        <v>46695</v>
      </c>
      <c t="s">
        <v>57138</v>
      </c>
      <c s="3">
        <v>37000</v>
      </c>
      <c s="3">
        <v>37000</v>
      </c>
      <c s="3">
        <v>18755</v>
      </c>
      <c>
        <v>0</v>
      </c>
      <c s="3">
        <v>0</v>
      </c>
      <c s="3">
        <v>866.47</v>
      </c>
      <c s="3">
        <v>37000</v>
      </c>
      <c r="O1291" s="1" t="str">
        <f ca="1">HYPERLINK("https://web.datatree.com/?/property?propertyId=32431418", "https://web.datatree.com/?/property?propertyId=32431418")</f>
        <v>https://web.datatree.com/?/property?propertyId=32431418</v>
      </c>
      <c r="Q1291" t="s">
        <v>316</v>
      </c>
      <c>
        <v>0.344</v>
      </c>
      <c t="s">
        <v>65422</v>
      </c>
      <c t="s">
        <v>45029</v>
      </c>
      <c t="s">
        <v>61062</v>
      </c>
      <c t="s">
        <v>24179</v>
      </c>
      <c t="s">
        <v>61062</v>
      </c>
      <c t="s">
        <v>60402</v>
      </c>
      <c t="s">
        <v>8669</v>
      </c>
      <c t="s">
        <v>2517</v>
      </c>
      <c t="s">
        <v>39289</v>
      </c>
      <c>
        <v>33909</v>
      </c>
      <c t="s">
        <v>2605</v>
      </c>
      <c t="s">
        <v>48794</v>
      </c>
      <c t="s">
        <v>18773</v>
      </c>
      <c>
        <v>135</v>
      </c>
      <c r="AI1291" t="s">
        <v>46469</v>
      </c>
      <c t="s">
        <v>55842</v>
      </c>
      <c r="AL1291" t="s">
        <v>2517</v>
      </c>
      <c t="s">
        <v>24950</v>
      </c>
      <c t="s">
        <v>39289</v>
      </c>
      <c t="s">
        <v>21785</v>
      </c>
      <c t="s">
        <v>65563</v>
      </c>
      <c t="s">
        <v>3093</v>
      </c>
      <c t="s">
        <v>58943</v>
      </c>
    </row>
    <row>
      <c t="s">
        <v>17594</v>
      </c>
      <c t="s">
        <v>1767</v>
      </c>
      <c t="s">
        <v>21830</v>
      </c>
      <c t="s">
        <v>56768</v>
      </c>
      <c t="s">
        <v>2464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1292" s="1" t="str">
        <f ca="1">HYPERLINK("https://web.datatree.com/?/property?propertyId=32431728", "https://web.datatree.com/?/property?propertyId=32431728")</f>
        <v>https://web.datatree.com/?/property?propertyId=32431728</v>
      </c>
      <c r="Q1292" t="s">
        <v>316</v>
      </c>
      <c>
        <v>0.244</v>
      </c>
      <c t="s">
        <v>6175</v>
      </c>
      <c t="s">
        <v>59573</v>
      </c>
      <c t="s">
        <v>66968</v>
      </c>
      <c t="s">
        <v>29901</v>
      </c>
      <c t="s">
        <v>66968</v>
      </c>
      <c t="s">
        <v>58385</v>
      </c>
      <c t="s">
        <v>2619</v>
      </c>
      <c t="s">
        <v>2517</v>
      </c>
      <c t="s">
        <v>39289</v>
      </c>
      <c>
        <v>33909</v>
      </c>
      <c t="s">
        <v>57475</v>
      </c>
      <c t="s">
        <v>48794</v>
      </c>
      <c t="s">
        <v>9982</v>
      </c>
      <c>
        <v>14730</v>
      </c>
      <c r="AI1292" t="s">
        <v>56700</v>
      </c>
      <c t="s">
        <v>39321</v>
      </c>
      <c r="AL1292" t="s">
        <v>55393</v>
      </c>
      <c r="AN1292" t="s">
        <v>39289</v>
      </c>
      <c t="s">
        <v>20664</v>
      </c>
      <c t="s">
        <v>61564</v>
      </c>
      <c t="s">
        <v>3093</v>
      </c>
      <c t="s">
        <v>15523</v>
      </c>
    </row>
    <row>
      <c t="s">
        <v>17594</v>
      </c>
      <c t="s">
        <v>21789</v>
      </c>
      <c t="s">
        <v>9032</v>
      </c>
      <c t="s">
        <v>60356</v>
      </c>
      <c t="s">
        <v>60050</v>
      </c>
      <c s="3">
        <v>28022</v>
      </c>
      <c s="3">
        <v>28022</v>
      </c>
      <c s="3">
        <v>28022</v>
      </c>
      <c>
        <v>0</v>
      </c>
      <c s="3">
        <v>0</v>
      </c>
      <c s="3">
        <v>911.51</v>
      </c>
      <c s="3">
        <v>28022</v>
      </c>
      <c r="O1293" s="1" t="str">
        <f ca="1">HYPERLINK("https://web.datatree.com/?/property?propertyId=32432449", "https://web.datatree.com/?/property?propertyId=32432449")</f>
        <v>https://web.datatree.com/?/property?propertyId=32432449</v>
      </c>
      <c r="Q1293" t="s">
        <v>316</v>
      </c>
      <c>
        <v>0.344</v>
      </c>
      <c t="s">
        <v>22490</v>
      </c>
      <c t="s">
        <v>59548</v>
      </c>
      <c t="s">
        <v>34217</v>
      </c>
      <c t="s">
        <v>32145</v>
      </c>
      <c t="s">
        <v>45794</v>
      </c>
      <c t="s">
        <v>60950</v>
      </c>
      <c t="s">
        <v>46469</v>
      </c>
      <c t="s">
        <v>2517</v>
      </c>
      <c t="s">
        <v>39289</v>
      </c>
      <c>
        <v>33909</v>
      </c>
      <c t="s">
        <v>22066</v>
      </c>
      <c t="s">
        <v>48794</v>
      </c>
      <c t="s">
        <v>53088</v>
      </c>
      <c>
        <v>4324</v>
      </c>
      <c r="AI1293" t="s">
        <v>29505</v>
      </c>
      <c t="s">
        <v>31192</v>
      </c>
      <c r="AL1293" t="s">
        <v>27398</v>
      </c>
      <c t="s">
        <v>45881</v>
      </c>
      <c t="s">
        <v>39289</v>
      </c>
      <c t="s">
        <v>61234</v>
      </c>
      <c t="s">
        <v>56453</v>
      </c>
      <c t="s">
        <v>3093</v>
      </c>
      <c t="s">
        <v>43975</v>
      </c>
    </row>
    <row>
      <c t="s">
        <v>17594</v>
      </c>
      <c t="s">
        <v>58254</v>
      </c>
      <c t="s">
        <v>53413</v>
      </c>
      <c t="s">
        <v>35880</v>
      </c>
      <c t="s">
        <v>5895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1294" s="1" t="str">
        <f ca="1">HYPERLINK("https://web.datatree.com/?/property?propertyId=32432548", "https://web.datatree.com/?/property?propertyId=32432548")</f>
        <v>https://web.datatree.com/?/property?propertyId=32432548</v>
      </c>
      <c r="Q1294" t="s">
        <v>316</v>
      </c>
      <c>
        <v>0.23</v>
      </c>
      <c t="s">
        <v>22490</v>
      </c>
      <c t="s">
        <v>1800</v>
      </c>
      <c t="s">
        <v>24191</v>
      </c>
      <c r="X1294" t="s">
        <v>13714</v>
      </c>
      <c t="s">
        <v>66701</v>
      </c>
      <c t="s">
        <v>2517</v>
      </c>
      <c t="s">
        <v>39289</v>
      </c>
      <c>
        <v>33909</v>
      </c>
      <c t="s">
        <v>48620</v>
      </c>
      <c t="s">
        <v>48794</v>
      </c>
      <c t="s">
        <v>7421</v>
      </c>
      <c>
        <v>487</v>
      </c>
      <c r="AI1294" t="s">
        <v>27787</v>
      </c>
      <c t="s">
        <v>41372</v>
      </c>
      <c r="AL1294" t="s">
        <v>4019</v>
      </c>
      <c t="s">
        <v>1061</v>
      </c>
      <c t="s">
        <v>64156</v>
      </c>
      <c t="s">
        <v>65178</v>
      </c>
      <c t="s">
        <v>18692</v>
      </c>
      <c t="s">
        <v>3093</v>
      </c>
      <c t="s">
        <v>6393</v>
      </c>
    </row>
    <row>
      <c t="s">
        <v>17594</v>
      </c>
      <c t="s">
        <v>56980</v>
      </c>
      <c t="s">
        <v>49040</v>
      </c>
      <c t="s">
        <v>64158</v>
      </c>
      <c t="s">
        <v>22448</v>
      </c>
      <c s="3">
        <v>14982</v>
      </c>
      <c s="3">
        <v>14982</v>
      </c>
      <c s="3">
        <v>14982</v>
      </c>
      <c>
        <v>0</v>
      </c>
      <c s="3">
        <v>0</v>
      </c>
      <c s="3">
        <v>402.21</v>
      </c>
      <c s="3">
        <v>14982</v>
      </c>
      <c r="O1295" s="1" t="str">
        <f ca="1">HYPERLINK("https://web.datatree.com/?/property?propertyId=32432589", "https://web.datatree.com/?/property?propertyId=32432589")</f>
        <v>https://web.datatree.com/?/property?propertyId=32432589</v>
      </c>
      <c r="Q1295" t="s">
        <v>316</v>
      </c>
      <c>
        <v>0.304</v>
      </c>
      <c t="s">
        <v>5471</v>
      </c>
      <c t="s">
        <v>22046</v>
      </c>
      <c t="s">
        <v>3328</v>
      </c>
      <c t="s">
        <v>552</v>
      </c>
      <c t="s">
        <v>3328</v>
      </c>
      <c t="s">
        <v>65263</v>
      </c>
      <c t="s">
        <v>51919</v>
      </c>
      <c t="s">
        <v>65059</v>
      </c>
      <c t="s">
        <v>39289</v>
      </c>
      <c>
        <v>33905</v>
      </c>
      <c t="s">
        <v>9115</v>
      </c>
      <c t="s">
        <v>48794</v>
      </c>
      <c t="s">
        <v>10517</v>
      </c>
      <c>
        <v>211</v>
      </c>
      <c r="AI1295" t="s">
        <v>44059</v>
      </c>
      <c t="s">
        <v>55842</v>
      </c>
      <c t="s">
        <v>17594</v>
      </c>
      <c t="s">
        <v>45566</v>
      </c>
      <c t="s">
        <v>31878</v>
      </c>
      <c t="s">
        <v>3034</v>
      </c>
      <c t="s">
        <v>55028</v>
      </c>
      <c t="s">
        <v>1951</v>
      </c>
      <c t="s">
        <v>3093</v>
      </c>
      <c t="s">
        <v>54213</v>
      </c>
    </row>
    <row>
      <c t="s">
        <v>17594</v>
      </c>
      <c t="s">
        <v>19849</v>
      </c>
      <c t="s">
        <v>30038</v>
      </c>
      <c t="s">
        <v>26780</v>
      </c>
      <c t="s">
        <v>63553</v>
      </c>
      <c s="3">
        <v>24450</v>
      </c>
      <c s="3">
        <v>24450</v>
      </c>
      <c s="3">
        <v>24450</v>
      </c>
      <c>
        <v>0</v>
      </c>
      <c s="3">
        <v>0</v>
      </c>
      <c s="3">
        <v>764.72</v>
      </c>
      <c s="3">
        <v>24450</v>
      </c>
      <c r="O1296" s="1" t="str">
        <f ca="1">HYPERLINK("https://web.datatree.com/?/property?propertyId=32432661", "https://web.datatree.com/?/property?propertyId=32432661")</f>
        <v>https://web.datatree.com/?/property?propertyId=32432661</v>
      </c>
      <c r="Q1296" t="s">
        <v>316</v>
      </c>
      <c>
        <v>0.244</v>
      </c>
      <c t="s">
        <v>22490</v>
      </c>
      <c r="U1296" t="s">
        <v>12168</v>
      </c>
      <c r="W1296" t="s">
        <v>9695</v>
      </c>
      <c t="s">
        <v>3977</v>
      </c>
      <c t="s">
        <v>30928</v>
      </c>
      <c t="s">
        <v>2517</v>
      </c>
      <c t="s">
        <v>39289</v>
      </c>
      <c>
        <v>33909</v>
      </c>
      <c t="s">
        <v>62543</v>
      </c>
      <c t="s">
        <v>48794</v>
      </c>
      <c t="s">
        <v>7965</v>
      </c>
      <c>
        <v>3928</v>
      </c>
      <c r="AI1296" t="s">
        <v>7845</v>
      </c>
      <c t="s">
        <v>40123</v>
      </c>
      <c r="AL1296" t="s">
        <v>43854</v>
      </c>
      <c r="AN1296" t="s">
        <v>27222</v>
      </c>
      <c t="s">
        <v>20311</v>
      </c>
      <c t="s">
        <v>9570</v>
      </c>
      <c t="s">
        <v>3093</v>
      </c>
      <c t="s">
        <v>16997</v>
      </c>
    </row>
    <row>
      <c t="s">
        <v>17594</v>
      </c>
      <c t="s">
        <v>18052</v>
      </c>
      <c t="s">
        <v>5080</v>
      </c>
      <c t="s">
        <v>2220</v>
      </c>
      <c t="s">
        <v>8679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297" s="1" t="str">
        <f ca="1">HYPERLINK("https://web.datatree.com/?/property?propertyId=32432843", "https://web.datatree.com/?/property?propertyId=32432843")</f>
        <v>https://web.datatree.com/?/property?propertyId=32432843</v>
      </c>
      <c r="Q1297" t="s">
        <v>316</v>
      </c>
      <c>
        <v>0.229</v>
      </c>
      <c t="s">
        <v>22490</v>
      </c>
      <c t="s">
        <v>31169</v>
      </c>
      <c t="s">
        <v>56084</v>
      </c>
      <c t="s">
        <v>12173</v>
      </c>
      <c t="s">
        <v>56084</v>
      </c>
      <c t="s">
        <v>7014</v>
      </c>
      <c t="s">
        <v>22731</v>
      </c>
      <c t="s">
        <v>2517</v>
      </c>
      <c t="s">
        <v>39289</v>
      </c>
      <c>
        <v>33909</v>
      </c>
      <c t="s">
        <v>53581</v>
      </c>
      <c t="s">
        <v>48794</v>
      </c>
      <c t="s">
        <v>20111</v>
      </c>
      <c>
        <v>11805</v>
      </c>
      <c r="AI1297" t="s">
        <v>49614</v>
      </c>
      <c t="s">
        <v>55842</v>
      </c>
      <c r="AL1297" t="s">
        <v>51967</v>
      </c>
      <c r="AN1297" t="s">
        <v>65467</v>
      </c>
      <c t="s">
        <v>47421</v>
      </c>
      <c t="s">
        <v>19978</v>
      </c>
      <c t="s">
        <v>3093</v>
      </c>
      <c t="s">
        <v>64247</v>
      </c>
    </row>
    <row>
      <c t="s">
        <v>17594</v>
      </c>
      <c t="s">
        <v>15489</v>
      </c>
      <c t="s">
        <v>13664</v>
      </c>
      <c t="s">
        <v>13289</v>
      </c>
      <c t="s">
        <v>42376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298" s="1" t="str">
        <f ca="1">HYPERLINK("https://web.datatree.com/?/property?propertyId=32432852", "https://web.datatree.com/?/property?propertyId=32432852")</f>
        <v>https://web.datatree.com/?/property?propertyId=32432852</v>
      </c>
      <c r="Q1298" t="s">
        <v>316</v>
      </c>
      <c>
        <v>0.23</v>
      </c>
      <c t="s">
        <v>22490</v>
      </c>
      <c t="s">
        <v>63618</v>
      </c>
      <c t="s">
        <v>45794</v>
      </c>
      <c t="s">
        <v>46916</v>
      </c>
      <c t="s">
        <v>45794</v>
      </c>
      <c t="s">
        <v>52678</v>
      </c>
      <c t="s">
        <v>41506</v>
      </c>
      <c t="s">
        <v>2517</v>
      </c>
      <c t="s">
        <v>39289</v>
      </c>
      <c>
        <v>33909</v>
      </c>
      <c t="s">
        <v>6606</v>
      </c>
      <c t="s">
        <v>48794</v>
      </c>
      <c t="s">
        <v>57239</v>
      </c>
      <c>
        <v>4525</v>
      </c>
      <c r="AI1298" t="s">
        <v>32116</v>
      </c>
      <c t="s">
        <v>40123</v>
      </c>
      <c r="AL1298" t="s">
        <v>26592</v>
      </c>
      <c r="AN1298" t="s">
        <v>39289</v>
      </c>
      <c t="s">
        <v>10</v>
      </c>
      <c t="s">
        <v>27553</v>
      </c>
      <c t="s">
        <v>3093</v>
      </c>
      <c t="s">
        <v>17808</v>
      </c>
    </row>
    <row>
      <c t="s">
        <v>17594</v>
      </c>
      <c t="s">
        <v>28171</v>
      </c>
      <c t="s">
        <v>10424</v>
      </c>
      <c t="s">
        <v>30117</v>
      </c>
      <c t="s">
        <v>27295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1299" s="1" t="str">
        <f ca="1">HYPERLINK("https://web.datatree.com/?/property?propertyId=32432873", "https://web.datatree.com/?/property?propertyId=32432873")</f>
        <v>https://web.datatree.com/?/property?propertyId=32432873</v>
      </c>
      <c r="Q1299" t="s">
        <v>316</v>
      </c>
      <c>
        <v>0.23</v>
      </c>
      <c t="s">
        <v>22490</v>
      </c>
      <c t="s">
        <v>4354</v>
      </c>
      <c t="s">
        <v>13862</v>
      </c>
      <c r="X1299" t="s">
        <v>31047</v>
      </c>
      <c t="s">
        <v>30928</v>
      </c>
      <c t="s">
        <v>2517</v>
      </c>
      <c t="s">
        <v>39289</v>
      </c>
      <c>
        <v>33909</v>
      </c>
      <c t="s">
        <v>35261</v>
      </c>
      <c t="s">
        <v>48794</v>
      </c>
      <c t="s">
        <v>7180</v>
      </c>
      <c r="AI1299" t="s">
        <v>50571</v>
      </c>
      <c r="AK1299" s="4">
        <v>45051</v>
      </c>
      <c t="s">
        <v>63230</v>
      </c>
      <c r="AN1299" t="s">
        <v>40580</v>
      </c>
      <c>
        <v>0</v>
      </c>
      <c r="AR1299" t="s">
        <v>44627</v>
      </c>
    </row>
    <row>
      <c t="s">
        <v>17594</v>
      </c>
      <c t="s">
        <v>5241</v>
      </c>
      <c t="s">
        <v>8399</v>
      </c>
      <c t="s">
        <v>18412</v>
      </c>
      <c t="s">
        <v>19344</v>
      </c>
      <c s="3">
        <v>5796</v>
      </c>
      <c s="3">
        <v>5796</v>
      </c>
      <c s="3">
        <v>4160</v>
      </c>
      <c>
        <v>0</v>
      </c>
      <c s="3">
        <v>0</v>
      </c>
      <c s="3">
        <v>71.37</v>
      </c>
      <c s="3">
        <v>5796</v>
      </c>
      <c>
        <v>2016</v>
      </c>
      <c>
        <v>2500.7</v>
      </c>
      <c s="1" t="str">
        <f ca="1">HYPERLINK("https://web.datatree.com/?/property?propertyId=32432899", "https://web.datatree.com/?/property?propertyId=32432899")</f>
        <v>https://web.datatree.com/?/property?propertyId=32432899</v>
      </c>
      <c r="Q1300" t="s">
        <v>316</v>
      </c>
      <c>
        <v>0.161</v>
      </c>
      <c t="s">
        <v>23582</v>
      </c>
      <c t="s">
        <v>38445</v>
      </c>
      <c t="s">
        <v>52915</v>
      </c>
      <c t="s">
        <v>10361</v>
      </c>
      <c t="s">
        <v>19107</v>
      </c>
      <c t="s">
        <v>43545</v>
      </c>
      <c t="s">
        <v>58439</v>
      </c>
      <c t="s">
        <v>65059</v>
      </c>
      <c t="s">
        <v>39289</v>
      </c>
      <c>
        <v>33905</v>
      </c>
      <c t="s">
        <v>4193</v>
      </c>
      <c t="s">
        <v>48794</v>
      </c>
      <c t="s">
        <v>41184</v>
      </c>
      <c>
        <v>2558</v>
      </c>
      <c r="AI1300" t="s">
        <v>55879</v>
      </c>
      <c t="s">
        <v>31192</v>
      </c>
      <c>
        <v>2307</v>
      </c>
      <c t="s">
        <v>11713</v>
      </c>
      <c r="AN1300" t="s">
        <v>39289</v>
      </c>
      <c>
        <v>34114</v>
      </c>
      <c t="s">
        <v>28673</v>
      </c>
      <c t="s">
        <v>3093</v>
      </c>
      <c t="s">
        <v>43101</v>
      </c>
    </row>
    <row>
      <c t="s">
        <v>17594</v>
      </c>
      <c t="s">
        <v>35870</v>
      </c>
      <c t="s">
        <v>19115</v>
      </c>
      <c t="s">
        <v>11296</v>
      </c>
      <c t="s">
        <v>66486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301" s="1" t="str">
        <f ca="1">HYPERLINK("https://web.datatree.com/?/property?propertyId=32433578", "https://web.datatree.com/?/property?propertyId=32433578")</f>
        <v>https://web.datatree.com/?/property?propertyId=32433578</v>
      </c>
      <c r="Q1301" t="s">
        <v>316</v>
      </c>
      <c>
        <v>0.23</v>
      </c>
      <c t="s">
        <v>6175</v>
      </c>
      <c t="s">
        <v>7473</v>
      </c>
      <c t="s">
        <v>16075</v>
      </c>
      <c t="s">
        <v>52701</v>
      </c>
      <c t="s">
        <v>52082</v>
      </c>
      <c t="s">
        <v>37754</v>
      </c>
      <c t="s">
        <v>34731</v>
      </c>
      <c t="s">
        <v>2517</v>
      </c>
      <c t="s">
        <v>39289</v>
      </c>
      <c>
        <v>33909</v>
      </c>
      <c t="s">
        <v>10444</v>
      </c>
      <c t="s">
        <v>48794</v>
      </c>
      <c t="s">
        <v>33076</v>
      </c>
      <c>
        <v>20</v>
      </c>
      <c r="AI1301" t="s">
        <v>19621</v>
      </c>
      <c t="s">
        <v>45620</v>
      </c>
      <c>
        <v>101</v>
      </c>
      <c t="s">
        <v>58930</v>
      </c>
      <c r="AN1301" t="s">
        <v>22275</v>
      </c>
      <c t="s">
        <v>42011</v>
      </c>
      <c t="s">
        <v>26242</v>
      </c>
      <c t="s">
        <v>3093</v>
      </c>
      <c t="s">
        <v>49161</v>
      </c>
    </row>
    <row>
      <c t="s">
        <v>17594</v>
      </c>
      <c t="s">
        <v>59291</v>
      </c>
      <c t="s">
        <v>27967</v>
      </c>
      <c t="s">
        <v>35254</v>
      </c>
      <c t="s">
        <v>31359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1302" s="1" t="str">
        <f ca="1">HYPERLINK("https://web.datatree.com/?/property?propertyId=32433876", "https://web.datatree.com/?/property?propertyId=32433876")</f>
        <v>https://web.datatree.com/?/property?propertyId=32433876</v>
      </c>
      <c r="Q1302" t="s">
        <v>316</v>
      </c>
      <c>
        <v>0.23</v>
      </c>
      <c t="s">
        <v>45031</v>
      </c>
      <c t="s">
        <v>552</v>
      </c>
      <c t="s">
        <v>54081</v>
      </c>
      <c t="s">
        <v>60589</v>
      </c>
      <c t="s">
        <v>54081</v>
      </c>
      <c t="s">
        <v>50861</v>
      </c>
      <c t="s">
        <v>22731</v>
      </c>
      <c t="s">
        <v>2517</v>
      </c>
      <c t="s">
        <v>39289</v>
      </c>
      <c>
        <v>33909</v>
      </c>
      <c t="s">
        <v>58084</v>
      </c>
      <c t="s">
        <v>48794</v>
      </c>
      <c t="s">
        <v>66216</v>
      </c>
      <c>
        <v>4936</v>
      </c>
      <c r="AI1302" t="s">
        <v>35334</v>
      </c>
      <c t="s">
        <v>31192</v>
      </c>
      <c r="AL1302" t="s">
        <v>11207</v>
      </c>
      <c r="AN1302" t="s">
        <v>39289</v>
      </c>
      <c t="s">
        <v>3668</v>
      </c>
      <c t="s">
        <v>4797</v>
      </c>
      <c t="s">
        <v>3093</v>
      </c>
      <c t="s">
        <v>53671</v>
      </c>
    </row>
    <row>
      <c t="s">
        <v>17594</v>
      </c>
      <c t="s">
        <v>47144</v>
      </c>
      <c t="s">
        <v>65804</v>
      </c>
      <c t="s">
        <v>58754</v>
      </c>
      <c t="s">
        <v>21627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1303" s="1" t="str">
        <f ca="1">HYPERLINK("https://web.datatree.com/?/property?propertyId=32434565", "https://web.datatree.com/?/property?propertyId=32434565")</f>
        <v>https://web.datatree.com/?/property?propertyId=32434565</v>
      </c>
      <c r="Q1303" t="s">
        <v>316</v>
      </c>
      <c>
        <v>0.23</v>
      </c>
      <c t="s">
        <v>22490</v>
      </c>
      <c t="s">
        <v>24409</v>
      </c>
      <c t="s">
        <v>47253</v>
      </c>
      <c t="s">
        <v>63182</v>
      </c>
      <c t="s">
        <v>47253</v>
      </c>
      <c t="s">
        <v>66215</v>
      </c>
      <c t="s">
        <v>66701</v>
      </c>
      <c t="s">
        <v>2517</v>
      </c>
      <c t="s">
        <v>39289</v>
      </c>
      <c>
        <v>33909</v>
      </c>
      <c t="s">
        <v>33143</v>
      </c>
      <c t="s">
        <v>48794</v>
      </c>
      <c t="s">
        <v>61809</v>
      </c>
      <c>
        <v>11091</v>
      </c>
      <c r="AI1303" t="s">
        <v>40582</v>
      </c>
      <c t="s">
        <v>31192</v>
      </c>
      <c r="AL1303" t="s">
        <v>22388</v>
      </c>
      <c r="AN1303" t="s">
        <v>48152</v>
      </c>
      <c t="s">
        <v>10406</v>
      </c>
      <c t="s">
        <v>11950</v>
      </c>
      <c t="s">
        <v>3093</v>
      </c>
      <c t="s">
        <v>61776</v>
      </c>
    </row>
    <row>
      <c t="s">
        <v>17594</v>
      </c>
      <c t="s">
        <v>67121</v>
      </c>
      <c t="s">
        <v>42710</v>
      </c>
      <c t="s">
        <v>25096</v>
      </c>
      <c t="s">
        <v>14889</v>
      </c>
      <c s="3">
        <v>70862</v>
      </c>
      <c s="3">
        <v>63500</v>
      </c>
      <c s="3">
        <v>67559</v>
      </c>
      <c>
        <v>0</v>
      </c>
      <c s="3">
        <v>0</v>
      </c>
      <c s="3">
        <v>1034.72</v>
      </c>
      <c s="3">
        <v>70862</v>
      </c>
      <c r="O1304" s="1" t="str">
        <f ca="1">HYPERLINK("https://web.datatree.com/?/property?propertyId=32434647", "https://web.datatree.com/?/property?propertyId=32434647")</f>
        <v>https://web.datatree.com/?/property?propertyId=32434647</v>
      </c>
      <c r="Q1304" t="s">
        <v>316</v>
      </c>
      <c>
        <v>0.094</v>
      </c>
      <c t="s">
        <v>26492</v>
      </c>
      <c t="s">
        <v>62125</v>
      </c>
      <c t="s">
        <v>24692</v>
      </c>
      <c r="X1304" t="s">
        <v>14557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43839</v>
      </c>
      <c>
        <v>1842</v>
      </c>
      <c r="AI1304" t="s">
        <v>22781</v>
      </c>
      <c t="s">
        <v>55842</v>
      </c>
      <c r="AL1304" t="s">
        <v>34272</v>
      </c>
      <c t="s">
        <v>40227</v>
      </c>
      <c t="s">
        <v>17134</v>
      </c>
      <c t="s">
        <v>7535</v>
      </c>
      <c t="s">
        <v>27780</v>
      </c>
      <c t="s">
        <v>3093</v>
      </c>
      <c t="s">
        <v>38302</v>
      </c>
      <c>
        <v>2005</v>
      </c>
    </row>
    <row>
      <c t="s">
        <v>17594</v>
      </c>
      <c t="s">
        <v>23748</v>
      </c>
      <c t="s">
        <v>7979</v>
      </c>
      <c t="s">
        <v>47957</v>
      </c>
      <c t="s">
        <v>12171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305" s="1" t="str">
        <f ca="1">HYPERLINK("https://web.datatree.com/?/property?propertyId=32434678", "https://web.datatree.com/?/property?propertyId=32434678")</f>
        <v>https://web.datatree.com/?/property?propertyId=32434678</v>
      </c>
      <c r="Q1305" t="s">
        <v>316</v>
      </c>
      <c>
        <v>0.23</v>
      </c>
      <c t="s">
        <v>6175</v>
      </c>
      <c t="s">
        <v>63047</v>
      </c>
      <c t="s">
        <v>9640</v>
      </c>
      <c t="s">
        <v>39210</v>
      </c>
      <c t="s">
        <v>9640</v>
      </c>
      <c t="s">
        <v>66819</v>
      </c>
      <c t="s">
        <v>14534</v>
      </c>
      <c t="s">
        <v>2517</v>
      </c>
      <c t="s">
        <v>39289</v>
      </c>
      <c>
        <v>33909</v>
      </c>
      <c t="s">
        <v>6338</v>
      </c>
      <c t="s">
        <v>48794</v>
      </c>
      <c t="s">
        <v>49264</v>
      </c>
      <c>
        <v>73</v>
      </c>
      <c r="AI1305" t="s">
        <v>39334</v>
      </c>
      <c t="s">
        <v>45620</v>
      </c>
      <c r="AL1305" t="s">
        <v>39334</v>
      </c>
      <c r="AN1305" t="s">
        <v>50917</v>
      </c>
      <c t="s">
        <v>51298</v>
      </c>
      <c t="s">
        <v>48506</v>
      </c>
      <c t="s">
        <v>3093</v>
      </c>
      <c t="s">
        <v>18087</v>
      </c>
    </row>
    <row>
      <c t="s">
        <v>17594</v>
      </c>
      <c t="s">
        <v>38437</v>
      </c>
      <c t="s">
        <v>25869</v>
      </c>
      <c t="s">
        <v>53176</v>
      </c>
      <c t="s">
        <v>29187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1306" s="1" t="str">
        <f ca="1">HYPERLINK("https://web.datatree.com/?/property?propertyId=32434875", "https://web.datatree.com/?/property?propertyId=32434875")</f>
        <v>https://web.datatree.com/?/property?propertyId=32434875</v>
      </c>
      <c r="Q1306" t="s">
        <v>316</v>
      </c>
      <c>
        <v>0.23</v>
      </c>
      <c t="s">
        <v>6175</v>
      </c>
      <c t="s">
        <v>63047</v>
      </c>
      <c t="s">
        <v>5921</v>
      </c>
      <c t="s">
        <v>21379</v>
      </c>
      <c t="s">
        <v>5921</v>
      </c>
      <c t="s">
        <v>53228</v>
      </c>
      <c t="s">
        <v>53675</v>
      </c>
      <c t="s">
        <v>2517</v>
      </c>
      <c t="s">
        <v>39289</v>
      </c>
      <c>
        <v>33909</v>
      </c>
      <c t="s">
        <v>51744</v>
      </c>
      <c t="s">
        <v>48794</v>
      </c>
      <c t="s">
        <v>58306</v>
      </c>
      <c>
        <v>33</v>
      </c>
      <c r="AI1306" t="s">
        <v>62865</v>
      </c>
      <c t="s">
        <v>45393</v>
      </c>
      <c r="AL1306" t="s">
        <v>38842</v>
      </c>
      <c t="s">
        <v>13397</v>
      </c>
      <c t="s">
        <v>50917</v>
      </c>
      <c>
        <v>11377</v>
      </c>
      <c r="AQ1306" t="s">
        <v>3093</v>
      </c>
      <c t="s">
        <v>48480</v>
      </c>
    </row>
    <row>
      <c t="s">
        <v>17594</v>
      </c>
      <c t="s">
        <v>11166</v>
      </c>
      <c t="s">
        <v>11106</v>
      </c>
      <c t="s">
        <v>28913</v>
      </c>
      <c t="s">
        <v>14949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1307" s="1" t="str">
        <f ca="1">HYPERLINK("https://web.datatree.com/?/property?propertyId=32435269", "https://web.datatree.com/?/property?propertyId=32435269")</f>
        <v>https://web.datatree.com/?/property?propertyId=32435269</v>
      </c>
      <c r="Q1307" t="s">
        <v>316</v>
      </c>
      <c>
        <v>0.23</v>
      </c>
      <c t="s">
        <v>6175</v>
      </c>
      <c t="s">
        <v>26580</v>
      </c>
      <c t="s">
        <v>9188</v>
      </c>
      <c t="s">
        <v>63989</v>
      </c>
      <c t="s">
        <v>9188</v>
      </c>
      <c t="s">
        <v>27723</v>
      </c>
      <c t="s">
        <v>18679</v>
      </c>
      <c t="s">
        <v>2517</v>
      </c>
      <c t="s">
        <v>39289</v>
      </c>
      <c>
        <v>33909</v>
      </c>
      <c t="s">
        <v>60812</v>
      </c>
      <c t="s">
        <v>48794</v>
      </c>
      <c t="s">
        <v>18438</v>
      </c>
      <c>
        <v>140</v>
      </c>
      <c r="AI1307" t="s">
        <v>51733</v>
      </c>
      <c t="s">
        <v>45393</v>
      </c>
      <c r="AL1307" t="s">
        <v>18600</v>
      </c>
      <c r="AN1307" t="s">
        <v>65451</v>
      </c>
      <c t="s">
        <v>66856</v>
      </c>
      <c t="s">
        <v>12241</v>
      </c>
      <c t="s">
        <v>3093</v>
      </c>
      <c t="s">
        <v>44043</v>
      </c>
    </row>
    <row>
      <c t="s">
        <v>17594</v>
      </c>
      <c t="s">
        <v>20266</v>
      </c>
      <c t="s">
        <v>30036</v>
      </c>
      <c t="s">
        <v>19880</v>
      </c>
      <c t="s">
        <v>9252</v>
      </c>
      <c s="3">
        <v>36210</v>
      </c>
      <c s="3">
        <v>36210</v>
      </c>
      <c s="3">
        <v>36210</v>
      </c>
      <c>
        <v>0</v>
      </c>
      <c s="3">
        <v>0</v>
      </c>
      <c s="3">
        <v>928.94</v>
      </c>
      <c s="3">
        <v>36210</v>
      </c>
      <c r="O1308" s="1" t="str">
        <f ca="1">HYPERLINK("https://web.datatree.com/?/property?propertyId=32435909", "https://web.datatree.com/?/property?propertyId=32435909")</f>
        <v>https://web.datatree.com/?/property?propertyId=32435909</v>
      </c>
      <c r="Q1308" t="s">
        <v>316</v>
      </c>
      <c>
        <v>0.219</v>
      </c>
      <c t="s">
        <v>65422</v>
      </c>
      <c t="s">
        <v>35571</v>
      </c>
      <c t="s">
        <v>44606</v>
      </c>
      <c t="s">
        <v>64505</v>
      </c>
      <c t="s">
        <v>44606</v>
      </c>
      <c t="s">
        <v>5012</v>
      </c>
      <c t="s">
        <v>17022</v>
      </c>
      <c t="s">
        <v>2517</v>
      </c>
      <c t="s">
        <v>39289</v>
      </c>
      <c>
        <v>33909</v>
      </c>
      <c t="s">
        <v>14705</v>
      </c>
      <c t="s">
        <v>48794</v>
      </c>
      <c t="s">
        <v>48134</v>
      </c>
      <c>
        <v>1131</v>
      </c>
      <c r="AI1308" t="s">
        <v>63535</v>
      </c>
      <c t="s">
        <v>45393</v>
      </c>
      <c>
        <v>111</v>
      </c>
      <c t="s">
        <v>31664</v>
      </c>
      <c t="s">
        <v>31664</v>
      </c>
      <c t="s">
        <v>27481</v>
      </c>
      <c t="s">
        <v>17910</v>
      </c>
      <c t="s">
        <v>49977</v>
      </c>
      <c t="s">
        <v>3093</v>
      </c>
      <c t="s">
        <v>34037</v>
      </c>
    </row>
    <row>
      <c t="s">
        <v>17594</v>
      </c>
      <c t="s">
        <v>56197</v>
      </c>
      <c t="s">
        <v>51347</v>
      </c>
      <c t="s">
        <v>40023</v>
      </c>
      <c t="s">
        <v>63769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1309" s="1" t="str">
        <f ca="1">HYPERLINK("https://web.datatree.com/?/property?propertyId=32436131", "https://web.datatree.com/?/property?propertyId=32436131")</f>
        <v>https://web.datatree.com/?/property?propertyId=32436131</v>
      </c>
      <c r="Q1309" t="s">
        <v>316</v>
      </c>
      <c>
        <v>0.244</v>
      </c>
      <c t="s">
        <v>6175</v>
      </c>
      <c t="s">
        <v>1859</v>
      </c>
      <c t="s">
        <v>54434</v>
      </c>
      <c r="X1309" t="s">
        <v>57657</v>
      </c>
      <c t="s">
        <v>58797</v>
      </c>
      <c t="s">
        <v>2517</v>
      </c>
      <c t="s">
        <v>39289</v>
      </c>
      <c>
        <v>33909</v>
      </c>
      <c t="s">
        <v>45616</v>
      </c>
      <c t="s">
        <v>48794</v>
      </c>
      <c t="s">
        <v>55166</v>
      </c>
      <c>
        <v>1003</v>
      </c>
      <c r="AI1309" t="s">
        <v>13397</v>
      </c>
      <c t="s">
        <v>45393</v>
      </c>
      <c r="AL1309" t="s">
        <v>43451</v>
      </c>
      <c t="s">
        <v>43451</v>
      </c>
      <c t="s">
        <v>39289</v>
      </c>
      <c t="s">
        <v>44103</v>
      </c>
      <c t="s">
        <v>34162</v>
      </c>
      <c t="s">
        <v>3093</v>
      </c>
      <c t="s">
        <v>60422</v>
      </c>
    </row>
    <row>
      <c t="s">
        <v>17594</v>
      </c>
      <c t="s">
        <v>61156</v>
      </c>
      <c t="s">
        <v>26071</v>
      </c>
      <c t="s">
        <v>13459</v>
      </c>
      <c t="s">
        <v>22385</v>
      </c>
      <c s="3">
        <v>8100</v>
      </c>
      <c s="3">
        <v>8100</v>
      </c>
      <c s="3">
        <v>8100</v>
      </c>
      <c>
        <v>0</v>
      </c>
      <c s="3">
        <v>0</v>
      </c>
      <c s="3">
        <v>521.96</v>
      </c>
      <c s="3">
        <v>8100</v>
      </c>
      <c r="O1310" s="1" t="str">
        <f ca="1">HYPERLINK("https://web.datatree.com/?/property?propertyId=32436395", "https://web.datatree.com/?/property?propertyId=32436395")</f>
        <v>https://web.datatree.com/?/property?propertyId=32436395</v>
      </c>
      <c r="Q1310" t="s">
        <v>316</v>
      </c>
      <c>
        <v>0.326</v>
      </c>
      <c t="s">
        <v>6175</v>
      </c>
      <c t="s">
        <v>10419</v>
      </c>
      <c t="s">
        <v>23753</v>
      </c>
      <c t="s">
        <v>53622</v>
      </c>
      <c t="s">
        <v>43435</v>
      </c>
      <c t="s">
        <v>46617</v>
      </c>
      <c t="s">
        <v>10653</v>
      </c>
      <c t="s">
        <v>2517</v>
      </c>
      <c t="s">
        <v>39289</v>
      </c>
      <c>
        <v>33909</v>
      </c>
      <c t="s">
        <v>51988</v>
      </c>
      <c t="s">
        <v>48794</v>
      </c>
      <c t="s">
        <v>65656</v>
      </c>
      <c>
        <v>855</v>
      </c>
      <c r="AI1310" t="s">
        <v>64155</v>
      </c>
      <c t="s">
        <v>24900</v>
      </c>
      <c r="AL1310" t="s">
        <v>28559</v>
      </c>
      <c r="AN1310" t="s">
        <v>17134</v>
      </c>
      <c t="s">
        <v>47126</v>
      </c>
      <c t="s">
        <v>44428</v>
      </c>
      <c t="s">
        <v>3093</v>
      </c>
      <c t="s">
        <v>5411</v>
      </c>
    </row>
    <row>
      <c t="s">
        <v>17594</v>
      </c>
      <c t="s">
        <v>1147</v>
      </c>
      <c t="s">
        <v>15084</v>
      </c>
      <c t="s">
        <v>18841</v>
      </c>
      <c t="s">
        <v>58359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2019</v>
      </c>
      <c>
        <v>2917.99</v>
      </c>
      <c s="1" t="str">
        <f ca="1">HYPERLINK("https://web.datatree.com/?/property?propertyId=32436533", "https://web.datatree.com/?/property?propertyId=32436533")</f>
        <v>https://web.datatree.com/?/property?propertyId=32436533</v>
      </c>
      <c r="Q1311" t="s">
        <v>316</v>
      </c>
      <c>
        <v>0.23</v>
      </c>
      <c t="s">
        <v>6175</v>
      </c>
      <c t="s">
        <v>16200</v>
      </c>
      <c t="s">
        <v>60578</v>
      </c>
      <c r="W1311" t="s">
        <v>19872</v>
      </c>
      <c t="s">
        <v>42489</v>
      </c>
      <c t="s">
        <v>13065</v>
      </c>
      <c t="s">
        <v>2517</v>
      </c>
      <c t="s">
        <v>39289</v>
      </c>
      <c>
        <v>33909</v>
      </c>
      <c t="s">
        <v>18531</v>
      </c>
      <c t="s">
        <v>48794</v>
      </c>
      <c t="s">
        <v>8529</v>
      </c>
      <c>
        <v>410</v>
      </c>
      <c r="AI1311" t="s">
        <v>21480</v>
      </c>
      <c t="s">
        <v>4985</v>
      </c>
      <c>
        <v>607</v>
      </c>
      <c t="s">
        <v>36080</v>
      </c>
      <c t="s">
        <v>13492</v>
      </c>
      <c t="s">
        <v>39289</v>
      </c>
      <c t="s">
        <v>46868</v>
      </c>
      <c t="s">
        <v>66797</v>
      </c>
      <c t="s">
        <v>3093</v>
      </c>
      <c t="s">
        <v>4669</v>
      </c>
    </row>
    <row>
      <c t="s">
        <v>17594</v>
      </c>
      <c t="s">
        <v>22214</v>
      </c>
      <c t="s">
        <v>31537</v>
      </c>
      <c t="s">
        <v>6854</v>
      </c>
      <c t="s">
        <v>40542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>
        <v>2019</v>
      </c>
      <c>
        <v>1898.34</v>
      </c>
      <c s="1" t="str">
        <f ca="1">HYPERLINK("https://web.datatree.com/?/property?propertyId=32436886", "https://web.datatree.com/?/property?propertyId=32436886")</f>
        <v>https://web.datatree.com/?/property?propertyId=32436886</v>
      </c>
      <c r="Q1312" t="s">
        <v>316</v>
      </c>
      <c>
        <v>0.23</v>
      </c>
      <c t="s">
        <v>58725</v>
      </c>
      <c t="s">
        <v>51891</v>
      </c>
      <c t="s">
        <v>27638</v>
      </c>
      <c t="s">
        <v>22061</v>
      </c>
      <c t="s">
        <v>4190</v>
      </c>
      <c t="s">
        <v>23967</v>
      </c>
      <c t="s">
        <v>39082</v>
      </c>
      <c t="s">
        <v>2517</v>
      </c>
      <c t="s">
        <v>39289</v>
      </c>
      <c>
        <v>33909</v>
      </c>
      <c t="s">
        <v>7312</v>
      </c>
      <c t="s">
        <v>48794</v>
      </c>
      <c t="s">
        <v>32115</v>
      </c>
      <c t="s">
        <v>37422</v>
      </c>
      <c r="AI1312" t="s">
        <v>38794</v>
      </c>
      <c r="AL1312" t="s">
        <v>60998</v>
      </c>
      <c r="AN1312" t="s">
        <v>14798</v>
      </c>
      <c r="AR1312" t="s">
        <v>3085</v>
      </c>
    </row>
    <row>
      <c t="s">
        <v>17594</v>
      </c>
      <c t="s">
        <v>35931</v>
      </c>
      <c t="s">
        <v>23095</v>
      </c>
      <c t="s">
        <v>47854</v>
      </c>
      <c t="s">
        <v>46709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1313" s="1" t="str">
        <f ca="1">HYPERLINK("https://web.datatree.com/?/property?propertyId=32437321", "https://web.datatree.com/?/property?propertyId=32437321")</f>
        <v>https://web.datatree.com/?/property?propertyId=32437321</v>
      </c>
      <c r="Q1313" t="s">
        <v>316</v>
      </c>
      <c>
        <v>0.23</v>
      </c>
      <c t="s">
        <v>22490</v>
      </c>
      <c r="U1313" t="s">
        <v>5645</v>
      </c>
      <c t="s">
        <v>17609</v>
      </c>
      <c t="s">
        <v>32423</v>
      </c>
      <c t="s">
        <v>44853</v>
      </c>
      <c t="s">
        <v>66701</v>
      </c>
      <c t="s">
        <v>2517</v>
      </c>
      <c t="s">
        <v>39289</v>
      </c>
      <c>
        <v>33909</v>
      </c>
      <c t="s">
        <v>8769</v>
      </c>
      <c t="s">
        <v>48794</v>
      </c>
      <c t="s">
        <v>55983</v>
      </c>
      <c>
        <v>280</v>
      </c>
      <c r="AI1313" t="s">
        <v>59823</v>
      </c>
      <c t="s">
        <v>4985</v>
      </c>
      <c>
        <v>200</v>
      </c>
      <c t="s">
        <v>6350</v>
      </c>
      <c t="s">
        <v>6350</v>
      </c>
      <c t="s">
        <v>39289</v>
      </c>
      <c t="s">
        <v>2351</v>
      </c>
      <c t="s">
        <v>61410</v>
      </c>
      <c t="s">
        <v>3093</v>
      </c>
      <c t="s">
        <v>17036</v>
      </c>
    </row>
    <row>
      <c t="s">
        <v>17594</v>
      </c>
      <c t="s">
        <v>65495</v>
      </c>
      <c t="s">
        <v>7367</v>
      </c>
      <c t="s">
        <v>37453</v>
      </c>
      <c t="s">
        <v>57709</v>
      </c>
      <c s="3">
        <v>22544</v>
      </c>
      <c s="3">
        <v>22544</v>
      </c>
      <c s="3">
        <v>9599</v>
      </c>
      <c>
        <v>0</v>
      </c>
      <c s="3">
        <v>0</v>
      </c>
      <c s="3">
        <v>681.46</v>
      </c>
      <c s="3">
        <v>22544</v>
      </c>
      <c r="O1314" s="1" t="str">
        <f ca="1">HYPERLINK("https://web.datatree.com/?/property?propertyId=32439004", "https://web.datatree.com/?/property?propertyId=32439004")</f>
        <v>https://web.datatree.com/?/property?propertyId=32439004</v>
      </c>
      <c r="Q1314" t="s">
        <v>316</v>
      </c>
      <c>
        <v>0.344</v>
      </c>
      <c t="s">
        <v>6175</v>
      </c>
      <c t="s">
        <v>65254</v>
      </c>
      <c t="s">
        <v>21780</v>
      </c>
      <c r="X1314" t="s">
        <v>23604</v>
      </c>
      <c t="s">
        <v>14534</v>
      </c>
      <c t="s">
        <v>2517</v>
      </c>
      <c t="s">
        <v>39289</v>
      </c>
      <c>
        <v>33909</v>
      </c>
      <c t="s">
        <v>43845</v>
      </c>
      <c t="s">
        <v>48794</v>
      </c>
      <c t="s">
        <v>42071</v>
      </c>
      <c>
        <v>161</v>
      </c>
      <c r="AI1314" t="s">
        <v>29540</v>
      </c>
      <c t="s">
        <v>24900</v>
      </c>
      <c r="AL1314" t="s">
        <v>61009</v>
      </c>
      <c r="AN1314" t="s">
        <v>26016</v>
      </c>
      <c t="s">
        <v>55173</v>
      </c>
      <c t="s">
        <v>25140</v>
      </c>
      <c t="s">
        <v>3093</v>
      </c>
      <c t="s">
        <v>5623</v>
      </c>
    </row>
    <row>
      <c t="s">
        <v>17594</v>
      </c>
      <c t="s">
        <v>14320</v>
      </c>
      <c t="s">
        <v>32757</v>
      </c>
      <c t="s">
        <v>53427</v>
      </c>
      <c t="s">
        <v>53478</v>
      </c>
      <c s="3">
        <v>8700</v>
      </c>
      <c s="3">
        <v>8700</v>
      </c>
      <c s="3">
        <v>8700</v>
      </c>
      <c>
        <v>0</v>
      </c>
      <c s="3">
        <v>0</v>
      </c>
      <c s="3">
        <v>761.77</v>
      </c>
      <c s="3">
        <v>8700</v>
      </c>
      <c r="O1315" s="1" t="str">
        <f ca="1">HYPERLINK("https://web.datatree.com/?/property?propertyId=32439530", "https://web.datatree.com/?/property?propertyId=32439530")</f>
        <v>https://web.datatree.com/?/property?propertyId=32439530</v>
      </c>
      <c r="Q1315" t="s">
        <v>316</v>
      </c>
      <c>
        <v>0.27</v>
      </c>
      <c t="s">
        <v>54449</v>
      </c>
      <c r="U1315" t="s">
        <v>64423</v>
      </c>
      <c r="X1315" t="s">
        <v>58991</v>
      </c>
      <c t="s">
        <v>39777</v>
      </c>
      <c t="s">
        <v>2517</v>
      </c>
      <c t="s">
        <v>39289</v>
      </c>
      <c>
        <v>33909</v>
      </c>
      <c t="s">
        <v>19850</v>
      </c>
      <c t="s">
        <v>48794</v>
      </c>
      <c t="s">
        <v>14361</v>
      </c>
      <c>
        <v>1300</v>
      </c>
      <c r="AI1315" t="s">
        <v>16451</v>
      </c>
      <c t="s">
        <v>24900</v>
      </c>
      <c r="AL1315" t="s">
        <v>55393</v>
      </c>
      <c r="AN1315" t="s">
        <v>39289</v>
      </c>
      <c t="s">
        <v>13638</v>
      </c>
      <c t="s">
        <v>27553</v>
      </c>
      <c t="s">
        <v>3093</v>
      </c>
      <c t="s">
        <v>19072</v>
      </c>
    </row>
    <row>
      <c t="s">
        <v>17594</v>
      </c>
      <c t="s">
        <v>56776</v>
      </c>
      <c t="s">
        <v>32167</v>
      </c>
      <c t="s">
        <v>48528</v>
      </c>
      <c t="s">
        <v>39080</v>
      </c>
      <c s="3">
        <v>20482</v>
      </c>
      <c s="3">
        <v>20482</v>
      </c>
      <c s="3">
        <v>10780</v>
      </c>
      <c>
        <v>0</v>
      </c>
      <c s="3">
        <v>0</v>
      </c>
      <c s="3">
        <v>693.01</v>
      </c>
      <c s="3">
        <v>20482</v>
      </c>
      <c r="O1316" s="1" t="str">
        <f ca="1">HYPERLINK("https://web.datatree.com/?/property?propertyId=32439945", "https://web.datatree.com/?/property?propertyId=32439945")</f>
        <v>https://web.datatree.com/?/property?propertyId=32439945</v>
      </c>
      <c r="Q1316" t="s">
        <v>316</v>
      </c>
      <c>
        <v>0.344</v>
      </c>
      <c t="s">
        <v>6175</v>
      </c>
      <c t="s">
        <v>57107</v>
      </c>
      <c t="s">
        <v>10709</v>
      </c>
      <c r="W1316" t="s">
        <v>24644</v>
      </c>
      <c t="s">
        <v>41354</v>
      </c>
      <c t="s">
        <v>60363</v>
      </c>
      <c t="s">
        <v>2517</v>
      </c>
      <c t="s">
        <v>39289</v>
      </c>
      <c>
        <v>33909</v>
      </c>
      <c t="s">
        <v>6502</v>
      </c>
      <c t="s">
        <v>48794</v>
      </c>
      <c t="s">
        <v>63928</v>
      </c>
      <c>
        <v>3005</v>
      </c>
      <c r="AI1316" t="s">
        <v>61626</v>
      </c>
      <c t="s">
        <v>24900</v>
      </c>
      <c r="AL1316" t="s">
        <v>21676</v>
      </c>
      <c t="s">
        <v>21676</v>
      </c>
      <c t="s">
        <v>39289</v>
      </c>
      <c t="s">
        <v>40251</v>
      </c>
      <c t="s">
        <v>66341</v>
      </c>
      <c t="s">
        <v>3093</v>
      </c>
      <c t="s">
        <v>35742</v>
      </c>
    </row>
    <row>
      <c t="s">
        <v>17594</v>
      </c>
      <c t="s">
        <v>30423</v>
      </c>
      <c t="s">
        <v>8196</v>
      </c>
      <c t="s">
        <v>59719</v>
      </c>
      <c t="s">
        <v>28474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317" s="1" t="str">
        <f ca="1">HYPERLINK("https://web.datatree.com/?/property?propertyId=32440150", "https://web.datatree.com/?/property?propertyId=32440150")</f>
        <v>https://web.datatree.com/?/property?propertyId=32440150</v>
      </c>
      <c r="Q1317" t="s">
        <v>316</v>
      </c>
      <c>
        <v>0.23</v>
      </c>
      <c t="s">
        <v>6175</v>
      </c>
      <c r="U1317" t="s">
        <v>48190</v>
      </c>
      <c r="W1317" t="s">
        <v>6638</v>
      </c>
      <c t="s">
        <v>56917</v>
      </c>
      <c t="s">
        <v>34731</v>
      </c>
      <c t="s">
        <v>2517</v>
      </c>
      <c t="s">
        <v>39289</v>
      </c>
      <c>
        <v>33909</v>
      </c>
      <c t="s">
        <v>13166</v>
      </c>
      <c t="s">
        <v>48794</v>
      </c>
      <c t="s">
        <v>19975</v>
      </c>
      <c>
        <v>500</v>
      </c>
      <c r="AI1317" t="s">
        <v>34639</v>
      </c>
      <c t="s">
        <v>4985</v>
      </c>
      <c t="s">
        <v>63767</v>
      </c>
      <c t="s">
        <v>33214</v>
      </c>
      <c r="AN1317" t="s">
        <v>39289</v>
      </c>
      <c t="s">
        <v>16450</v>
      </c>
      <c t="s">
        <v>38085</v>
      </c>
      <c t="s">
        <v>3093</v>
      </c>
      <c t="s">
        <v>52466</v>
      </c>
    </row>
    <row>
      <c t="s">
        <v>17594</v>
      </c>
      <c t="s">
        <v>11615</v>
      </c>
      <c t="s">
        <v>36255</v>
      </c>
      <c t="s">
        <v>49092</v>
      </c>
      <c t="s">
        <v>38931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1318" s="1" t="str">
        <f ca="1">HYPERLINK("https://web.datatree.com/?/property?propertyId=32440153", "https://web.datatree.com/?/property?propertyId=32440153")</f>
        <v>https://web.datatree.com/?/property?propertyId=32440153</v>
      </c>
      <c r="Q1318" t="s">
        <v>316</v>
      </c>
      <c>
        <v>0.23</v>
      </c>
      <c t="s">
        <v>42044</v>
      </c>
      <c t="s">
        <v>28182</v>
      </c>
      <c t="s">
        <v>50920</v>
      </c>
      <c r="X1318" t="s">
        <v>47496</v>
      </c>
      <c t="s">
        <v>61144</v>
      </c>
      <c t="s">
        <v>2517</v>
      </c>
      <c t="s">
        <v>39289</v>
      </c>
      <c>
        <v>33909</v>
      </c>
      <c t="s">
        <v>15061</v>
      </c>
      <c t="s">
        <v>48794</v>
      </c>
      <c t="s">
        <v>2065</v>
      </c>
      <c>
        <v>311</v>
      </c>
      <c r="AI1318" t="s">
        <v>2916</v>
      </c>
      <c t="s">
        <v>45393</v>
      </c>
      <c r="AL1318" t="s">
        <v>7615</v>
      </c>
      <c r="AN1318" t="s">
        <v>26016</v>
      </c>
      <c t="s">
        <v>22746</v>
      </c>
      <c t="s">
        <v>55071</v>
      </c>
      <c t="s">
        <v>3093</v>
      </c>
      <c t="s">
        <v>28361</v>
      </c>
    </row>
    <row>
      <c t="s">
        <v>17594</v>
      </c>
      <c t="s">
        <v>15003</v>
      </c>
      <c t="s">
        <v>25212</v>
      </c>
      <c t="s">
        <v>37016</v>
      </c>
      <c t="s">
        <v>56546</v>
      </c>
      <c s="3">
        <v>4420</v>
      </c>
      <c s="3">
        <v>4420</v>
      </c>
      <c s="3">
        <v>310</v>
      </c>
      <c>
        <v>0</v>
      </c>
      <c s="3">
        <v>0</v>
      </c>
      <c s="3">
        <v>251.7</v>
      </c>
      <c s="3">
        <v>4420</v>
      </c>
      <c r="O1319" s="1" t="str">
        <f ca="1">HYPERLINK("https://web.datatree.com/?/property?propertyId=32440815", "https://web.datatree.com/?/property?propertyId=32440815")</f>
        <v>https://web.datatree.com/?/property?propertyId=32440815</v>
      </c>
      <c r="Q1319" t="s">
        <v>316</v>
      </c>
      <c>
        <v>0.072</v>
      </c>
      <c t="s">
        <v>42044</v>
      </c>
      <c t="s">
        <v>55253</v>
      </c>
      <c t="s">
        <v>37961</v>
      </c>
      <c r="X1319" t="s">
        <v>52634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406</v>
      </c>
      <c r="AI1319" t="s">
        <v>36599</v>
      </c>
      <c t="s">
        <v>24900</v>
      </c>
      <c r="AL1319" t="s">
        <v>51149</v>
      </c>
      <c r="AN1319" t="s">
        <v>17134</v>
      </c>
      <c t="s">
        <v>31304</v>
      </c>
      <c t="s">
        <v>60333</v>
      </c>
      <c t="s">
        <v>3093</v>
      </c>
      <c t="s">
        <v>18715</v>
      </c>
    </row>
    <row>
      <c t="s">
        <v>17594</v>
      </c>
      <c t="s">
        <v>4111</v>
      </c>
      <c t="s">
        <v>22764</v>
      </c>
      <c t="s">
        <v>43866</v>
      </c>
      <c t="s">
        <v>19263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320" s="1" t="str">
        <f ca="1">HYPERLINK("https://web.datatree.com/?/property?propertyId=32441093", "https://web.datatree.com/?/property?propertyId=32441093")</f>
        <v>https://web.datatree.com/?/property?propertyId=32441093</v>
      </c>
      <c r="Q1320" t="s">
        <v>316</v>
      </c>
      <c>
        <v>0.23</v>
      </c>
      <c t="s">
        <v>22490</v>
      </c>
      <c t="s">
        <v>63800</v>
      </c>
      <c t="s">
        <v>56222</v>
      </c>
      <c r="X1320" t="s">
        <v>20066</v>
      </c>
      <c t="s">
        <v>25017</v>
      </c>
      <c t="s">
        <v>2517</v>
      </c>
      <c t="s">
        <v>39289</v>
      </c>
      <c>
        <v>33909</v>
      </c>
      <c t="s">
        <v>26055</v>
      </c>
      <c t="s">
        <v>48794</v>
      </c>
      <c t="s">
        <v>35849</v>
      </c>
      <c>
        <v>8242</v>
      </c>
      <c r="AI1320" t="s">
        <v>35712</v>
      </c>
      <c t="s">
        <v>45393</v>
      </c>
      <c r="AL1320" t="s">
        <v>4859</v>
      </c>
      <c r="AN1320" t="s">
        <v>39289</v>
      </c>
      <c t="s">
        <v>28116</v>
      </c>
      <c t="s">
        <v>12241</v>
      </c>
      <c t="s">
        <v>3093</v>
      </c>
      <c t="s">
        <v>48505</v>
      </c>
    </row>
    <row>
      <c t="s">
        <v>17594</v>
      </c>
      <c t="s">
        <v>37710</v>
      </c>
      <c t="s">
        <v>18488</v>
      </c>
      <c t="s">
        <v>64708</v>
      </c>
      <c t="s">
        <v>36315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1321" s="1" t="str">
        <f ca="1">HYPERLINK("https://web.datatree.com/?/property?propertyId=32441395", "https://web.datatree.com/?/property?propertyId=32441395")</f>
        <v>https://web.datatree.com/?/property?propertyId=32441395</v>
      </c>
      <c r="Q1321" t="s">
        <v>316</v>
      </c>
      <c>
        <v>0.241</v>
      </c>
      <c t="s">
        <v>6175</v>
      </c>
      <c t="s">
        <v>3238</v>
      </c>
      <c t="s">
        <v>45880</v>
      </c>
      <c t="s">
        <v>33992</v>
      </c>
      <c t="s">
        <v>45880</v>
      </c>
      <c t="s">
        <v>28200</v>
      </c>
      <c t="s">
        <v>44061</v>
      </c>
      <c t="s">
        <v>2517</v>
      </c>
      <c t="s">
        <v>39289</v>
      </c>
      <c>
        <v>33909</v>
      </c>
      <c t="s">
        <v>65622</v>
      </c>
      <c t="s">
        <v>48794</v>
      </c>
      <c t="s">
        <v>47341</v>
      </c>
      <c>
        <v>110</v>
      </c>
      <c r="AI1321" t="s">
        <v>63136</v>
      </c>
      <c t="s">
        <v>45620</v>
      </c>
      <c r="AL1321" t="s">
        <v>33025</v>
      </c>
      <c r="AN1321" t="s">
        <v>26016</v>
      </c>
      <c t="s">
        <v>15698</v>
      </c>
      <c t="s">
        <v>12241</v>
      </c>
      <c t="s">
        <v>3093</v>
      </c>
      <c t="s">
        <v>31069</v>
      </c>
    </row>
    <row>
      <c t="s">
        <v>17594</v>
      </c>
      <c t="s">
        <v>52089</v>
      </c>
      <c t="s">
        <v>43751</v>
      </c>
      <c t="s">
        <v>64543</v>
      </c>
      <c t="s">
        <v>1520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322" s="1" t="str">
        <f ca="1">HYPERLINK("https://web.datatree.com/?/property?propertyId=32441895", "https://web.datatree.com/?/property?propertyId=32441895")</f>
        <v>https://web.datatree.com/?/property?propertyId=32441895</v>
      </c>
      <c r="Q1322" t="s">
        <v>316</v>
      </c>
      <c>
        <v>0.23</v>
      </c>
      <c t="s">
        <v>22490</v>
      </c>
      <c t="s">
        <v>3320</v>
      </c>
      <c t="s">
        <v>26000</v>
      </c>
      <c t="s">
        <v>40487</v>
      </c>
      <c t="s">
        <v>7475</v>
      </c>
      <c t="s">
        <v>14374</v>
      </c>
      <c t="s">
        <v>22731</v>
      </c>
      <c t="s">
        <v>2517</v>
      </c>
      <c t="s">
        <v>39289</v>
      </c>
      <c>
        <v>33909</v>
      </c>
      <c t="s">
        <v>12094</v>
      </c>
      <c t="s">
        <v>48794</v>
      </c>
      <c t="s">
        <v>13440</v>
      </c>
      <c>
        <v>641</v>
      </c>
      <c r="AI1322" t="s">
        <v>38842</v>
      </c>
      <c t="s">
        <v>24900</v>
      </c>
      <c r="AL1322" t="s">
        <v>50528</v>
      </c>
      <c r="AN1322" t="s">
        <v>26016</v>
      </c>
      <c t="s">
        <v>174</v>
      </c>
      <c t="s">
        <v>44573</v>
      </c>
      <c t="s">
        <v>3093</v>
      </c>
      <c t="s">
        <v>8410</v>
      </c>
    </row>
    <row>
      <c t="s">
        <v>17594</v>
      </c>
      <c t="s">
        <v>30194</v>
      </c>
      <c t="s">
        <v>29800</v>
      </c>
      <c t="s">
        <v>62970</v>
      </c>
      <c t="s">
        <v>29186</v>
      </c>
      <c s="3">
        <v>104429</v>
      </c>
      <c s="3">
        <v>86250</v>
      </c>
      <c s="3">
        <v>94117</v>
      </c>
      <c>
        <v>0</v>
      </c>
      <c s="3">
        <v>0</v>
      </c>
      <c s="3">
        <v>1471.31</v>
      </c>
      <c s="3">
        <v>104429</v>
      </c>
      <c r="O1323" s="1" t="str">
        <f ca="1">HYPERLINK("https://web.datatree.com/?/property?propertyId=32442457", "https://web.datatree.com/?/property?propertyId=32442457")</f>
        <v>https://web.datatree.com/?/property?propertyId=32442457</v>
      </c>
      <c r="Q1323" t="s">
        <v>316</v>
      </c>
      <c>
        <v>0.109</v>
      </c>
      <c t="s">
        <v>26492</v>
      </c>
      <c t="s">
        <v>44541</v>
      </c>
      <c t="s">
        <v>51851</v>
      </c>
      <c t="s">
        <v>63182</v>
      </c>
      <c t="s">
        <v>51851</v>
      </c>
      <c t="s">
        <v>49724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30312</v>
      </c>
      <c>
        <v>206</v>
      </c>
      <c r="AI1323" t="s">
        <v>59300</v>
      </c>
      <c t="s">
        <v>45620</v>
      </c>
      <c r="AL1323" t="s">
        <v>31955</v>
      </c>
      <c t="s">
        <v>40227</v>
      </c>
      <c t="s">
        <v>22275</v>
      </c>
      <c t="s">
        <v>57766</v>
      </c>
      <c t="s">
        <v>23744</v>
      </c>
      <c t="s">
        <v>3093</v>
      </c>
      <c t="s">
        <v>43648</v>
      </c>
    </row>
    <row>
      <c t="s">
        <v>17594</v>
      </c>
      <c t="s">
        <v>3841</v>
      </c>
      <c t="s">
        <v>31923</v>
      </c>
      <c t="s">
        <v>50382</v>
      </c>
      <c t="s">
        <v>55973</v>
      </c>
      <c s="3">
        <v>12544</v>
      </c>
      <c s="3">
        <v>12544</v>
      </c>
      <c s="3">
        <v>4972</v>
      </c>
      <c>
        <v>0</v>
      </c>
      <c s="3">
        <v>0</v>
      </c>
      <c s="3">
        <v>328.37</v>
      </c>
      <c s="3">
        <v>12544</v>
      </c>
      <c r="O1324" s="1" t="str">
        <f ca="1">HYPERLINK("https://web.datatree.com/?/property?propertyId=32442739", "https://web.datatree.com/?/property?propertyId=32442739")</f>
        <v>https://web.datatree.com/?/property?propertyId=32442739</v>
      </c>
      <c r="Q1324" t="s">
        <v>316</v>
      </c>
      <c>
        <v>0.33</v>
      </c>
      <c t="s">
        <v>5471</v>
      </c>
      <c t="s">
        <v>33269</v>
      </c>
      <c t="s">
        <v>43553</v>
      </c>
      <c t="s">
        <v>15713</v>
      </c>
      <c t="s">
        <v>43553</v>
      </c>
      <c t="s">
        <v>27923</v>
      </c>
      <c t="s">
        <v>5280</v>
      </c>
      <c t="s">
        <v>65059</v>
      </c>
      <c t="s">
        <v>39289</v>
      </c>
      <c>
        <v>33905</v>
      </c>
      <c t="s">
        <v>55075</v>
      </c>
      <c t="s">
        <v>48794</v>
      </c>
      <c t="s">
        <v>55419</v>
      </c>
      <c>
        <v>129</v>
      </c>
      <c r="AI1324" t="s">
        <v>22731</v>
      </c>
      <c t="s">
        <v>45393</v>
      </c>
      <c r="AL1324" t="s">
        <v>42410</v>
      </c>
      <c r="AN1324" t="s">
        <v>26016</v>
      </c>
      <c t="s">
        <v>1799</v>
      </c>
      <c t="s">
        <v>33029</v>
      </c>
      <c t="s">
        <v>3093</v>
      </c>
      <c t="s">
        <v>52769</v>
      </c>
    </row>
    <row>
      <c t="s">
        <v>17594</v>
      </c>
      <c t="s">
        <v>37400</v>
      </c>
      <c t="s">
        <v>51051</v>
      </c>
      <c t="s">
        <v>14251</v>
      </c>
      <c t="s">
        <v>55501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1325" s="1" t="str">
        <f ca="1">HYPERLINK("https://web.datatree.com/?/property?propertyId=32442840", "https://web.datatree.com/?/property?propertyId=32442840")</f>
        <v>https://web.datatree.com/?/property?propertyId=32442840</v>
      </c>
      <c r="Q1325" t="s">
        <v>316</v>
      </c>
      <c>
        <v>0.23</v>
      </c>
      <c t="s">
        <v>6175</v>
      </c>
      <c t="s">
        <v>1701</v>
      </c>
      <c t="s">
        <v>9530</v>
      </c>
      <c r="X1325" t="s">
        <v>37235</v>
      </c>
      <c t="s">
        <v>47150</v>
      </c>
      <c t="s">
        <v>2517</v>
      </c>
      <c t="s">
        <v>39289</v>
      </c>
      <c>
        <v>33909</v>
      </c>
      <c t="s">
        <v>44931</v>
      </c>
      <c t="s">
        <v>48794</v>
      </c>
      <c t="s">
        <v>48189</v>
      </c>
      <c>
        <v>15</v>
      </c>
      <c r="AI1325" t="s">
        <v>37793</v>
      </c>
      <c t="s">
        <v>55842</v>
      </c>
      <c r="AL1325" t="s">
        <v>23660</v>
      </c>
      <c r="AN1325" t="s">
        <v>50917</v>
      </c>
      <c t="s">
        <v>41704</v>
      </c>
      <c t="s">
        <v>45980</v>
      </c>
      <c t="s">
        <v>3093</v>
      </c>
      <c t="s">
        <v>66005</v>
      </c>
    </row>
    <row>
      <c t="s">
        <v>17594</v>
      </c>
      <c t="s">
        <v>30978</v>
      </c>
      <c t="s">
        <v>46435</v>
      </c>
      <c t="s">
        <v>50907</v>
      </c>
      <c t="s">
        <v>9167</v>
      </c>
      <c s="3">
        <v>47625</v>
      </c>
      <c s="3">
        <v>47625</v>
      </c>
      <c s="3">
        <v>20514</v>
      </c>
      <c>
        <v>0</v>
      </c>
      <c s="3">
        <v>0</v>
      </c>
      <c s="3">
        <v>887.71</v>
      </c>
      <c s="3">
        <v>47625</v>
      </c>
      <c r="O1326" s="1" t="str">
        <f ca="1">HYPERLINK("https://web.datatree.com/?/property?propertyId=32443225", "https://web.datatree.com/?/property?propertyId=32443225")</f>
        <v>https://web.datatree.com/?/property?propertyId=32443225</v>
      </c>
      <c r="Q1326" t="s">
        <v>316</v>
      </c>
      <c>
        <v>0.23</v>
      </c>
      <c t="s">
        <v>22490</v>
      </c>
      <c t="s">
        <v>9456</v>
      </c>
      <c t="s">
        <v>36742</v>
      </c>
      <c t="s">
        <v>31334</v>
      </c>
      <c r="X1326" t="s">
        <v>58911</v>
      </c>
      <c t="s">
        <v>61850</v>
      </c>
      <c t="s">
        <v>2517</v>
      </c>
      <c t="s">
        <v>39289</v>
      </c>
      <c>
        <v>33909</v>
      </c>
      <c t="s">
        <v>63674</v>
      </c>
      <c t="s">
        <v>48794</v>
      </c>
      <c t="s">
        <v>4012</v>
      </c>
      <c>
        <v>195</v>
      </c>
      <c r="AI1326" t="s">
        <v>32847</v>
      </c>
      <c t="s">
        <v>45393</v>
      </c>
      <c r="AL1326" t="s">
        <v>12580</v>
      </c>
      <c t="s">
        <v>12580</v>
      </c>
      <c t="s">
        <v>27747</v>
      </c>
      <c t="s">
        <v>550</v>
      </c>
      <c t="s">
        <v>41946</v>
      </c>
      <c t="s">
        <v>3093</v>
      </c>
      <c t="s">
        <v>23862</v>
      </c>
    </row>
    <row>
      <c t="s">
        <v>17594</v>
      </c>
      <c t="s">
        <v>4240</v>
      </c>
      <c t="s">
        <v>55890</v>
      </c>
      <c t="s">
        <v>5210</v>
      </c>
      <c t="s">
        <v>16181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1327" s="1" t="str">
        <f ca="1">HYPERLINK("https://web.datatree.com/?/property?propertyId=32443951", "https://web.datatree.com/?/property?propertyId=32443951")</f>
        <v>https://web.datatree.com/?/property?propertyId=32443951</v>
      </c>
      <c r="Q1327" t="s">
        <v>316</v>
      </c>
      <c>
        <v>0.23</v>
      </c>
      <c t="s">
        <v>6175</v>
      </c>
      <c t="s">
        <v>37194</v>
      </c>
      <c t="s">
        <v>47754</v>
      </c>
      <c t="s">
        <v>51166</v>
      </c>
      <c t="s">
        <v>47754</v>
      </c>
      <c t="s">
        <v>48772</v>
      </c>
      <c t="s">
        <v>34731</v>
      </c>
      <c t="s">
        <v>2517</v>
      </c>
      <c t="s">
        <v>39289</v>
      </c>
      <c>
        <v>33909</v>
      </c>
      <c t="s">
        <v>18246</v>
      </c>
      <c t="s">
        <v>48794</v>
      </c>
      <c t="s">
        <v>58836</v>
      </c>
      <c>
        <v>230</v>
      </c>
      <c r="AI1327" t="s">
        <v>2244</v>
      </c>
      <c t="s">
        <v>45393</v>
      </c>
      <c r="AL1327" t="s">
        <v>62877</v>
      </c>
      <c t="s">
        <v>62877</v>
      </c>
      <c t="s">
        <v>39289</v>
      </c>
      <c t="s">
        <v>24095</v>
      </c>
      <c t="s">
        <v>17380</v>
      </c>
      <c t="s">
        <v>3093</v>
      </c>
      <c t="s">
        <v>38233</v>
      </c>
    </row>
    <row>
      <c t="s">
        <v>17594</v>
      </c>
      <c t="s">
        <v>10377</v>
      </c>
      <c t="s">
        <v>6385</v>
      </c>
      <c t="s">
        <v>8075</v>
      </c>
      <c t="s">
        <v>6120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328" s="1" t="str">
        <f ca="1">HYPERLINK("https://web.datatree.com/?/property?propertyId=32444608", "https://web.datatree.com/?/property?propertyId=32444608")</f>
        <v>https://web.datatree.com/?/property?propertyId=32444608</v>
      </c>
      <c r="Q1328" t="s">
        <v>316</v>
      </c>
      <c>
        <v>0.23</v>
      </c>
      <c t="s">
        <v>42044</v>
      </c>
      <c t="s">
        <v>47754</v>
      </c>
      <c t="s">
        <v>25083</v>
      </c>
      <c t="s">
        <v>41819</v>
      </c>
      <c t="s">
        <v>25083</v>
      </c>
      <c t="s">
        <v>43453</v>
      </c>
      <c t="s">
        <v>61144</v>
      </c>
      <c t="s">
        <v>2517</v>
      </c>
      <c t="s">
        <v>39289</v>
      </c>
      <c>
        <v>33909</v>
      </c>
      <c t="s">
        <v>10212</v>
      </c>
      <c t="s">
        <v>48794</v>
      </c>
      <c t="s">
        <v>26802</v>
      </c>
      <c>
        <v>11315</v>
      </c>
      <c r="AI1328" t="s">
        <v>41369</v>
      </c>
      <c t="s">
        <v>1671</v>
      </c>
      <c r="AL1328" t="s">
        <v>36080</v>
      </c>
      <c r="AN1328" t="s">
        <v>39289</v>
      </c>
      <c t="s">
        <v>23513</v>
      </c>
      <c t="s">
        <v>39274</v>
      </c>
      <c t="s">
        <v>3093</v>
      </c>
      <c t="s">
        <v>28403</v>
      </c>
    </row>
    <row>
      <c t="s">
        <v>17594</v>
      </c>
      <c t="s">
        <v>61055</v>
      </c>
      <c t="s">
        <v>64446</v>
      </c>
      <c t="s">
        <v>31072</v>
      </c>
      <c t="s">
        <v>30132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>
        <v>2020</v>
      </c>
      <c>
        <v>1136.68</v>
      </c>
      <c s="1" t="str">
        <f ca="1">HYPERLINK("https://web.datatree.com/?/property?propertyId=32444650", "https://web.datatree.com/?/property?propertyId=32444650")</f>
        <v>https://web.datatree.com/?/property?propertyId=32444650</v>
      </c>
      <c r="Q1329" t="s">
        <v>316</v>
      </c>
      <c>
        <v>0.23</v>
      </c>
      <c t="s">
        <v>6175</v>
      </c>
      <c t="s">
        <v>9900</v>
      </c>
      <c t="s">
        <v>52661</v>
      </c>
      <c r="X1329" t="s">
        <v>62225</v>
      </c>
      <c t="s">
        <v>10653</v>
      </c>
      <c t="s">
        <v>2517</v>
      </c>
      <c t="s">
        <v>39289</v>
      </c>
      <c>
        <v>33909</v>
      </c>
      <c t="s">
        <v>12141</v>
      </c>
      <c t="s">
        <v>48794</v>
      </c>
      <c t="s">
        <v>53680</v>
      </c>
      <c>
        <v>10600</v>
      </c>
      <c r="AH1329" t="s">
        <v>52165</v>
      </c>
      <c t="s">
        <v>10716</v>
      </c>
      <c t="s">
        <v>4985</v>
      </c>
      <c r="AL1329" t="s">
        <v>8879</v>
      </c>
      <c r="AN1329" t="s">
        <v>49730</v>
      </c>
      <c t="s">
        <v>10696</v>
      </c>
      <c t="s">
        <v>43446</v>
      </c>
      <c t="s">
        <v>3093</v>
      </c>
      <c t="s">
        <v>9325</v>
      </c>
    </row>
    <row>
      <c t="s">
        <v>17594</v>
      </c>
      <c t="s">
        <v>29602</v>
      </c>
      <c t="s">
        <v>35798</v>
      </c>
      <c t="s">
        <v>34784</v>
      </c>
      <c t="s">
        <v>52949</v>
      </c>
      <c s="3">
        <v>24566</v>
      </c>
      <c s="3">
        <v>24566</v>
      </c>
      <c s="3">
        <v>10956</v>
      </c>
      <c>
        <v>0</v>
      </c>
      <c s="3">
        <v>0</v>
      </c>
      <c s="3">
        <v>971.03</v>
      </c>
      <c s="3">
        <v>24566</v>
      </c>
      <c r="O1330" s="1" t="str">
        <f ca="1">HYPERLINK("https://web.datatree.com/?/property?propertyId=32444945", "https://web.datatree.com/?/property?propertyId=32444945")</f>
        <v>https://web.datatree.com/?/property?propertyId=32444945</v>
      </c>
      <c r="Q1330" t="s">
        <v>316</v>
      </c>
      <c>
        <v>0.641</v>
      </c>
      <c t="s">
        <v>45031</v>
      </c>
      <c t="s">
        <v>40487</v>
      </c>
      <c t="s">
        <v>18314</v>
      </c>
      <c r="X1330" t="s">
        <v>24150</v>
      </c>
      <c t="s">
        <v>47150</v>
      </c>
      <c t="s">
        <v>2517</v>
      </c>
      <c t="s">
        <v>39289</v>
      </c>
      <c>
        <v>33909</v>
      </c>
      <c t="s">
        <v>19793</v>
      </c>
      <c t="s">
        <v>48794</v>
      </c>
      <c t="s">
        <v>49804</v>
      </c>
      <c>
        <v>114</v>
      </c>
      <c r="AI1330" t="s">
        <v>29802</v>
      </c>
      <c t="s">
        <v>31192</v>
      </c>
      <c r="AL1330" t="s">
        <v>3418</v>
      </c>
      <c r="AN1330" t="s">
        <v>39289</v>
      </c>
      <c t="s">
        <v>61427</v>
      </c>
      <c t="s">
        <v>14695</v>
      </c>
      <c t="s">
        <v>3093</v>
      </c>
      <c t="s">
        <v>15971</v>
      </c>
    </row>
    <row>
      <c t="s">
        <v>17594</v>
      </c>
      <c t="s">
        <v>33324</v>
      </c>
      <c t="s">
        <v>62108</v>
      </c>
      <c t="s">
        <v>38379</v>
      </c>
      <c t="s">
        <v>18452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1331" s="1" t="str">
        <f ca="1">HYPERLINK("https://web.datatree.com/?/property?propertyId=32445829", "https://web.datatree.com/?/property?propertyId=32445829")</f>
        <v>https://web.datatree.com/?/property?propertyId=32445829</v>
      </c>
      <c r="Q1331" t="s">
        <v>316</v>
      </c>
      <c>
        <v>0.226</v>
      </c>
      <c t="s">
        <v>6175</v>
      </c>
      <c t="s">
        <v>40579</v>
      </c>
      <c t="s">
        <v>36456</v>
      </c>
      <c r="X1331" t="s">
        <v>36840</v>
      </c>
      <c t="s">
        <v>18679</v>
      </c>
      <c t="s">
        <v>2517</v>
      </c>
      <c t="s">
        <v>39289</v>
      </c>
      <c>
        <v>33909</v>
      </c>
      <c t="s">
        <v>60812</v>
      </c>
      <c t="s">
        <v>48794</v>
      </c>
      <c t="s">
        <v>36065</v>
      </c>
      <c>
        <v>904</v>
      </c>
      <c r="AI1331" t="s">
        <v>41989</v>
      </c>
      <c t="s">
        <v>31192</v>
      </c>
      <c r="AL1331" t="s">
        <v>46989</v>
      </c>
      <c t="s">
        <v>46989</v>
      </c>
      <c t="s">
        <v>39289</v>
      </c>
      <c t="s">
        <v>398</v>
      </c>
      <c t="s">
        <v>45980</v>
      </c>
      <c t="s">
        <v>3093</v>
      </c>
      <c t="s">
        <v>34961</v>
      </c>
    </row>
    <row>
      <c t="s">
        <v>17594</v>
      </c>
      <c t="s">
        <v>63722</v>
      </c>
      <c t="s">
        <v>17363</v>
      </c>
      <c t="s">
        <v>44452</v>
      </c>
      <c t="s">
        <v>59560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1332" s="1" t="str">
        <f ca="1">HYPERLINK("https://web.datatree.com/?/property?propertyId=32446180", "https://web.datatree.com/?/property?propertyId=32446180")</f>
        <v>https://web.datatree.com/?/property?propertyId=32446180</v>
      </c>
      <c r="Q1332" t="s">
        <v>316</v>
      </c>
      <c>
        <v>0.23</v>
      </c>
      <c t="s">
        <v>6175</v>
      </c>
      <c t="s">
        <v>41856</v>
      </c>
      <c t="s">
        <v>46201</v>
      </c>
      <c t="s">
        <v>54926</v>
      </c>
      <c t="s">
        <v>32615</v>
      </c>
      <c t="s">
        <v>49554</v>
      </c>
      <c t="s">
        <v>2619</v>
      </c>
      <c t="s">
        <v>2517</v>
      </c>
      <c t="s">
        <v>39289</v>
      </c>
      <c>
        <v>33909</v>
      </c>
      <c t="s">
        <v>1649</v>
      </c>
      <c t="s">
        <v>48794</v>
      </c>
      <c t="s">
        <v>14830</v>
      </c>
      <c>
        <v>6129</v>
      </c>
      <c r="AI1332" t="s">
        <v>49917</v>
      </c>
      <c t="s">
        <v>45620</v>
      </c>
      <c r="AL1332" t="s">
        <v>6144</v>
      </c>
      <c r="AN1332" t="s">
        <v>50917</v>
      </c>
      <c t="s">
        <v>10685</v>
      </c>
      <c t="s">
        <v>34162</v>
      </c>
      <c t="s">
        <v>3093</v>
      </c>
      <c t="s">
        <v>31856</v>
      </c>
    </row>
    <row>
      <c t="s">
        <v>17594</v>
      </c>
      <c t="s">
        <v>21411</v>
      </c>
      <c t="s">
        <v>38392</v>
      </c>
      <c t="s">
        <v>15364</v>
      </c>
      <c t="s">
        <v>59531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333" s="1" t="str">
        <f ca="1">HYPERLINK("https://web.datatree.com/?/property?propertyId=32446318", "https://web.datatree.com/?/property?propertyId=32446318")</f>
        <v>https://web.datatree.com/?/property?propertyId=32446318</v>
      </c>
      <c r="Q1333" t="s">
        <v>316</v>
      </c>
      <c>
        <v>0.23</v>
      </c>
      <c t="s">
        <v>42044</v>
      </c>
      <c t="s">
        <v>33659</v>
      </c>
      <c t="s">
        <v>42480</v>
      </c>
      <c r="X1333" t="s">
        <v>19968</v>
      </c>
      <c t="s">
        <v>61144</v>
      </c>
      <c t="s">
        <v>2517</v>
      </c>
      <c t="s">
        <v>39289</v>
      </c>
      <c>
        <v>33909</v>
      </c>
      <c>
        <v>33909</v>
      </c>
      <c t="s">
        <v>48794</v>
      </c>
      <c t="s">
        <v>48384</v>
      </c>
      <c>
        <v>34765</v>
      </c>
      <c r="AI1333" t="s">
        <v>65143</v>
      </c>
      <c t="s">
        <v>41372</v>
      </c>
      <c t="s">
        <v>25384</v>
      </c>
      <c t="s">
        <v>12652</v>
      </c>
      <c t="s">
        <v>12652</v>
      </c>
      <c t="s">
        <v>65451</v>
      </c>
      <c t="s">
        <v>46771</v>
      </c>
      <c t="s">
        <v>43446</v>
      </c>
      <c t="s">
        <v>3093</v>
      </c>
      <c t="s">
        <v>10700</v>
      </c>
    </row>
    <row>
      <c t="s">
        <v>17594</v>
      </c>
      <c t="s">
        <v>36930</v>
      </c>
      <c t="s">
        <v>33632</v>
      </c>
      <c t="s">
        <v>54242</v>
      </c>
      <c t="s">
        <v>61497</v>
      </c>
      <c s="3">
        <v>26250</v>
      </c>
      <c s="3">
        <v>26250</v>
      </c>
      <c s="3">
        <v>9433</v>
      </c>
      <c>
        <v>0</v>
      </c>
      <c s="3">
        <v>0</v>
      </c>
      <c s="3">
        <v>420.88</v>
      </c>
      <c s="3">
        <v>26250</v>
      </c>
      <c r="O1334" s="1" t="str">
        <f ca="1">HYPERLINK("https://web.datatree.com/?/property?propertyId=32446657", "https://web.datatree.com/?/property?propertyId=32446657")</f>
        <v>https://web.datatree.com/?/property?propertyId=32446657</v>
      </c>
      <c r="Q1334" t="s">
        <v>316</v>
      </c>
      <c>
        <v>0.292</v>
      </c>
      <c t="s">
        <v>5471</v>
      </c>
      <c t="s">
        <v>44319</v>
      </c>
      <c t="s">
        <v>21022</v>
      </c>
      <c t="s">
        <v>38445</v>
      </c>
      <c t="s">
        <v>21022</v>
      </c>
      <c t="s">
        <v>64019</v>
      </c>
      <c t="s">
        <v>13597</v>
      </c>
      <c t="s">
        <v>65059</v>
      </c>
      <c t="s">
        <v>39289</v>
      </c>
      <c>
        <v>33905</v>
      </c>
      <c t="s">
        <v>50487</v>
      </c>
      <c t="s">
        <v>48794</v>
      </c>
      <c t="s">
        <v>5803</v>
      </c>
      <c>
        <v>2126</v>
      </c>
      <c r="AI1334" t="s">
        <v>29738</v>
      </c>
      <c t="s">
        <v>55842</v>
      </c>
      <c r="AL1334" t="s">
        <v>25857</v>
      </c>
      <c r="AN1334" t="s">
        <v>39289</v>
      </c>
      <c t="s">
        <v>65112</v>
      </c>
      <c t="s">
        <v>40645</v>
      </c>
      <c t="s">
        <v>3093</v>
      </c>
      <c t="s">
        <v>54877</v>
      </c>
    </row>
    <row>
      <c t="s">
        <v>17594</v>
      </c>
      <c t="s">
        <v>57604</v>
      </c>
      <c t="s">
        <v>4695</v>
      </c>
      <c t="s">
        <v>55420</v>
      </c>
      <c t="s">
        <v>18893</v>
      </c>
      <c s="3">
        <v>9100</v>
      </c>
      <c s="3">
        <v>9100</v>
      </c>
      <c s="3">
        <v>9100</v>
      </c>
      <c>
        <v>0</v>
      </c>
      <c s="3">
        <v>0</v>
      </c>
      <c s="3">
        <v>590.57</v>
      </c>
      <c s="3">
        <v>9100</v>
      </c>
      <c r="O1335" s="1" t="str">
        <f ca="1">HYPERLINK("https://web.datatree.com/?/property?propertyId=32446671", "https://web.datatree.com/?/property?propertyId=32446671")</f>
        <v>https://web.datatree.com/?/property?propertyId=32446671</v>
      </c>
      <c r="Q1335" t="s">
        <v>316</v>
      </c>
      <c>
        <v>0.241</v>
      </c>
      <c t="s">
        <v>65422</v>
      </c>
      <c t="s">
        <v>61281</v>
      </c>
      <c t="s">
        <v>51977</v>
      </c>
      <c t="s">
        <v>9057</v>
      </c>
      <c t="s">
        <v>51977</v>
      </c>
      <c t="s">
        <v>33253</v>
      </c>
      <c t="s">
        <v>30928</v>
      </c>
      <c t="s">
        <v>2517</v>
      </c>
      <c t="s">
        <v>39289</v>
      </c>
      <c>
        <v>33909</v>
      </c>
      <c t="s">
        <v>37251</v>
      </c>
      <c t="s">
        <v>48794</v>
      </c>
      <c t="s">
        <v>37411</v>
      </c>
      <c>
        <v>2441</v>
      </c>
      <c r="AI1335" t="s">
        <v>30713</v>
      </c>
      <c t="s">
        <v>45393</v>
      </c>
      <c r="AL1335" t="s">
        <v>28329</v>
      </c>
      <c r="AN1335" t="s">
        <v>51137</v>
      </c>
      <c t="s">
        <v>22951</v>
      </c>
      <c t="s">
        <v>61719</v>
      </c>
      <c t="s">
        <v>3093</v>
      </c>
      <c t="s">
        <v>35222</v>
      </c>
    </row>
    <row>
      <c t="s">
        <v>17594</v>
      </c>
      <c t="s">
        <v>56602</v>
      </c>
      <c t="s">
        <v>48909</v>
      </c>
      <c t="s">
        <v>6712</v>
      </c>
      <c t="s">
        <v>47864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336" s="1" t="str">
        <f ca="1">HYPERLINK("https://web.datatree.com/?/property?propertyId=32447059", "https://web.datatree.com/?/property?propertyId=32447059")</f>
        <v>https://web.datatree.com/?/property?propertyId=32447059</v>
      </c>
      <c r="Q1336" t="s">
        <v>316</v>
      </c>
      <c>
        <v>0.23</v>
      </c>
      <c t="s">
        <v>22490</v>
      </c>
      <c t="s">
        <v>38235</v>
      </c>
      <c t="s">
        <v>64192</v>
      </c>
      <c t="s">
        <v>37293</v>
      </c>
      <c t="s">
        <v>64192</v>
      </c>
      <c t="s">
        <v>29415</v>
      </c>
      <c t="s">
        <v>2626</v>
      </c>
      <c t="s">
        <v>2517</v>
      </c>
      <c t="s">
        <v>39289</v>
      </c>
      <c>
        <v>33909</v>
      </c>
      <c t="s">
        <v>9482</v>
      </c>
      <c t="s">
        <v>48794</v>
      </c>
      <c t="s">
        <v>38481</v>
      </c>
      <c>
        <v>165</v>
      </c>
      <c r="AI1336" t="s">
        <v>21715</v>
      </c>
      <c r="AL1336" t="s">
        <v>33202</v>
      </c>
      <c r="AN1336" t="s">
        <v>50917</v>
      </c>
      <c>
        <v>13450</v>
      </c>
      <c r="AR1336" t="s">
        <v>28141</v>
      </c>
    </row>
    <row>
      <c t="s">
        <v>17594</v>
      </c>
      <c t="s">
        <v>34849</v>
      </c>
      <c t="s">
        <v>54015</v>
      </c>
      <c t="s">
        <v>15690</v>
      </c>
      <c t="s">
        <v>61300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1337" s="1" t="str">
        <f ca="1">HYPERLINK("https://web.datatree.com/?/property?propertyId=32447270", "https://web.datatree.com/?/property?propertyId=32447270")</f>
        <v>https://web.datatree.com/?/property?propertyId=32447270</v>
      </c>
      <c r="Q1337" t="s">
        <v>316</v>
      </c>
      <c>
        <v>0.23</v>
      </c>
      <c t="s">
        <v>22490</v>
      </c>
      <c t="s">
        <v>60327</v>
      </c>
      <c t="s">
        <v>39982</v>
      </c>
      <c t="s">
        <v>52057</v>
      </c>
      <c t="s">
        <v>39982</v>
      </c>
      <c t="s">
        <v>46772</v>
      </c>
      <c t="s">
        <v>49122</v>
      </c>
      <c t="s">
        <v>2517</v>
      </c>
      <c t="s">
        <v>39289</v>
      </c>
      <c>
        <v>33909</v>
      </c>
      <c t="s">
        <v>5213</v>
      </c>
      <c t="s">
        <v>48794</v>
      </c>
      <c t="s">
        <v>14716</v>
      </c>
      <c>
        <v>9961</v>
      </c>
      <c r="AI1337" t="s">
        <v>41506</v>
      </c>
      <c t="s">
        <v>45393</v>
      </c>
      <c r="AL1337" t="s">
        <v>46703</v>
      </c>
      <c r="AN1337" t="s">
        <v>39289</v>
      </c>
      <c t="s">
        <v>39895</v>
      </c>
      <c t="s">
        <v>61564</v>
      </c>
      <c t="s">
        <v>3093</v>
      </c>
      <c t="s">
        <v>60685</v>
      </c>
    </row>
    <row>
      <c t="s">
        <v>17594</v>
      </c>
      <c t="s">
        <v>15043</v>
      </c>
      <c t="s">
        <v>20259</v>
      </c>
      <c t="s">
        <v>23757</v>
      </c>
      <c t="s">
        <v>5479</v>
      </c>
      <c s="3">
        <v>178220</v>
      </c>
      <c s="3">
        <v>178220</v>
      </c>
      <c s="3">
        <v>164052</v>
      </c>
      <c>
        <v>0</v>
      </c>
      <c s="3">
        <v>0</v>
      </c>
      <c s="3">
        <v>2534.87</v>
      </c>
      <c s="3">
        <v>178220</v>
      </c>
      <c r="O1338" s="1" t="str">
        <f ca="1">HYPERLINK("https://web.datatree.com/?/property?propertyId=32447431", "https://web.datatree.com/?/property?propertyId=32447431")</f>
        <v>https://web.datatree.com/?/property?propertyId=32447431</v>
      </c>
      <c r="Q1338" t="s">
        <v>316</v>
      </c>
      <c>
        <v>9.7</v>
      </c>
      <c t="s">
        <v>30497</v>
      </c>
      <c t="s">
        <v>39139</v>
      </c>
      <c t="s">
        <v>10299</v>
      </c>
      <c t="s">
        <v>27351</v>
      </c>
      <c t="s">
        <v>10299</v>
      </c>
      <c t="s">
        <v>8093</v>
      </c>
      <c t="s">
        <v>26711</v>
      </c>
      <c t="s">
        <v>65059</v>
      </c>
      <c t="s">
        <v>39289</v>
      </c>
      <c>
        <v>33905</v>
      </c>
      <c t="s">
        <v>38827</v>
      </c>
      <c t="s">
        <v>48794</v>
      </c>
      <c t="s">
        <v>37532</v>
      </c>
      <c>
        <v>2983</v>
      </c>
      <c r="AI1338" t="s">
        <v>10451</v>
      </c>
      <c t="s">
        <v>40123</v>
      </c>
      <c r="AL1338" t="s">
        <v>48248</v>
      </c>
      <c t="s">
        <v>48248</v>
      </c>
      <c t="s">
        <v>58733</v>
      </c>
      <c t="s">
        <v>11590</v>
      </c>
      <c t="s">
        <v>39566</v>
      </c>
      <c t="s">
        <v>3093</v>
      </c>
      <c t="s">
        <v>22668</v>
      </c>
    </row>
    <row>
      <c t="s">
        <v>17594</v>
      </c>
      <c t="s">
        <v>49918</v>
      </c>
      <c t="s">
        <v>66373</v>
      </c>
      <c t="s">
        <v>44451</v>
      </c>
      <c t="s">
        <v>62716</v>
      </c>
      <c s="3">
        <v>318779</v>
      </c>
      <c s="3">
        <v>318779</v>
      </c>
      <c s="3">
        <v>185955</v>
      </c>
      <c>
        <v>0</v>
      </c>
      <c s="3">
        <v>0</v>
      </c>
      <c s="3">
        <v>3537.13</v>
      </c>
      <c s="3">
        <v>318779</v>
      </c>
      <c r="O1339" s="1" t="str">
        <f ca="1">HYPERLINK("https://web.datatree.com/?/property?propertyId=32448396", "https://web.datatree.com/?/property?propertyId=32448396")</f>
        <v>https://web.datatree.com/?/property?propertyId=32448396</v>
      </c>
      <c r="Q1339" t="s">
        <v>316</v>
      </c>
      <c>
        <v>0.244</v>
      </c>
      <c t="s">
        <v>22490</v>
      </c>
      <c t="s">
        <v>47727</v>
      </c>
      <c t="s">
        <v>24508</v>
      </c>
      <c t="s">
        <v>3694</v>
      </c>
      <c t="s">
        <v>45794</v>
      </c>
      <c t="s">
        <v>29978</v>
      </c>
      <c t="s">
        <v>53663</v>
      </c>
      <c t="s">
        <v>2517</v>
      </c>
      <c t="s">
        <v>39289</v>
      </c>
      <c>
        <v>33904</v>
      </c>
      <c t="s">
        <v>5640</v>
      </c>
      <c t="s">
        <v>48794</v>
      </c>
      <c t="s">
        <v>36735</v>
      </c>
      <c>
        <v>943</v>
      </c>
      <c r="AI1339" t="s">
        <v>9164</v>
      </c>
      <c t="s">
        <v>835</v>
      </c>
      <c r="AL1339" t="s">
        <v>41151</v>
      </c>
      <c r="AN1339" t="s">
        <v>66651</v>
      </c>
      <c t="s">
        <v>4681</v>
      </c>
      <c t="s">
        <v>17093</v>
      </c>
      <c t="s">
        <v>3093</v>
      </c>
      <c t="s">
        <v>46619</v>
      </c>
    </row>
    <row>
      <c t="s">
        <v>17594</v>
      </c>
      <c t="s">
        <v>16764</v>
      </c>
      <c t="s">
        <v>47476</v>
      </c>
      <c t="s">
        <v>12638</v>
      </c>
      <c t="s">
        <v>48179</v>
      </c>
      <c s="3">
        <v>26464</v>
      </c>
      <c s="3">
        <v>26464</v>
      </c>
      <c s="3">
        <v>12018</v>
      </c>
      <c>
        <v>0</v>
      </c>
      <c s="3">
        <v>0</v>
      </c>
      <c s="3">
        <v>738.94</v>
      </c>
      <c s="3">
        <v>26464</v>
      </c>
      <c r="O1340" s="1" t="str">
        <f ca="1">HYPERLINK("https://web.datatree.com/?/property?propertyId=32448488", "https://web.datatree.com/?/property?propertyId=32448488")</f>
        <v>https://web.datatree.com/?/property?propertyId=32448488</v>
      </c>
      <c r="Q1340" t="s">
        <v>316</v>
      </c>
      <c>
        <v>0.344</v>
      </c>
      <c t="s">
        <v>45031</v>
      </c>
      <c t="s">
        <v>46064</v>
      </c>
      <c t="s">
        <v>61221</v>
      </c>
      <c t="s">
        <v>54332</v>
      </c>
      <c t="s">
        <v>61221</v>
      </c>
      <c t="s">
        <v>22782</v>
      </c>
      <c t="s">
        <v>22731</v>
      </c>
      <c t="s">
        <v>2517</v>
      </c>
      <c t="s">
        <v>39289</v>
      </c>
      <c>
        <v>33909</v>
      </c>
      <c t="s">
        <v>50233</v>
      </c>
      <c t="s">
        <v>48794</v>
      </c>
      <c t="s">
        <v>40854</v>
      </c>
      <c>
        <v>2061</v>
      </c>
      <c r="AI1340" t="s">
        <v>23088</v>
      </c>
      <c t="s">
        <v>4985</v>
      </c>
      <c r="AL1340" t="s">
        <v>27398</v>
      </c>
      <c t="s">
        <v>62887</v>
      </c>
      <c t="s">
        <v>39289</v>
      </c>
      <c t="s">
        <v>14190</v>
      </c>
      <c t="s">
        <v>38085</v>
      </c>
      <c t="s">
        <v>3093</v>
      </c>
      <c t="s">
        <v>50976</v>
      </c>
    </row>
    <row>
      <c t="s">
        <v>17594</v>
      </c>
      <c t="s">
        <v>12455</v>
      </c>
      <c t="s">
        <v>19251</v>
      </c>
      <c t="s">
        <v>33530</v>
      </c>
      <c t="s">
        <v>64001</v>
      </c>
      <c s="3">
        <v>41248</v>
      </c>
      <c s="3">
        <v>41248</v>
      </c>
      <c s="3">
        <v>29476</v>
      </c>
      <c>
        <v>0</v>
      </c>
      <c s="3">
        <v>0</v>
      </c>
      <c s="3">
        <v>966.01</v>
      </c>
      <c s="3">
        <v>41248</v>
      </c>
      <c r="O1341" s="1" t="str">
        <f ca="1">HYPERLINK("https://web.datatree.com/?/property?propertyId=32449189", "https://web.datatree.com/?/property?propertyId=32449189")</f>
        <v>https://web.datatree.com/?/property?propertyId=32449189</v>
      </c>
      <c r="Q1341" t="s">
        <v>316</v>
      </c>
      <c>
        <v>0.23</v>
      </c>
      <c t="s">
        <v>22490</v>
      </c>
      <c t="s">
        <v>62556</v>
      </c>
      <c t="s">
        <v>60505</v>
      </c>
      <c t="s">
        <v>21899</v>
      </c>
      <c t="s">
        <v>60505</v>
      </c>
      <c t="s">
        <v>35076</v>
      </c>
      <c t="s">
        <v>53663</v>
      </c>
      <c t="s">
        <v>2517</v>
      </c>
      <c t="s">
        <v>39289</v>
      </c>
      <c>
        <v>33909</v>
      </c>
      <c t="s">
        <v>59569</v>
      </c>
      <c t="s">
        <v>48794</v>
      </c>
      <c t="s">
        <v>45633</v>
      </c>
      <c>
        <v>832</v>
      </c>
      <c r="AI1341" t="s">
        <v>57171</v>
      </c>
      <c t="s">
        <v>1671</v>
      </c>
      <c r="AL1341" t="s">
        <v>66387</v>
      </c>
      <c r="AN1341" t="s">
        <v>39289</v>
      </c>
      <c t="s">
        <v>27569</v>
      </c>
      <c t="s">
        <v>26242</v>
      </c>
      <c t="s">
        <v>3093</v>
      </c>
      <c t="s">
        <v>65235</v>
      </c>
    </row>
    <row>
      <c t="s">
        <v>17594</v>
      </c>
      <c t="s">
        <v>14753</v>
      </c>
      <c t="s">
        <v>33689</v>
      </c>
      <c t="s">
        <v>60366</v>
      </c>
      <c t="s">
        <v>32142</v>
      </c>
      <c s="3">
        <v>51680</v>
      </c>
      <c s="3">
        <v>51680</v>
      </c>
      <c s="3">
        <v>44000</v>
      </c>
      <c>
        <v>0</v>
      </c>
      <c s="3">
        <v>0</v>
      </c>
      <c s="3">
        <v>1150.77</v>
      </c>
      <c s="3">
        <v>51680</v>
      </c>
      <c r="O1342" s="1" t="str">
        <f ca="1">HYPERLINK("https://web.datatree.com/?/property?propertyId=32449550", "https://web.datatree.com/?/property?propertyId=32449550")</f>
        <v>https://web.datatree.com/?/property?propertyId=32449550</v>
      </c>
      <c r="Q1342" t="s">
        <v>316</v>
      </c>
      <c>
        <v>0.23</v>
      </c>
      <c t="s">
        <v>6175</v>
      </c>
      <c r="U1342" t="s">
        <v>17133</v>
      </c>
      <c r="X1342" t="s">
        <v>49846</v>
      </c>
      <c t="s">
        <v>57582</v>
      </c>
      <c t="s">
        <v>2517</v>
      </c>
      <c t="s">
        <v>39289</v>
      </c>
      <c>
        <v>33904</v>
      </c>
      <c t="s">
        <v>43575</v>
      </c>
      <c t="s">
        <v>48794</v>
      </c>
      <c t="s">
        <v>17887</v>
      </c>
      <c>
        <v>3003</v>
      </c>
      <c r="AI1342" t="s">
        <v>44555</v>
      </c>
      <c t="s">
        <v>31192</v>
      </c>
      <c r="AL1342" t="s">
        <v>46963</v>
      </c>
      <c t="s">
        <v>46963</v>
      </c>
      <c t="s">
        <v>51137</v>
      </c>
      <c t="s">
        <v>18972</v>
      </c>
      <c t="s">
        <v>42082</v>
      </c>
      <c t="s">
        <v>3093</v>
      </c>
      <c t="s">
        <v>2438</v>
      </c>
    </row>
    <row>
      <c t="s">
        <v>17594</v>
      </c>
      <c t="s">
        <v>55046</v>
      </c>
      <c t="s">
        <v>32841</v>
      </c>
      <c t="s">
        <v>3784</v>
      </c>
      <c t="s">
        <v>17864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1343" s="1" t="str">
        <f ca="1">HYPERLINK("https://web.datatree.com/?/property?propertyId=32449641", "https://web.datatree.com/?/property?propertyId=32449641")</f>
        <v>https://web.datatree.com/?/property?propertyId=32449641</v>
      </c>
      <c r="Q1343" t="s">
        <v>316</v>
      </c>
      <c>
        <v>0.23</v>
      </c>
      <c t="s">
        <v>22490</v>
      </c>
      <c t="s">
        <v>49241</v>
      </c>
      <c t="s">
        <v>52492</v>
      </c>
      <c t="s">
        <v>26023</v>
      </c>
      <c t="s">
        <v>52492</v>
      </c>
      <c t="s">
        <v>44972</v>
      </c>
      <c t="s">
        <v>25017</v>
      </c>
      <c t="s">
        <v>2517</v>
      </c>
      <c t="s">
        <v>39289</v>
      </c>
      <c>
        <v>33909</v>
      </c>
      <c t="s">
        <v>7411</v>
      </c>
      <c t="s">
        <v>48794</v>
      </c>
      <c t="s">
        <v>53728</v>
      </c>
      <c>
        <v>256</v>
      </c>
      <c r="AI1343" t="s">
        <v>60774</v>
      </c>
      <c t="s">
        <v>31192</v>
      </c>
      <c r="AL1343" t="s">
        <v>23695</v>
      </c>
      <c t="s">
        <v>11555</v>
      </c>
      <c t="s">
        <v>39289</v>
      </c>
      <c t="s">
        <v>52283</v>
      </c>
      <c t="s">
        <v>52393</v>
      </c>
      <c t="s">
        <v>3093</v>
      </c>
      <c t="s">
        <v>31142</v>
      </c>
    </row>
    <row>
      <c t="s">
        <v>17594</v>
      </c>
      <c t="s">
        <v>15003</v>
      </c>
      <c t="s">
        <v>55552</v>
      </c>
      <c t="s">
        <v>3695</v>
      </c>
      <c t="s">
        <v>13589</v>
      </c>
      <c s="3">
        <v>2100</v>
      </c>
      <c s="3">
        <v>2100</v>
      </c>
      <c s="3">
        <v>310</v>
      </c>
      <c>
        <v>0</v>
      </c>
      <c s="3">
        <v>0</v>
      </c>
      <c s="3">
        <v>251.7</v>
      </c>
      <c s="3">
        <v>2100</v>
      </c>
      <c>
        <v>2016</v>
      </c>
      <c>
        <v>3881.83</v>
      </c>
      <c s="1" t="str">
        <f ca="1">HYPERLINK("https://web.datatree.com/?/property?propertyId=32449889", "https://web.datatree.com/?/property?propertyId=32449889")</f>
        <v>https://web.datatree.com/?/property?propertyId=32449889</v>
      </c>
      <c r="Q1344" t="s">
        <v>316</v>
      </c>
      <c>
        <v>0.072</v>
      </c>
      <c t="s">
        <v>42044</v>
      </c>
      <c t="s">
        <v>63047</v>
      </c>
      <c t="s">
        <v>53853</v>
      </c>
      <c t="s">
        <v>62618</v>
      </c>
      <c t="s">
        <v>53853</v>
      </c>
      <c t="s">
        <v>13367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316</v>
      </c>
      <c r="AI1344" t="s">
        <v>53284</v>
      </c>
      <c t="s">
        <v>4985</v>
      </c>
      <c r="AL1344" t="s">
        <v>22711</v>
      </c>
      <c r="AN1344" t="s">
        <v>36633</v>
      </c>
      <c t="s">
        <v>66340</v>
      </c>
      <c t="s">
        <v>4480</v>
      </c>
      <c t="s">
        <v>3093</v>
      </c>
      <c t="s">
        <v>24732</v>
      </c>
    </row>
    <row>
      <c t="s">
        <v>17594</v>
      </c>
      <c t="s">
        <v>62916</v>
      </c>
      <c t="s">
        <v>62756</v>
      </c>
      <c t="s">
        <v>57182</v>
      </c>
      <c t="s">
        <v>31115</v>
      </c>
      <c s="3">
        <v>29840</v>
      </c>
      <c s="3">
        <v>29840</v>
      </c>
      <c s="3">
        <v>9079</v>
      </c>
      <c>
        <v>0</v>
      </c>
      <c s="3">
        <v>0</v>
      </c>
      <c s="3">
        <v>3031.5</v>
      </c>
      <c s="3">
        <v>29840</v>
      </c>
      <c r="O1345" s="1" t="str">
        <f ca="1">HYPERLINK("https://web.datatree.com/?/property?propertyId=32450314", "https://web.datatree.com/?/property?propertyId=32450314")</f>
        <v>https://web.datatree.com/?/property?propertyId=32450314</v>
      </c>
      <c r="Q1345" t="s">
        <v>316</v>
      </c>
      <c>
        <v>0.255</v>
      </c>
      <c t="s">
        <v>6175</v>
      </c>
      <c t="s">
        <v>62401</v>
      </c>
      <c t="s">
        <v>24460</v>
      </c>
      <c r="X1345" t="s">
        <v>28204</v>
      </c>
      <c t="s">
        <v>25017</v>
      </c>
      <c t="s">
        <v>2517</v>
      </c>
      <c t="s">
        <v>39289</v>
      </c>
      <c>
        <v>33909</v>
      </c>
      <c t="s">
        <v>37819</v>
      </c>
      <c t="s">
        <v>48794</v>
      </c>
      <c t="s">
        <v>37289</v>
      </c>
      <c>
        <v>4411</v>
      </c>
      <c r="AI1345" t="s">
        <v>56495</v>
      </c>
      <c t="s">
        <v>31192</v>
      </c>
      <c r="AL1345" t="s">
        <v>22648</v>
      </c>
      <c r="AN1345" t="s">
        <v>18236</v>
      </c>
      <c t="s">
        <v>40794</v>
      </c>
      <c t="s">
        <v>6081</v>
      </c>
      <c t="s">
        <v>3093</v>
      </c>
      <c t="s">
        <v>19510</v>
      </c>
    </row>
    <row>
      <c t="s">
        <v>17594</v>
      </c>
      <c t="s">
        <v>45624</v>
      </c>
      <c t="s">
        <v>37599</v>
      </c>
      <c t="s">
        <v>60645</v>
      </c>
      <c t="s">
        <v>2416</v>
      </c>
      <c s="3">
        <v>158360</v>
      </c>
      <c s="3">
        <v>158360</v>
      </c>
      <c s="3">
        <v>158360</v>
      </c>
      <c>
        <v>0</v>
      </c>
      <c s="3">
        <v>0</v>
      </c>
      <c s="3">
        <v>2161.88</v>
      </c>
      <c s="3">
        <v>158360</v>
      </c>
      <c>
        <v>2021</v>
      </c>
      <c>
        <v>2179.34</v>
      </c>
      <c s="1" t="str">
        <f ca="1">HYPERLINK("https://web.datatree.com/?/property?propertyId=32450649", "https://web.datatree.com/?/property?propertyId=32450649")</f>
        <v>https://web.datatree.com/?/property?propertyId=32450649</v>
      </c>
      <c r="Q1346" t="s">
        <v>316</v>
      </c>
      <c>
        <v>0.258</v>
      </c>
      <c t="s">
        <v>5471</v>
      </c>
      <c t="s">
        <v>41794</v>
      </c>
      <c t="s">
        <v>30182</v>
      </c>
      <c t="s">
        <v>66704</v>
      </c>
      <c t="s">
        <v>30182</v>
      </c>
      <c t="s">
        <v>3999</v>
      </c>
      <c t="s">
        <v>48352</v>
      </c>
      <c t="s">
        <v>65059</v>
      </c>
      <c t="s">
        <v>39289</v>
      </c>
      <c>
        <v>33905</v>
      </c>
      <c t="s">
        <v>29136</v>
      </c>
      <c t="s">
        <v>48794</v>
      </c>
      <c t="s">
        <v>25440</v>
      </c>
      <c>
        <v>1326</v>
      </c>
      <c r="AH1346" t="s">
        <v>57851</v>
      </c>
      <c t="s">
        <v>65730</v>
      </c>
      <c t="s">
        <v>45620</v>
      </c>
      <c r="AL1346" t="s">
        <v>38262</v>
      </c>
      <c r="AN1346" t="s">
        <v>10909</v>
      </c>
      <c t="s">
        <v>63554</v>
      </c>
      <c r="AQ1346" t="s">
        <v>27814</v>
      </c>
      <c t="s">
        <v>34206</v>
      </c>
    </row>
    <row>
      <c t="s">
        <v>17594</v>
      </c>
      <c t="s">
        <v>44299</v>
      </c>
      <c t="s">
        <v>22713</v>
      </c>
      <c t="s">
        <v>63425</v>
      </c>
      <c t="s">
        <v>7350</v>
      </c>
      <c s="3">
        <v>7500</v>
      </c>
      <c s="3">
        <v>7500</v>
      </c>
      <c s="3">
        <v>7500</v>
      </c>
      <c>
        <v>0</v>
      </c>
      <c s="3">
        <v>0</v>
      </c>
      <c s="3">
        <v>572.27</v>
      </c>
      <c s="3">
        <v>7500</v>
      </c>
      <c r="O1347" s="1" t="str">
        <f ca="1">HYPERLINK("https://web.datatree.com/?/property?propertyId=32450691", "https://web.datatree.com/?/property?propertyId=32450691")</f>
        <v>https://web.datatree.com/?/property?propertyId=32450691</v>
      </c>
      <c r="Q1347" t="s">
        <v>316</v>
      </c>
      <c>
        <v>0.258</v>
      </c>
      <c t="s">
        <v>6175</v>
      </c>
      <c t="s">
        <v>32011</v>
      </c>
      <c t="s">
        <v>28883</v>
      </c>
      <c t="s">
        <v>56574</v>
      </c>
      <c t="s">
        <v>28883</v>
      </c>
      <c t="s">
        <v>14249</v>
      </c>
      <c t="s">
        <v>2626</v>
      </c>
      <c t="s">
        <v>2517</v>
      </c>
      <c t="s">
        <v>39289</v>
      </c>
      <c>
        <v>33909</v>
      </c>
      <c t="s">
        <v>382</v>
      </c>
      <c t="s">
        <v>48794</v>
      </c>
      <c t="s">
        <v>62303</v>
      </c>
      <c>
        <v>3809</v>
      </c>
      <c r="AI1347" t="s">
        <v>12708</v>
      </c>
      <c t="s">
        <v>45620</v>
      </c>
      <c r="AL1347" t="s">
        <v>27398</v>
      </c>
      <c r="AN1347" t="s">
        <v>39289</v>
      </c>
      <c t="s">
        <v>57035</v>
      </c>
      <c t="s">
        <v>22302</v>
      </c>
      <c t="s">
        <v>3093</v>
      </c>
      <c t="s">
        <v>42519</v>
      </c>
    </row>
    <row>
      <c t="s">
        <v>17594</v>
      </c>
      <c t="s">
        <v>64411</v>
      </c>
      <c t="s">
        <v>41131</v>
      </c>
      <c t="s">
        <v>50207</v>
      </c>
      <c t="s">
        <v>66954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348" s="1" t="str">
        <f ca="1">HYPERLINK("https://web.datatree.com/?/property?propertyId=32451931", "https://web.datatree.com/?/property?propertyId=32451931")</f>
        <v>https://web.datatree.com/?/property?propertyId=32451931</v>
      </c>
      <c r="Q1348" t="s">
        <v>316</v>
      </c>
      <c>
        <v>0.23</v>
      </c>
      <c t="s">
        <v>6175</v>
      </c>
      <c t="s">
        <v>10134</v>
      </c>
      <c t="s">
        <v>8969</v>
      </c>
      <c t="s">
        <v>52259</v>
      </c>
      <c t="s">
        <v>8969</v>
      </c>
      <c t="s">
        <v>7516</v>
      </c>
      <c t="s">
        <v>25017</v>
      </c>
      <c t="s">
        <v>2517</v>
      </c>
      <c t="s">
        <v>39289</v>
      </c>
      <c>
        <v>33909</v>
      </c>
      <c t="s">
        <v>42066</v>
      </c>
      <c t="s">
        <v>48794</v>
      </c>
      <c t="s">
        <v>21058</v>
      </c>
      <c>
        <v>4085</v>
      </c>
      <c r="AI1348" t="s">
        <v>17720</v>
      </c>
      <c t="s">
        <v>24900</v>
      </c>
      <c r="AL1348" t="s">
        <v>61724</v>
      </c>
      <c r="AN1348" t="s">
        <v>39289</v>
      </c>
      <c t="s">
        <v>59422</v>
      </c>
      <c t="s">
        <v>44428</v>
      </c>
      <c t="s">
        <v>3093</v>
      </c>
      <c t="s">
        <v>16151</v>
      </c>
    </row>
    <row>
      <c t="s">
        <v>17594</v>
      </c>
      <c t="s">
        <v>47350</v>
      </c>
      <c t="s">
        <v>44346</v>
      </c>
      <c t="s">
        <v>13223</v>
      </c>
      <c t="s">
        <v>63429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1349" s="1" t="str">
        <f ca="1">HYPERLINK("https://web.datatree.com/?/property?propertyId=32452422", "https://web.datatree.com/?/property?propertyId=32452422")</f>
        <v>https://web.datatree.com/?/property?propertyId=32452422</v>
      </c>
      <c r="Q1349" t="s">
        <v>316</v>
      </c>
      <c>
        <v>0.243</v>
      </c>
      <c t="s">
        <v>6175</v>
      </c>
      <c t="s">
        <v>19112</v>
      </c>
      <c t="s">
        <v>46048</v>
      </c>
      <c t="s">
        <v>21379</v>
      </c>
      <c t="s">
        <v>46048</v>
      </c>
      <c t="s">
        <v>337</v>
      </c>
      <c t="s">
        <v>53663</v>
      </c>
      <c t="s">
        <v>2517</v>
      </c>
      <c t="s">
        <v>39289</v>
      </c>
      <c>
        <v>33909</v>
      </c>
      <c t="s">
        <v>62234</v>
      </c>
      <c t="s">
        <v>48794</v>
      </c>
      <c t="s">
        <v>25528</v>
      </c>
      <c>
        <v>6</v>
      </c>
      <c r="AI1349" t="s">
        <v>34754</v>
      </c>
      <c t="s">
        <v>31192</v>
      </c>
      <c r="AL1349" t="s">
        <v>2849</v>
      </c>
      <c r="AN1349" t="s">
        <v>26016</v>
      </c>
      <c t="s">
        <v>36023</v>
      </c>
      <c t="s">
        <v>60160</v>
      </c>
      <c t="s">
        <v>3093</v>
      </c>
      <c t="s">
        <v>35834</v>
      </c>
    </row>
    <row>
      <c t="s">
        <v>17594</v>
      </c>
      <c t="s">
        <v>33666</v>
      </c>
      <c t="s">
        <v>55868</v>
      </c>
      <c t="s">
        <v>27360</v>
      </c>
      <c t="s">
        <v>27203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1350" s="1" t="str">
        <f ca="1">HYPERLINK("https://web.datatree.com/?/property?propertyId=32452625", "https://web.datatree.com/?/property?propertyId=32452625")</f>
        <v>https://web.datatree.com/?/property?propertyId=32452625</v>
      </c>
      <c r="Q1350" t="s">
        <v>316</v>
      </c>
      <c>
        <v>0.23</v>
      </c>
      <c t="s">
        <v>6175</v>
      </c>
      <c t="s">
        <v>26795</v>
      </c>
      <c t="s">
        <v>65694</v>
      </c>
      <c r="X1350" t="s">
        <v>63555</v>
      </c>
      <c t="s">
        <v>25017</v>
      </c>
      <c t="s">
        <v>2517</v>
      </c>
      <c t="s">
        <v>39289</v>
      </c>
      <c>
        <v>33909</v>
      </c>
      <c t="s">
        <v>42066</v>
      </c>
      <c t="s">
        <v>48794</v>
      </c>
      <c t="s">
        <v>14375</v>
      </c>
      <c>
        <v>244</v>
      </c>
      <c r="AI1350" t="s">
        <v>52131</v>
      </c>
      <c t="s">
        <v>45393</v>
      </c>
      <c r="AL1350" t="s">
        <v>42193</v>
      </c>
      <c r="AN1350" t="s">
        <v>58811</v>
      </c>
      <c t="s">
        <v>17533</v>
      </c>
      <c r="AQ1350" t="s">
        <v>27814</v>
      </c>
      <c t="s">
        <v>28845</v>
      </c>
    </row>
    <row>
      <c t="s">
        <v>17594</v>
      </c>
      <c t="s">
        <v>35966</v>
      </c>
      <c t="s">
        <v>2901</v>
      </c>
      <c t="s">
        <v>43058</v>
      </c>
      <c t="s">
        <v>16283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351" s="1" t="str">
        <f ca="1">HYPERLINK("https://web.datatree.com/?/property?propertyId=32452688", "https://web.datatree.com/?/property?propertyId=32452688")</f>
        <v>https://web.datatree.com/?/property?propertyId=32452688</v>
      </c>
      <c r="Q1351" t="s">
        <v>316</v>
      </c>
      <c>
        <v>0.23</v>
      </c>
      <c t="s">
        <v>22490</v>
      </c>
      <c t="s">
        <v>57278</v>
      </c>
      <c t="s">
        <v>26269</v>
      </c>
      <c t="s">
        <v>36522</v>
      </c>
      <c t="s">
        <v>26269</v>
      </c>
      <c t="s">
        <v>23017</v>
      </c>
      <c t="s">
        <v>25017</v>
      </c>
      <c t="s">
        <v>2517</v>
      </c>
      <c t="s">
        <v>39289</v>
      </c>
      <c>
        <v>33909</v>
      </c>
      <c t="s">
        <v>33712</v>
      </c>
      <c t="s">
        <v>48794</v>
      </c>
      <c t="s">
        <v>3502</v>
      </c>
      <c>
        <v>7121</v>
      </c>
      <c r="AI1351" t="s">
        <v>61864</v>
      </c>
      <c t="s">
        <v>24900</v>
      </c>
      <c r="AL1351" t="s">
        <v>41017</v>
      </c>
      <c r="AN1351" t="s">
        <v>14798</v>
      </c>
      <c t="s">
        <v>39072</v>
      </c>
      <c t="s">
        <v>46114</v>
      </c>
      <c t="s">
        <v>3093</v>
      </c>
      <c t="s">
        <v>25217</v>
      </c>
    </row>
    <row>
      <c t="s">
        <v>17594</v>
      </c>
      <c t="s">
        <v>15003</v>
      </c>
      <c t="s">
        <v>29105</v>
      </c>
      <c t="s">
        <v>13842</v>
      </c>
      <c t="s">
        <v>23911</v>
      </c>
      <c s="3">
        <v>22950</v>
      </c>
      <c s="3">
        <v>22950</v>
      </c>
      <c s="3">
        <v>22950</v>
      </c>
      <c>
        <v>0</v>
      </c>
      <c s="3">
        <v>0</v>
      </c>
      <c s="3">
        <v>1051.29</v>
      </c>
      <c s="3">
        <v>22950</v>
      </c>
      <c r="O1352" s="1" t="str">
        <f ca="1">HYPERLINK("https://web.datatree.com/?/property?propertyId=32453190", "https://web.datatree.com/?/property?propertyId=32453190")</f>
        <v>https://web.datatree.com/?/property?propertyId=32453190</v>
      </c>
      <c r="Q1352" t="s">
        <v>316</v>
      </c>
      <c>
        <v>5.1</v>
      </c>
      <c t="s">
        <v>30497</v>
      </c>
      <c t="s">
        <v>27351</v>
      </c>
      <c t="s">
        <v>56293</v>
      </c>
      <c r="X1352" t="s">
        <v>11205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5708</v>
      </c>
      <c r="AI1352" t="s">
        <v>57504</v>
      </c>
      <c t="s">
        <v>45620</v>
      </c>
      <c r="AL1352" t="s">
        <v>40340</v>
      </c>
      <c r="AN1352" t="s">
        <v>65467</v>
      </c>
      <c t="s">
        <v>46918</v>
      </c>
      <c t="s">
        <v>49977</v>
      </c>
      <c t="s">
        <v>3093</v>
      </c>
      <c t="s">
        <v>20232</v>
      </c>
    </row>
    <row>
      <c t="s">
        <v>17594</v>
      </c>
      <c t="s">
        <v>2550</v>
      </c>
      <c t="s">
        <v>57653</v>
      </c>
      <c t="s">
        <v>52054</v>
      </c>
      <c t="s">
        <v>58814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1353" s="1" t="str">
        <f ca="1">HYPERLINK("https://web.datatree.com/?/property?propertyId=32453726", "https://web.datatree.com/?/property?propertyId=32453726")</f>
        <v>https://web.datatree.com/?/property?propertyId=32453726</v>
      </c>
      <c r="Q1353" t="s">
        <v>316</v>
      </c>
      <c>
        <v>0.227</v>
      </c>
      <c t="s">
        <v>5471</v>
      </c>
      <c t="s">
        <v>20351</v>
      </c>
      <c t="s">
        <v>7313</v>
      </c>
      <c r="X1353" t="s">
        <v>14955</v>
      </c>
      <c t="s">
        <v>48509</v>
      </c>
      <c t="s">
        <v>65059</v>
      </c>
      <c t="s">
        <v>39289</v>
      </c>
      <c>
        <v>33905</v>
      </c>
      <c t="s">
        <v>34214</v>
      </c>
      <c t="s">
        <v>48794</v>
      </c>
      <c t="s">
        <v>46014</v>
      </c>
      <c>
        <v>15</v>
      </c>
      <c r="AI1353" t="s">
        <v>17290</v>
      </c>
      <c t="s">
        <v>40123</v>
      </c>
      <c r="AL1353" t="s">
        <v>66317</v>
      </c>
      <c t="s">
        <v>13397</v>
      </c>
      <c t="s">
        <v>50917</v>
      </c>
      <c t="s">
        <v>58968</v>
      </c>
      <c t="s">
        <v>52393</v>
      </c>
      <c t="s">
        <v>3093</v>
      </c>
      <c t="s">
        <v>38866</v>
      </c>
    </row>
    <row>
      <c t="s">
        <v>17594</v>
      </c>
      <c t="s">
        <v>37164</v>
      </c>
      <c t="s">
        <v>16757</v>
      </c>
      <c t="s">
        <v>53421</v>
      </c>
      <c t="s">
        <v>35543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1354" s="1" t="str">
        <f ca="1">HYPERLINK("https://web.datatree.com/?/property?propertyId=32453805", "https://web.datatree.com/?/property?propertyId=32453805")</f>
        <v>https://web.datatree.com/?/property?propertyId=32453805</v>
      </c>
      <c r="Q1354" t="s">
        <v>316</v>
      </c>
      <c>
        <v>0.282</v>
      </c>
      <c t="s">
        <v>5471</v>
      </c>
      <c t="s">
        <v>26000</v>
      </c>
      <c t="s">
        <v>32434</v>
      </c>
      <c t="s">
        <v>56253</v>
      </c>
      <c t="s">
        <v>45587</v>
      </c>
      <c t="s">
        <v>56251</v>
      </c>
      <c t="s">
        <v>6481</v>
      </c>
      <c t="s">
        <v>65059</v>
      </c>
      <c t="s">
        <v>39289</v>
      </c>
      <c>
        <v>33905</v>
      </c>
      <c t="s">
        <v>12286</v>
      </c>
      <c t="s">
        <v>48794</v>
      </c>
      <c t="s">
        <v>29611</v>
      </c>
      <c>
        <v>10508</v>
      </c>
      <c r="AI1354" t="s">
        <v>18314</v>
      </c>
      <c t="s">
        <v>45620</v>
      </c>
      <c r="AL1354" t="s">
        <v>21376</v>
      </c>
      <c r="AN1354" t="s">
        <v>7064</v>
      </c>
      <c t="s">
        <v>44661</v>
      </c>
      <c r="AQ1354" t="s">
        <v>27814</v>
      </c>
      <c t="s">
        <v>40955</v>
      </c>
    </row>
    <row>
      <c t="s">
        <v>17594</v>
      </c>
      <c t="s">
        <v>21021</v>
      </c>
      <c t="s">
        <v>19821</v>
      </c>
      <c t="s">
        <v>51186</v>
      </c>
      <c t="s">
        <v>7175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>
        <v>2021</v>
      </c>
      <c>
        <v>539.63</v>
      </c>
      <c s="1" t="str">
        <f ca="1">HYPERLINK("https://web.datatree.com/?/property?propertyId=32454065", "https://web.datatree.com/?/property?propertyId=32454065")</f>
        <v>https://web.datatree.com/?/property?propertyId=32454065</v>
      </c>
      <c r="Q1355" t="s">
        <v>316</v>
      </c>
      <c>
        <v>0.23</v>
      </c>
      <c t="s">
        <v>22490</v>
      </c>
      <c t="s">
        <v>33321</v>
      </c>
      <c t="s">
        <v>14139</v>
      </c>
      <c t="s">
        <v>51338</v>
      </c>
      <c t="s">
        <v>14139</v>
      </c>
      <c t="s">
        <v>4910</v>
      </c>
      <c t="s">
        <v>11985</v>
      </c>
      <c t="s">
        <v>2517</v>
      </c>
      <c t="s">
        <v>39289</v>
      </c>
      <c>
        <v>33909</v>
      </c>
      <c>
        <v>33909</v>
      </c>
      <c t="s">
        <v>48794</v>
      </c>
      <c t="s">
        <v>45146</v>
      </c>
      <c>
        <v>99</v>
      </c>
      <c r="AI1355" t="s">
        <v>32767</v>
      </c>
      <c t="s">
        <v>24900</v>
      </c>
      <c r="AL1355" t="s">
        <v>51065</v>
      </c>
      <c r="AN1355" t="s">
        <v>27747</v>
      </c>
      <c t="s">
        <v>44976</v>
      </c>
      <c t="s">
        <v>34025</v>
      </c>
      <c t="s">
        <v>3093</v>
      </c>
      <c t="s">
        <v>15764</v>
      </c>
    </row>
    <row>
      <c t="s">
        <v>17594</v>
      </c>
      <c t="s">
        <v>40527</v>
      </c>
      <c t="s">
        <v>18877</v>
      </c>
      <c t="s">
        <v>57934</v>
      </c>
      <c t="s">
        <v>9376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>
        <v>2021</v>
      </c>
      <c>
        <v>532.49</v>
      </c>
      <c s="1" t="str">
        <f ca="1">HYPERLINK("https://web.datatree.com/?/property?propertyId=32454164", "https://web.datatree.com/?/property?propertyId=32454164")</f>
        <v>https://web.datatree.com/?/property?propertyId=32454164</v>
      </c>
      <c r="Q1356" t="s">
        <v>316</v>
      </c>
      <c>
        <v>0.23</v>
      </c>
      <c t="s">
        <v>22490</v>
      </c>
      <c t="s">
        <v>16597</v>
      </c>
      <c t="s">
        <v>24606</v>
      </c>
      <c r="X1356" t="s">
        <v>13430</v>
      </c>
      <c t="s">
        <v>46469</v>
      </c>
      <c t="s">
        <v>2517</v>
      </c>
      <c t="s">
        <v>39289</v>
      </c>
      <c>
        <v>33909</v>
      </c>
      <c t="s">
        <v>40091</v>
      </c>
      <c t="s">
        <v>48794</v>
      </c>
      <c t="s">
        <v>54896</v>
      </c>
      <c>
        <v>30</v>
      </c>
      <c r="AI1356" t="s">
        <v>36470</v>
      </c>
      <c r="AL1356" t="s">
        <v>31439</v>
      </c>
      <c r="AN1356" t="s">
        <v>32840</v>
      </c>
      <c r="AR1356" t="s">
        <v>34301</v>
      </c>
    </row>
    <row>
      <c t="s">
        <v>17594</v>
      </c>
      <c t="s">
        <v>65246</v>
      </c>
      <c t="s">
        <v>15906</v>
      </c>
      <c t="s">
        <v>14644</v>
      </c>
      <c t="s">
        <v>51710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1357" s="1" t="str">
        <f ca="1">HYPERLINK("https://web.datatree.com/?/property?propertyId=32454462", "https://web.datatree.com/?/property?propertyId=32454462")</f>
        <v>https://web.datatree.com/?/property?propertyId=32454462</v>
      </c>
      <c r="Q1357" t="s">
        <v>316</v>
      </c>
      <c>
        <v>0.23</v>
      </c>
      <c t="s">
        <v>6175</v>
      </c>
      <c t="s">
        <v>24390</v>
      </c>
      <c t="s">
        <v>48794</v>
      </c>
      <c r="X1357" t="s">
        <v>26166</v>
      </c>
      <c t="s">
        <v>2619</v>
      </c>
      <c t="s">
        <v>2517</v>
      </c>
      <c t="s">
        <v>39289</v>
      </c>
      <c>
        <v>33909</v>
      </c>
      <c t="s">
        <v>16979</v>
      </c>
      <c t="s">
        <v>48794</v>
      </c>
      <c t="s">
        <v>64947</v>
      </c>
      <c>
        <v>1231</v>
      </c>
      <c r="AI1357" t="s">
        <v>45219</v>
      </c>
      <c t="s">
        <v>55842</v>
      </c>
      <c r="AL1357" t="s">
        <v>45107</v>
      </c>
      <c t="s">
        <v>45107</v>
      </c>
      <c t="s">
        <v>65451</v>
      </c>
      <c t="s">
        <v>7787</v>
      </c>
      <c t="s">
        <v>48506</v>
      </c>
      <c t="s">
        <v>3093</v>
      </c>
      <c t="s">
        <v>54604</v>
      </c>
    </row>
    <row>
      <c t="s">
        <v>17594</v>
      </c>
      <c t="s">
        <v>50492</v>
      </c>
      <c t="s">
        <v>50121</v>
      </c>
      <c t="s">
        <v>5134</v>
      </c>
      <c t="s">
        <v>7045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 r="O1358" s="1" t="str">
        <f ca="1">HYPERLINK("https://web.datatree.com/?/property?propertyId=32454485", "https://web.datatree.com/?/property?propertyId=32454485")</f>
        <v>https://web.datatree.com/?/property?propertyId=32454485</v>
      </c>
      <c r="Q1358" t="s">
        <v>316</v>
      </c>
      <c>
        <v>0.344</v>
      </c>
      <c t="s">
        <v>42044</v>
      </c>
      <c t="s">
        <v>30490</v>
      </c>
      <c t="s">
        <v>59928</v>
      </c>
      <c t="s">
        <v>10451</v>
      </c>
      <c t="s">
        <v>59928</v>
      </c>
      <c t="s">
        <v>66844</v>
      </c>
      <c t="s">
        <v>7113</v>
      </c>
      <c t="s">
        <v>2517</v>
      </c>
      <c t="s">
        <v>39289</v>
      </c>
      <c>
        <v>33909</v>
      </c>
      <c t="s">
        <v>10821</v>
      </c>
      <c t="s">
        <v>48794</v>
      </c>
      <c t="s">
        <v>14024</v>
      </c>
      <c>
        <v>8618</v>
      </c>
      <c r="AI1358" t="s">
        <v>56317</v>
      </c>
      <c t="s">
        <v>20615</v>
      </c>
      <c r="AL1358" t="s">
        <v>51808</v>
      </c>
      <c r="AN1358" t="s">
        <v>3034</v>
      </c>
      <c t="s">
        <v>22030</v>
      </c>
      <c t="s">
        <v>5948</v>
      </c>
      <c t="s">
        <v>3093</v>
      </c>
      <c t="s">
        <v>1719</v>
      </c>
    </row>
    <row>
      <c t="s">
        <v>17594</v>
      </c>
      <c t="s">
        <v>45131</v>
      </c>
      <c t="s">
        <v>21279</v>
      </c>
      <c t="s">
        <v>3204</v>
      </c>
      <c t="s">
        <v>13927</v>
      </c>
      <c s="3">
        <v>38645</v>
      </c>
      <c s="3">
        <v>38645</v>
      </c>
      <c s="3">
        <v>15044</v>
      </c>
      <c>
        <v>0</v>
      </c>
      <c s="3">
        <v>0</v>
      </c>
      <c s="3">
        <v>794.88</v>
      </c>
      <c s="3">
        <v>38645</v>
      </c>
      <c r="O1359" s="1" t="str">
        <f ca="1">HYPERLINK("https://web.datatree.com/?/property?propertyId=32455174", "https://web.datatree.com/?/property?propertyId=32455174")</f>
        <v>https://web.datatree.com/?/property?propertyId=32455174</v>
      </c>
      <c r="Q1359" t="s">
        <v>316</v>
      </c>
      <c>
        <v>0.23</v>
      </c>
      <c t="s">
        <v>6175</v>
      </c>
      <c t="s">
        <v>66865</v>
      </c>
      <c t="s">
        <v>51629</v>
      </c>
      <c t="s">
        <v>61745</v>
      </c>
      <c t="s">
        <v>34453</v>
      </c>
      <c t="s">
        <v>18887</v>
      </c>
      <c t="s">
        <v>38550</v>
      </c>
      <c t="s">
        <v>2517</v>
      </c>
      <c t="s">
        <v>39289</v>
      </c>
      <c>
        <v>33909</v>
      </c>
      <c t="s">
        <v>36275</v>
      </c>
      <c t="s">
        <v>48794</v>
      </c>
      <c t="s">
        <v>41240</v>
      </c>
      <c r="AI1359" t="s">
        <v>19217</v>
      </c>
      <c t="s">
        <v>45393</v>
      </c>
      <c r="AL1359" t="s">
        <v>17750</v>
      </c>
      <c t="s">
        <v>17750</v>
      </c>
      <c t="s">
        <v>19878</v>
      </c>
      <c>
        <v>60920</v>
      </c>
      <c r="AR1359" t="s">
        <v>24852</v>
      </c>
    </row>
    <row>
      <c t="s">
        <v>17594</v>
      </c>
      <c t="s">
        <v>35762</v>
      </c>
      <c t="s">
        <v>43056</v>
      </c>
      <c t="s">
        <v>30512</v>
      </c>
      <c t="s">
        <v>54008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360" s="1" t="str">
        <f ca="1">HYPERLINK("https://web.datatree.com/?/property?propertyId=32455266", "https://web.datatree.com/?/property?propertyId=32455266")</f>
        <v>https://web.datatree.com/?/property?propertyId=32455266</v>
      </c>
      <c r="Q1360" t="s">
        <v>316</v>
      </c>
      <c>
        <v>0.23</v>
      </c>
      <c t="s">
        <v>6175</v>
      </c>
      <c t="s">
        <v>20261</v>
      </c>
      <c t="s">
        <v>8762</v>
      </c>
      <c t="s">
        <v>63623</v>
      </c>
      <c t="s">
        <v>8762</v>
      </c>
      <c t="s">
        <v>63963</v>
      </c>
      <c t="s">
        <v>25017</v>
      </c>
      <c t="s">
        <v>2517</v>
      </c>
      <c t="s">
        <v>39289</v>
      </c>
      <c>
        <v>33909</v>
      </c>
      <c t="s">
        <v>47131</v>
      </c>
      <c t="s">
        <v>48794</v>
      </c>
      <c t="s">
        <v>12991</v>
      </c>
      <c>
        <v>366</v>
      </c>
      <c r="AI1360" t="s">
        <v>56753</v>
      </c>
      <c r="AL1360" t="s">
        <v>23311</v>
      </c>
      <c t="s">
        <v>23311</v>
      </c>
      <c t="s">
        <v>5982</v>
      </c>
      <c>
        <v>4123</v>
      </c>
      <c r="AR1360" t="s">
        <v>48288</v>
      </c>
    </row>
    <row>
      <c t="s">
        <v>17594</v>
      </c>
      <c t="s">
        <v>44293</v>
      </c>
      <c t="s">
        <v>35381</v>
      </c>
      <c t="s">
        <v>38442</v>
      </c>
      <c t="s">
        <v>41948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1361" s="1" t="str">
        <f ca="1">HYPERLINK("https://web.datatree.com/?/property?propertyId=32455986", "https://web.datatree.com/?/property?propertyId=32455986")</f>
        <v>https://web.datatree.com/?/property?propertyId=32455986</v>
      </c>
      <c r="Q1361" t="s">
        <v>316</v>
      </c>
      <c>
        <v>0.242</v>
      </c>
      <c t="s">
        <v>6175</v>
      </c>
      <c t="s">
        <v>64030</v>
      </c>
      <c t="s">
        <v>24432</v>
      </c>
      <c t="s">
        <v>24179</v>
      </c>
      <c t="s">
        <v>4190</v>
      </c>
      <c t="s">
        <v>40304</v>
      </c>
      <c t="s">
        <v>22731</v>
      </c>
      <c t="s">
        <v>2517</v>
      </c>
      <c t="s">
        <v>39289</v>
      </c>
      <c>
        <v>33909</v>
      </c>
      <c t="s">
        <v>10393</v>
      </c>
      <c t="s">
        <v>48794</v>
      </c>
      <c t="s">
        <v>42180</v>
      </c>
      <c>
        <v>1874</v>
      </c>
      <c r="AI1361" t="s">
        <v>50204</v>
      </c>
      <c t="s">
        <v>45393</v>
      </c>
      <c t="s">
        <v>58596</v>
      </c>
      <c t="s">
        <v>43978</v>
      </c>
      <c r="AN1361" t="s">
        <v>50917</v>
      </c>
      <c t="s">
        <v>15813</v>
      </c>
      <c t="s">
        <v>26416</v>
      </c>
      <c t="s">
        <v>3093</v>
      </c>
      <c t="s">
        <v>8403</v>
      </c>
    </row>
    <row>
      <c t="s">
        <v>17594</v>
      </c>
      <c t="s">
        <v>56334</v>
      </c>
      <c t="s">
        <v>53305</v>
      </c>
      <c t="s">
        <v>18459</v>
      </c>
      <c t="s">
        <v>56347</v>
      </c>
      <c s="3">
        <v>15574</v>
      </c>
      <c s="3">
        <v>15574</v>
      </c>
      <c s="3">
        <v>9075</v>
      </c>
      <c>
        <v>0</v>
      </c>
      <c s="3">
        <v>0</v>
      </c>
      <c s="3">
        <v>575.48</v>
      </c>
      <c s="3">
        <v>15574</v>
      </c>
      <c r="O1362" s="1" t="str">
        <f ca="1">HYPERLINK("https://web.datatree.com/?/property?propertyId=32456196", "https://web.datatree.com/?/property?propertyId=32456196")</f>
        <v>https://web.datatree.com/?/property?propertyId=32456196</v>
      </c>
      <c r="Q1362" t="s">
        <v>316</v>
      </c>
      <c>
        <v>0.255</v>
      </c>
      <c t="s">
        <v>42044</v>
      </c>
      <c t="s">
        <v>19357</v>
      </c>
      <c t="s">
        <v>55400</v>
      </c>
      <c r="X1362" t="s">
        <v>21459</v>
      </c>
      <c t="s">
        <v>38550</v>
      </c>
      <c t="s">
        <v>2517</v>
      </c>
      <c t="s">
        <v>39289</v>
      </c>
      <c>
        <v>33909</v>
      </c>
      <c t="s">
        <v>40103</v>
      </c>
      <c t="s">
        <v>48794</v>
      </c>
      <c t="s">
        <v>61323</v>
      </c>
      <c>
        <v>201</v>
      </c>
      <c r="AI1362" t="s">
        <v>67259</v>
      </c>
      <c t="s">
        <v>31192</v>
      </c>
      <c r="AL1362" t="s">
        <v>57231</v>
      </c>
      <c r="AN1362" t="s">
        <v>32657</v>
      </c>
      <c t="s">
        <v>59474</v>
      </c>
      <c t="s">
        <v>44428</v>
      </c>
      <c t="s">
        <v>3093</v>
      </c>
      <c t="s">
        <v>61782</v>
      </c>
    </row>
    <row>
      <c t="s">
        <v>17594</v>
      </c>
      <c t="s">
        <v>24359</v>
      </c>
      <c t="s">
        <v>56723</v>
      </c>
      <c t="s">
        <v>26164</v>
      </c>
      <c t="s">
        <v>50160</v>
      </c>
      <c s="3">
        <v>41161</v>
      </c>
      <c s="3">
        <v>41161</v>
      </c>
      <c s="3">
        <v>41161</v>
      </c>
      <c>
        <v>0</v>
      </c>
      <c s="3">
        <v>0</v>
      </c>
      <c s="3">
        <v>564.8</v>
      </c>
      <c s="3">
        <v>41161</v>
      </c>
      <c r="O1363" s="1" t="str">
        <f ca="1">HYPERLINK("https://web.datatree.com/?/property?propertyId=32456208", "https://web.datatree.com/?/property?propertyId=32456208")</f>
        <v>https://web.datatree.com/?/property?propertyId=32456208</v>
      </c>
      <c r="Q1363" t="s">
        <v>316</v>
      </c>
      <c>
        <v>0.405</v>
      </c>
      <c t="s">
        <v>37489</v>
      </c>
      <c r="U1363" t="s">
        <v>44715</v>
      </c>
      <c r="X1363" t="s">
        <v>52205</v>
      </c>
      <c t="s">
        <v>53482</v>
      </c>
      <c t="s">
        <v>65059</v>
      </c>
      <c t="s">
        <v>39289</v>
      </c>
      <c>
        <v>33908</v>
      </c>
      <c t="s">
        <v>23016</v>
      </c>
      <c t="s">
        <v>48794</v>
      </c>
      <c t="s">
        <v>41744</v>
      </c>
      <c>
        <v>2307</v>
      </c>
      <c r="AI1363" t="s">
        <v>61159</v>
      </c>
      <c t="s">
        <v>31192</v>
      </c>
      <c>
        <v>302</v>
      </c>
      <c t="s">
        <v>22539</v>
      </c>
      <c t="s">
        <v>22539</v>
      </c>
      <c t="s">
        <v>65451</v>
      </c>
      <c t="s">
        <v>64332</v>
      </c>
      <c t="s">
        <v>25140</v>
      </c>
      <c t="s">
        <v>3093</v>
      </c>
      <c t="s">
        <v>6177</v>
      </c>
    </row>
    <row>
      <c t="s">
        <v>17594</v>
      </c>
      <c t="s">
        <v>509</v>
      </c>
      <c t="s">
        <v>46966</v>
      </c>
      <c t="s">
        <v>36040</v>
      </c>
      <c t="s">
        <v>52520</v>
      </c>
      <c s="3">
        <v>8100</v>
      </c>
      <c s="3">
        <v>8100</v>
      </c>
      <c s="3">
        <v>8100</v>
      </c>
      <c>
        <v>0</v>
      </c>
      <c s="3">
        <v>0</v>
      </c>
      <c s="3">
        <v>639.09</v>
      </c>
      <c s="3">
        <v>8100</v>
      </c>
      <c r="O1364" s="1" t="str">
        <f ca="1">HYPERLINK("https://web.datatree.com/?/property?propertyId=32456831", "https://web.datatree.com/?/property?propertyId=32456831")</f>
        <v>https://web.datatree.com/?/property?propertyId=32456831</v>
      </c>
      <c r="Q1364" t="s">
        <v>316</v>
      </c>
      <c>
        <v>0.329</v>
      </c>
      <c t="s">
        <v>6175</v>
      </c>
      <c t="s">
        <v>48755</v>
      </c>
      <c t="s">
        <v>19806</v>
      </c>
      <c t="s">
        <v>36849</v>
      </c>
      <c t="s">
        <v>19806</v>
      </c>
      <c t="s">
        <v>12886</v>
      </c>
      <c t="s">
        <v>60363</v>
      </c>
      <c t="s">
        <v>2517</v>
      </c>
      <c t="s">
        <v>39289</v>
      </c>
      <c>
        <v>33909</v>
      </c>
      <c t="s">
        <v>43188</v>
      </c>
      <c t="s">
        <v>48794</v>
      </c>
      <c t="s">
        <v>20180</v>
      </c>
      <c>
        <v>4266</v>
      </c>
      <c r="AI1364" t="s">
        <v>7475</v>
      </c>
      <c t="s">
        <v>40123</v>
      </c>
      <c r="AL1364" t="s">
        <v>55489</v>
      </c>
      <c r="AN1364" t="s">
        <v>65451</v>
      </c>
      <c t="s">
        <v>46594</v>
      </c>
      <c t="s">
        <v>21201</v>
      </c>
      <c t="s">
        <v>3093</v>
      </c>
      <c t="s">
        <v>46623</v>
      </c>
    </row>
    <row>
      <c t="s">
        <v>17594</v>
      </c>
      <c t="s">
        <v>6418</v>
      </c>
      <c t="s">
        <v>29399</v>
      </c>
      <c t="s">
        <v>44730</v>
      </c>
      <c t="s">
        <v>42529</v>
      </c>
      <c s="3">
        <v>8962</v>
      </c>
      <c s="3">
        <v>8962</v>
      </c>
      <c s="3">
        <v>4972</v>
      </c>
      <c>
        <v>0</v>
      </c>
      <c s="3">
        <v>0</v>
      </c>
      <c s="3">
        <v>319.26</v>
      </c>
      <c s="3">
        <v>8962</v>
      </c>
      <c r="O1365" s="1" t="str">
        <f ca="1">HYPERLINK("https://web.datatree.com/?/property?propertyId=32457485", "https://web.datatree.com/?/property?propertyId=32457485")</f>
        <v>https://web.datatree.com/?/property?propertyId=32457485</v>
      </c>
      <c r="Q1365" t="s">
        <v>316</v>
      </c>
      <c>
        <v>0.257</v>
      </c>
      <c t="s">
        <v>5471</v>
      </c>
      <c t="s">
        <v>15566</v>
      </c>
      <c t="s">
        <v>43196</v>
      </c>
      <c r="X1365" t="s">
        <v>8184</v>
      </c>
      <c t="s">
        <v>48116</v>
      </c>
      <c t="s">
        <v>65059</v>
      </c>
      <c t="s">
        <v>39289</v>
      </c>
      <c>
        <v>33905</v>
      </c>
      <c t="s">
        <v>10905</v>
      </c>
      <c t="s">
        <v>48794</v>
      </c>
      <c t="s">
        <v>56563</v>
      </c>
      <c>
        <v>284</v>
      </c>
      <c r="AI1365" t="s">
        <v>28469</v>
      </c>
      <c t="s">
        <v>24900</v>
      </c>
      <c r="AL1365" t="s">
        <v>43624</v>
      </c>
      <c r="AN1365" t="s">
        <v>50917</v>
      </c>
      <c t="s">
        <v>37982</v>
      </c>
      <c t="s">
        <v>31626</v>
      </c>
      <c t="s">
        <v>3093</v>
      </c>
      <c t="s">
        <v>61140</v>
      </c>
    </row>
    <row>
      <c t="s">
        <v>17594</v>
      </c>
      <c t="s">
        <v>15276</v>
      </c>
      <c t="s">
        <v>10850</v>
      </c>
      <c t="s">
        <v>51246</v>
      </c>
      <c t="s">
        <v>61496</v>
      </c>
      <c s="3">
        <v>22264</v>
      </c>
      <c s="3">
        <v>22264</v>
      </c>
      <c s="3">
        <v>8030</v>
      </c>
      <c>
        <v>0</v>
      </c>
      <c s="3">
        <v>0</v>
      </c>
      <c s="3">
        <v>633.8</v>
      </c>
      <c s="3">
        <v>22264</v>
      </c>
      <c r="O1366" s="1" t="str">
        <f ca="1">HYPERLINK("https://web.datatree.com/?/property?propertyId=32457546", "https://web.datatree.com/?/property?propertyId=32457546")</f>
        <v>https://web.datatree.com/?/property?propertyId=32457546</v>
      </c>
      <c r="Q1366" t="s">
        <v>316</v>
      </c>
      <c>
        <v>0.306</v>
      </c>
      <c t="s">
        <v>22490</v>
      </c>
      <c t="s">
        <v>66603</v>
      </c>
      <c t="s">
        <v>13824</v>
      </c>
      <c r="X1366" t="s">
        <v>52121</v>
      </c>
      <c t="s">
        <v>47150</v>
      </c>
      <c t="s">
        <v>2517</v>
      </c>
      <c t="s">
        <v>39289</v>
      </c>
      <c>
        <v>33909</v>
      </c>
      <c t="s">
        <v>34079</v>
      </c>
      <c t="s">
        <v>48794</v>
      </c>
      <c t="s">
        <v>6429</v>
      </c>
      <c>
        <v>1920</v>
      </c>
      <c r="AI1366" t="s">
        <v>41142</v>
      </c>
      <c t="s">
        <v>31192</v>
      </c>
      <c t="s">
        <v>36542</v>
      </c>
      <c t="s">
        <v>33214</v>
      </c>
      <c r="AN1366" t="s">
        <v>39289</v>
      </c>
      <c t="s">
        <v>63007</v>
      </c>
      <c t="s">
        <v>61719</v>
      </c>
      <c t="s">
        <v>3093</v>
      </c>
      <c t="s">
        <v>1460</v>
      </c>
    </row>
    <row>
      <c t="s">
        <v>17594</v>
      </c>
      <c t="s">
        <v>30887</v>
      </c>
      <c t="s">
        <v>35537</v>
      </c>
      <c t="s">
        <v>15633</v>
      </c>
      <c t="s">
        <v>55187</v>
      </c>
      <c s="3">
        <v>8345</v>
      </c>
      <c s="3">
        <v>8345</v>
      </c>
      <c s="3">
        <v>4972</v>
      </c>
      <c>
        <v>0</v>
      </c>
      <c s="3">
        <v>0</v>
      </c>
      <c s="3">
        <v>317.96</v>
      </c>
      <c s="3">
        <v>8345</v>
      </c>
      <c r="O1367" s="1" t="str">
        <f ca="1">HYPERLINK("https://web.datatree.com/?/property?propertyId=32457731", "https://web.datatree.com/?/property?propertyId=32457731")</f>
        <v>https://web.datatree.com/?/property?propertyId=32457731</v>
      </c>
      <c r="Q1367" t="s">
        <v>316</v>
      </c>
      <c>
        <v>0.248</v>
      </c>
      <c t="s">
        <v>5471</v>
      </c>
      <c t="s">
        <v>55144</v>
      </c>
      <c t="s">
        <v>59586</v>
      </c>
      <c r="X1367" t="s">
        <v>12290</v>
      </c>
      <c t="s">
        <v>43060</v>
      </c>
      <c t="s">
        <v>65059</v>
      </c>
      <c t="s">
        <v>39289</v>
      </c>
      <c>
        <v>33905</v>
      </c>
      <c t="s">
        <v>43998</v>
      </c>
      <c t="s">
        <v>48794</v>
      </c>
      <c t="s">
        <v>30662</v>
      </c>
      <c>
        <v>2912</v>
      </c>
      <c r="AI1367" t="s">
        <v>53465</v>
      </c>
      <c t="s">
        <v>55842</v>
      </c>
      <c r="AL1367" t="s">
        <v>11706</v>
      </c>
      <c r="AN1367" t="s">
        <v>48152</v>
      </c>
      <c t="s">
        <v>7718</v>
      </c>
      <c t="s">
        <v>24707</v>
      </c>
      <c t="s">
        <v>3093</v>
      </c>
      <c t="s">
        <v>45056</v>
      </c>
    </row>
    <row>
      <c t="s">
        <v>17594</v>
      </c>
      <c t="s">
        <v>67025</v>
      </c>
      <c t="s">
        <v>12115</v>
      </c>
      <c t="s">
        <v>21572</v>
      </c>
      <c t="s">
        <v>40847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1368" s="1" t="str">
        <f ca="1">HYPERLINK("https://web.datatree.com/?/property?propertyId=32457906", "https://web.datatree.com/?/property?propertyId=32457906")</f>
        <v>https://web.datatree.com/?/property?propertyId=32457906</v>
      </c>
      <c r="Q1368" t="s">
        <v>316</v>
      </c>
      <c>
        <v>0.23</v>
      </c>
      <c t="s">
        <v>45031</v>
      </c>
      <c t="s">
        <v>1894</v>
      </c>
      <c t="s">
        <v>9823</v>
      </c>
      <c t="s">
        <v>13844</v>
      </c>
      <c t="s">
        <v>9823</v>
      </c>
      <c t="s">
        <v>21713</v>
      </c>
      <c t="s">
        <v>14534</v>
      </c>
      <c t="s">
        <v>2517</v>
      </c>
      <c t="s">
        <v>39289</v>
      </c>
      <c>
        <v>33909</v>
      </c>
      <c t="s">
        <v>29315</v>
      </c>
      <c t="s">
        <v>48794</v>
      </c>
      <c t="s">
        <v>37936</v>
      </c>
      <c>
        <v>209</v>
      </c>
      <c r="AI1368" t="s">
        <v>42801</v>
      </c>
      <c t="s">
        <v>55842</v>
      </c>
      <c r="AL1368" t="s">
        <v>65081</v>
      </c>
      <c t="s">
        <v>65081</v>
      </c>
      <c t="s">
        <v>19878</v>
      </c>
      <c t="s">
        <v>18423</v>
      </c>
      <c t="s">
        <v>55071</v>
      </c>
      <c t="s">
        <v>3093</v>
      </c>
      <c t="s">
        <v>37989</v>
      </c>
    </row>
    <row>
      <c t="s">
        <v>17594</v>
      </c>
      <c t="s">
        <v>66306</v>
      </c>
      <c t="s">
        <v>64915</v>
      </c>
      <c t="s">
        <v>16327</v>
      </c>
      <c t="s">
        <v>12624</v>
      </c>
      <c s="3">
        <v>24937</v>
      </c>
      <c s="3">
        <v>24937</v>
      </c>
      <c s="3">
        <v>9438</v>
      </c>
      <c>
        <v>0</v>
      </c>
      <c s="3">
        <v>0</v>
      </c>
      <c s="3">
        <v>3035.16</v>
      </c>
      <c s="3">
        <v>24937</v>
      </c>
      <c r="O1369" s="1" t="str">
        <f ca="1">HYPERLINK("https://web.datatree.com/?/property?propertyId=32458444", "https://web.datatree.com/?/property?propertyId=32458444")</f>
        <v>https://web.datatree.com/?/property?propertyId=32458444</v>
      </c>
      <c r="Q1369" t="s">
        <v>316</v>
      </c>
      <c>
        <v>0.255</v>
      </c>
      <c t="s">
        <v>6175</v>
      </c>
      <c t="s">
        <v>52701</v>
      </c>
      <c t="s">
        <v>43112</v>
      </c>
      <c t="s">
        <v>54692</v>
      </c>
      <c r="X1369" t="s">
        <v>15447</v>
      </c>
      <c t="s">
        <v>59356</v>
      </c>
      <c t="s">
        <v>2517</v>
      </c>
      <c t="s">
        <v>39289</v>
      </c>
      <c>
        <v>33909</v>
      </c>
      <c>
        <v>33909</v>
      </c>
      <c t="s">
        <v>48794</v>
      </c>
      <c t="s">
        <v>6327</v>
      </c>
      <c>
        <v>15966</v>
      </c>
      <c r="AI1369" t="s">
        <v>27195</v>
      </c>
      <c t="s">
        <v>55842</v>
      </c>
      <c r="AL1369" t="s">
        <v>55393</v>
      </c>
      <c t="s">
        <v>57031</v>
      </c>
      <c t="s">
        <v>39289</v>
      </c>
      <c t="s">
        <v>13059</v>
      </c>
      <c t="s">
        <v>45980</v>
      </c>
      <c t="s">
        <v>3093</v>
      </c>
      <c t="s">
        <v>66619</v>
      </c>
    </row>
    <row>
      <c t="s">
        <v>17594</v>
      </c>
      <c t="s">
        <v>38473</v>
      </c>
      <c t="s">
        <v>14064</v>
      </c>
      <c t="s">
        <v>3276</v>
      </c>
      <c t="s">
        <v>822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523.58</v>
      </c>
      <c s="1" t="str">
        <f ca="1">HYPERLINK("https://web.datatree.com/?/property?propertyId=32458589", "https://web.datatree.com/?/property?propertyId=32458589")</f>
        <v>https://web.datatree.com/?/property?propertyId=32458589</v>
      </c>
      <c r="Q1370" t="s">
        <v>316</v>
      </c>
      <c>
        <v>0.23</v>
      </c>
      <c t="s">
        <v>6175</v>
      </c>
      <c t="s">
        <v>30261</v>
      </c>
      <c t="s">
        <v>15919</v>
      </c>
      <c r="W1370" t="s">
        <v>21555</v>
      </c>
      <c t="s">
        <v>36757</v>
      </c>
      <c t="s">
        <v>33179</v>
      </c>
      <c t="s">
        <v>2517</v>
      </c>
      <c t="s">
        <v>39289</v>
      </c>
      <c>
        <v>33909</v>
      </c>
      <c t="s">
        <v>58551</v>
      </c>
      <c t="s">
        <v>48794</v>
      </c>
      <c t="s">
        <v>55412</v>
      </c>
      <c>
        <v>1105</v>
      </c>
      <c r="AH1370" t="s">
        <v>26580</v>
      </c>
      <c t="s">
        <v>56489</v>
      </c>
      <c r="AK1370" t="s">
        <v>25384</v>
      </c>
      <c t="s">
        <v>17648</v>
      </c>
      <c r="AN1370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59737</v>
      </c>
      <c t="s">
        <v>58286</v>
      </c>
      <c t="s">
        <v>43835</v>
      </c>
      <c t="s">
        <v>56416</v>
      </c>
      <c s="3">
        <v>20900</v>
      </c>
      <c s="3">
        <v>20900</v>
      </c>
      <c s="3">
        <v>10450</v>
      </c>
      <c>
        <v>0</v>
      </c>
      <c s="3">
        <v>0</v>
      </c>
      <c s="3">
        <v>640.73</v>
      </c>
      <c s="3">
        <v>20900</v>
      </c>
      <c r="O1371" s="1" t="str">
        <f ca="1">HYPERLINK("https://web.datatree.com/?/property?propertyId=32459708", "https://web.datatree.com/?/property?propertyId=32459708")</f>
        <v>https://web.datatree.com/?/property?propertyId=32459708</v>
      </c>
      <c r="Q1371" t="s">
        <v>316</v>
      </c>
      <c>
        <v>0.278</v>
      </c>
      <c t="s">
        <v>22490</v>
      </c>
      <c t="s">
        <v>52915</v>
      </c>
      <c t="s">
        <v>49222</v>
      </c>
      <c t="s">
        <v>47054</v>
      </c>
      <c t="s">
        <v>49484</v>
      </c>
      <c t="s">
        <v>27208</v>
      </c>
      <c t="s">
        <v>2619</v>
      </c>
      <c t="s">
        <v>2517</v>
      </c>
      <c t="s">
        <v>39289</v>
      </c>
      <c>
        <v>33909</v>
      </c>
      <c t="s">
        <v>43005</v>
      </c>
      <c t="s">
        <v>48794</v>
      </c>
      <c t="s">
        <v>53916</v>
      </c>
      <c>
        <v>6303</v>
      </c>
      <c r="AI1371" t="s">
        <v>26976</v>
      </c>
      <c t="s">
        <v>31192</v>
      </c>
      <c>
        <v>400</v>
      </c>
      <c t="s">
        <v>55393</v>
      </c>
      <c r="AN1371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42103</v>
      </c>
      <c t="s">
        <v>20500</v>
      </c>
      <c t="s">
        <v>45097</v>
      </c>
      <c t="s">
        <v>57889</v>
      </c>
      <c t="s">
        <v>14993</v>
      </c>
      <c s="3">
        <v>9856</v>
      </c>
      <c s="3">
        <v>9856</v>
      </c>
      <c s="3">
        <v>3727</v>
      </c>
      <c>
        <v>0</v>
      </c>
      <c s="3">
        <v>0</v>
      </c>
      <c s="3">
        <v>289.83</v>
      </c>
      <c s="3">
        <v>9856</v>
      </c>
      <c r="O1372" s="1" t="str">
        <f ca="1">HYPERLINK("https://web.datatree.com/?/property?propertyId=32460307", "https://web.datatree.com/?/property?propertyId=32460307")</f>
        <v>https://web.datatree.com/?/property?propertyId=32460307</v>
      </c>
      <c r="Q1372" t="s">
        <v>316</v>
      </c>
      <c>
        <v>0.205</v>
      </c>
      <c t="s">
        <v>37489</v>
      </c>
      <c t="s">
        <v>6294</v>
      </c>
      <c t="s">
        <v>19202</v>
      </c>
      <c t="s">
        <v>5455</v>
      </c>
      <c t="s">
        <v>19202</v>
      </c>
      <c t="s">
        <v>20426</v>
      </c>
      <c t="s">
        <v>18019</v>
      </c>
      <c t="s">
        <v>65059</v>
      </c>
      <c t="s">
        <v>39289</v>
      </c>
      <c>
        <v>33905</v>
      </c>
      <c t="s">
        <v>23947</v>
      </c>
      <c t="s">
        <v>48794</v>
      </c>
      <c t="s">
        <v>34711</v>
      </c>
      <c r="AI1372" t="s">
        <v>1558</v>
      </c>
      <c r="AL1372" t="s">
        <v>1377</v>
      </c>
      <c t="s">
        <v>1377</v>
      </c>
      <c t="s">
        <v>5859</v>
      </c>
      <c t="s">
        <v>15715</v>
      </c>
      <c t="s">
        <v>58636</v>
      </c>
      <c t="s">
        <v>3093</v>
      </c>
      <c t="s">
        <v>61406</v>
      </c>
    </row>
    <row>
      <c t="s">
        <v>17594</v>
      </c>
      <c t="s">
        <v>49955</v>
      </c>
      <c t="s">
        <v>60517</v>
      </c>
      <c t="s">
        <v>62176</v>
      </c>
      <c t="s">
        <v>19966</v>
      </c>
      <c s="3">
        <v>23793</v>
      </c>
      <c s="3">
        <v>23793</v>
      </c>
      <c s="3">
        <v>23793</v>
      </c>
      <c>
        <v>0</v>
      </c>
      <c s="3">
        <v>0</v>
      </c>
      <c s="3">
        <v>712.58</v>
      </c>
      <c s="3">
        <v>23793</v>
      </c>
      <c>
        <v>2021</v>
      </c>
      <c>
        <v>639.11</v>
      </c>
      <c s="1" t="str">
        <f ca="1">HYPERLINK("https://web.datatree.com/?/property?propertyId=32460670", "https://web.datatree.com/?/property?propertyId=32460670")</f>
        <v>https://web.datatree.com/?/property?propertyId=32460670</v>
      </c>
      <c r="Q1373" t="s">
        <v>316</v>
      </c>
      <c>
        <v>0.162</v>
      </c>
      <c t="s">
        <v>6175</v>
      </c>
      <c t="s">
        <v>10361</v>
      </c>
      <c t="s">
        <v>56985</v>
      </c>
      <c r="X1373" t="s">
        <v>32698</v>
      </c>
      <c t="s">
        <v>2626</v>
      </c>
      <c t="s">
        <v>2517</v>
      </c>
      <c t="s">
        <v>39289</v>
      </c>
      <c>
        <v>33904</v>
      </c>
      <c t="s">
        <v>64207</v>
      </c>
      <c t="s">
        <v>48794</v>
      </c>
      <c t="s">
        <v>2610</v>
      </c>
      <c>
        <v>136</v>
      </c>
      <c r="AI1373" t="s">
        <v>9680</v>
      </c>
      <c t="s">
        <v>45393</v>
      </c>
      <c r="AL1373" t="s">
        <v>62608</v>
      </c>
      <c t="s">
        <v>13397</v>
      </c>
      <c t="s">
        <v>50917</v>
      </c>
      <c t="s">
        <v>3161</v>
      </c>
      <c t="s">
        <v>42082</v>
      </c>
      <c t="s">
        <v>3093</v>
      </c>
      <c t="s">
        <v>31431</v>
      </c>
    </row>
    <row>
      <c t="s">
        <v>17594</v>
      </c>
      <c t="s">
        <v>47059</v>
      </c>
      <c t="s">
        <v>47035</v>
      </c>
      <c t="s">
        <v>59046</v>
      </c>
      <c t="s">
        <v>17322</v>
      </c>
      <c s="3">
        <v>25012</v>
      </c>
      <c s="3">
        <v>25012</v>
      </c>
      <c s="3">
        <v>10395</v>
      </c>
      <c>
        <v>0</v>
      </c>
      <c s="3">
        <v>0</v>
      </c>
      <c s="3">
        <v>668.22</v>
      </c>
      <c s="3">
        <v>25012</v>
      </c>
      <c r="O1374" s="1" t="str">
        <f ca="1">HYPERLINK("https://web.datatree.com/?/property?propertyId=32461927", "https://web.datatree.com/?/property?propertyId=32461927")</f>
        <v>https://web.datatree.com/?/property?propertyId=32461927</v>
      </c>
      <c r="Q1374" t="s">
        <v>316</v>
      </c>
      <c>
        <v>0.281</v>
      </c>
      <c t="s">
        <v>22490</v>
      </c>
      <c t="s">
        <v>46872</v>
      </c>
      <c t="s">
        <v>11570</v>
      </c>
      <c r="X1374" t="s">
        <v>35864</v>
      </c>
      <c t="s">
        <v>46469</v>
      </c>
      <c t="s">
        <v>2517</v>
      </c>
      <c t="s">
        <v>39289</v>
      </c>
      <c>
        <v>33909</v>
      </c>
      <c t="s">
        <v>21737</v>
      </c>
      <c t="s">
        <v>48794</v>
      </c>
      <c t="s">
        <v>12178</v>
      </c>
      <c>
        <v>1080</v>
      </c>
      <c r="AI1374" t="s">
        <v>40188</v>
      </c>
      <c t="s">
        <v>24900</v>
      </c>
      <c r="AL1374" t="s">
        <v>14921</v>
      </c>
      <c r="AN1374" t="s">
        <v>27747</v>
      </c>
      <c t="s">
        <v>52240</v>
      </c>
      <c t="s">
        <v>33029</v>
      </c>
      <c t="s">
        <v>3093</v>
      </c>
      <c t="s">
        <v>47601</v>
      </c>
    </row>
    <row>
      <c t="s">
        <v>17594</v>
      </c>
      <c t="s">
        <v>65931</v>
      </c>
      <c t="s">
        <v>50448</v>
      </c>
      <c t="s">
        <v>20922</v>
      </c>
      <c t="s">
        <v>30006</v>
      </c>
      <c s="3">
        <v>8400</v>
      </c>
      <c s="3">
        <v>8400</v>
      </c>
      <c s="3">
        <v>8400</v>
      </c>
      <c>
        <v>0</v>
      </c>
      <c s="3">
        <v>0</v>
      </c>
      <c s="3">
        <v>620.49</v>
      </c>
      <c s="3">
        <v>8400</v>
      </c>
      <c r="O1375" s="1" t="str">
        <f ca="1">HYPERLINK("https://web.datatree.com/?/property?propertyId=32462156", "https://web.datatree.com/?/property?propertyId=32462156")</f>
        <v>https://web.datatree.com/?/property?propertyId=32462156</v>
      </c>
      <c r="Q1375" t="s">
        <v>316</v>
      </c>
      <c>
        <v>0.266</v>
      </c>
      <c t="s">
        <v>22490</v>
      </c>
      <c t="s">
        <v>4297</v>
      </c>
      <c t="s">
        <v>19907</v>
      </c>
      <c r="X1375" t="s">
        <v>40733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40145</v>
      </c>
      <c>
        <v>309</v>
      </c>
      <c r="AI1375" t="s">
        <v>2960</v>
      </c>
      <c t="s">
        <v>40123</v>
      </c>
      <c r="AL1375" t="s">
        <v>39802</v>
      </c>
      <c t="s">
        <v>39802</v>
      </c>
      <c t="s">
        <v>18236</v>
      </c>
      <c t="s">
        <v>23318</v>
      </c>
      <c t="s">
        <v>35354</v>
      </c>
      <c t="s">
        <v>3093</v>
      </c>
      <c t="s">
        <v>21978</v>
      </c>
    </row>
    <row>
      <c t="s">
        <v>17594</v>
      </c>
      <c t="s">
        <v>21901</v>
      </c>
      <c s="7" t="s">
        <v>30173</v>
      </c>
      <c t="s">
        <v>13474</v>
      </c>
      <c t="s">
        <v>64196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376" s="1" t="str">
        <f ca="1">HYPERLINK("https://web.datatree.com/?/property?propertyId=32464146", "https://web.datatree.com/?/property?propertyId=32464146")</f>
        <v>https://web.datatree.com/?/property?propertyId=32464146</v>
      </c>
      <c r="Q1376" t="s">
        <v>316</v>
      </c>
      <c>
        <v>0.232</v>
      </c>
      <c t="s">
        <v>6175</v>
      </c>
      <c t="s">
        <v>12765</v>
      </c>
      <c t="s">
        <v>55297</v>
      </c>
      <c t="s">
        <v>21379</v>
      </c>
      <c t="s">
        <v>55297</v>
      </c>
      <c t="s">
        <v>65228</v>
      </c>
      <c t="s">
        <v>14534</v>
      </c>
      <c t="s">
        <v>2517</v>
      </c>
      <c t="s">
        <v>39289</v>
      </c>
      <c>
        <v>33909</v>
      </c>
      <c t="s">
        <v>57430</v>
      </c>
      <c t="s">
        <v>48794</v>
      </c>
      <c t="s">
        <v>28261</v>
      </c>
      <c>
        <v>5</v>
      </c>
      <c r="AI1376" t="s">
        <v>16246</v>
      </c>
      <c t="s">
        <v>45620</v>
      </c>
      <c r="AL1376" t="s">
        <v>5749</v>
      </c>
      <c r="AN1376" t="s">
        <v>14509</v>
      </c>
      <c t="s">
        <v>57387</v>
      </c>
      <c t="s">
        <v>12241</v>
      </c>
      <c t="s">
        <v>3093</v>
      </c>
      <c s="7" t="s">
        <v>44696</v>
      </c>
    </row>
    <row>
      <c t="s">
        <v>17594</v>
      </c>
      <c t="s">
        <v>56750</v>
      </c>
      <c t="s">
        <v>30910</v>
      </c>
      <c t="s">
        <v>10057</v>
      </c>
      <c t="s">
        <v>17208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377" s="1" t="str">
        <f ca="1">HYPERLINK("https://web.datatree.com/?/property?propertyId=32464175", "https://web.datatree.com/?/property?propertyId=32464175")</f>
        <v>https://web.datatree.com/?/property?propertyId=32464175</v>
      </c>
      <c r="Q1377" t="s">
        <v>316</v>
      </c>
      <c>
        <v>0.24</v>
      </c>
      <c t="s">
        <v>5471</v>
      </c>
      <c t="s">
        <v>38169</v>
      </c>
      <c t="s">
        <v>26380</v>
      </c>
      <c t="s">
        <v>38760</v>
      </c>
      <c t="s">
        <v>26380</v>
      </c>
      <c t="s">
        <v>48532</v>
      </c>
      <c t="s">
        <v>26386</v>
      </c>
      <c t="s">
        <v>65059</v>
      </c>
      <c t="s">
        <v>39289</v>
      </c>
      <c>
        <v>33905</v>
      </c>
      <c t="s">
        <v>36103</v>
      </c>
      <c t="s">
        <v>48794</v>
      </c>
      <c t="s">
        <v>31920</v>
      </c>
      <c>
        <v>26</v>
      </c>
      <c r="AI1377" t="s">
        <v>24008</v>
      </c>
      <c t="s">
        <v>24900</v>
      </c>
      <c r="AL1377" t="s">
        <v>11808</v>
      </c>
      <c r="AN1377" t="s">
        <v>14509</v>
      </c>
      <c t="s">
        <v>24235</v>
      </c>
      <c t="s">
        <v>44843</v>
      </c>
      <c t="s">
        <v>3093</v>
      </c>
      <c t="s">
        <v>31500</v>
      </c>
    </row>
    <row>
      <c t="s">
        <v>17594</v>
      </c>
      <c t="s">
        <v>23590</v>
      </c>
      <c t="s">
        <v>37085</v>
      </c>
      <c t="s">
        <v>46302</v>
      </c>
      <c t="s">
        <v>19602</v>
      </c>
      <c s="3">
        <v>26249</v>
      </c>
      <c s="3">
        <v>26249</v>
      </c>
      <c s="3">
        <v>9339</v>
      </c>
      <c>
        <v>0</v>
      </c>
      <c s="3">
        <v>0</v>
      </c>
      <c s="3">
        <v>727.6</v>
      </c>
      <c s="3">
        <v>26249</v>
      </c>
      <c r="O1378" s="1" t="str">
        <f ca="1">HYPERLINK("https://web.datatree.com/?/property?propertyId=32464179", "https://web.datatree.com/?/property?propertyId=32464179")</f>
        <v>https://web.datatree.com/?/property?propertyId=32464179</v>
      </c>
      <c r="Q1378" t="s">
        <v>316</v>
      </c>
      <c>
        <v>0.23</v>
      </c>
      <c t="s">
        <v>65422</v>
      </c>
      <c t="s">
        <v>40718</v>
      </c>
      <c t="s">
        <v>30508</v>
      </c>
      <c t="s">
        <v>22541</v>
      </c>
      <c t="s">
        <v>30508</v>
      </c>
      <c t="s">
        <v>41092</v>
      </c>
      <c t="s">
        <v>17022</v>
      </c>
      <c t="s">
        <v>2517</v>
      </c>
      <c t="s">
        <v>39289</v>
      </c>
      <c>
        <v>33909</v>
      </c>
      <c t="s">
        <v>30202</v>
      </c>
      <c t="s">
        <v>48794</v>
      </c>
      <c t="s">
        <v>66534</v>
      </c>
      <c>
        <v>187</v>
      </c>
      <c r="AI1378" t="s">
        <v>41017</v>
      </c>
      <c t="s">
        <v>45620</v>
      </c>
      <c r="AL1378" t="s">
        <v>64280</v>
      </c>
      <c t="s">
        <v>64280</v>
      </c>
      <c t="s">
        <v>26016</v>
      </c>
      <c t="s">
        <v>2587</v>
      </c>
      <c t="s">
        <v>11138</v>
      </c>
      <c t="s">
        <v>3093</v>
      </c>
      <c t="s">
        <v>48968</v>
      </c>
    </row>
    <row>
      <c t="s">
        <v>17594</v>
      </c>
      <c t="s">
        <v>39396</v>
      </c>
      <c s="7" t="s">
        <v>16084</v>
      </c>
      <c t="s">
        <v>34144</v>
      </c>
      <c t="s">
        <v>9624</v>
      </c>
      <c s="3">
        <v>22996</v>
      </c>
      <c s="3">
        <v>22996</v>
      </c>
      <c s="3">
        <v>8800</v>
      </c>
      <c>
        <v>0</v>
      </c>
      <c s="3">
        <v>0</v>
      </c>
      <c s="3">
        <v>592.43</v>
      </c>
      <c s="3">
        <v>22996</v>
      </c>
      <c r="O1379" s="1" t="str">
        <f ca="1">HYPERLINK("https://web.datatree.com/?/property?propertyId=32464581", "https://web.datatree.com/?/property?propertyId=32464581")</f>
        <v>https://web.datatree.com/?/property?propertyId=32464581</v>
      </c>
      <c r="Q1379" t="s">
        <v>316</v>
      </c>
      <c>
        <v>0.25</v>
      </c>
      <c t="s">
        <v>22490</v>
      </c>
      <c t="s">
        <v>6209</v>
      </c>
      <c t="s">
        <v>61624</v>
      </c>
      <c r="X1379" t="s">
        <v>65368</v>
      </c>
      <c t="s">
        <v>38550</v>
      </c>
      <c t="s">
        <v>2517</v>
      </c>
      <c t="s">
        <v>39289</v>
      </c>
      <c>
        <v>33909</v>
      </c>
      <c t="s">
        <v>54420</v>
      </c>
      <c t="s">
        <v>48794</v>
      </c>
      <c t="s">
        <v>896</v>
      </c>
      <c>
        <v>8</v>
      </c>
      <c r="AI1379" t="s">
        <v>24308</v>
      </c>
      <c t="s">
        <v>41372</v>
      </c>
      <c r="AL1379" t="s">
        <v>45236</v>
      </c>
      <c r="AN1379" t="s">
        <v>4477</v>
      </c>
      <c t="s">
        <v>53146</v>
      </c>
      <c t="s">
        <v>43446</v>
      </c>
      <c t="s">
        <v>3093</v>
      </c>
      <c s="7" t="s">
        <v>2378</v>
      </c>
    </row>
    <row>
      <c t="s">
        <v>17594</v>
      </c>
      <c t="s">
        <v>23210</v>
      </c>
      <c t="s">
        <v>58493</v>
      </c>
      <c t="s">
        <v>2751</v>
      </c>
      <c t="s">
        <v>4992</v>
      </c>
      <c s="3">
        <v>7500</v>
      </c>
      <c s="3">
        <v>7500</v>
      </c>
      <c s="3">
        <v>7500</v>
      </c>
      <c>
        <v>0</v>
      </c>
      <c s="3">
        <v>0</v>
      </c>
      <c s="3">
        <v>627.87</v>
      </c>
      <c s="3">
        <v>7500</v>
      </c>
      <c r="O1380" s="1" t="str">
        <f ca="1">HYPERLINK("https://web.datatree.com/?/property?propertyId=32464880", "https://web.datatree.com/?/property?propertyId=32464880")</f>
        <v>https://web.datatree.com/?/property?propertyId=32464880</v>
      </c>
      <c r="Q1380" t="s">
        <v>316</v>
      </c>
      <c>
        <v>0.241</v>
      </c>
      <c t="s">
        <v>42044</v>
      </c>
      <c t="s">
        <v>5759</v>
      </c>
      <c t="s">
        <v>67267</v>
      </c>
      <c r="X1380" t="s">
        <v>41546</v>
      </c>
      <c t="s">
        <v>13478</v>
      </c>
      <c t="s">
        <v>2517</v>
      </c>
      <c t="s">
        <v>39289</v>
      </c>
      <c>
        <v>33909</v>
      </c>
      <c t="s">
        <v>31216</v>
      </c>
      <c t="s">
        <v>48794</v>
      </c>
      <c t="s">
        <v>30070</v>
      </c>
      <c>
        <v>8</v>
      </c>
      <c r="AI1380" t="s">
        <v>4772</v>
      </c>
      <c t="s">
        <v>41372</v>
      </c>
      <c r="AL1380" t="s">
        <v>60489</v>
      </c>
      <c t="s">
        <v>60489</v>
      </c>
      <c t="s">
        <v>26016</v>
      </c>
      <c t="s">
        <v>6701</v>
      </c>
      <c t="s">
        <v>11138</v>
      </c>
      <c t="s">
        <v>3093</v>
      </c>
      <c t="s">
        <v>21902</v>
      </c>
    </row>
    <row>
      <c t="s">
        <v>17594</v>
      </c>
      <c t="s">
        <v>3338</v>
      </c>
      <c t="s">
        <v>22284</v>
      </c>
      <c t="s">
        <v>43763</v>
      </c>
      <c t="s">
        <v>24690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381" s="1" t="str">
        <f ca="1">HYPERLINK("https://web.datatree.com/?/property?propertyId=32465392", "https://web.datatree.com/?/property?propertyId=32465392")</f>
        <v>https://web.datatree.com/?/property?propertyId=32465392</v>
      </c>
      <c r="Q1381" t="s">
        <v>316</v>
      </c>
      <c>
        <v>0.23</v>
      </c>
      <c t="s">
        <v>6175</v>
      </c>
      <c t="s">
        <v>37419</v>
      </c>
      <c t="s">
        <v>27323</v>
      </c>
      <c r="X1381" t="s">
        <v>33728</v>
      </c>
      <c t="s">
        <v>33179</v>
      </c>
      <c t="s">
        <v>2517</v>
      </c>
      <c t="s">
        <v>39289</v>
      </c>
      <c>
        <v>33909</v>
      </c>
      <c t="s">
        <v>4461</v>
      </c>
      <c t="s">
        <v>48794</v>
      </c>
      <c t="s">
        <v>56035</v>
      </c>
      <c>
        <v>10501</v>
      </c>
      <c r="AI1381" t="s">
        <v>7275</v>
      </c>
      <c t="s">
        <v>835</v>
      </c>
      <c>
        <v>232</v>
      </c>
      <c t="s">
        <v>19485</v>
      </c>
      <c r="AN1381" t="s">
        <v>17134</v>
      </c>
      <c t="s">
        <v>28842</v>
      </c>
      <c t="s">
        <v>53800</v>
      </c>
      <c t="s">
        <v>3093</v>
      </c>
      <c t="s">
        <v>62824</v>
      </c>
    </row>
    <row>
      <c t="s">
        <v>17594</v>
      </c>
      <c t="s">
        <v>27380</v>
      </c>
      <c t="s">
        <v>40111</v>
      </c>
      <c t="s">
        <v>8126</v>
      </c>
      <c t="s">
        <v>5097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382" s="1" t="str">
        <f ca="1">HYPERLINK("https://web.datatree.com/?/property?propertyId=32465423", "https://web.datatree.com/?/property?propertyId=32465423")</f>
        <v>https://web.datatree.com/?/property?propertyId=32465423</v>
      </c>
      <c r="Q1382" t="s">
        <v>316</v>
      </c>
      <c>
        <v>0.23</v>
      </c>
      <c t="s">
        <v>6175</v>
      </c>
      <c t="s">
        <v>64855</v>
      </c>
      <c t="s">
        <v>16458</v>
      </c>
      <c r="X1382" t="s">
        <v>59068</v>
      </c>
      <c t="s">
        <v>15510</v>
      </c>
      <c t="s">
        <v>2517</v>
      </c>
      <c t="s">
        <v>39289</v>
      </c>
      <c>
        <v>33909</v>
      </c>
      <c t="s">
        <v>54661</v>
      </c>
      <c t="s">
        <v>48794</v>
      </c>
      <c t="s">
        <v>18764</v>
      </c>
      <c>
        <v>430</v>
      </c>
      <c r="AI1382" t="s">
        <v>23703</v>
      </c>
      <c t="s">
        <v>24900</v>
      </c>
      <c r="AL1382" t="s">
        <v>23703</v>
      </c>
      <c r="AN1382" t="s">
        <v>26016</v>
      </c>
      <c t="s">
        <v>41136</v>
      </c>
      <c t="s">
        <v>34162</v>
      </c>
      <c t="s">
        <v>3093</v>
      </c>
      <c t="s">
        <v>38549</v>
      </c>
    </row>
    <row>
      <c t="s">
        <v>17594</v>
      </c>
      <c t="s">
        <v>29080</v>
      </c>
      <c t="s">
        <v>4500</v>
      </c>
      <c t="s">
        <v>23018</v>
      </c>
      <c t="s">
        <v>54731</v>
      </c>
      <c s="3">
        <v>7125</v>
      </c>
      <c s="3">
        <v>7125</v>
      </c>
      <c s="3">
        <v>7125</v>
      </c>
      <c>
        <v>0</v>
      </c>
      <c s="3">
        <v>0</v>
      </c>
      <c s="3">
        <v>498.91</v>
      </c>
      <c s="3">
        <v>7125</v>
      </c>
      <c>
        <v>2021</v>
      </c>
      <c>
        <v>531.76</v>
      </c>
      <c s="1" t="str">
        <f ca="1">HYPERLINK("https://web.datatree.com/?/property?propertyId=32465510", "https://web.datatree.com/?/property?propertyId=32465510")</f>
        <v>https://web.datatree.com/?/property?propertyId=32465510</v>
      </c>
      <c r="Q1383" t="s">
        <v>316</v>
      </c>
      <c>
        <v>0.193</v>
      </c>
      <c t="s">
        <v>42044</v>
      </c>
      <c t="s">
        <v>52933</v>
      </c>
      <c t="s">
        <v>36253</v>
      </c>
      <c t="s">
        <v>7241</v>
      </c>
      <c t="s">
        <v>31808</v>
      </c>
      <c t="s">
        <v>1252</v>
      </c>
      <c t="s">
        <v>61865</v>
      </c>
      <c t="s">
        <v>2517</v>
      </c>
      <c t="s">
        <v>39289</v>
      </c>
      <c>
        <v>33909</v>
      </c>
      <c t="s">
        <v>46189</v>
      </c>
      <c t="s">
        <v>48794</v>
      </c>
      <c t="s">
        <v>51335</v>
      </c>
      <c r="AI1383" t="s">
        <v>50658</v>
      </c>
      <c r="AK1383">
        <v>9</v>
      </c>
      <c t="s">
        <v>64098</v>
      </c>
      <c r="AN1383" t="s">
        <v>28773</v>
      </c>
      <c>
        <v>21101</v>
      </c>
      <c r="AR1383" t="s">
        <v>213</v>
      </c>
    </row>
    <row>
      <c t="s">
        <v>17594</v>
      </c>
      <c t="s">
        <v>58844</v>
      </c>
      <c t="s">
        <v>41375</v>
      </c>
      <c t="s">
        <v>38401</v>
      </c>
      <c t="s">
        <v>9791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384" s="1" t="str">
        <f ca="1">HYPERLINK("https://web.datatree.com/?/property?propertyId=32465670", "https://web.datatree.com/?/property?propertyId=32465670")</f>
        <v>https://web.datatree.com/?/property?propertyId=32465670</v>
      </c>
      <c r="Q1384" t="s">
        <v>316</v>
      </c>
      <c>
        <v>0.23</v>
      </c>
      <c t="s">
        <v>6175</v>
      </c>
      <c r="U1384" t="s">
        <v>855</v>
      </c>
      <c t="s">
        <v>32056</v>
      </c>
      <c t="s">
        <v>35571</v>
      </c>
      <c t="s">
        <v>36121</v>
      </c>
      <c t="s">
        <v>22731</v>
      </c>
      <c t="s">
        <v>2517</v>
      </c>
      <c t="s">
        <v>39289</v>
      </c>
      <c>
        <v>33909</v>
      </c>
      <c t="s">
        <v>25149</v>
      </c>
      <c t="s">
        <v>48794</v>
      </c>
      <c t="s">
        <v>14331</v>
      </c>
      <c>
        <v>873</v>
      </c>
      <c r="AH1384" t="s">
        <v>6851</v>
      </c>
      <c t="s">
        <v>65519</v>
      </c>
      <c t="s">
        <v>45620</v>
      </c>
      <c r="AL1384" t="s">
        <v>66776</v>
      </c>
      <c r="AN1384" t="s">
        <v>49730</v>
      </c>
      <c t="s">
        <v>34966</v>
      </c>
      <c t="s">
        <v>41776</v>
      </c>
      <c t="s">
        <v>3093</v>
      </c>
      <c t="s">
        <v>11358</v>
      </c>
    </row>
    <row>
      <c t="s">
        <v>17594</v>
      </c>
      <c t="s">
        <v>8942</v>
      </c>
      <c t="s">
        <v>5353</v>
      </c>
      <c t="s">
        <v>47306</v>
      </c>
      <c t="s">
        <v>15441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1385" s="1" t="str">
        <f ca="1">HYPERLINK("https://web.datatree.com/?/property?propertyId=32465868", "https://web.datatree.com/?/property?propertyId=32465868")</f>
        <v>https://web.datatree.com/?/property?propertyId=32465868</v>
      </c>
      <c r="Q1385" t="s">
        <v>316</v>
      </c>
      <c>
        <v>0.241</v>
      </c>
      <c t="s">
        <v>6175</v>
      </c>
      <c t="s">
        <v>552</v>
      </c>
      <c t="s">
        <v>21775</v>
      </c>
      <c t="s">
        <v>14793</v>
      </c>
      <c t="s">
        <v>21775</v>
      </c>
      <c t="s">
        <v>33246</v>
      </c>
      <c t="s">
        <v>2626</v>
      </c>
      <c t="s">
        <v>2517</v>
      </c>
      <c t="s">
        <v>39289</v>
      </c>
      <c>
        <v>33909</v>
      </c>
      <c t="s">
        <v>53751</v>
      </c>
      <c t="s">
        <v>48794</v>
      </c>
      <c t="s">
        <v>6986</v>
      </c>
      <c>
        <v>26</v>
      </c>
      <c r="AI1385" t="s">
        <v>31945</v>
      </c>
      <c t="s">
        <v>24900</v>
      </c>
      <c r="AL1385" t="s">
        <v>42521</v>
      </c>
      <c r="AN1385" t="s">
        <v>50917</v>
      </c>
      <c t="s">
        <v>21145</v>
      </c>
      <c t="s">
        <v>4797</v>
      </c>
      <c t="s">
        <v>3093</v>
      </c>
      <c t="s">
        <v>56804</v>
      </c>
    </row>
    <row>
      <c t="s">
        <v>17594</v>
      </c>
      <c t="s">
        <v>63213</v>
      </c>
      <c t="s">
        <v>16014</v>
      </c>
      <c t="s">
        <v>5917</v>
      </c>
      <c t="s">
        <v>27847</v>
      </c>
      <c s="3">
        <v>34658</v>
      </c>
      <c s="3">
        <v>34658</v>
      </c>
      <c s="3">
        <v>34100</v>
      </c>
      <c>
        <v>0</v>
      </c>
      <c s="3">
        <v>0</v>
      </c>
      <c s="3">
        <v>474.5</v>
      </c>
      <c s="3">
        <v>34658</v>
      </c>
      <c r="O1386" s="1" t="str">
        <f ca="1">HYPERLINK("https://web.datatree.com/?/property?propertyId=32467284", "https://web.datatree.com/?/property?propertyId=32467284")</f>
        <v>https://web.datatree.com/?/property?propertyId=32467284</v>
      </c>
      <c r="Q1386" t="s">
        <v>316</v>
      </c>
      <c>
        <v>0.042</v>
      </c>
      <c t="s">
        <v>45526</v>
      </c>
      <c t="s">
        <v>1013</v>
      </c>
      <c t="s">
        <v>55684</v>
      </c>
      <c t="s">
        <v>60243</v>
      </c>
      <c t="s">
        <v>58866</v>
      </c>
      <c t="s">
        <v>3829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36626</v>
      </c>
      <c>
        <v>140</v>
      </c>
      <c r="AI1386" t="s">
        <v>45219</v>
      </c>
      <c t="s">
        <v>45393</v>
      </c>
      <c r="AL1386" t="s">
        <v>65650</v>
      </c>
      <c t="s">
        <v>65650</v>
      </c>
      <c t="s">
        <v>460</v>
      </c>
      <c t="s">
        <v>12381</v>
      </c>
      <c t="s">
        <v>14695</v>
      </c>
      <c t="s">
        <v>3093</v>
      </c>
      <c t="s">
        <v>21894</v>
      </c>
    </row>
    <row>
      <c t="s">
        <v>17594</v>
      </c>
      <c t="s">
        <v>32778</v>
      </c>
      <c t="s">
        <v>58768</v>
      </c>
      <c t="s">
        <v>44</v>
      </c>
      <c t="s">
        <v>41182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1387" s="1" t="str">
        <f ca="1">HYPERLINK("https://web.datatree.com/?/property?propertyId=32467440", "https://web.datatree.com/?/property?propertyId=32467440")</f>
        <v>https://web.datatree.com/?/property?propertyId=32467440</v>
      </c>
      <c r="Q1387" t="s">
        <v>316</v>
      </c>
      <c>
        <v>0.245</v>
      </c>
      <c t="s">
        <v>6175</v>
      </c>
      <c t="s">
        <v>8141</v>
      </c>
      <c t="s">
        <v>46062</v>
      </c>
      <c r="X1387" t="s">
        <v>50809</v>
      </c>
      <c t="s">
        <v>53675</v>
      </c>
      <c t="s">
        <v>2517</v>
      </c>
      <c t="s">
        <v>39289</v>
      </c>
      <c>
        <v>33909</v>
      </c>
      <c t="s">
        <v>18142</v>
      </c>
      <c t="s">
        <v>48794</v>
      </c>
      <c t="s">
        <v>67190</v>
      </c>
      <c>
        <v>825</v>
      </c>
      <c r="AI1387" t="s">
        <v>51049</v>
      </c>
      <c t="s">
        <v>45393</v>
      </c>
      <c r="AL1387" t="s">
        <v>37651</v>
      </c>
      <c t="s">
        <v>37651</v>
      </c>
      <c t="s">
        <v>50917</v>
      </c>
      <c t="s">
        <v>16981</v>
      </c>
      <c t="s">
        <v>62830</v>
      </c>
      <c t="s">
        <v>3093</v>
      </c>
      <c t="s">
        <v>12787</v>
      </c>
    </row>
    <row>
      <c t="s">
        <v>17594</v>
      </c>
      <c t="s">
        <v>10025</v>
      </c>
      <c t="s">
        <v>4202</v>
      </c>
      <c t="s">
        <v>47711</v>
      </c>
      <c t="s">
        <v>62206</v>
      </c>
      <c s="3">
        <v>7300</v>
      </c>
      <c s="3">
        <v>7300</v>
      </c>
      <c s="3">
        <v>7300</v>
      </c>
      <c>
        <v>0</v>
      </c>
      <c s="3">
        <v>0</v>
      </c>
      <c s="3">
        <v>686.53</v>
      </c>
      <c s="3">
        <v>7300</v>
      </c>
      <c r="O1388" s="1" t="str">
        <f ca="1">HYPERLINK("https://web.datatree.com/?/property?propertyId=32467566", "https://web.datatree.com/?/property?propertyId=32467566")</f>
        <v>https://web.datatree.com/?/property?propertyId=32467566</v>
      </c>
      <c r="Q1388" t="s">
        <v>316</v>
      </c>
      <c>
        <v>0.244</v>
      </c>
      <c t="s">
        <v>22490</v>
      </c>
      <c t="s">
        <v>2873</v>
      </c>
      <c t="s">
        <v>498</v>
      </c>
      <c r="X1388" t="s">
        <v>50025</v>
      </c>
      <c t="s">
        <v>2619</v>
      </c>
      <c t="s">
        <v>2517</v>
      </c>
      <c t="s">
        <v>39289</v>
      </c>
      <c>
        <v>33909</v>
      </c>
      <c>
        <v>33909</v>
      </c>
      <c t="s">
        <v>48794</v>
      </c>
      <c t="s">
        <v>22185</v>
      </c>
      <c>
        <v>10</v>
      </c>
      <c r="AI1388" t="s">
        <v>29233</v>
      </c>
      <c t="s">
        <v>1671</v>
      </c>
      <c r="AL1388" t="s">
        <v>21376</v>
      </c>
      <c r="AN1388" t="s">
        <v>51087</v>
      </c>
      <c>
        <v>23294</v>
      </c>
      <c r="AQ1388" t="s">
        <v>3093</v>
      </c>
      <c t="s">
        <v>21810</v>
      </c>
    </row>
    <row>
      <c t="s">
        <v>17594</v>
      </c>
      <c t="s">
        <v>61605</v>
      </c>
      <c t="s">
        <v>19827</v>
      </c>
      <c t="s">
        <v>7416</v>
      </c>
      <c t="s">
        <v>52891</v>
      </c>
      <c s="3">
        <v>8212</v>
      </c>
      <c s="3">
        <v>8212</v>
      </c>
      <c s="3">
        <v>3474</v>
      </c>
      <c>
        <v>0</v>
      </c>
      <c s="3">
        <v>0</v>
      </c>
      <c s="3">
        <v>81.82</v>
      </c>
      <c s="3">
        <v>8212</v>
      </c>
      <c>
        <v>2021</v>
      </c>
      <c>
        <v>117.47</v>
      </c>
      <c s="1" t="str">
        <f ca="1">HYPERLINK("https://web.datatree.com/?/property?propertyId=32467575", "https://web.datatree.com/?/property?propertyId=32467575")</f>
        <v>https://web.datatree.com/?/property?propertyId=32467575</v>
      </c>
      <c r="Q1389" t="s">
        <v>316</v>
      </c>
      <c>
        <v>0.117</v>
      </c>
      <c t="s">
        <v>5471</v>
      </c>
      <c t="s">
        <v>46933</v>
      </c>
      <c t="s">
        <v>10226</v>
      </c>
      <c r="X1389" t="s">
        <v>18928</v>
      </c>
      <c t="s">
        <v>60074</v>
      </c>
      <c t="s">
        <v>54524</v>
      </c>
      <c t="s">
        <v>39289</v>
      </c>
      <c>
        <v>33903</v>
      </c>
      <c t="s">
        <v>3175</v>
      </c>
      <c t="s">
        <v>48794</v>
      </c>
      <c t="s">
        <v>23555</v>
      </c>
      <c>
        <v>1520</v>
      </c>
      <c r="AI1389" t="s">
        <v>32640</v>
      </c>
      <c t="s">
        <v>31192</v>
      </c>
      <c r="AL1389" t="s">
        <v>20131</v>
      </c>
      <c r="AN1389" t="s">
        <v>51087</v>
      </c>
      <c t="s">
        <v>66140</v>
      </c>
      <c t="s">
        <v>54916</v>
      </c>
      <c t="s">
        <v>3093</v>
      </c>
      <c t="s">
        <v>22686</v>
      </c>
    </row>
    <row>
      <c t="s">
        <v>17594</v>
      </c>
      <c t="s">
        <v>59459</v>
      </c>
      <c t="s">
        <v>56195</v>
      </c>
      <c t="s">
        <v>16795</v>
      </c>
      <c t="s">
        <v>62182</v>
      </c>
      <c s="3">
        <v>8529</v>
      </c>
      <c s="3">
        <v>8529</v>
      </c>
      <c s="3">
        <v>4972</v>
      </c>
      <c>
        <v>0</v>
      </c>
      <c s="3">
        <v>0</v>
      </c>
      <c s="3">
        <v>315.35</v>
      </c>
      <c s="3">
        <v>8529</v>
      </c>
      <c r="O1390" s="1" t="str">
        <f ca="1">HYPERLINK("https://web.datatree.com/?/property?propertyId=32467710", "https://web.datatree.com/?/property?propertyId=32467710")</f>
        <v>https://web.datatree.com/?/property?propertyId=32467710</v>
      </c>
      <c r="Q1390" t="s">
        <v>316</v>
      </c>
      <c>
        <v>0.229</v>
      </c>
      <c t="s">
        <v>5471</v>
      </c>
      <c t="s">
        <v>66439</v>
      </c>
      <c t="s">
        <v>34689</v>
      </c>
      <c r="X1390" t="s">
        <v>11171</v>
      </c>
      <c t="s">
        <v>5280</v>
      </c>
      <c t="s">
        <v>65059</v>
      </c>
      <c t="s">
        <v>39289</v>
      </c>
      <c>
        <v>33905</v>
      </c>
      <c t="s">
        <v>14638</v>
      </c>
      <c t="s">
        <v>48794</v>
      </c>
      <c t="s">
        <v>38999</v>
      </c>
      <c>
        <v>137</v>
      </c>
      <c r="AI1390" t="s">
        <v>63490</v>
      </c>
      <c t="s">
        <v>31192</v>
      </c>
      <c r="AL1390" t="s">
        <v>13492</v>
      </c>
      <c r="AN1390" t="s">
        <v>36601</v>
      </c>
      <c t="s">
        <v>53282</v>
      </c>
      <c t="s">
        <v>26242</v>
      </c>
      <c t="s">
        <v>3093</v>
      </c>
      <c t="s">
        <v>29872</v>
      </c>
    </row>
    <row>
      <c t="s">
        <v>17594</v>
      </c>
      <c t="s">
        <v>60931</v>
      </c>
      <c t="s">
        <v>62360</v>
      </c>
      <c t="s">
        <v>64927</v>
      </c>
      <c t="s">
        <v>16529</v>
      </c>
      <c s="3">
        <v>7500</v>
      </c>
      <c s="3">
        <v>7500</v>
      </c>
      <c s="3">
        <v>7500</v>
      </c>
      <c>
        <v>0</v>
      </c>
      <c s="3">
        <v>0</v>
      </c>
      <c s="3">
        <v>529.11</v>
      </c>
      <c s="3">
        <v>7500</v>
      </c>
      <c r="O1391" s="1" t="str">
        <f ca="1">HYPERLINK("https://web.datatree.com/?/property?propertyId=32467927", "https://web.datatree.com/?/property?propertyId=32467927")</f>
        <v>https://web.datatree.com/?/property?propertyId=32467927</v>
      </c>
      <c r="Q1391" t="s">
        <v>316</v>
      </c>
      <c>
        <v>0.228</v>
      </c>
      <c t="s">
        <v>42044</v>
      </c>
      <c t="s">
        <v>66812</v>
      </c>
      <c t="s">
        <v>34486</v>
      </c>
      <c t="s">
        <v>57960</v>
      </c>
      <c t="s">
        <v>2735</v>
      </c>
      <c t="s">
        <v>18912</v>
      </c>
      <c t="s">
        <v>61865</v>
      </c>
      <c t="s">
        <v>2517</v>
      </c>
      <c t="s">
        <v>39289</v>
      </c>
      <c>
        <v>33909</v>
      </c>
      <c t="s">
        <v>20242</v>
      </c>
      <c t="s">
        <v>48794</v>
      </c>
      <c t="s">
        <v>4204</v>
      </c>
      <c>
        <v>1134</v>
      </c>
      <c r="AI1391" t="s">
        <v>65611</v>
      </c>
      <c t="s">
        <v>24900</v>
      </c>
      <c r="AL1391" t="s">
        <v>47465</v>
      </c>
      <c r="AN1391" t="s">
        <v>39289</v>
      </c>
      <c t="s">
        <v>15935</v>
      </c>
      <c t="s">
        <v>21054</v>
      </c>
      <c t="s">
        <v>3093</v>
      </c>
      <c t="s">
        <v>24975</v>
      </c>
    </row>
    <row>
      <c t="s">
        <v>17594</v>
      </c>
      <c t="s">
        <v>48142</v>
      </c>
      <c t="s">
        <v>23905</v>
      </c>
      <c t="s">
        <v>34362</v>
      </c>
      <c t="s">
        <v>45789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>
        <v>2021</v>
      </c>
      <c>
        <v>591.97</v>
      </c>
      <c s="1" t="str">
        <f ca="1">HYPERLINK("https://web.datatree.com/?/property?propertyId=32468599", "https://web.datatree.com/?/property?propertyId=32468599")</f>
        <v>https://web.datatree.com/?/property?propertyId=32468599</v>
      </c>
      <c r="Q1392" t="s">
        <v>316</v>
      </c>
      <c>
        <v>0.23</v>
      </c>
      <c t="s">
        <v>22490</v>
      </c>
      <c t="s">
        <v>64470</v>
      </c>
      <c t="s">
        <v>57594</v>
      </c>
      <c r="X1392" t="s">
        <v>13229</v>
      </c>
      <c t="s">
        <v>25017</v>
      </c>
      <c t="s">
        <v>2517</v>
      </c>
      <c t="s">
        <v>39289</v>
      </c>
      <c>
        <v>33909</v>
      </c>
      <c t="s">
        <v>13933</v>
      </c>
      <c t="s">
        <v>48794</v>
      </c>
      <c t="s">
        <v>45946</v>
      </c>
      <c>
        <v>3251</v>
      </c>
      <c r="AI1392" t="s">
        <v>55833</v>
      </c>
      <c t="s">
        <v>31192</v>
      </c>
      <c>
        <v>51</v>
      </c>
      <c t="s">
        <v>51808</v>
      </c>
      <c r="AN1392" t="s">
        <v>3034</v>
      </c>
      <c t="s">
        <v>14646</v>
      </c>
      <c t="s">
        <v>11138</v>
      </c>
      <c t="s">
        <v>3093</v>
      </c>
      <c t="s">
        <v>58837</v>
      </c>
    </row>
    <row>
      <c t="s">
        <v>17594</v>
      </c>
      <c t="s">
        <v>50330</v>
      </c>
      <c t="s">
        <v>55606</v>
      </c>
      <c t="s">
        <v>8900</v>
      </c>
      <c t="s">
        <v>38070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1393" s="1" t="str">
        <f ca="1">HYPERLINK("https://web.datatree.com/?/property?propertyId=32470648", "https://web.datatree.com/?/property?propertyId=32470648")</f>
        <v>https://web.datatree.com/?/property?propertyId=32470648</v>
      </c>
      <c r="Q1393" t="s">
        <v>316</v>
      </c>
      <c>
        <v>0.244</v>
      </c>
      <c t="s">
        <v>6175</v>
      </c>
      <c r="U1393" t="s">
        <v>855</v>
      </c>
      <c t="s">
        <v>56429</v>
      </c>
      <c t="s">
        <v>26675</v>
      </c>
      <c t="s">
        <v>12803</v>
      </c>
      <c t="s">
        <v>14534</v>
      </c>
      <c t="s">
        <v>2517</v>
      </c>
      <c t="s">
        <v>39289</v>
      </c>
      <c>
        <v>33909</v>
      </c>
      <c t="s">
        <v>36392</v>
      </c>
      <c t="s">
        <v>48794</v>
      </c>
      <c t="s">
        <v>11304</v>
      </c>
      <c>
        <v>3802</v>
      </c>
      <c r="AI1393" t="s">
        <v>25939</v>
      </c>
      <c t="s">
        <v>31192</v>
      </c>
      <c r="AL1393" t="s">
        <v>62474</v>
      </c>
      <c r="AN1393" t="s">
        <v>18236</v>
      </c>
      <c t="s">
        <v>64619</v>
      </c>
      <c t="s">
        <v>52112</v>
      </c>
      <c t="s">
        <v>3093</v>
      </c>
      <c t="s">
        <v>35922</v>
      </c>
    </row>
    <row>
      <c t="s">
        <v>17594</v>
      </c>
      <c t="s">
        <v>15536</v>
      </c>
      <c t="s">
        <v>53024</v>
      </c>
      <c t="s">
        <v>9552</v>
      </c>
      <c t="s">
        <v>18818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>
        <v>2021</v>
      </c>
      <c>
        <v>439.89</v>
      </c>
      <c s="1" t="str">
        <f ca="1">HYPERLINK("https://web.datatree.com/?/property?propertyId=32470840", "https://web.datatree.com/?/property?propertyId=32470840")</f>
        <v>https://web.datatree.com/?/property?propertyId=32470840</v>
      </c>
      <c r="Q1394" t="s">
        <v>316</v>
      </c>
      <c>
        <v>0.233</v>
      </c>
      <c t="s">
        <v>5471</v>
      </c>
      <c t="s">
        <v>21668</v>
      </c>
      <c t="s">
        <v>6783</v>
      </c>
      <c r="X1394" t="s">
        <v>11320</v>
      </c>
      <c t="s">
        <v>43940</v>
      </c>
      <c t="s">
        <v>65059</v>
      </c>
      <c t="s">
        <v>39289</v>
      </c>
      <c>
        <v>33905</v>
      </c>
      <c t="s">
        <v>50453</v>
      </c>
      <c t="s">
        <v>48794</v>
      </c>
      <c t="s">
        <v>38804</v>
      </c>
      <c>
        <v>207</v>
      </c>
      <c r="AI1394" t="s">
        <v>23196</v>
      </c>
      <c t="s">
        <v>45393</v>
      </c>
      <c r="AL1394" t="s">
        <v>47243</v>
      </c>
      <c r="AN1394" t="s">
        <v>50917</v>
      </c>
      <c t="s">
        <v>63792</v>
      </c>
      <c t="s">
        <v>49977</v>
      </c>
      <c t="s">
        <v>3093</v>
      </c>
      <c t="s">
        <v>54909</v>
      </c>
    </row>
    <row>
      <c t="s">
        <v>17594</v>
      </c>
      <c t="s">
        <v>36980</v>
      </c>
      <c t="s">
        <v>11182</v>
      </c>
      <c t="s">
        <v>56552</v>
      </c>
      <c t="s">
        <v>14469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1395" s="1" t="str">
        <f ca="1">HYPERLINK("https://web.datatree.com/?/property?propertyId=32470986", "https://web.datatree.com/?/property?propertyId=32470986")</f>
        <v>https://web.datatree.com/?/property?propertyId=32470986</v>
      </c>
      <c r="Q1395" t="s">
        <v>316</v>
      </c>
      <c>
        <v>0.23</v>
      </c>
      <c t="s">
        <v>58725</v>
      </c>
      <c t="s">
        <v>57302</v>
      </c>
      <c t="s">
        <v>43620</v>
      </c>
      <c r="X1395" t="s">
        <v>47178</v>
      </c>
      <c t="s">
        <v>39082</v>
      </c>
      <c t="s">
        <v>2517</v>
      </c>
      <c t="s">
        <v>39289</v>
      </c>
      <c>
        <v>33909</v>
      </c>
      <c t="s">
        <v>48870</v>
      </c>
      <c t="s">
        <v>48794</v>
      </c>
      <c t="s">
        <v>38265</v>
      </c>
      <c>
        <v>4799</v>
      </c>
      <c r="AI1395" t="s">
        <v>2666</v>
      </c>
      <c t="s">
        <v>45620</v>
      </c>
      <c r="AL1395" t="s">
        <v>21376</v>
      </c>
      <c r="AN1395" t="s">
        <v>7064</v>
      </c>
      <c t="s">
        <v>8764</v>
      </c>
      <c r="AQ1395" t="s">
        <v>27814</v>
      </c>
      <c t="s">
        <v>51036</v>
      </c>
    </row>
    <row>
      <c t="s">
        <v>42103</v>
      </c>
      <c t="s">
        <v>5320</v>
      </c>
      <c t="s">
        <v>47752</v>
      </c>
      <c t="s">
        <v>11533</v>
      </c>
      <c t="s">
        <v>35413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1396" s="1" t="str">
        <f ca="1">HYPERLINK("https://web.datatree.com/?/property?propertyId=32471047", "https://web.datatree.com/?/property?propertyId=32471047")</f>
        <v>https://web.datatree.com/?/property?propertyId=32471047</v>
      </c>
      <c r="Q1396" t="s">
        <v>316</v>
      </c>
      <c>
        <v>0.23</v>
      </c>
      <c t="s">
        <v>22490</v>
      </c>
      <c t="s">
        <v>63182</v>
      </c>
      <c t="s">
        <v>44901</v>
      </c>
      <c r="X1396" t="s">
        <v>15577</v>
      </c>
      <c t="s">
        <v>22731</v>
      </c>
      <c t="s">
        <v>2517</v>
      </c>
      <c t="s">
        <v>39289</v>
      </c>
      <c>
        <v>33909</v>
      </c>
      <c t="s">
        <v>49798</v>
      </c>
      <c t="s">
        <v>48794</v>
      </c>
      <c t="s">
        <v>5046</v>
      </c>
      <c r="AI1396" t="s">
        <v>11525</v>
      </c>
      <c r="AL1396" t="s">
        <v>17971</v>
      </c>
      <c r="AN1396" t="s">
        <v>26016</v>
      </c>
      <c>
        <v>8098</v>
      </c>
      <c t="s">
        <v>9590</v>
      </c>
      <c t="s">
        <v>3093</v>
      </c>
      <c t="s">
        <v>6490</v>
      </c>
    </row>
    <row>
      <c t="s">
        <v>17594</v>
      </c>
      <c t="s">
        <v>13300</v>
      </c>
      <c t="s">
        <v>43959</v>
      </c>
      <c t="s">
        <v>54668</v>
      </c>
      <c t="s">
        <v>38957</v>
      </c>
      <c s="3">
        <v>54724</v>
      </c>
      <c s="3">
        <v>54724</v>
      </c>
      <c s="3">
        <v>23345</v>
      </c>
      <c>
        <v>0</v>
      </c>
      <c s="3">
        <v>0</v>
      </c>
      <c s="3">
        <v>1120.7</v>
      </c>
      <c s="3">
        <v>54724</v>
      </c>
      <c r="O1397" s="1" t="str">
        <f ca="1">HYPERLINK("https://web.datatree.com/?/property?propertyId=32471698", "https://web.datatree.com/?/property?propertyId=32471698")</f>
        <v>https://web.datatree.com/?/property?propertyId=32471698</v>
      </c>
      <c r="Q1397" t="s">
        <v>316</v>
      </c>
      <c>
        <v>0.391</v>
      </c>
      <c t="s">
        <v>6175</v>
      </c>
      <c t="s">
        <v>23950</v>
      </c>
      <c t="s">
        <v>9891</v>
      </c>
      <c t="s">
        <v>26789</v>
      </c>
      <c t="s">
        <v>9891</v>
      </c>
      <c t="s">
        <v>44760</v>
      </c>
      <c t="s">
        <v>17022</v>
      </c>
      <c t="s">
        <v>2517</v>
      </c>
      <c t="s">
        <v>39289</v>
      </c>
      <c>
        <v>33904</v>
      </c>
      <c t="s">
        <v>37349</v>
      </c>
      <c t="s">
        <v>48794</v>
      </c>
      <c t="s">
        <v>61279</v>
      </c>
      <c>
        <v>13229</v>
      </c>
      <c r="AI1397" t="s">
        <v>48337</v>
      </c>
      <c t="s">
        <v>45393</v>
      </c>
      <c r="AL1397" t="s">
        <v>67217</v>
      </c>
      <c r="AN1397" t="s">
        <v>50917</v>
      </c>
      <c t="s">
        <v>22319</v>
      </c>
      <c t="s">
        <v>61410</v>
      </c>
      <c t="s">
        <v>3093</v>
      </c>
      <c t="s">
        <v>14687</v>
      </c>
    </row>
    <row>
      <c t="s">
        <v>17594</v>
      </c>
      <c t="s">
        <v>44198</v>
      </c>
      <c t="s">
        <v>7608</v>
      </c>
      <c t="s">
        <v>34675</v>
      </c>
      <c t="s">
        <v>18068</v>
      </c>
      <c s="3">
        <v>12544</v>
      </c>
      <c s="3">
        <v>12544</v>
      </c>
      <c s="3">
        <v>7700</v>
      </c>
      <c>
        <v>0</v>
      </c>
      <c s="3">
        <v>0</v>
      </c>
      <c s="3">
        <v>335.44</v>
      </c>
      <c s="3">
        <v>12544</v>
      </c>
      <c r="O1398" s="1" t="str">
        <f ca="1">HYPERLINK("https://web.datatree.com/?/property?propertyId=32471751", "https://web.datatree.com/?/property?propertyId=32471751")</f>
        <v>https://web.datatree.com/?/property?propertyId=32471751</v>
      </c>
      <c r="Q1398" t="s">
        <v>316</v>
      </c>
      <c>
        <v>0.249</v>
      </c>
      <c t="s">
        <v>5471</v>
      </c>
      <c t="s">
        <v>45627</v>
      </c>
      <c t="s">
        <v>28475</v>
      </c>
      <c t="s">
        <v>61350</v>
      </c>
      <c t="s">
        <v>28475</v>
      </c>
      <c t="s">
        <v>13722</v>
      </c>
      <c t="s">
        <v>48116</v>
      </c>
      <c t="s">
        <v>65059</v>
      </c>
      <c t="s">
        <v>39289</v>
      </c>
      <c>
        <v>33905</v>
      </c>
      <c t="s">
        <v>58591</v>
      </c>
      <c t="s">
        <v>48794</v>
      </c>
      <c t="s">
        <v>34384</v>
      </c>
      <c>
        <v>7634</v>
      </c>
      <c r="AI1398" t="s">
        <v>49839</v>
      </c>
      <c t="s">
        <v>45620</v>
      </c>
      <c r="AL1398" t="s">
        <v>20751</v>
      </c>
      <c r="AN1398" t="s">
        <v>50917</v>
      </c>
      <c t="s">
        <v>48657</v>
      </c>
      <c t="s">
        <v>34547</v>
      </c>
      <c t="s">
        <v>3093</v>
      </c>
      <c t="s">
        <v>44600</v>
      </c>
    </row>
    <row>
      <c t="s">
        <v>17594</v>
      </c>
      <c t="s">
        <v>8975</v>
      </c>
      <c t="s">
        <v>18753</v>
      </c>
      <c t="s">
        <v>856</v>
      </c>
      <c t="s">
        <v>20231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399" s="1" t="str">
        <f ca="1">HYPERLINK("https://web.datatree.com/?/property?propertyId=32471945", "https://web.datatree.com/?/property?propertyId=32471945")</f>
        <v>https://web.datatree.com/?/property?propertyId=32471945</v>
      </c>
      <c r="Q1399" t="s">
        <v>316</v>
      </c>
      <c>
        <v>0.235</v>
      </c>
      <c t="s">
        <v>5471</v>
      </c>
      <c t="s">
        <v>30490</v>
      </c>
      <c t="s">
        <v>65388</v>
      </c>
      <c t="s">
        <v>63863</v>
      </c>
      <c t="s">
        <v>65388</v>
      </c>
      <c t="s">
        <v>33942</v>
      </c>
      <c t="s">
        <v>58506</v>
      </c>
      <c t="s">
        <v>65059</v>
      </c>
      <c t="s">
        <v>39289</v>
      </c>
      <c>
        <v>33905</v>
      </c>
      <c t="s">
        <v>18698</v>
      </c>
      <c t="s">
        <v>48794</v>
      </c>
      <c t="s">
        <v>18750</v>
      </c>
      <c>
        <v>8</v>
      </c>
      <c r="AI1399" t="s">
        <v>2916</v>
      </c>
      <c t="s">
        <v>31192</v>
      </c>
      <c r="AL1399" t="s">
        <v>26813</v>
      </c>
      <c t="s">
        <v>40227</v>
      </c>
      <c t="s">
        <v>22275</v>
      </c>
      <c t="s">
        <v>59070</v>
      </c>
      <c t="s">
        <v>22455</v>
      </c>
      <c t="s">
        <v>3093</v>
      </c>
      <c t="s">
        <v>66437</v>
      </c>
    </row>
    <row>
      <c t="s">
        <v>17594</v>
      </c>
      <c t="s">
        <v>28954</v>
      </c>
      <c t="s">
        <v>41656</v>
      </c>
      <c t="s">
        <v>50032</v>
      </c>
      <c t="s">
        <v>47511</v>
      </c>
      <c s="3">
        <v>7600</v>
      </c>
      <c s="3">
        <v>7600</v>
      </c>
      <c s="3">
        <v>7600</v>
      </c>
      <c>
        <v>0</v>
      </c>
      <c s="3">
        <v>0</v>
      </c>
      <c s="3">
        <v>555.27</v>
      </c>
      <c s="3">
        <v>7600</v>
      </c>
      <c r="O1400" s="1" t="str">
        <f ca="1">HYPERLINK("https://web.datatree.com/?/property?propertyId=32471990", "https://web.datatree.com/?/property?propertyId=32471990")</f>
        <v>https://web.datatree.com/?/property?propertyId=32471990</v>
      </c>
      <c r="Q1400" t="s">
        <v>316</v>
      </c>
      <c>
        <v>0.23</v>
      </c>
      <c t="s">
        <v>6175</v>
      </c>
      <c t="s">
        <v>552</v>
      </c>
      <c t="s">
        <v>17707</v>
      </c>
      <c t="s">
        <v>47391</v>
      </c>
      <c t="s">
        <v>22372</v>
      </c>
      <c t="s">
        <v>33737</v>
      </c>
      <c t="s">
        <v>22731</v>
      </c>
      <c t="s">
        <v>2517</v>
      </c>
      <c t="s">
        <v>39289</v>
      </c>
      <c>
        <v>33909</v>
      </c>
      <c t="s">
        <v>20816</v>
      </c>
      <c t="s">
        <v>48794</v>
      </c>
      <c t="s">
        <v>56055</v>
      </c>
      <c>
        <v>592</v>
      </c>
      <c r="AI1400" t="s">
        <v>30832</v>
      </c>
      <c t="s">
        <v>45393</v>
      </c>
      <c r="AL1400" t="s">
        <v>8109</v>
      </c>
      <c t="s">
        <v>13397</v>
      </c>
      <c t="s">
        <v>50917</v>
      </c>
      <c t="s">
        <v>42700</v>
      </c>
      <c t="s">
        <v>53800</v>
      </c>
      <c t="s">
        <v>3093</v>
      </c>
      <c t="s">
        <v>52338</v>
      </c>
    </row>
    <row>
      <c t="s">
        <v>17594</v>
      </c>
      <c t="s">
        <v>50339</v>
      </c>
      <c t="s">
        <v>55044</v>
      </c>
      <c t="s">
        <v>64083</v>
      </c>
      <c t="s">
        <v>21048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401" s="1" t="str">
        <f ca="1">HYPERLINK("https://web.datatree.com/?/property?propertyId=32472780", "https://web.datatree.com/?/property?propertyId=32472780")</f>
        <v>https://web.datatree.com/?/property?propertyId=32472780</v>
      </c>
      <c r="Q1401" t="s">
        <v>316</v>
      </c>
      <c>
        <v>0.23</v>
      </c>
      <c t="s">
        <v>6175</v>
      </c>
      <c t="s">
        <v>11374</v>
      </c>
      <c t="s">
        <v>13158</v>
      </c>
      <c t="s">
        <v>21064</v>
      </c>
      <c t="s">
        <v>13158</v>
      </c>
      <c t="s">
        <v>7935</v>
      </c>
      <c t="s">
        <v>38550</v>
      </c>
      <c t="s">
        <v>2517</v>
      </c>
      <c t="s">
        <v>39289</v>
      </c>
      <c>
        <v>33909</v>
      </c>
      <c t="s">
        <v>36476</v>
      </c>
      <c t="s">
        <v>48794</v>
      </c>
      <c t="s">
        <v>47780</v>
      </c>
      <c>
        <v>1556</v>
      </c>
      <c r="AI1401" t="s">
        <v>60128</v>
      </c>
      <c t="s">
        <v>1671</v>
      </c>
      <c r="AL1401" t="s">
        <v>59438</v>
      </c>
      <c r="AN1401" t="s">
        <v>65467</v>
      </c>
      <c t="s">
        <v>63575</v>
      </c>
      <c t="s">
        <v>56028</v>
      </c>
      <c t="s">
        <v>3093</v>
      </c>
      <c t="s">
        <v>10552</v>
      </c>
    </row>
    <row>
      <c t="s">
        <v>17594</v>
      </c>
      <c t="s">
        <v>23786</v>
      </c>
      <c t="s">
        <v>4340</v>
      </c>
      <c t="s">
        <v>41252</v>
      </c>
      <c t="s">
        <v>55595</v>
      </c>
      <c s="3">
        <v>28000</v>
      </c>
      <c s="3">
        <v>28000</v>
      </c>
      <c s="3">
        <v>12320</v>
      </c>
      <c>
        <v>0</v>
      </c>
      <c s="3">
        <v>0</v>
      </c>
      <c s="3">
        <v>669.67</v>
      </c>
      <c s="3">
        <v>28000</v>
      </c>
      <c r="O1402" s="1" t="str">
        <f ca="1">HYPERLINK("https://web.datatree.com/?/property?propertyId=32473646", "https://web.datatree.com/?/property?propertyId=32473646")</f>
        <v>https://web.datatree.com/?/property?propertyId=32473646</v>
      </c>
      <c r="Q1402" t="s">
        <v>316</v>
      </c>
      <c>
        <v>0.23</v>
      </c>
      <c t="s">
        <v>45031</v>
      </c>
      <c t="s">
        <v>63106</v>
      </c>
      <c t="s">
        <v>53579</v>
      </c>
      <c t="s">
        <v>53287</v>
      </c>
      <c t="s">
        <v>46972</v>
      </c>
      <c t="s">
        <v>65733</v>
      </c>
      <c t="s">
        <v>10653</v>
      </c>
      <c t="s">
        <v>2517</v>
      </c>
      <c t="s">
        <v>39289</v>
      </c>
      <c>
        <v>33909</v>
      </c>
      <c t="s">
        <v>42017</v>
      </c>
      <c t="s">
        <v>48794</v>
      </c>
      <c t="s">
        <v>52602</v>
      </c>
      <c>
        <v>900</v>
      </c>
      <c r="AI1402" t="s">
        <v>21142</v>
      </c>
      <c t="s">
        <v>31192</v>
      </c>
      <c r="AL1402" t="s">
        <v>66811</v>
      </c>
      <c t="s">
        <v>6342</v>
      </c>
      <c t="s">
        <v>18236</v>
      </c>
      <c t="s">
        <v>6598</v>
      </c>
      <c t="s">
        <v>37774</v>
      </c>
      <c t="s">
        <v>3093</v>
      </c>
      <c t="s">
        <v>34828</v>
      </c>
    </row>
    <row>
      <c t="s">
        <v>17594</v>
      </c>
      <c t="s">
        <v>4396</v>
      </c>
      <c t="s">
        <v>52276</v>
      </c>
      <c t="s">
        <v>65120</v>
      </c>
      <c t="s">
        <v>157</v>
      </c>
      <c s="3">
        <v>14982</v>
      </c>
      <c s="3">
        <v>14982</v>
      </c>
      <c s="3">
        <v>14982</v>
      </c>
      <c>
        <v>0</v>
      </c>
      <c s="3">
        <v>0</v>
      </c>
      <c s="3">
        <v>400.9</v>
      </c>
      <c s="3">
        <v>14982</v>
      </c>
      <c>
        <v>2021</v>
      </c>
      <c>
        <v>388.42</v>
      </c>
      <c s="1" t="str">
        <f ca="1">HYPERLINK("https://web.datatree.com/?/property?propertyId=32474048", "https://web.datatree.com/?/property?propertyId=32474048")</f>
        <v>https://web.datatree.com/?/property?propertyId=32474048</v>
      </c>
      <c r="Q1403" t="s">
        <v>316</v>
      </c>
      <c>
        <v>0.294</v>
      </c>
      <c t="s">
        <v>5471</v>
      </c>
      <c t="s">
        <v>62245</v>
      </c>
      <c t="s">
        <v>49484</v>
      </c>
      <c r="X1403" t="s">
        <v>14174</v>
      </c>
      <c t="s">
        <v>51919</v>
      </c>
      <c t="s">
        <v>65059</v>
      </c>
      <c t="s">
        <v>39289</v>
      </c>
      <c>
        <v>33905</v>
      </c>
      <c>
        <v>33905</v>
      </c>
      <c t="s">
        <v>48794</v>
      </c>
      <c t="s">
        <v>7012</v>
      </c>
      <c>
        <v>9967</v>
      </c>
      <c r="AI1403" t="s">
        <v>61865</v>
      </c>
      <c t="s">
        <v>45393</v>
      </c>
      <c r="AL1403" t="s">
        <v>6365</v>
      </c>
      <c t="s">
        <v>6365</v>
      </c>
      <c t="s">
        <v>39289</v>
      </c>
      <c t="s">
        <v>42510</v>
      </c>
      <c t="s">
        <v>22613</v>
      </c>
      <c t="s">
        <v>3093</v>
      </c>
      <c t="s">
        <v>42689</v>
      </c>
    </row>
    <row>
      <c t="s">
        <v>17594</v>
      </c>
      <c t="s">
        <v>20920</v>
      </c>
      <c t="s">
        <v>30695</v>
      </c>
      <c t="s">
        <v>17963</v>
      </c>
      <c t="s">
        <v>38816</v>
      </c>
      <c s="3">
        <v>8600</v>
      </c>
      <c s="3">
        <v>8600</v>
      </c>
      <c s="3">
        <v>8600</v>
      </c>
      <c>
        <v>0</v>
      </c>
      <c s="3">
        <v>0</v>
      </c>
      <c s="3">
        <v>2889.06</v>
      </c>
      <c s="3">
        <v>8600</v>
      </c>
      <c r="O1404" s="1" t="str">
        <f ca="1">HYPERLINK("https://web.datatree.com/?/property?propertyId=32474844", "https://web.datatree.com/?/property?propertyId=32474844")</f>
        <v>https://web.datatree.com/?/property?propertyId=32474844</v>
      </c>
      <c r="Q1404" t="s">
        <v>316</v>
      </c>
      <c>
        <v>0.244</v>
      </c>
      <c t="s">
        <v>6175</v>
      </c>
      <c t="s">
        <v>52039</v>
      </c>
      <c t="s">
        <v>18158</v>
      </c>
      <c t="s">
        <v>41080</v>
      </c>
      <c t="s">
        <v>45794</v>
      </c>
      <c t="s">
        <v>57151</v>
      </c>
      <c t="s">
        <v>59356</v>
      </c>
      <c t="s">
        <v>2517</v>
      </c>
      <c t="s">
        <v>39289</v>
      </c>
      <c>
        <v>33909</v>
      </c>
      <c t="s">
        <v>66509</v>
      </c>
      <c t="s">
        <v>48794</v>
      </c>
      <c t="s">
        <v>32557</v>
      </c>
      <c>
        <v>26</v>
      </c>
      <c r="AI1404" t="s">
        <v>13437</v>
      </c>
      <c t="s">
        <v>9434</v>
      </c>
      <c r="AL1404" t="s">
        <v>31196</v>
      </c>
      <c r="AN1404" t="s">
        <v>65451</v>
      </c>
      <c t="s">
        <v>53299</v>
      </c>
      <c t="s">
        <v>49842</v>
      </c>
      <c t="s">
        <v>3093</v>
      </c>
      <c t="s">
        <v>11344</v>
      </c>
    </row>
    <row>
      <c t="s">
        <v>17594</v>
      </c>
      <c t="s">
        <v>2879</v>
      </c>
      <c t="s">
        <v>7837</v>
      </c>
      <c t="s">
        <v>5711</v>
      </c>
      <c t="s">
        <v>472</v>
      </c>
      <c s="3">
        <v>8713</v>
      </c>
      <c s="3">
        <v>8713</v>
      </c>
      <c s="3">
        <v>4972</v>
      </c>
      <c>
        <v>0</v>
      </c>
      <c s="3">
        <v>0</v>
      </c>
      <c s="3">
        <v>316.66</v>
      </c>
      <c s="3">
        <v>8713</v>
      </c>
      <c r="O1405" s="1" t="str">
        <f ca="1">HYPERLINK("https://web.datatree.com/?/property?propertyId=32475159", "https://web.datatree.com/?/property?propertyId=32475159")</f>
        <v>https://web.datatree.com/?/property?propertyId=32475159</v>
      </c>
      <c r="Q1405" t="s">
        <v>316</v>
      </c>
      <c>
        <v>0.24</v>
      </c>
      <c t="s">
        <v>5471</v>
      </c>
      <c t="s">
        <v>20962</v>
      </c>
      <c t="s">
        <v>20881</v>
      </c>
      <c r="X1405" t="s">
        <v>43469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45863</v>
      </c>
      <c>
        <v>20811</v>
      </c>
      <c r="AI1405" t="s">
        <v>2238</v>
      </c>
      <c t="s">
        <v>835</v>
      </c>
      <c>
        <v>101</v>
      </c>
      <c t="s">
        <v>55393</v>
      </c>
      <c r="AN1405" t="s">
        <v>39289</v>
      </c>
      <c t="s">
        <v>60233</v>
      </c>
      <c t="s">
        <v>7361</v>
      </c>
      <c t="s">
        <v>3093</v>
      </c>
      <c t="s">
        <v>66571</v>
      </c>
    </row>
    <row>
      <c t="s">
        <v>17594</v>
      </c>
      <c t="s">
        <v>56415</v>
      </c>
      <c t="s">
        <v>19474</v>
      </c>
      <c t="s">
        <v>28915</v>
      </c>
      <c t="s">
        <v>13896</v>
      </c>
      <c s="3">
        <v>17100</v>
      </c>
      <c s="3">
        <v>17100</v>
      </c>
      <c s="3">
        <v>17100</v>
      </c>
      <c>
        <v>0</v>
      </c>
      <c s="3">
        <v>0</v>
      </c>
      <c s="3">
        <v>738.95</v>
      </c>
      <c s="3">
        <v>17100</v>
      </c>
      <c r="O1406" s="1" t="str">
        <f ca="1">HYPERLINK("https://web.datatree.com/?/property?propertyId=32476869", "https://web.datatree.com/?/property?propertyId=32476869")</f>
        <v>https://web.datatree.com/?/property?propertyId=32476869</v>
      </c>
      <c r="Q1406" t="s">
        <v>316</v>
      </c>
      <c>
        <v>0.344</v>
      </c>
      <c t="s">
        <v>6175</v>
      </c>
      <c t="s">
        <v>14743</v>
      </c>
      <c t="s">
        <v>29056</v>
      </c>
      <c t="s">
        <v>23990</v>
      </c>
      <c t="s">
        <v>29056</v>
      </c>
      <c t="s">
        <v>36200</v>
      </c>
      <c t="s">
        <v>14534</v>
      </c>
      <c t="s">
        <v>2517</v>
      </c>
      <c t="s">
        <v>39289</v>
      </c>
      <c>
        <v>33909</v>
      </c>
      <c t="s">
        <v>23079</v>
      </c>
      <c t="s">
        <v>48794</v>
      </c>
      <c t="s">
        <v>42574</v>
      </c>
      <c>
        <v>226</v>
      </c>
      <c r="AI1406" t="s">
        <v>33178</v>
      </c>
      <c t="s">
        <v>41372</v>
      </c>
      <c r="AL1406" t="s">
        <v>53706</v>
      </c>
      <c t="s">
        <v>53706</v>
      </c>
      <c t="s">
        <v>26016</v>
      </c>
      <c t="s">
        <v>54176</v>
      </c>
      <c t="s">
        <v>4797</v>
      </c>
      <c t="s">
        <v>3093</v>
      </c>
      <c t="s">
        <v>35752</v>
      </c>
    </row>
    <row>
      <c t="s">
        <v>17594</v>
      </c>
      <c t="s">
        <v>42260</v>
      </c>
      <c t="s">
        <v>10676</v>
      </c>
      <c t="s">
        <v>1826</v>
      </c>
      <c t="s">
        <v>41035</v>
      </c>
      <c s="3">
        <v>205093</v>
      </c>
      <c s="3">
        <v>199520</v>
      </c>
      <c s="3">
        <v>100855</v>
      </c>
      <c>
        <v>0</v>
      </c>
      <c s="3">
        <v>0</v>
      </c>
      <c s="3">
        <v>2089.24</v>
      </c>
      <c s="3">
        <v>205093</v>
      </c>
      <c r="O1407" s="1" t="str">
        <f ca="1">HYPERLINK("https://web.datatree.com/?/property?propertyId=32477554", "https://web.datatree.com/?/property?propertyId=32477554")</f>
        <v>https://web.datatree.com/?/property?propertyId=32477554</v>
      </c>
      <c r="Q1407" t="s">
        <v>316</v>
      </c>
      <c>
        <v>4</v>
      </c>
      <c t="s">
        <v>30497</v>
      </c>
      <c t="s">
        <v>19042</v>
      </c>
      <c t="s">
        <v>58771</v>
      </c>
      <c r="X1407" t="s">
        <v>49451</v>
      </c>
      <c t="s">
        <v>6684</v>
      </c>
      <c t="s">
        <v>65059</v>
      </c>
      <c t="s">
        <v>39289</v>
      </c>
      <c>
        <v>33905</v>
      </c>
      <c>
        <v>33905</v>
      </c>
      <c t="s">
        <v>48794</v>
      </c>
      <c t="s">
        <v>15212</v>
      </c>
      <c>
        <v>3900</v>
      </c>
      <c r="AI1407" t="s">
        <v>65052</v>
      </c>
      <c t="s">
        <v>45620</v>
      </c>
      <c r="AL1407" t="s">
        <v>65052</v>
      </c>
      <c t="s">
        <v>65052</v>
      </c>
      <c t="s">
        <v>39289</v>
      </c>
      <c t="s">
        <v>31558</v>
      </c>
      <c t="s">
        <v>18666</v>
      </c>
      <c t="s">
        <v>3093</v>
      </c>
      <c t="s">
        <v>24549</v>
      </c>
    </row>
    <row>
      <c t="s">
        <v>17594</v>
      </c>
      <c t="s">
        <v>65604</v>
      </c>
      <c t="s">
        <v>17000</v>
      </c>
      <c t="s">
        <v>38499</v>
      </c>
      <c t="s">
        <v>150</v>
      </c>
      <c s="3">
        <v>75074</v>
      </c>
      <c s="3">
        <v>67250</v>
      </c>
      <c s="3">
        <v>71594</v>
      </c>
      <c>
        <v>0</v>
      </c>
      <c s="3">
        <v>0</v>
      </c>
      <c s="3">
        <v>1096.12</v>
      </c>
      <c s="3">
        <v>75074</v>
      </c>
      <c r="O1408" s="1" t="str">
        <f ca="1">HYPERLINK("https://web.datatree.com/?/property?propertyId=32477782", "https://web.datatree.com/?/property?propertyId=32477782")</f>
        <v>https://web.datatree.com/?/property?propertyId=32477782</v>
      </c>
      <c r="Q1408" t="s">
        <v>316</v>
      </c>
      <c>
        <v>0.118</v>
      </c>
      <c t="s">
        <v>26492</v>
      </c>
      <c t="s">
        <v>25238</v>
      </c>
      <c t="s">
        <v>21997</v>
      </c>
      <c t="s">
        <v>43826</v>
      </c>
      <c t="s">
        <v>21997</v>
      </c>
      <c t="s">
        <v>2035</v>
      </c>
      <c t="s">
        <v>65698</v>
      </c>
      <c t="s">
        <v>65059</v>
      </c>
      <c t="s">
        <v>39289</v>
      </c>
      <c>
        <v>33905</v>
      </c>
      <c>
        <v>33905</v>
      </c>
      <c t="s">
        <v>48794</v>
      </c>
      <c t="s">
        <v>49320</v>
      </c>
      <c>
        <v>20</v>
      </c>
      <c r="AI1408" t="s">
        <v>27016</v>
      </c>
      <c t="s">
        <v>40123</v>
      </c>
      <c r="AL1408" t="s">
        <v>58604</v>
      </c>
      <c t="s">
        <v>40227</v>
      </c>
      <c t="s">
        <v>32657</v>
      </c>
      <c t="s">
        <v>54057</v>
      </c>
      <c t="s">
        <v>49695</v>
      </c>
      <c t="s">
        <v>3093</v>
      </c>
      <c t="s">
        <v>27150</v>
      </c>
    </row>
    <row>
      <c t="s">
        <v>17594</v>
      </c>
      <c t="s">
        <v>65374</v>
      </c>
      <c t="s">
        <v>55756</v>
      </c>
      <c t="s">
        <v>57492</v>
      </c>
      <c t="s">
        <v>42108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409" s="1" t="str">
        <f ca="1">HYPERLINK("https://web.datatree.com/?/property?propertyId=32478640", "https://web.datatree.com/?/property?propertyId=32478640")</f>
        <v>https://web.datatree.com/?/property?propertyId=32478640</v>
      </c>
      <c r="Q1409" t="s">
        <v>316</v>
      </c>
      <c>
        <v>0.23</v>
      </c>
      <c t="s">
        <v>45031</v>
      </c>
      <c t="s">
        <v>45883</v>
      </c>
      <c t="s">
        <v>12147</v>
      </c>
      <c t="s">
        <v>53973</v>
      </c>
      <c t="s">
        <v>12147</v>
      </c>
      <c t="s">
        <v>3882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56443</v>
      </c>
      <c>
        <v>955</v>
      </c>
      <c r="AI1409" t="s">
        <v>5375</v>
      </c>
      <c t="s">
        <v>40123</v>
      </c>
      <c r="AL1409" t="s">
        <v>9794</v>
      </c>
      <c r="AN1409" t="s">
        <v>65451</v>
      </c>
      <c t="s">
        <v>19393</v>
      </c>
      <c t="s">
        <v>5652</v>
      </c>
      <c t="s">
        <v>3093</v>
      </c>
      <c t="s">
        <v>47381</v>
      </c>
    </row>
    <row>
      <c t="s">
        <v>17594</v>
      </c>
      <c t="s">
        <v>13838</v>
      </c>
      <c t="s">
        <v>42919</v>
      </c>
      <c t="s">
        <v>39315</v>
      </c>
      <c t="s">
        <v>60868</v>
      </c>
      <c s="3">
        <v>17781</v>
      </c>
      <c s="3">
        <v>17781</v>
      </c>
      <c s="3">
        <v>8910</v>
      </c>
      <c>
        <v>0</v>
      </c>
      <c s="3">
        <v>0</v>
      </c>
      <c s="3">
        <v>566.28</v>
      </c>
      <c s="3">
        <v>17781</v>
      </c>
      <c r="O1410" s="1" t="str">
        <f ca="1">HYPERLINK("https://web.datatree.com/?/property?propertyId=32478759", "https://web.datatree.com/?/property?propertyId=32478759")</f>
        <v>https://web.datatree.com/?/property?propertyId=32478759</v>
      </c>
      <c r="Q1410" t="s">
        <v>316</v>
      </c>
      <c>
        <v>0.241</v>
      </c>
      <c t="s">
        <v>6175</v>
      </c>
      <c t="s">
        <v>54854</v>
      </c>
      <c t="s">
        <v>64286</v>
      </c>
      <c r="X1410" t="s">
        <v>63277</v>
      </c>
      <c t="s">
        <v>61144</v>
      </c>
      <c t="s">
        <v>2517</v>
      </c>
      <c t="s">
        <v>39289</v>
      </c>
      <c>
        <v>33909</v>
      </c>
      <c t="s">
        <v>49684</v>
      </c>
      <c t="s">
        <v>48794</v>
      </c>
      <c t="s">
        <v>61968</v>
      </c>
      <c>
        <v>6920</v>
      </c>
      <c r="AI1410" t="s">
        <v>11686</v>
      </c>
      <c t="s">
        <v>31192</v>
      </c>
      <c r="AL1410" t="s">
        <v>17634</v>
      </c>
      <c r="AN1410" t="s">
        <v>22275</v>
      </c>
      <c t="s">
        <v>24887</v>
      </c>
      <c t="s">
        <v>49977</v>
      </c>
      <c t="s">
        <v>3093</v>
      </c>
      <c t="s">
        <v>21757</v>
      </c>
    </row>
    <row>
      <c t="s">
        <v>17594</v>
      </c>
      <c t="s">
        <v>65777</v>
      </c>
      <c t="s">
        <v>24754</v>
      </c>
      <c t="s">
        <v>65078</v>
      </c>
      <c t="s">
        <v>37499</v>
      </c>
      <c s="3">
        <v>8760</v>
      </c>
      <c s="3">
        <v>8760</v>
      </c>
      <c s="3">
        <v>8760</v>
      </c>
      <c>
        <v>0</v>
      </c>
      <c s="3">
        <v>0</v>
      </c>
      <c s="3">
        <v>856.02</v>
      </c>
      <c s="3">
        <v>8760</v>
      </c>
      <c r="O1411" s="1" t="str">
        <f ca="1">HYPERLINK("https://web.datatree.com/?/property?propertyId=32478780", "https://web.datatree.com/?/property?propertyId=32478780")</f>
        <v>https://web.datatree.com/?/property?propertyId=32478780</v>
      </c>
      <c r="Q1411" t="s">
        <v>316</v>
      </c>
      <c>
        <v>0.359</v>
      </c>
      <c t="s">
        <v>22490</v>
      </c>
      <c t="s">
        <v>58703</v>
      </c>
      <c t="s">
        <v>30323</v>
      </c>
      <c r="X1411" t="s">
        <v>61888</v>
      </c>
      <c t="s">
        <v>53675</v>
      </c>
      <c t="s">
        <v>2517</v>
      </c>
      <c t="s">
        <v>39289</v>
      </c>
      <c>
        <v>33909</v>
      </c>
      <c t="s">
        <v>2968</v>
      </c>
      <c t="s">
        <v>48794</v>
      </c>
      <c t="s">
        <v>48006</v>
      </c>
      <c>
        <v>4505</v>
      </c>
      <c r="AI1411" t="s">
        <v>66</v>
      </c>
      <c t="s">
        <v>41372</v>
      </c>
      <c r="AL1411" t="s">
        <v>53927</v>
      </c>
      <c t="s">
        <v>53927</v>
      </c>
      <c t="s">
        <v>58733</v>
      </c>
      <c t="s">
        <v>36574</v>
      </c>
      <c t="s">
        <v>62701</v>
      </c>
      <c t="s">
        <v>3093</v>
      </c>
      <c t="s">
        <v>44537</v>
      </c>
    </row>
    <row>
      <c t="s">
        <v>17594</v>
      </c>
      <c t="s">
        <v>45777</v>
      </c>
      <c t="s">
        <v>16950</v>
      </c>
      <c t="s">
        <v>47619</v>
      </c>
      <c t="s">
        <v>14468</v>
      </c>
      <c s="3">
        <v>42063</v>
      </c>
      <c s="3">
        <v>42063</v>
      </c>
      <c s="3">
        <v>36015</v>
      </c>
      <c>
        <v>0</v>
      </c>
      <c s="3">
        <v>0</v>
      </c>
      <c s="3">
        <v>918.19</v>
      </c>
      <c s="3">
        <v>42063</v>
      </c>
      <c r="O1412" s="1" t="str">
        <f ca="1">HYPERLINK("https://web.datatree.com/?/property?propertyId=32478883", "https://web.datatree.com/?/property?propertyId=32478883")</f>
        <v>https://web.datatree.com/?/property?propertyId=32478883</v>
      </c>
      <c r="Q1412" t="s">
        <v>316</v>
      </c>
      <c>
        <v>0.23</v>
      </c>
      <c t="s">
        <v>22490</v>
      </c>
      <c t="s">
        <v>45390</v>
      </c>
      <c t="s">
        <v>64986</v>
      </c>
      <c t="s">
        <v>32886</v>
      </c>
      <c t="s">
        <v>45794</v>
      </c>
      <c t="s">
        <v>41431</v>
      </c>
      <c t="s">
        <v>34731</v>
      </c>
      <c t="s">
        <v>2517</v>
      </c>
      <c t="s">
        <v>39289</v>
      </c>
      <c>
        <v>33909</v>
      </c>
      <c t="s">
        <v>6667</v>
      </c>
      <c t="s">
        <v>48794</v>
      </c>
      <c t="s">
        <v>12324</v>
      </c>
      <c>
        <v>365</v>
      </c>
      <c r="AI1412" t="s">
        <v>25017</v>
      </c>
      <c t="s">
        <v>24900</v>
      </c>
      <c t="s">
        <v>6163</v>
      </c>
      <c t="s">
        <v>66562</v>
      </c>
      <c t="s">
        <v>66562</v>
      </c>
      <c t="s">
        <v>17134</v>
      </c>
      <c t="s">
        <v>2604</v>
      </c>
      <c t="s">
        <v>40645</v>
      </c>
      <c t="s">
        <v>3093</v>
      </c>
      <c t="s">
        <v>44987</v>
      </c>
    </row>
    <row>
      <c t="s">
        <v>17594</v>
      </c>
      <c t="s">
        <v>28679</v>
      </c>
      <c t="s">
        <v>47605</v>
      </c>
      <c t="s">
        <v>17413</v>
      </c>
      <c t="s">
        <v>62341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413" s="1" t="str">
        <f ca="1">HYPERLINK("https://web.datatree.com/?/property?propertyId=32478891", "https://web.datatree.com/?/property?propertyId=32478891")</f>
        <v>https://web.datatree.com/?/property?propertyId=32478891</v>
      </c>
      <c r="Q1413" t="s">
        <v>316</v>
      </c>
      <c>
        <v>0.23</v>
      </c>
      <c t="s">
        <v>6175</v>
      </c>
      <c t="s">
        <v>20379</v>
      </c>
      <c t="s">
        <v>9592</v>
      </c>
      <c r="X1413" t="s">
        <v>14109</v>
      </c>
      <c t="s">
        <v>47150</v>
      </c>
      <c t="s">
        <v>2517</v>
      </c>
      <c t="s">
        <v>39289</v>
      </c>
      <c>
        <v>33909</v>
      </c>
      <c t="s">
        <v>27608</v>
      </c>
      <c t="s">
        <v>48794</v>
      </c>
      <c t="s">
        <v>13469</v>
      </c>
      <c>
        <v>14405</v>
      </c>
      <c r="AI1413" t="s">
        <v>7281</v>
      </c>
      <c t="s">
        <v>45393</v>
      </c>
      <c r="AL1413" t="s">
        <v>55393</v>
      </c>
      <c r="AN1413" t="s">
        <v>39289</v>
      </c>
      <c t="s">
        <v>26759</v>
      </c>
      <c t="s">
        <v>32746</v>
      </c>
      <c t="s">
        <v>3093</v>
      </c>
      <c t="s">
        <v>65106</v>
      </c>
    </row>
    <row>
      <c t="s">
        <v>17594</v>
      </c>
      <c t="s">
        <v>50107</v>
      </c>
      <c t="s">
        <v>34264</v>
      </c>
      <c t="s">
        <v>2865</v>
      </c>
      <c t="s">
        <v>11719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414" s="1" t="str">
        <f ca="1">HYPERLINK("https://web.datatree.com/?/property?propertyId=32478915", "https://web.datatree.com/?/property?propertyId=32478915")</f>
        <v>https://web.datatree.com/?/property?propertyId=32478915</v>
      </c>
      <c r="Q1414" t="s">
        <v>316</v>
      </c>
      <c>
        <v>0.236</v>
      </c>
      <c t="s">
        <v>6175</v>
      </c>
      <c r="U1414" t="s">
        <v>34929</v>
      </c>
      <c r="W1414" t="s">
        <v>64798</v>
      </c>
      <c t="s">
        <v>31746</v>
      </c>
      <c t="s">
        <v>29190</v>
      </c>
      <c t="s">
        <v>2517</v>
      </c>
      <c t="s">
        <v>39289</v>
      </c>
      <c>
        <v>33909</v>
      </c>
      <c t="s">
        <v>37679</v>
      </c>
      <c t="s">
        <v>48794</v>
      </c>
      <c t="s">
        <v>48180</v>
      </c>
      <c>
        <v>3095</v>
      </c>
      <c r="AI1414" t="s">
        <v>6818</v>
      </c>
      <c r="AL1414" t="s">
        <v>43916</v>
      </c>
      <c t="s">
        <v>852</v>
      </c>
      <c t="s">
        <v>58733</v>
      </c>
      <c t="s">
        <v>35709</v>
      </c>
      <c t="s">
        <v>48436</v>
      </c>
      <c t="s">
        <v>3093</v>
      </c>
      <c t="s">
        <v>11240</v>
      </c>
    </row>
    <row>
      <c t="s">
        <v>17594</v>
      </c>
      <c t="s">
        <v>56448</v>
      </c>
      <c t="s">
        <v>48364</v>
      </c>
      <c t="s">
        <v>59703</v>
      </c>
      <c t="s">
        <v>67024</v>
      </c>
      <c s="3">
        <v>13500</v>
      </c>
      <c s="3">
        <v>13500</v>
      </c>
      <c s="3">
        <v>13500</v>
      </c>
      <c>
        <v>0</v>
      </c>
      <c s="3">
        <v>0</v>
      </c>
      <c r="L1415" s="3">
        <v>13500</v>
      </c>
      <c r="O1415" s="1" t="str">
        <f ca="1">HYPERLINK("https://web.datatree.com/?/property?propertyId=32479776", "https://web.datatree.com/?/property?propertyId=32479776")</f>
        <v>https://web.datatree.com/?/property?propertyId=32479776</v>
      </c>
      <c r="Q1415" t="s">
        <v>316</v>
      </c>
      <c>
        <v>0.077</v>
      </c>
      <c t="s">
        <v>56068</v>
      </c>
      <c t="s">
        <v>50331</v>
      </c>
      <c t="s">
        <v>61914</v>
      </c>
      <c t="s">
        <v>27874</v>
      </c>
      <c t="s">
        <v>61914</v>
      </c>
      <c t="s">
        <v>41401</v>
      </c>
      <c t="s">
        <v>36639</v>
      </c>
      <c t="s">
        <v>2517</v>
      </c>
      <c t="s">
        <v>39289</v>
      </c>
      <c>
        <v>33909</v>
      </c>
      <c t="s">
        <v>10196</v>
      </c>
      <c t="s">
        <v>48794</v>
      </c>
      <c t="s">
        <v>57156</v>
      </c>
      <c>
        <v>1422</v>
      </c>
      <c r="AI1415" t="s">
        <v>36639</v>
      </c>
      <c t="s">
        <v>40123</v>
      </c>
      <c r="AL1415" t="s">
        <v>19705</v>
      </c>
      <c t="s">
        <v>19705</v>
      </c>
      <c t="s">
        <v>56163</v>
      </c>
      <c t="s">
        <v>43462</v>
      </c>
      <c t="s">
        <v>45980</v>
      </c>
      <c t="s">
        <v>3093</v>
      </c>
      <c t="s">
        <v>57156</v>
      </c>
    </row>
    <row>
      <c t="s">
        <v>17594</v>
      </c>
      <c t="s">
        <v>32000</v>
      </c>
      <c t="s">
        <v>11069</v>
      </c>
      <c t="s">
        <v>13783</v>
      </c>
      <c t="s">
        <v>4108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1416" s="1" t="str">
        <f ca="1">HYPERLINK("https://web.datatree.com/?/property?propertyId=32480078", "https://web.datatree.com/?/property?propertyId=32480078")</f>
        <v>https://web.datatree.com/?/property?propertyId=32480078</v>
      </c>
      <c r="Q1416" t="s">
        <v>316</v>
      </c>
      <c>
        <v>0.23</v>
      </c>
      <c t="s">
        <v>22490</v>
      </c>
      <c t="s">
        <v>40965</v>
      </c>
      <c t="s">
        <v>64878</v>
      </c>
      <c t="s">
        <v>31064</v>
      </c>
      <c t="s">
        <v>64878</v>
      </c>
      <c t="s">
        <v>45557</v>
      </c>
      <c t="s">
        <v>47150</v>
      </c>
      <c t="s">
        <v>2517</v>
      </c>
      <c t="s">
        <v>39289</v>
      </c>
      <c>
        <v>33909</v>
      </c>
      <c t="s">
        <v>23670</v>
      </c>
      <c t="s">
        <v>48794</v>
      </c>
      <c t="s">
        <v>53835</v>
      </c>
      <c>
        <v>1</v>
      </c>
      <c r="AI1416" t="s">
        <v>60839</v>
      </c>
      <c t="s">
        <v>31192</v>
      </c>
      <c r="AL1416" t="s">
        <v>42410</v>
      </c>
      <c r="AN1416" t="s">
        <v>26016</v>
      </c>
      <c t="s">
        <v>41394</v>
      </c>
      <c t="s">
        <v>61410</v>
      </c>
      <c t="s">
        <v>3093</v>
      </c>
      <c t="s">
        <v>2189</v>
      </c>
    </row>
    <row>
      <c t="s">
        <v>17594</v>
      </c>
      <c t="s">
        <v>12906</v>
      </c>
      <c t="s">
        <v>22953</v>
      </c>
      <c t="s">
        <v>59534</v>
      </c>
      <c t="s">
        <v>10370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417" s="1" t="str">
        <f ca="1">HYPERLINK("https://web.datatree.com/?/property?propertyId=32480106", "https://web.datatree.com/?/property?propertyId=32480106")</f>
        <v>https://web.datatree.com/?/property?propertyId=32480106</v>
      </c>
      <c r="Q1417" t="s">
        <v>316</v>
      </c>
      <c>
        <v>0.23</v>
      </c>
      <c t="s">
        <v>6175</v>
      </c>
      <c t="s">
        <v>44319</v>
      </c>
      <c t="s">
        <v>8722</v>
      </c>
      <c r="X1417" t="s">
        <v>29051</v>
      </c>
      <c t="s">
        <v>15510</v>
      </c>
      <c t="s">
        <v>2517</v>
      </c>
      <c t="s">
        <v>39289</v>
      </c>
      <c>
        <v>33909</v>
      </c>
      <c t="s">
        <v>41070</v>
      </c>
      <c t="s">
        <v>48794</v>
      </c>
      <c t="s">
        <v>45800</v>
      </c>
      <c>
        <v>41</v>
      </c>
      <c r="AI1417" t="s">
        <v>6875</v>
      </c>
      <c t="s">
        <v>31192</v>
      </c>
      <c r="AL1417" t="s">
        <v>18908</v>
      </c>
      <c r="AN1417" t="s">
        <v>58733</v>
      </c>
      <c t="s">
        <v>66748</v>
      </c>
      <c t="s">
        <v>12241</v>
      </c>
      <c t="s">
        <v>3093</v>
      </c>
      <c t="s">
        <v>11313</v>
      </c>
    </row>
    <row>
      <c t="s">
        <v>17594</v>
      </c>
      <c t="s">
        <v>55974</v>
      </c>
      <c t="s">
        <v>33562</v>
      </c>
      <c t="s">
        <v>8592</v>
      </c>
      <c t="s">
        <v>16445</v>
      </c>
      <c s="3">
        <v>41344</v>
      </c>
      <c s="3">
        <v>41344</v>
      </c>
      <c s="3">
        <v>29161</v>
      </c>
      <c>
        <v>0</v>
      </c>
      <c s="3">
        <v>0</v>
      </c>
      <c s="3">
        <v>941.37</v>
      </c>
      <c s="3">
        <v>41344</v>
      </c>
      <c r="O1418" s="1" t="str">
        <f ca="1">HYPERLINK("https://web.datatree.com/?/property?propertyId=32480352", "https://web.datatree.com/?/property?propertyId=32480352")</f>
        <v>https://web.datatree.com/?/property?propertyId=32480352</v>
      </c>
      <c r="Q1418" t="s">
        <v>316</v>
      </c>
      <c>
        <v>0.23</v>
      </c>
      <c t="s">
        <v>6175</v>
      </c>
      <c t="s">
        <v>13860</v>
      </c>
      <c t="s">
        <v>30671</v>
      </c>
      <c t="s">
        <v>27351</v>
      </c>
      <c t="s">
        <v>30671</v>
      </c>
      <c t="s">
        <v>26022</v>
      </c>
      <c t="s">
        <v>55273</v>
      </c>
      <c t="s">
        <v>2517</v>
      </c>
      <c t="s">
        <v>39289</v>
      </c>
      <c>
        <v>33904</v>
      </c>
      <c t="s">
        <v>10889</v>
      </c>
      <c t="s">
        <v>48794</v>
      </c>
      <c t="s">
        <v>45610</v>
      </c>
      <c>
        <v>11614</v>
      </c>
      <c r="AI1418" t="s">
        <v>34731</v>
      </c>
      <c t="s">
        <v>45393</v>
      </c>
      <c r="AL1418" t="s">
        <v>58657</v>
      </c>
      <c t="s">
        <v>58657</v>
      </c>
      <c t="s">
        <v>19878</v>
      </c>
      <c t="s">
        <v>22684</v>
      </c>
      <c t="s">
        <v>44428</v>
      </c>
      <c t="s">
        <v>3093</v>
      </c>
      <c t="s">
        <v>52946</v>
      </c>
    </row>
    <row>
      <c t="s">
        <v>17594</v>
      </c>
      <c t="s">
        <v>52408</v>
      </c>
      <c t="s">
        <v>61870</v>
      </c>
      <c t="s">
        <v>32271</v>
      </c>
      <c t="s">
        <v>698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419" s="1" t="str">
        <f ca="1">HYPERLINK("https://web.datatree.com/?/property?propertyId=32481943", "https://web.datatree.com/?/property?propertyId=32481943")</f>
        <v>https://web.datatree.com/?/property?propertyId=32481943</v>
      </c>
      <c r="Q1419" t="s">
        <v>316</v>
      </c>
      <c>
        <v>0.24</v>
      </c>
      <c t="s">
        <v>6175</v>
      </c>
      <c t="s">
        <v>53533</v>
      </c>
      <c t="s">
        <v>24508</v>
      </c>
      <c r="X1419" t="s">
        <v>53424</v>
      </c>
      <c t="s">
        <v>29190</v>
      </c>
      <c t="s">
        <v>2517</v>
      </c>
      <c t="s">
        <v>39289</v>
      </c>
      <c>
        <v>33909</v>
      </c>
      <c t="s">
        <v>58212</v>
      </c>
      <c t="s">
        <v>48794</v>
      </c>
      <c t="s">
        <v>27137</v>
      </c>
      <c>
        <v>110</v>
      </c>
      <c r="AI1419" t="s">
        <v>4984</v>
      </c>
      <c t="s">
        <v>24900</v>
      </c>
      <c r="AL1419" t="s">
        <v>62380</v>
      </c>
      <c t="s">
        <v>62380</v>
      </c>
      <c t="s">
        <v>22275</v>
      </c>
      <c t="s">
        <v>61022</v>
      </c>
      <c t="s">
        <v>62830</v>
      </c>
      <c t="s">
        <v>3093</v>
      </c>
      <c t="s">
        <v>33365</v>
      </c>
    </row>
    <row>
      <c t="s">
        <v>17594</v>
      </c>
      <c t="s">
        <v>26284</v>
      </c>
      <c t="s">
        <v>55502</v>
      </c>
      <c t="s">
        <v>35037</v>
      </c>
      <c t="s">
        <v>55426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575.6</v>
      </c>
      <c s="1" t="str">
        <f ca="1">HYPERLINK("https://web.datatree.com/?/property?propertyId=32481966", "https://web.datatree.com/?/property?propertyId=32481966")</f>
        <v>https://web.datatree.com/?/property?propertyId=32481966</v>
      </c>
      <c r="Q1420" t="s">
        <v>316</v>
      </c>
      <c>
        <v>0.23</v>
      </c>
      <c t="s">
        <v>6175</v>
      </c>
      <c t="s">
        <v>53465</v>
      </c>
      <c t="s">
        <v>51891</v>
      </c>
      <c r="X1420" t="s">
        <v>47213</v>
      </c>
      <c t="s">
        <v>11985</v>
      </c>
      <c t="s">
        <v>2517</v>
      </c>
      <c t="s">
        <v>39289</v>
      </c>
      <c>
        <v>33909</v>
      </c>
      <c t="s">
        <v>43164</v>
      </c>
      <c t="s">
        <v>48794</v>
      </c>
      <c t="s">
        <v>14001</v>
      </c>
      <c>
        <v>1136</v>
      </c>
      <c r="AI1420" t="s">
        <v>1637</v>
      </c>
      <c t="s">
        <v>31192</v>
      </c>
      <c r="AL1420" t="s">
        <v>67236</v>
      </c>
      <c r="AN1420" t="s">
        <v>51087</v>
      </c>
      <c t="s">
        <v>21428</v>
      </c>
      <c t="s">
        <v>55873</v>
      </c>
      <c t="s">
        <v>3093</v>
      </c>
      <c t="s">
        <v>21166</v>
      </c>
    </row>
    <row>
      <c t="s">
        <v>17594</v>
      </c>
      <c t="s">
        <v>22865</v>
      </c>
      <c t="s">
        <v>2450</v>
      </c>
      <c t="s">
        <v>50080</v>
      </c>
      <c t="s">
        <v>2779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1421" s="1" t="str">
        <f ca="1">HYPERLINK("https://web.datatree.com/?/property?propertyId=32482652", "https://web.datatree.com/?/property?propertyId=32482652")</f>
        <v>https://web.datatree.com/?/property?propertyId=32482652</v>
      </c>
      <c r="Q1421" t="s">
        <v>316</v>
      </c>
      <c>
        <v>0.259</v>
      </c>
      <c t="s">
        <v>5471</v>
      </c>
      <c t="s">
        <v>23540</v>
      </c>
      <c t="s">
        <v>3971</v>
      </c>
      <c t="s">
        <v>12670</v>
      </c>
      <c t="s">
        <v>3971</v>
      </c>
      <c t="s">
        <v>23337</v>
      </c>
      <c t="s">
        <v>17915</v>
      </c>
      <c t="s">
        <v>65059</v>
      </c>
      <c t="s">
        <v>39289</v>
      </c>
      <c>
        <v>33905</v>
      </c>
      <c t="s">
        <v>55312</v>
      </c>
      <c t="s">
        <v>48794</v>
      </c>
      <c t="s">
        <v>66943</v>
      </c>
      <c>
        <v>2474</v>
      </c>
      <c r="AI1421" t="s">
        <v>61865</v>
      </c>
      <c t="s">
        <v>45393</v>
      </c>
      <c r="AL1421" t="s">
        <v>8109</v>
      </c>
      <c r="AN1421" t="s">
        <v>50917</v>
      </c>
      <c t="s">
        <v>24718</v>
      </c>
      <c t="s">
        <v>26242</v>
      </c>
      <c t="s">
        <v>3093</v>
      </c>
      <c t="s">
        <v>32446</v>
      </c>
    </row>
    <row>
      <c t="s">
        <v>17594</v>
      </c>
      <c t="s">
        <v>62335</v>
      </c>
      <c t="s">
        <v>59360</v>
      </c>
      <c t="s">
        <v>58628</v>
      </c>
      <c t="s">
        <v>30445</v>
      </c>
      <c s="3">
        <v>20900</v>
      </c>
      <c s="3">
        <v>20900</v>
      </c>
      <c s="3">
        <v>10450</v>
      </c>
      <c>
        <v>0</v>
      </c>
      <c s="3">
        <v>0</v>
      </c>
      <c s="3">
        <v>601.61</v>
      </c>
      <c s="3">
        <v>20900</v>
      </c>
      <c r="O1422" s="1" t="str">
        <f ca="1">HYPERLINK("https://web.datatree.com/?/property?propertyId=32483184", "https://web.datatree.com/?/property?propertyId=32483184")</f>
        <v>https://web.datatree.com/?/property?propertyId=32483184</v>
      </c>
      <c r="Q1422" t="s">
        <v>316</v>
      </c>
      <c>
        <v>0.244</v>
      </c>
      <c t="s">
        <v>22490</v>
      </c>
      <c t="s">
        <v>55328</v>
      </c>
      <c t="s">
        <v>24508</v>
      </c>
      <c r="X1422" t="s">
        <v>65847</v>
      </c>
      <c t="s">
        <v>23050</v>
      </c>
      <c t="s">
        <v>2517</v>
      </c>
      <c t="s">
        <v>39289</v>
      </c>
      <c>
        <v>33909</v>
      </c>
      <c t="s">
        <v>42248</v>
      </c>
      <c t="s">
        <v>48794</v>
      </c>
      <c t="s">
        <v>12482</v>
      </c>
      <c>
        <v>5527</v>
      </c>
      <c r="AI1422" t="s">
        <v>64718</v>
      </c>
      <c t="s">
        <v>63316</v>
      </c>
      <c r="AL1422" t="s">
        <v>36080</v>
      </c>
      <c t="s">
        <v>34029</v>
      </c>
      <c t="s">
        <v>39289</v>
      </c>
      <c t="s">
        <v>13627</v>
      </c>
      <c t="s">
        <v>62845</v>
      </c>
      <c t="s">
        <v>3093</v>
      </c>
      <c t="s">
        <v>54354</v>
      </c>
    </row>
    <row>
      <c t="s">
        <v>17594</v>
      </c>
      <c t="s">
        <v>66871</v>
      </c>
      <c t="s">
        <v>32141</v>
      </c>
      <c t="s">
        <v>28185</v>
      </c>
      <c t="s">
        <v>61868</v>
      </c>
      <c s="3">
        <v>8760</v>
      </c>
      <c s="3">
        <v>8760</v>
      </c>
      <c s="3">
        <v>8760</v>
      </c>
      <c>
        <v>0</v>
      </c>
      <c s="3">
        <v>0</v>
      </c>
      <c s="3">
        <v>877.6</v>
      </c>
      <c s="3">
        <v>8760</v>
      </c>
      <c r="O1423" s="1" t="str">
        <f ca="1">HYPERLINK("https://web.datatree.com/?/property?propertyId=32483467", "https://web.datatree.com/?/property?propertyId=32483467")</f>
        <v>https://web.datatree.com/?/property?propertyId=32483467</v>
      </c>
      <c r="Q1423" t="s">
        <v>316</v>
      </c>
      <c>
        <v>0.384</v>
      </c>
      <c t="s">
        <v>22490</v>
      </c>
      <c r="U1423" t="s">
        <v>47528</v>
      </c>
      <c r="W1423" t="s">
        <v>1048</v>
      </c>
      <c t="s">
        <v>4409</v>
      </c>
      <c t="s">
        <v>24999</v>
      </c>
      <c t="s">
        <v>2517</v>
      </c>
      <c t="s">
        <v>39289</v>
      </c>
      <c>
        <v>33909</v>
      </c>
      <c t="s">
        <v>39002</v>
      </c>
      <c t="s">
        <v>48794</v>
      </c>
      <c t="s">
        <v>34282</v>
      </c>
      <c>
        <v>1685</v>
      </c>
      <c r="AI1423" t="s">
        <v>49717</v>
      </c>
      <c t="s">
        <v>45620</v>
      </c>
      <c r="AL1423" t="s">
        <v>53927</v>
      </c>
      <c t="s">
        <v>53927</v>
      </c>
      <c t="s">
        <v>19878</v>
      </c>
      <c t="s">
        <v>27562</v>
      </c>
      <c t="s">
        <v>60160</v>
      </c>
      <c t="s">
        <v>3093</v>
      </c>
      <c t="s">
        <v>30762</v>
      </c>
    </row>
    <row>
      <c t="s">
        <v>17594</v>
      </c>
      <c t="s">
        <v>45942</v>
      </c>
      <c t="s">
        <v>39875</v>
      </c>
      <c t="s">
        <v>7265</v>
      </c>
      <c t="s">
        <v>42625</v>
      </c>
      <c s="3">
        <v>17131</v>
      </c>
      <c s="3">
        <v>17131</v>
      </c>
      <c s="3">
        <v>9075</v>
      </c>
      <c>
        <v>0</v>
      </c>
      <c s="3">
        <v>0</v>
      </c>
      <c s="3">
        <v>557.94</v>
      </c>
      <c s="3">
        <v>17131</v>
      </c>
      <c r="O1424" s="1" t="str">
        <f ca="1">HYPERLINK("https://web.datatree.com/?/property?propertyId=32483549", "https://web.datatree.com/?/property?propertyId=32483549")</f>
        <v>https://web.datatree.com/?/property?propertyId=32483549</v>
      </c>
      <c r="Q1424" t="s">
        <v>316</v>
      </c>
      <c>
        <v>0.241</v>
      </c>
      <c t="s">
        <v>42044</v>
      </c>
      <c t="s">
        <v>52701</v>
      </c>
      <c t="s">
        <v>32648</v>
      </c>
      <c r="X1424" t="s">
        <v>17102</v>
      </c>
      <c t="s">
        <v>61850</v>
      </c>
      <c t="s">
        <v>2517</v>
      </c>
      <c t="s">
        <v>39289</v>
      </c>
      <c>
        <v>33909</v>
      </c>
      <c t="s">
        <v>53830</v>
      </c>
      <c t="s">
        <v>48794</v>
      </c>
      <c t="s">
        <v>56737</v>
      </c>
      <c>
        <v>1203</v>
      </c>
      <c r="AI1424" t="s">
        <v>16338</v>
      </c>
      <c t="s">
        <v>24900</v>
      </c>
      <c r="AL1424" t="s">
        <v>28168</v>
      </c>
      <c r="AN1424" t="s">
        <v>26016</v>
      </c>
      <c t="s">
        <v>52462</v>
      </c>
      <c t="s">
        <v>21201</v>
      </c>
      <c t="s">
        <v>3093</v>
      </c>
      <c t="s">
        <v>67073</v>
      </c>
    </row>
    <row>
      <c t="s">
        <v>17594</v>
      </c>
      <c t="s">
        <v>39381</v>
      </c>
      <c t="s">
        <v>46420</v>
      </c>
      <c t="s">
        <v>2639</v>
      </c>
      <c t="s">
        <v>32820</v>
      </c>
      <c s="3">
        <v>20002</v>
      </c>
      <c s="3">
        <v>20002</v>
      </c>
      <c s="3">
        <v>9339</v>
      </c>
      <c>
        <v>0</v>
      </c>
      <c s="3">
        <v>0</v>
      </c>
      <c s="3">
        <v>671.29</v>
      </c>
      <c s="3">
        <v>20002</v>
      </c>
      <c r="O1425" s="1" t="str">
        <f ca="1">HYPERLINK("https://web.datatree.com/?/property?propertyId=32483590", "https://web.datatree.com/?/property?propertyId=32483590")</f>
        <v>https://web.datatree.com/?/property?propertyId=32483590</v>
      </c>
      <c r="Q1425" t="s">
        <v>316</v>
      </c>
      <c>
        <v>0.23</v>
      </c>
      <c t="s">
        <v>65422</v>
      </c>
      <c t="s">
        <v>40902</v>
      </c>
      <c t="s">
        <v>39982</v>
      </c>
      <c r="X1425" t="s">
        <v>32638</v>
      </c>
      <c t="s">
        <v>17022</v>
      </c>
      <c t="s">
        <v>2517</v>
      </c>
      <c t="s">
        <v>39289</v>
      </c>
      <c>
        <v>33909</v>
      </c>
      <c t="s">
        <v>43310</v>
      </c>
      <c t="s">
        <v>48794</v>
      </c>
      <c t="s">
        <v>13451</v>
      </c>
      <c>
        <v>8200</v>
      </c>
      <c r="AH1425" t="s">
        <v>63047</v>
      </c>
      <c t="s">
        <v>65641</v>
      </c>
      <c r="AK1425" t="s">
        <v>39201</v>
      </c>
      <c t="s">
        <v>40928</v>
      </c>
      <c r="AN1425" t="s">
        <v>26016</v>
      </c>
      <c t="s">
        <v>38936</v>
      </c>
      <c t="s">
        <v>52393</v>
      </c>
      <c t="s">
        <v>3093</v>
      </c>
      <c t="s">
        <v>23389</v>
      </c>
    </row>
    <row>
      <c t="s">
        <v>17594</v>
      </c>
      <c t="s">
        <v>42999</v>
      </c>
      <c t="s">
        <v>59556</v>
      </c>
      <c t="s">
        <v>11501</v>
      </c>
      <c t="s">
        <v>26967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2020</v>
      </c>
      <c>
        <v>1700.76</v>
      </c>
      <c s="1" t="str">
        <f ca="1">HYPERLINK("https://web.datatree.com/?/property?propertyId=32485818", "https://web.datatree.com/?/property?propertyId=32485818")</f>
        <v>https://web.datatree.com/?/property?propertyId=32485818</v>
      </c>
      <c r="Q1426" t="s">
        <v>316</v>
      </c>
      <c>
        <v>0.23</v>
      </c>
      <c t="s">
        <v>6175</v>
      </c>
      <c r="U1426" t="s">
        <v>58396</v>
      </c>
      <c t="s">
        <v>20069</v>
      </c>
      <c t="s">
        <v>7501</v>
      </c>
      <c t="s">
        <v>38292</v>
      </c>
      <c t="s">
        <v>33179</v>
      </c>
      <c t="s">
        <v>2517</v>
      </c>
      <c t="s">
        <v>39289</v>
      </c>
      <c>
        <v>33909</v>
      </c>
      <c t="s">
        <v>25804</v>
      </c>
      <c t="s">
        <v>48794</v>
      </c>
      <c t="s">
        <v>28401</v>
      </c>
      <c>
        <v>7770</v>
      </c>
      <c r="AI1426" t="s">
        <v>33694</v>
      </c>
      <c t="s">
        <v>55842</v>
      </c>
      <c r="AL1426" t="s">
        <v>57424</v>
      </c>
      <c r="AN1426" t="s">
        <v>17134</v>
      </c>
      <c t="s">
        <v>28296</v>
      </c>
      <c t="s">
        <v>44428</v>
      </c>
      <c t="s">
        <v>3093</v>
      </c>
      <c t="s">
        <v>14485</v>
      </c>
    </row>
    <row>
      <c t="s">
        <v>17594</v>
      </c>
      <c t="s">
        <v>37959</v>
      </c>
      <c t="s">
        <v>13793</v>
      </c>
      <c t="s">
        <v>66611</v>
      </c>
      <c t="s">
        <v>7291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427" s="1" t="str">
        <f ca="1">HYPERLINK("https://web.datatree.com/?/property?propertyId=32486325", "https://web.datatree.com/?/property?propertyId=32486325")</f>
        <v>https://web.datatree.com/?/property?propertyId=32486325</v>
      </c>
      <c r="Q1427" t="s">
        <v>316</v>
      </c>
      <c>
        <v>0.23</v>
      </c>
      <c t="s">
        <v>45031</v>
      </c>
      <c t="s">
        <v>44745</v>
      </c>
      <c t="s">
        <v>32853</v>
      </c>
      <c r="X1427" t="s">
        <v>37515</v>
      </c>
      <c t="s">
        <v>46469</v>
      </c>
      <c t="s">
        <v>2517</v>
      </c>
      <c t="s">
        <v>39289</v>
      </c>
      <c>
        <v>33909</v>
      </c>
      <c t="s">
        <v>27796</v>
      </c>
      <c t="s">
        <v>48794</v>
      </c>
      <c t="s">
        <v>33416</v>
      </c>
      <c>
        <v>249</v>
      </c>
      <c r="AI1427" t="s">
        <v>20105</v>
      </c>
      <c r="AL1427" t="s">
        <v>27097</v>
      </c>
      <c r="AN1427" t="s">
        <v>32840</v>
      </c>
      <c r="AR1427" t="s">
        <v>3739</v>
      </c>
    </row>
    <row>
      <c t="s">
        <v>17594</v>
      </c>
      <c t="s">
        <v>55305</v>
      </c>
      <c t="s">
        <v>31774</v>
      </c>
      <c t="s">
        <v>19252</v>
      </c>
      <c t="s">
        <v>1097</v>
      </c>
      <c s="3">
        <v>95101</v>
      </c>
      <c s="3">
        <v>86250</v>
      </c>
      <c s="3">
        <v>80672</v>
      </c>
      <c>
        <v>0</v>
      </c>
      <c s="3">
        <v>0</v>
      </c>
      <c s="3">
        <v>1292.88</v>
      </c>
      <c s="3">
        <v>95101</v>
      </c>
      <c r="O1428" s="1" t="str">
        <f ca="1">HYPERLINK("https://web.datatree.com/?/property?propertyId=32486373", "https://web.datatree.com/?/property?propertyId=32486373")</f>
        <v>https://web.datatree.com/?/property?propertyId=32486373</v>
      </c>
      <c r="Q1428" t="s">
        <v>316</v>
      </c>
      <c>
        <v>0.111</v>
      </c>
      <c t="s">
        <v>26492</v>
      </c>
      <c t="s">
        <v>54943</v>
      </c>
      <c t="s">
        <v>44857</v>
      </c>
      <c t="s">
        <v>6153</v>
      </c>
      <c t="s">
        <v>44857</v>
      </c>
      <c t="s">
        <v>59483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21004</v>
      </c>
      <c>
        <v>40</v>
      </c>
      <c r="AI1428" t="s">
        <v>58045</v>
      </c>
      <c t="s">
        <v>31192</v>
      </c>
      <c>
        <v>1</v>
      </c>
      <c t="s">
        <v>59611</v>
      </c>
      <c t="s">
        <v>40227</v>
      </c>
      <c t="s">
        <v>50917</v>
      </c>
      <c t="s">
        <v>48481</v>
      </c>
      <c t="s">
        <v>21054</v>
      </c>
      <c t="s">
        <v>3093</v>
      </c>
      <c t="s">
        <v>304</v>
      </c>
    </row>
    <row>
      <c t="s">
        <v>17594</v>
      </c>
      <c t="s">
        <v>23777</v>
      </c>
      <c t="s">
        <v>52904</v>
      </c>
      <c t="s">
        <v>42038</v>
      </c>
      <c t="s">
        <v>34904</v>
      </c>
      <c s="3">
        <v>30562</v>
      </c>
      <c s="3">
        <v>30562</v>
      </c>
      <c s="3">
        <v>13080</v>
      </c>
      <c>
        <v>0</v>
      </c>
      <c s="3">
        <v>0</v>
      </c>
      <c s="3">
        <v>772.6</v>
      </c>
      <c s="3">
        <v>30562</v>
      </c>
      <c r="O1429" s="1" t="str">
        <f ca="1">HYPERLINK("https://web.datatree.com/?/property?propertyId=32486500", "https://web.datatree.com/?/property?propertyId=32486500")</f>
        <v>https://web.datatree.com/?/property?propertyId=32486500</v>
      </c>
      <c r="Q1429" t="s">
        <v>316</v>
      </c>
      <c>
        <v>0.344</v>
      </c>
      <c t="s">
        <v>22490</v>
      </c>
      <c t="s">
        <v>21668</v>
      </c>
      <c t="s">
        <v>46400</v>
      </c>
      <c t="s">
        <v>27204</v>
      </c>
      <c t="s">
        <v>57107</v>
      </c>
      <c t="s">
        <v>26129</v>
      </c>
      <c t="s">
        <v>25017</v>
      </c>
      <c t="s">
        <v>2517</v>
      </c>
      <c t="s">
        <v>39289</v>
      </c>
      <c>
        <v>33909</v>
      </c>
      <c t="s">
        <v>34289</v>
      </c>
      <c t="s">
        <v>48794</v>
      </c>
      <c t="s">
        <v>58337</v>
      </c>
      <c>
        <v>15</v>
      </c>
      <c r="AI1429" t="s">
        <v>36579</v>
      </c>
      <c t="s">
        <v>39017</v>
      </c>
      <c r="AL1429" t="s">
        <v>4705</v>
      </c>
      <c r="AN1429" t="s">
        <v>58811</v>
      </c>
      <c t="s">
        <v>45267</v>
      </c>
      <c r="AQ1429" t="s">
        <v>27814</v>
      </c>
      <c t="s">
        <v>2401</v>
      </c>
    </row>
    <row>
      <c t="s">
        <v>17594</v>
      </c>
      <c t="s">
        <v>5197</v>
      </c>
      <c t="s">
        <v>56110</v>
      </c>
      <c t="s">
        <v>16242</v>
      </c>
      <c t="s">
        <v>37789</v>
      </c>
      <c s="3">
        <v>8000</v>
      </c>
      <c s="3">
        <v>8000</v>
      </c>
      <c s="3">
        <v>8000</v>
      </c>
      <c>
        <v>0</v>
      </c>
      <c s="3">
        <v>0</v>
      </c>
      <c s="3">
        <v>634.29</v>
      </c>
      <c s="3">
        <v>8000</v>
      </c>
      <c r="O1430" s="1" t="str">
        <f ca="1">HYPERLINK("https://web.datatree.com/?/property?propertyId=32487106", "https://web.datatree.com/?/property?propertyId=32487106")</f>
        <v>https://web.datatree.com/?/property?propertyId=32487106</v>
      </c>
      <c r="Q1430" t="s">
        <v>316</v>
      </c>
      <c>
        <v>0.23</v>
      </c>
      <c t="s">
        <v>22490</v>
      </c>
      <c t="s">
        <v>17156</v>
      </c>
      <c t="s">
        <v>57154</v>
      </c>
      <c t="s">
        <v>66789</v>
      </c>
      <c t="s">
        <v>49317</v>
      </c>
      <c t="s">
        <v>64253</v>
      </c>
      <c t="s">
        <v>38550</v>
      </c>
      <c t="s">
        <v>2517</v>
      </c>
      <c t="s">
        <v>39289</v>
      </c>
      <c>
        <v>33909</v>
      </c>
      <c t="s">
        <v>47835</v>
      </c>
      <c t="s">
        <v>48794</v>
      </c>
      <c t="s">
        <v>55026</v>
      </c>
      <c>
        <v>163</v>
      </c>
      <c r="AI1430" t="s">
        <v>25402</v>
      </c>
      <c t="s">
        <v>45393</v>
      </c>
      <c r="AL1430" t="s">
        <v>1392</v>
      </c>
      <c t="s">
        <v>46764</v>
      </c>
      <c t="s">
        <v>27747</v>
      </c>
      <c t="s">
        <v>40719</v>
      </c>
      <c t="s">
        <v>31626</v>
      </c>
      <c t="s">
        <v>3093</v>
      </c>
      <c t="s">
        <v>64275</v>
      </c>
    </row>
    <row>
      <c t="s">
        <v>17594</v>
      </c>
      <c t="s">
        <v>23491</v>
      </c>
      <c t="s">
        <v>60966</v>
      </c>
      <c t="s">
        <v>48705</v>
      </c>
      <c t="s">
        <v>34756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1431" s="1" t="str">
        <f ca="1">HYPERLINK("https://web.datatree.com/?/property?propertyId=32487141", "https://web.datatree.com/?/property?propertyId=32487141")</f>
        <v>https://web.datatree.com/?/property?propertyId=32487141</v>
      </c>
      <c r="Q1431" t="s">
        <v>316</v>
      </c>
      <c>
        <v>0.244</v>
      </c>
      <c t="s">
        <v>6175</v>
      </c>
      <c t="s">
        <v>39139</v>
      </c>
      <c t="s">
        <v>29553</v>
      </c>
      <c t="s">
        <v>21668</v>
      </c>
      <c t="s">
        <v>29553</v>
      </c>
      <c t="s">
        <v>27545</v>
      </c>
      <c t="s">
        <v>18679</v>
      </c>
      <c t="s">
        <v>2517</v>
      </c>
      <c t="s">
        <v>39289</v>
      </c>
      <c>
        <v>33909</v>
      </c>
      <c t="s">
        <v>25376</v>
      </c>
      <c t="s">
        <v>48794</v>
      </c>
      <c t="s">
        <v>3669</v>
      </c>
      <c>
        <v>1281</v>
      </c>
      <c r="AI1431" t="s">
        <v>67026</v>
      </c>
      <c t="s">
        <v>45620</v>
      </c>
      <c r="AL1431" t="s">
        <v>36635</v>
      </c>
      <c r="AN1431" t="s">
        <v>22275</v>
      </c>
      <c t="s">
        <v>14452</v>
      </c>
      <c t="s">
        <v>22455</v>
      </c>
      <c t="s">
        <v>3093</v>
      </c>
      <c t="s">
        <v>19498</v>
      </c>
    </row>
    <row>
      <c t="s">
        <v>17594</v>
      </c>
      <c t="s">
        <v>1795</v>
      </c>
      <c t="s">
        <v>5295</v>
      </c>
      <c t="s">
        <v>3432</v>
      </c>
      <c t="s">
        <v>55686</v>
      </c>
      <c s="3">
        <v>21045</v>
      </c>
      <c s="3">
        <v>21045</v>
      </c>
      <c s="3">
        <v>8800</v>
      </c>
      <c>
        <v>0</v>
      </c>
      <c s="3">
        <v>0</v>
      </c>
      <c s="3">
        <v>598.34</v>
      </c>
      <c s="3">
        <v>21045</v>
      </c>
      <c r="O1432" s="1" t="str">
        <f ca="1">HYPERLINK("https://web.datatree.com/?/property?propertyId=32487169", "https://web.datatree.com/?/property?propertyId=32487169")</f>
        <v>https://web.datatree.com/?/property?propertyId=32487169</v>
      </c>
      <c r="Q1432" t="s">
        <v>316</v>
      </c>
      <c>
        <v>0.244</v>
      </c>
      <c t="s">
        <v>22490</v>
      </c>
      <c t="s">
        <v>27704</v>
      </c>
      <c t="s">
        <v>45340</v>
      </c>
      <c r="X1432" t="s">
        <v>15042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10112</v>
      </c>
      <c>
        <v>707</v>
      </c>
      <c r="AI1432" t="s">
        <v>4022</v>
      </c>
      <c t="s">
        <v>24900</v>
      </c>
      <c r="AL1432" t="s">
        <v>35068</v>
      </c>
      <c r="AN1432" t="s">
        <v>22275</v>
      </c>
      <c t="s">
        <v>13515</v>
      </c>
      <c t="s">
        <v>4797</v>
      </c>
      <c t="s">
        <v>3093</v>
      </c>
      <c t="s">
        <v>51131</v>
      </c>
    </row>
    <row>
      <c t="s">
        <v>17594</v>
      </c>
      <c t="s">
        <v>5728</v>
      </c>
      <c t="s">
        <v>7172</v>
      </c>
      <c t="s">
        <v>58632</v>
      </c>
      <c t="s">
        <v>1674</v>
      </c>
      <c s="3">
        <v>7500</v>
      </c>
      <c s="3">
        <v>7500</v>
      </c>
      <c s="3">
        <v>7500</v>
      </c>
      <c>
        <v>0</v>
      </c>
      <c s="3">
        <v>0</v>
      </c>
      <c s="3">
        <v>543.05</v>
      </c>
      <c s="3">
        <v>7500</v>
      </c>
      <c r="O1433" s="1" t="str">
        <f ca="1">HYPERLINK("https://web.datatree.com/?/property?propertyId=32487959", "https://web.datatree.com/?/property?propertyId=32487959")</f>
        <v>https://web.datatree.com/?/property?propertyId=32487959</v>
      </c>
      <c r="Q1433" t="s">
        <v>316</v>
      </c>
      <c>
        <v>0.23</v>
      </c>
      <c t="s">
        <v>6175</v>
      </c>
      <c t="s">
        <v>53608</v>
      </c>
      <c t="s">
        <v>48933</v>
      </c>
      <c r="X1433" t="s">
        <v>48161</v>
      </c>
      <c t="s">
        <v>33179</v>
      </c>
      <c t="s">
        <v>2517</v>
      </c>
      <c t="s">
        <v>39289</v>
      </c>
      <c>
        <v>33909</v>
      </c>
      <c t="s">
        <v>55389</v>
      </c>
      <c t="s">
        <v>48794</v>
      </c>
      <c t="s">
        <v>32852</v>
      </c>
      <c>
        <v>4392</v>
      </c>
      <c r="AI1433" t="s">
        <v>9600</v>
      </c>
      <c t="s">
        <v>835</v>
      </c>
      <c r="AL1433" t="s">
        <v>59143</v>
      </c>
      <c t="s">
        <v>59143</v>
      </c>
      <c t="s">
        <v>14798</v>
      </c>
      <c t="s">
        <v>6727</v>
      </c>
      <c t="s">
        <v>35508</v>
      </c>
      <c t="s">
        <v>3093</v>
      </c>
      <c t="s">
        <v>54324</v>
      </c>
    </row>
    <row>
      <c t="s">
        <v>17594</v>
      </c>
      <c t="s">
        <v>52263</v>
      </c>
      <c t="s">
        <v>3094</v>
      </c>
      <c t="s">
        <v>65327</v>
      </c>
      <c t="s">
        <v>42991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434" s="1" t="str">
        <f ca="1">HYPERLINK("https://web.datatree.com/?/property?propertyId=32489097", "https://web.datatree.com/?/property?propertyId=32489097")</f>
        <v>https://web.datatree.com/?/property?propertyId=32489097</v>
      </c>
      <c r="Q1434" t="s">
        <v>316</v>
      </c>
      <c>
        <v>0.23</v>
      </c>
      <c t="s">
        <v>6175</v>
      </c>
      <c t="s">
        <v>11374</v>
      </c>
      <c t="s">
        <v>22983</v>
      </c>
      <c t="s">
        <v>27351</v>
      </c>
      <c t="s">
        <v>22983</v>
      </c>
      <c t="s">
        <v>47136</v>
      </c>
      <c t="s">
        <v>53663</v>
      </c>
      <c t="s">
        <v>2517</v>
      </c>
      <c t="s">
        <v>39289</v>
      </c>
      <c>
        <v>33909</v>
      </c>
      <c t="s">
        <v>32489</v>
      </c>
      <c t="s">
        <v>48794</v>
      </c>
      <c t="s">
        <v>50428</v>
      </c>
      <c>
        <v>2244</v>
      </c>
      <c r="AI1434" t="s">
        <v>9240</v>
      </c>
      <c t="s">
        <v>40345</v>
      </c>
      <c r="AL1434" t="s">
        <v>2602</v>
      </c>
      <c r="AN1434" t="s">
        <v>10909</v>
      </c>
      <c t="s">
        <v>62945</v>
      </c>
      <c r="AQ1434" t="s">
        <v>27814</v>
      </c>
      <c t="s">
        <v>27782</v>
      </c>
    </row>
    <row>
      <c t="s">
        <v>17594</v>
      </c>
      <c t="s">
        <v>10745</v>
      </c>
      <c t="s">
        <v>17207</v>
      </c>
      <c t="s">
        <v>38921</v>
      </c>
      <c t="s">
        <v>15748</v>
      </c>
      <c s="3">
        <v>25089</v>
      </c>
      <c s="3">
        <v>25089</v>
      </c>
      <c s="3">
        <v>9636</v>
      </c>
      <c>
        <v>0</v>
      </c>
      <c s="3">
        <v>0</v>
      </c>
      <c s="3">
        <v>740.68</v>
      </c>
      <c s="3">
        <v>25089</v>
      </c>
      <c r="O1435" s="1" t="str">
        <f ca="1">HYPERLINK("https://web.datatree.com/?/property?propertyId=32489555", "https://web.datatree.com/?/property?propertyId=32489555")</f>
        <v>https://web.datatree.com/?/property?propertyId=32489555</v>
      </c>
      <c r="Q1435" t="s">
        <v>316</v>
      </c>
      <c>
        <v>0.395</v>
      </c>
      <c t="s">
        <v>22490</v>
      </c>
      <c t="s">
        <v>48615</v>
      </c>
      <c t="s">
        <v>46201</v>
      </c>
      <c r="X1435" t="s">
        <v>11167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22183</v>
      </c>
      <c>
        <v>1214</v>
      </c>
      <c r="AI1435" t="s">
        <v>66470</v>
      </c>
      <c t="s">
        <v>55842</v>
      </c>
      <c r="AL1435" t="s">
        <v>37162</v>
      </c>
      <c r="AN1435" t="s">
        <v>22275</v>
      </c>
      <c t="s">
        <v>33535</v>
      </c>
      <c t="s">
        <v>26416</v>
      </c>
      <c t="s">
        <v>3093</v>
      </c>
      <c t="s">
        <v>55176</v>
      </c>
    </row>
    <row>
      <c t="s">
        <v>17594</v>
      </c>
      <c t="s">
        <v>4375</v>
      </c>
      <c t="s">
        <v>38329</v>
      </c>
      <c t="s">
        <v>59287</v>
      </c>
      <c t="s">
        <v>32988</v>
      </c>
      <c s="3">
        <v>45000</v>
      </c>
      <c s="3">
        <v>45000</v>
      </c>
      <c s="3">
        <v>45000</v>
      </c>
      <c>
        <v>0</v>
      </c>
      <c s="3">
        <v>0</v>
      </c>
      <c s="3">
        <v>784.98</v>
      </c>
      <c s="3">
        <v>45000</v>
      </c>
      <c r="O1436" s="1" t="str">
        <f ca="1">HYPERLINK("https://web.datatree.com/?/property?propertyId=32489838", "https://web.datatree.com/?/property?propertyId=32489838")</f>
        <v>https://web.datatree.com/?/property?propertyId=32489838</v>
      </c>
      <c r="Q1436" t="s">
        <v>316</v>
      </c>
      <c>
        <v>0.334</v>
      </c>
      <c t="s">
        <v>5471</v>
      </c>
      <c t="s">
        <v>50938</v>
      </c>
      <c t="s">
        <v>46706</v>
      </c>
      <c t="s">
        <v>64091</v>
      </c>
      <c t="s">
        <v>46706</v>
      </c>
      <c t="s">
        <v>19539</v>
      </c>
      <c t="s">
        <v>54921</v>
      </c>
      <c t="s">
        <v>54524</v>
      </c>
      <c t="s">
        <v>39289</v>
      </c>
      <c>
        <v>33903</v>
      </c>
      <c t="s">
        <v>60032</v>
      </c>
      <c t="s">
        <v>48794</v>
      </c>
      <c t="s">
        <v>28578</v>
      </c>
      <c>
        <v>202</v>
      </c>
      <c r="AI1436" t="s">
        <v>54374</v>
      </c>
      <c t="s">
        <v>24900</v>
      </c>
      <c r="AL1436" t="s">
        <v>34925</v>
      </c>
      <c t="s">
        <v>34925</v>
      </c>
      <c t="s">
        <v>39289</v>
      </c>
      <c t="s">
        <v>65177</v>
      </c>
      <c t="s">
        <v>26416</v>
      </c>
      <c t="s">
        <v>3093</v>
      </c>
      <c t="s">
        <v>53303</v>
      </c>
    </row>
    <row>
      <c t="s">
        <v>17594</v>
      </c>
      <c t="s">
        <v>22395</v>
      </c>
      <c t="s">
        <v>58661</v>
      </c>
      <c t="s">
        <v>7689</v>
      </c>
      <c t="s">
        <v>22307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1437" s="1" t="str">
        <f ca="1">HYPERLINK("https://web.datatree.com/?/property?propertyId=32490023", "https://web.datatree.com/?/property?propertyId=32490023")</f>
        <v>https://web.datatree.com/?/property?propertyId=32490023</v>
      </c>
      <c r="Q1437" t="s">
        <v>316</v>
      </c>
      <c>
        <v>0.241</v>
      </c>
      <c t="s">
        <v>6175</v>
      </c>
      <c t="s">
        <v>64353</v>
      </c>
      <c t="s">
        <v>41809</v>
      </c>
      <c t="s">
        <v>64618</v>
      </c>
      <c t="s">
        <v>24432</v>
      </c>
      <c t="s">
        <v>11046</v>
      </c>
      <c t="s">
        <v>23517</v>
      </c>
      <c t="s">
        <v>2517</v>
      </c>
      <c t="s">
        <v>39289</v>
      </c>
      <c>
        <v>33909</v>
      </c>
      <c t="s">
        <v>24764</v>
      </c>
      <c t="s">
        <v>48794</v>
      </c>
      <c t="s">
        <v>8169</v>
      </c>
      <c>
        <v>4231</v>
      </c>
      <c r="AI1437" t="s">
        <v>18679</v>
      </c>
      <c t="s">
        <v>24900</v>
      </c>
      <c r="AL1437" t="s">
        <v>29515</v>
      </c>
      <c r="AN1437" t="s">
        <v>39289</v>
      </c>
      <c t="s">
        <v>2955</v>
      </c>
      <c t="s">
        <v>40645</v>
      </c>
      <c t="s">
        <v>3093</v>
      </c>
      <c t="s">
        <v>49974</v>
      </c>
    </row>
    <row>
      <c t="s">
        <v>17594</v>
      </c>
      <c t="s">
        <v>67171</v>
      </c>
      <c t="s">
        <v>8646</v>
      </c>
      <c t="s">
        <v>1350</v>
      </c>
      <c t="s">
        <v>49537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1438" s="1" t="str">
        <f ca="1">HYPERLINK("https://web.datatree.com/?/property?propertyId=32490070", "https://web.datatree.com/?/property?propertyId=32490070")</f>
        <v>https://web.datatree.com/?/property?propertyId=32490070</v>
      </c>
      <c r="Q1438" t="s">
        <v>316</v>
      </c>
      <c>
        <v>0.23</v>
      </c>
      <c t="s">
        <v>22490</v>
      </c>
      <c t="s">
        <v>10361</v>
      </c>
      <c t="s">
        <v>22905</v>
      </c>
      <c r="X1438" t="s">
        <v>52399</v>
      </c>
      <c t="s">
        <v>38550</v>
      </c>
      <c t="s">
        <v>2517</v>
      </c>
      <c t="s">
        <v>39289</v>
      </c>
      <c>
        <v>33909</v>
      </c>
      <c t="s">
        <v>1086</v>
      </c>
      <c t="s">
        <v>48794</v>
      </c>
      <c t="s">
        <v>67225</v>
      </c>
      <c>
        <v>318</v>
      </c>
      <c r="AI1438" t="s">
        <v>7111</v>
      </c>
      <c t="s">
        <v>31192</v>
      </c>
      <c r="AL1438" t="s">
        <v>1435</v>
      </c>
      <c r="AN1438" t="s">
        <v>21017</v>
      </c>
      <c t="s">
        <v>1946</v>
      </c>
      <c t="s">
        <v>52247</v>
      </c>
      <c t="s">
        <v>3093</v>
      </c>
      <c t="s">
        <v>44780</v>
      </c>
    </row>
    <row>
      <c t="s">
        <v>17594</v>
      </c>
      <c t="s">
        <v>30867</v>
      </c>
      <c t="s">
        <v>14000</v>
      </c>
      <c t="s">
        <v>63505</v>
      </c>
      <c t="s">
        <v>2272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439" s="1" t="str">
        <f ca="1">HYPERLINK("https://web.datatree.com/?/property?propertyId=32490336", "https://web.datatree.com/?/property?propertyId=32490336")</f>
        <v>https://web.datatree.com/?/property?propertyId=32490336</v>
      </c>
      <c r="Q1439" t="s">
        <v>316</v>
      </c>
      <c>
        <v>0.23</v>
      </c>
      <c t="s">
        <v>22490</v>
      </c>
      <c t="s">
        <v>6161</v>
      </c>
      <c t="s">
        <v>8950</v>
      </c>
      <c t="s">
        <v>63047</v>
      </c>
      <c t="s">
        <v>8950</v>
      </c>
      <c t="s">
        <v>14816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47351</v>
      </c>
      <c r="AI1439" t="s">
        <v>4275</v>
      </c>
      <c r="AK1439">
        <v>1</v>
      </c>
      <c t="s">
        <v>42920</v>
      </c>
      <c r="AN1439" t="s">
        <v>63985</v>
      </c>
      <c>
        <v>27211</v>
      </c>
      <c r="AR1439" t="s">
        <v>9065</v>
      </c>
    </row>
    <row>
      <c t="s">
        <v>17594</v>
      </c>
      <c t="s">
        <v>13910</v>
      </c>
      <c t="s">
        <v>20537</v>
      </c>
      <c t="s">
        <v>41124</v>
      </c>
      <c t="s">
        <v>31899</v>
      </c>
      <c s="3">
        <v>16728</v>
      </c>
      <c s="3">
        <v>16728</v>
      </c>
      <c s="3">
        <v>9075</v>
      </c>
      <c>
        <v>0</v>
      </c>
      <c s="3">
        <v>0</v>
      </c>
      <c s="3">
        <v>553.9</v>
      </c>
      <c s="3">
        <v>16728</v>
      </c>
      <c r="O1440" s="1" t="str">
        <f ca="1">HYPERLINK("https://web.datatree.com/?/property?propertyId=32490553", "https://web.datatree.com/?/property?propertyId=32490553")</f>
        <v>https://web.datatree.com/?/property?propertyId=32490553</v>
      </c>
      <c r="Q1440" t="s">
        <v>316</v>
      </c>
      <c>
        <v>0.23</v>
      </c>
      <c t="s">
        <v>6175</v>
      </c>
      <c t="s">
        <v>51333</v>
      </c>
      <c t="s">
        <v>26904</v>
      </c>
      <c r="X1440" t="s">
        <v>29504</v>
      </c>
      <c t="s">
        <v>34731</v>
      </c>
      <c t="s">
        <v>2517</v>
      </c>
      <c t="s">
        <v>39289</v>
      </c>
      <c>
        <v>33909</v>
      </c>
      <c t="s">
        <v>26019</v>
      </c>
      <c t="s">
        <v>48794</v>
      </c>
      <c t="s">
        <v>334</v>
      </c>
      <c>
        <v>13</v>
      </c>
      <c r="AI1440" t="s">
        <v>24176</v>
      </c>
      <c r="AK1440" s="4">
        <v>44927</v>
      </c>
      <c t="s">
        <v>62652</v>
      </c>
      <c r="AN1440" t="s">
        <v>19878</v>
      </c>
      <c>
        <v>97791</v>
      </c>
      <c r="AR1440" t="s">
        <v>3715</v>
      </c>
    </row>
    <row>
      <c t="s">
        <v>17594</v>
      </c>
      <c t="s">
        <v>30808</v>
      </c>
      <c t="s">
        <v>30607</v>
      </c>
      <c t="s">
        <v>57226</v>
      </c>
      <c t="s">
        <v>9036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1441" s="1" t="str">
        <f ca="1">HYPERLINK("https://web.datatree.com/?/property?propertyId=32490830", "https://web.datatree.com/?/property?propertyId=32490830")</f>
        <v>https://web.datatree.com/?/property?propertyId=32490830</v>
      </c>
      <c r="Q1441" t="s">
        <v>316</v>
      </c>
      <c>
        <v>0.244</v>
      </c>
      <c t="s">
        <v>22490</v>
      </c>
      <c t="s">
        <v>30886</v>
      </c>
      <c t="s">
        <v>49290</v>
      </c>
      <c t="s">
        <v>63182</v>
      </c>
      <c t="s">
        <v>49290</v>
      </c>
      <c t="s">
        <v>22922</v>
      </c>
      <c t="s">
        <v>34136</v>
      </c>
      <c t="s">
        <v>2517</v>
      </c>
      <c t="s">
        <v>39289</v>
      </c>
      <c>
        <v>33909</v>
      </c>
      <c t="s">
        <v>374</v>
      </c>
      <c t="s">
        <v>48794</v>
      </c>
      <c t="s">
        <v>16049</v>
      </c>
      <c>
        <v>29</v>
      </c>
      <c r="AI1441" t="s">
        <v>21315</v>
      </c>
      <c t="s">
        <v>45620</v>
      </c>
      <c r="AL1441" t="s">
        <v>53489</v>
      </c>
      <c r="AN1441" t="s">
        <v>50917</v>
      </c>
      <c t="s">
        <v>28191</v>
      </c>
      <c t="s">
        <v>14845</v>
      </c>
      <c t="s">
        <v>3093</v>
      </c>
      <c t="s">
        <v>1828</v>
      </c>
    </row>
    <row>
      <c t="s">
        <v>17594</v>
      </c>
      <c t="s">
        <v>56591</v>
      </c>
      <c t="s">
        <v>55386</v>
      </c>
      <c t="s">
        <v>14498</v>
      </c>
      <c t="s">
        <v>31519</v>
      </c>
      <c s="3">
        <v>8833</v>
      </c>
      <c s="3">
        <v>8833</v>
      </c>
      <c s="3">
        <v>4972</v>
      </c>
      <c>
        <v>0</v>
      </c>
      <c s="3">
        <v>0</v>
      </c>
      <c s="3">
        <v>319.26</v>
      </c>
      <c s="3">
        <v>8833</v>
      </c>
      <c r="O1442" s="1" t="str">
        <f ca="1">HYPERLINK("https://web.datatree.com/?/property?propertyId=32490842", "https://web.datatree.com/?/property?propertyId=32490842")</f>
        <v>https://web.datatree.com/?/property?propertyId=32490842</v>
      </c>
      <c r="Q1442" t="s">
        <v>316</v>
      </c>
      <c>
        <v>0.256</v>
      </c>
      <c t="s">
        <v>5471</v>
      </c>
      <c t="s">
        <v>5887</v>
      </c>
      <c t="s">
        <v>23468</v>
      </c>
      <c r="X1442" t="s">
        <v>15608</v>
      </c>
      <c t="s">
        <v>54986</v>
      </c>
      <c t="s">
        <v>65059</v>
      </c>
      <c t="s">
        <v>39289</v>
      </c>
      <c>
        <v>33905</v>
      </c>
      <c t="s">
        <v>20288</v>
      </c>
      <c t="s">
        <v>48794</v>
      </c>
      <c t="s">
        <v>48007</v>
      </c>
      <c>
        <v>814</v>
      </c>
      <c r="AI1442" t="s">
        <v>54427</v>
      </c>
      <c t="s">
        <v>24900</v>
      </c>
      <c r="AL1442" t="s">
        <v>11871</v>
      </c>
      <c r="AN1442" t="s">
        <v>26016</v>
      </c>
      <c t="s">
        <v>35882</v>
      </c>
      <c t="s">
        <v>4797</v>
      </c>
      <c t="s">
        <v>3093</v>
      </c>
      <c t="s">
        <v>25577</v>
      </c>
    </row>
    <row>
      <c t="s">
        <v>17594</v>
      </c>
      <c t="s">
        <v>64105</v>
      </c>
      <c t="s">
        <v>50484</v>
      </c>
      <c t="s">
        <v>11376</v>
      </c>
      <c t="s">
        <v>36558</v>
      </c>
      <c s="3">
        <v>251430</v>
      </c>
      <c s="3">
        <v>250184</v>
      </c>
      <c s="3">
        <v>122371</v>
      </c>
      <c>
        <v>0</v>
      </c>
      <c s="3">
        <v>0</v>
      </c>
      <c s="3">
        <v>2744.69</v>
      </c>
      <c s="3">
        <v>251430</v>
      </c>
      <c>
        <v>2020</v>
      </c>
      <c>
        <v>5771.92</v>
      </c>
      <c s="1" t="str">
        <f ca="1">HYPERLINK("https://web.datatree.com/?/property?propertyId=32491556", "https://web.datatree.com/?/property?propertyId=32491556")</f>
        <v>https://web.datatree.com/?/property?propertyId=32491556</v>
      </c>
      <c r="Q1443" t="s">
        <v>316</v>
      </c>
      <c>
        <v>0.231</v>
      </c>
      <c t="s">
        <v>22490</v>
      </c>
      <c t="s">
        <v>64030</v>
      </c>
      <c t="s">
        <v>48958</v>
      </c>
      <c r="X1443" t="s">
        <v>30879</v>
      </c>
      <c t="s">
        <v>41506</v>
      </c>
      <c t="s">
        <v>2517</v>
      </c>
      <c t="s">
        <v>39289</v>
      </c>
      <c>
        <v>33904</v>
      </c>
      <c>
        <v>33904</v>
      </c>
      <c t="s">
        <v>48794</v>
      </c>
      <c t="s">
        <v>47569</v>
      </c>
      <c>
        <v>240</v>
      </c>
      <c r="AI1443" t="s">
        <v>1501</v>
      </c>
      <c t="s">
        <v>41372</v>
      </c>
      <c r="AL1443" t="s">
        <v>26592</v>
      </c>
      <c t="s">
        <v>26592</v>
      </c>
      <c t="s">
        <v>39289</v>
      </c>
      <c t="s">
        <v>27866</v>
      </c>
      <c t="s">
        <v>48506</v>
      </c>
      <c t="s">
        <v>3093</v>
      </c>
      <c t="s">
        <v>41371</v>
      </c>
    </row>
    <row>
      <c t="s">
        <v>17594</v>
      </c>
      <c t="s">
        <v>5628</v>
      </c>
      <c t="s">
        <v>34576</v>
      </c>
      <c t="s">
        <v>62592</v>
      </c>
      <c t="s">
        <v>53651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444" s="1" t="str">
        <f ca="1">HYPERLINK("https://web.datatree.com/?/property?propertyId=32493407", "https://web.datatree.com/?/property?propertyId=32493407")</f>
        <v>https://web.datatree.com/?/property?propertyId=32493407</v>
      </c>
      <c r="Q1444" t="s">
        <v>316</v>
      </c>
      <c>
        <v>0.23</v>
      </c>
      <c t="s">
        <v>6175</v>
      </c>
      <c r="U1444" t="s">
        <v>855</v>
      </c>
      <c t="s">
        <v>25273</v>
      </c>
      <c t="s">
        <v>44541</v>
      </c>
      <c t="s">
        <v>10663</v>
      </c>
      <c t="s">
        <v>49122</v>
      </c>
      <c t="s">
        <v>2517</v>
      </c>
      <c t="s">
        <v>39289</v>
      </c>
      <c>
        <v>33909</v>
      </c>
      <c t="s">
        <v>36696</v>
      </c>
      <c t="s">
        <v>48794</v>
      </c>
      <c t="s">
        <v>41370</v>
      </c>
      <c>
        <v>3205</v>
      </c>
      <c r="AI1444" t="s">
        <v>25593</v>
      </c>
      <c t="s">
        <v>24900</v>
      </c>
      <c r="AL1444" t="s">
        <v>6144</v>
      </c>
      <c r="AN1444" t="s">
        <v>50917</v>
      </c>
      <c t="s">
        <v>62162</v>
      </c>
      <c t="s">
        <v>49977</v>
      </c>
      <c t="s">
        <v>3093</v>
      </c>
      <c t="s">
        <v>34417</v>
      </c>
    </row>
    <row>
      <c t="s">
        <v>42103</v>
      </c>
      <c t="s">
        <v>28399</v>
      </c>
      <c t="s">
        <v>66809</v>
      </c>
      <c t="s">
        <v>63157</v>
      </c>
      <c t="s">
        <v>26218</v>
      </c>
      <c s="3">
        <v>23352</v>
      </c>
      <c s="3">
        <v>23352</v>
      </c>
      <c s="3">
        <v>8800</v>
      </c>
      <c>
        <v>0</v>
      </c>
      <c s="3">
        <v>0</v>
      </c>
      <c s="3">
        <v>619.92</v>
      </c>
      <c s="3">
        <v>23352</v>
      </c>
      <c r="O1445" s="1" t="str">
        <f ca="1">HYPERLINK("https://web.datatree.com/?/property?propertyId=32494067", "https://web.datatree.com/?/property?propertyId=32494067")</f>
        <v>https://web.datatree.com/?/property?propertyId=32494067</v>
      </c>
      <c r="Q1445" t="s">
        <v>316</v>
      </c>
      <c>
        <v>0.263</v>
      </c>
      <c t="s">
        <v>22490</v>
      </c>
      <c t="s">
        <v>40487</v>
      </c>
      <c t="s">
        <v>64629</v>
      </c>
      <c r="X1445" t="s">
        <v>55257</v>
      </c>
      <c t="s">
        <v>30928</v>
      </c>
      <c t="s">
        <v>2517</v>
      </c>
      <c t="s">
        <v>39289</v>
      </c>
      <c>
        <v>33909</v>
      </c>
      <c t="s">
        <v>56213</v>
      </c>
      <c t="s">
        <v>48794</v>
      </c>
      <c t="s">
        <v>2976</v>
      </c>
      <c r="AI1445" t="s">
        <v>66422</v>
      </c>
      <c r="AL1445" t="s">
        <v>34557</v>
      </c>
      <c t="s">
        <v>34557</v>
      </c>
      <c t="s">
        <v>65451</v>
      </c>
      <c>
        <v>92167</v>
      </c>
      <c t="s">
        <v>61207</v>
      </c>
      <c t="s">
        <v>3093</v>
      </c>
      <c t="s">
        <v>14587</v>
      </c>
    </row>
    <row>
      <c t="s">
        <v>17594</v>
      </c>
      <c t="s">
        <v>52432</v>
      </c>
      <c t="s">
        <v>51820</v>
      </c>
      <c t="s">
        <v>9389</v>
      </c>
      <c t="s">
        <v>21647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446" s="1" t="str">
        <f ca="1">HYPERLINK("https://web.datatree.com/?/property?propertyId=32494369", "https://web.datatree.com/?/property?propertyId=32494369")</f>
        <v>https://web.datatree.com/?/property?propertyId=32494369</v>
      </c>
      <c r="Q1446" t="s">
        <v>316</v>
      </c>
      <c>
        <v>0.23</v>
      </c>
      <c t="s">
        <v>6175</v>
      </c>
      <c t="s">
        <v>32056</v>
      </c>
      <c t="s">
        <v>27805</v>
      </c>
      <c r="X1446" t="s">
        <v>51057</v>
      </c>
      <c t="s">
        <v>14917</v>
      </c>
      <c t="s">
        <v>2517</v>
      </c>
      <c t="s">
        <v>39289</v>
      </c>
      <c>
        <v>33909</v>
      </c>
      <c>
        <v>33909</v>
      </c>
      <c t="s">
        <v>48794</v>
      </c>
      <c t="s">
        <v>49464</v>
      </c>
      <c>
        <v>73747</v>
      </c>
      <c r="AI1446" t="s">
        <v>18369</v>
      </c>
      <c t="s">
        <v>45393</v>
      </c>
      <c r="AL1446" t="s">
        <v>12744</v>
      </c>
      <c r="AN1446" t="s">
        <v>26443</v>
      </c>
      <c t="s">
        <v>9688</v>
      </c>
      <c t="s">
        <v>49967</v>
      </c>
      <c t="s">
        <v>3093</v>
      </c>
      <c t="s">
        <v>11091</v>
      </c>
    </row>
    <row>
      <c t="s">
        <v>17594</v>
      </c>
      <c t="s">
        <v>47015</v>
      </c>
      <c t="s">
        <v>60254</v>
      </c>
      <c t="s">
        <v>12563</v>
      </c>
      <c t="s">
        <v>5867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447" s="1" t="str">
        <f ca="1">HYPERLINK("https://web.datatree.com/?/property?propertyId=32496043", "https://web.datatree.com/?/property?propertyId=32496043")</f>
        <v>https://web.datatree.com/?/property?propertyId=32496043</v>
      </c>
      <c r="Q1447" t="s">
        <v>316</v>
      </c>
      <c>
        <v>0.23</v>
      </c>
      <c t="s">
        <v>22490</v>
      </c>
      <c t="s">
        <v>7949</v>
      </c>
      <c t="s">
        <v>45160</v>
      </c>
      <c t="s">
        <v>22997</v>
      </c>
      <c t="s">
        <v>45160</v>
      </c>
      <c t="s">
        <v>26579</v>
      </c>
      <c t="s">
        <v>34136</v>
      </c>
      <c t="s">
        <v>2517</v>
      </c>
      <c t="s">
        <v>39289</v>
      </c>
      <c>
        <v>33909</v>
      </c>
      <c t="s">
        <v>65013</v>
      </c>
      <c t="s">
        <v>48794</v>
      </c>
      <c t="s">
        <v>37523</v>
      </c>
      <c>
        <v>112</v>
      </c>
      <c r="AI1447" t="s">
        <v>799</v>
      </c>
      <c t="s">
        <v>31192</v>
      </c>
      <c r="AL1447" t="s">
        <v>18466</v>
      </c>
      <c r="AN1447" t="s">
        <v>26016</v>
      </c>
      <c t="s">
        <v>42954</v>
      </c>
      <c t="s">
        <v>60160</v>
      </c>
      <c t="s">
        <v>3093</v>
      </c>
      <c t="s">
        <v>8069</v>
      </c>
    </row>
    <row>
      <c t="s">
        <v>17594</v>
      </c>
      <c t="s">
        <v>51785</v>
      </c>
      <c t="s">
        <v>48117</v>
      </c>
      <c t="s">
        <v>42576</v>
      </c>
      <c t="s">
        <v>58092</v>
      </c>
      <c s="3">
        <v>15788</v>
      </c>
      <c s="3">
        <v>15788</v>
      </c>
      <c s="3">
        <v>15788</v>
      </c>
      <c>
        <v>0</v>
      </c>
      <c s="3">
        <v>0</v>
      </c>
      <c s="3">
        <v>623.83</v>
      </c>
      <c s="3">
        <v>15788</v>
      </c>
      <c r="O1448" s="1" t="str">
        <f ca="1">HYPERLINK("https://web.datatree.com/?/property?propertyId=32496052", "https://web.datatree.com/?/property?propertyId=32496052")</f>
        <v>https://web.datatree.com/?/property?propertyId=32496052</v>
      </c>
      <c r="Q1448" t="s">
        <v>316</v>
      </c>
      <c>
        <v>0.23</v>
      </c>
      <c t="s">
        <v>42044</v>
      </c>
      <c t="s">
        <v>43190</v>
      </c>
      <c t="s">
        <v>46715</v>
      </c>
      <c r="X1448" t="s">
        <v>26954</v>
      </c>
      <c t="s">
        <v>57064</v>
      </c>
      <c t="s">
        <v>2517</v>
      </c>
      <c t="s">
        <v>39289</v>
      </c>
      <c>
        <v>33909</v>
      </c>
      <c t="s">
        <v>65748</v>
      </c>
      <c t="s">
        <v>48794</v>
      </c>
      <c t="s">
        <v>40798</v>
      </c>
      <c>
        <v>801</v>
      </c>
      <c r="AI1448" t="s">
        <v>41142</v>
      </c>
      <c t="s">
        <v>31192</v>
      </c>
      <c>
        <v>230</v>
      </c>
      <c t="s">
        <v>23828</v>
      </c>
      <c t="s">
        <v>23828</v>
      </c>
      <c t="s">
        <v>39289</v>
      </c>
      <c t="s">
        <v>64224</v>
      </c>
      <c t="s">
        <v>34342</v>
      </c>
      <c t="s">
        <v>3093</v>
      </c>
      <c t="s">
        <v>25645</v>
      </c>
    </row>
    <row>
      <c t="s">
        <v>17594</v>
      </c>
      <c t="s">
        <v>7194</v>
      </c>
      <c t="s">
        <v>51125</v>
      </c>
      <c t="s">
        <v>1819</v>
      </c>
      <c t="s">
        <v>4806</v>
      </c>
      <c s="3">
        <v>59863</v>
      </c>
      <c s="3">
        <v>59863</v>
      </c>
      <c s="3">
        <v>54875</v>
      </c>
      <c>
        <v>0</v>
      </c>
      <c s="3">
        <v>0</v>
      </c>
      <c s="3">
        <v>849.28</v>
      </c>
      <c s="3">
        <v>59863</v>
      </c>
      <c r="O1449" s="1" t="str">
        <f ca="1">HYPERLINK("https://web.datatree.com/?/property?propertyId=32496276", "https://web.datatree.com/?/property?propertyId=32496276")</f>
        <v>https://web.datatree.com/?/property?propertyId=32496276</v>
      </c>
      <c r="Q1449" t="s">
        <v>316</v>
      </c>
      <c>
        <v>0.376</v>
      </c>
      <c t="s">
        <v>30497</v>
      </c>
      <c r="U1449" t="s">
        <v>53617</v>
      </c>
      <c r="W1449" t="s">
        <v>52579</v>
      </c>
      <c t="s">
        <v>5288</v>
      </c>
      <c t="s">
        <v>66850</v>
      </c>
      <c t="s">
        <v>65059</v>
      </c>
      <c t="s">
        <v>39289</v>
      </c>
      <c>
        <v>33905</v>
      </c>
      <c>
        <v>33905</v>
      </c>
      <c t="s">
        <v>48794</v>
      </c>
      <c t="s">
        <v>52861</v>
      </c>
      <c>
        <v>5330</v>
      </c>
      <c r="AH1449" t="s">
        <v>60953</v>
      </c>
      <c t="s">
        <v>65271</v>
      </c>
      <c t="s">
        <v>31192</v>
      </c>
      <c r="AL1449" t="s">
        <v>51207</v>
      </c>
      <c t="s">
        <v>40227</v>
      </c>
      <c t="s">
        <v>17134</v>
      </c>
      <c t="s">
        <v>52698</v>
      </c>
      <c t="s">
        <v>53800</v>
      </c>
      <c t="s">
        <v>3093</v>
      </c>
      <c t="s">
        <v>22534</v>
      </c>
    </row>
    <row>
      <c t="s">
        <v>17594</v>
      </c>
      <c t="s">
        <v>21230</v>
      </c>
      <c t="s">
        <v>21067</v>
      </c>
      <c t="s">
        <v>66913</v>
      </c>
      <c t="s">
        <v>38820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450" s="1" t="str">
        <f ca="1">HYPERLINK("https://web.datatree.com/?/property?propertyId=32496967", "https://web.datatree.com/?/property?propertyId=32496967")</f>
        <v>https://web.datatree.com/?/property?propertyId=32496967</v>
      </c>
      <c r="Q1450" t="s">
        <v>316</v>
      </c>
      <c>
        <v>0.23</v>
      </c>
      <c t="s">
        <v>6175</v>
      </c>
      <c t="s">
        <v>56498</v>
      </c>
      <c t="s">
        <v>48063</v>
      </c>
      <c r="X1450" t="s">
        <v>66908</v>
      </c>
      <c t="s">
        <v>49122</v>
      </c>
      <c t="s">
        <v>2517</v>
      </c>
      <c t="s">
        <v>39289</v>
      </c>
      <c>
        <v>33909</v>
      </c>
      <c t="s">
        <v>22369</v>
      </c>
      <c t="s">
        <v>48794</v>
      </c>
      <c t="s">
        <v>37768</v>
      </c>
      <c>
        <v>2110</v>
      </c>
      <c r="AI1450" t="s">
        <v>11577</v>
      </c>
      <c t="s">
        <v>45393</v>
      </c>
      <c r="AL1450" t="s">
        <v>57991</v>
      </c>
      <c r="AN1450" t="s">
        <v>19878</v>
      </c>
      <c t="s">
        <v>60081</v>
      </c>
      <c t="s">
        <v>66620</v>
      </c>
      <c t="s">
        <v>3093</v>
      </c>
      <c t="s">
        <v>18185</v>
      </c>
    </row>
    <row>
      <c t="s">
        <v>17594</v>
      </c>
      <c t="s">
        <v>48191</v>
      </c>
      <c t="s">
        <v>2221</v>
      </c>
      <c t="s">
        <v>1066</v>
      </c>
      <c t="s">
        <v>32504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1451" s="1" t="str">
        <f ca="1">HYPERLINK("https://web.datatree.com/?/property?propertyId=32497174", "https://web.datatree.com/?/property?propertyId=32497174")</f>
        <v>https://web.datatree.com/?/property?propertyId=32497174</v>
      </c>
      <c r="Q1451" t="s">
        <v>316</v>
      </c>
      <c>
        <v>0.236</v>
      </c>
      <c t="s">
        <v>6175</v>
      </c>
      <c t="s">
        <v>3293</v>
      </c>
      <c t="s">
        <v>18105</v>
      </c>
      <c t="s">
        <v>21668</v>
      </c>
      <c t="s">
        <v>18105</v>
      </c>
      <c t="s">
        <v>52793</v>
      </c>
      <c t="s">
        <v>29190</v>
      </c>
      <c t="s">
        <v>2517</v>
      </c>
      <c t="s">
        <v>39289</v>
      </c>
      <c>
        <v>33909</v>
      </c>
      <c t="s">
        <v>12866</v>
      </c>
      <c t="s">
        <v>48794</v>
      </c>
      <c t="s">
        <v>14811</v>
      </c>
      <c>
        <v>58</v>
      </c>
      <c r="AI1451" t="s">
        <v>66116</v>
      </c>
      <c t="s">
        <v>24900</v>
      </c>
      <c r="AL1451" t="s">
        <v>12794</v>
      </c>
      <c r="AN1451" t="s">
        <v>50917</v>
      </c>
      <c t="s">
        <v>39183</v>
      </c>
      <c t="s">
        <v>54916</v>
      </c>
      <c t="s">
        <v>3093</v>
      </c>
      <c t="s">
        <v>22270</v>
      </c>
    </row>
    <row>
      <c t="s">
        <v>17594</v>
      </c>
      <c t="s">
        <v>54991</v>
      </c>
      <c t="s">
        <v>44768</v>
      </c>
      <c t="s">
        <v>1411</v>
      </c>
      <c t="s">
        <v>60223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1452" s="1" t="str">
        <f ca="1">HYPERLINK("https://web.datatree.com/?/property?propertyId=32497958", "https://web.datatree.com/?/property?propertyId=32497958")</f>
        <v>https://web.datatree.com/?/property?propertyId=32497958</v>
      </c>
      <c r="Q1452" t="s">
        <v>316</v>
      </c>
      <c>
        <v>0.241</v>
      </c>
      <c t="s">
        <v>6175</v>
      </c>
      <c t="s">
        <v>51344</v>
      </c>
      <c t="s">
        <v>2130</v>
      </c>
      <c r="X1452" t="s">
        <v>47055</v>
      </c>
      <c t="s">
        <v>59763</v>
      </c>
      <c t="s">
        <v>2517</v>
      </c>
      <c t="s">
        <v>39289</v>
      </c>
      <c>
        <v>33909</v>
      </c>
      <c t="s">
        <v>18448</v>
      </c>
      <c t="s">
        <v>48794</v>
      </c>
      <c t="s">
        <v>7840</v>
      </c>
      <c>
        <v>216</v>
      </c>
      <c r="AI1452" t="s">
        <v>14416</v>
      </c>
      <c t="s">
        <v>45620</v>
      </c>
      <c r="AL1452" t="s">
        <v>11720</v>
      </c>
      <c r="AN1452" t="s">
        <v>10804</v>
      </c>
      <c t="s">
        <v>15033</v>
      </c>
      <c t="s">
        <v>66341</v>
      </c>
      <c t="s">
        <v>3093</v>
      </c>
      <c t="s">
        <v>38724</v>
      </c>
    </row>
    <row>
      <c t="s">
        <v>17594</v>
      </c>
      <c t="s">
        <v>19341</v>
      </c>
      <c t="s">
        <v>49859</v>
      </c>
      <c t="s">
        <v>54125</v>
      </c>
      <c t="s">
        <v>4560</v>
      </c>
      <c s="3">
        <v>16000</v>
      </c>
      <c s="3">
        <v>16000</v>
      </c>
      <c s="3">
        <v>5324</v>
      </c>
      <c>
        <v>0</v>
      </c>
      <c s="3">
        <v>0</v>
      </c>
      <c s="3">
        <v>151.49</v>
      </c>
      <c s="3">
        <v>16000</v>
      </c>
      <c r="O1453" s="1" t="str">
        <f ca="1">HYPERLINK("https://web.datatree.com/?/property?propertyId=32498360", "https://web.datatree.com/?/property?propertyId=32498360")</f>
        <v>https://web.datatree.com/?/property?propertyId=32498360</v>
      </c>
      <c r="Q1453" t="s">
        <v>316</v>
      </c>
      <c>
        <v>0.179</v>
      </c>
      <c t="s">
        <v>66399</v>
      </c>
      <c t="s">
        <v>11374</v>
      </c>
      <c t="s">
        <v>24246</v>
      </c>
      <c t="s">
        <v>37856</v>
      </c>
      <c t="s">
        <v>24246</v>
      </c>
      <c t="s">
        <v>17532</v>
      </c>
      <c t="s">
        <v>6449</v>
      </c>
      <c t="s">
        <v>65059</v>
      </c>
      <c t="s">
        <v>39289</v>
      </c>
      <c>
        <v>33905</v>
      </c>
      <c>
        <v>33905</v>
      </c>
      <c t="s">
        <v>48794</v>
      </c>
      <c t="s">
        <v>62190</v>
      </c>
      <c>
        <v>220</v>
      </c>
      <c r="AI1453" t="s">
        <v>20854</v>
      </c>
      <c t="s">
        <v>24900</v>
      </c>
      <c r="AL1453" t="s">
        <v>25857</v>
      </c>
      <c t="s">
        <v>40227</v>
      </c>
      <c t="s">
        <v>39289</v>
      </c>
      <c t="s">
        <v>64213</v>
      </c>
      <c t="s">
        <v>34162</v>
      </c>
      <c t="s">
        <v>3093</v>
      </c>
      <c t="s">
        <v>51463</v>
      </c>
    </row>
    <row>
      <c t="s">
        <v>17594</v>
      </c>
      <c t="s">
        <v>64228</v>
      </c>
      <c t="s">
        <v>51150</v>
      </c>
      <c t="s">
        <v>15562</v>
      </c>
      <c t="s">
        <v>19300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454" s="1" t="str">
        <f ca="1">HYPERLINK("https://web.datatree.com/?/property?propertyId=32498616", "https://web.datatree.com/?/property?propertyId=32498616")</f>
        <v>https://web.datatree.com/?/property?propertyId=32498616</v>
      </c>
      <c r="Q1454" t="s">
        <v>316</v>
      </c>
      <c>
        <v>0.23</v>
      </c>
      <c t="s">
        <v>6175</v>
      </c>
      <c r="U1454" t="s">
        <v>46334</v>
      </c>
      <c r="W1454" t="s">
        <v>53720</v>
      </c>
      <c t="s">
        <v>33930</v>
      </c>
      <c t="s">
        <v>49122</v>
      </c>
      <c t="s">
        <v>2517</v>
      </c>
      <c t="s">
        <v>39289</v>
      </c>
      <c>
        <v>33909</v>
      </c>
      <c t="s">
        <v>46840</v>
      </c>
      <c t="s">
        <v>48794</v>
      </c>
      <c t="s">
        <v>9576</v>
      </c>
      <c r="AI1454" t="s">
        <v>23008</v>
      </c>
      <c r="AL1454" t="s">
        <v>9407</v>
      </c>
      <c t="s">
        <v>9407</v>
      </c>
      <c t="s">
        <v>50829</v>
      </c>
      <c>
        <v>56288</v>
      </c>
      <c r="AR1454" t="s">
        <v>4399</v>
      </c>
    </row>
    <row>
      <c t="s">
        <v>17594</v>
      </c>
      <c t="s">
        <v>16129</v>
      </c>
      <c t="s">
        <v>65416</v>
      </c>
      <c t="s">
        <v>16469</v>
      </c>
      <c t="s">
        <v>49716</v>
      </c>
      <c s="3">
        <v>11250</v>
      </c>
      <c s="3">
        <v>11250</v>
      </c>
      <c s="3">
        <v>4992</v>
      </c>
      <c>
        <v>0</v>
      </c>
      <c s="3">
        <v>0</v>
      </c>
      <c s="3">
        <v>114.24</v>
      </c>
      <c s="3">
        <v>11250</v>
      </c>
      <c r="O1455" s="1" t="str">
        <f ca="1">HYPERLINK("https://web.datatree.com/?/property?propertyId=32498851", "https://web.datatree.com/?/property?propertyId=32498851")</f>
        <v>https://web.datatree.com/?/property?propertyId=32498851</v>
      </c>
      <c r="Q1455" t="s">
        <v>316</v>
      </c>
      <c>
        <v>0.163</v>
      </c>
      <c t="s">
        <v>66399</v>
      </c>
      <c t="s">
        <v>60286</v>
      </c>
      <c t="s">
        <v>9012</v>
      </c>
      <c r="X1455" t="s">
        <v>42048</v>
      </c>
      <c t="s">
        <v>56498</v>
      </c>
      <c t="s">
        <v>65059</v>
      </c>
      <c t="s">
        <v>39289</v>
      </c>
      <c>
        <v>33905</v>
      </c>
      <c t="s">
        <v>22054</v>
      </c>
      <c t="s">
        <v>48794</v>
      </c>
      <c t="s">
        <v>10144</v>
      </c>
      <c>
        <v>2415</v>
      </c>
      <c r="AI1455" t="s">
        <v>45725</v>
      </c>
      <c t="s">
        <v>31192</v>
      </c>
      <c>
        <v>205</v>
      </c>
      <c t="s">
        <v>21676</v>
      </c>
      <c t="s">
        <v>21676</v>
      </c>
      <c t="s">
        <v>39289</v>
      </c>
      <c t="s">
        <v>37360</v>
      </c>
      <c t="s">
        <v>45980</v>
      </c>
      <c t="s">
        <v>3093</v>
      </c>
      <c t="s">
        <v>2039</v>
      </c>
    </row>
    <row>
      <c t="s">
        <v>17594</v>
      </c>
      <c t="s">
        <v>11419</v>
      </c>
      <c t="s">
        <v>20225</v>
      </c>
      <c t="s">
        <v>12086</v>
      </c>
      <c t="s">
        <v>15265</v>
      </c>
      <c s="3">
        <v>130239</v>
      </c>
      <c s="3">
        <v>114500</v>
      </c>
      <c s="3">
        <v>130239</v>
      </c>
      <c>
        <v>0</v>
      </c>
      <c s="3">
        <v>0</v>
      </c>
      <c s="3">
        <v>1954.79</v>
      </c>
      <c s="3">
        <v>130239</v>
      </c>
      <c r="O1456" s="1" t="str">
        <f ca="1">HYPERLINK("https://web.datatree.com/?/property?propertyId=32499120", "https://web.datatree.com/?/property?propertyId=32499120")</f>
        <v>https://web.datatree.com/?/property?propertyId=32499120</v>
      </c>
      <c r="Q1456" t="s">
        <v>316</v>
      </c>
      <c>
        <v>0.122</v>
      </c>
      <c t="s">
        <v>26492</v>
      </c>
      <c t="s">
        <v>2140</v>
      </c>
      <c t="s">
        <v>52703</v>
      </c>
      <c t="s">
        <v>10451</v>
      </c>
      <c t="s">
        <v>52703</v>
      </c>
      <c t="s">
        <v>49483</v>
      </c>
      <c t="s">
        <v>36549</v>
      </c>
      <c t="s">
        <v>65059</v>
      </c>
      <c t="s">
        <v>39289</v>
      </c>
      <c>
        <v>33905</v>
      </c>
      <c>
        <v>33905</v>
      </c>
      <c t="s">
        <v>48794</v>
      </c>
      <c t="s">
        <v>16334</v>
      </c>
      <c>
        <v>427</v>
      </c>
      <c r="AI1456" t="s">
        <v>45468</v>
      </c>
      <c t="s">
        <v>835</v>
      </c>
      <c r="AL1456" t="s">
        <v>54924</v>
      </c>
      <c t="s">
        <v>40227</v>
      </c>
      <c t="s">
        <v>39289</v>
      </c>
      <c t="s">
        <v>2260</v>
      </c>
      <c t="s">
        <v>22302</v>
      </c>
      <c t="s">
        <v>3093</v>
      </c>
      <c t="s">
        <v>17793</v>
      </c>
    </row>
    <row>
      <c t="s">
        <v>17594</v>
      </c>
      <c t="s">
        <v>54096</v>
      </c>
      <c t="s">
        <v>19113</v>
      </c>
      <c t="s">
        <v>41940</v>
      </c>
      <c t="s">
        <v>20092</v>
      </c>
      <c s="3">
        <v>125064</v>
      </c>
      <c s="3">
        <v>125064</v>
      </c>
      <c s="3">
        <v>125064</v>
      </c>
      <c>
        <v>0</v>
      </c>
      <c s="3">
        <v>0</v>
      </c>
      <c s="3">
        <v>2477.04</v>
      </c>
      <c s="3">
        <v>125064</v>
      </c>
      <c r="O1457" s="1" t="str">
        <f ca="1">HYPERLINK("https://web.datatree.com/?/property?propertyId=32499519", "https://web.datatree.com/?/property?propertyId=32499519")</f>
        <v>https://web.datatree.com/?/property?propertyId=32499519</v>
      </c>
      <c r="Q1457" t="s">
        <v>316</v>
      </c>
      <c>
        <v>0.326</v>
      </c>
      <c t="s">
        <v>22490</v>
      </c>
      <c t="s">
        <v>2140</v>
      </c>
      <c t="s">
        <v>66828</v>
      </c>
      <c t="s">
        <v>2140</v>
      </c>
      <c t="s">
        <v>66828</v>
      </c>
      <c t="s">
        <v>49397</v>
      </c>
      <c t="s">
        <v>25017</v>
      </c>
      <c t="s">
        <v>2517</v>
      </c>
      <c t="s">
        <v>39289</v>
      </c>
      <c>
        <v>33904</v>
      </c>
      <c>
        <v>33904</v>
      </c>
      <c t="s">
        <v>48794</v>
      </c>
      <c t="s">
        <v>50799</v>
      </c>
      <c>
        <v>34418</v>
      </c>
      <c r="AI1457" t="s">
        <v>234</v>
      </c>
      <c t="s">
        <v>31192</v>
      </c>
      <c r="AL1457" t="s">
        <v>9238</v>
      </c>
      <c t="s">
        <v>9238</v>
      </c>
      <c t="s">
        <v>51137</v>
      </c>
      <c t="s">
        <v>46668</v>
      </c>
      <c t="s">
        <v>53800</v>
      </c>
      <c t="s">
        <v>3093</v>
      </c>
      <c t="s">
        <v>20731</v>
      </c>
    </row>
    <row>
      <c t="s">
        <v>17594</v>
      </c>
      <c t="s">
        <v>9939</v>
      </c>
      <c t="s">
        <v>40351</v>
      </c>
      <c t="s">
        <v>6273</v>
      </c>
      <c t="s">
        <v>28688</v>
      </c>
      <c s="3">
        <v>81166</v>
      </c>
      <c s="3">
        <v>81166</v>
      </c>
      <c s="3">
        <v>69119</v>
      </c>
      <c>
        <v>0</v>
      </c>
      <c s="3">
        <v>0</v>
      </c>
      <c s="3">
        <v>1571.9</v>
      </c>
      <c s="3">
        <v>81166</v>
      </c>
      <c r="O1458" s="1" t="str">
        <f ca="1">HYPERLINK("https://web.datatree.com/?/property?propertyId=32500116", "https://web.datatree.com/?/property?propertyId=32500116")</f>
        <v>https://web.datatree.com/?/property?propertyId=32500116</v>
      </c>
      <c r="Q1458" t="s">
        <v>316</v>
      </c>
      <c>
        <v>0.23</v>
      </c>
      <c t="s">
        <v>22490</v>
      </c>
      <c t="s">
        <v>13887</v>
      </c>
      <c t="s">
        <v>50182</v>
      </c>
      <c t="s">
        <v>41135</v>
      </c>
      <c t="s">
        <v>50182</v>
      </c>
      <c t="s">
        <v>8543</v>
      </c>
      <c t="s">
        <v>49074</v>
      </c>
      <c t="s">
        <v>2517</v>
      </c>
      <c t="s">
        <v>39289</v>
      </c>
      <c>
        <v>33904</v>
      </c>
      <c t="s">
        <v>21926</v>
      </c>
      <c t="s">
        <v>48794</v>
      </c>
      <c t="s">
        <v>30455</v>
      </c>
      <c>
        <v>5416</v>
      </c>
      <c r="AI1458" t="s">
        <v>5099</v>
      </c>
      <c t="s">
        <v>835</v>
      </c>
      <c r="AL1458" t="s">
        <v>60419</v>
      </c>
      <c r="AN1458" t="s">
        <v>65467</v>
      </c>
      <c t="s">
        <v>17923</v>
      </c>
      <c t="s">
        <v>3364</v>
      </c>
      <c t="s">
        <v>3093</v>
      </c>
      <c t="s">
        <v>38015</v>
      </c>
    </row>
    <row>
      <c t="s">
        <v>17594</v>
      </c>
      <c t="s">
        <v>46239</v>
      </c>
      <c t="s">
        <v>62172</v>
      </c>
      <c t="s">
        <v>1111</v>
      </c>
      <c t="s">
        <v>18757</v>
      </c>
      <c s="3">
        <v>28000</v>
      </c>
      <c s="3">
        <v>28000</v>
      </c>
      <c s="3">
        <v>28000</v>
      </c>
      <c>
        <v>0</v>
      </c>
      <c s="3">
        <v>0</v>
      </c>
      <c s="3">
        <v>3000.24</v>
      </c>
      <c s="3">
        <v>28000</v>
      </c>
      <c r="O1459" s="1" t="str">
        <f ca="1">HYPERLINK("https://web.datatree.com/?/property?propertyId=32500163", "https://web.datatree.com/?/property?propertyId=32500163")</f>
        <v>https://web.datatree.com/?/property?propertyId=32500163</v>
      </c>
      <c r="Q1459" t="s">
        <v>316</v>
      </c>
      <c>
        <v>0.23</v>
      </c>
      <c t="s">
        <v>45031</v>
      </c>
      <c t="s">
        <v>60870</v>
      </c>
      <c t="s">
        <v>48154</v>
      </c>
      <c t="s">
        <v>48882</v>
      </c>
      <c t="s">
        <v>143</v>
      </c>
      <c t="s">
        <v>46790</v>
      </c>
      <c t="s">
        <v>55273</v>
      </c>
      <c t="s">
        <v>2517</v>
      </c>
      <c t="s">
        <v>39289</v>
      </c>
      <c>
        <v>33909</v>
      </c>
      <c t="s">
        <v>52075</v>
      </c>
      <c t="s">
        <v>48794</v>
      </c>
      <c t="s">
        <v>28564</v>
      </c>
      <c>
        <v>188</v>
      </c>
      <c r="AI1459" t="s">
        <v>31275</v>
      </c>
      <c t="s">
        <v>45620</v>
      </c>
      <c r="AL1459" t="s">
        <v>46008</v>
      </c>
      <c r="AN1459" t="s">
        <v>5982</v>
      </c>
      <c t="s">
        <v>2690</v>
      </c>
      <c t="s">
        <v>58110</v>
      </c>
      <c t="s">
        <v>3093</v>
      </c>
      <c t="s">
        <v>64791</v>
      </c>
    </row>
    <row>
      <c t="s">
        <v>17594</v>
      </c>
      <c t="s">
        <v>36875</v>
      </c>
      <c t="s">
        <v>9580</v>
      </c>
      <c t="s">
        <v>26875</v>
      </c>
      <c t="s">
        <v>51982</v>
      </c>
      <c s="3">
        <v>8089</v>
      </c>
      <c s="3">
        <v>8089</v>
      </c>
      <c s="3">
        <v>3474</v>
      </c>
      <c>
        <v>0</v>
      </c>
      <c s="3">
        <v>0</v>
      </c>
      <c s="3">
        <v>81.14</v>
      </c>
      <c s="3">
        <v>8089</v>
      </c>
      <c r="O1460" s="1" t="str">
        <f ca="1">HYPERLINK("https://web.datatree.com/?/property?propertyId=32500236", "https://web.datatree.com/?/property?propertyId=32500236")</f>
        <v>https://web.datatree.com/?/property?propertyId=32500236</v>
      </c>
      <c r="Q1460" t="s">
        <v>316</v>
      </c>
      <c>
        <v>0.116</v>
      </c>
      <c t="s">
        <v>5471</v>
      </c>
      <c t="s">
        <v>42768</v>
      </c>
      <c t="s">
        <v>333</v>
      </c>
      <c t="s">
        <v>1994</v>
      </c>
      <c t="s">
        <v>333</v>
      </c>
      <c t="s">
        <v>58370</v>
      </c>
      <c t="s">
        <v>60074</v>
      </c>
      <c t="s">
        <v>54524</v>
      </c>
      <c t="s">
        <v>39289</v>
      </c>
      <c>
        <v>33903</v>
      </c>
      <c t="s">
        <v>62668</v>
      </c>
      <c t="s">
        <v>48794</v>
      </c>
      <c t="s">
        <v>14556</v>
      </c>
      <c>
        <v>60</v>
      </c>
      <c r="AI1460" t="s">
        <v>7964</v>
      </c>
      <c t="s">
        <v>24900</v>
      </c>
      <c r="AL1460" t="s">
        <v>14113</v>
      </c>
      <c r="AN1460" t="s">
        <v>26016</v>
      </c>
      <c t="s">
        <v>20454</v>
      </c>
      <c t="s">
        <v>24994</v>
      </c>
      <c t="s">
        <v>3093</v>
      </c>
      <c t="s">
        <v>16193</v>
      </c>
    </row>
    <row>
      <c t="s">
        <v>17594</v>
      </c>
      <c t="s">
        <v>18520</v>
      </c>
      <c t="s">
        <v>47233</v>
      </c>
      <c t="s">
        <v>24301</v>
      </c>
      <c t="s">
        <v>53957</v>
      </c>
      <c s="3">
        <v>7125</v>
      </c>
      <c s="3">
        <v>7125</v>
      </c>
      <c s="3">
        <v>7125</v>
      </c>
      <c>
        <v>0</v>
      </c>
      <c s="3">
        <v>0</v>
      </c>
      <c s="3">
        <v>544.1</v>
      </c>
      <c s="3">
        <v>7125</v>
      </c>
      <c>
        <v>2021</v>
      </c>
      <c>
        <v>542.52</v>
      </c>
      <c s="1" t="str">
        <f ca="1">HYPERLINK("https://web.datatree.com/?/property?propertyId=32500318", "https://web.datatree.com/?/property?propertyId=32500318")</f>
        <v>https://web.datatree.com/?/property?propertyId=32500318</v>
      </c>
      <c r="Q1461" t="s">
        <v>316</v>
      </c>
      <c>
        <v>0.268</v>
      </c>
      <c t="s">
        <v>42044</v>
      </c>
      <c t="s">
        <v>56769</v>
      </c>
      <c t="s">
        <v>31808</v>
      </c>
      <c t="s">
        <v>5839</v>
      </c>
      <c t="s">
        <v>7428</v>
      </c>
      <c t="s">
        <v>61257</v>
      </c>
      <c t="s">
        <v>61865</v>
      </c>
      <c t="s">
        <v>2517</v>
      </c>
      <c t="s">
        <v>39289</v>
      </c>
      <c>
        <v>33909</v>
      </c>
      <c t="s">
        <v>46189</v>
      </c>
      <c t="s">
        <v>48794</v>
      </c>
      <c t="s">
        <v>37080</v>
      </c>
      <c>
        <v>1786</v>
      </c>
      <c r="AI1461" t="s">
        <v>26605</v>
      </c>
      <c t="s">
        <v>4985</v>
      </c>
      <c r="AL1461" t="s">
        <v>23695</v>
      </c>
      <c t="s">
        <v>11555</v>
      </c>
      <c t="s">
        <v>39289</v>
      </c>
      <c t="s">
        <v>6820</v>
      </c>
      <c t="s">
        <v>49977</v>
      </c>
      <c t="s">
        <v>3093</v>
      </c>
      <c t="s">
        <v>39859</v>
      </c>
    </row>
    <row>
      <c t="s">
        <v>17594</v>
      </c>
      <c t="s">
        <v>12712</v>
      </c>
      <c t="s">
        <v>14064</v>
      </c>
      <c t="s">
        <v>20005</v>
      </c>
      <c t="s">
        <v>36786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>
        <v>2021</v>
      </c>
      <c>
        <v>452.72</v>
      </c>
      <c s="1" t="str">
        <f ca="1">HYPERLINK("https://web.datatree.com/?/property?propertyId=32500541", "https://web.datatree.com/?/property?propertyId=32500541")</f>
        <v>https://web.datatree.com/?/property?propertyId=32500541</v>
      </c>
      <c r="Q1462" t="s">
        <v>316</v>
      </c>
      <c>
        <v>0.23</v>
      </c>
      <c t="s">
        <v>6175</v>
      </c>
      <c t="s">
        <v>4590</v>
      </c>
      <c t="s">
        <v>64695</v>
      </c>
      <c r="X1462" t="s">
        <v>48906</v>
      </c>
      <c t="s">
        <v>23517</v>
      </c>
      <c t="s">
        <v>2517</v>
      </c>
      <c t="s">
        <v>39289</v>
      </c>
      <c>
        <v>33909</v>
      </c>
      <c t="s">
        <v>65350</v>
      </c>
      <c t="s">
        <v>48794</v>
      </c>
      <c t="s">
        <v>4411</v>
      </c>
      <c>
        <v>1105</v>
      </c>
      <c r="AH1462" t="s">
        <v>26580</v>
      </c>
      <c t="s">
        <v>56489</v>
      </c>
      <c r="AK1462" t="s">
        <v>25384</v>
      </c>
      <c t="s">
        <v>17648</v>
      </c>
      <c r="AN1462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13519</v>
      </c>
      <c t="s">
        <v>3679</v>
      </c>
      <c t="s">
        <v>64066</v>
      </c>
      <c t="s">
        <v>58847</v>
      </c>
      <c s="3">
        <v>49440</v>
      </c>
      <c s="3">
        <v>49440</v>
      </c>
      <c s="3">
        <v>22824</v>
      </c>
      <c>
        <v>0</v>
      </c>
      <c s="3">
        <v>0</v>
      </c>
      <c s="3">
        <v>921.46</v>
      </c>
      <c s="3">
        <v>49440</v>
      </c>
      <c r="O1463" s="1" t="str">
        <f ca="1">HYPERLINK("https://web.datatree.com/?/property?propertyId=32500794", "https://web.datatree.com/?/property?propertyId=32500794")</f>
        <v>https://web.datatree.com/?/property?propertyId=32500794</v>
      </c>
      <c r="Q1463" t="s">
        <v>316</v>
      </c>
      <c>
        <v>0.23</v>
      </c>
      <c t="s">
        <v>6175</v>
      </c>
      <c t="s">
        <v>18245</v>
      </c>
      <c t="s">
        <v>42812</v>
      </c>
      <c t="s">
        <v>58516</v>
      </c>
      <c t="s">
        <v>42812</v>
      </c>
      <c t="s">
        <v>12019</v>
      </c>
      <c t="s">
        <v>24999</v>
      </c>
      <c t="s">
        <v>2517</v>
      </c>
      <c t="s">
        <v>39289</v>
      </c>
      <c>
        <v>33904</v>
      </c>
      <c t="s">
        <v>2021</v>
      </c>
      <c t="s">
        <v>48794</v>
      </c>
      <c t="s">
        <v>66209</v>
      </c>
      <c>
        <v>338</v>
      </c>
      <c r="AI1463" t="s">
        <v>6028</v>
      </c>
      <c t="s">
        <v>45620</v>
      </c>
      <c r="AL1463" t="s">
        <v>28446</v>
      </c>
      <c r="AN1463" t="s">
        <v>26016</v>
      </c>
      <c t="s">
        <v>55514</v>
      </c>
      <c t="s">
        <v>24842</v>
      </c>
      <c t="s">
        <v>3093</v>
      </c>
      <c t="s">
        <v>47363</v>
      </c>
    </row>
    <row>
      <c t="s">
        <v>17594</v>
      </c>
      <c t="s">
        <v>45194</v>
      </c>
      <c t="s">
        <v>12472</v>
      </c>
      <c t="s">
        <v>1057</v>
      </c>
      <c t="s">
        <v>36381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>
        <v>2020</v>
      </c>
      <c>
        <v>1165.84</v>
      </c>
      <c s="1" t="str">
        <f ca="1">HYPERLINK("https://web.datatree.com/?/property?propertyId=32500798", "https://web.datatree.com/?/property?propertyId=32500798")</f>
        <v>https://web.datatree.com/?/property?propertyId=32500798</v>
      </c>
      <c r="Q1464" t="s">
        <v>316</v>
      </c>
      <c>
        <v>0.23</v>
      </c>
      <c t="s">
        <v>22490</v>
      </c>
      <c r="U1464" t="s">
        <v>40758</v>
      </c>
      <c t="s">
        <v>33321</v>
      </c>
      <c t="s">
        <v>25885</v>
      </c>
      <c t="s">
        <v>22384</v>
      </c>
      <c t="s">
        <v>2619</v>
      </c>
      <c t="s">
        <v>2517</v>
      </c>
      <c t="s">
        <v>39289</v>
      </c>
      <c>
        <v>33909</v>
      </c>
      <c t="s">
        <v>27463</v>
      </c>
      <c t="s">
        <v>48794</v>
      </c>
      <c t="s">
        <v>51485</v>
      </c>
      <c>
        <v>1526</v>
      </c>
      <c r="AI1464" t="s">
        <v>65745</v>
      </c>
      <c t="s">
        <v>45620</v>
      </c>
      <c r="AL1464" t="s">
        <v>25712</v>
      </c>
      <c r="AN1464" t="s">
        <v>32657</v>
      </c>
      <c t="s">
        <v>58859</v>
      </c>
      <c t="s">
        <v>702</v>
      </c>
      <c t="s">
        <v>3093</v>
      </c>
      <c t="s">
        <v>16068</v>
      </c>
    </row>
    <row>
      <c t="s">
        <v>17594</v>
      </c>
      <c t="s">
        <v>29130</v>
      </c>
      <c t="s">
        <v>3825</v>
      </c>
      <c t="s">
        <v>64735</v>
      </c>
      <c t="s">
        <v>66067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1465" s="1" t="str">
        <f ca="1">HYPERLINK("https://web.datatree.com/?/property?propertyId=32500943", "https://web.datatree.com/?/property?propertyId=32500943")</f>
        <v>https://web.datatree.com/?/property?propertyId=32500943</v>
      </c>
      <c r="Q1465" t="s">
        <v>316</v>
      </c>
      <c>
        <v>0.232</v>
      </c>
      <c t="s">
        <v>5471</v>
      </c>
      <c t="s">
        <v>2140</v>
      </c>
      <c t="s">
        <v>62674</v>
      </c>
      <c t="s">
        <v>12549</v>
      </c>
      <c t="s">
        <v>18561</v>
      </c>
      <c t="s">
        <v>16577</v>
      </c>
      <c t="s">
        <v>18225</v>
      </c>
      <c t="s">
        <v>65059</v>
      </c>
      <c t="s">
        <v>39289</v>
      </c>
      <c>
        <v>33905</v>
      </c>
      <c t="s">
        <v>1710</v>
      </c>
      <c t="s">
        <v>48794</v>
      </c>
      <c t="s">
        <v>4415</v>
      </c>
      <c>
        <v>10</v>
      </c>
      <c r="AI1465" t="s">
        <v>8033</v>
      </c>
      <c t="s">
        <v>56275</v>
      </c>
      <c r="AL1465" t="s">
        <v>3843</v>
      </c>
      <c t="s">
        <v>3843</v>
      </c>
      <c t="s">
        <v>26016</v>
      </c>
      <c t="s">
        <v>6637</v>
      </c>
      <c t="s">
        <v>4797</v>
      </c>
      <c t="s">
        <v>3093</v>
      </c>
      <c t="s">
        <v>67071</v>
      </c>
    </row>
    <row>
      <c t="s">
        <v>17594</v>
      </c>
      <c t="s">
        <v>24824</v>
      </c>
      <c t="s">
        <v>17123</v>
      </c>
      <c t="s">
        <v>15780</v>
      </c>
      <c t="s">
        <v>56950</v>
      </c>
      <c s="3">
        <v>21600</v>
      </c>
      <c s="3">
        <v>21600</v>
      </c>
      <c s="3">
        <v>21600</v>
      </c>
      <c>
        <v>0</v>
      </c>
      <c s="3">
        <v>0</v>
      </c>
      <c s="3">
        <v>810.07</v>
      </c>
      <c s="3">
        <v>21600</v>
      </c>
      <c r="O1466" s="1" t="str">
        <f ca="1">HYPERLINK("https://web.datatree.com/?/property?propertyId=32501099", "https://web.datatree.com/?/property?propertyId=32501099")</f>
        <v>https://web.datatree.com/?/property?propertyId=32501099</v>
      </c>
      <c r="Q1466" t="s">
        <v>316</v>
      </c>
      <c>
        <v>0.344</v>
      </c>
      <c t="s">
        <v>6175</v>
      </c>
      <c t="s">
        <v>10361</v>
      </c>
      <c t="s">
        <v>17505</v>
      </c>
      <c t="s">
        <v>34140</v>
      </c>
      <c t="s">
        <v>2253</v>
      </c>
      <c t="s">
        <v>9366</v>
      </c>
      <c t="s">
        <v>58797</v>
      </c>
      <c t="s">
        <v>2517</v>
      </c>
      <c t="s">
        <v>39289</v>
      </c>
      <c>
        <v>33909</v>
      </c>
      <c t="s">
        <v>21218</v>
      </c>
      <c t="s">
        <v>48794</v>
      </c>
      <c t="s">
        <v>15711</v>
      </c>
      <c>
        <v>3932</v>
      </c>
      <c r="AI1466" t="s">
        <v>33178</v>
      </c>
      <c t="s">
        <v>45393</v>
      </c>
      <c r="AL1466" t="s">
        <v>14824</v>
      </c>
      <c t="s">
        <v>14824</v>
      </c>
      <c t="s">
        <v>27481</v>
      </c>
      <c t="s">
        <v>2540</v>
      </c>
      <c t="s">
        <v>26242</v>
      </c>
      <c t="s">
        <v>3093</v>
      </c>
      <c t="s">
        <v>38967</v>
      </c>
    </row>
    <row>
      <c t="s">
        <v>17594</v>
      </c>
      <c t="s">
        <v>33517</v>
      </c>
      <c t="s">
        <v>21826</v>
      </c>
      <c t="s">
        <v>25415</v>
      </c>
      <c t="s">
        <v>63589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 r="O1467" s="1" t="str">
        <f ca="1">HYPERLINK("https://web.datatree.com/?/property?propertyId=32501504", "https://web.datatree.com/?/property?propertyId=32501504")</f>
        <v>https://web.datatree.com/?/property?propertyId=32501504</v>
      </c>
      <c r="Q1467" t="s">
        <v>316</v>
      </c>
      <c>
        <v>0.299</v>
      </c>
      <c t="s">
        <v>5471</v>
      </c>
      <c t="s">
        <v>13826</v>
      </c>
      <c t="s">
        <v>35487</v>
      </c>
      <c t="s">
        <v>59778</v>
      </c>
      <c t="s">
        <v>35487</v>
      </c>
      <c t="s">
        <v>8699</v>
      </c>
      <c t="s">
        <v>5280</v>
      </c>
      <c t="s">
        <v>65059</v>
      </c>
      <c t="s">
        <v>39289</v>
      </c>
      <c>
        <v>33905</v>
      </c>
      <c t="s">
        <v>55075</v>
      </c>
      <c t="s">
        <v>48794</v>
      </c>
      <c t="s">
        <v>19137</v>
      </c>
      <c>
        <v>1105</v>
      </c>
      <c r="AI1467" t="s">
        <v>20069</v>
      </c>
      <c t="s">
        <v>24900</v>
      </c>
      <c r="AL1467" t="s">
        <v>21649</v>
      </c>
      <c r="AN1467" t="s">
        <v>22275</v>
      </c>
      <c t="s">
        <v>10130</v>
      </c>
      <c t="s">
        <v>17246</v>
      </c>
      <c t="s">
        <v>3093</v>
      </c>
      <c t="s">
        <v>4609</v>
      </c>
    </row>
    <row>
      <c t="s">
        <v>17594</v>
      </c>
      <c t="s">
        <v>948</v>
      </c>
      <c t="s">
        <v>65224</v>
      </c>
      <c t="s">
        <v>25127</v>
      </c>
      <c t="s">
        <v>55236</v>
      </c>
      <c s="3">
        <v>100241</v>
      </c>
      <c s="3">
        <v>86250</v>
      </c>
      <c s="3">
        <v>98306</v>
      </c>
      <c>
        <v>0</v>
      </c>
      <c s="3">
        <v>0</v>
      </c>
      <c s="3">
        <v>1487.45</v>
      </c>
      <c s="3">
        <v>100241</v>
      </c>
      <c r="O1468" s="1" t="str">
        <f ca="1">HYPERLINK("https://web.datatree.com/?/property?propertyId=32502075", "https://web.datatree.com/?/property?propertyId=32502075")</f>
        <v>https://web.datatree.com/?/property?propertyId=32502075</v>
      </c>
      <c r="Q1468" t="s">
        <v>316</v>
      </c>
      <c>
        <v>0.105</v>
      </c>
      <c t="s">
        <v>26492</v>
      </c>
      <c t="s">
        <v>47667</v>
      </c>
      <c t="s">
        <v>1352</v>
      </c>
      <c t="s">
        <v>39635</v>
      </c>
      <c t="s">
        <v>1352</v>
      </c>
      <c t="s">
        <v>43823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39267</v>
      </c>
      <c>
        <v>135</v>
      </c>
      <c r="AI1468" t="s">
        <v>50066</v>
      </c>
      <c t="s">
        <v>45620</v>
      </c>
      <c r="AL1468" t="s">
        <v>23160</v>
      </c>
      <c t="s">
        <v>40227</v>
      </c>
      <c t="s">
        <v>22275</v>
      </c>
      <c t="s">
        <v>48047</v>
      </c>
      <c t="s">
        <v>14695</v>
      </c>
      <c t="s">
        <v>3093</v>
      </c>
      <c t="s">
        <v>56406</v>
      </c>
    </row>
    <row>
      <c t="s">
        <v>17594</v>
      </c>
      <c t="s">
        <v>47836</v>
      </c>
      <c t="s">
        <v>59053</v>
      </c>
      <c t="s">
        <v>29469</v>
      </c>
      <c t="s">
        <v>2321</v>
      </c>
      <c s="3">
        <v>7500</v>
      </c>
      <c s="3">
        <v>7500</v>
      </c>
      <c s="3">
        <v>7500</v>
      </c>
      <c>
        <v>0</v>
      </c>
      <c s="3">
        <v>0</v>
      </c>
      <c s="3">
        <v>543.05</v>
      </c>
      <c s="3">
        <v>7500</v>
      </c>
      <c r="O1469" s="1" t="str">
        <f ca="1">HYPERLINK("https://web.datatree.com/?/property?propertyId=32502638", "https://web.datatree.com/?/property?propertyId=32502638")</f>
        <v>https://web.datatree.com/?/property?propertyId=32502638</v>
      </c>
      <c r="Q1469" t="s">
        <v>316</v>
      </c>
      <c>
        <v>0.23</v>
      </c>
      <c t="s">
        <v>6175</v>
      </c>
      <c t="s">
        <v>38966</v>
      </c>
      <c t="s">
        <v>48514</v>
      </c>
      <c t="s">
        <v>52409</v>
      </c>
      <c t="s">
        <v>48514</v>
      </c>
      <c t="s">
        <v>58387</v>
      </c>
      <c t="s">
        <v>61865</v>
      </c>
      <c t="s">
        <v>2517</v>
      </c>
      <c t="s">
        <v>39289</v>
      </c>
      <c>
        <v>33909</v>
      </c>
      <c t="s">
        <v>979</v>
      </c>
      <c t="s">
        <v>48794</v>
      </c>
      <c t="s">
        <v>27232</v>
      </c>
      <c>
        <v>1195</v>
      </c>
      <c r="AI1469" t="s">
        <v>37541</v>
      </c>
      <c t="s">
        <v>31192</v>
      </c>
      <c r="AL1469" t="s">
        <v>3903</v>
      </c>
      <c r="AN1469" t="s">
        <v>32657</v>
      </c>
      <c t="s">
        <v>47865</v>
      </c>
      <c t="s">
        <v>702</v>
      </c>
      <c t="s">
        <v>3093</v>
      </c>
      <c t="s">
        <v>59847</v>
      </c>
    </row>
    <row>
      <c t="s">
        <v>17594</v>
      </c>
      <c t="s">
        <v>1540</v>
      </c>
      <c t="s">
        <v>32732</v>
      </c>
      <c t="s">
        <v>4362</v>
      </c>
      <c t="s">
        <v>64308</v>
      </c>
      <c s="3">
        <v>13715</v>
      </c>
      <c s="3">
        <v>13715</v>
      </c>
      <c s="3">
        <v>7152</v>
      </c>
      <c>
        <v>0</v>
      </c>
      <c s="3">
        <v>0</v>
      </c>
      <c s="3">
        <v>150.69</v>
      </c>
      <c s="3">
        <v>13715</v>
      </c>
      <c r="O1470" s="1" t="str">
        <f ca="1">HYPERLINK("https://web.datatree.com/?/property?propertyId=32503092", "https://web.datatree.com/?/property?propertyId=32503092")</f>
        <v>https://web.datatree.com/?/property?propertyId=32503092</v>
      </c>
      <c r="Q1470" t="s">
        <v>316</v>
      </c>
      <c>
        <v>0.23</v>
      </c>
      <c t="s">
        <v>5471</v>
      </c>
      <c t="s">
        <v>52755</v>
      </c>
      <c t="s">
        <v>11892</v>
      </c>
      <c r="X1470" t="s">
        <v>19574</v>
      </c>
      <c t="s">
        <v>2357</v>
      </c>
      <c t="s">
        <v>54524</v>
      </c>
      <c t="s">
        <v>39289</v>
      </c>
      <c>
        <v>33903</v>
      </c>
      <c>
        <v>33903</v>
      </c>
      <c t="s">
        <v>48794</v>
      </c>
      <c t="s">
        <v>36611</v>
      </c>
      <c>
        <v>4525</v>
      </c>
      <c r="AH1470" t="s">
        <v>15376</v>
      </c>
      <c t="s">
        <v>33335</v>
      </c>
      <c t="s">
        <v>24900</v>
      </c>
      <c r="AL1470" t="s">
        <v>11713</v>
      </c>
      <c t="s">
        <v>21507</v>
      </c>
      <c t="s">
        <v>39289</v>
      </c>
      <c t="s">
        <v>30511</v>
      </c>
      <c t="s">
        <v>13449</v>
      </c>
      <c t="s">
        <v>3093</v>
      </c>
      <c t="s">
        <v>53219</v>
      </c>
    </row>
    <row>
      <c t="s">
        <v>17594</v>
      </c>
      <c t="s">
        <v>43968</v>
      </c>
      <c t="s">
        <v>29083</v>
      </c>
      <c t="s">
        <v>67014</v>
      </c>
      <c t="s">
        <v>57790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1471" s="1" t="str">
        <f ca="1">HYPERLINK("https://web.datatree.com/?/property?propertyId=32503143", "https://web.datatree.com/?/property?propertyId=32503143")</f>
        <v>https://web.datatree.com/?/property?propertyId=32503143</v>
      </c>
      <c r="Q1471" t="s">
        <v>316</v>
      </c>
      <c>
        <v>0.23</v>
      </c>
      <c t="s">
        <v>6175</v>
      </c>
      <c t="s">
        <v>61272</v>
      </c>
      <c t="s">
        <v>48377</v>
      </c>
      <c t="s">
        <v>19454</v>
      </c>
      <c t="s">
        <v>48377</v>
      </c>
      <c t="s">
        <v>14586</v>
      </c>
      <c t="s">
        <v>10653</v>
      </c>
      <c t="s">
        <v>2517</v>
      </c>
      <c t="s">
        <v>39289</v>
      </c>
      <c>
        <v>33909</v>
      </c>
      <c t="s">
        <v>62636</v>
      </c>
      <c t="s">
        <v>48794</v>
      </c>
      <c t="s">
        <v>30030</v>
      </c>
      <c>
        <v>882</v>
      </c>
      <c r="AI1471" t="s">
        <v>28469</v>
      </c>
      <c t="s">
        <v>45393</v>
      </c>
      <c r="AL1471" t="s">
        <v>18513</v>
      </c>
      <c t="s">
        <v>18513</v>
      </c>
      <c t="s">
        <v>50917</v>
      </c>
      <c t="s">
        <v>727</v>
      </c>
      <c t="s">
        <v>62983</v>
      </c>
      <c t="s">
        <v>3093</v>
      </c>
      <c t="s">
        <v>14973</v>
      </c>
    </row>
    <row>
      <c t="s">
        <v>17594</v>
      </c>
      <c t="s">
        <v>15003</v>
      </c>
      <c t="s">
        <v>38929</v>
      </c>
      <c t="s">
        <v>66375</v>
      </c>
      <c t="s">
        <v>63900</v>
      </c>
      <c s="3">
        <v>2947</v>
      </c>
      <c s="3">
        <v>2947</v>
      </c>
      <c s="3">
        <v>620</v>
      </c>
      <c>
        <v>0</v>
      </c>
      <c s="3">
        <v>0</v>
      </c>
      <c s="3">
        <v>302.21</v>
      </c>
      <c s="3">
        <v>2947</v>
      </c>
      <c>
        <v>2014</v>
      </c>
      <c>
        <v>5862.64</v>
      </c>
      <c s="1" t="str">
        <f ca="1">HYPERLINK("https://web.datatree.com/?/property?propertyId=32503229", "https://web.datatree.com/?/property?propertyId=32503229")</f>
        <v>https://web.datatree.com/?/property?propertyId=32503229</v>
      </c>
      <c r="Q1472" t="s">
        <v>316</v>
      </c>
      <c>
        <v>0.143</v>
      </c>
      <c t="s">
        <v>42044</v>
      </c>
      <c r="U1472" t="s">
        <v>1137</v>
      </c>
      <c r="W1472" t="s">
        <v>10077</v>
      </c>
      <c t="s">
        <v>44880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7149</v>
      </c>
      <c r="AI1472" t="s">
        <v>33967</v>
      </c>
      <c t="s">
        <v>45620</v>
      </c>
      <c r="AL1472" t="s">
        <v>33415</v>
      </c>
      <c r="AN1472" t="s">
        <v>17134</v>
      </c>
      <c t="s">
        <v>64902</v>
      </c>
      <c t="s">
        <v>26242</v>
      </c>
      <c t="s">
        <v>3093</v>
      </c>
      <c t="s">
        <v>42375</v>
      </c>
    </row>
    <row>
      <c t="s">
        <v>17594</v>
      </c>
      <c t="s">
        <v>23538</v>
      </c>
      <c t="s">
        <v>31830</v>
      </c>
      <c t="s">
        <v>25996</v>
      </c>
      <c t="s">
        <v>63161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473" s="1" t="str">
        <f ca="1">HYPERLINK("https://web.datatree.com/?/property?propertyId=32504171", "https://web.datatree.com/?/property?propertyId=32504171")</f>
        <v>https://web.datatree.com/?/property?propertyId=32504171</v>
      </c>
      <c r="Q1473" t="s">
        <v>316</v>
      </c>
      <c>
        <v>0.23</v>
      </c>
      <c t="s">
        <v>6175</v>
      </c>
      <c t="s">
        <v>43826</v>
      </c>
      <c t="s">
        <v>9592</v>
      </c>
      <c t="s">
        <v>2439</v>
      </c>
      <c t="s">
        <v>9592</v>
      </c>
      <c t="s">
        <v>47614</v>
      </c>
      <c t="s">
        <v>58797</v>
      </c>
      <c t="s">
        <v>2517</v>
      </c>
      <c t="s">
        <v>39289</v>
      </c>
      <c>
        <v>33909</v>
      </c>
      <c t="s">
        <v>56815</v>
      </c>
      <c t="s">
        <v>48794</v>
      </c>
      <c t="s">
        <v>26327</v>
      </c>
      <c>
        <v>860</v>
      </c>
      <c r="AI1473" t="s">
        <v>5115</v>
      </c>
      <c t="s">
        <v>45393</v>
      </c>
      <c r="AL1473" t="s">
        <v>29515</v>
      </c>
      <c r="AN1473" t="s">
        <v>39289</v>
      </c>
      <c t="s">
        <v>26692</v>
      </c>
      <c t="s">
        <v>51249</v>
      </c>
      <c t="s">
        <v>3093</v>
      </c>
      <c t="s">
        <v>27682</v>
      </c>
    </row>
    <row>
      <c t="s">
        <v>17594</v>
      </c>
      <c t="s">
        <v>46901</v>
      </c>
      <c t="s">
        <v>35654</v>
      </c>
      <c t="s">
        <v>45761</v>
      </c>
      <c t="s">
        <v>25949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474" s="1" t="str">
        <f ca="1">HYPERLINK("https://web.datatree.com/?/property?propertyId=32505898", "https://web.datatree.com/?/property?propertyId=32505898")</f>
        <v>https://web.datatree.com/?/property?propertyId=32505898</v>
      </c>
      <c r="Q1474" t="s">
        <v>316</v>
      </c>
      <c>
        <v>0.235</v>
      </c>
      <c t="s">
        <v>5471</v>
      </c>
      <c t="s">
        <v>6361</v>
      </c>
      <c t="s">
        <v>35916</v>
      </c>
      <c t="s">
        <v>16893</v>
      </c>
      <c t="s">
        <v>35916</v>
      </c>
      <c t="s">
        <v>59098</v>
      </c>
      <c t="s">
        <v>17915</v>
      </c>
      <c t="s">
        <v>65059</v>
      </c>
      <c t="s">
        <v>39289</v>
      </c>
      <c>
        <v>33905</v>
      </c>
      <c>
        <v>33905</v>
      </c>
      <c t="s">
        <v>48794</v>
      </c>
      <c t="s">
        <v>28818</v>
      </c>
      <c>
        <v>4801</v>
      </c>
      <c r="AH1474" t="s">
        <v>26580</v>
      </c>
      <c t="s">
        <v>17669</v>
      </c>
      <c r="AL1474" t="s">
        <v>8109</v>
      </c>
      <c t="s">
        <v>40227</v>
      </c>
      <c t="s">
        <v>50917</v>
      </c>
      <c t="s">
        <v>12804</v>
      </c>
      <c t="s">
        <v>22302</v>
      </c>
      <c t="s">
        <v>3093</v>
      </c>
      <c t="s">
        <v>39529</v>
      </c>
    </row>
    <row>
      <c t="s">
        <v>17594</v>
      </c>
      <c t="s">
        <v>64951</v>
      </c>
      <c t="s">
        <v>62042</v>
      </c>
      <c t="s">
        <v>66649</v>
      </c>
      <c t="s">
        <v>21346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>
        <v>2020</v>
      </c>
      <c>
        <v>1870.13</v>
      </c>
      <c s="1" t="str">
        <f ca="1">HYPERLINK("https://web.datatree.com/?/property?propertyId=32506310", "https://web.datatree.com/?/property?propertyId=32506310")</f>
        <v>https://web.datatree.com/?/property?propertyId=32506310</v>
      </c>
      <c r="Q1475" t="s">
        <v>316</v>
      </c>
      <c>
        <v>0.241</v>
      </c>
      <c t="s">
        <v>6175</v>
      </c>
      <c t="s">
        <v>65344</v>
      </c>
      <c t="s">
        <v>66412</v>
      </c>
      <c r="X1475" t="s">
        <v>42883</v>
      </c>
      <c t="s">
        <v>18679</v>
      </c>
      <c t="s">
        <v>2517</v>
      </c>
      <c t="s">
        <v>39289</v>
      </c>
      <c>
        <v>33909</v>
      </c>
      <c t="s">
        <v>45997</v>
      </c>
      <c t="s">
        <v>48794</v>
      </c>
      <c t="s">
        <v>14346</v>
      </c>
      <c>
        <v>10550</v>
      </c>
      <c r="AI1475" t="s">
        <v>29546</v>
      </c>
      <c r="AK1475">
        <v>230</v>
      </c>
      <c t="s">
        <v>18092</v>
      </c>
      <c r="AN1475" t="s">
        <v>39289</v>
      </c>
      <c t="s">
        <v>22264</v>
      </c>
      <c t="s">
        <v>34162</v>
      </c>
      <c t="s">
        <v>3093</v>
      </c>
      <c t="s">
        <v>64254</v>
      </c>
    </row>
    <row>
      <c t="s">
        <v>17594</v>
      </c>
      <c t="s">
        <v>56062</v>
      </c>
      <c t="s">
        <v>38608</v>
      </c>
      <c t="s">
        <v>27299</v>
      </c>
      <c t="s">
        <v>25633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1476" s="1" t="str">
        <f ca="1">HYPERLINK("https://web.datatree.com/?/property?propertyId=32506868", "https://web.datatree.com/?/property?propertyId=32506868")</f>
        <v>https://web.datatree.com/?/property?propertyId=32506868</v>
      </c>
      <c r="Q1476" t="s">
        <v>316</v>
      </c>
      <c>
        <v>0.245</v>
      </c>
      <c t="s">
        <v>6175</v>
      </c>
      <c t="s">
        <v>64030</v>
      </c>
      <c t="s">
        <v>25977</v>
      </c>
      <c t="s">
        <v>38445</v>
      </c>
      <c t="s">
        <v>52509</v>
      </c>
      <c t="s">
        <v>45590</v>
      </c>
      <c t="s">
        <v>53675</v>
      </c>
      <c t="s">
        <v>2517</v>
      </c>
      <c t="s">
        <v>39289</v>
      </c>
      <c>
        <v>33909</v>
      </c>
      <c t="s">
        <v>16891</v>
      </c>
      <c t="s">
        <v>48794</v>
      </c>
      <c t="s">
        <v>35326</v>
      </c>
      <c>
        <v>508</v>
      </c>
      <c r="AI1476" t="s">
        <v>44651</v>
      </c>
      <c t="s">
        <v>24900</v>
      </c>
      <c r="AL1476" t="s">
        <v>57991</v>
      </c>
      <c r="AN1476" t="s">
        <v>19878</v>
      </c>
      <c t="s">
        <v>19987</v>
      </c>
      <c t="s">
        <v>32895</v>
      </c>
      <c t="s">
        <v>3093</v>
      </c>
      <c t="s">
        <v>60438</v>
      </c>
    </row>
    <row>
      <c t="s">
        <v>17594</v>
      </c>
      <c t="s">
        <v>27034</v>
      </c>
      <c t="s">
        <v>48643</v>
      </c>
      <c t="s">
        <v>3753</v>
      </c>
      <c t="s">
        <v>24791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1477" s="1" t="str">
        <f ca="1">HYPERLINK("https://web.datatree.com/?/property?propertyId=32507478", "https://web.datatree.com/?/property?propertyId=32507478")</f>
        <v>https://web.datatree.com/?/property?propertyId=32507478</v>
      </c>
      <c r="Q1477" t="s">
        <v>316</v>
      </c>
      <c>
        <v>0.23</v>
      </c>
      <c t="s">
        <v>22490</v>
      </c>
      <c t="s">
        <v>15455</v>
      </c>
      <c t="s">
        <v>42065</v>
      </c>
      <c r="X1477" t="s">
        <v>34801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65598</v>
      </c>
      <c>
        <v>10</v>
      </c>
      <c r="AI1477" t="s">
        <v>49168</v>
      </c>
      <c r="AL1477" t="s">
        <v>20772</v>
      </c>
      <c r="AN1477" t="s">
        <v>32840</v>
      </c>
      <c r="AR1477" t="s">
        <v>19828</v>
      </c>
    </row>
    <row>
      <c t="s">
        <v>17594</v>
      </c>
      <c t="s">
        <v>53487</v>
      </c>
      <c t="s">
        <v>18390</v>
      </c>
      <c t="s">
        <v>33875</v>
      </c>
      <c t="s">
        <v>57086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1478" s="1" t="str">
        <f ca="1">HYPERLINK("https://web.datatree.com/?/property?propertyId=32507506", "https://web.datatree.com/?/property?propertyId=32507506")</f>
        <v>https://web.datatree.com/?/property?propertyId=32507506</v>
      </c>
      <c r="Q1478" t="s">
        <v>316</v>
      </c>
      <c>
        <v>0.235</v>
      </c>
      <c t="s">
        <v>6175</v>
      </c>
      <c r="U1478" t="s">
        <v>33153</v>
      </c>
      <c t="s">
        <v>53569</v>
      </c>
      <c t="s">
        <v>21852</v>
      </c>
      <c t="s">
        <v>40328</v>
      </c>
      <c t="s">
        <v>39082</v>
      </c>
      <c t="s">
        <v>2517</v>
      </c>
      <c t="s">
        <v>39289</v>
      </c>
      <c>
        <v>33909</v>
      </c>
      <c t="s">
        <v>23492</v>
      </c>
      <c t="s">
        <v>48794</v>
      </c>
      <c t="s">
        <v>14794</v>
      </c>
      <c>
        <v>8783</v>
      </c>
      <c r="AI1478" t="s">
        <v>24318</v>
      </c>
      <c t="s">
        <v>45393</v>
      </c>
      <c r="AL1478" t="s">
        <v>67108</v>
      </c>
      <c t="s">
        <v>13397</v>
      </c>
      <c t="s">
        <v>50917</v>
      </c>
      <c t="s">
        <v>64075</v>
      </c>
      <c t="s">
        <v>11138</v>
      </c>
      <c t="s">
        <v>3093</v>
      </c>
      <c t="s">
        <v>33449</v>
      </c>
    </row>
    <row>
      <c t="s">
        <v>17594</v>
      </c>
      <c t="s">
        <v>58326</v>
      </c>
      <c t="s">
        <v>51205</v>
      </c>
      <c t="s">
        <v>67186</v>
      </c>
      <c t="s">
        <v>8206</v>
      </c>
      <c s="3">
        <v>27000</v>
      </c>
      <c s="3">
        <v>20867</v>
      </c>
      <c s="3">
        <v>15373</v>
      </c>
      <c>
        <v>0</v>
      </c>
      <c s="3">
        <v>0</v>
      </c>
      <c s="3">
        <v>643.19</v>
      </c>
      <c s="3">
        <v>27000</v>
      </c>
      <c r="O1479" s="1" t="str">
        <f ca="1">HYPERLINK("https://web.datatree.com/?/property?propertyId=32507822", "https://web.datatree.com/?/property?propertyId=32507822")</f>
        <v>https://web.datatree.com/?/property?propertyId=32507822</v>
      </c>
      <c r="Q1479" t="s">
        <v>316</v>
      </c>
      <c>
        <v>0.263</v>
      </c>
      <c t="s">
        <v>22490</v>
      </c>
      <c t="s">
        <v>2474</v>
      </c>
      <c t="s">
        <v>40690</v>
      </c>
      <c t="s">
        <v>2140</v>
      </c>
      <c t="s">
        <v>40690</v>
      </c>
      <c t="s">
        <v>39836</v>
      </c>
      <c t="s">
        <v>10653</v>
      </c>
      <c t="s">
        <v>2517</v>
      </c>
      <c t="s">
        <v>39289</v>
      </c>
      <c>
        <v>33909</v>
      </c>
      <c t="s">
        <v>6083</v>
      </c>
      <c t="s">
        <v>48794</v>
      </c>
      <c t="s">
        <v>12877</v>
      </c>
      <c>
        <v>277</v>
      </c>
      <c r="AI1479" t="s">
        <v>39139</v>
      </c>
      <c t="s">
        <v>45393</v>
      </c>
      <c r="AL1479" t="s">
        <v>49335</v>
      </c>
      <c t="s">
        <v>49335</v>
      </c>
      <c t="s">
        <v>65451</v>
      </c>
      <c t="s">
        <v>17810</v>
      </c>
      <c t="s">
        <v>26242</v>
      </c>
      <c t="s">
        <v>3093</v>
      </c>
      <c t="s">
        <v>16720</v>
      </c>
    </row>
    <row>
      <c t="s">
        <v>17594</v>
      </c>
      <c t="s">
        <v>15003</v>
      </c>
      <c t="s">
        <v>5784</v>
      </c>
      <c t="s">
        <v>59815</v>
      </c>
      <c t="s">
        <v>65147</v>
      </c>
      <c s="3">
        <v>2947</v>
      </c>
      <c s="3">
        <v>2947</v>
      </c>
      <c s="3">
        <v>620</v>
      </c>
      <c>
        <v>0</v>
      </c>
      <c s="3">
        <v>0</v>
      </c>
      <c s="3">
        <v>306.25</v>
      </c>
      <c s="3">
        <v>2947</v>
      </c>
      <c>
        <v>2021</v>
      </c>
      <c>
        <v>360.68</v>
      </c>
      <c s="1" t="str">
        <f ca="1">HYPERLINK("https://web.datatree.com/?/property?propertyId=32507823", "https://web.datatree.com/?/property?propertyId=32507823")</f>
        <v>https://web.datatree.com/?/property?propertyId=32507823</v>
      </c>
      <c r="Q1480" t="s">
        <v>316</v>
      </c>
      <c>
        <v>0.143</v>
      </c>
      <c t="s">
        <v>42044</v>
      </c>
      <c t="s">
        <v>24179</v>
      </c>
      <c t="s">
        <v>20410</v>
      </c>
      <c r="X1480" t="s">
        <v>4465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 t="s">
        <v>38286</v>
      </c>
      <c r="AI1480" t="s">
        <v>17875</v>
      </c>
      <c r="AK1480">
        <v>504</v>
      </c>
      <c t="s">
        <v>60998</v>
      </c>
      <c r="AN1480" t="s">
        <v>14798</v>
      </c>
      <c r="AR1480" t="s">
        <v>19785</v>
      </c>
    </row>
    <row>
      <c t="s">
        <v>17594</v>
      </c>
      <c t="s">
        <v>2506</v>
      </c>
      <c t="s">
        <v>26459</v>
      </c>
      <c t="s">
        <v>54095</v>
      </c>
      <c t="s">
        <v>25689</v>
      </c>
      <c s="3">
        <v>354705</v>
      </c>
      <c s="3">
        <v>354705</v>
      </c>
      <c s="3">
        <v>354705</v>
      </c>
      <c>
        <v>0</v>
      </c>
      <c s="3">
        <v>0</v>
      </c>
      <c s="3">
        <v>5910.95</v>
      </c>
      <c s="3">
        <v>354705</v>
      </c>
      <c r="O1481" s="1" t="str">
        <f ca="1">HYPERLINK("https://web.datatree.com/?/property?propertyId=32508154", "https://web.datatree.com/?/property?propertyId=32508154")</f>
        <v>https://web.datatree.com/?/property?propertyId=32508154</v>
      </c>
      <c r="Q1481" t="s">
        <v>316</v>
      </c>
      <c>
        <v>0.229</v>
      </c>
      <c t="s">
        <v>22490</v>
      </c>
      <c t="s">
        <v>552</v>
      </c>
      <c t="s">
        <v>51090</v>
      </c>
      <c r="X1481" t="s">
        <v>31028</v>
      </c>
      <c t="s">
        <v>52403</v>
      </c>
      <c t="s">
        <v>2517</v>
      </c>
      <c t="s">
        <v>39289</v>
      </c>
      <c>
        <v>33904</v>
      </c>
      <c t="s">
        <v>23383</v>
      </c>
      <c t="s">
        <v>48794</v>
      </c>
      <c t="s">
        <v>7564</v>
      </c>
      <c>
        <v>44</v>
      </c>
      <c r="AI1481" t="s">
        <v>8428</v>
      </c>
      <c t="s">
        <v>45620</v>
      </c>
      <c r="AL1481" t="s">
        <v>58887</v>
      </c>
      <c t="s">
        <v>58887</v>
      </c>
      <c t="s">
        <v>19878</v>
      </c>
      <c t="s">
        <v>50743</v>
      </c>
      <c t="s">
        <v>4797</v>
      </c>
      <c t="s">
        <v>3093</v>
      </c>
      <c t="s">
        <v>16680</v>
      </c>
    </row>
    <row>
      <c t="s">
        <v>17594</v>
      </c>
      <c t="s">
        <v>34650</v>
      </c>
      <c t="s">
        <v>20409</v>
      </c>
      <c t="s">
        <v>12489</v>
      </c>
      <c t="s">
        <v>29976</v>
      </c>
      <c s="3">
        <v>28919</v>
      </c>
      <c s="3">
        <v>28919</v>
      </c>
      <c s="3">
        <v>13915</v>
      </c>
      <c>
        <v>0</v>
      </c>
      <c s="3">
        <v>0</v>
      </c>
      <c s="3">
        <v>681.67</v>
      </c>
      <c s="3">
        <v>28919</v>
      </c>
      <c r="O1482" s="1" t="str">
        <f ca="1">HYPERLINK("https://web.datatree.com/?/property?propertyId=32508360", "https://web.datatree.com/?/property?propertyId=32508360")</f>
        <v>https://web.datatree.com/?/property?propertyId=32508360</v>
      </c>
      <c r="Q1482" t="s">
        <v>316</v>
      </c>
      <c>
        <v>0.241</v>
      </c>
      <c t="s">
        <v>22490</v>
      </c>
      <c t="s">
        <v>57107</v>
      </c>
      <c t="s">
        <v>61512</v>
      </c>
      <c t="s">
        <v>37590</v>
      </c>
      <c r="X1482" t="s">
        <v>14228</v>
      </c>
      <c t="s">
        <v>25017</v>
      </c>
      <c t="s">
        <v>2517</v>
      </c>
      <c t="s">
        <v>39289</v>
      </c>
      <c>
        <v>33909</v>
      </c>
      <c t="s">
        <v>47694</v>
      </c>
      <c t="s">
        <v>48794</v>
      </c>
      <c t="s">
        <v>48570</v>
      </c>
      <c>
        <v>4436</v>
      </c>
      <c r="AI1482" t="s">
        <v>5539</v>
      </c>
      <c t="s">
        <v>55842</v>
      </c>
      <c r="AL1482" t="s">
        <v>41093</v>
      </c>
      <c t="s">
        <v>7368</v>
      </c>
      <c t="s">
        <v>66651</v>
      </c>
      <c t="s">
        <v>9210</v>
      </c>
      <c t="s">
        <v>42082</v>
      </c>
      <c t="s">
        <v>3093</v>
      </c>
      <c t="s">
        <v>65209</v>
      </c>
    </row>
    <row>
      <c t="s">
        <v>17594</v>
      </c>
      <c t="s">
        <v>3254</v>
      </c>
      <c t="s">
        <v>3742</v>
      </c>
      <c t="s">
        <v>50416</v>
      </c>
      <c t="s">
        <v>40665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483" s="1" t="str">
        <f ca="1">HYPERLINK("https://web.datatree.com/?/property?propertyId=32508375", "https://web.datatree.com/?/property?propertyId=32508375")</f>
        <v>https://web.datatree.com/?/property?propertyId=32508375</v>
      </c>
      <c r="Q1483" t="s">
        <v>316</v>
      </c>
      <c>
        <v>0.23</v>
      </c>
      <c t="s">
        <v>6175</v>
      </c>
      <c t="s">
        <v>42397</v>
      </c>
      <c t="s">
        <v>36741</v>
      </c>
      <c r="X1483" t="s">
        <v>17308</v>
      </c>
      <c t="s">
        <v>23517</v>
      </c>
      <c t="s">
        <v>2517</v>
      </c>
      <c t="s">
        <v>39289</v>
      </c>
      <c>
        <v>33909</v>
      </c>
      <c t="s">
        <v>23648</v>
      </c>
      <c t="s">
        <v>48794</v>
      </c>
      <c t="s">
        <v>37786</v>
      </c>
      <c>
        <v>89</v>
      </c>
      <c r="AI1483" t="s">
        <v>14002</v>
      </c>
      <c t="s">
        <v>45620</v>
      </c>
      <c r="AL1483" t="s">
        <v>4843</v>
      </c>
      <c r="AN1483" t="s">
        <v>14509</v>
      </c>
      <c t="s">
        <v>21160</v>
      </c>
      <c t="s">
        <v>40645</v>
      </c>
      <c t="s">
        <v>3093</v>
      </c>
      <c t="s">
        <v>40162</v>
      </c>
    </row>
    <row>
      <c t="s">
        <v>17594</v>
      </c>
      <c t="s">
        <v>626</v>
      </c>
      <c t="s">
        <v>10018</v>
      </c>
      <c t="s">
        <v>31417</v>
      </c>
      <c t="s">
        <v>24356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484" s="1" t="str">
        <f ca="1">HYPERLINK("https://web.datatree.com/?/property?propertyId=32509039", "https://web.datatree.com/?/property?propertyId=32509039")</f>
        <v>https://web.datatree.com/?/property?propertyId=32509039</v>
      </c>
      <c r="Q1484" t="s">
        <v>316</v>
      </c>
      <c>
        <v>0.244</v>
      </c>
      <c t="s">
        <v>5471</v>
      </c>
      <c t="s">
        <v>39139</v>
      </c>
      <c t="s">
        <v>19642</v>
      </c>
      <c t="s">
        <v>16002</v>
      </c>
      <c t="s">
        <v>19642</v>
      </c>
      <c t="s">
        <v>65752</v>
      </c>
      <c t="s">
        <v>43060</v>
      </c>
      <c t="s">
        <v>65059</v>
      </c>
      <c t="s">
        <v>39289</v>
      </c>
      <c>
        <v>33905</v>
      </c>
      <c t="s">
        <v>60873</v>
      </c>
      <c t="s">
        <v>48794</v>
      </c>
      <c t="s">
        <v>46203</v>
      </c>
      <c>
        <v>55</v>
      </c>
      <c r="AI1484" t="s">
        <v>21142</v>
      </c>
      <c t="s">
        <v>24900</v>
      </c>
      <c r="AL1484" t="s">
        <v>12794</v>
      </c>
      <c r="AN1484" t="s">
        <v>50917</v>
      </c>
      <c t="s">
        <v>17762</v>
      </c>
      <c t="s">
        <v>3364</v>
      </c>
      <c t="s">
        <v>3093</v>
      </c>
      <c t="s">
        <v>55232</v>
      </c>
    </row>
    <row>
      <c t="s">
        <v>17594</v>
      </c>
      <c t="s">
        <v>4871</v>
      </c>
      <c t="s">
        <v>62553</v>
      </c>
      <c t="s">
        <v>50887</v>
      </c>
      <c t="s">
        <v>48205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485" s="1" t="str">
        <f ca="1">HYPERLINK("https://web.datatree.com/?/property?propertyId=32509780", "https://web.datatree.com/?/property?propertyId=32509780")</f>
        <v>https://web.datatree.com/?/property?propertyId=32509780</v>
      </c>
      <c r="Q1485" t="s">
        <v>316</v>
      </c>
      <c>
        <v>0.23</v>
      </c>
      <c t="s">
        <v>6175</v>
      </c>
      <c t="s">
        <v>5452</v>
      </c>
      <c t="s">
        <v>52728</v>
      </c>
      <c t="s">
        <v>43773</v>
      </c>
      <c t="s">
        <v>52728</v>
      </c>
      <c t="s">
        <v>29288</v>
      </c>
      <c t="s">
        <v>49122</v>
      </c>
      <c t="s">
        <v>2517</v>
      </c>
      <c t="s">
        <v>39289</v>
      </c>
      <c>
        <v>33909</v>
      </c>
      <c t="s">
        <v>45543</v>
      </c>
      <c t="s">
        <v>48794</v>
      </c>
      <c t="s">
        <v>65700</v>
      </c>
      <c>
        <v>105</v>
      </c>
      <c r="AI1485" t="s">
        <v>12653</v>
      </c>
      <c r="AL1485" t="s">
        <v>58992</v>
      </c>
      <c r="AN1485" t="s">
        <v>32840</v>
      </c>
      <c r="AR1485" t="s">
        <v>42307</v>
      </c>
    </row>
    <row>
      <c t="s">
        <v>17594</v>
      </c>
      <c t="s">
        <v>14041</v>
      </c>
      <c t="s">
        <v>294</v>
      </c>
      <c t="s">
        <v>28466</v>
      </c>
      <c t="s">
        <v>7585</v>
      </c>
      <c s="3">
        <v>73876</v>
      </c>
      <c s="3">
        <v>63500</v>
      </c>
      <c s="3">
        <v>71954</v>
      </c>
      <c>
        <v>0</v>
      </c>
      <c s="3">
        <v>0</v>
      </c>
      <c s="3">
        <v>1092.84</v>
      </c>
      <c s="3">
        <v>73876</v>
      </c>
      <c r="O1486" s="1" t="str">
        <f ca="1">HYPERLINK("https://web.datatree.com/?/property?propertyId=32509923", "https://web.datatree.com/?/property?propertyId=32509923")</f>
        <v>https://web.datatree.com/?/property?propertyId=32509923</v>
      </c>
      <c r="Q1486" t="s">
        <v>316</v>
      </c>
      <c>
        <v>0.097</v>
      </c>
      <c t="s">
        <v>26492</v>
      </c>
      <c t="s">
        <v>3174</v>
      </c>
      <c t="s">
        <v>12694</v>
      </c>
      <c t="s">
        <v>54573</v>
      </c>
      <c t="s">
        <v>12694</v>
      </c>
      <c t="s">
        <v>5947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36122</v>
      </c>
      <c>
        <v>101</v>
      </c>
      <c r="AI1486" t="s">
        <v>3352</v>
      </c>
      <c t="s">
        <v>55842</v>
      </c>
      <c r="AL1486" t="s">
        <v>4131</v>
      </c>
      <c t="s">
        <v>40227</v>
      </c>
      <c t="s">
        <v>22275</v>
      </c>
      <c t="s">
        <v>65557</v>
      </c>
      <c t="s">
        <v>57614</v>
      </c>
      <c t="s">
        <v>3093</v>
      </c>
      <c t="s">
        <v>55775</v>
      </c>
    </row>
    <row>
      <c t="s">
        <v>17594</v>
      </c>
      <c t="s">
        <v>17846</v>
      </c>
      <c t="s">
        <v>19017</v>
      </c>
      <c t="s">
        <v>21137</v>
      </c>
      <c t="s">
        <v>41067</v>
      </c>
      <c s="3">
        <v>25610</v>
      </c>
      <c s="3">
        <v>25610</v>
      </c>
      <c s="3">
        <v>11000</v>
      </c>
      <c>
        <v>0</v>
      </c>
      <c s="3">
        <v>0</v>
      </c>
      <c s="3">
        <v>644.52</v>
      </c>
      <c s="3">
        <v>25610</v>
      </c>
      <c r="O1487" s="1" t="str">
        <f ca="1">HYPERLINK("https://web.datatree.com/?/property?propertyId=32510031", "https://web.datatree.com/?/property?propertyId=32510031")</f>
        <v>https://web.datatree.com/?/property?propertyId=32510031</v>
      </c>
      <c r="Q1487" t="s">
        <v>316</v>
      </c>
      <c>
        <v>0.255</v>
      </c>
      <c t="s">
        <v>22490</v>
      </c>
      <c t="s">
        <v>40902</v>
      </c>
      <c t="s">
        <v>63304</v>
      </c>
      <c r="X1487" t="s">
        <v>5244</v>
      </c>
      <c t="s">
        <v>22731</v>
      </c>
      <c t="s">
        <v>2517</v>
      </c>
      <c t="s">
        <v>39289</v>
      </c>
      <c>
        <v>33909</v>
      </c>
      <c t="s">
        <v>8605</v>
      </c>
      <c t="s">
        <v>48794</v>
      </c>
      <c t="s">
        <v>9002</v>
      </c>
      <c>
        <v>7431</v>
      </c>
      <c r="AI1487" t="s">
        <v>7168</v>
      </c>
      <c t="s">
        <v>41372</v>
      </c>
      <c r="AL1487" t="s">
        <v>55393</v>
      </c>
      <c r="AN1487" t="s">
        <v>39289</v>
      </c>
      <c t="s">
        <v>36242</v>
      </c>
      <c t="s">
        <v>6081</v>
      </c>
      <c t="s">
        <v>3093</v>
      </c>
      <c t="s">
        <v>28149</v>
      </c>
    </row>
    <row>
      <c t="s">
        <v>17594</v>
      </c>
      <c t="s">
        <v>37062</v>
      </c>
      <c t="s">
        <v>40754</v>
      </c>
      <c t="s">
        <v>21903</v>
      </c>
      <c t="s">
        <v>5742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1488" s="1" t="str">
        <f ca="1">HYPERLINK("https://web.datatree.com/?/property?propertyId=32510528", "https://web.datatree.com/?/property?propertyId=32510528")</f>
        <v>https://web.datatree.com/?/property?propertyId=32510528</v>
      </c>
      <c r="Q1488" t="s">
        <v>316</v>
      </c>
      <c>
        <v>0.23</v>
      </c>
      <c t="s">
        <v>65422</v>
      </c>
      <c t="s">
        <v>19212</v>
      </c>
      <c t="s">
        <v>7336</v>
      </c>
      <c r="X1488" t="s">
        <v>32198</v>
      </c>
      <c t="s">
        <v>13478</v>
      </c>
      <c t="s">
        <v>2517</v>
      </c>
      <c t="s">
        <v>39289</v>
      </c>
      <c>
        <v>33909</v>
      </c>
      <c t="s">
        <v>10764</v>
      </c>
      <c t="s">
        <v>48794</v>
      </c>
      <c t="s">
        <v>753</v>
      </c>
      <c>
        <v>326</v>
      </c>
      <c r="AI1488" t="s">
        <v>57278</v>
      </c>
      <c t="s">
        <v>45393</v>
      </c>
      <c r="AL1488" t="s">
        <v>43786</v>
      </c>
      <c r="AN1488" t="s">
        <v>26016</v>
      </c>
      <c t="s">
        <v>5972</v>
      </c>
      <c t="s">
        <v>26242</v>
      </c>
      <c t="s">
        <v>3093</v>
      </c>
      <c t="s">
        <v>17710</v>
      </c>
    </row>
    <row>
      <c t="s">
        <v>17594</v>
      </c>
      <c t="s">
        <v>1915</v>
      </c>
      <c t="s">
        <v>39177</v>
      </c>
      <c t="s">
        <v>24100</v>
      </c>
      <c t="s">
        <v>36234</v>
      </c>
      <c s="3">
        <v>16000</v>
      </c>
      <c s="3">
        <v>16000</v>
      </c>
      <c s="3">
        <v>8518</v>
      </c>
      <c>
        <v>0</v>
      </c>
      <c s="3">
        <v>0</v>
      </c>
      <c s="3">
        <v>213.89</v>
      </c>
      <c s="3">
        <v>16000</v>
      </c>
      <c r="O1489" s="1" t="str">
        <f ca="1">HYPERLINK("https://web.datatree.com/?/property?propertyId=32510608", "https://web.datatree.com/?/property?propertyId=32510608")</f>
        <v>https://web.datatree.com/?/property?propertyId=32510608</v>
      </c>
      <c r="Q1489" t="s">
        <v>316</v>
      </c>
      <c>
        <v>0.352</v>
      </c>
      <c t="s">
        <v>5471</v>
      </c>
      <c t="s">
        <v>38760</v>
      </c>
      <c t="s">
        <v>49265</v>
      </c>
      <c t="s">
        <v>48526</v>
      </c>
      <c t="s">
        <v>49265</v>
      </c>
      <c t="s">
        <v>43531</v>
      </c>
      <c t="s">
        <v>37333</v>
      </c>
      <c t="s">
        <v>65059</v>
      </c>
      <c t="s">
        <v>39289</v>
      </c>
      <c>
        <v>33905</v>
      </c>
      <c t="s">
        <v>67013</v>
      </c>
      <c t="s">
        <v>48794</v>
      </c>
      <c t="s">
        <v>39516</v>
      </c>
      <c>
        <v>520</v>
      </c>
      <c r="AI1489" t="s">
        <v>1081</v>
      </c>
      <c t="s">
        <v>31192</v>
      </c>
      <c t="s">
        <v>24952</v>
      </c>
      <c t="s">
        <v>55393</v>
      </c>
      <c r="AN1489" t="s">
        <v>39289</v>
      </c>
      <c t="s">
        <v>65895</v>
      </c>
      <c t="s">
        <v>15968</v>
      </c>
      <c t="s">
        <v>3093</v>
      </c>
      <c t="s">
        <v>43064</v>
      </c>
    </row>
    <row>
      <c t="s">
        <v>17594</v>
      </c>
      <c t="s">
        <v>42590</v>
      </c>
      <c t="s">
        <v>10545</v>
      </c>
      <c t="s">
        <v>38040</v>
      </c>
      <c t="s">
        <v>18100</v>
      </c>
      <c s="3">
        <v>26249</v>
      </c>
      <c s="3">
        <v>26249</v>
      </c>
      <c s="3">
        <v>13310</v>
      </c>
      <c>
        <v>0</v>
      </c>
      <c s="3">
        <v>0</v>
      </c>
      <c s="3">
        <v>1026.17</v>
      </c>
      <c s="3">
        <v>26249</v>
      </c>
      <c>
        <v>2021</v>
      </c>
      <c>
        <v>1011.97</v>
      </c>
      <c s="1" t="str">
        <f ca="1">HYPERLINK("https://web.datatree.com/?/property?propertyId=32510689", "https://web.datatree.com/?/property?propertyId=32510689")</f>
        <v>https://web.datatree.com/?/property?propertyId=32510689</v>
      </c>
      <c r="Q1490" t="s">
        <v>316</v>
      </c>
      <c>
        <v>0.344</v>
      </c>
      <c t="s">
        <v>14479</v>
      </c>
      <c t="s">
        <v>20440</v>
      </c>
      <c t="s">
        <v>23787</v>
      </c>
      <c r="X1490" t="s">
        <v>10501</v>
      </c>
      <c t="s">
        <v>17022</v>
      </c>
      <c t="s">
        <v>2517</v>
      </c>
      <c t="s">
        <v>39289</v>
      </c>
      <c>
        <v>33909</v>
      </c>
      <c t="s">
        <v>22238</v>
      </c>
      <c t="s">
        <v>48794</v>
      </c>
      <c t="s">
        <v>58134</v>
      </c>
      <c>
        <v>10157</v>
      </c>
      <c r="AI1490" t="s">
        <v>35792</v>
      </c>
      <c t="s">
        <v>24900</v>
      </c>
      <c r="AL1490" t="s">
        <v>23972</v>
      </c>
      <c t="s">
        <v>23972</v>
      </c>
      <c t="s">
        <v>19878</v>
      </c>
      <c t="s">
        <v>57959</v>
      </c>
      <c t="s">
        <v>4480</v>
      </c>
      <c t="s">
        <v>3093</v>
      </c>
      <c t="s">
        <v>29900</v>
      </c>
    </row>
    <row>
      <c t="s">
        <v>17594</v>
      </c>
      <c t="s">
        <v>63388</v>
      </c>
      <c t="s">
        <v>53179</v>
      </c>
      <c t="s">
        <v>9503</v>
      </c>
      <c t="s">
        <v>17350</v>
      </c>
      <c s="3">
        <v>56047</v>
      </c>
      <c s="3">
        <v>56047</v>
      </c>
      <c s="3">
        <v>33000</v>
      </c>
      <c>
        <v>0</v>
      </c>
      <c s="3">
        <v>0</v>
      </c>
      <c s="3">
        <v>1072.15</v>
      </c>
      <c s="3">
        <v>56047</v>
      </c>
      <c r="O1491" s="1" t="str">
        <f ca="1">HYPERLINK("https://web.datatree.com/?/property?propertyId=32510865", "https://web.datatree.com/?/property?propertyId=32510865")</f>
        <v>https://web.datatree.com/?/property?propertyId=32510865</v>
      </c>
      <c r="Q1491" t="s">
        <v>316</v>
      </c>
      <c>
        <v>0.23</v>
      </c>
      <c t="s">
        <v>22490</v>
      </c>
      <c t="s">
        <v>57050</v>
      </c>
      <c t="s">
        <v>54474</v>
      </c>
      <c t="s">
        <v>50140</v>
      </c>
      <c t="s">
        <v>51582</v>
      </c>
      <c t="s">
        <v>18728</v>
      </c>
      <c t="s">
        <v>22731</v>
      </c>
      <c t="s">
        <v>2517</v>
      </c>
      <c t="s">
        <v>39289</v>
      </c>
      <c>
        <v>33909</v>
      </c>
      <c t="s">
        <v>20183</v>
      </c>
      <c t="s">
        <v>48794</v>
      </c>
      <c t="s">
        <v>17850</v>
      </c>
      <c>
        <v>10122</v>
      </c>
      <c r="AI1491" t="s">
        <v>41289</v>
      </c>
      <c t="s">
        <v>31192</v>
      </c>
      <c r="AL1491" t="s">
        <v>28867</v>
      </c>
      <c t="s">
        <v>28867</v>
      </c>
      <c t="s">
        <v>51087</v>
      </c>
      <c t="s">
        <v>14034</v>
      </c>
      <c t="s">
        <v>26143</v>
      </c>
      <c t="s">
        <v>3093</v>
      </c>
      <c t="s">
        <v>35079</v>
      </c>
    </row>
    <row>
      <c t="s">
        <v>17594</v>
      </c>
      <c t="s">
        <v>49378</v>
      </c>
      <c t="s">
        <v>57000</v>
      </c>
      <c t="s">
        <v>38124</v>
      </c>
      <c t="s">
        <v>5788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586.06</v>
      </c>
      <c s="1" t="str">
        <f ca="1">HYPERLINK("https://web.datatree.com/?/property?propertyId=32511010", "https://web.datatree.com/?/property?propertyId=32511010")</f>
        <v>https://web.datatree.com/?/property?propertyId=32511010</v>
      </c>
      <c r="Q1492" t="s">
        <v>316</v>
      </c>
      <c>
        <v>0.23</v>
      </c>
      <c t="s">
        <v>6175</v>
      </c>
      <c t="s">
        <v>14161</v>
      </c>
      <c t="s">
        <v>123</v>
      </c>
      <c t="s">
        <v>64370</v>
      </c>
      <c t="s">
        <v>123</v>
      </c>
      <c t="s">
        <v>34111</v>
      </c>
      <c t="s">
        <v>30928</v>
      </c>
      <c t="s">
        <v>2517</v>
      </c>
      <c t="s">
        <v>39289</v>
      </c>
      <c>
        <v>33909</v>
      </c>
      <c t="s">
        <v>64816</v>
      </c>
      <c t="s">
        <v>48794</v>
      </c>
      <c t="s">
        <v>37159</v>
      </c>
      <c>
        <v>11</v>
      </c>
      <c r="AI1492" t="s">
        <v>18122</v>
      </c>
      <c t="s">
        <v>24900</v>
      </c>
      <c r="AL1492" t="s">
        <v>64737</v>
      </c>
      <c r="AN1492" t="s">
        <v>10909</v>
      </c>
      <c t="s">
        <v>25329</v>
      </c>
      <c r="AQ1492" t="s">
        <v>27814</v>
      </c>
      <c t="s">
        <v>16297</v>
      </c>
    </row>
    <row>
      <c t="s">
        <v>17594</v>
      </c>
      <c t="s">
        <v>992</v>
      </c>
      <c t="s">
        <v>19815</v>
      </c>
      <c t="s">
        <v>53614</v>
      </c>
      <c t="s">
        <v>51215</v>
      </c>
      <c s="3">
        <v>9240</v>
      </c>
      <c s="3">
        <v>9240</v>
      </c>
      <c s="3">
        <v>9240</v>
      </c>
      <c>
        <v>0</v>
      </c>
      <c s="3">
        <v>0</v>
      </c>
      <c s="3">
        <v>669.45</v>
      </c>
      <c s="3">
        <v>9240</v>
      </c>
      <c r="O1493" s="1" t="str">
        <f ca="1">HYPERLINK("https://web.datatree.com/?/property?propertyId=32511697", "https://web.datatree.com/?/property?propertyId=32511697")</f>
        <v>https://web.datatree.com/?/property?propertyId=32511697</v>
      </c>
      <c r="Q1493" t="s">
        <v>316</v>
      </c>
      <c>
        <v>0.305</v>
      </c>
      <c t="s">
        <v>22490</v>
      </c>
      <c t="s">
        <v>42397</v>
      </c>
      <c t="s">
        <v>48794</v>
      </c>
      <c t="s">
        <v>52431</v>
      </c>
      <c t="s">
        <v>48794</v>
      </c>
      <c t="s">
        <v>66901</v>
      </c>
      <c t="s">
        <v>8669</v>
      </c>
      <c t="s">
        <v>2517</v>
      </c>
      <c t="s">
        <v>39289</v>
      </c>
      <c>
        <v>33909</v>
      </c>
      <c t="s">
        <v>13215</v>
      </c>
      <c t="s">
        <v>48794</v>
      </c>
      <c t="s">
        <v>21095</v>
      </c>
      <c>
        <v>8720</v>
      </c>
      <c r="AI1493" t="s">
        <v>21948</v>
      </c>
      <c t="s">
        <v>31192</v>
      </c>
      <c r="AL1493" t="s">
        <v>59574</v>
      </c>
      <c r="AN1493" t="s">
        <v>19878</v>
      </c>
      <c t="s">
        <v>33033</v>
      </c>
      <c t="s">
        <v>65563</v>
      </c>
      <c t="s">
        <v>3093</v>
      </c>
      <c t="s">
        <v>46446</v>
      </c>
    </row>
    <row>
      <c t="s">
        <v>17594</v>
      </c>
      <c t="s">
        <v>20577</v>
      </c>
      <c t="s">
        <v>31680</v>
      </c>
      <c t="s">
        <v>4457</v>
      </c>
      <c t="s">
        <v>49793</v>
      </c>
      <c s="3">
        <v>17741</v>
      </c>
      <c s="3">
        <v>17741</v>
      </c>
      <c s="3">
        <v>17741</v>
      </c>
      <c>
        <v>0</v>
      </c>
      <c s="3">
        <v>0</v>
      </c>
      <c s="3">
        <v>407.38</v>
      </c>
      <c s="3">
        <v>17741</v>
      </c>
      <c r="O1494" s="1" t="str">
        <f ca="1">HYPERLINK("https://web.datatree.com/?/property?propertyId=32511832", "https://web.datatree.com/?/property?propertyId=32511832")</f>
        <v>https://web.datatree.com/?/property?propertyId=32511832</v>
      </c>
      <c r="Q1494" t="s">
        <v>316</v>
      </c>
      <c>
        <v>0.23</v>
      </c>
      <c t="s">
        <v>6175</v>
      </c>
      <c r="U1494" t="s">
        <v>18765</v>
      </c>
      <c t="s">
        <v>59685</v>
      </c>
      <c t="s">
        <v>42192</v>
      </c>
      <c t="s">
        <v>26590</v>
      </c>
      <c t="s">
        <v>18679</v>
      </c>
      <c t="s">
        <v>2517</v>
      </c>
      <c t="s">
        <v>39289</v>
      </c>
      <c>
        <v>33909</v>
      </c>
      <c t="s">
        <v>43593</v>
      </c>
      <c t="s">
        <v>48794</v>
      </c>
      <c t="s">
        <v>32004</v>
      </c>
      <c>
        <v>1433</v>
      </c>
      <c r="AI1494" t="s">
        <v>37981</v>
      </c>
      <c t="s">
        <v>55842</v>
      </c>
      <c t="s">
        <v>16357</v>
      </c>
      <c t="s">
        <v>51404</v>
      </c>
      <c t="s">
        <v>51404</v>
      </c>
      <c t="s">
        <v>48152</v>
      </c>
      <c t="s">
        <v>34674</v>
      </c>
      <c t="s">
        <v>24994</v>
      </c>
      <c t="s">
        <v>3093</v>
      </c>
      <c t="s">
        <v>25834</v>
      </c>
    </row>
    <row>
      <c t="s">
        <v>17594</v>
      </c>
      <c t="s">
        <v>15163</v>
      </c>
      <c t="s">
        <v>20205</v>
      </c>
      <c t="s">
        <v>9293</v>
      </c>
      <c t="s">
        <v>60937</v>
      </c>
      <c s="3">
        <v>537432</v>
      </c>
      <c s="3">
        <v>537432</v>
      </c>
      <c s="3">
        <v>537432</v>
      </c>
      <c>
        <v>0</v>
      </c>
      <c s="3">
        <v>0</v>
      </c>
      <c s="3">
        <v>8929.01</v>
      </c>
      <c s="3">
        <v>537432</v>
      </c>
      <c r="O1495" s="1" t="str">
        <f ca="1">HYPERLINK("https://web.datatree.com/?/property?propertyId=32512049", "https://web.datatree.com/?/property?propertyId=32512049")</f>
        <v>https://web.datatree.com/?/property?propertyId=32512049</v>
      </c>
      <c r="Q1495" t="s">
        <v>316</v>
      </c>
      <c>
        <v>0.256</v>
      </c>
      <c t="s">
        <v>22490</v>
      </c>
      <c r="U1495" t="s">
        <v>38183</v>
      </c>
      <c r="W1495" t="s">
        <v>27313</v>
      </c>
      <c t="s">
        <v>66092</v>
      </c>
      <c t="s">
        <v>65725</v>
      </c>
      <c t="s">
        <v>2517</v>
      </c>
      <c t="s">
        <v>39289</v>
      </c>
      <c>
        <v>33904</v>
      </c>
      <c t="s">
        <v>38048</v>
      </c>
      <c t="s">
        <v>48794</v>
      </c>
      <c t="s">
        <v>16241</v>
      </c>
      <c>
        <v>10016</v>
      </c>
      <c r="AI1495" t="s">
        <v>13964</v>
      </c>
      <c t="s">
        <v>24900</v>
      </c>
      <c r="AL1495" t="s">
        <v>46760</v>
      </c>
      <c t="s">
        <v>46760</v>
      </c>
      <c t="s">
        <v>27481</v>
      </c>
      <c t="s">
        <v>5044</v>
      </c>
      <c t="s">
        <v>12241</v>
      </c>
      <c t="s">
        <v>3093</v>
      </c>
      <c t="s">
        <v>16608</v>
      </c>
    </row>
    <row>
      <c t="s">
        <v>17594</v>
      </c>
      <c t="s">
        <v>65524</v>
      </c>
      <c t="s">
        <v>36685</v>
      </c>
      <c t="s">
        <v>10128</v>
      </c>
      <c t="s">
        <v>28035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496" s="1" t="str">
        <f ca="1">HYPERLINK("https://web.datatree.com/?/property?propertyId=32512071", "https://web.datatree.com/?/property?propertyId=32512071")</f>
        <v>https://web.datatree.com/?/property?propertyId=32512071</v>
      </c>
      <c r="Q1496" t="s">
        <v>316</v>
      </c>
      <c>
        <v>0.241</v>
      </c>
      <c t="s">
        <v>28270</v>
      </c>
      <c t="s">
        <v>10419</v>
      </c>
      <c t="s">
        <v>17879</v>
      </c>
      <c t="s">
        <v>50343</v>
      </c>
      <c t="s">
        <v>17879</v>
      </c>
      <c t="s">
        <v>40466</v>
      </c>
      <c t="s">
        <v>30928</v>
      </c>
      <c t="s">
        <v>2517</v>
      </c>
      <c t="s">
        <v>39289</v>
      </c>
      <c>
        <v>33909</v>
      </c>
      <c t="s">
        <v>38928</v>
      </c>
      <c t="s">
        <v>48794</v>
      </c>
      <c t="s">
        <v>11213</v>
      </c>
      <c>
        <v>162</v>
      </c>
      <c r="AI1496" t="s">
        <v>51560</v>
      </c>
      <c t="s">
        <v>31192</v>
      </c>
      <c r="AL1496" t="s">
        <v>10356</v>
      </c>
      <c r="AN1496" t="s">
        <v>22275</v>
      </c>
      <c t="s">
        <v>39467</v>
      </c>
      <c t="s">
        <v>60160</v>
      </c>
      <c t="s">
        <v>3093</v>
      </c>
      <c t="s">
        <v>55783</v>
      </c>
    </row>
    <row>
      <c t="s">
        <v>17594</v>
      </c>
      <c t="s">
        <v>1780</v>
      </c>
      <c t="s">
        <v>42173</v>
      </c>
      <c t="s">
        <v>5128</v>
      </c>
      <c t="s">
        <v>54258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1497" s="1" t="str">
        <f ca="1">HYPERLINK("https://web.datatree.com/?/property?propertyId=32512135", "https://web.datatree.com/?/property?propertyId=32512135")</f>
        <v>https://web.datatree.com/?/property?propertyId=32512135</v>
      </c>
      <c r="Q1497" t="s">
        <v>316</v>
      </c>
      <c>
        <v>0.23</v>
      </c>
      <c t="s">
        <v>22490</v>
      </c>
      <c t="s">
        <v>50154</v>
      </c>
      <c t="s">
        <v>6891</v>
      </c>
      <c r="X1497" t="s">
        <v>50187</v>
      </c>
      <c t="s">
        <v>49122</v>
      </c>
      <c t="s">
        <v>2517</v>
      </c>
      <c t="s">
        <v>39289</v>
      </c>
      <c>
        <v>33909</v>
      </c>
      <c t="s">
        <v>8002</v>
      </c>
      <c t="s">
        <v>48794</v>
      </c>
      <c t="s">
        <v>22453</v>
      </c>
      <c>
        <v>1212</v>
      </c>
      <c r="AI1497" t="s">
        <v>46128</v>
      </c>
      <c t="s">
        <v>24900</v>
      </c>
      <c r="AL1497" t="s">
        <v>25857</v>
      </c>
      <c t="s">
        <v>25857</v>
      </c>
      <c t="s">
        <v>39289</v>
      </c>
      <c t="s">
        <v>38658</v>
      </c>
      <c t="s">
        <v>3364</v>
      </c>
      <c t="s">
        <v>3093</v>
      </c>
      <c t="s">
        <v>42990</v>
      </c>
    </row>
    <row>
      <c t="s">
        <v>17594</v>
      </c>
      <c t="s">
        <v>58043</v>
      </c>
      <c t="s">
        <v>35920</v>
      </c>
      <c t="s">
        <v>58374</v>
      </c>
      <c t="s">
        <v>13590</v>
      </c>
      <c s="3">
        <v>111405</v>
      </c>
      <c s="3">
        <v>111405</v>
      </c>
      <c s="3">
        <v>111405</v>
      </c>
      <c>
        <v>0</v>
      </c>
      <c s="3">
        <v>0</v>
      </c>
      <c s="3">
        <v>2053.67</v>
      </c>
      <c s="3">
        <v>111405</v>
      </c>
      <c r="O1498" s="1" t="str">
        <f ca="1">HYPERLINK("https://web.datatree.com/?/property?propertyId=32512397", "https://web.datatree.com/?/property?propertyId=32512397")</f>
        <v>https://web.datatree.com/?/property?propertyId=32512397</v>
      </c>
      <c r="Q1498" t="s">
        <v>316</v>
      </c>
      <c>
        <v>0.239</v>
      </c>
      <c t="s">
        <v>22490</v>
      </c>
      <c t="s">
        <v>32509</v>
      </c>
      <c t="s">
        <v>4688</v>
      </c>
      <c r="X1498" t="s">
        <v>9031</v>
      </c>
      <c t="s">
        <v>57064</v>
      </c>
      <c t="s">
        <v>2517</v>
      </c>
      <c t="s">
        <v>39289</v>
      </c>
      <c>
        <v>33904</v>
      </c>
      <c t="s">
        <v>48264</v>
      </c>
      <c t="s">
        <v>48794</v>
      </c>
      <c t="s">
        <v>64962</v>
      </c>
      <c>
        <v>181</v>
      </c>
      <c r="AI1498" t="s">
        <v>50775</v>
      </c>
      <c t="s">
        <v>24900</v>
      </c>
      <c r="AL1498" t="s">
        <v>66317</v>
      </c>
      <c t="s">
        <v>13397</v>
      </c>
      <c t="s">
        <v>50917</v>
      </c>
      <c t="s">
        <v>18668</v>
      </c>
      <c t="s">
        <v>22302</v>
      </c>
      <c t="s">
        <v>3093</v>
      </c>
      <c t="s">
        <v>15184</v>
      </c>
    </row>
    <row>
      <c t="s">
        <v>17594</v>
      </c>
      <c t="s">
        <v>38227</v>
      </c>
      <c t="s">
        <v>2705</v>
      </c>
      <c t="s">
        <v>11662</v>
      </c>
      <c t="s">
        <v>57797</v>
      </c>
      <c s="3">
        <v>54000</v>
      </c>
      <c s="3">
        <v>54000</v>
      </c>
      <c s="3">
        <v>29700</v>
      </c>
      <c>
        <v>0</v>
      </c>
      <c s="3">
        <v>0</v>
      </c>
      <c s="3">
        <v>844.71</v>
      </c>
      <c s="3">
        <v>54000</v>
      </c>
      <c r="O1499" s="1" t="str">
        <f ca="1">HYPERLINK("https://web.datatree.com/?/property?propertyId=32513182", "https://web.datatree.com/?/property?propertyId=32513182")</f>
        <v>https://web.datatree.com/?/property?propertyId=32513182</v>
      </c>
      <c r="Q1499" t="s">
        <v>316</v>
      </c>
      <c>
        <v>0.23</v>
      </c>
      <c t="s">
        <v>6175</v>
      </c>
      <c t="s">
        <v>27594</v>
      </c>
      <c t="s">
        <v>27594</v>
      </c>
      <c r="X1499" t="s">
        <v>56022</v>
      </c>
      <c t="s">
        <v>58797</v>
      </c>
      <c t="s">
        <v>2517</v>
      </c>
      <c t="s">
        <v>39289</v>
      </c>
      <c>
        <v>33909</v>
      </c>
      <c t="s">
        <v>22002</v>
      </c>
      <c t="s">
        <v>48794</v>
      </c>
      <c t="s">
        <v>66282</v>
      </c>
      <c>
        <v>4421</v>
      </c>
      <c r="AI1499" t="s">
        <v>53200</v>
      </c>
      <c t="s">
        <v>45620</v>
      </c>
      <c r="AL1499" t="s">
        <v>18092</v>
      </c>
      <c t="s">
        <v>18092</v>
      </c>
      <c t="s">
        <v>39289</v>
      </c>
      <c t="s">
        <v>57409</v>
      </c>
      <c t="s">
        <v>19978</v>
      </c>
      <c t="s">
        <v>3093</v>
      </c>
      <c t="s">
        <v>6996</v>
      </c>
    </row>
    <row>
      <c t="s">
        <v>17594</v>
      </c>
      <c t="s">
        <v>41603</v>
      </c>
      <c t="s">
        <v>49620</v>
      </c>
      <c t="s">
        <v>34629</v>
      </c>
      <c t="s">
        <v>5076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1500" s="1" t="str">
        <f ca="1">HYPERLINK("https://web.datatree.com/?/property?propertyId=32513417", "https://web.datatree.com/?/property?propertyId=32513417")</f>
        <v>https://web.datatree.com/?/property?propertyId=32513417</v>
      </c>
      <c r="Q1500" t="s">
        <v>316</v>
      </c>
      <c>
        <v>0.23</v>
      </c>
      <c t="s">
        <v>45031</v>
      </c>
      <c t="s">
        <v>32056</v>
      </c>
      <c t="s">
        <v>43171</v>
      </c>
      <c r="X1500" t="s">
        <v>45882</v>
      </c>
      <c t="s">
        <v>53663</v>
      </c>
      <c t="s">
        <v>2517</v>
      </c>
      <c t="s">
        <v>39289</v>
      </c>
      <c>
        <v>33909</v>
      </c>
      <c t="s">
        <v>33274</v>
      </c>
      <c t="s">
        <v>48794</v>
      </c>
      <c t="s">
        <v>28130</v>
      </c>
      <c>
        <v>16051</v>
      </c>
      <c r="AI1500" t="s">
        <v>19376</v>
      </c>
      <c t="s">
        <v>40123</v>
      </c>
      <c r="AL1500" t="s">
        <v>40012</v>
      </c>
      <c t="s">
        <v>40012</v>
      </c>
      <c t="s">
        <v>50829</v>
      </c>
      <c t="s">
        <v>7140</v>
      </c>
      <c t="s">
        <v>27780</v>
      </c>
      <c t="s">
        <v>3093</v>
      </c>
      <c t="s">
        <v>65385</v>
      </c>
    </row>
    <row>
      <c t="s">
        <v>17594</v>
      </c>
      <c t="s">
        <v>27183</v>
      </c>
      <c t="s">
        <v>20531</v>
      </c>
      <c t="s">
        <v>10050</v>
      </c>
      <c t="s">
        <v>9909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1501" s="1" t="str">
        <f ca="1">HYPERLINK("https://web.datatree.com/?/property?propertyId=32513834", "https://web.datatree.com/?/property?propertyId=32513834")</f>
        <v>https://web.datatree.com/?/property?propertyId=32513834</v>
      </c>
      <c r="Q1501" t="s">
        <v>316</v>
      </c>
      <c>
        <v>0.243</v>
      </c>
      <c t="s">
        <v>6175</v>
      </c>
      <c r="U1501" t="s">
        <v>26868</v>
      </c>
      <c r="W1501" t="s">
        <v>24752</v>
      </c>
      <c t="s">
        <v>1933</v>
      </c>
      <c t="s">
        <v>53675</v>
      </c>
      <c t="s">
        <v>2517</v>
      </c>
      <c t="s">
        <v>39289</v>
      </c>
      <c>
        <v>33909</v>
      </c>
      <c t="s">
        <v>44506</v>
      </c>
      <c t="s">
        <v>48794</v>
      </c>
      <c t="s">
        <v>35081</v>
      </c>
      <c>
        <v>16102</v>
      </c>
      <c r="AI1501" t="s">
        <v>55740</v>
      </c>
      <c t="s">
        <v>31192</v>
      </c>
      <c>
        <v>306</v>
      </c>
      <c t="s">
        <v>26641</v>
      </c>
      <c r="AN1501" t="s">
        <v>39289</v>
      </c>
      <c t="s">
        <v>22312</v>
      </c>
      <c t="s">
        <v>25140</v>
      </c>
      <c t="s">
        <v>3093</v>
      </c>
      <c t="s">
        <v>49788</v>
      </c>
    </row>
    <row>
      <c t="s">
        <v>17594</v>
      </c>
      <c t="s">
        <v>60328</v>
      </c>
      <c t="s">
        <v>12338</v>
      </c>
      <c t="s">
        <v>41432</v>
      </c>
      <c t="s">
        <v>38780</v>
      </c>
      <c s="3">
        <v>22874</v>
      </c>
      <c s="3">
        <v>22874</v>
      </c>
      <c s="3">
        <v>9433</v>
      </c>
      <c>
        <v>0</v>
      </c>
      <c s="3">
        <v>0</v>
      </c>
      <c s="3">
        <v>410.47</v>
      </c>
      <c s="3">
        <v>22874</v>
      </c>
      <c r="O1502" s="1" t="str">
        <f ca="1">HYPERLINK("https://web.datatree.com/?/property?propertyId=32513981", "https://web.datatree.com/?/property?propertyId=32513981")</f>
        <v>https://web.datatree.com/?/property?propertyId=32513981</v>
      </c>
      <c r="Q1502" t="s">
        <v>316</v>
      </c>
      <c>
        <v>0.212</v>
      </c>
      <c t="s">
        <v>5471</v>
      </c>
      <c t="s">
        <v>44541</v>
      </c>
      <c t="s">
        <v>60762</v>
      </c>
      <c r="X1502" t="s">
        <v>26128</v>
      </c>
      <c t="s">
        <v>22254</v>
      </c>
      <c t="s">
        <v>65059</v>
      </c>
      <c t="s">
        <v>39289</v>
      </c>
      <c>
        <v>33905</v>
      </c>
      <c t="s">
        <v>23265</v>
      </c>
      <c t="s">
        <v>48794</v>
      </c>
      <c t="s">
        <v>33392</v>
      </c>
      <c>
        <v>33</v>
      </c>
      <c r="AI1502" t="s">
        <v>51413</v>
      </c>
      <c t="s">
        <v>24900</v>
      </c>
      <c r="AL1502" t="s">
        <v>11713</v>
      </c>
      <c r="AN1502" t="s">
        <v>39289</v>
      </c>
      <c t="s">
        <v>54140</v>
      </c>
      <c t="s">
        <v>23435</v>
      </c>
      <c t="s">
        <v>3093</v>
      </c>
      <c t="s">
        <v>35599</v>
      </c>
    </row>
    <row>
      <c t="s">
        <v>17594</v>
      </c>
      <c t="s">
        <v>42772</v>
      </c>
      <c t="s">
        <v>64642</v>
      </c>
      <c t="s">
        <v>24787</v>
      </c>
      <c t="s">
        <v>61253</v>
      </c>
      <c s="3">
        <v>71705</v>
      </c>
      <c s="3">
        <v>63500</v>
      </c>
      <c s="3">
        <v>69813</v>
      </c>
      <c>
        <v>0</v>
      </c>
      <c s="3">
        <v>0</v>
      </c>
      <c s="3">
        <v>1060.62</v>
      </c>
      <c s="3">
        <v>71705</v>
      </c>
      <c r="O1503" s="1" t="str">
        <f ca="1">HYPERLINK("https://web.datatree.com/?/property?propertyId=32514241", "https://web.datatree.com/?/property?propertyId=32514241")</f>
        <v>https://web.datatree.com/?/property?propertyId=32514241</v>
      </c>
      <c r="Q1503" t="s">
        <v>316</v>
      </c>
      <c>
        <v>0.11</v>
      </c>
      <c t="s">
        <v>26492</v>
      </c>
      <c t="s">
        <v>18894</v>
      </c>
      <c t="s">
        <v>61273</v>
      </c>
      <c t="s">
        <v>21379</v>
      </c>
      <c t="s">
        <v>61273</v>
      </c>
      <c t="s">
        <v>28641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39759</v>
      </c>
      <c>
        <v>5200</v>
      </c>
      <c r="AI1503" t="s">
        <v>30347</v>
      </c>
      <c t="s">
        <v>45393</v>
      </c>
      <c r="AL1503" t="s">
        <v>58743</v>
      </c>
      <c t="s">
        <v>58743</v>
      </c>
      <c t="s">
        <v>58733</v>
      </c>
      <c t="s">
        <v>59596</v>
      </c>
      <c t="s">
        <v>52247</v>
      </c>
      <c t="s">
        <v>3093</v>
      </c>
      <c t="s">
        <v>31368</v>
      </c>
      <c>
        <v>2005</v>
      </c>
    </row>
    <row>
      <c t="s">
        <v>17594</v>
      </c>
      <c t="s">
        <v>2322</v>
      </c>
      <c t="s">
        <v>586</v>
      </c>
      <c t="s">
        <v>46854</v>
      </c>
      <c t="s">
        <v>4092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504" s="1" t="str">
        <f ca="1">HYPERLINK("https://web.datatree.com/?/property?propertyId=32514291", "https://web.datatree.com/?/property?propertyId=32514291")</f>
        <v>https://web.datatree.com/?/property?propertyId=32514291</v>
      </c>
      <c r="Q1504" t="s">
        <v>316</v>
      </c>
      <c>
        <v>0.23</v>
      </c>
      <c t="s">
        <v>6175</v>
      </c>
      <c t="s">
        <v>62125</v>
      </c>
      <c t="s">
        <v>31067</v>
      </c>
      <c r="X1504" t="s">
        <v>30209</v>
      </c>
      <c t="s">
        <v>34731</v>
      </c>
      <c t="s">
        <v>2517</v>
      </c>
      <c t="s">
        <v>39289</v>
      </c>
      <c>
        <v>33909</v>
      </c>
      <c t="s">
        <v>25669</v>
      </c>
      <c t="s">
        <v>48794</v>
      </c>
      <c t="s">
        <v>62415</v>
      </c>
      <c>
        <v>7</v>
      </c>
      <c r="AI1504" t="s">
        <v>65230</v>
      </c>
      <c t="s">
        <v>55842</v>
      </c>
      <c r="AL1504" t="s">
        <v>20144</v>
      </c>
      <c t="s">
        <v>30205</v>
      </c>
      <c t="s">
        <v>50917</v>
      </c>
      <c t="s">
        <v>45430</v>
      </c>
      <c t="s">
        <v>44573</v>
      </c>
      <c t="s">
        <v>3093</v>
      </c>
      <c t="s">
        <v>53230</v>
      </c>
    </row>
    <row>
      <c t="s">
        <v>17594</v>
      </c>
      <c t="s">
        <v>50886</v>
      </c>
      <c t="s">
        <v>51109</v>
      </c>
      <c t="s">
        <v>48206</v>
      </c>
      <c t="s">
        <v>49426</v>
      </c>
      <c s="3">
        <v>7300</v>
      </c>
      <c s="3">
        <v>7300</v>
      </c>
      <c s="3">
        <v>7300</v>
      </c>
      <c>
        <v>0</v>
      </c>
      <c s="3">
        <v>0</v>
      </c>
      <c s="3">
        <v>573.11</v>
      </c>
      <c s="3">
        <v>7300</v>
      </c>
      <c r="O1505" s="1" t="str">
        <f ca="1">HYPERLINK("https://web.datatree.com/?/property?propertyId=32514709", "https://web.datatree.com/?/property?propertyId=32514709")</f>
        <v>https://web.datatree.com/?/property?propertyId=32514709</v>
      </c>
      <c r="Q1505" t="s">
        <v>316</v>
      </c>
      <c>
        <v>0.249</v>
      </c>
      <c t="s">
        <v>22490</v>
      </c>
      <c t="s">
        <v>26624</v>
      </c>
      <c t="s">
        <v>7695</v>
      </c>
      <c t="s">
        <v>58876</v>
      </c>
      <c t="s">
        <v>7695</v>
      </c>
      <c t="s">
        <v>60512</v>
      </c>
      <c t="s">
        <v>53675</v>
      </c>
      <c t="s">
        <v>2517</v>
      </c>
      <c t="s">
        <v>39289</v>
      </c>
      <c>
        <v>33909</v>
      </c>
      <c t="s">
        <v>2968</v>
      </c>
      <c t="s">
        <v>48794</v>
      </c>
      <c t="s">
        <v>21544</v>
      </c>
      <c r="AI1505" t="s">
        <v>9919</v>
      </c>
      <c r="AL1505" t="s">
        <v>30044</v>
      </c>
      <c r="AN1505" t="s">
        <v>13328</v>
      </c>
      <c>
        <v>0</v>
      </c>
      <c r="AR1505" t="s">
        <v>41597</v>
      </c>
    </row>
    <row>
      <c t="s">
        <v>17594</v>
      </c>
      <c t="s">
        <v>12318</v>
      </c>
      <c t="s">
        <v>39192</v>
      </c>
      <c t="s">
        <v>24817</v>
      </c>
      <c t="s">
        <v>22608</v>
      </c>
      <c s="3">
        <v>38645</v>
      </c>
      <c s="3">
        <v>38645</v>
      </c>
      <c s="3">
        <v>32450</v>
      </c>
      <c>
        <v>0</v>
      </c>
      <c s="3">
        <v>0</v>
      </c>
      <c s="3">
        <v>973.16</v>
      </c>
      <c s="3">
        <v>38645</v>
      </c>
      <c r="O1506" s="1" t="str">
        <f ca="1">HYPERLINK("https://web.datatree.com/?/property?propertyId=32515906", "https://web.datatree.com/?/property?propertyId=32515906")</f>
        <v>https://web.datatree.com/?/property?propertyId=32515906</v>
      </c>
      <c r="Q1506" t="s">
        <v>316</v>
      </c>
      <c>
        <v>0.23</v>
      </c>
      <c t="s">
        <v>6175</v>
      </c>
      <c t="s">
        <v>56894</v>
      </c>
      <c t="s">
        <v>51344</v>
      </c>
      <c t="s">
        <v>6361</v>
      </c>
      <c t="s">
        <v>63423</v>
      </c>
      <c t="s">
        <v>65827</v>
      </c>
      <c t="s">
        <v>22731</v>
      </c>
      <c t="s">
        <v>2517</v>
      </c>
      <c t="s">
        <v>39289</v>
      </c>
      <c>
        <v>33909</v>
      </c>
      <c t="s">
        <v>35685</v>
      </c>
      <c t="s">
        <v>48794</v>
      </c>
      <c t="s">
        <v>56462</v>
      </c>
      <c r="AI1506" t="s">
        <v>24776</v>
      </c>
      <c r="AL1506" t="s">
        <v>64723</v>
      </c>
      <c r="AN1506" t="s">
        <v>7234</v>
      </c>
      <c>
        <v>0</v>
      </c>
      <c r="AR1506" t="s">
        <v>27483</v>
      </c>
    </row>
    <row>
      <c t="s">
        <v>17594</v>
      </c>
      <c t="s">
        <v>15769</v>
      </c>
      <c t="s">
        <v>21717</v>
      </c>
      <c t="s">
        <v>5557</v>
      </c>
      <c t="s">
        <v>7126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1507" s="1" t="str">
        <f ca="1">HYPERLINK("https://web.datatree.com/?/property?propertyId=32517532", "https://web.datatree.com/?/property?propertyId=32517532")</f>
        <v>https://web.datatree.com/?/property?propertyId=32517532</v>
      </c>
      <c r="Q1507" t="s">
        <v>316</v>
      </c>
      <c>
        <v>0.278</v>
      </c>
      <c t="s">
        <v>5471</v>
      </c>
      <c t="s">
        <v>32737</v>
      </c>
      <c t="s">
        <v>6342</v>
      </c>
      <c t="s">
        <v>13994</v>
      </c>
      <c t="s">
        <v>6342</v>
      </c>
      <c t="s">
        <v>36532</v>
      </c>
      <c t="s">
        <v>43060</v>
      </c>
      <c t="s">
        <v>65059</v>
      </c>
      <c t="s">
        <v>39289</v>
      </c>
      <c>
        <v>33905</v>
      </c>
      <c t="s">
        <v>60873</v>
      </c>
      <c t="s">
        <v>48794</v>
      </c>
      <c t="s">
        <v>25823</v>
      </c>
      <c>
        <v>425</v>
      </c>
      <c r="AI1507" t="s">
        <v>51031</v>
      </c>
      <c t="s">
        <v>31192</v>
      </c>
      <c r="AL1507" t="s">
        <v>1831</v>
      </c>
      <c r="AN1507" t="s">
        <v>50917</v>
      </c>
      <c t="s">
        <v>40595</v>
      </c>
      <c t="s">
        <v>27410</v>
      </c>
      <c t="s">
        <v>3093</v>
      </c>
      <c t="s">
        <v>60344</v>
      </c>
    </row>
    <row>
      <c t="s">
        <v>17594</v>
      </c>
      <c t="s">
        <v>9379</v>
      </c>
      <c t="s">
        <v>51278</v>
      </c>
      <c t="s">
        <v>46053</v>
      </c>
      <c t="s">
        <v>30645</v>
      </c>
      <c s="3">
        <v>35322</v>
      </c>
      <c s="3">
        <v>35063</v>
      </c>
      <c s="3">
        <v>35224</v>
      </c>
      <c>
        <v>0</v>
      </c>
      <c s="3">
        <v>0</v>
      </c>
      <c s="3">
        <v>488.74</v>
      </c>
      <c s="3">
        <v>35322</v>
      </c>
      <c r="O1508" s="1" t="str">
        <f ca="1">HYPERLINK("https://web.datatree.com/?/property?propertyId=32518976", "https://web.datatree.com/?/property?propertyId=32518976")</f>
        <v>https://web.datatree.com/?/property?propertyId=32518976</v>
      </c>
      <c r="Q1508" t="s">
        <v>316</v>
      </c>
      <c>
        <v>0.049</v>
      </c>
      <c t="s">
        <v>54329</v>
      </c>
      <c t="s">
        <v>25238</v>
      </c>
      <c t="s">
        <v>23807</v>
      </c>
      <c t="s">
        <v>4868</v>
      </c>
      <c t="s">
        <v>23807</v>
      </c>
      <c t="s">
        <v>63636</v>
      </c>
      <c t="s">
        <v>65979</v>
      </c>
      <c t="s">
        <v>65059</v>
      </c>
      <c t="s">
        <v>39289</v>
      </c>
      <c>
        <v>33908</v>
      </c>
      <c>
        <v>33908</v>
      </c>
      <c t="s">
        <v>48794</v>
      </c>
      <c t="s">
        <v>37385</v>
      </c>
      <c>
        <v>3504</v>
      </c>
      <c r="AI1508" t="s">
        <v>57296</v>
      </c>
      <c t="s">
        <v>45393</v>
      </c>
      <c r="AL1508" t="s">
        <v>62300</v>
      </c>
      <c r="AN1508" t="s">
        <v>22275</v>
      </c>
      <c t="s">
        <v>44203</v>
      </c>
      <c t="s">
        <v>30106</v>
      </c>
      <c t="s">
        <v>3093</v>
      </c>
      <c t="s">
        <v>7924</v>
      </c>
      <c>
        <v>1984</v>
      </c>
    </row>
    <row>
      <c t="s">
        <v>17594</v>
      </c>
      <c t="s">
        <v>3716</v>
      </c>
      <c t="s">
        <v>40841</v>
      </c>
      <c t="s">
        <v>63141</v>
      </c>
      <c t="s">
        <v>46079</v>
      </c>
      <c s="3">
        <v>6916</v>
      </c>
      <c s="3">
        <v>6916</v>
      </c>
      <c s="3">
        <v>6188</v>
      </c>
      <c>
        <v>0</v>
      </c>
      <c s="3">
        <v>0</v>
      </c>
      <c s="3">
        <v>92.1</v>
      </c>
      <c s="3">
        <v>6916</v>
      </c>
      <c>
        <v>2021</v>
      </c>
      <c>
        <v>131.37</v>
      </c>
      <c s="1" t="str">
        <f ca="1">HYPERLINK("https://web.datatree.com/?/property?propertyId=32519066", "https://web.datatree.com/?/property?propertyId=32519066")</f>
        <v>https://web.datatree.com/?/property?propertyId=32519066</v>
      </c>
      <c r="Q1509" t="s">
        <v>316</v>
      </c>
      <c>
        <v>0.189</v>
      </c>
      <c t="s">
        <v>51831</v>
      </c>
      <c t="s">
        <v>944</v>
      </c>
      <c t="s">
        <v>56216</v>
      </c>
      <c r="X1509" t="s">
        <v>37316</v>
      </c>
      <c t="s">
        <v>12196</v>
      </c>
      <c t="s">
        <v>54524</v>
      </c>
      <c t="s">
        <v>39289</v>
      </c>
      <c>
        <v>33903</v>
      </c>
      <c t="s">
        <v>55527</v>
      </c>
      <c t="s">
        <v>48794</v>
      </c>
      <c t="s">
        <v>7994</v>
      </c>
      <c>
        <v>8563</v>
      </c>
      <c r="AI1509" t="s">
        <v>39691</v>
      </c>
      <c t="s">
        <v>55842</v>
      </c>
      <c r="AL1509" t="s">
        <v>36970</v>
      </c>
      <c r="AN1509" t="s">
        <v>39289</v>
      </c>
      <c t="s">
        <v>13822</v>
      </c>
      <c t="s">
        <v>6928</v>
      </c>
      <c t="s">
        <v>3093</v>
      </c>
      <c t="s">
        <v>4254</v>
      </c>
    </row>
    <row>
      <c t="s">
        <v>17594</v>
      </c>
      <c t="s">
        <v>56263</v>
      </c>
      <c t="s">
        <v>62471</v>
      </c>
      <c t="s">
        <v>13189</v>
      </c>
      <c t="s">
        <v>32711</v>
      </c>
      <c s="3">
        <v>8570</v>
      </c>
      <c s="3">
        <v>8570</v>
      </c>
      <c s="3">
        <v>4972</v>
      </c>
      <c>
        <v>0</v>
      </c>
      <c s="3">
        <v>0</v>
      </c>
      <c s="3">
        <v>315.35</v>
      </c>
      <c s="3">
        <v>8570</v>
      </c>
      <c r="O1510" s="1" t="str">
        <f ca="1">HYPERLINK("https://web.datatree.com/?/property?propertyId=32519502", "https://web.datatree.com/?/property?propertyId=32519502")</f>
        <v>https://web.datatree.com/?/property?propertyId=32519502</v>
      </c>
      <c r="Q1510" t="s">
        <v>316</v>
      </c>
      <c>
        <v>0.233</v>
      </c>
      <c t="s">
        <v>5471</v>
      </c>
      <c t="s">
        <v>31925</v>
      </c>
      <c t="s">
        <v>13709</v>
      </c>
      <c r="X1510" t="s">
        <v>55826</v>
      </c>
      <c t="s">
        <v>47180</v>
      </c>
      <c t="s">
        <v>65059</v>
      </c>
      <c t="s">
        <v>39289</v>
      </c>
      <c>
        <v>33905</v>
      </c>
      <c t="s">
        <v>13973</v>
      </c>
      <c t="s">
        <v>48794</v>
      </c>
      <c t="s">
        <v>22343</v>
      </c>
      <c>
        <v>19</v>
      </c>
      <c r="AI1510" t="s">
        <v>20188</v>
      </c>
      <c t="s">
        <v>45620</v>
      </c>
      <c r="AL1510" t="s">
        <v>2138</v>
      </c>
      <c r="AN1510" t="s">
        <v>10909</v>
      </c>
      <c t="s">
        <v>55797</v>
      </c>
      <c r="AQ1510" t="s">
        <v>27814</v>
      </c>
      <c t="s">
        <v>50985</v>
      </c>
    </row>
    <row>
      <c t="s">
        <v>17594</v>
      </c>
      <c t="s">
        <v>63175</v>
      </c>
      <c t="s">
        <v>21645</v>
      </c>
      <c t="s">
        <v>43987</v>
      </c>
      <c t="s">
        <v>66847</v>
      </c>
      <c s="3">
        <v>8100</v>
      </c>
      <c s="3">
        <v>8100</v>
      </c>
      <c s="3">
        <v>8100</v>
      </c>
      <c>
        <v>0</v>
      </c>
      <c s="3">
        <v>0</v>
      </c>
      <c s="3">
        <v>583.82</v>
      </c>
      <c s="3">
        <v>8100</v>
      </c>
      <c>
        <v>2015</v>
      </c>
      <c>
        <v>2833.9</v>
      </c>
      <c s="1" t="str">
        <f ca="1">HYPERLINK("https://web.datatree.com/?/property?propertyId=32519581", "https://web.datatree.com/?/property?propertyId=32519581")</f>
        <v>https://web.datatree.com/?/property?propertyId=32519581</v>
      </c>
      <c r="Q1511" t="s">
        <v>316</v>
      </c>
      <c>
        <v>0.258</v>
      </c>
      <c t="s">
        <v>6175</v>
      </c>
      <c t="s">
        <v>1949</v>
      </c>
      <c t="s">
        <v>49325</v>
      </c>
      <c r="X1511" t="s">
        <v>60636</v>
      </c>
      <c t="s">
        <v>13829</v>
      </c>
      <c t="s">
        <v>2517</v>
      </c>
      <c t="s">
        <v>39289</v>
      </c>
      <c>
        <v>33909</v>
      </c>
      <c t="s">
        <v>48991</v>
      </c>
      <c t="s">
        <v>48794</v>
      </c>
      <c t="s">
        <v>66289</v>
      </c>
      <c>
        <v>1810</v>
      </c>
      <c r="AI1511" t="s">
        <v>2626</v>
      </c>
      <c t="s">
        <v>24900</v>
      </c>
      <c t="s">
        <v>65349</v>
      </c>
      <c t="s">
        <v>55393</v>
      </c>
      <c t="s">
        <v>55393</v>
      </c>
      <c t="s">
        <v>39289</v>
      </c>
      <c t="s">
        <v>36630</v>
      </c>
      <c t="s">
        <v>32746</v>
      </c>
      <c t="s">
        <v>3093</v>
      </c>
      <c t="s">
        <v>8376</v>
      </c>
    </row>
    <row>
      <c t="s">
        <v>17594</v>
      </c>
      <c t="s">
        <v>40489</v>
      </c>
      <c t="s">
        <v>67131</v>
      </c>
      <c t="s">
        <v>33909</v>
      </c>
      <c t="s">
        <v>19752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1512" s="1" t="str">
        <f ca="1">HYPERLINK("https://web.datatree.com/?/property?propertyId=32519742", "https://web.datatree.com/?/property?propertyId=32519742")</f>
        <v>https://web.datatree.com/?/property?propertyId=32519742</v>
      </c>
      <c r="Q1512" t="s">
        <v>316</v>
      </c>
      <c>
        <v>0.23</v>
      </c>
      <c t="s">
        <v>6175</v>
      </c>
      <c t="s">
        <v>48633</v>
      </c>
      <c t="s">
        <v>50852</v>
      </c>
      <c r="X1512" t="s">
        <v>53658</v>
      </c>
      <c t="s">
        <v>2619</v>
      </c>
      <c t="s">
        <v>2517</v>
      </c>
      <c t="s">
        <v>39289</v>
      </c>
      <c>
        <v>33909</v>
      </c>
      <c t="s">
        <v>16622</v>
      </c>
      <c t="s">
        <v>48794</v>
      </c>
      <c t="s">
        <v>58290</v>
      </c>
      <c>
        <v>2841</v>
      </c>
      <c r="AI1512" t="s">
        <v>2297</v>
      </c>
      <c t="s">
        <v>45393</v>
      </c>
      <c r="AL1512" t="s">
        <v>59391</v>
      </c>
      <c t="s">
        <v>61666</v>
      </c>
      <c t="s">
        <v>39289</v>
      </c>
      <c t="s">
        <v>63681</v>
      </c>
      <c t="s">
        <v>62830</v>
      </c>
      <c t="s">
        <v>3093</v>
      </c>
      <c t="s">
        <v>5909</v>
      </c>
    </row>
    <row>
      <c t="s">
        <v>17594</v>
      </c>
      <c t="s">
        <v>4300</v>
      </c>
      <c t="s">
        <v>42129</v>
      </c>
      <c t="s">
        <v>21378</v>
      </c>
      <c t="s">
        <v>66303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1513" s="1" t="str">
        <f ca="1">HYPERLINK("https://web.datatree.com/?/property?propertyId=32520306", "https://web.datatree.com/?/property?propertyId=32520306")</f>
        <v>https://web.datatree.com/?/property?propertyId=32520306</v>
      </c>
      <c r="Q1513" t="s">
        <v>316</v>
      </c>
      <c>
        <v>0.23</v>
      </c>
      <c t="s">
        <v>6175</v>
      </c>
      <c t="s">
        <v>48593</v>
      </c>
      <c t="s">
        <v>26577</v>
      </c>
      <c r="X1513" t="s">
        <v>21509</v>
      </c>
      <c t="s">
        <v>50440</v>
      </c>
      <c t="s">
        <v>2517</v>
      </c>
      <c t="s">
        <v>39289</v>
      </c>
      <c>
        <v>33909</v>
      </c>
      <c t="s">
        <v>18774</v>
      </c>
      <c t="s">
        <v>48794</v>
      </c>
      <c t="s">
        <v>20329</v>
      </c>
      <c>
        <v>2010</v>
      </c>
      <c r="AI1513" t="s">
        <v>21376</v>
      </c>
      <c t="s">
        <v>45620</v>
      </c>
      <c r="AL1513" t="s">
        <v>66317</v>
      </c>
      <c t="s">
        <v>13397</v>
      </c>
      <c t="s">
        <v>50917</v>
      </c>
      <c t="s">
        <v>64766</v>
      </c>
      <c t="s">
        <v>26242</v>
      </c>
      <c t="s">
        <v>3093</v>
      </c>
      <c t="s">
        <v>672</v>
      </c>
    </row>
    <row>
      <c t="s">
        <v>17594</v>
      </c>
      <c t="s">
        <v>60604</v>
      </c>
      <c t="s">
        <v>57872</v>
      </c>
      <c t="s">
        <v>30325</v>
      </c>
      <c t="s">
        <v>6997</v>
      </c>
      <c s="3">
        <v>38645</v>
      </c>
      <c s="3">
        <v>38645</v>
      </c>
      <c s="3">
        <v>15044</v>
      </c>
      <c>
        <v>0</v>
      </c>
      <c s="3">
        <v>0</v>
      </c>
      <c s="3">
        <v>794.88</v>
      </c>
      <c s="3">
        <v>38645</v>
      </c>
      <c r="O1514" s="1" t="str">
        <f ca="1">HYPERLINK("https://web.datatree.com/?/property?propertyId=32520692", "https://web.datatree.com/?/property?propertyId=32520692")</f>
        <v>https://web.datatree.com/?/property?propertyId=32520692</v>
      </c>
      <c r="Q1514" t="s">
        <v>316</v>
      </c>
      <c>
        <v>0.23</v>
      </c>
      <c t="s">
        <v>6175</v>
      </c>
      <c r="U1514" t="s">
        <v>13423</v>
      </c>
      <c t="s">
        <v>31694</v>
      </c>
      <c t="s">
        <v>9107</v>
      </c>
      <c t="s">
        <v>17184</v>
      </c>
      <c t="s">
        <v>53663</v>
      </c>
      <c t="s">
        <v>2517</v>
      </c>
      <c t="s">
        <v>39289</v>
      </c>
      <c>
        <v>33909</v>
      </c>
      <c t="s">
        <v>56358</v>
      </c>
      <c t="s">
        <v>48794</v>
      </c>
      <c t="s">
        <v>53517</v>
      </c>
      <c>
        <v>2837</v>
      </c>
      <c r="AI1514" t="s">
        <v>33112</v>
      </c>
      <c t="s">
        <v>31192</v>
      </c>
      <c r="AL1514" t="s">
        <v>10990</v>
      </c>
      <c t="s">
        <v>290</v>
      </c>
      <c t="s">
        <v>17134</v>
      </c>
      <c t="s">
        <v>5574</v>
      </c>
      <c t="s">
        <v>48506</v>
      </c>
      <c t="s">
        <v>3093</v>
      </c>
      <c t="s">
        <v>58868</v>
      </c>
    </row>
    <row>
      <c t="s">
        <v>17594</v>
      </c>
      <c t="s">
        <v>64187</v>
      </c>
      <c t="s">
        <v>55311</v>
      </c>
      <c t="s">
        <v>56063</v>
      </c>
      <c t="s">
        <v>36042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>
        <v>2021</v>
      </c>
      <c>
        <v>523.58</v>
      </c>
      <c s="1" t="str">
        <f ca="1">HYPERLINK("https://web.datatree.com/?/property?propertyId=32521076", "https://web.datatree.com/?/property?propertyId=32521076")</f>
        <v>https://web.datatree.com/?/property?propertyId=32521076</v>
      </c>
      <c r="Q1515" t="s">
        <v>316</v>
      </c>
      <c>
        <v>0.23</v>
      </c>
      <c t="s">
        <v>6175</v>
      </c>
      <c t="s">
        <v>1272</v>
      </c>
      <c t="s">
        <v>9137</v>
      </c>
      <c r="X1515" t="s">
        <v>38338</v>
      </c>
      <c t="s">
        <v>13065</v>
      </c>
      <c t="s">
        <v>2517</v>
      </c>
      <c t="s">
        <v>39289</v>
      </c>
      <c>
        <v>33909</v>
      </c>
      <c t="s">
        <v>11868</v>
      </c>
      <c t="s">
        <v>48794</v>
      </c>
      <c t="s">
        <v>42412</v>
      </c>
      <c>
        <v>1042</v>
      </c>
      <c r="AI1515" t="s">
        <v>8175</v>
      </c>
      <c t="s">
        <v>31192</v>
      </c>
      <c r="AL1515" t="s">
        <v>44211</v>
      </c>
      <c r="AN1515" t="s">
        <v>17134</v>
      </c>
      <c t="s">
        <v>56043</v>
      </c>
      <c t="s">
        <v>61410</v>
      </c>
      <c t="s">
        <v>3093</v>
      </c>
      <c t="s">
        <v>62991</v>
      </c>
    </row>
    <row>
      <c t="s">
        <v>17594</v>
      </c>
      <c t="s">
        <v>65057</v>
      </c>
      <c t="s">
        <v>61139</v>
      </c>
      <c t="s">
        <v>10865</v>
      </c>
      <c t="s">
        <v>25935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1516" s="1" t="str">
        <f ca="1">HYPERLINK("https://web.datatree.com/?/property?propertyId=32521558", "https://web.datatree.com/?/property?propertyId=32521558")</f>
        <v>https://web.datatree.com/?/property?propertyId=32521558</v>
      </c>
      <c r="Q1516" t="s">
        <v>316</v>
      </c>
      <c>
        <v>0.23</v>
      </c>
      <c t="s">
        <v>22490</v>
      </c>
      <c t="s">
        <v>3617</v>
      </c>
      <c t="s">
        <v>10709</v>
      </c>
      <c t="s">
        <v>52701</v>
      </c>
      <c t="s">
        <v>10709</v>
      </c>
      <c t="s">
        <v>37214</v>
      </c>
      <c t="s">
        <v>49674</v>
      </c>
      <c t="s">
        <v>2517</v>
      </c>
      <c t="s">
        <v>39289</v>
      </c>
      <c>
        <v>33909</v>
      </c>
      <c t="s">
        <v>5644</v>
      </c>
      <c t="s">
        <v>48794</v>
      </c>
      <c t="s">
        <v>33849</v>
      </c>
      <c>
        <v>340</v>
      </c>
      <c r="AI1516" t="s">
        <v>2626</v>
      </c>
      <c t="s">
        <v>45393</v>
      </c>
      <c>
        <v>103</v>
      </c>
      <c t="s">
        <v>29515</v>
      </c>
      <c t="s">
        <v>29515</v>
      </c>
      <c t="s">
        <v>39289</v>
      </c>
      <c t="s">
        <v>54656</v>
      </c>
      <c t="s">
        <v>53800</v>
      </c>
      <c t="s">
        <v>3093</v>
      </c>
      <c t="s">
        <v>7789</v>
      </c>
    </row>
    <row>
      <c t="s">
        <v>17594</v>
      </c>
      <c t="s">
        <v>59015</v>
      </c>
      <c t="s">
        <v>36086</v>
      </c>
      <c t="s">
        <v>22957</v>
      </c>
      <c t="s">
        <v>38853</v>
      </c>
      <c s="3">
        <v>11056</v>
      </c>
      <c s="3">
        <v>11056</v>
      </c>
      <c s="3">
        <v>7425</v>
      </c>
      <c>
        <v>0</v>
      </c>
      <c s="3">
        <v>0</v>
      </c>
      <c s="3">
        <v>135.79</v>
      </c>
      <c s="3">
        <v>11056</v>
      </c>
      <c r="O1517" s="1" t="str">
        <f ca="1">HYPERLINK("https://web.datatree.com/?/property?propertyId=32521757", "https://web.datatree.com/?/property?propertyId=32521757")</f>
        <v>https://web.datatree.com/?/property?propertyId=32521757</v>
      </c>
      <c r="Q1517" t="s">
        <v>316</v>
      </c>
      <c>
        <v>0.222</v>
      </c>
      <c t="s">
        <v>5471</v>
      </c>
      <c t="s">
        <v>16200</v>
      </c>
      <c t="s">
        <v>40993</v>
      </c>
      <c r="X1517" t="s">
        <v>58363</v>
      </c>
      <c t="s">
        <v>51569</v>
      </c>
      <c t="s">
        <v>65059</v>
      </c>
      <c t="s">
        <v>39289</v>
      </c>
      <c>
        <v>33905</v>
      </c>
      <c t="s">
        <v>6809</v>
      </c>
      <c t="s">
        <v>48794</v>
      </c>
      <c t="s">
        <v>42312</v>
      </c>
      <c>
        <v>6610</v>
      </c>
      <c r="AI1517" t="s">
        <v>43991</v>
      </c>
      <c t="s">
        <v>24900</v>
      </c>
      <c t="s">
        <v>54841</v>
      </c>
      <c t="s">
        <v>23051</v>
      </c>
      <c t="s">
        <v>13397</v>
      </c>
      <c t="s">
        <v>50917</v>
      </c>
      <c t="s">
        <v>134</v>
      </c>
      <c t="s">
        <v>45980</v>
      </c>
      <c t="s">
        <v>3093</v>
      </c>
      <c t="s">
        <v>58616</v>
      </c>
    </row>
    <row>
      <c t="s">
        <v>17594</v>
      </c>
      <c t="s">
        <v>57123</v>
      </c>
      <c t="s">
        <v>18665</v>
      </c>
      <c t="s">
        <v>4743</v>
      </c>
      <c t="s">
        <v>28332</v>
      </c>
      <c s="3">
        <v>26249</v>
      </c>
      <c s="3">
        <v>26249</v>
      </c>
      <c s="3">
        <v>9339</v>
      </c>
      <c>
        <v>0</v>
      </c>
      <c s="3">
        <v>0</v>
      </c>
      <c s="3">
        <v>3060.17</v>
      </c>
      <c s="3">
        <v>26249</v>
      </c>
      <c r="O1518" s="1" t="str">
        <f ca="1">HYPERLINK("https://web.datatree.com/?/property?propertyId=32521787", "https://web.datatree.com/?/property?propertyId=32521787")</f>
        <v>https://web.datatree.com/?/property?propertyId=32521787</v>
      </c>
      <c r="Q1518" t="s">
        <v>316</v>
      </c>
      <c>
        <v>0.27</v>
      </c>
      <c t="s">
        <v>6175</v>
      </c>
      <c t="s">
        <v>64044</v>
      </c>
      <c t="s">
        <v>22768</v>
      </c>
      <c r="X1518" t="s">
        <v>23672</v>
      </c>
      <c t="s">
        <v>55273</v>
      </c>
      <c t="s">
        <v>2517</v>
      </c>
      <c t="s">
        <v>39289</v>
      </c>
      <c>
        <v>33909</v>
      </c>
      <c t="s">
        <v>57503</v>
      </c>
      <c t="s">
        <v>48794</v>
      </c>
      <c t="s">
        <v>10729</v>
      </c>
      <c>
        <v>144</v>
      </c>
      <c r="AI1518" t="s">
        <v>35810</v>
      </c>
      <c t="s">
        <v>31192</v>
      </c>
      <c r="AL1518" t="s">
        <v>39802</v>
      </c>
      <c t="s">
        <v>39802</v>
      </c>
      <c t="s">
        <v>18236</v>
      </c>
      <c t="s">
        <v>44107</v>
      </c>
      <c t="s">
        <v>5652</v>
      </c>
      <c t="s">
        <v>3093</v>
      </c>
      <c t="s">
        <v>2362</v>
      </c>
    </row>
    <row>
      <c t="s">
        <v>17594</v>
      </c>
      <c t="s">
        <v>50533</v>
      </c>
      <c t="s">
        <v>10924</v>
      </c>
      <c t="s">
        <v>21296</v>
      </c>
      <c t="s">
        <v>32874</v>
      </c>
      <c s="3">
        <v>261913</v>
      </c>
      <c s="3">
        <v>250184</v>
      </c>
      <c s="3">
        <v>152052</v>
      </c>
      <c>
        <v>0</v>
      </c>
      <c s="3">
        <v>0</v>
      </c>
      <c s="3">
        <v>3407.21</v>
      </c>
      <c s="3">
        <v>261913</v>
      </c>
      <c>
        <v>2020</v>
      </c>
      <c>
        <v>11740.62</v>
      </c>
      <c s="1" t="str">
        <f ca="1">HYPERLINK("https://web.datatree.com/?/property?propertyId=32522162", "https://web.datatree.com/?/property?propertyId=32522162")</f>
        <v>https://web.datatree.com/?/property?propertyId=32522162</v>
      </c>
      <c r="Q1519" t="s">
        <v>316</v>
      </c>
      <c>
        <v>0.23</v>
      </c>
      <c t="s">
        <v>22490</v>
      </c>
      <c t="s">
        <v>1011</v>
      </c>
      <c t="s">
        <v>24321</v>
      </c>
      <c r="X1519" t="s">
        <v>5848</v>
      </c>
      <c t="s">
        <v>13065</v>
      </c>
      <c t="s">
        <v>2517</v>
      </c>
      <c t="s">
        <v>39289</v>
      </c>
      <c>
        <v>33904</v>
      </c>
      <c>
        <v>33904</v>
      </c>
      <c t="s">
        <v>48794</v>
      </c>
      <c t="s">
        <v>6603</v>
      </c>
      <c>
        <v>555</v>
      </c>
      <c r="AI1519" t="s">
        <v>39082</v>
      </c>
      <c t="s">
        <v>45393</v>
      </c>
      <c t="s">
        <v>43212</v>
      </c>
      <c t="s">
        <v>55393</v>
      </c>
      <c r="AN1519" t="s">
        <v>39289</v>
      </c>
      <c t="s">
        <v>31396</v>
      </c>
      <c t="s">
        <v>43313</v>
      </c>
      <c t="s">
        <v>3093</v>
      </c>
      <c t="s">
        <v>40273</v>
      </c>
    </row>
    <row>
      <c t="s">
        <v>17594</v>
      </c>
      <c t="s">
        <v>56402</v>
      </c>
      <c t="s">
        <v>36106</v>
      </c>
      <c t="s">
        <v>62386</v>
      </c>
      <c t="s">
        <v>67052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1520" s="1" t="str">
        <f ca="1">HYPERLINK("https://web.datatree.com/?/property?propertyId=32522681", "https://web.datatree.com/?/property?propertyId=32522681")</f>
        <v>https://web.datatree.com/?/property?propertyId=32522681</v>
      </c>
      <c r="Q1520" t="s">
        <v>316</v>
      </c>
      <c>
        <v>0.23</v>
      </c>
      <c t="s">
        <v>22490</v>
      </c>
      <c t="s">
        <v>45977</v>
      </c>
      <c t="s">
        <v>54313</v>
      </c>
      <c r="X1520" t="s">
        <v>53315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20636</v>
      </c>
      <c>
        <v>7609</v>
      </c>
      <c r="AI1520" t="s">
        <v>23517</v>
      </c>
      <c t="s">
        <v>24900</v>
      </c>
      <c>
        <v>123</v>
      </c>
      <c t="s">
        <v>45059</v>
      </c>
      <c r="AN1520" t="s">
        <v>50917</v>
      </c>
      <c t="s">
        <v>60874</v>
      </c>
      <c t="s">
        <v>26242</v>
      </c>
      <c t="s">
        <v>3093</v>
      </c>
      <c t="s">
        <v>2186</v>
      </c>
    </row>
    <row>
      <c t="s">
        <v>17594</v>
      </c>
      <c t="s">
        <v>44254</v>
      </c>
      <c t="s">
        <v>49819</v>
      </c>
      <c t="s">
        <v>66473</v>
      </c>
      <c t="s">
        <v>57004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521" s="1" t="str">
        <f ca="1">HYPERLINK("https://web.datatree.com/?/property?propertyId=32522833", "https://web.datatree.com/?/property?propertyId=32522833")</f>
        <v>https://web.datatree.com/?/property?propertyId=32522833</v>
      </c>
      <c r="Q1521" t="s">
        <v>316</v>
      </c>
      <c>
        <v>0.238</v>
      </c>
      <c t="s">
        <v>5471</v>
      </c>
      <c t="s">
        <v>30261</v>
      </c>
      <c t="s">
        <v>20391</v>
      </c>
      <c t="s">
        <v>2407</v>
      </c>
      <c t="s">
        <v>20391</v>
      </c>
      <c t="s">
        <v>56395</v>
      </c>
      <c t="s">
        <v>10854</v>
      </c>
      <c t="s">
        <v>65059</v>
      </c>
      <c t="s">
        <v>39289</v>
      </c>
      <c>
        <v>33905</v>
      </c>
      <c t="s">
        <v>65255</v>
      </c>
      <c t="s">
        <v>48794</v>
      </c>
      <c t="s">
        <v>1536</v>
      </c>
      <c>
        <v>216</v>
      </c>
      <c r="AH1521" t="s">
        <v>6851</v>
      </c>
      <c t="s">
        <v>18018</v>
      </c>
      <c t="s">
        <v>41372</v>
      </c>
      <c r="AL1521" t="s">
        <v>37196</v>
      </c>
      <c r="AN1521" t="s">
        <v>51087</v>
      </c>
      <c t="s">
        <v>12919</v>
      </c>
      <c t="s">
        <v>35354</v>
      </c>
      <c t="s">
        <v>3093</v>
      </c>
      <c t="s">
        <v>45173</v>
      </c>
    </row>
    <row>
      <c t="s">
        <v>17594</v>
      </c>
      <c t="s">
        <v>44507</v>
      </c>
      <c t="s">
        <v>58947</v>
      </c>
      <c t="s">
        <v>17040</v>
      </c>
      <c t="s">
        <v>43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>
        <v>2021</v>
      </c>
      <c>
        <v>544.98</v>
      </c>
      <c s="1" t="str">
        <f ca="1">HYPERLINK("https://web.datatree.com/?/property?propertyId=32523196", "https://web.datatree.com/?/property?propertyId=32523196")</f>
        <v>https://web.datatree.com/?/property?propertyId=32523196</v>
      </c>
      <c r="Q1522" t="s">
        <v>316</v>
      </c>
      <c>
        <v>0.232</v>
      </c>
      <c t="s">
        <v>45031</v>
      </c>
      <c t="s">
        <v>41336</v>
      </c>
      <c t="s">
        <v>8872</v>
      </c>
      <c t="s">
        <v>66761</v>
      </c>
      <c t="s">
        <v>17661</v>
      </c>
      <c t="s">
        <v>27131</v>
      </c>
      <c t="s">
        <v>29190</v>
      </c>
      <c t="s">
        <v>2517</v>
      </c>
      <c t="s">
        <v>39289</v>
      </c>
      <c>
        <v>33909</v>
      </c>
      <c t="s">
        <v>28033</v>
      </c>
      <c t="s">
        <v>48794</v>
      </c>
      <c t="s">
        <v>37207</v>
      </c>
      <c>
        <v>60</v>
      </c>
      <c r="AI1522" t="s">
        <v>39704</v>
      </c>
      <c r="AL1522" t="s">
        <v>17711</v>
      </c>
      <c r="AN1522" t="s">
        <v>7234</v>
      </c>
      <c>
        <v>0</v>
      </c>
      <c r="AQ1522" t="s">
        <v>3093</v>
      </c>
      <c t="s">
        <v>2773</v>
      </c>
    </row>
    <row>
      <c t="s">
        <v>42103</v>
      </c>
      <c t="s">
        <v>44856</v>
      </c>
      <c t="s">
        <v>56178</v>
      </c>
      <c t="s">
        <v>3559</v>
      </c>
      <c t="s">
        <v>60437</v>
      </c>
      <c s="3">
        <v>28919</v>
      </c>
      <c s="3">
        <v>28919</v>
      </c>
      <c s="3">
        <v>13915</v>
      </c>
      <c>
        <v>0</v>
      </c>
      <c s="3">
        <v>0</v>
      </c>
      <c s="3">
        <v>724.83</v>
      </c>
      <c s="3">
        <v>28919</v>
      </c>
      <c r="O1523" s="1" t="str">
        <f ca="1">HYPERLINK("https://web.datatree.com/?/property?propertyId=32524070", "https://web.datatree.com/?/property?propertyId=32524070")</f>
        <v>https://web.datatree.com/?/property?propertyId=32524070</v>
      </c>
      <c r="Q1523" t="s">
        <v>316</v>
      </c>
      <c>
        <v>0.283</v>
      </c>
      <c t="s">
        <v>22490</v>
      </c>
      <c t="s">
        <v>27351</v>
      </c>
      <c t="s">
        <v>57395</v>
      </c>
      <c t="s">
        <v>49241</v>
      </c>
      <c t="s">
        <v>19492</v>
      </c>
      <c t="s">
        <v>55566</v>
      </c>
      <c t="s">
        <v>10653</v>
      </c>
      <c t="s">
        <v>2517</v>
      </c>
      <c t="s">
        <v>39289</v>
      </c>
      <c>
        <v>33909</v>
      </c>
      <c t="s">
        <v>33399</v>
      </c>
      <c t="s">
        <v>48794</v>
      </c>
      <c t="s">
        <v>67030</v>
      </c>
      <c r="AI1523" t="s">
        <v>33527</v>
      </c>
      <c r="AL1523" t="s">
        <v>13759</v>
      </c>
      <c r="AN1523" t="s">
        <v>44551</v>
      </c>
      <c t="s">
        <v>59642</v>
      </c>
      <c t="s">
        <v>22417</v>
      </c>
      <c t="s">
        <v>3093</v>
      </c>
      <c t="s">
        <v>11202</v>
      </c>
    </row>
    <row>
      <c t="s">
        <v>17594</v>
      </c>
      <c t="s">
        <v>5357</v>
      </c>
      <c t="s">
        <v>23886</v>
      </c>
      <c t="s">
        <v>9602</v>
      </c>
      <c t="s">
        <v>3088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1524" s="1" t="str">
        <f ca="1">HYPERLINK("https://web.datatree.com/?/property?propertyId=32524406", "https://web.datatree.com/?/property?propertyId=32524406")</f>
        <v>https://web.datatree.com/?/property?propertyId=32524406</v>
      </c>
      <c r="Q1524" t="s">
        <v>316</v>
      </c>
      <c>
        <v>0.23</v>
      </c>
      <c t="s">
        <v>22490</v>
      </c>
      <c t="s">
        <v>35571</v>
      </c>
      <c t="s">
        <v>46589</v>
      </c>
      <c t="s">
        <v>47165</v>
      </c>
      <c t="s">
        <v>46589</v>
      </c>
      <c t="s">
        <v>52897</v>
      </c>
      <c t="s">
        <v>47150</v>
      </c>
      <c t="s">
        <v>2517</v>
      </c>
      <c t="s">
        <v>39289</v>
      </c>
      <c>
        <v>33909</v>
      </c>
      <c t="s">
        <v>14210</v>
      </c>
      <c t="s">
        <v>48794</v>
      </c>
      <c t="s">
        <v>59772</v>
      </c>
      <c>
        <v>208</v>
      </c>
      <c r="AI1524" t="s">
        <v>18679</v>
      </c>
      <c t="s">
        <v>45393</v>
      </c>
      <c r="AL1524" t="s">
        <v>19948</v>
      </c>
      <c r="AN1524" t="s">
        <v>50917</v>
      </c>
      <c t="s">
        <v>18565</v>
      </c>
      <c t="s">
        <v>35508</v>
      </c>
      <c t="s">
        <v>3093</v>
      </c>
      <c t="s">
        <v>59775</v>
      </c>
    </row>
    <row>
      <c t="s">
        <v>17594</v>
      </c>
      <c t="s">
        <v>63065</v>
      </c>
      <c t="s">
        <v>42557</v>
      </c>
      <c t="s">
        <v>56137</v>
      </c>
      <c t="s">
        <v>5736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525" s="1" t="str">
        <f ca="1">HYPERLINK("https://web.datatree.com/?/property?propertyId=32524931", "https://web.datatree.com/?/property?propertyId=32524931")</f>
        <v>https://web.datatree.com/?/property?propertyId=32524931</v>
      </c>
      <c r="Q1525" t="s">
        <v>316</v>
      </c>
      <c>
        <v>0.235</v>
      </c>
      <c t="s">
        <v>6175</v>
      </c>
      <c t="s">
        <v>21157</v>
      </c>
      <c t="s">
        <v>63615</v>
      </c>
      <c r="X1525" t="s">
        <v>9769</v>
      </c>
      <c t="s">
        <v>371</v>
      </c>
      <c t="s">
        <v>2517</v>
      </c>
      <c t="s">
        <v>39289</v>
      </c>
      <c>
        <v>33909</v>
      </c>
      <c t="s">
        <v>49301</v>
      </c>
      <c t="s">
        <v>48794</v>
      </c>
      <c t="s">
        <v>42275</v>
      </c>
      <c>
        <v>211</v>
      </c>
      <c r="AI1525" t="s">
        <v>11724</v>
      </c>
      <c t="s">
        <v>45393</v>
      </c>
      <c>
        <v>307</v>
      </c>
      <c t="s">
        <v>21424</v>
      </c>
      <c r="AN1525" t="s">
        <v>513</v>
      </c>
      <c>
        <v>12</v>
      </c>
      <c r="AR1525" t="s">
        <v>27480</v>
      </c>
    </row>
    <row>
      <c t="s">
        <v>17594</v>
      </c>
      <c t="s">
        <v>1357</v>
      </c>
      <c t="s">
        <v>52341</v>
      </c>
      <c t="s">
        <v>37448</v>
      </c>
      <c t="s">
        <v>44736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1526" s="1" t="str">
        <f ca="1">HYPERLINK("https://web.datatree.com/?/property?propertyId=32525989", "https://web.datatree.com/?/property?propertyId=32525989")</f>
        <v>https://web.datatree.com/?/property?propertyId=32525989</v>
      </c>
      <c r="Q1526" t="s">
        <v>316</v>
      </c>
      <c>
        <v>0.23</v>
      </c>
      <c t="s">
        <v>22490</v>
      </c>
      <c t="s">
        <v>63066</v>
      </c>
      <c t="s">
        <v>53262</v>
      </c>
      <c r="X1526" t="s">
        <v>53173</v>
      </c>
      <c t="s">
        <v>15510</v>
      </c>
      <c t="s">
        <v>2517</v>
      </c>
      <c t="s">
        <v>39289</v>
      </c>
      <c>
        <v>33909</v>
      </c>
      <c t="s">
        <v>54661</v>
      </c>
      <c t="s">
        <v>48794</v>
      </c>
      <c t="s">
        <v>18344</v>
      </c>
      <c>
        <v>19</v>
      </c>
      <c r="AI1526" t="s">
        <v>59547</v>
      </c>
      <c r="AL1526" t="s">
        <v>57903</v>
      </c>
      <c r="AN1526" t="s">
        <v>13328</v>
      </c>
      <c>
        <v>0</v>
      </c>
      <c r="AR1526" t="s">
        <v>12798</v>
      </c>
    </row>
    <row>
      <c t="s">
        <v>17594</v>
      </c>
      <c t="s">
        <v>24996</v>
      </c>
      <c t="s">
        <v>13695</v>
      </c>
      <c t="s">
        <v>48184</v>
      </c>
      <c t="s">
        <v>64037</v>
      </c>
      <c s="3">
        <v>48521</v>
      </c>
      <c s="3">
        <v>48521</v>
      </c>
      <c s="3">
        <v>22824</v>
      </c>
      <c>
        <v>0</v>
      </c>
      <c s="3">
        <v>0</v>
      </c>
      <c s="3">
        <v>921.46</v>
      </c>
      <c s="3">
        <v>48521</v>
      </c>
      <c r="O1527" s="1" t="str">
        <f ca="1">HYPERLINK("https://web.datatree.com/?/property?propertyId=32526408", "https://web.datatree.com/?/property?propertyId=32526408")</f>
        <v>https://web.datatree.com/?/property?propertyId=32526408</v>
      </c>
      <c r="Q1527" t="s">
        <v>316</v>
      </c>
      <c>
        <v>0.23</v>
      </c>
      <c t="s">
        <v>6175</v>
      </c>
      <c t="s">
        <v>10361</v>
      </c>
      <c t="s">
        <v>35389</v>
      </c>
      <c r="X1527" t="s">
        <v>6472</v>
      </c>
      <c t="s">
        <v>66701</v>
      </c>
      <c t="s">
        <v>2517</v>
      </c>
      <c t="s">
        <v>39289</v>
      </c>
      <c>
        <v>33904</v>
      </c>
      <c t="s">
        <v>50791</v>
      </c>
      <c t="s">
        <v>48794</v>
      </c>
      <c t="s">
        <v>6048</v>
      </c>
      <c>
        <v>2396</v>
      </c>
      <c r="AI1527" t="s">
        <v>35338</v>
      </c>
      <c t="s">
        <v>31192</v>
      </c>
      <c r="AL1527" t="s">
        <v>1709</v>
      </c>
      <c r="AN1527" t="s">
        <v>17134</v>
      </c>
      <c t="s">
        <v>8320</v>
      </c>
      <c t="s">
        <v>54916</v>
      </c>
      <c t="s">
        <v>3093</v>
      </c>
      <c t="s">
        <v>2525</v>
      </c>
    </row>
    <row>
      <c t="s">
        <v>17594</v>
      </c>
      <c t="s">
        <v>28183</v>
      </c>
      <c t="s">
        <v>57849</v>
      </c>
      <c t="s">
        <v>14083</v>
      </c>
      <c t="s">
        <v>47558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1528" s="1" t="str">
        <f ca="1">HYPERLINK("https://web.datatree.com/?/property?propertyId=32527115", "https://web.datatree.com/?/property?propertyId=32527115")</f>
        <v>https://web.datatree.com/?/property?propertyId=32527115</v>
      </c>
      <c r="Q1528" t="s">
        <v>316</v>
      </c>
      <c>
        <v>0.23</v>
      </c>
      <c t="s">
        <v>6175</v>
      </c>
      <c t="s">
        <v>32767</v>
      </c>
      <c t="s">
        <v>50470</v>
      </c>
      <c r="X1528" t="s">
        <v>36689</v>
      </c>
      <c t="s">
        <v>18679</v>
      </c>
      <c t="s">
        <v>2517</v>
      </c>
      <c t="s">
        <v>39289</v>
      </c>
      <c>
        <v>33909</v>
      </c>
      <c t="s">
        <v>67021</v>
      </c>
      <c t="s">
        <v>48794</v>
      </c>
      <c t="s">
        <v>58774</v>
      </c>
      <c>
        <v>1</v>
      </c>
      <c r="AI1528" t="s">
        <v>27266</v>
      </c>
      <c t="s">
        <v>45620</v>
      </c>
      <c r="AL1528" t="s">
        <v>63445</v>
      </c>
      <c r="AN1528" t="s">
        <v>14509</v>
      </c>
      <c t="s">
        <v>37884</v>
      </c>
      <c t="s">
        <v>17380</v>
      </c>
      <c t="s">
        <v>3093</v>
      </c>
      <c t="s">
        <v>6258</v>
      </c>
    </row>
    <row>
      <c t="s">
        <v>42103</v>
      </c>
      <c t="s">
        <v>59436</v>
      </c>
      <c t="s">
        <v>48607</v>
      </c>
      <c t="s">
        <v>35969</v>
      </c>
      <c t="s">
        <v>33133</v>
      </c>
      <c s="3">
        <v>10000</v>
      </c>
      <c s="3">
        <v>10000</v>
      </c>
      <c s="3">
        <v>5856</v>
      </c>
      <c>
        <v>0</v>
      </c>
      <c s="3">
        <v>0</v>
      </c>
      <c s="3">
        <v>124.41</v>
      </c>
      <c s="3">
        <v>10000</v>
      </c>
      <c r="O1529" s="1" t="str">
        <f ca="1">HYPERLINK("https://web.datatree.com/?/property?propertyId=32527714", "https://web.datatree.com/?/property?propertyId=32527714")</f>
        <v>https://web.datatree.com/?/property?propertyId=32527714</v>
      </c>
      <c r="Q1529" t="s">
        <v>316</v>
      </c>
      <c>
        <v>0.276</v>
      </c>
      <c t="s">
        <v>66399</v>
      </c>
      <c t="s">
        <v>66796</v>
      </c>
      <c t="s">
        <v>3586</v>
      </c>
      <c r="X1529" t="s">
        <v>12955</v>
      </c>
      <c t="s">
        <v>46254</v>
      </c>
      <c t="s">
        <v>65059</v>
      </c>
      <c t="s">
        <v>39289</v>
      </c>
      <c>
        <v>33905</v>
      </c>
      <c t="s">
        <v>12025</v>
      </c>
      <c t="s">
        <v>48794</v>
      </c>
      <c t="s">
        <v>17965</v>
      </c>
      <c r="AI1529" t="s">
        <v>34769</v>
      </c>
      <c r="AL1529" t="s">
        <v>56690</v>
      </c>
      <c t="s">
        <v>56690</v>
      </c>
      <c t="s">
        <v>14798</v>
      </c>
      <c>
        <v>80477</v>
      </c>
      <c t="s">
        <v>61207</v>
      </c>
      <c t="s">
        <v>3093</v>
      </c>
      <c t="s">
        <v>33859</v>
      </c>
    </row>
    <row>
      <c t="s">
        <v>17594</v>
      </c>
      <c t="s">
        <v>3887</v>
      </c>
      <c t="s">
        <v>4732</v>
      </c>
      <c t="s">
        <v>20393</v>
      </c>
      <c t="s">
        <v>54755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1530" s="1" t="str">
        <f ca="1">HYPERLINK("https://web.datatree.com/?/property?propertyId=32528248", "https://web.datatree.com/?/property?propertyId=32528248")</f>
        <v>https://web.datatree.com/?/property?propertyId=32528248</v>
      </c>
      <c r="Q1530" t="s">
        <v>316</v>
      </c>
      <c>
        <v>0.23</v>
      </c>
      <c t="s">
        <v>54449</v>
      </c>
      <c t="s">
        <v>2627</v>
      </c>
      <c t="s">
        <v>51323</v>
      </c>
      <c r="X1530" t="s">
        <v>63269</v>
      </c>
      <c t="s">
        <v>39777</v>
      </c>
      <c t="s">
        <v>2517</v>
      </c>
      <c t="s">
        <v>39289</v>
      </c>
      <c>
        <v>33909</v>
      </c>
      <c t="s">
        <v>30283</v>
      </c>
      <c t="s">
        <v>48794</v>
      </c>
      <c t="s">
        <v>5842</v>
      </c>
      <c>
        <v>175</v>
      </c>
      <c r="AI1530" t="s">
        <v>65778</v>
      </c>
      <c t="s">
        <v>45393</v>
      </c>
      <c r="AL1530" t="s">
        <v>23942</v>
      </c>
      <c t="s">
        <v>6799</v>
      </c>
      <c t="s">
        <v>10804</v>
      </c>
      <c t="s">
        <v>52228</v>
      </c>
      <c t="s">
        <v>12241</v>
      </c>
      <c t="s">
        <v>3093</v>
      </c>
      <c t="s">
        <v>26100</v>
      </c>
    </row>
    <row>
      <c t="s">
        <v>17594</v>
      </c>
      <c t="s">
        <v>10400</v>
      </c>
      <c t="s">
        <v>32951</v>
      </c>
      <c t="s">
        <v>52660</v>
      </c>
      <c t="s">
        <v>12822</v>
      </c>
      <c s="3">
        <v>170000</v>
      </c>
      <c s="3">
        <v>170000</v>
      </c>
      <c s="3">
        <v>170000</v>
      </c>
      <c>
        <v>0</v>
      </c>
      <c s="3">
        <v>0</v>
      </c>
      <c s="3">
        <v>2624.88</v>
      </c>
      <c s="3">
        <v>170000</v>
      </c>
      <c r="O1531" s="1" t="str">
        <f ca="1">HYPERLINK("https://web.datatree.com/?/property?propertyId=32528738", "https://web.datatree.com/?/property?propertyId=32528738")</f>
        <v>https://web.datatree.com/?/property?propertyId=32528738</v>
      </c>
      <c r="Q1531" t="s">
        <v>316</v>
      </c>
      <c>
        <v>0.451</v>
      </c>
      <c t="s">
        <v>30497</v>
      </c>
      <c t="s">
        <v>49765</v>
      </c>
      <c t="s">
        <v>31968</v>
      </c>
      <c t="s">
        <v>64201</v>
      </c>
      <c t="s">
        <v>31968</v>
      </c>
      <c t="s">
        <v>63993</v>
      </c>
      <c t="s">
        <v>3009</v>
      </c>
      <c t="s">
        <v>65059</v>
      </c>
      <c t="s">
        <v>39289</v>
      </c>
      <c>
        <v>33908</v>
      </c>
      <c t="s">
        <v>57400</v>
      </c>
      <c t="s">
        <v>48794</v>
      </c>
      <c t="s">
        <v>27102</v>
      </c>
      <c>
        <v>8220</v>
      </c>
      <c r="AI1531" t="s">
        <v>14792</v>
      </c>
      <c t="s">
        <v>55842</v>
      </c>
      <c r="AL1531" t="s">
        <v>67262</v>
      </c>
      <c t="s">
        <v>67262</v>
      </c>
      <c t="s">
        <v>14798</v>
      </c>
      <c t="s">
        <v>31528</v>
      </c>
      <c t="s">
        <v>31626</v>
      </c>
      <c t="s">
        <v>3093</v>
      </c>
      <c t="s">
        <v>16596</v>
      </c>
    </row>
    <row>
      <c t="s">
        <v>17594</v>
      </c>
      <c t="s">
        <v>15826</v>
      </c>
      <c t="s">
        <v>38133</v>
      </c>
      <c t="s">
        <v>47726</v>
      </c>
      <c t="s">
        <v>724</v>
      </c>
      <c s="3">
        <v>22522</v>
      </c>
      <c s="3">
        <v>22522</v>
      </c>
      <c s="3">
        <v>9900</v>
      </c>
      <c>
        <v>0</v>
      </c>
      <c s="3">
        <v>0</v>
      </c>
      <c s="3">
        <v>617.18</v>
      </c>
      <c s="3">
        <v>22522</v>
      </c>
      <c r="O1532" s="1" t="str">
        <f ca="1">HYPERLINK("https://web.datatree.com/?/property?propertyId=32529229", "https://web.datatree.com/?/property?propertyId=32529229")</f>
        <v>https://web.datatree.com/?/property?propertyId=32529229</v>
      </c>
      <c r="Q1532" t="s">
        <v>316</v>
      </c>
      <c>
        <v>0.244</v>
      </c>
      <c t="s">
        <v>22490</v>
      </c>
      <c t="s">
        <v>54692</v>
      </c>
      <c t="s">
        <v>37460</v>
      </c>
      <c r="X1532" t="s">
        <v>34672</v>
      </c>
      <c t="s">
        <v>35712</v>
      </c>
      <c t="s">
        <v>2517</v>
      </c>
      <c t="s">
        <v>39289</v>
      </c>
      <c>
        <v>33909</v>
      </c>
      <c>
        <v>33909</v>
      </c>
      <c t="s">
        <v>48794</v>
      </c>
      <c t="s">
        <v>52394</v>
      </c>
      <c>
        <v>2</v>
      </c>
      <c r="AI1532" t="s">
        <v>27591</v>
      </c>
      <c t="s">
        <v>45393</v>
      </c>
      <c r="AL1532" t="s">
        <v>37463</v>
      </c>
      <c r="AN1532" t="s">
        <v>50917</v>
      </c>
      <c t="s">
        <v>54056</v>
      </c>
      <c t="s">
        <v>27780</v>
      </c>
      <c t="s">
        <v>3093</v>
      </c>
      <c t="s">
        <v>9524</v>
      </c>
    </row>
    <row>
      <c t="s">
        <v>17594</v>
      </c>
      <c t="s">
        <v>3409</v>
      </c>
      <c t="s">
        <v>41749</v>
      </c>
      <c t="s">
        <v>17521</v>
      </c>
      <c t="s">
        <v>32835</v>
      </c>
      <c s="3">
        <v>131946</v>
      </c>
      <c s="3">
        <v>131946</v>
      </c>
      <c s="3">
        <v>75020</v>
      </c>
      <c>
        <v>0</v>
      </c>
      <c s="3">
        <v>0</v>
      </c>
      <c s="3">
        <v>1945.9</v>
      </c>
      <c s="3">
        <v>131946</v>
      </c>
      <c r="O1533" s="1" t="str">
        <f ca="1">HYPERLINK("https://web.datatree.com/?/property?propertyId=32529283", "https://web.datatree.com/?/property?propertyId=32529283")</f>
        <v>https://web.datatree.com/?/property?propertyId=32529283</v>
      </c>
      <c r="Q1533" t="s">
        <v>316</v>
      </c>
      <c>
        <v>0.266</v>
      </c>
      <c t="s">
        <v>22490</v>
      </c>
      <c r="U1533" t="s">
        <v>21794</v>
      </c>
      <c r="W1533" t="s">
        <v>39726</v>
      </c>
      <c t="s">
        <v>47650</v>
      </c>
      <c t="s">
        <v>33335</v>
      </c>
      <c t="s">
        <v>2517</v>
      </c>
      <c t="s">
        <v>39289</v>
      </c>
      <c>
        <v>33904</v>
      </c>
      <c t="s">
        <v>25077</v>
      </c>
      <c t="s">
        <v>48794</v>
      </c>
      <c t="s">
        <v>61182</v>
      </c>
      <c>
        <v>31</v>
      </c>
      <c r="AI1533" t="s">
        <v>53114</v>
      </c>
      <c t="s">
        <v>55842</v>
      </c>
      <c r="AL1533" t="s">
        <v>46008</v>
      </c>
      <c r="AN1533" t="s">
        <v>5982</v>
      </c>
      <c t="s">
        <v>19253</v>
      </c>
      <c t="s">
        <v>58110</v>
      </c>
      <c t="s">
        <v>3093</v>
      </c>
      <c t="s">
        <v>41958</v>
      </c>
    </row>
    <row>
      <c t="s">
        <v>17594</v>
      </c>
      <c t="s">
        <v>36475</v>
      </c>
      <c t="s">
        <v>23907</v>
      </c>
      <c t="s">
        <v>49560</v>
      </c>
      <c t="s">
        <v>21621</v>
      </c>
      <c s="3">
        <v>158360</v>
      </c>
      <c s="3">
        <v>158360</v>
      </c>
      <c s="3">
        <v>158360</v>
      </c>
      <c>
        <v>0</v>
      </c>
      <c s="3">
        <v>0</v>
      </c>
      <c s="3">
        <v>2133.38</v>
      </c>
      <c s="3">
        <v>158360</v>
      </c>
      <c r="O1534" s="1" t="str">
        <f ca="1">HYPERLINK("https://web.datatree.com/?/property?propertyId=32529753", "https://web.datatree.com/?/property?propertyId=32529753")</f>
        <v>https://web.datatree.com/?/property?propertyId=32529753</v>
      </c>
      <c r="Q1534" t="s">
        <v>316</v>
      </c>
      <c>
        <v>0.301</v>
      </c>
      <c t="s">
        <v>5471</v>
      </c>
      <c t="s">
        <v>552</v>
      </c>
      <c t="s">
        <v>29313</v>
      </c>
      <c t="s">
        <v>4868</v>
      </c>
      <c t="s">
        <v>29313</v>
      </c>
      <c t="s">
        <v>20872</v>
      </c>
      <c t="s">
        <v>8321</v>
      </c>
      <c t="s">
        <v>65059</v>
      </c>
      <c t="s">
        <v>39289</v>
      </c>
      <c>
        <v>33905</v>
      </c>
      <c t="s">
        <v>47305</v>
      </c>
      <c t="s">
        <v>48794</v>
      </c>
      <c t="s">
        <v>10869</v>
      </c>
      <c>
        <v>745</v>
      </c>
      <c r="AH1534" t="s">
        <v>26580</v>
      </c>
      <c t="s">
        <v>32904</v>
      </c>
      <c t="s">
        <v>45620</v>
      </c>
      <c r="AL1534" t="s">
        <v>58486</v>
      </c>
      <c t="s">
        <v>43116</v>
      </c>
      <c t="s">
        <v>50829</v>
      </c>
      <c t="s">
        <v>27196</v>
      </c>
      <c t="s">
        <v>42082</v>
      </c>
      <c t="s">
        <v>3093</v>
      </c>
      <c t="s">
        <v>64742</v>
      </c>
    </row>
    <row>
      <c t="s">
        <v>42103</v>
      </c>
      <c t="s">
        <v>8665</v>
      </c>
      <c t="s">
        <v>33477</v>
      </c>
      <c t="s">
        <v>21809</v>
      </c>
      <c t="s">
        <v>48446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535" s="1" t="str">
        <f ca="1">HYPERLINK("https://web.datatree.com/?/property?propertyId=32529991", "https://web.datatree.com/?/property?propertyId=32529991")</f>
        <v>https://web.datatree.com/?/property?propertyId=32529991</v>
      </c>
      <c r="Q1535" t="s">
        <v>316</v>
      </c>
      <c>
        <v>0.23</v>
      </c>
      <c t="s">
        <v>22490</v>
      </c>
      <c t="s">
        <v>67268</v>
      </c>
      <c t="s">
        <v>64343</v>
      </c>
      <c t="s">
        <v>4431</v>
      </c>
      <c t="s">
        <v>64343</v>
      </c>
      <c t="s">
        <v>53638</v>
      </c>
      <c t="s">
        <v>38550</v>
      </c>
      <c t="s">
        <v>2517</v>
      </c>
      <c t="s">
        <v>39289</v>
      </c>
      <c>
        <v>33909</v>
      </c>
      <c t="s">
        <v>40205</v>
      </c>
      <c t="s">
        <v>48794</v>
      </c>
      <c t="s">
        <v>56304</v>
      </c>
      <c r="AI1535" t="s">
        <v>20470</v>
      </c>
      <c r="AN1535" t="s">
        <v>19878</v>
      </c>
      <c>
        <v>38523</v>
      </c>
      <c r="AR1535" t="s">
        <v>41955</v>
      </c>
    </row>
    <row>
      <c t="s">
        <v>17594</v>
      </c>
      <c t="s">
        <v>34658</v>
      </c>
      <c t="s">
        <v>61413</v>
      </c>
      <c t="s">
        <v>22520</v>
      </c>
      <c t="s">
        <v>64946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1536" s="1" t="str">
        <f ca="1">HYPERLINK("https://web.datatree.com/?/property?propertyId=32530054", "https://web.datatree.com/?/property?propertyId=32530054")</f>
        <v>https://web.datatree.com/?/property?propertyId=32530054</v>
      </c>
      <c r="Q1536" t="s">
        <v>316</v>
      </c>
      <c>
        <v>0.23</v>
      </c>
      <c t="s">
        <v>6175</v>
      </c>
      <c t="s">
        <v>32056</v>
      </c>
      <c t="s">
        <v>22946</v>
      </c>
      <c r="X1536" t="s">
        <v>46219</v>
      </c>
      <c t="s">
        <v>2626</v>
      </c>
      <c t="s">
        <v>2517</v>
      </c>
      <c t="s">
        <v>39289</v>
      </c>
      <c>
        <v>33909</v>
      </c>
      <c t="s">
        <v>54307</v>
      </c>
      <c t="s">
        <v>48794</v>
      </c>
      <c t="s">
        <v>46711</v>
      </c>
      <c>
        <v>26910</v>
      </c>
      <c r="AI1536" t="s">
        <v>21566</v>
      </c>
      <c t="s">
        <v>20615</v>
      </c>
      <c t="s">
        <v>54697</v>
      </c>
      <c t="s">
        <v>59701</v>
      </c>
      <c r="AN1536" t="s">
        <v>50917</v>
      </c>
      <c t="s">
        <v>40918</v>
      </c>
      <c t="s">
        <v>22302</v>
      </c>
      <c t="s">
        <v>3093</v>
      </c>
      <c t="s">
        <v>48456</v>
      </c>
    </row>
    <row>
      <c t="s">
        <v>42103</v>
      </c>
      <c t="s">
        <v>15004</v>
      </c>
      <c t="s">
        <v>42875</v>
      </c>
      <c t="s">
        <v>50596</v>
      </c>
      <c t="s">
        <v>26783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537" s="1" t="str">
        <f ca="1">HYPERLINK("https://web.datatree.com/?/property?propertyId=32530175", "https://web.datatree.com/?/property?propertyId=32530175")</f>
        <v>https://web.datatree.com/?/property?propertyId=32530175</v>
      </c>
      <c r="Q1537" t="s">
        <v>316</v>
      </c>
      <c>
        <v>0.23</v>
      </c>
      <c t="s">
        <v>6175</v>
      </c>
      <c t="s">
        <v>32587</v>
      </c>
      <c t="s">
        <v>12795</v>
      </c>
      <c t="s">
        <v>24845</v>
      </c>
      <c t="s">
        <v>12795</v>
      </c>
      <c t="s">
        <v>47690</v>
      </c>
      <c t="s">
        <v>371</v>
      </c>
      <c t="s">
        <v>2517</v>
      </c>
      <c t="s">
        <v>39289</v>
      </c>
      <c>
        <v>33909</v>
      </c>
      <c t="s">
        <v>41537</v>
      </c>
      <c t="s">
        <v>48794</v>
      </c>
      <c t="s">
        <v>34164</v>
      </c>
      <c r="AI1537" t="s">
        <v>3251</v>
      </c>
      <c r="AL1537" t="s">
        <v>7107</v>
      </c>
      <c r="AN1537" t="s">
        <v>27747</v>
      </c>
      <c t="s">
        <v>23175</v>
      </c>
      <c t="s">
        <v>22417</v>
      </c>
      <c t="s">
        <v>3093</v>
      </c>
      <c t="s">
        <v>47286</v>
      </c>
    </row>
    <row>
      <c t="s">
        <v>17594</v>
      </c>
      <c t="s">
        <v>63790</v>
      </c>
      <c t="s">
        <v>60171</v>
      </c>
      <c t="s">
        <v>49681</v>
      </c>
      <c t="s">
        <v>56736</v>
      </c>
      <c s="3">
        <v>114104</v>
      </c>
      <c s="3">
        <v>100000</v>
      </c>
      <c s="3">
        <v>114104</v>
      </c>
      <c>
        <v>0</v>
      </c>
      <c s="3">
        <v>0</v>
      </c>
      <c s="3">
        <v>1713.23</v>
      </c>
      <c s="3">
        <v>114104</v>
      </c>
      <c r="O1538" s="1" t="str">
        <f ca="1">HYPERLINK("https://web.datatree.com/?/property?propertyId=32530438", "https://web.datatree.com/?/property?propertyId=32530438")</f>
        <v>https://web.datatree.com/?/property?propertyId=32530438</v>
      </c>
      <c r="Q1538" t="s">
        <v>316</v>
      </c>
      <c>
        <v>0.137</v>
      </c>
      <c t="s">
        <v>26492</v>
      </c>
      <c t="s">
        <v>47321</v>
      </c>
      <c t="s">
        <v>11346</v>
      </c>
      <c t="s">
        <v>26502</v>
      </c>
      <c t="s">
        <v>40833</v>
      </c>
      <c t="s">
        <v>61842</v>
      </c>
      <c t="s">
        <v>43388</v>
      </c>
      <c t="s">
        <v>65059</v>
      </c>
      <c t="s">
        <v>39289</v>
      </c>
      <c>
        <v>33905</v>
      </c>
      <c>
        <v>33905</v>
      </c>
      <c t="s">
        <v>48794</v>
      </c>
      <c t="s">
        <v>48064</v>
      </c>
      <c>
        <v>2633</v>
      </c>
      <c r="AI1538" t="s">
        <v>47817</v>
      </c>
      <c r="AL1538" t="s">
        <v>50120</v>
      </c>
      <c t="s">
        <v>40227</v>
      </c>
      <c t="s">
        <v>10909</v>
      </c>
      <c t="s">
        <v>51941</v>
      </c>
      <c r="AQ1538" t="s">
        <v>27814</v>
      </c>
      <c t="s">
        <v>1574</v>
      </c>
    </row>
    <row>
      <c t="s">
        <v>17594</v>
      </c>
      <c t="s">
        <v>40603</v>
      </c>
      <c t="s">
        <v>3266</v>
      </c>
      <c t="s">
        <v>39546</v>
      </c>
      <c t="s">
        <v>18747</v>
      </c>
      <c s="3">
        <v>9900</v>
      </c>
      <c s="3">
        <v>9900</v>
      </c>
      <c s="3">
        <v>9900</v>
      </c>
      <c>
        <v>0</v>
      </c>
      <c s="3">
        <v>0</v>
      </c>
      <c s="3">
        <v>683.13</v>
      </c>
      <c s="3">
        <v>9900</v>
      </c>
      <c r="O1539" s="1" t="str">
        <f ca="1">HYPERLINK("https://web.datatree.com/?/property?propertyId=32530526", "https://web.datatree.com/?/property?propertyId=32530526")</f>
        <v>https://web.datatree.com/?/property?propertyId=32530526</v>
      </c>
      <c r="Q1539" t="s">
        <v>316</v>
      </c>
      <c>
        <v>0.344</v>
      </c>
      <c t="s">
        <v>33269</v>
      </c>
      <c t="s">
        <v>61999</v>
      </c>
      <c t="s">
        <v>16926</v>
      </c>
      <c t="s">
        <v>29784</v>
      </c>
      <c t="s">
        <v>57969</v>
      </c>
      <c t="s">
        <v>39624</v>
      </c>
      <c t="s">
        <v>66701</v>
      </c>
      <c t="s">
        <v>2517</v>
      </c>
      <c t="s">
        <v>39289</v>
      </c>
      <c>
        <v>33909</v>
      </c>
      <c t="s">
        <v>29788</v>
      </c>
      <c t="s">
        <v>48794</v>
      </c>
      <c t="s">
        <v>32797</v>
      </c>
      <c>
        <v>8</v>
      </c>
      <c r="AI1539" t="s">
        <v>41113</v>
      </c>
      <c t="s">
        <v>31192</v>
      </c>
      <c r="AL1539" t="s">
        <v>19286</v>
      </c>
      <c t="s">
        <v>55069</v>
      </c>
      <c t="s">
        <v>39289</v>
      </c>
      <c t="s">
        <v>28099</v>
      </c>
      <c t="s">
        <v>61410</v>
      </c>
      <c t="s">
        <v>3093</v>
      </c>
      <c t="s">
        <v>36050</v>
      </c>
    </row>
    <row>
      <c t="s">
        <v>17594</v>
      </c>
      <c t="s">
        <v>1478</v>
      </c>
      <c t="s">
        <v>24888</v>
      </c>
      <c t="s">
        <v>22582</v>
      </c>
      <c t="s">
        <v>9072</v>
      </c>
      <c s="3">
        <v>28000</v>
      </c>
      <c s="3">
        <v>28000</v>
      </c>
      <c s="3">
        <v>28000</v>
      </c>
      <c>
        <v>0</v>
      </c>
      <c s="3">
        <v>0</v>
      </c>
      <c s="3">
        <v>816.75</v>
      </c>
      <c s="3">
        <v>28000</v>
      </c>
      <c r="O1540" s="1" t="str">
        <f ca="1">HYPERLINK("https://web.datatree.com/?/property?propertyId=32531980", "https://web.datatree.com/?/property?propertyId=32531980")</f>
        <v>https://web.datatree.com/?/property?propertyId=32531980</v>
      </c>
      <c r="Q1540" t="s">
        <v>316</v>
      </c>
      <c>
        <v>0.23</v>
      </c>
      <c t="s">
        <v>22490</v>
      </c>
      <c t="s">
        <v>54629</v>
      </c>
      <c t="s">
        <v>36004</v>
      </c>
      <c t="s">
        <v>58449</v>
      </c>
      <c t="s">
        <v>36004</v>
      </c>
      <c t="s">
        <v>60668</v>
      </c>
      <c t="s">
        <v>47150</v>
      </c>
      <c t="s">
        <v>2517</v>
      </c>
      <c t="s">
        <v>39289</v>
      </c>
      <c>
        <v>33909</v>
      </c>
      <c t="s">
        <v>57876</v>
      </c>
      <c t="s">
        <v>48794</v>
      </c>
      <c t="s">
        <v>49411</v>
      </c>
      <c>
        <v>113</v>
      </c>
      <c r="AI1540" t="s">
        <v>38462</v>
      </c>
      <c t="s">
        <v>45620</v>
      </c>
      <c r="AL1540" t="s">
        <v>52221</v>
      </c>
      <c r="AN1540" t="s">
        <v>14509</v>
      </c>
      <c t="s">
        <v>55744</v>
      </c>
      <c t="s">
        <v>54916</v>
      </c>
      <c t="s">
        <v>3093</v>
      </c>
      <c t="s">
        <v>59932</v>
      </c>
    </row>
    <row>
      <c t="s">
        <v>17594</v>
      </c>
      <c t="s">
        <v>34572</v>
      </c>
      <c t="s">
        <v>67</v>
      </c>
      <c t="s">
        <v>59664</v>
      </c>
      <c t="s">
        <v>57367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541" s="1" t="str">
        <f ca="1">HYPERLINK("https://web.datatree.com/?/property?propertyId=32532515", "https://web.datatree.com/?/property?propertyId=32532515")</f>
        <v>https://web.datatree.com/?/property?propertyId=32532515</v>
      </c>
      <c r="Q1541" t="s">
        <v>316</v>
      </c>
      <c>
        <v>0.23</v>
      </c>
      <c t="s">
        <v>6175</v>
      </c>
      <c t="s">
        <v>47754</v>
      </c>
      <c t="s">
        <v>63374</v>
      </c>
      <c t="s">
        <v>32675</v>
      </c>
      <c t="s">
        <v>63374</v>
      </c>
      <c t="s">
        <v>52501</v>
      </c>
      <c t="s">
        <v>2626</v>
      </c>
      <c t="s">
        <v>2517</v>
      </c>
      <c t="s">
        <v>39289</v>
      </c>
      <c>
        <v>33909</v>
      </c>
      <c t="s">
        <v>40669</v>
      </c>
      <c t="s">
        <v>48794</v>
      </c>
      <c t="s">
        <v>25679</v>
      </c>
      <c>
        <v>14251</v>
      </c>
      <c r="AI1541" t="s">
        <v>29618</v>
      </c>
      <c t="s">
        <v>39321</v>
      </c>
      <c r="AL1541" t="s">
        <v>55393</v>
      </c>
      <c r="AN1541" t="s">
        <v>39289</v>
      </c>
      <c t="s">
        <v>11527</v>
      </c>
      <c t="s">
        <v>44573</v>
      </c>
      <c t="s">
        <v>3093</v>
      </c>
      <c t="s">
        <v>41659</v>
      </c>
    </row>
    <row>
      <c t="s">
        <v>17594</v>
      </c>
      <c t="s">
        <v>9284</v>
      </c>
      <c t="s">
        <v>14407</v>
      </c>
      <c t="s">
        <v>54599</v>
      </c>
      <c t="s">
        <v>19578</v>
      </c>
      <c s="3">
        <v>27992</v>
      </c>
      <c s="3">
        <v>27992</v>
      </c>
      <c s="3">
        <v>11484</v>
      </c>
      <c>
        <v>0</v>
      </c>
      <c s="3">
        <v>0</v>
      </c>
      <c s="3">
        <v>744.28</v>
      </c>
      <c s="3">
        <v>27992</v>
      </c>
      <c r="O1542" s="1" t="str">
        <f ca="1">HYPERLINK("https://web.datatree.com/?/property?propertyId=32533122", "https://web.datatree.com/?/property?propertyId=32533122")</f>
        <v>https://web.datatree.com/?/property?propertyId=32533122</v>
      </c>
      <c r="Q1542" t="s">
        <v>316</v>
      </c>
      <c>
        <v>0.344</v>
      </c>
      <c t="s">
        <v>14479</v>
      </c>
      <c t="s">
        <v>2311</v>
      </c>
      <c t="s">
        <v>21183</v>
      </c>
      <c r="X1542" t="s">
        <v>4722</v>
      </c>
      <c t="s">
        <v>30928</v>
      </c>
      <c t="s">
        <v>2517</v>
      </c>
      <c t="s">
        <v>39289</v>
      </c>
      <c>
        <v>33909</v>
      </c>
      <c t="s">
        <v>49403</v>
      </c>
      <c t="s">
        <v>48794</v>
      </c>
      <c t="s">
        <v>7755</v>
      </c>
      <c>
        <v>20</v>
      </c>
      <c r="AI1542" t="s">
        <v>48710</v>
      </c>
      <c r="AL1542" t="s">
        <v>66983</v>
      </c>
      <c r="AN1542" t="s">
        <v>32840</v>
      </c>
      <c r="AR1542" t="s">
        <v>58247</v>
      </c>
    </row>
    <row>
      <c t="s">
        <v>17594</v>
      </c>
      <c t="s">
        <v>15300</v>
      </c>
      <c t="s">
        <v>2432</v>
      </c>
      <c t="s">
        <v>6155</v>
      </c>
      <c t="s">
        <v>9513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1543" s="1" t="str">
        <f ca="1">HYPERLINK("https://web.datatree.com/?/property?propertyId=32533687", "https://web.datatree.com/?/property?propertyId=32533687")</f>
        <v>https://web.datatree.com/?/property?propertyId=32533687</v>
      </c>
      <c r="Q1543" t="s">
        <v>316</v>
      </c>
      <c>
        <v>0.23</v>
      </c>
      <c t="s">
        <v>6175</v>
      </c>
      <c t="s">
        <v>62125</v>
      </c>
      <c t="s">
        <v>22948</v>
      </c>
      <c r="X1543" t="s">
        <v>56553</v>
      </c>
      <c t="s">
        <v>38550</v>
      </c>
      <c t="s">
        <v>2517</v>
      </c>
      <c t="s">
        <v>39289</v>
      </c>
      <c>
        <v>33909</v>
      </c>
      <c t="s">
        <v>25124</v>
      </c>
      <c t="s">
        <v>48794</v>
      </c>
      <c t="s">
        <v>18222</v>
      </c>
      <c>
        <v>350</v>
      </c>
      <c r="AI1543" t="s">
        <v>45021</v>
      </c>
      <c t="s">
        <v>45620</v>
      </c>
      <c r="AL1543" t="s">
        <v>9241</v>
      </c>
      <c r="AN1543" t="s">
        <v>65451</v>
      </c>
      <c t="s">
        <v>49951</v>
      </c>
      <c t="s">
        <v>31626</v>
      </c>
      <c t="s">
        <v>3093</v>
      </c>
      <c t="s">
        <v>14718</v>
      </c>
    </row>
    <row>
      <c t="s">
        <v>17594</v>
      </c>
      <c t="s">
        <v>56103</v>
      </c>
      <c t="s">
        <v>58937</v>
      </c>
      <c t="s">
        <v>3615</v>
      </c>
      <c t="s">
        <v>37303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544" s="1" t="str">
        <f ca="1">HYPERLINK("https://web.datatree.com/?/property?propertyId=32533781", "https://web.datatree.com/?/property?propertyId=32533781")</f>
        <v>https://web.datatree.com/?/property?propertyId=32533781</v>
      </c>
      <c r="Q1544" t="s">
        <v>316</v>
      </c>
      <c>
        <v>0.23</v>
      </c>
      <c t="s">
        <v>14479</v>
      </c>
      <c t="s">
        <v>66314</v>
      </c>
      <c t="s">
        <v>35588</v>
      </c>
      <c t="s">
        <v>18485</v>
      </c>
      <c t="s">
        <v>16721</v>
      </c>
      <c t="s">
        <v>5915</v>
      </c>
      <c t="s">
        <v>30928</v>
      </c>
      <c t="s">
        <v>2517</v>
      </c>
      <c t="s">
        <v>39289</v>
      </c>
      <c>
        <v>33909</v>
      </c>
      <c t="s">
        <v>7766</v>
      </c>
      <c t="s">
        <v>48794</v>
      </c>
      <c t="s">
        <v>47415</v>
      </c>
      <c>
        <v>2345</v>
      </c>
      <c r="AI1544" t="s">
        <v>5105</v>
      </c>
      <c t="s">
        <v>45393</v>
      </c>
      <c r="AL1544" t="s">
        <v>36080</v>
      </c>
      <c r="AN1544" t="s">
        <v>39289</v>
      </c>
      <c t="s">
        <v>5627</v>
      </c>
      <c t="s">
        <v>52393</v>
      </c>
      <c t="s">
        <v>3093</v>
      </c>
      <c t="s">
        <v>56156</v>
      </c>
    </row>
    <row>
      <c t="s">
        <v>17594</v>
      </c>
      <c t="s">
        <v>4952</v>
      </c>
      <c t="s">
        <v>51152</v>
      </c>
      <c t="s">
        <v>18014</v>
      </c>
      <c t="s">
        <v>12820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1545" s="1" t="str">
        <f ca="1">HYPERLINK("https://web.datatree.com/?/property?propertyId=32533951", "https://web.datatree.com/?/property?propertyId=32533951")</f>
        <v>https://web.datatree.com/?/property?propertyId=32533951</v>
      </c>
      <c r="Q1545" t="s">
        <v>316</v>
      </c>
      <c>
        <v>0.23</v>
      </c>
      <c t="s">
        <v>28270</v>
      </c>
      <c t="s">
        <v>41965</v>
      </c>
      <c t="s">
        <v>2345</v>
      </c>
      <c r="X1545" t="s">
        <v>29769</v>
      </c>
      <c t="s">
        <v>14534</v>
      </c>
      <c t="s">
        <v>2517</v>
      </c>
      <c t="s">
        <v>39289</v>
      </c>
      <c>
        <v>33909</v>
      </c>
      <c t="s">
        <v>18931</v>
      </c>
      <c t="s">
        <v>48794</v>
      </c>
      <c t="s">
        <v>64985</v>
      </c>
      <c>
        <v>2909</v>
      </c>
      <c r="AI1545" t="s">
        <v>671</v>
      </c>
      <c t="s">
        <v>24900</v>
      </c>
      <c r="AL1545" t="s">
        <v>7424</v>
      </c>
      <c t="s">
        <v>7424</v>
      </c>
      <c t="s">
        <v>65451</v>
      </c>
      <c t="s">
        <v>42813</v>
      </c>
      <c t="s">
        <v>61410</v>
      </c>
      <c t="s">
        <v>3093</v>
      </c>
      <c t="s">
        <v>25526</v>
      </c>
    </row>
    <row>
      <c t="s">
        <v>17594</v>
      </c>
      <c t="s">
        <v>31851</v>
      </c>
      <c t="s">
        <v>7437</v>
      </c>
      <c t="s">
        <v>17593</v>
      </c>
      <c t="s">
        <v>14842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546" s="1" t="str">
        <f ca="1">HYPERLINK("https://web.datatree.com/?/property?propertyId=32533973", "https://web.datatree.com/?/property?propertyId=32533973")</f>
        <v>https://web.datatree.com/?/property?propertyId=32533973</v>
      </c>
      <c r="Q1546" t="s">
        <v>316</v>
      </c>
      <c>
        <v>0.23</v>
      </c>
      <c t="s">
        <v>6175</v>
      </c>
      <c t="s">
        <v>65180</v>
      </c>
      <c t="s">
        <v>18985</v>
      </c>
      <c t="s">
        <v>12112</v>
      </c>
      <c t="s">
        <v>16069</v>
      </c>
      <c t="s">
        <v>7228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19443</v>
      </c>
      <c>
        <v>275</v>
      </c>
      <c r="AI1546" t="s">
        <v>41142</v>
      </c>
      <c t="s">
        <v>24900</v>
      </c>
      <c>
        <v>11</v>
      </c>
      <c t="s">
        <v>8109</v>
      </c>
      <c r="AN1546" t="s">
        <v>50917</v>
      </c>
      <c t="s">
        <v>29639</v>
      </c>
      <c t="s">
        <v>54916</v>
      </c>
      <c t="s">
        <v>3093</v>
      </c>
      <c t="s">
        <v>36637</v>
      </c>
    </row>
    <row>
      <c t="s">
        <v>17594</v>
      </c>
      <c t="s">
        <v>59120</v>
      </c>
      <c t="s">
        <v>47541</v>
      </c>
      <c t="s">
        <v>26356</v>
      </c>
      <c t="s">
        <v>33672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1547" s="1" t="str">
        <f ca="1">HYPERLINK("https://web.datatree.com/?/property?propertyId=32535498", "https://web.datatree.com/?/property?propertyId=32535498")</f>
        <v>https://web.datatree.com/?/property?propertyId=32535498</v>
      </c>
      <c r="Q1547" t="s">
        <v>316</v>
      </c>
      <c>
        <v>0.23</v>
      </c>
      <c t="s">
        <v>45031</v>
      </c>
      <c t="s">
        <v>22078</v>
      </c>
      <c t="s">
        <v>58413</v>
      </c>
      <c t="s">
        <v>15138</v>
      </c>
      <c t="s">
        <v>58413</v>
      </c>
      <c t="s">
        <v>2227</v>
      </c>
      <c t="s">
        <v>22731</v>
      </c>
      <c t="s">
        <v>2517</v>
      </c>
      <c t="s">
        <v>39289</v>
      </c>
      <c>
        <v>33909</v>
      </c>
      <c>
        <v>33909</v>
      </c>
      <c t="s">
        <v>48794</v>
      </c>
      <c t="s">
        <v>64129</v>
      </c>
      <c>
        <v>8961</v>
      </c>
      <c r="AI1547" t="s">
        <v>54608</v>
      </c>
      <c t="s">
        <v>40123</v>
      </c>
      <c r="AL1547" t="s">
        <v>54251</v>
      </c>
      <c r="AN1547" t="s">
        <v>39289</v>
      </c>
      <c t="s">
        <v>16841</v>
      </c>
      <c t="s">
        <v>19978</v>
      </c>
      <c t="s">
        <v>3093</v>
      </c>
      <c t="s">
        <v>15389</v>
      </c>
    </row>
    <row>
      <c t="s">
        <v>17594</v>
      </c>
      <c t="s">
        <v>17858</v>
      </c>
      <c t="s">
        <v>65393</v>
      </c>
      <c t="s">
        <v>59875</v>
      </c>
      <c t="s">
        <v>10422</v>
      </c>
      <c s="3">
        <v>22522</v>
      </c>
      <c s="3">
        <v>22522</v>
      </c>
      <c s="3">
        <v>8800</v>
      </c>
      <c>
        <v>0</v>
      </c>
      <c s="3">
        <v>0</v>
      </c>
      <c s="3">
        <v>588.39</v>
      </c>
      <c s="3">
        <v>22522</v>
      </c>
      <c r="O1548" s="1" t="str">
        <f ca="1">HYPERLINK("https://web.datatree.com/?/property?propertyId=32535758", "https://web.datatree.com/?/property?propertyId=32535758")</f>
        <v>https://web.datatree.com/?/property?propertyId=32535758</v>
      </c>
      <c r="Q1548" t="s">
        <v>316</v>
      </c>
      <c>
        <v>0.244</v>
      </c>
      <c t="s">
        <v>22490</v>
      </c>
      <c t="s">
        <v>39389</v>
      </c>
      <c t="s">
        <v>24419</v>
      </c>
      <c r="X1548" t="s">
        <v>10197</v>
      </c>
      <c t="s">
        <v>52171</v>
      </c>
      <c t="s">
        <v>2517</v>
      </c>
      <c t="s">
        <v>39289</v>
      </c>
      <c>
        <v>33909</v>
      </c>
      <c t="s">
        <v>24738</v>
      </c>
      <c t="s">
        <v>48794</v>
      </c>
      <c t="s">
        <v>35818</v>
      </c>
      <c>
        <v>12055</v>
      </c>
      <c r="AI1548" t="s">
        <v>27501</v>
      </c>
      <c t="s">
        <v>39321</v>
      </c>
      <c r="AL1548" t="s">
        <v>55393</v>
      </c>
      <c r="AN1548" t="s">
        <v>39289</v>
      </c>
      <c t="s">
        <v>32495</v>
      </c>
      <c t="s">
        <v>36802</v>
      </c>
      <c t="s">
        <v>3093</v>
      </c>
      <c t="s">
        <v>46575</v>
      </c>
    </row>
    <row>
      <c t="s">
        <v>17594</v>
      </c>
      <c t="s">
        <v>54958</v>
      </c>
      <c t="s">
        <v>57350</v>
      </c>
      <c t="s">
        <v>4091</v>
      </c>
      <c t="s">
        <v>16130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549" s="1" t="str">
        <f ca="1">HYPERLINK("https://web.datatree.com/?/property?propertyId=32535770", "https://web.datatree.com/?/property?propertyId=32535770")</f>
        <v>https://web.datatree.com/?/property?propertyId=32535770</v>
      </c>
      <c r="Q1549" t="s">
        <v>316</v>
      </c>
      <c>
        <v>0.23</v>
      </c>
      <c t="s">
        <v>6175</v>
      </c>
      <c t="s">
        <v>24179</v>
      </c>
      <c t="s">
        <v>31808</v>
      </c>
      <c t="s">
        <v>32675</v>
      </c>
      <c t="s">
        <v>31808</v>
      </c>
      <c t="s">
        <v>64185</v>
      </c>
      <c t="s">
        <v>38550</v>
      </c>
      <c t="s">
        <v>2517</v>
      </c>
      <c t="s">
        <v>39289</v>
      </c>
      <c>
        <v>33909</v>
      </c>
      <c t="s">
        <v>41353</v>
      </c>
      <c t="s">
        <v>48794</v>
      </c>
      <c t="s">
        <v>32060</v>
      </c>
      <c>
        <v>203</v>
      </c>
      <c r="AI1549" t="s">
        <v>66816</v>
      </c>
      <c t="s">
        <v>45393</v>
      </c>
      <c t="s">
        <v>58596</v>
      </c>
      <c t="s">
        <v>22662</v>
      </c>
      <c r="AN1549" t="s">
        <v>26016</v>
      </c>
      <c t="s">
        <v>39032</v>
      </c>
      <c t="s">
        <v>66620</v>
      </c>
      <c t="s">
        <v>3093</v>
      </c>
      <c t="s">
        <v>7793</v>
      </c>
    </row>
    <row>
      <c t="s">
        <v>17594</v>
      </c>
      <c t="s">
        <v>42356</v>
      </c>
      <c t="s">
        <v>3212</v>
      </c>
      <c t="s">
        <v>58822</v>
      </c>
      <c t="s">
        <v>2764</v>
      </c>
      <c s="3">
        <v>41248</v>
      </c>
      <c s="3">
        <v>41248</v>
      </c>
      <c s="3">
        <v>35200</v>
      </c>
      <c>
        <v>0</v>
      </c>
      <c s="3">
        <v>0</v>
      </c>
      <c s="3">
        <v>1030.62</v>
      </c>
      <c s="3">
        <v>41248</v>
      </c>
      <c r="O1550" s="1" t="str">
        <f ca="1">HYPERLINK("https://web.datatree.com/?/property?propertyId=32536418", "https://web.datatree.com/?/property?propertyId=32536418")</f>
        <v>https://web.datatree.com/?/property?propertyId=32536418</v>
      </c>
      <c r="Q1550" t="s">
        <v>316</v>
      </c>
      <c>
        <v>0.241</v>
      </c>
      <c t="s">
        <v>32050</v>
      </c>
      <c t="s">
        <v>8762</v>
      </c>
      <c t="s">
        <v>26506</v>
      </c>
      <c t="s">
        <v>67208</v>
      </c>
      <c t="s">
        <v>26506</v>
      </c>
      <c t="s">
        <v>46762</v>
      </c>
      <c t="s">
        <v>33179</v>
      </c>
      <c t="s">
        <v>2517</v>
      </c>
      <c t="s">
        <v>39289</v>
      </c>
      <c>
        <v>33909</v>
      </c>
      <c t="s">
        <v>37430</v>
      </c>
      <c t="s">
        <v>48794</v>
      </c>
      <c t="s">
        <v>37866</v>
      </c>
      <c>
        <v>1041</v>
      </c>
      <c r="AI1550" t="s">
        <v>2497</v>
      </c>
      <c t="s">
        <v>4985</v>
      </c>
      <c>
        <v>301</v>
      </c>
      <c t="s">
        <v>6263</v>
      </c>
      <c r="AN1550" t="s">
        <v>39289</v>
      </c>
      <c t="s">
        <v>43457</v>
      </c>
      <c t="s">
        <v>4480</v>
      </c>
      <c t="s">
        <v>3093</v>
      </c>
      <c t="s">
        <v>42618</v>
      </c>
    </row>
    <row>
      <c t="s">
        <v>17594</v>
      </c>
      <c t="s">
        <v>20593</v>
      </c>
      <c t="s">
        <v>50139</v>
      </c>
      <c t="s">
        <v>2784</v>
      </c>
      <c t="s">
        <v>11330</v>
      </c>
      <c s="3">
        <v>92477</v>
      </c>
      <c s="3">
        <v>82500</v>
      </c>
      <c s="3">
        <v>92477</v>
      </c>
      <c>
        <v>0</v>
      </c>
      <c s="3">
        <v>0</v>
      </c>
      <c s="3">
        <v>1389.43</v>
      </c>
      <c s="3">
        <v>92477</v>
      </c>
      <c r="O1551" s="1" t="str">
        <f ca="1">HYPERLINK("https://web.datatree.com/?/property?propertyId=32537360", "https://web.datatree.com/?/property?propertyId=32537360")</f>
        <v>https://web.datatree.com/?/property?propertyId=32537360</v>
      </c>
      <c r="Q1551" t="s">
        <v>316</v>
      </c>
      <c>
        <v>0.103</v>
      </c>
      <c t="s">
        <v>26492</v>
      </c>
      <c r="U1551" t="s">
        <v>20331</v>
      </c>
      <c r="W1551" t="s">
        <v>51269</v>
      </c>
      <c t="s">
        <v>27052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34923</v>
      </c>
      <c>
        <v>226</v>
      </c>
      <c r="AI1551" t="s">
        <v>17016</v>
      </c>
      <c t="s">
        <v>45620</v>
      </c>
      <c r="AL1551" t="s">
        <v>33911</v>
      </c>
      <c t="s">
        <v>40227</v>
      </c>
      <c t="s">
        <v>27747</v>
      </c>
      <c t="s">
        <v>25193</v>
      </c>
      <c t="s">
        <v>702</v>
      </c>
      <c t="s">
        <v>3093</v>
      </c>
      <c t="s">
        <v>65206</v>
      </c>
    </row>
    <row>
      <c t="s">
        <v>17594</v>
      </c>
      <c t="s">
        <v>18347</v>
      </c>
      <c t="s">
        <v>1504</v>
      </c>
      <c t="s">
        <v>7908</v>
      </c>
      <c t="s">
        <v>7522</v>
      </c>
      <c s="3">
        <v>12544</v>
      </c>
      <c s="3">
        <v>12544</v>
      </c>
      <c s="3">
        <v>12544</v>
      </c>
      <c>
        <v>0</v>
      </c>
      <c s="3">
        <v>0</v>
      </c>
      <c s="3">
        <v>366.5</v>
      </c>
      <c s="3">
        <v>12544</v>
      </c>
      <c r="O1552" s="1" t="str">
        <f ca="1">HYPERLINK("https://web.datatree.com/?/property?propertyId=32537563", "https://web.datatree.com/?/property?propertyId=32537563")</f>
        <v>https://web.datatree.com/?/property?propertyId=32537563</v>
      </c>
      <c r="Q1552" t="s">
        <v>316</v>
      </c>
      <c>
        <v>0.246</v>
      </c>
      <c t="s">
        <v>5471</v>
      </c>
      <c t="s">
        <v>47715</v>
      </c>
      <c t="s">
        <v>61863</v>
      </c>
      <c t="s">
        <v>30630</v>
      </c>
      <c t="s">
        <v>7946</v>
      </c>
      <c t="s">
        <v>26066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18379</v>
      </c>
      <c>
        <v>679</v>
      </c>
      <c r="AI1552" t="s">
        <v>35917</v>
      </c>
      <c t="s">
        <v>45620</v>
      </c>
      <c>
        <v>2</v>
      </c>
      <c t="s">
        <v>26641</v>
      </c>
      <c t="s">
        <v>26641</v>
      </c>
      <c t="s">
        <v>39289</v>
      </c>
      <c t="s">
        <v>30538</v>
      </c>
      <c t="s">
        <v>15968</v>
      </c>
      <c t="s">
        <v>3093</v>
      </c>
      <c t="s">
        <v>26994</v>
      </c>
    </row>
    <row>
      <c t="s">
        <v>17594</v>
      </c>
      <c t="s">
        <v>4220</v>
      </c>
      <c t="s">
        <v>13607</v>
      </c>
      <c t="s">
        <v>58584</v>
      </c>
      <c t="s">
        <v>4508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553" s="1" t="str">
        <f ca="1">HYPERLINK("https://web.datatree.com/?/property?propertyId=32538433", "https://web.datatree.com/?/property?propertyId=32538433")</f>
        <v>https://web.datatree.com/?/property?propertyId=32538433</v>
      </c>
      <c r="Q1553" t="s">
        <v>316</v>
      </c>
      <c>
        <v>0.23</v>
      </c>
      <c t="s">
        <v>6175</v>
      </c>
      <c t="s">
        <v>19357</v>
      </c>
      <c t="s">
        <v>57561</v>
      </c>
      <c t="s">
        <v>22046</v>
      </c>
      <c t="s">
        <v>57561</v>
      </c>
      <c t="s">
        <v>50465</v>
      </c>
      <c t="s">
        <v>33179</v>
      </c>
      <c t="s">
        <v>2517</v>
      </c>
      <c t="s">
        <v>39289</v>
      </c>
      <c>
        <v>33909</v>
      </c>
      <c t="s">
        <v>20386</v>
      </c>
      <c t="s">
        <v>48794</v>
      </c>
      <c t="s">
        <v>33615</v>
      </c>
      <c>
        <v>63</v>
      </c>
      <c r="AI1553" t="s">
        <v>62767</v>
      </c>
      <c t="s">
        <v>7646</v>
      </c>
      <c r="AL1553" t="s">
        <v>16558</v>
      </c>
      <c r="AN1553" t="s">
        <v>27747</v>
      </c>
      <c t="s">
        <v>50843</v>
      </c>
      <c t="s">
        <v>53800</v>
      </c>
      <c t="s">
        <v>3093</v>
      </c>
      <c t="s">
        <v>23716</v>
      </c>
    </row>
    <row>
      <c t="s">
        <v>17594</v>
      </c>
      <c t="s">
        <v>10688</v>
      </c>
      <c t="s">
        <v>40105</v>
      </c>
      <c t="s">
        <v>45384</v>
      </c>
      <c t="s">
        <v>51957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1554" s="1" t="str">
        <f ca="1">HYPERLINK("https://web.datatree.com/?/property?propertyId=32538548", "https://web.datatree.com/?/property?propertyId=32538548")</f>
        <v>https://web.datatree.com/?/property?propertyId=32538548</v>
      </c>
      <c r="Q1554" t="s">
        <v>316</v>
      </c>
      <c>
        <v>0.23</v>
      </c>
      <c t="s">
        <v>45031</v>
      </c>
      <c t="s">
        <v>6742</v>
      </c>
      <c t="s">
        <v>12369</v>
      </c>
      <c r="X1554" t="s">
        <v>18360</v>
      </c>
      <c t="s">
        <v>2619</v>
      </c>
      <c t="s">
        <v>2517</v>
      </c>
      <c t="s">
        <v>39289</v>
      </c>
      <c>
        <v>33909</v>
      </c>
      <c t="s">
        <v>37237</v>
      </c>
      <c t="s">
        <v>48794</v>
      </c>
      <c t="s">
        <v>63070</v>
      </c>
      <c>
        <v>1656</v>
      </c>
      <c r="AI1554" t="s">
        <v>38452</v>
      </c>
      <c r="AL1554" t="s">
        <v>46558</v>
      </c>
      <c r="AN1554" t="s">
        <v>32840</v>
      </c>
      <c r="AR1554" t="s">
        <v>54013</v>
      </c>
    </row>
    <row>
      <c t="s">
        <v>17594</v>
      </c>
      <c t="s">
        <v>3645</v>
      </c>
      <c t="s">
        <v>1321</v>
      </c>
      <c t="s">
        <v>36412</v>
      </c>
      <c t="s">
        <v>57699</v>
      </c>
      <c s="3">
        <v>17129</v>
      </c>
      <c s="3">
        <v>17129</v>
      </c>
      <c s="3">
        <v>8360</v>
      </c>
      <c>
        <v>0</v>
      </c>
      <c s="3">
        <v>0</v>
      </c>
      <c s="3">
        <v>556.09</v>
      </c>
      <c s="3">
        <v>17129</v>
      </c>
      <c r="O1555" s="1" t="str">
        <f ca="1">HYPERLINK("https://web.datatree.com/?/property?propertyId=32538774", "https://web.datatree.com/?/property?propertyId=32538774")</f>
        <v>https://web.datatree.com/?/property?propertyId=32538774</v>
      </c>
      <c r="Q1555" t="s">
        <v>316</v>
      </c>
      <c>
        <v>0.241</v>
      </c>
      <c t="s">
        <v>6175</v>
      </c>
      <c t="s">
        <v>15051</v>
      </c>
      <c t="s">
        <v>59961</v>
      </c>
      <c r="X1555" t="s">
        <v>65090</v>
      </c>
      <c t="s">
        <v>30928</v>
      </c>
      <c t="s">
        <v>2517</v>
      </c>
      <c t="s">
        <v>39289</v>
      </c>
      <c>
        <v>33909</v>
      </c>
      <c t="s">
        <v>40424</v>
      </c>
      <c t="s">
        <v>48794</v>
      </c>
      <c t="s">
        <v>42148</v>
      </c>
      <c>
        <v>6900</v>
      </c>
      <c r="AI1555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38491</v>
      </c>
      <c t="s">
        <v>48737</v>
      </c>
      <c t="s">
        <v>46769</v>
      </c>
      <c t="s">
        <v>49673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556" s="1" t="str">
        <f ca="1">HYPERLINK("https://web.datatree.com/?/property?propertyId=32538787", "https://web.datatree.com/?/property?propertyId=32538787")</f>
        <v>https://web.datatree.com/?/property?propertyId=32538787</v>
      </c>
      <c r="Q1556" t="s">
        <v>316</v>
      </c>
      <c>
        <v>0.23</v>
      </c>
      <c t="s">
        <v>22490</v>
      </c>
      <c t="s">
        <v>14659</v>
      </c>
      <c t="s">
        <v>40436</v>
      </c>
      <c t="s">
        <v>3009</v>
      </c>
      <c t="s">
        <v>40436</v>
      </c>
      <c t="s">
        <v>315</v>
      </c>
      <c t="s">
        <v>38550</v>
      </c>
      <c t="s">
        <v>2517</v>
      </c>
      <c t="s">
        <v>39289</v>
      </c>
      <c>
        <v>33909</v>
      </c>
      <c t="s">
        <v>40205</v>
      </c>
      <c t="s">
        <v>48794</v>
      </c>
      <c t="s">
        <v>33825</v>
      </c>
      <c>
        <v>245</v>
      </c>
      <c r="AI1556" t="s">
        <v>6666</v>
      </c>
      <c t="s">
        <v>55842</v>
      </c>
      <c r="AL1556" t="s">
        <v>42436</v>
      </c>
      <c t="s">
        <v>42436</v>
      </c>
      <c t="s">
        <v>48152</v>
      </c>
      <c t="s">
        <v>48062</v>
      </c>
      <c t="s">
        <v>38014</v>
      </c>
      <c t="s">
        <v>3093</v>
      </c>
      <c t="s">
        <v>65915</v>
      </c>
    </row>
    <row>
      <c t="s">
        <v>17594</v>
      </c>
      <c t="s">
        <v>60999</v>
      </c>
      <c t="s">
        <v>36110</v>
      </c>
      <c t="s">
        <v>387</v>
      </c>
      <c t="s">
        <v>9338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1557" s="1" t="str">
        <f ca="1">HYPERLINK("https://web.datatree.com/?/property?propertyId=32539261", "https://web.datatree.com/?/property?propertyId=32539261")</f>
        <v>https://web.datatree.com/?/property?propertyId=32539261</v>
      </c>
      <c r="Q1557" t="s">
        <v>316</v>
      </c>
      <c>
        <v>0.23</v>
      </c>
      <c t="s">
        <v>22490</v>
      </c>
      <c t="s">
        <v>38202</v>
      </c>
      <c t="s">
        <v>60061</v>
      </c>
      <c r="X1557" t="s">
        <v>27225</v>
      </c>
      <c t="s">
        <v>22731</v>
      </c>
      <c t="s">
        <v>2517</v>
      </c>
      <c t="s">
        <v>39289</v>
      </c>
      <c>
        <v>33909</v>
      </c>
      <c t="s">
        <v>23554</v>
      </c>
      <c t="s">
        <v>48794</v>
      </c>
      <c t="s">
        <v>50672</v>
      </c>
      <c>
        <v>15914</v>
      </c>
      <c r="AI1557" t="s">
        <v>57410</v>
      </c>
      <c t="s">
        <v>45620</v>
      </c>
      <c r="AL1557" t="s">
        <v>17788</v>
      </c>
      <c r="AN1557" t="s">
        <v>17134</v>
      </c>
      <c t="s">
        <v>45814</v>
      </c>
      <c t="s">
        <v>37948</v>
      </c>
      <c t="s">
        <v>3093</v>
      </c>
      <c t="s">
        <v>6426</v>
      </c>
    </row>
    <row>
      <c t="s">
        <v>17594</v>
      </c>
      <c t="s">
        <v>15957</v>
      </c>
      <c t="s">
        <v>23172</v>
      </c>
      <c t="s">
        <v>43752</v>
      </c>
      <c t="s">
        <v>23696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558" s="1" t="str">
        <f ca="1">HYPERLINK("https://web.datatree.com/?/property?propertyId=32539631", "https://web.datatree.com/?/property?propertyId=32539631")</f>
        <v>https://web.datatree.com/?/property?propertyId=32539631</v>
      </c>
      <c r="Q1558" t="s">
        <v>316</v>
      </c>
      <c>
        <v>0.23</v>
      </c>
      <c t="s">
        <v>6175</v>
      </c>
      <c t="s">
        <v>19357</v>
      </c>
      <c t="s">
        <v>4036</v>
      </c>
      <c r="X1558" t="s">
        <v>15696</v>
      </c>
      <c t="s">
        <v>25017</v>
      </c>
      <c t="s">
        <v>2517</v>
      </c>
      <c t="s">
        <v>39289</v>
      </c>
      <c>
        <v>33909</v>
      </c>
      <c t="s">
        <v>41627</v>
      </c>
      <c t="s">
        <v>48794</v>
      </c>
      <c t="s">
        <v>57431</v>
      </c>
      <c>
        <v>216</v>
      </c>
      <c r="AI1558" t="s">
        <v>16893</v>
      </c>
      <c t="s">
        <v>55842</v>
      </c>
      <c r="AL1558" t="s">
        <v>1922</v>
      </c>
      <c r="AN1558" t="s">
        <v>36633</v>
      </c>
      <c t="s">
        <v>2912</v>
      </c>
      <c t="s">
        <v>22152</v>
      </c>
      <c t="s">
        <v>3093</v>
      </c>
      <c t="s">
        <v>3075</v>
      </c>
    </row>
    <row>
      <c t="s">
        <v>17594</v>
      </c>
      <c t="s">
        <v>41488</v>
      </c>
      <c t="s">
        <v>32279</v>
      </c>
      <c t="s">
        <v>31732</v>
      </c>
      <c t="s">
        <v>59447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559" s="1" t="str">
        <f ca="1">HYPERLINK("https://web.datatree.com/?/property?propertyId=32540134", "https://web.datatree.com/?/property?propertyId=32540134")</f>
        <v>https://web.datatree.com/?/property?propertyId=32540134</v>
      </c>
      <c r="Q1559" t="s">
        <v>316</v>
      </c>
      <c>
        <v>0.241</v>
      </c>
      <c t="s">
        <v>6175</v>
      </c>
      <c t="s">
        <v>60638</v>
      </c>
      <c t="s">
        <v>22844</v>
      </c>
      <c t="s">
        <v>61751</v>
      </c>
      <c t="s">
        <v>62307</v>
      </c>
      <c t="s">
        <v>293</v>
      </c>
      <c t="s">
        <v>38550</v>
      </c>
      <c t="s">
        <v>2517</v>
      </c>
      <c t="s">
        <v>39289</v>
      </c>
      <c>
        <v>33909</v>
      </c>
      <c t="s">
        <v>37766</v>
      </c>
      <c t="s">
        <v>48794</v>
      </c>
      <c t="s">
        <v>20536</v>
      </c>
      <c>
        <v>10240</v>
      </c>
      <c r="AI1559" t="s">
        <v>4944</v>
      </c>
      <c t="s">
        <v>45393</v>
      </c>
      <c r="AL1559" t="s">
        <v>51148</v>
      </c>
      <c t="s">
        <v>51148</v>
      </c>
      <c t="s">
        <v>39289</v>
      </c>
      <c t="s">
        <v>5619</v>
      </c>
      <c t="s">
        <v>60333</v>
      </c>
      <c t="s">
        <v>3093</v>
      </c>
      <c t="s">
        <v>66903</v>
      </c>
    </row>
    <row>
      <c t="s">
        <v>17594</v>
      </c>
      <c t="s">
        <v>3027</v>
      </c>
      <c t="s">
        <v>25065</v>
      </c>
      <c t="s">
        <v>6059</v>
      </c>
      <c t="s">
        <v>25304</v>
      </c>
      <c s="3">
        <v>22874</v>
      </c>
      <c s="3">
        <v>22874</v>
      </c>
      <c s="3">
        <v>15945</v>
      </c>
      <c>
        <v>0</v>
      </c>
      <c s="3">
        <v>0</v>
      </c>
      <c s="3">
        <v>449.97</v>
      </c>
      <c s="3">
        <v>22874</v>
      </c>
      <c r="O1560" s="1" t="str">
        <f ca="1">HYPERLINK("https://web.datatree.com/?/property?propertyId=32540749", "https://web.datatree.com/?/property?propertyId=32540749")</f>
        <v>https://web.datatree.com/?/property?propertyId=32540749</v>
      </c>
      <c r="Q1560" t="s">
        <v>316</v>
      </c>
      <c>
        <v>0.231</v>
      </c>
      <c t="s">
        <v>5471</v>
      </c>
      <c t="s">
        <v>49574</v>
      </c>
      <c t="s">
        <v>33470</v>
      </c>
      <c r="X1560" t="s">
        <v>11059</v>
      </c>
      <c t="s">
        <v>12246</v>
      </c>
      <c t="s">
        <v>65059</v>
      </c>
      <c t="s">
        <v>39289</v>
      </c>
      <c>
        <v>33905</v>
      </c>
      <c t="s">
        <v>5292</v>
      </c>
      <c t="s">
        <v>48794</v>
      </c>
      <c t="s">
        <v>26336</v>
      </c>
      <c>
        <v>10425</v>
      </c>
      <c r="AI1560" t="s">
        <v>20854</v>
      </c>
      <c t="s">
        <v>45393</v>
      </c>
      <c>
        <v>411</v>
      </c>
      <c t="s">
        <v>34748</v>
      </c>
      <c t="s">
        <v>13397</v>
      </c>
      <c t="s">
        <v>50917</v>
      </c>
      <c>
        <v>11423</v>
      </c>
      <c r="AQ1560" t="s">
        <v>3093</v>
      </c>
      <c t="s">
        <v>50205</v>
      </c>
    </row>
    <row>
      <c t="s">
        <v>17594</v>
      </c>
      <c t="s">
        <v>6855</v>
      </c>
      <c t="s">
        <v>65835</v>
      </c>
      <c t="s">
        <v>53962</v>
      </c>
      <c t="s">
        <v>24103</v>
      </c>
      <c s="3">
        <v>70968</v>
      </c>
      <c s="3">
        <v>63500</v>
      </c>
      <c s="3">
        <v>68715</v>
      </c>
      <c>
        <v>0</v>
      </c>
      <c s="3">
        <v>0</v>
      </c>
      <c s="3">
        <v>1046.19</v>
      </c>
      <c s="3">
        <v>70968</v>
      </c>
      <c r="O1561" s="1" t="str">
        <f ca="1">HYPERLINK("https://web.datatree.com/?/property?propertyId=32540827", "https://web.datatree.com/?/property?propertyId=32540827")</f>
        <v>https://web.datatree.com/?/property?propertyId=32540827</v>
      </c>
      <c r="Q1561" t="s">
        <v>316</v>
      </c>
      <c>
        <v>0.096</v>
      </c>
      <c t="s">
        <v>26492</v>
      </c>
      <c r="U1561" t="s">
        <v>18366</v>
      </c>
      <c r="W1561" t="s">
        <v>53797</v>
      </c>
      <c t="s">
        <v>45136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13734</v>
      </c>
      <c>
        <v>19</v>
      </c>
      <c r="AI1561" t="s">
        <v>20854</v>
      </c>
      <c t="s">
        <v>45393</v>
      </c>
      <c r="AL1561" t="s">
        <v>40394</v>
      </c>
      <c t="s">
        <v>40227</v>
      </c>
      <c t="s">
        <v>27481</v>
      </c>
      <c t="s">
        <v>11024</v>
      </c>
      <c t="s">
        <v>63972</v>
      </c>
      <c t="s">
        <v>3093</v>
      </c>
      <c t="s">
        <v>60276</v>
      </c>
    </row>
    <row>
      <c t="s">
        <v>17594</v>
      </c>
      <c t="s">
        <v>61456</v>
      </c>
      <c t="s">
        <v>46258</v>
      </c>
      <c t="s">
        <v>29409</v>
      </c>
      <c t="s">
        <v>21349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1562" s="1" t="str">
        <f ca="1">HYPERLINK("https://web.datatree.com/?/property?propertyId=32541747", "https://web.datatree.com/?/property?propertyId=32541747")</f>
        <v>https://web.datatree.com/?/property?propertyId=32541747</v>
      </c>
      <c r="Q1562" t="s">
        <v>316</v>
      </c>
      <c>
        <v>0.244</v>
      </c>
      <c t="s">
        <v>22490</v>
      </c>
      <c t="s">
        <v>10361</v>
      </c>
      <c t="s">
        <v>14132</v>
      </c>
      <c r="X1562" t="s">
        <v>38582</v>
      </c>
      <c t="s">
        <v>34136</v>
      </c>
      <c t="s">
        <v>2517</v>
      </c>
      <c t="s">
        <v>39289</v>
      </c>
      <c>
        <v>33909</v>
      </c>
      <c t="s">
        <v>8211</v>
      </c>
      <c t="s">
        <v>48794</v>
      </c>
      <c t="s">
        <v>49536</v>
      </c>
      <c>
        <v>46</v>
      </c>
      <c r="AI1562" t="s">
        <v>37788</v>
      </c>
      <c t="s">
        <v>45393</v>
      </c>
      <c r="AL1562" t="s">
        <v>31522</v>
      </c>
      <c r="AN1562" t="s">
        <v>19878</v>
      </c>
      <c>
        <v>38523</v>
      </c>
      <c r="AR1562" t="s">
        <v>11384</v>
      </c>
    </row>
    <row>
      <c t="s">
        <v>17594</v>
      </c>
      <c t="s">
        <v>45154</v>
      </c>
      <c t="s">
        <v>37641</v>
      </c>
      <c t="s">
        <v>39111</v>
      </c>
      <c t="s">
        <v>47246</v>
      </c>
      <c s="3">
        <v>90462</v>
      </c>
      <c s="3">
        <v>90462</v>
      </c>
      <c s="3">
        <v>20514</v>
      </c>
      <c>
        <v>0</v>
      </c>
      <c s="3">
        <v>0</v>
      </c>
      <c s="3">
        <v>819.07</v>
      </c>
      <c s="3">
        <v>90462</v>
      </c>
      <c r="O1563" s="1" t="str">
        <f ca="1">HYPERLINK("https://web.datatree.com/?/property?propertyId=32542052", "https://web.datatree.com/?/property?propertyId=32542052")</f>
        <v>https://web.datatree.com/?/property?propertyId=32542052</v>
      </c>
      <c r="Q1563" t="s">
        <v>316</v>
      </c>
      <c>
        <v>0.23</v>
      </c>
      <c t="s">
        <v>65422</v>
      </c>
      <c t="s">
        <v>552</v>
      </c>
      <c t="s">
        <v>11184</v>
      </c>
      <c r="X1563" t="s">
        <v>20053</v>
      </c>
      <c t="s">
        <v>2517</v>
      </c>
      <c t="s">
        <v>2517</v>
      </c>
      <c t="s">
        <v>39289</v>
      </c>
      <c>
        <v>33904</v>
      </c>
      <c t="s">
        <v>8871</v>
      </c>
      <c t="s">
        <v>48794</v>
      </c>
      <c t="s">
        <v>19486</v>
      </c>
      <c>
        <v>2731</v>
      </c>
      <c r="AI1563" t="s">
        <v>20747</v>
      </c>
      <c t="s">
        <v>45620</v>
      </c>
      <c r="AL1563" t="s">
        <v>9913</v>
      </c>
      <c r="AN1563" t="s">
        <v>39289</v>
      </c>
      <c t="s">
        <v>20533</v>
      </c>
      <c t="s">
        <v>14695</v>
      </c>
      <c t="s">
        <v>3093</v>
      </c>
      <c t="s">
        <v>33295</v>
      </c>
    </row>
    <row>
      <c t="s">
        <v>17594</v>
      </c>
      <c t="s">
        <v>45413</v>
      </c>
      <c t="s">
        <v>65528</v>
      </c>
      <c t="s">
        <v>61617</v>
      </c>
      <c t="s">
        <v>50320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1564" s="1" t="str">
        <f ca="1">HYPERLINK("https://web.datatree.com/?/property?propertyId=32542179", "https://web.datatree.com/?/property?propertyId=32542179")</f>
        <v>https://web.datatree.com/?/property?propertyId=32542179</v>
      </c>
      <c r="Q1564" t="s">
        <v>316</v>
      </c>
      <c>
        <v>0.23</v>
      </c>
      <c t="s">
        <v>22490</v>
      </c>
      <c t="s">
        <v>11916</v>
      </c>
      <c t="s">
        <v>37046</v>
      </c>
      <c r="X1564" t="s">
        <v>1523</v>
      </c>
      <c t="s">
        <v>47150</v>
      </c>
      <c t="s">
        <v>2517</v>
      </c>
      <c t="s">
        <v>39289</v>
      </c>
      <c>
        <v>33909</v>
      </c>
      <c t="s">
        <v>53531</v>
      </c>
      <c t="s">
        <v>48794</v>
      </c>
      <c t="s">
        <v>44301</v>
      </c>
      <c>
        <v>113</v>
      </c>
      <c r="AI1564" t="s">
        <v>21388</v>
      </c>
      <c t="s">
        <v>31192</v>
      </c>
      <c r="AL1564" t="s">
        <v>8857</v>
      </c>
      <c r="AN1564" t="s">
        <v>19878</v>
      </c>
      <c t="s">
        <v>50397</v>
      </c>
      <c t="s">
        <v>44428</v>
      </c>
      <c t="s">
        <v>3093</v>
      </c>
      <c t="s">
        <v>32110</v>
      </c>
    </row>
    <row>
      <c t="s">
        <v>17594</v>
      </c>
      <c t="s">
        <v>55088</v>
      </c>
      <c t="s">
        <v>16592</v>
      </c>
      <c t="s">
        <v>4641</v>
      </c>
      <c t="s">
        <v>47432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1565" s="1" t="str">
        <f ca="1">HYPERLINK("https://web.datatree.com/?/property?propertyId=32543687", "https://web.datatree.com/?/property?propertyId=32543687")</f>
        <v>https://web.datatree.com/?/property?propertyId=32543687</v>
      </c>
      <c r="Q1565" t="s">
        <v>316</v>
      </c>
      <c>
        <v>0.241</v>
      </c>
      <c t="s">
        <v>6175</v>
      </c>
      <c t="s">
        <v>10343</v>
      </c>
      <c t="s">
        <v>43620</v>
      </c>
      <c t="s">
        <v>41145</v>
      </c>
      <c t="s">
        <v>43620</v>
      </c>
      <c t="s">
        <v>21377</v>
      </c>
      <c t="s">
        <v>17022</v>
      </c>
      <c t="s">
        <v>2517</v>
      </c>
      <c t="s">
        <v>39289</v>
      </c>
      <c>
        <v>33909</v>
      </c>
      <c t="s">
        <v>45615</v>
      </c>
      <c t="s">
        <v>48794</v>
      </c>
      <c t="s">
        <v>53053</v>
      </c>
      <c>
        <v>17522</v>
      </c>
      <c r="AI1565" t="s">
        <v>52272</v>
      </c>
      <c t="s">
        <v>1671</v>
      </c>
      <c r="AL1565" t="s">
        <v>21971</v>
      </c>
      <c r="AN1565" t="s">
        <v>65451</v>
      </c>
      <c t="s">
        <v>67105</v>
      </c>
      <c t="s">
        <v>27780</v>
      </c>
      <c t="s">
        <v>3093</v>
      </c>
      <c t="s">
        <v>23620</v>
      </c>
    </row>
    <row>
      <c t="s">
        <v>17594</v>
      </c>
      <c t="s">
        <v>34204</v>
      </c>
      <c t="s">
        <v>51348</v>
      </c>
      <c t="s">
        <v>28700</v>
      </c>
      <c t="s">
        <v>37780</v>
      </c>
      <c s="3">
        <v>18194</v>
      </c>
      <c s="3">
        <v>18194</v>
      </c>
      <c s="3">
        <v>17995</v>
      </c>
      <c>
        <v>0</v>
      </c>
      <c s="3">
        <v>0</v>
      </c>
      <c s="3">
        <v>248.03</v>
      </c>
      <c s="3">
        <v>18194</v>
      </c>
      <c r="O1566" s="1" t="str">
        <f ca="1">HYPERLINK("https://web.datatree.com/?/property?propertyId=32543862", "https://web.datatree.com/?/property?propertyId=32543862")</f>
        <v>https://web.datatree.com/?/property?propertyId=32543862</v>
      </c>
      <c r="Q1566" t="s">
        <v>316</v>
      </c>
      <c>
        <v>0.183</v>
      </c>
      <c t="s">
        <v>23582</v>
      </c>
      <c t="s">
        <v>56080</v>
      </c>
      <c t="s">
        <v>26032</v>
      </c>
      <c t="s">
        <v>58113</v>
      </c>
      <c t="s">
        <v>26032</v>
      </c>
      <c t="s">
        <v>9353</v>
      </c>
      <c t="s">
        <v>40083</v>
      </c>
      <c t="s">
        <v>65059</v>
      </c>
      <c t="s">
        <v>39289</v>
      </c>
      <c>
        <v>33908</v>
      </c>
      <c t="s">
        <v>44432</v>
      </c>
      <c t="s">
        <v>48794</v>
      </c>
      <c t="s">
        <v>24486</v>
      </c>
      <c t="s">
        <v>6074</v>
      </c>
      <c r="AI1566" t="s">
        <v>17908</v>
      </c>
      <c t="s">
        <v>31192</v>
      </c>
      <c r="AL1566" t="s">
        <v>18719</v>
      </c>
      <c t="s">
        <v>18719</v>
      </c>
      <c t="s">
        <v>64156</v>
      </c>
      <c t="s">
        <v>55679</v>
      </c>
      <c t="s">
        <v>15980</v>
      </c>
      <c t="s">
        <v>3093</v>
      </c>
      <c t="s">
        <v>47068</v>
      </c>
    </row>
    <row>
      <c t="s">
        <v>17594</v>
      </c>
      <c t="s">
        <v>29692</v>
      </c>
      <c t="s">
        <v>28151</v>
      </c>
      <c t="s">
        <v>61477</v>
      </c>
      <c t="s">
        <v>36858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1567" s="1" t="str">
        <f ca="1">HYPERLINK("https://web.datatree.com/?/property?propertyId=32543869", "https://web.datatree.com/?/property?propertyId=32543869")</f>
        <v>https://web.datatree.com/?/property?propertyId=32543869</v>
      </c>
      <c r="Q1567" t="s">
        <v>316</v>
      </c>
      <c>
        <v>0.284</v>
      </c>
      <c t="s">
        <v>5471</v>
      </c>
      <c t="s">
        <v>16200</v>
      </c>
      <c t="s">
        <v>40239</v>
      </c>
      <c t="s">
        <v>47715</v>
      </c>
      <c t="s">
        <v>40239</v>
      </c>
      <c t="s">
        <v>17567</v>
      </c>
      <c t="s">
        <v>58047</v>
      </c>
      <c t="s">
        <v>65059</v>
      </c>
      <c t="s">
        <v>39289</v>
      </c>
      <c>
        <v>33905</v>
      </c>
      <c t="s">
        <v>4662</v>
      </c>
      <c t="s">
        <v>48794</v>
      </c>
      <c t="s">
        <v>52362</v>
      </c>
      <c>
        <v>3438</v>
      </c>
      <c r="AI1567" t="s">
        <v>51818</v>
      </c>
      <c t="s">
        <v>55842</v>
      </c>
      <c r="AL1567" t="s">
        <v>38934</v>
      </c>
      <c r="AN1567" t="s">
        <v>17331</v>
      </c>
      <c t="s">
        <v>57703</v>
      </c>
      <c t="s">
        <v>61410</v>
      </c>
      <c t="s">
        <v>3093</v>
      </c>
      <c t="s">
        <v>32935</v>
      </c>
    </row>
    <row>
      <c t="s">
        <v>17594</v>
      </c>
      <c t="s">
        <v>6945</v>
      </c>
      <c t="s">
        <v>19094</v>
      </c>
      <c t="s">
        <v>51308</v>
      </c>
      <c t="s">
        <v>46725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1568" s="1" t="str">
        <f ca="1">HYPERLINK("https://web.datatree.com/?/property?propertyId=32544242", "https://web.datatree.com/?/property?propertyId=32544242")</f>
        <v>https://web.datatree.com/?/property?propertyId=32544242</v>
      </c>
      <c r="Q1568" t="s">
        <v>316</v>
      </c>
      <c>
        <v>0.23</v>
      </c>
      <c t="s">
        <v>6175</v>
      </c>
      <c t="s">
        <v>16200</v>
      </c>
      <c t="s">
        <v>21031</v>
      </c>
      <c r="X1568" t="s">
        <v>5812</v>
      </c>
      <c t="s">
        <v>22731</v>
      </c>
      <c t="s">
        <v>2517</v>
      </c>
      <c t="s">
        <v>39289</v>
      </c>
      <c>
        <v>33909</v>
      </c>
      <c t="s">
        <v>20816</v>
      </c>
      <c t="s">
        <v>48794</v>
      </c>
      <c t="s">
        <v>38450</v>
      </c>
      <c>
        <v>80427</v>
      </c>
      <c r="AI1568" t="s">
        <v>31102</v>
      </c>
      <c r="AL1568" t="s">
        <v>54996</v>
      </c>
      <c r="AN1568" t="s">
        <v>65451</v>
      </c>
      <c t="s">
        <v>62586</v>
      </c>
      <c t="s">
        <v>53800</v>
      </c>
      <c t="s">
        <v>3093</v>
      </c>
      <c t="s">
        <v>40832</v>
      </c>
    </row>
    <row>
      <c t="s">
        <v>17594</v>
      </c>
      <c t="s">
        <v>49007</v>
      </c>
      <c t="s">
        <v>15563</v>
      </c>
      <c t="s">
        <v>47324</v>
      </c>
      <c t="s">
        <v>16740</v>
      </c>
      <c s="3">
        <v>16597</v>
      </c>
      <c s="3">
        <v>16597</v>
      </c>
      <c s="3">
        <v>9317</v>
      </c>
      <c>
        <v>0</v>
      </c>
      <c s="3">
        <v>0</v>
      </c>
      <c s="3">
        <v>586.53</v>
      </c>
      <c s="3">
        <v>16597</v>
      </c>
      <c r="O1569" s="1" t="str">
        <f ca="1">HYPERLINK("https://web.datatree.com/?/property?propertyId=32544431", "https://web.datatree.com/?/property?propertyId=32544431")</f>
        <v>https://web.datatree.com/?/property?propertyId=32544431</v>
      </c>
      <c r="Q1569" t="s">
        <v>316</v>
      </c>
      <c>
        <v>0.23</v>
      </c>
      <c t="s">
        <v>65422</v>
      </c>
      <c t="s">
        <v>5100</v>
      </c>
      <c t="s">
        <v>13801</v>
      </c>
      <c r="X1569" t="s">
        <v>29654</v>
      </c>
      <c t="s">
        <v>30928</v>
      </c>
      <c t="s">
        <v>2517</v>
      </c>
      <c t="s">
        <v>39289</v>
      </c>
      <c>
        <v>33909</v>
      </c>
      <c t="s">
        <v>6789</v>
      </c>
      <c t="s">
        <v>48794</v>
      </c>
      <c t="s">
        <v>43241</v>
      </c>
      <c>
        <v>14108</v>
      </c>
      <c r="AI1569" t="s">
        <v>31690</v>
      </c>
      <c t="s">
        <v>45393</v>
      </c>
      <c r="AL1569" t="s">
        <v>1592</v>
      </c>
      <c r="AN1569" t="s">
        <v>65451</v>
      </c>
      <c t="s">
        <v>16943</v>
      </c>
      <c t="s">
        <v>33029</v>
      </c>
      <c t="s">
        <v>3093</v>
      </c>
      <c t="s">
        <v>4880</v>
      </c>
    </row>
    <row>
      <c t="s">
        <v>17594</v>
      </c>
      <c t="s">
        <v>44823</v>
      </c>
      <c t="s">
        <v>9346</v>
      </c>
      <c t="s">
        <v>38115</v>
      </c>
      <c t="s">
        <v>3250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1570" s="1" t="str">
        <f ca="1">HYPERLINK("https://web.datatree.com/?/property?propertyId=32544502", "https://web.datatree.com/?/property?propertyId=32544502")</f>
        <v>https://web.datatree.com/?/property?propertyId=32544502</v>
      </c>
      <c r="Q1570" t="s">
        <v>316</v>
      </c>
      <c>
        <v>0.23</v>
      </c>
      <c t="s">
        <v>22490</v>
      </c>
      <c t="s">
        <v>11769</v>
      </c>
      <c t="s">
        <v>24606</v>
      </c>
      <c r="X1570" t="s">
        <v>8314</v>
      </c>
      <c t="s">
        <v>24999</v>
      </c>
      <c t="s">
        <v>2517</v>
      </c>
      <c t="s">
        <v>39289</v>
      </c>
      <c>
        <v>33909</v>
      </c>
      <c t="s">
        <v>54711</v>
      </c>
      <c t="s">
        <v>48794</v>
      </c>
      <c t="s">
        <v>7433</v>
      </c>
      <c>
        <v>6673</v>
      </c>
      <c r="AI1570" t="s">
        <v>46190</v>
      </c>
      <c t="s">
        <v>1671</v>
      </c>
      <c r="AL1570" t="s">
        <v>27398</v>
      </c>
      <c t="s">
        <v>56455</v>
      </c>
      <c t="s">
        <v>39289</v>
      </c>
      <c t="s">
        <v>7563</v>
      </c>
      <c t="s">
        <v>35508</v>
      </c>
      <c t="s">
        <v>3093</v>
      </c>
      <c t="s">
        <v>54196</v>
      </c>
    </row>
    <row>
      <c t="s">
        <v>17594</v>
      </c>
      <c t="s">
        <v>38146</v>
      </c>
      <c t="s">
        <v>56499</v>
      </c>
      <c t="s">
        <v>66950</v>
      </c>
      <c t="s">
        <v>33437</v>
      </c>
      <c s="3">
        <v>110412</v>
      </c>
      <c s="3">
        <v>100000</v>
      </c>
      <c s="3">
        <v>110412</v>
      </c>
      <c>
        <v>0</v>
      </c>
      <c s="3">
        <v>0</v>
      </c>
      <c s="3">
        <v>1657.94</v>
      </c>
      <c s="3">
        <v>110412</v>
      </c>
      <c r="O1571" s="1" t="str">
        <f ca="1">HYPERLINK("https://web.datatree.com/?/property?propertyId=32545219", "https://web.datatree.com/?/property?propertyId=32545219")</f>
        <v>https://web.datatree.com/?/property?propertyId=32545219</v>
      </c>
      <c r="Q1571" t="s">
        <v>316</v>
      </c>
      <c>
        <v>0.116</v>
      </c>
      <c t="s">
        <v>26492</v>
      </c>
      <c t="s">
        <v>24692</v>
      </c>
      <c t="s">
        <v>33581</v>
      </c>
      <c t="s">
        <v>2006</v>
      </c>
      <c t="s">
        <v>33581</v>
      </c>
      <c t="s">
        <v>1655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33397</v>
      </c>
      <c>
        <v>224</v>
      </c>
      <c r="AI1571" t="s">
        <v>36396</v>
      </c>
      <c t="s">
        <v>55842</v>
      </c>
      <c r="AL1571" t="s">
        <v>7889</v>
      </c>
      <c t="s">
        <v>40227</v>
      </c>
      <c t="s">
        <v>10804</v>
      </c>
      <c t="s">
        <v>34011</v>
      </c>
      <c t="s">
        <v>22455</v>
      </c>
      <c t="s">
        <v>3093</v>
      </c>
      <c t="s">
        <v>63290</v>
      </c>
      <c>
        <v>2005</v>
      </c>
    </row>
    <row>
      <c t="s">
        <v>17594</v>
      </c>
      <c t="s">
        <v>43738</v>
      </c>
      <c t="s">
        <v>34586</v>
      </c>
      <c t="s">
        <v>38087</v>
      </c>
      <c t="s">
        <v>53247</v>
      </c>
      <c s="3">
        <v>25080</v>
      </c>
      <c s="3">
        <v>25080</v>
      </c>
      <c s="3">
        <v>25080</v>
      </c>
      <c>
        <v>0</v>
      </c>
      <c s="3">
        <v>0</v>
      </c>
      <c s="3">
        <v>774.67</v>
      </c>
      <c s="3">
        <v>25080</v>
      </c>
      <c r="O1572" s="1" t="str">
        <f ca="1">HYPERLINK("https://web.datatree.com/?/property?propertyId=32545271", "https://web.datatree.com/?/property?propertyId=32545271")</f>
        <v>https://web.datatree.com/?/property?propertyId=32545271</v>
      </c>
      <c r="Q1572" t="s">
        <v>316</v>
      </c>
      <c>
        <v>0.241</v>
      </c>
      <c t="s">
        <v>22490</v>
      </c>
      <c r="U1572" t="s">
        <v>57734</v>
      </c>
      <c r="X1572" t="s">
        <v>63616</v>
      </c>
      <c t="s">
        <v>23050</v>
      </c>
      <c t="s">
        <v>2517</v>
      </c>
      <c t="s">
        <v>39289</v>
      </c>
      <c>
        <v>33909</v>
      </c>
      <c t="s">
        <v>42248</v>
      </c>
      <c t="s">
        <v>48794</v>
      </c>
      <c t="s">
        <v>18322</v>
      </c>
      <c>
        <v>225</v>
      </c>
      <c r="AI1572" t="s">
        <v>47806</v>
      </c>
      <c t="s">
        <v>31192</v>
      </c>
      <c>
        <v>2040</v>
      </c>
      <c t="s">
        <v>40112</v>
      </c>
      <c t="s">
        <v>40112</v>
      </c>
      <c t="s">
        <v>39289</v>
      </c>
      <c t="s">
        <v>30029</v>
      </c>
      <c t="s">
        <v>4797</v>
      </c>
      <c t="s">
        <v>3093</v>
      </c>
      <c t="s">
        <v>60179</v>
      </c>
    </row>
    <row>
      <c t="s">
        <v>17594</v>
      </c>
      <c t="s">
        <v>33571</v>
      </c>
      <c t="s">
        <v>52513</v>
      </c>
      <c t="s">
        <v>29284</v>
      </c>
      <c t="s">
        <v>55979</v>
      </c>
      <c s="3">
        <v>67076</v>
      </c>
      <c s="3">
        <v>67076</v>
      </c>
      <c s="3">
        <v>37950</v>
      </c>
      <c>
        <v>0</v>
      </c>
      <c s="3">
        <v>0</v>
      </c>
      <c s="3">
        <v>1163.01</v>
      </c>
      <c s="3">
        <v>67076</v>
      </c>
      <c r="O1573" s="1" t="str">
        <f ca="1">HYPERLINK("https://web.datatree.com/?/property?propertyId=32545661", "https://web.datatree.com/?/property?propertyId=32545661")</f>
        <v>https://web.datatree.com/?/property?propertyId=32545661</v>
      </c>
      <c r="Q1573" t="s">
        <v>316</v>
      </c>
      <c>
        <v>0.344</v>
      </c>
      <c t="s">
        <v>6175</v>
      </c>
      <c t="s">
        <v>58276</v>
      </c>
      <c t="s">
        <v>22425</v>
      </c>
      <c t="s">
        <v>26502</v>
      </c>
      <c t="s">
        <v>22425</v>
      </c>
      <c t="s">
        <v>28844</v>
      </c>
      <c t="s">
        <v>52171</v>
      </c>
      <c t="s">
        <v>2517</v>
      </c>
      <c t="s">
        <v>39289</v>
      </c>
      <c>
        <v>33904</v>
      </c>
      <c t="s">
        <v>4320</v>
      </c>
      <c t="s">
        <v>48794</v>
      </c>
      <c t="s">
        <v>65959</v>
      </c>
      <c>
        <v>20</v>
      </c>
      <c r="AI1573" t="s">
        <v>41111</v>
      </c>
      <c t="s">
        <v>45393</v>
      </c>
      <c r="AL1573" t="s">
        <v>28301</v>
      </c>
      <c t="s">
        <v>28301</v>
      </c>
      <c t="s">
        <v>19878</v>
      </c>
      <c t="s">
        <v>45757</v>
      </c>
      <c t="s">
        <v>41946</v>
      </c>
      <c t="s">
        <v>3093</v>
      </c>
      <c t="s">
        <v>7187</v>
      </c>
    </row>
    <row>
      <c t="s">
        <v>17594</v>
      </c>
      <c t="s">
        <v>20984</v>
      </c>
      <c t="s">
        <v>5225</v>
      </c>
      <c t="s">
        <v>48844</v>
      </c>
      <c t="s">
        <v>38293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1574" s="1" t="str">
        <f ca="1">HYPERLINK("https://web.datatree.com/?/property?propertyId=32545819", "https://web.datatree.com/?/property?propertyId=32545819")</f>
        <v>https://web.datatree.com/?/property?propertyId=32545819</v>
      </c>
      <c r="Q1574" t="s">
        <v>316</v>
      </c>
      <c>
        <v>0.23</v>
      </c>
      <c t="s">
        <v>6175</v>
      </c>
      <c t="s">
        <v>24409</v>
      </c>
      <c t="s">
        <v>32018</v>
      </c>
      <c r="X1574" t="s">
        <v>35784</v>
      </c>
      <c t="s">
        <v>34136</v>
      </c>
      <c t="s">
        <v>2517</v>
      </c>
      <c t="s">
        <v>39289</v>
      </c>
      <c>
        <v>33909</v>
      </c>
      <c t="s">
        <v>26174</v>
      </c>
      <c t="s">
        <v>48794</v>
      </c>
      <c t="s">
        <v>38024</v>
      </c>
      <c>
        <v>2034</v>
      </c>
      <c r="AI1574" t="s">
        <v>39016</v>
      </c>
      <c t="s">
        <v>31192</v>
      </c>
      <c r="AL1574" t="s">
        <v>49588</v>
      </c>
      <c r="AN1574" t="s">
        <v>27481</v>
      </c>
      <c t="s">
        <v>46276</v>
      </c>
      <c t="s">
        <v>26416</v>
      </c>
      <c t="s">
        <v>3093</v>
      </c>
      <c t="s">
        <v>41660</v>
      </c>
    </row>
    <row>
      <c t="s">
        <v>17594</v>
      </c>
      <c t="s">
        <v>22055</v>
      </c>
      <c t="s">
        <v>53406</v>
      </c>
      <c t="s">
        <v>16747</v>
      </c>
      <c t="s">
        <v>4572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1575" s="1" t="str">
        <f ca="1">HYPERLINK("https://web.datatree.com/?/property?propertyId=32547439", "https://web.datatree.com/?/property?propertyId=32547439")</f>
        <v>https://web.datatree.com/?/property?propertyId=32547439</v>
      </c>
      <c r="Q1575" t="s">
        <v>316</v>
      </c>
      <c>
        <v>0.23</v>
      </c>
      <c t="s">
        <v>22490</v>
      </c>
      <c t="s">
        <v>5759</v>
      </c>
      <c t="s">
        <v>47816</v>
      </c>
      <c r="X1575" t="s">
        <v>22057</v>
      </c>
      <c t="s">
        <v>2626</v>
      </c>
      <c t="s">
        <v>2517</v>
      </c>
      <c t="s">
        <v>39289</v>
      </c>
      <c>
        <v>33909</v>
      </c>
      <c>
        <v>33909</v>
      </c>
      <c t="s">
        <v>48794</v>
      </c>
      <c t="s">
        <v>25055</v>
      </c>
      <c>
        <v>379</v>
      </c>
      <c r="AI1575" t="s">
        <v>532</v>
      </c>
      <c t="s">
        <v>31192</v>
      </c>
      <c r="AL1575" t="s">
        <v>56355</v>
      </c>
      <c r="AN1575" t="s">
        <v>50917</v>
      </c>
      <c t="s">
        <v>53233</v>
      </c>
      <c t="s">
        <v>864</v>
      </c>
      <c t="s">
        <v>3093</v>
      </c>
      <c t="s">
        <v>60514</v>
      </c>
    </row>
    <row>
      <c t="s">
        <v>17594</v>
      </c>
      <c t="s">
        <v>40195</v>
      </c>
      <c t="s">
        <v>64613</v>
      </c>
      <c t="s">
        <v>19307</v>
      </c>
      <c t="s">
        <v>44389</v>
      </c>
      <c s="3">
        <v>31592</v>
      </c>
      <c s="3">
        <v>31592</v>
      </c>
      <c s="3">
        <v>12650</v>
      </c>
      <c>
        <v>0</v>
      </c>
      <c s="3">
        <v>0</v>
      </c>
      <c s="3">
        <v>2914.32</v>
      </c>
      <c s="3">
        <v>31592</v>
      </c>
      <c r="O1576" s="1" t="str">
        <f ca="1">HYPERLINK("https://web.datatree.com/?/property?propertyId=32547920", "https://web.datatree.com/?/property?propertyId=32547920")</f>
        <v>https://web.datatree.com/?/property?propertyId=32547920</v>
      </c>
      <c r="Q1576" t="s">
        <v>316</v>
      </c>
      <c>
        <v>0.23</v>
      </c>
      <c t="s">
        <v>22490</v>
      </c>
      <c t="s">
        <v>38202</v>
      </c>
      <c t="s">
        <v>49706</v>
      </c>
      <c r="X1576" t="s">
        <v>7248</v>
      </c>
      <c t="s">
        <v>17022</v>
      </c>
      <c t="s">
        <v>2517</v>
      </c>
      <c t="s">
        <v>39289</v>
      </c>
      <c>
        <v>33909</v>
      </c>
      <c t="s">
        <v>220</v>
      </c>
      <c t="s">
        <v>48794</v>
      </c>
      <c t="s">
        <v>45906</v>
      </c>
      <c>
        <v>333</v>
      </c>
      <c r="AI1576" t="s">
        <v>16225</v>
      </c>
      <c t="s">
        <v>31192</v>
      </c>
      <c r="AL1576" t="s">
        <v>13492</v>
      </c>
      <c r="AN1576" t="s">
        <v>36601</v>
      </c>
      <c t="s">
        <v>52831</v>
      </c>
      <c t="s">
        <v>50779</v>
      </c>
      <c t="s">
        <v>3093</v>
      </c>
      <c t="s">
        <v>48975</v>
      </c>
    </row>
    <row>
      <c t="s">
        <v>17594</v>
      </c>
      <c t="s">
        <v>1498</v>
      </c>
      <c t="s">
        <v>9766</v>
      </c>
      <c t="s">
        <v>31852</v>
      </c>
      <c t="s">
        <v>34573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1577" s="1" t="str">
        <f ca="1">HYPERLINK("https://web.datatree.com/?/property?propertyId=32548462", "https://web.datatree.com/?/property?propertyId=32548462")</f>
        <v>https://web.datatree.com/?/property?propertyId=32548462</v>
      </c>
      <c r="Q1577" t="s">
        <v>316</v>
      </c>
      <c>
        <v>0.23</v>
      </c>
      <c t="s">
        <v>22490</v>
      </c>
      <c t="s">
        <v>54288</v>
      </c>
      <c t="s">
        <v>5578</v>
      </c>
      <c r="X1577" t="s">
        <v>53375</v>
      </c>
      <c t="s">
        <v>25017</v>
      </c>
      <c t="s">
        <v>2517</v>
      </c>
      <c t="s">
        <v>39289</v>
      </c>
      <c>
        <v>33909</v>
      </c>
      <c t="s">
        <v>38189</v>
      </c>
      <c t="s">
        <v>48794</v>
      </c>
      <c t="s">
        <v>29999</v>
      </c>
      <c>
        <v>5004</v>
      </c>
      <c r="AI1577" t="s">
        <v>49923</v>
      </c>
      <c t="s">
        <v>66410</v>
      </c>
      <c>
        <v>1</v>
      </c>
      <c t="s">
        <v>51170</v>
      </c>
      <c r="AN1577" t="s">
        <v>26016</v>
      </c>
      <c>
        <v>8234</v>
      </c>
      <c t="s">
        <v>32895</v>
      </c>
      <c t="s">
        <v>3093</v>
      </c>
      <c t="s">
        <v>37664</v>
      </c>
    </row>
    <row>
      <c t="s">
        <v>17594</v>
      </c>
      <c t="s">
        <v>19870</v>
      </c>
      <c t="s">
        <v>2470</v>
      </c>
      <c t="s">
        <v>31916</v>
      </c>
      <c t="s">
        <v>6196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1578" s="1" t="str">
        <f ca="1">HYPERLINK("https://web.datatree.com/?/property?propertyId=32548921", "https://web.datatree.com/?/property?propertyId=32548921")</f>
        <v>https://web.datatree.com/?/property?propertyId=32548921</v>
      </c>
      <c r="Q1578" t="s">
        <v>316</v>
      </c>
      <c>
        <v>0.23</v>
      </c>
      <c t="s">
        <v>22490</v>
      </c>
      <c r="U1578" t="s">
        <v>42953</v>
      </c>
      <c r="W1578" t="s">
        <v>36273</v>
      </c>
      <c t="s">
        <v>54518</v>
      </c>
      <c t="s">
        <v>47150</v>
      </c>
      <c t="s">
        <v>2517</v>
      </c>
      <c t="s">
        <v>39289</v>
      </c>
      <c>
        <v>33909</v>
      </c>
      <c t="s">
        <v>40314</v>
      </c>
      <c t="s">
        <v>48794</v>
      </c>
      <c t="s">
        <v>57632</v>
      </c>
      <c>
        <v>2524</v>
      </c>
      <c r="AI1578" t="s">
        <v>53509</v>
      </c>
      <c t="s">
        <v>31192</v>
      </c>
      <c r="AL1578" t="s">
        <v>58739</v>
      </c>
      <c r="AN1578" t="s">
        <v>39289</v>
      </c>
      <c t="s">
        <v>32338</v>
      </c>
      <c t="s">
        <v>38200</v>
      </c>
      <c t="s">
        <v>3093</v>
      </c>
      <c t="s">
        <v>22198</v>
      </c>
    </row>
    <row>
      <c t="s">
        <v>17594</v>
      </c>
      <c t="s">
        <v>50178</v>
      </c>
      <c t="s">
        <v>36922</v>
      </c>
      <c t="s">
        <v>13549</v>
      </c>
      <c t="s">
        <v>57888</v>
      </c>
      <c s="3">
        <v>8600</v>
      </c>
      <c s="3">
        <v>8600</v>
      </c>
      <c s="3">
        <v>8600</v>
      </c>
      <c>
        <v>0</v>
      </c>
      <c s="3">
        <v>0</v>
      </c>
      <c s="3">
        <v>3001.41</v>
      </c>
      <c s="3">
        <v>8600</v>
      </c>
      <c r="O1579" s="1" t="str">
        <f ca="1">HYPERLINK("https://web.datatree.com/?/property?propertyId=32549498", "https://web.datatree.com/?/property?propertyId=32549498")</f>
        <v>https://web.datatree.com/?/property?propertyId=32549498</v>
      </c>
      <c r="Q1579" t="s">
        <v>316</v>
      </c>
      <c>
        <v>0.265</v>
      </c>
      <c t="s">
        <v>6175</v>
      </c>
      <c t="s">
        <v>65985</v>
      </c>
      <c t="s">
        <v>57382</v>
      </c>
      <c r="X1579" t="s">
        <v>38367</v>
      </c>
      <c t="s">
        <v>17022</v>
      </c>
      <c t="s">
        <v>2517</v>
      </c>
      <c t="s">
        <v>39289</v>
      </c>
      <c>
        <v>33909</v>
      </c>
      <c t="s">
        <v>43070</v>
      </c>
      <c t="s">
        <v>48794</v>
      </c>
      <c t="s">
        <v>55234</v>
      </c>
      <c>
        <v>43</v>
      </c>
      <c r="AI1579" t="s">
        <v>53854</v>
      </c>
      <c t="s">
        <v>45620</v>
      </c>
      <c r="AL1579" t="s">
        <v>12829</v>
      </c>
      <c r="AN1579" t="s">
        <v>50917</v>
      </c>
      <c t="s">
        <v>62282</v>
      </c>
      <c t="s">
        <v>34162</v>
      </c>
      <c t="s">
        <v>3093</v>
      </c>
      <c t="s">
        <v>7480</v>
      </c>
    </row>
    <row>
      <c t="s">
        <v>17594</v>
      </c>
      <c t="s">
        <v>27376</v>
      </c>
      <c t="s">
        <v>24972</v>
      </c>
      <c t="s">
        <v>26008</v>
      </c>
      <c t="s">
        <v>37978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1580" s="1" t="str">
        <f ca="1">HYPERLINK("https://web.datatree.com/?/property?propertyId=32549661", "https://web.datatree.com/?/property?propertyId=32549661")</f>
        <v>https://web.datatree.com/?/property?propertyId=32549661</v>
      </c>
      <c r="Q1580" t="s">
        <v>316</v>
      </c>
      <c>
        <v>0.23</v>
      </c>
      <c t="s">
        <v>42044</v>
      </c>
      <c t="s">
        <v>3617</v>
      </c>
      <c t="s">
        <v>2384</v>
      </c>
      <c t="s">
        <v>50366</v>
      </c>
      <c t="s">
        <v>2384</v>
      </c>
      <c t="s">
        <v>31200</v>
      </c>
      <c t="s">
        <v>13478</v>
      </c>
      <c t="s">
        <v>2517</v>
      </c>
      <c t="s">
        <v>39289</v>
      </c>
      <c>
        <v>33909</v>
      </c>
      <c t="s">
        <v>13632</v>
      </c>
      <c t="s">
        <v>48794</v>
      </c>
      <c t="s">
        <v>53788</v>
      </c>
      <c>
        <v>10311</v>
      </c>
      <c r="AI1580" t="s">
        <v>19985</v>
      </c>
      <c t="s">
        <v>1671</v>
      </c>
      <c r="AL1580" t="s">
        <v>12505</v>
      </c>
      <c t="s">
        <v>12505</v>
      </c>
      <c t="s">
        <v>39289</v>
      </c>
      <c t="s">
        <v>51455</v>
      </c>
      <c t="s">
        <v>62845</v>
      </c>
      <c t="s">
        <v>3093</v>
      </c>
      <c t="s">
        <v>64027</v>
      </c>
    </row>
    <row>
      <c t="s">
        <v>17594</v>
      </c>
      <c t="s">
        <v>37828</v>
      </c>
      <c t="s">
        <v>53613</v>
      </c>
      <c t="s">
        <v>22486</v>
      </c>
      <c t="s">
        <v>67033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1581" s="1" t="str">
        <f ca="1">HYPERLINK("https://web.datatree.com/?/property?propertyId=32549928", "https://web.datatree.com/?/property?propertyId=32549928")</f>
        <v>https://web.datatree.com/?/property?propertyId=32549928</v>
      </c>
      <c r="Q1581" t="s">
        <v>316</v>
      </c>
      <c>
        <v>0.23</v>
      </c>
      <c t="s">
        <v>6175</v>
      </c>
      <c t="s">
        <v>23026</v>
      </c>
      <c t="s">
        <v>20110</v>
      </c>
      <c r="X1581" t="s">
        <v>27600</v>
      </c>
      <c t="s">
        <v>38550</v>
      </c>
      <c t="s">
        <v>2517</v>
      </c>
      <c t="s">
        <v>39289</v>
      </c>
      <c>
        <v>33909</v>
      </c>
      <c t="s">
        <v>11834</v>
      </c>
      <c t="s">
        <v>48794</v>
      </c>
      <c t="s">
        <v>41897</v>
      </c>
      <c r="AI1581" t="s">
        <v>38360</v>
      </c>
      <c r="AL1581" t="s">
        <v>62807</v>
      </c>
      <c r="AN1581" t="s">
        <v>54940</v>
      </c>
      <c r="AR1581" t="s">
        <v>39209</v>
      </c>
    </row>
    <row>
      <c t="s">
        <v>17594</v>
      </c>
      <c t="s">
        <v>59211</v>
      </c>
      <c t="s">
        <v>50946</v>
      </c>
      <c t="s">
        <v>50005</v>
      </c>
      <c t="s">
        <v>65692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1582" s="1" t="str">
        <f ca="1">HYPERLINK("https://web.datatree.com/?/property?propertyId=32549974", "https://web.datatree.com/?/property?propertyId=32549974")</f>
        <v>https://web.datatree.com/?/property?propertyId=32549974</v>
      </c>
      <c r="Q1582" t="s">
        <v>316</v>
      </c>
      <c>
        <v>0.23</v>
      </c>
      <c t="s">
        <v>6175</v>
      </c>
      <c t="s">
        <v>52345</v>
      </c>
      <c t="s">
        <v>27594</v>
      </c>
      <c t="s">
        <v>28262</v>
      </c>
      <c t="s">
        <v>12671</v>
      </c>
      <c t="s">
        <v>51124</v>
      </c>
      <c t="s">
        <v>39082</v>
      </c>
      <c t="s">
        <v>2517</v>
      </c>
      <c t="s">
        <v>39289</v>
      </c>
      <c>
        <v>33909</v>
      </c>
      <c t="s">
        <v>29390</v>
      </c>
      <c t="s">
        <v>48794</v>
      </c>
      <c t="s">
        <v>47896</v>
      </c>
      <c>
        <v>3</v>
      </c>
      <c r="AI1582" t="s">
        <v>3124</v>
      </c>
      <c t="s">
        <v>31192</v>
      </c>
      <c r="AL1582" t="s">
        <v>58736</v>
      </c>
      <c t="s">
        <v>58736</v>
      </c>
      <c t="s">
        <v>17331</v>
      </c>
      <c t="s">
        <v>46094</v>
      </c>
      <c t="s">
        <v>22302</v>
      </c>
      <c t="s">
        <v>3093</v>
      </c>
      <c t="s">
        <v>20653</v>
      </c>
    </row>
    <row>
      <c t="s">
        <v>17594</v>
      </c>
      <c t="s">
        <v>55190</v>
      </c>
      <c t="s">
        <v>2591</v>
      </c>
      <c t="s">
        <v>61047</v>
      </c>
      <c t="s">
        <v>1977</v>
      </c>
      <c s="3">
        <v>10600</v>
      </c>
      <c s="3">
        <v>10600</v>
      </c>
      <c s="3">
        <v>10600</v>
      </c>
      <c>
        <v>0</v>
      </c>
      <c s="3">
        <v>0</v>
      </c>
      <c s="3">
        <v>2972.6</v>
      </c>
      <c s="3">
        <v>10600</v>
      </c>
      <c r="O1583" s="1" t="str">
        <f ca="1">HYPERLINK("https://web.datatree.com/?/property?propertyId=32550269", "https://web.datatree.com/?/property?propertyId=32550269")</f>
        <v>https://web.datatree.com/?/property?propertyId=32550269</v>
      </c>
      <c r="Q1583" t="s">
        <v>316</v>
      </c>
      <c>
        <v>0.23</v>
      </c>
      <c t="s">
        <v>6175</v>
      </c>
      <c t="s">
        <v>13273</v>
      </c>
      <c t="s">
        <v>24432</v>
      </c>
      <c t="s">
        <v>2381</v>
      </c>
      <c t="s">
        <v>39982</v>
      </c>
      <c t="s">
        <v>66315</v>
      </c>
      <c t="s">
        <v>55273</v>
      </c>
      <c t="s">
        <v>2517</v>
      </c>
      <c t="s">
        <v>39289</v>
      </c>
      <c>
        <v>33909</v>
      </c>
      <c t="s">
        <v>11173</v>
      </c>
      <c t="s">
        <v>48794</v>
      </c>
      <c t="s">
        <v>63229</v>
      </c>
      <c>
        <v>2300</v>
      </c>
      <c r="AI1583" t="s">
        <v>36695</v>
      </c>
      <c t="s">
        <v>45393</v>
      </c>
      <c r="AL1583" t="s">
        <v>29515</v>
      </c>
      <c t="s">
        <v>29515</v>
      </c>
      <c t="s">
        <v>39289</v>
      </c>
      <c t="s">
        <v>31570</v>
      </c>
      <c t="s">
        <v>16126</v>
      </c>
      <c t="s">
        <v>3093</v>
      </c>
      <c t="s">
        <v>24335</v>
      </c>
    </row>
    <row>
      <c t="s">
        <v>17594</v>
      </c>
      <c t="s">
        <v>39507</v>
      </c>
      <c t="s">
        <v>11154</v>
      </c>
      <c t="s">
        <v>51811</v>
      </c>
      <c t="s">
        <v>2762</v>
      </c>
      <c s="3">
        <v>47000</v>
      </c>
      <c s="3">
        <v>47000</v>
      </c>
      <c s="3">
        <v>12969</v>
      </c>
      <c>
        <v>0</v>
      </c>
      <c s="3">
        <v>0</v>
      </c>
      <c s="3">
        <v>927.52</v>
      </c>
      <c s="3">
        <v>47000</v>
      </c>
      <c r="O1584" s="1" t="str">
        <f ca="1">HYPERLINK("https://web.datatree.com/?/property?propertyId=32550401", "https://web.datatree.com/?/property?propertyId=32550401")</f>
        <v>https://web.datatree.com/?/property?propertyId=32550401</v>
      </c>
      <c r="Q1584" t="s">
        <v>316</v>
      </c>
      <c>
        <v>0.413</v>
      </c>
      <c t="s">
        <v>42044</v>
      </c>
      <c r="U1584" t="s">
        <v>45008</v>
      </c>
      <c r="X1584" t="s">
        <v>50189</v>
      </c>
      <c t="s">
        <v>8669</v>
      </c>
      <c t="s">
        <v>2517</v>
      </c>
      <c t="s">
        <v>39289</v>
      </c>
      <c>
        <v>33909</v>
      </c>
      <c t="s">
        <v>45214</v>
      </c>
      <c t="s">
        <v>48794</v>
      </c>
      <c t="s">
        <v>25531</v>
      </c>
      <c>
        <v>2085</v>
      </c>
      <c r="AI1584" t="s">
        <v>48241</v>
      </c>
      <c t="s">
        <v>31192</v>
      </c>
      <c r="AL1584" t="s">
        <v>30788</v>
      </c>
      <c t="s">
        <v>30788</v>
      </c>
      <c t="s">
        <v>65451</v>
      </c>
      <c t="s">
        <v>51497</v>
      </c>
      <c t="s">
        <v>42082</v>
      </c>
      <c t="s">
        <v>3093</v>
      </c>
      <c t="s">
        <v>10731</v>
      </c>
    </row>
    <row>
      <c t="s">
        <v>17594</v>
      </c>
      <c t="s">
        <v>50033</v>
      </c>
      <c t="s">
        <v>50503</v>
      </c>
      <c t="s">
        <v>55759</v>
      </c>
      <c t="s">
        <v>18882</v>
      </c>
      <c s="3">
        <v>7674</v>
      </c>
      <c s="3">
        <v>7000</v>
      </c>
      <c s="3">
        <v>5289</v>
      </c>
      <c>
        <v>0</v>
      </c>
      <c s="3">
        <v>0</v>
      </c>
      <c s="3">
        <v>106.44</v>
      </c>
      <c s="3">
        <v>7674</v>
      </c>
      <c r="O1585" s="1" t="str">
        <f ca="1">HYPERLINK("https://web.datatree.com/?/property?propertyId=32550488", "https://web.datatree.com/?/property?propertyId=32550488")</f>
        <v>https://web.datatree.com/?/property?propertyId=32550488</v>
      </c>
      <c r="Q1585" t="s">
        <v>316</v>
      </c>
      <c>
        <v>0.111</v>
      </c>
      <c t="s">
        <v>36917</v>
      </c>
      <c t="s">
        <v>61500</v>
      </c>
      <c t="s">
        <v>12403</v>
      </c>
      <c r="X1585" t="s">
        <v>9701</v>
      </c>
      <c t="s">
        <v>52071</v>
      </c>
      <c t="s">
        <v>54524</v>
      </c>
      <c t="s">
        <v>39289</v>
      </c>
      <c>
        <v>33903</v>
      </c>
      <c t="s">
        <v>46679</v>
      </c>
      <c t="s">
        <v>48794</v>
      </c>
      <c t="s">
        <v>41277</v>
      </c>
      <c>
        <v>13</v>
      </c>
      <c r="AI1585" t="s">
        <v>65519</v>
      </c>
      <c t="s">
        <v>45393</v>
      </c>
      <c r="AL1585" t="s">
        <v>13936</v>
      </c>
      <c r="AN1585" t="s">
        <v>14509</v>
      </c>
      <c t="s">
        <v>49343</v>
      </c>
      <c t="s">
        <v>44428</v>
      </c>
      <c t="s">
        <v>3093</v>
      </c>
      <c t="s">
        <v>45128</v>
      </c>
    </row>
    <row>
      <c t="s">
        <v>17594</v>
      </c>
      <c t="s">
        <v>6917</v>
      </c>
      <c t="s">
        <v>34986</v>
      </c>
      <c t="s">
        <v>11561</v>
      </c>
      <c t="s">
        <v>10507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586" s="1" t="str">
        <f ca="1">HYPERLINK("https://web.datatree.com/?/property?propertyId=32550577", "https://web.datatree.com/?/property?propertyId=32550577")</f>
        <v>https://web.datatree.com/?/property?propertyId=32550577</v>
      </c>
      <c r="Q1586" t="s">
        <v>316</v>
      </c>
      <c>
        <v>0.23</v>
      </c>
      <c t="s">
        <v>22490</v>
      </c>
      <c t="s">
        <v>42388</v>
      </c>
      <c t="s">
        <v>42993</v>
      </c>
      <c r="X1586" t="s">
        <v>60624</v>
      </c>
      <c t="s">
        <v>10653</v>
      </c>
      <c t="s">
        <v>2517</v>
      </c>
      <c t="s">
        <v>39289</v>
      </c>
      <c>
        <v>33909</v>
      </c>
      <c>
        <v>33909</v>
      </c>
      <c t="s">
        <v>48794</v>
      </c>
      <c t="s">
        <v>14073</v>
      </c>
      <c t="str">
        <f>"95-202"</f>
        <v>95-202</v>
      </c>
      <c r="AI1586" t="s">
        <v>10728</v>
      </c>
      <c t="s">
        <v>41372</v>
      </c>
      <c r="AL1586" t="s">
        <v>56807</v>
      </c>
      <c t="s">
        <v>28658</v>
      </c>
      <c t="s">
        <v>43132</v>
      </c>
      <c t="s">
        <v>14258</v>
      </c>
      <c t="s">
        <v>7207</v>
      </c>
      <c t="s">
        <v>3093</v>
      </c>
      <c t="s">
        <v>46552</v>
      </c>
    </row>
    <row>
      <c t="s">
        <v>17594</v>
      </c>
      <c t="s">
        <v>20389</v>
      </c>
      <c t="s">
        <v>39670</v>
      </c>
      <c t="s">
        <v>58079</v>
      </c>
      <c t="s">
        <v>60910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1587" s="1" t="str">
        <f ca="1">HYPERLINK("https://web.datatree.com/?/property?propertyId=32550688", "https://web.datatree.com/?/property?propertyId=32550688")</f>
        <v>https://web.datatree.com/?/property?propertyId=32550688</v>
      </c>
      <c r="Q1587" t="s">
        <v>316</v>
      </c>
      <c>
        <v>0.23</v>
      </c>
      <c t="s">
        <v>22490</v>
      </c>
      <c t="s">
        <v>63618</v>
      </c>
      <c t="s">
        <v>49200</v>
      </c>
      <c r="X1587" t="s">
        <v>2389</v>
      </c>
      <c t="s">
        <v>2626</v>
      </c>
      <c t="s">
        <v>2517</v>
      </c>
      <c t="s">
        <v>39289</v>
      </c>
      <c>
        <v>33909</v>
      </c>
      <c t="s">
        <v>45229</v>
      </c>
      <c t="s">
        <v>48794</v>
      </c>
      <c t="s">
        <v>23213</v>
      </c>
      <c>
        <v>13525</v>
      </c>
      <c r="AI1587" t="s">
        <v>12201</v>
      </c>
      <c t="s">
        <v>40123</v>
      </c>
      <c r="AL1587" t="s">
        <v>8560</v>
      </c>
      <c t="s">
        <v>8560</v>
      </c>
      <c t="s">
        <v>65451</v>
      </c>
      <c t="s">
        <v>20942</v>
      </c>
      <c t="s">
        <v>60333</v>
      </c>
      <c t="s">
        <v>3093</v>
      </c>
      <c t="s">
        <v>6020</v>
      </c>
    </row>
    <row>
      <c t="s">
        <v>17594</v>
      </c>
      <c t="s">
        <v>43969</v>
      </c>
      <c t="s">
        <v>7092</v>
      </c>
      <c t="s">
        <v>26995</v>
      </c>
      <c t="s">
        <v>22409</v>
      </c>
      <c s="3">
        <v>8248</v>
      </c>
      <c s="3">
        <v>8248</v>
      </c>
      <c s="3">
        <v>4972</v>
      </c>
      <c>
        <v>0</v>
      </c>
      <c s="3">
        <v>0</v>
      </c>
      <c s="3">
        <v>316.66</v>
      </c>
      <c s="3">
        <v>8248</v>
      </c>
      <c r="O1588" s="1" t="str">
        <f ca="1">HYPERLINK("https://web.datatree.com/?/property?propertyId=32551080", "https://web.datatree.com/?/property?propertyId=32551080")</f>
        <v>https://web.datatree.com/?/property?propertyId=32551080</v>
      </c>
      <c r="Q1588" t="s">
        <v>316</v>
      </c>
      <c>
        <v>0.242</v>
      </c>
      <c t="s">
        <v>5471</v>
      </c>
      <c t="s">
        <v>40487</v>
      </c>
      <c t="s">
        <v>19576</v>
      </c>
      <c t="s">
        <v>38445</v>
      </c>
      <c t="s">
        <v>19576</v>
      </c>
      <c t="s">
        <v>43420</v>
      </c>
      <c t="s">
        <v>61415</v>
      </c>
      <c t="s">
        <v>65059</v>
      </c>
      <c t="s">
        <v>39289</v>
      </c>
      <c>
        <v>33905</v>
      </c>
      <c t="s">
        <v>52937</v>
      </c>
      <c t="s">
        <v>48794</v>
      </c>
      <c t="s">
        <v>5700</v>
      </c>
      <c>
        <v>842</v>
      </c>
      <c r="AI1588" t="s">
        <v>15529</v>
      </c>
      <c t="s">
        <v>45393</v>
      </c>
      <c r="AL1588" t="s">
        <v>20838</v>
      </c>
      <c t="s">
        <v>19597</v>
      </c>
      <c t="s">
        <v>32657</v>
      </c>
      <c t="s">
        <v>22299</v>
      </c>
      <c t="s">
        <v>62830</v>
      </c>
      <c t="s">
        <v>3093</v>
      </c>
      <c t="s">
        <v>1713</v>
      </c>
    </row>
    <row>
      <c t="s">
        <v>17594</v>
      </c>
      <c t="s">
        <v>23406</v>
      </c>
      <c t="s">
        <v>44684</v>
      </c>
      <c t="s">
        <v>4863</v>
      </c>
      <c t="s">
        <v>40987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 r="O1589" s="1" t="str">
        <f ca="1">HYPERLINK("https://web.datatree.com/?/property?propertyId=32551081", "https://web.datatree.com/?/property?propertyId=32551081")</f>
        <v>https://web.datatree.com/?/property?propertyId=32551081</v>
      </c>
      <c r="Q1589" t="s">
        <v>316</v>
      </c>
      <c>
        <v>0.236</v>
      </c>
      <c t="s">
        <v>5471</v>
      </c>
      <c t="s">
        <v>27391</v>
      </c>
      <c t="s">
        <v>46891</v>
      </c>
      <c t="s">
        <v>21533</v>
      </c>
      <c t="s">
        <v>46891</v>
      </c>
      <c t="s">
        <v>19085</v>
      </c>
      <c t="s">
        <v>35140</v>
      </c>
      <c t="s">
        <v>65059</v>
      </c>
      <c t="s">
        <v>39289</v>
      </c>
      <c>
        <v>33905</v>
      </c>
      <c t="s">
        <v>47858</v>
      </c>
      <c t="s">
        <v>48794</v>
      </c>
      <c t="s">
        <v>67166</v>
      </c>
      <c>
        <v>16805</v>
      </c>
      <c r="AI1589" t="s">
        <v>12764</v>
      </c>
      <c t="s">
        <v>31192</v>
      </c>
      <c r="AL1589" t="s">
        <v>13020</v>
      </c>
      <c r="AN1589" t="s">
        <v>50917</v>
      </c>
      <c t="s">
        <v>52177</v>
      </c>
      <c t="s">
        <v>25140</v>
      </c>
      <c t="s">
        <v>3093</v>
      </c>
      <c t="s">
        <v>38381</v>
      </c>
    </row>
    <row>
      <c t="s">
        <v>17594</v>
      </c>
      <c t="s">
        <v>24823</v>
      </c>
      <c t="s">
        <v>23033</v>
      </c>
      <c t="s">
        <v>61816</v>
      </c>
      <c t="s">
        <v>60305</v>
      </c>
      <c s="3">
        <v>26249</v>
      </c>
      <c s="3">
        <v>26249</v>
      </c>
      <c s="3">
        <v>9433</v>
      </c>
      <c>
        <v>0</v>
      </c>
      <c s="3">
        <v>0</v>
      </c>
      <c s="3">
        <v>760.77</v>
      </c>
      <c s="3">
        <v>26249</v>
      </c>
      <c r="O1590" s="1" t="str">
        <f ca="1">HYPERLINK("https://web.datatree.com/?/property?propertyId=32551555", "https://web.datatree.com/?/property?propertyId=32551555")</f>
        <v>https://web.datatree.com/?/property?propertyId=32551555</v>
      </c>
      <c r="Q1590" t="s">
        <v>316</v>
      </c>
      <c>
        <v>0.275</v>
      </c>
      <c t="s">
        <v>42044</v>
      </c>
      <c t="s">
        <v>16893</v>
      </c>
      <c t="s">
        <v>10274</v>
      </c>
      <c r="X1590" t="s">
        <v>57573</v>
      </c>
      <c t="s">
        <v>8669</v>
      </c>
      <c t="s">
        <v>2517</v>
      </c>
      <c t="s">
        <v>39289</v>
      </c>
      <c>
        <v>33909</v>
      </c>
      <c t="s">
        <v>44085</v>
      </c>
      <c t="s">
        <v>48794</v>
      </c>
      <c t="s">
        <v>42415</v>
      </c>
      <c>
        <v>32</v>
      </c>
      <c r="AI1590" t="s">
        <v>34296</v>
      </c>
      <c t="s">
        <v>31192</v>
      </c>
      <c r="AL1590" t="s">
        <v>51151</v>
      </c>
      <c r="AN1590" t="s">
        <v>5859</v>
      </c>
      <c t="s">
        <v>28710</v>
      </c>
      <c t="s">
        <v>32746</v>
      </c>
      <c t="s">
        <v>3093</v>
      </c>
      <c t="s">
        <v>21002</v>
      </c>
    </row>
    <row>
      <c t="s">
        <v>17594</v>
      </c>
      <c t="s">
        <v>1315</v>
      </c>
      <c t="s">
        <v>32880</v>
      </c>
      <c t="s">
        <v>17878</v>
      </c>
      <c t="s">
        <v>53448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591" s="1" t="str">
        <f ca="1">HYPERLINK("https://web.datatree.com/?/property?propertyId=32551790", "https://web.datatree.com/?/property?propertyId=32551790")</f>
        <v>https://web.datatree.com/?/property?propertyId=32551790</v>
      </c>
      <c r="Q1591" t="s">
        <v>316</v>
      </c>
      <c>
        <v>0.23</v>
      </c>
      <c t="s">
        <v>6175</v>
      </c>
      <c t="s">
        <v>16298</v>
      </c>
      <c t="s">
        <v>32084</v>
      </c>
      <c r="X1591" t="s">
        <v>34352</v>
      </c>
      <c t="s">
        <v>38550</v>
      </c>
      <c t="s">
        <v>2517</v>
      </c>
      <c t="s">
        <v>39289</v>
      </c>
      <c>
        <v>33909</v>
      </c>
      <c t="s">
        <v>142</v>
      </c>
      <c t="s">
        <v>48794</v>
      </c>
      <c t="s">
        <v>1567</v>
      </c>
      <c>
        <v>16151</v>
      </c>
      <c r="AI1591" t="s">
        <v>44174</v>
      </c>
      <c t="s">
        <v>31192</v>
      </c>
      <c r="AL1591" t="s">
        <v>54986</v>
      </c>
      <c t="s">
        <v>30535</v>
      </c>
      <c t="s">
        <v>18236</v>
      </c>
      <c t="s">
        <v>42718</v>
      </c>
      <c t="s">
        <v>7207</v>
      </c>
      <c t="s">
        <v>3093</v>
      </c>
      <c t="s">
        <v>36394</v>
      </c>
    </row>
    <row>
      <c t="s">
        <v>17594</v>
      </c>
      <c t="s">
        <v>24794</v>
      </c>
      <c t="s">
        <v>51409</v>
      </c>
      <c t="s">
        <v>48623</v>
      </c>
      <c t="s">
        <v>41839</v>
      </c>
      <c s="3">
        <v>18000</v>
      </c>
      <c s="3">
        <v>18000</v>
      </c>
      <c s="3">
        <v>5324</v>
      </c>
      <c>
        <v>0</v>
      </c>
      <c s="3">
        <v>0</v>
      </c>
      <c s="3">
        <v>151.49</v>
      </c>
      <c s="3">
        <v>18000</v>
      </c>
      <c r="O1592" s="1" t="str">
        <f ca="1">HYPERLINK("https://web.datatree.com/?/property?propertyId=32553503", "https://web.datatree.com/?/property?propertyId=32553503")</f>
        <v>https://web.datatree.com/?/property?propertyId=32553503</v>
      </c>
      <c r="Q1592" t="s">
        <v>316</v>
      </c>
      <c>
        <v>0.176</v>
      </c>
      <c t="s">
        <v>66399</v>
      </c>
      <c t="s">
        <v>8467</v>
      </c>
      <c t="s">
        <v>48308</v>
      </c>
      <c r="X1592" t="s">
        <v>50637</v>
      </c>
      <c t="s">
        <v>6449</v>
      </c>
      <c t="s">
        <v>65059</v>
      </c>
      <c t="s">
        <v>39289</v>
      </c>
      <c>
        <v>33905</v>
      </c>
      <c>
        <v>33905</v>
      </c>
      <c t="s">
        <v>48794</v>
      </c>
      <c t="s">
        <v>58457</v>
      </c>
      <c>
        <v>144</v>
      </c>
      <c r="AI1592" t="s">
        <v>50883</v>
      </c>
      <c t="s">
        <v>4151</v>
      </c>
      <c r="AL1592" t="s">
        <v>4554</v>
      </c>
      <c t="s">
        <v>40227</v>
      </c>
      <c t="s">
        <v>10909</v>
      </c>
      <c t="s">
        <v>20788</v>
      </c>
      <c r="AQ1592" t="s">
        <v>27814</v>
      </c>
      <c t="s">
        <v>49461</v>
      </c>
    </row>
    <row>
      <c t="s">
        <v>17594</v>
      </c>
      <c t="s">
        <v>6878</v>
      </c>
      <c t="s">
        <v>49968</v>
      </c>
      <c t="s">
        <v>35678</v>
      </c>
      <c t="s">
        <v>23272</v>
      </c>
      <c s="3">
        <v>17781</v>
      </c>
      <c s="3">
        <v>17781</v>
      </c>
      <c s="3">
        <v>8910</v>
      </c>
      <c>
        <v>0</v>
      </c>
      <c s="3">
        <v>0</v>
      </c>
      <c s="3">
        <v>566.28</v>
      </c>
      <c s="3">
        <v>17781</v>
      </c>
      <c>
        <v>2021</v>
      </c>
      <c>
        <v>538.37</v>
      </c>
      <c s="1" t="str">
        <f ca="1">HYPERLINK("https://web.datatree.com/?/property?propertyId=32553657", "https://web.datatree.com/?/property?propertyId=32553657")</f>
        <v>https://web.datatree.com/?/property?propertyId=32553657</v>
      </c>
      <c r="Q1593" t="s">
        <v>316</v>
      </c>
      <c>
        <v>0.241</v>
      </c>
      <c t="s">
        <v>6175</v>
      </c>
      <c t="s">
        <v>17314</v>
      </c>
      <c t="s">
        <v>14002</v>
      </c>
      <c r="X1593" t="s">
        <v>16576</v>
      </c>
      <c t="s">
        <v>2619</v>
      </c>
      <c t="s">
        <v>2517</v>
      </c>
      <c t="s">
        <v>39289</v>
      </c>
      <c>
        <v>33909</v>
      </c>
      <c t="s">
        <v>46955</v>
      </c>
      <c t="s">
        <v>48794</v>
      </c>
      <c t="s">
        <v>232</v>
      </c>
      <c>
        <v>1107</v>
      </c>
      <c r="AH1593" t="s">
        <v>12549</v>
      </c>
      <c t="s">
        <v>53675</v>
      </c>
      <c t="s">
        <v>24900</v>
      </c>
      <c r="AL1593" t="s">
        <v>28184</v>
      </c>
      <c r="AN1593" t="s">
        <v>32576</v>
      </c>
      <c t="s">
        <v>36517</v>
      </c>
      <c t="s">
        <v>61719</v>
      </c>
      <c t="s">
        <v>3093</v>
      </c>
      <c t="s">
        <v>10822</v>
      </c>
    </row>
    <row>
      <c t="s">
        <v>17594</v>
      </c>
      <c t="s">
        <v>60456</v>
      </c>
      <c s="2" t="s">
        <v>14321</v>
      </c>
      <c t="s">
        <v>63153</v>
      </c>
      <c t="s">
        <v>16142</v>
      </c>
      <c s="3">
        <v>17100</v>
      </c>
      <c s="3">
        <v>17100</v>
      </c>
      <c s="3">
        <v>9900</v>
      </c>
      <c>
        <v>0</v>
      </c>
      <c s="3">
        <v>0</v>
      </c>
      <c s="3">
        <v>665.23</v>
      </c>
      <c s="3">
        <v>17100</v>
      </c>
      <c r="O1594" s="1" t="str">
        <f ca="1">HYPERLINK("https://web.datatree.com/?/property?propertyId=32553705", "https://web.datatree.com/?/property?propertyId=32553705")</f>
        <v>https://web.datatree.com/?/property?propertyId=32553705</v>
      </c>
      <c r="Q1594" t="s">
        <v>316</v>
      </c>
      <c>
        <v>0.344</v>
      </c>
      <c t="s">
        <v>6175</v>
      </c>
      <c t="s">
        <v>65985</v>
      </c>
      <c t="s">
        <v>24017</v>
      </c>
      <c t="s">
        <v>26827</v>
      </c>
      <c t="s">
        <v>12213</v>
      </c>
      <c t="s">
        <v>18272</v>
      </c>
      <c t="s">
        <v>46469</v>
      </c>
      <c t="s">
        <v>2517</v>
      </c>
      <c t="s">
        <v>39289</v>
      </c>
      <c>
        <v>33909</v>
      </c>
      <c t="s">
        <v>41584</v>
      </c>
      <c t="s">
        <v>48794</v>
      </c>
      <c t="s">
        <v>43957</v>
      </c>
      <c>
        <v>6838</v>
      </c>
      <c r="AI1594" t="s">
        <v>35535</v>
      </c>
      <c t="s">
        <v>24900</v>
      </c>
      <c r="AL1594" t="s">
        <v>16779</v>
      </c>
      <c t="s">
        <v>16779</v>
      </c>
      <c t="s">
        <v>19878</v>
      </c>
      <c t="s">
        <v>9537</v>
      </c>
      <c t="s">
        <v>52551</v>
      </c>
      <c t="s">
        <v>3093</v>
      </c>
      <c s="2" t="s">
        <v>57806</v>
      </c>
    </row>
    <row>
      <c t="s">
        <v>17594</v>
      </c>
      <c t="s">
        <v>2048</v>
      </c>
      <c t="s">
        <v>16887</v>
      </c>
      <c t="s">
        <v>23932</v>
      </c>
      <c t="s">
        <v>2292</v>
      </c>
      <c s="3">
        <v>28548</v>
      </c>
      <c s="3">
        <v>28548</v>
      </c>
      <c s="3">
        <v>15641</v>
      </c>
      <c>
        <v>0</v>
      </c>
      <c s="3">
        <v>0</v>
      </c>
      <c s="3">
        <v>697.28</v>
      </c>
      <c s="3">
        <v>28548</v>
      </c>
      <c r="O1595" s="1" t="str">
        <f ca="1">HYPERLINK("https://web.datatree.com/?/property?propertyId=32553973", "https://web.datatree.com/?/property?propertyId=32553973")</f>
        <v>https://web.datatree.com/?/property?propertyId=32553973</v>
      </c>
      <c r="Q1595" t="s">
        <v>316</v>
      </c>
      <c>
        <v>0.244</v>
      </c>
      <c t="s">
        <v>22490</v>
      </c>
      <c t="s">
        <v>62098</v>
      </c>
      <c t="s">
        <v>25508</v>
      </c>
      <c t="s">
        <v>7527</v>
      </c>
      <c t="s">
        <v>25508</v>
      </c>
      <c t="s">
        <v>47641</v>
      </c>
      <c t="s">
        <v>25017</v>
      </c>
      <c t="s">
        <v>2517</v>
      </c>
      <c t="s">
        <v>39289</v>
      </c>
      <c>
        <v>33909</v>
      </c>
      <c>
        <v>33909</v>
      </c>
      <c t="s">
        <v>48794</v>
      </c>
      <c t="s">
        <v>31736</v>
      </c>
      <c>
        <v>216</v>
      </c>
      <c r="AI1595" t="s">
        <v>39064</v>
      </c>
      <c t="s">
        <v>45393</v>
      </c>
      <c r="AL1595" t="s">
        <v>24638</v>
      </c>
      <c r="AN1595" t="s">
        <v>27747</v>
      </c>
      <c t="s">
        <v>1513</v>
      </c>
      <c t="s">
        <v>12241</v>
      </c>
      <c t="s">
        <v>3093</v>
      </c>
      <c t="s">
        <v>15591</v>
      </c>
    </row>
    <row>
      <c t="s">
        <v>17594</v>
      </c>
      <c t="s">
        <v>22564</v>
      </c>
      <c t="s">
        <v>25647</v>
      </c>
      <c t="s">
        <v>24604</v>
      </c>
      <c t="s">
        <v>39772</v>
      </c>
      <c s="3">
        <v>7500</v>
      </c>
      <c s="3">
        <v>7500</v>
      </c>
      <c s="3">
        <v>7500</v>
      </c>
      <c>
        <v>0</v>
      </c>
      <c s="3">
        <v>0</v>
      </c>
      <c s="3">
        <v>519.76</v>
      </c>
      <c s="3">
        <v>7500</v>
      </c>
      <c r="O1596" s="1" t="str">
        <f ca="1">HYPERLINK("https://web.datatree.com/?/property?propertyId=32554211", "https://web.datatree.com/?/property?propertyId=32554211")</f>
        <v>https://web.datatree.com/?/property?propertyId=32554211</v>
      </c>
      <c r="Q1596" t="s">
        <v>316</v>
      </c>
      <c>
        <v>0.255</v>
      </c>
      <c t="s">
        <v>6175</v>
      </c>
      <c t="s">
        <v>51003</v>
      </c>
      <c t="s">
        <v>58193</v>
      </c>
      <c t="s">
        <v>50331</v>
      </c>
      <c t="s">
        <v>5678</v>
      </c>
      <c t="s">
        <v>61186</v>
      </c>
      <c t="s">
        <v>25017</v>
      </c>
      <c t="s">
        <v>2517</v>
      </c>
      <c t="s">
        <v>39289</v>
      </c>
      <c>
        <v>33909</v>
      </c>
      <c t="s">
        <v>63309</v>
      </c>
      <c t="s">
        <v>48794</v>
      </c>
      <c t="s">
        <v>26955</v>
      </c>
      <c>
        <v>2417</v>
      </c>
      <c r="AH1596" t="s">
        <v>60953</v>
      </c>
      <c t="s">
        <v>13415</v>
      </c>
      <c t="s">
        <v>45620</v>
      </c>
      <c r="AL1596" t="s">
        <v>51207</v>
      </c>
      <c r="AN1596" t="s">
        <v>17134</v>
      </c>
      <c t="s">
        <v>25410</v>
      </c>
      <c t="s">
        <v>17380</v>
      </c>
      <c t="s">
        <v>3093</v>
      </c>
      <c t="s">
        <v>28684</v>
      </c>
    </row>
    <row>
      <c t="s">
        <v>17594</v>
      </c>
      <c t="s">
        <v>279</v>
      </c>
      <c t="s">
        <v>25523</v>
      </c>
      <c t="s">
        <v>7591</v>
      </c>
      <c t="s">
        <v>25422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1597" s="1" t="str">
        <f ca="1">HYPERLINK("https://web.datatree.com/?/property?propertyId=32554519", "https://web.datatree.com/?/property?propertyId=32554519")</f>
        <v>https://web.datatree.com/?/property?propertyId=32554519</v>
      </c>
      <c r="Q1597" t="s">
        <v>316</v>
      </c>
      <c>
        <v>0.23</v>
      </c>
      <c t="s">
        <v>6175</v>
      </c>
      <c t="s">
        <v>8641</v>
      </c>
      <c t="s">
        <v>49693</v>
      </c>
      <c t="s">
        <v>60286</v>
      </c>
      <c t="s">
        <v>49693</v>
      </c>
      <c t="s">
        <v>51644</v>
      </c>
      <c t="s">
        <v>13829</v>
      </c>
      <c t="s">
        <v>2517</v>
      </c>
      <c t="s">
        <v>39289</v>
      </c>
      <c>
        <v>33909</v>
      </c>
      <c t="s">
        <v>32758</v>
      </c>
      <c t="s">
        <v>48794</v>
      </c>
      <c t="s">
        <v>35416</v>
      </c>
      <c>
        <v>17867</v>
      </c>
      <c r="AI1597" t="s">
        <v>65795</v>
      </c>
      <c t="s">
        <v>45620</v>
      </c>
      <c r="AL1597" t="s">
        <v>41648</v>
      </c>
      <c r="AN1597" t="s">
        <v>26443</v>
      </c>
      <c t="s">
        <v>36553</v>
      </c>
      <c t="s">
        <v>27410</v>
      </c>
      <c t="s">
        <v>3093</v>
      </c>
      <c t="s">
        <v>43792</v>
      </c>
    </row>
    <row>
      <c t="s">
        <v>17594</v>
      </c>
      <c t="s">
        <v>48068</v>
      </c>
      <c t="s">
        <v>12279</v>
      </c>
      <c t="s">
        <v>14145</v>
      </c>
      <c t="s">
        <v>53210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1598" s="1" t="str">
        <f ca="1">HYPERLINK("https://web.datatree.com/?/property?propertyId=32554522", "https://web.datatree.com/?/property?propertyId=32554522")</f>
        <v>https://web.datatree.com/?/property?propertyId=32554522</v>
      </c>
      <c r="Q1598" t="s">
        <v>316</v>
      </c>
      <c>
        <v>0.23</v>
      </c>
      <c t="s">
        <v>6175</v>
      </c>
      <c t="s">
        <v>16200</v>
      </c>
      <c t="s">
        <v>34446</v>
      </c>
      <c t="s">
        <v>40717</v>
      </c>
      <c t="s">
        <v>34446</v>
      </c>
      <c t="s">
        <v>63321</v>
      </c>
      <c t="s">
        <v>55273</v>
      </c>
      <c t="s">
        <v>2517</v>
      </c>
      <c t="s">
        <v>39289</v>
      </c>
      <c>
        <v>33909</v>
      </c>
      <c t="s">
        <v>35782</v>
      </c>
      <c t="s">
        <v>48794</v>
      </c>
      <c t="s">
        <v>39788</v>
      </c>
      <c>
        <v>7620</v>
      </c>
      <c r="AI1598" t="s">
        <v>11711</v>
      </c>
      <c t="s">
        <v>24900</v>
      </c>
      <c r="AL1598" t="s">
        <v>55393</v>
      </c>
      <c r="AN1598" t="s">
        <v>39289</v>
      </c>
      <c t="s">
        <v>16819</v>
      </c>
      <c t="s">
        <v>52393</v>
      </c>
      <c t="s">
        <v>3093</v>
      </c>
      <c t="s">
        <v>65423</v>
      </c>
    </row>
    <row>
      <c t="s">
        <v>17594</v>
      </c>
      <c t="s">
        <v>17925</v>
      </c>
      <c t="s">
        <v>40982</v>
      </c>
      <c t="s">
        <v>15976</v>
      </c>
      <c t="s">
        <v>13148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1599" s="1" t="str">
        <f ca="1">HYPERLINK("https://web.datatree.com/?/property?propertyId=32554720", "https://web.datatree.com/?/property?propertyId=32554720")</f>
        <v>https://web.datatree.com/?/property?propertyId=32554720</v>
      </c>
      <c r="Q1599" t="s">
        <v>316</v>
      </c>
      <c>
        <v>0.23</v>
      </c>
      <c t="s">
        <v>6175</v>
      </c>
      <c t="s">
        <v>48725</v>
      </c>
      <c t="s">
        <v>7506</v>
      </c>
      <c r="X1599" t="s">
        <v>5496</v>
      </c>
      <c t="s">
        <v>17022</v>
      </c>
      <c t="s">
        <v>2517</v>
      </c>
      <c t="s">
        <v>39289</v>
      </c>
      <c>
        <v>33909</v>
      </c>
      <c t="s">
        <v>23764</v>
      </c>
      <c t="s">
        <v>48794</v>
      </c>
      <c t="s">
        <v>12474</v>
      </c>
      <c>
        <v>11466</v>
      </c>
      <c r="AI1599" t="s">
        <v>33179</v>
      </c>
      <c t="s">
        <v>55842</v>
      </c>
      <c r="AL1599" t="s">
        <v>55393</v>
      </c>
      <c t="s">
        <v>65002</v>
      </c>
      <c t="s">
        <v>39289</v>
      </c>
      <c t="s">
        <v>52493</v>
      </c>
      <c t="s">
        <v>34025</v>
      </c>
      <c t="s">
        <v>3093</v>
      </c>
      <c t="s">
        <v>1643</v>
      </c>
    </row>
    <row>
      <c t="s">
        <v>17594</v>
      </c>
      <c t="s">
        <v>53746</v>
      </c>
      <c t="s">
        <v>63094</v>
      </c>
      <c t="s">
        <v>39249</v>
      </c>
      <c t="s">
        <v>53019</v>
      </c>
      <c s="3">
        <v>8100</v>
      </c>
      <c s="3">
        <v>8100</v>
      </c>
      <c s="3">
        <v>8100</v>
      </c>
      <c>
        <v>0</v>
      </c>
      <c s="3">
        <v>0</v>
      </c>
      <c s="3">
        <v>587.86</v>
      </c>
      <c s="3">
        <v>8100</v>
      </c>
      <c r="O1600" s="1" t="str">
        <f ca="1">HYPERLINK("https://web.datatree.com/?/property?propertyId=32555144", "https://web.datatree.com/?/property?propertyId=32555144")</f>
        <v>https://web.datatree.com/?/property?propertyId=32555144</v>
      </c>
      <c r="Q1600" t="s">
        <v>316</v>
      </c>
      <c>
        <v>0.269</v>
      </c>
      <c t="s">
        <v>6175</v>
      </c>
      <c t="s">
        <v>29328</v>
      </c>
      <c t="s">
        <v>1859</v>
      </c>
      <c r="X1600" t="s">
        <v>32645</v>
      </c>
      <c t="s">
        <v>13829</v>
      </c>
      <c t="s">
        <v>2517</v>
      </c>
      <c t="s">
        <v>39289</v>
      </c>
      <c>
        <v>33909</v>
      </c>
      <c t="s">
        <v>48991</v>
      </c>
      <c t="s">
        <v>48794</v>
      </c>
      <c t="s">
        <v>60207</v>
      </c>
      <c>
        <v>9331</v>
      </c>
      <c r="AI1600" t="s">
        <v>49019</v>
      </c>
      <c t="s">
        <v>55842</v>
      </c>
      <c r="AL1600" t="s">
        <v>17200</v>
      </c>
      <c t="s">
        <v>17200</v>
      </c>
      <c t="s">
        <v>39289</v>
      </c>
      <c t="s">
        <v>19504</v>
      </c>
      <c t="s">
        <v>51341</v>
      </c>
      <c t="s">
        <v>3093</v>
      </c>
      <c t="s">
        <v>48100</v>
      </c>
    </row>
    <row>
      <c t="s">
        <v>17594</v>
      </c>
      <c t="s">
        <v>4989</v>
      </c>
      <c t="s">
        <v>54614</v>
      </c>
      <c t="s">
        <v>20980</v>
      </c>
      <c t="s">
        <v>45186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601" s="1" t="str">
        <f ca="1">HYPERLINK("https://web.datatree.com/?/property?propertyId=32555737", "https://web.datatree.com/?/property?propertyId=32555737")</f>
        <v>https://web.datatree.com/?/property?propertyId=32555737</v>
      </c>
      <c r="Q1601" t="s">
        <v>316</v>
      </c>
      <c>
        <v>0.23</v>
      </c>
      <c t="s">
        <v>22490</v>
      </c>
      <c t="s">
        <v>13273</v>
      </c>
      <c t="s">
        <v>20928</v>
      </c>
      <c r="W1601" t="s">
        <v>52077</v>
      </c>
      <c t="s">
        <v>48812</v>
      </c>
      <c t="s">
        <v>29190</v>
      </c>
      <c t="s">
        <v>2517</v>
      </c>
      <c t="s">
        <v>39289</v>
      </c>
      <c>
        <v>33909</v>
      </c>
      <c t="s">
        <v>55894</v>
      </c>
      <c t="s">
        <v>48794</v>
      </c>
      <c t="s">
        <v>2874</v>
      </c>
      <c>
        <v>18539</v>
      </c>
      <c r="AI1601" t="s">
        <v>10653</v>
      </c>
      <c t="s">
        <v>45393</v>
      </c>
      <c r="AL1601" t="s">
        <v>25857</v>
      </c>
      <c t="s">
        <v>25857</v>
      </c>
      <c t="s">
        <v>39289</v>
      </c>
      <c t="s">
        <v>22392</v>
      </c>
      <c t="s">
        <v>32746</v>
      </c>
      <c t="s">
        <v>3093</v>
      </c>
      <c t="s">
        <v>7337</v>
      </c>
    </row>
    <row>
      <c t="s">
        <v>17594</v>
      </c>
      <c t="s">
        <v>24995</v>
      </c>
      <c t="s">
        <v>33885</v>
      </c>
      <c t="s">
        <v>10435</v>
      </c>
      <c t="s">
        <v>46110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1602" s="1" t="str">
        <f ca="1">HYPERLINK("https://web.datatree.com/?/property?propertyId=32555890", "https://web.datatree.com/?/property?propertyId=32555890")</f>
        <v>https://web.datatree.com/?/property?propertyId=32555890</v>
      </c>
      <c r="Q1602" t="s">
        <v>316</v>
      </c>
      <c>
        <v>0.23</v>
      </c>
      <c t="s">
        <v>22490</v>
      </c>
      <c r="U1602" t="s">
        <v>48465</v>
      </c>
      <c t="s">
        <v>1859</v>
      </c>
      <c t="s">
        <v>31285</v>
      </c>
      <c t="s">
        <v>40910</v>
      </c>
      <c t="s">
        <v>2626</v>
      </c>
      <c t="s">
        <v>2517</v>
      </c>
      <c t="s">
        <v>39289</v>
      </c>
      <c>
        <v>33909</v>
      </c>
      <c t="s">
        <v>19381</v>
      </c>
      <c t="s">
        <v>48794</v>
      </c>
      <c t="s">
        <v>49602</v>
      </c>
      <c>
        <v>5824</v>
      </c>
      <c r="AI1602" t="s">
        <v>21690</v>
      </c>
      <c t="s">
        <v>24900</v>
      </c>
      <c>
        <v>2</v>
      </c>
      <c t="s">
        <v>23972</v>
      </c>
      <c t="s">
        <v>23972</v>
      </c>
      <c t="s">
        <v>19878</v>
      </c>
      <c t="s">
        <v>3865</v>
      </c>
      <c t="s">
        <v>11138</v>
      </c>
      <c t="s">
        <v>3093</v>
      </c>
      <c t="s">
        <v>53418</v>
      </c>
    </row>
    <row>
      <c t="s">
        <v>17594</v>
      </c>
      <c t="s">
        <v>49257</v>
      </c>
      <c t="s">
        <v>30067</v>
      </c>
      <c t="s">
        <v>4138</v>
      </c>
      <c t="s">
        <v>37141</v>
      </c>
      <c s="3">
        <v>7300</v>
      </c>
      <c s="3">
        <v>7300</v>
      </c>
      <c s="3">
        <v>7300</v>
      </c>
      <c>
        <v>0</v>
      </c>
      <c s="3">
        <v>0</v>
      </c>
      <c s="3">
        <v>725.65</v>
      </c>
      <c s="3">
        <v>7300</v>
      </c>
      <c r="O1603" s="1" t="str">
        <f ca="1">HYPERLINK("https://web.datatree.com/?/property?propertyId=32556516", "https://web.datatree.com/?/property?propertyId=32556516")</f>
        <v>https://web.datatree.com/?/property?propertyId=32556516</v>
      </c>
      <c r="Q1603" t="s">
        <v>316</v>
      </c>
      <c>
        <v>0.281</v>
      </c>
      <c t="s">
        <v>22490</v>
      </c>
      <c t="s">
        <v>54854</v>
      </c>
      <c t="s">
        <v>57911</v>
      </c>
      <c r="X1603" t="s">
        <v>54929</v>
      </c>
      <c t="s">
        <v>15510</v>
      </c>
      <c t="s">
        <v>2517</v>
      </c>
      <c t="s">
        <v>39289</v>
      </c>
      <c>
        <v>33909</v>
      </c>
      <c t="s">
        <v>7104</v>
      </c>
      <c t="s">
        <v>48794</v>
      </c>
      <c t="s">
        <v>65719</v>
      </c>
      <c>
        <v>181</v>
      </c>
      <c r="AI1603" t="s">
        <v>29400</v>
      </c>
      <c t="s">
        <v>24900</v>
      </c>
      <c r="AL1603" t="s">
        <v>29400</v>
      </c>
      <c t="s">
        <v>29400</v>
      </c>
      <c t="s">
        <v>17134</v>
      </c>
      <c t="s">
        <v>24218</v>
      </c>
      <c t="s">
        <v>34162</v>
      </c>
      <c t="s">
        <v>3093</v>
      </c>
      <c t="s">
        <v>3404</v>
      </c>
    </row>
    <row>
      <c t="s">
        <v>17594</v>
      </c>
      <c t="s">
        <v>45995</v>
      </c>
      <c t="s">
        <v>39376</v>
      </c>
      <c t="s">
        <v>5423</v>
      </c>
      <c t="s">
        <v>48627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1604" s="1" t="str">
        <f ca="1">HYPERLINK("https://web.datatree.com/?/property?propertyId=32556524", "https://web.datatree.com/?/property?propertyId=32556524")</f>
        <v>https://web.datatree.com/?/property?propertyId=32556524</v>
      </c>
      <c r="Q1604" t="s">
        <v>316</v>
      </c>
      <c>
        <v>0.23</v>
      </c>
      <c t="s">
        <v>22490</v>
      </c>
      <c t="s">
        <v>46578</v>
      </c>
      <c t="s">
        <v>56661</v>
      </c>
      <c r="X1604" t="s">
        <v>9496</v>
      </c>
      <c t="s">
        <v>2626</v>
      </c>
      <c t="s">
        <v>2517</v>
      </c>
      <c t="s">
        <v>39289</v>
      </c>
      <c>
        <v>33909</v>
      </c>
      <c t="s">
        <v>9482</v>
      </c>
      <c t="s">
        <v>48794</v>
      </c>
      <c t="s">
        <v>24069</v>
      </c>
      <c>
        <v>1104</v>
      </c>
      <c r="AI1604" t="s">
        <v>1497</v>
      </c>
      <c t="s">
        <v>45393</v>
      </c>
      <c r="AL1604" t="s">
        <v>38120</v>
      </c>
      <c t="s">
        <v>38120</v>
      </c>
      <c t="s">
        <v>36633</v>
      </c>
      <c t="s">
        <v>16973</v>
      </c>
      <c t="s">
        <v>4797</v>
      </c>
      <c t="s">
        <v>3093</v>
      </c>
      <c t="s">
        <v>4419</v>
      </c>
    </row>
    <row>
      <c t="s">
        <v>17594</v>
      </c>
      <c t="s">
        <v>24187</v>
      </c>
      <c t="s">
        <v>63814</v>
      </c>
      <c t="s">
        <v>58366</v>
      </c>
      <c t="s">
        <v>52640</v>
      </c>
      <c s="3">
        <v>47000</v>
      </c>
      <c s="3">
        <v>47000</v>
      </c>
      <c s="3">
        <v>9599</v>
      </c>
      <c>
        <v>0</v>
      </c>
      <c s="3">
        <v>0</v>
      </c>
      <c s="3">
        <v>893.01</v>
      </c>
      <c s="3">
        <v>47000</v>
      </c>
      <c r="O1605" s="1" t="str">
        <f ca="1">HYPERLINK("https://web.datatree.com/?/property?propertyId=32556700", "https://web.datatree.com/?/property?propertyId=32556700")</f>
        <v>https://web.datatree.com/?/property?propertyId=32556700</v>
      </c>
      <c r="Q1605" t="s">
        <v>316</v>
      </c>
      <c>
        <v>0.413</v>
      </c>
      <c t="s">
        <v>42044</v>
      </c>
      <c t="s">
        <v>33213</v>
      </c>
      <c t="s">
        <v>9592</v>
      </c>
      <c t="s">
        <v>5831</v>
      </c>
      <c t="s">
        <v>20391</v>
      </c>
      <c t="s">
        <v>65273</v>
      </c>
      <c t="s">
        <v>8669</v>
      </c>
      <c t="s">
        <v>2517</v>
      </c>
      <c t="s">
        <v>39289</v>
      </c>
      <c>
        <v>33909</v>
      </c>
      <c t="s">
        <v>25516</v>
      </c>
      <c t="s">
        <v>48794</v>
      </c>
      <c t="s">
        <v>45360</v>
      </c>
      <c>
        <v>506</v>
      </c>
      <c r="AI1605" t="s">
        <v>23646</v>
      </c>
      <c t="s">
        <v>24900</v>
      </c>
      <c>
        <v>305</v>
      </c>
      <c t="s">
        <v>55393</v>
      </c>
      <c r="AN1605" t="s">
        <v>39289</v>
      </c>
      <c t="s">
        <v>32342</v>
      </c>
      <c t="s">
        <v>56186</v>
      </c>
      <c t="s">
        <v>3093</v>
      </c>
      <c t="s">
        <v>56966</v>
      </c>
    </row>
    <row>
      <c t="s">
        <v>17594</v>
      </c>
      <c t="s">
        <v>61414</v>
      </c>
      <c t="s">
        <v>52179</v>
      </c>
      <c t="s">
        <v>21168</v>
      </c>
      <c t="s">
        <v>18641</v>
      </c>
      <c s="3">
        <v>24937</v>
      </c>
      <c s="3">
        <v>24937</v>
      </c>
      <c s="3">
        <v>9079</v>
      </c>
      <c>
        <v>0</v>
      </c>
      <c s="3">
        <v>0</v>
      </c>
      <c s="3">
        <v>2977.63</v>
      </c>
      <c s="3">
        <v>24937</v>
      </c>
      <c r="O1606" s="1" t="str">
        <f ca="1">HYPERLINK("https://web.datatree.com/?/property?propertyId=32556822", "https://web.datatree.com/?/property?propertyId=32556822")</f>
        <v>https://web.datatree.com/?/property?propertyId=32556822</v>
      </c>
      <c r="Q1606" t="s">
        <v>316</v>
      </c>
      <c>
        <v>0.246</v>
      </c>
      <c t="s">
        <v>6175</v>
      </c>
      <c t="s">
        <v>26550</v>
      </c>
      <c t="s">
        <v>848</v>
      </c>
      <c r="X1606" t="s">
        <v>9500</v>
      </c>
      <c t="s">
        <v>13478</v>
      </c>
      <c t="s">
        <v>2517</v>
      </c>
      <c t="s">
        <v>39289</v>
      </c>
      <c>
        <v>33909</v>
      </c>
      <c t="s">
        <v>37657</v>
      </c>
      <c t="s">
        <v>48794</v>
      </c>
      <c t="s">
        <v>32618</v>
      </c>
      <c>
        <v>331</v>
      </c>
      <c r="AI1606" t="s">
        <v>54986</v>
      </c>
      <c t="s">
        <v>45393</v>
      </c>
      <c r="AL1606" t="s">
        <v>13397</v>
      </c>
      <c r="AN1606" t="s">
        <v>50917</v>
      </c>
      <c t="s">
        <v>29951</v>
      </c>
      <c t="s">
        <v>62830</v>
      </c>
      <c t="s">
        <v>3093</v>
      </c>
      <c t="s">
        <v>53867</v>
      </c>
    </row>
    <row>
      <c t="s">
        <v>17594</v>
      </c>
      <c t="s">
        <v>881</v>
      </c>
      <c t="s">
        <v>2847</v>
      </c>
      <c t="s">
        <v>8611</v>
      </c>
      <c t="s">
        <v>62582</v>
      </c>
      <c s="3">
        <v>18472</v>
      </c>
      <c s="3">
        <v>18472</v>
      </c>
      <c s="3">
        <v>9599</v>
      </c>
      <c>
        <v>0</v>
      </c>
      <c s="3">
        <v>0</v>
      </c>
      <c s="3">
        <v>687.13</v>
      </c>
      <c s="3">
        <v>18472</v>
      </c>
      <c r="O1607" s="1" t="str">
        <f ca="1">HYPERLINK("https://web.datatree.com/?/property?propertyId=32556853", "https://web.datatree.com/?/property?propertyId=32556853")</f>
        <v>https://web.datatree.com/?/property?propertyId=32556853</v>
      </c>
      <c r="Q1607" t="s">
        <v>316</v>
      </c>
      <c>
        <v>0.344</v>
      </c>
      <c t="s">
        <v>6175</v>
      </c>
      <c t="s">
        <v>13593</v>
      </c>
      <c t="s">
        <v>62069</v>
      </c>
      <c r="X1607" t="s">
        <v>42229</v>
      </c>
      <c t="s">
        <v>18679</v>
      </c>
      <c t="s">
        <v>2517</v>
      </c>
      <c t="s">
        <v>39289</v>
      </c>
      <c>
        <v>33909</v>
      </c>
      <c t="s">
        <v>19320</v>
      </c>
      <c t="s">
        <v>48794</v>
      </c>
      <c t="s">
        <v>103</v>
      </c>
      <c>
        <v>25810</v>
      </c>
      <c r="AI1607" t="s">
        <v>43517</v>
      </c>
      <c t="s">
        <v>45620</v>
      </c>
      <c r="AL1607" t="s">
        <v>8934</v>
      </c>
      <c r="AN1607" t="s">
        <v>17134</v>
      </c>
      <c t="s">
        <v>45623</v>
      </c>
      <c t="s">
        <v>52247</v>
      </c>
      <c t="s">
        <v>3093</v>
      </c>
      <c t="s">
        <v>29211</v>
      </c>
    </row>
    <row>
      <c t="s">
        <v>17594</v>
      </c>
      <c t="s">
        <v>10826</v>
      </c>
      <c t="s">
        <v>7933</v>
      </c>
      <c t="s">
        <v>45472</v>
      </c>
      <c t="s">
        <v>35268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>
        <v>2021</v>
      </c>
      <c>
        <v>351.4</v>
      </c>
      <c s="1" t="str">
        <f ca="1">HYPERLINK("https://web.datatree.com/?/property?propertyId=32558142", "https://web.datatree.com/?/property?propertyId=32558142")</f>
        <v>https://web.datatree.com/?/property?propertyId=32558142</v>
      </c>
      <c r="Q1608" t="s">
        <v>316</v>
      </c>
      <c>
        <v>0.258</v>
      </c>
      <c t="s">
        <v>5471</v>
      </c>
      <c t="s">
        <v>12659</v>
      </c>
      <c t="s">
        <v>60671</v>
      </c>
      <c t="s">
        <v>2036</v>
      </c>
      <c t="s">
        <v>60671</v>
      </c>
      <c t="s">
        <v>39036</v>
      </c>
      <c t="s">
        <v>9755</v>
      </c>
      <c t="s">
        <v>65059</v>
      </c>
      <c t="s">
        <v>39289</v>
      </c>
      <c>
        <v>33905</v>
      </c>
      <c t="s">
        <v>32232</v>
      </c>
      <c t="s">
        <v>48794</v>
      </c>
      <c t="s">
        <v>45374</v>
      </c>
      <c>
        <v>1018</v>
      </c>
      <c r="AI1608" t="s">
        <v>65702</v>
      </c>
      <c t="s">
        <v>45393</v>
      </c>
      <c r="AL1608" t="s">
        <v>8109</v>
      </c>
      <c r="AN1608" t="s">
        <v>50917</v>
      </c>
      <c t="s">
        <v>58910</v>
      </c>
      <c t="s">
        <v>44843</v>
      </c>
      <c t="s">
        <v>3093</v>
      </c>
      <c t="s">
        <v>34360</v>
      </c>
    </row>
    <row>
      <c t="s">
        <v>17594</v>
      </c>
      <c t="s">
        <v>554</v>
      </c>
      <c t="s">
        <v>44729</v>
      </c>
      <c t="s">
        <v>55864</v>
      </c>
      <c t="s">
        <v>55081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1609" s="1" t="str">
        <f ca="1">HYPERLINK("https://web.datatree.com/?/property?propertyId=32558852", "https://web.datatree.com/?/property?propertyId=32558852")</f>
        <v>https://web.datatree.com/?/property?propertyId=32558852</v>
      </c>
      <c r="Q1609" t="s">
        <v>316</v>
      </c>
      <c>
        <v>0.23</v>
      </c>
      <c t="s">
        <v>22490</v>
      </c>
      <c t="s">
        <v>33332</v>
      </c>
      <c t="s">
        <v>10934</v>
      </c>
      <c t="s">
        <v>284</v>
      </c>
      <c t="s">
        <v>38390</v>
      </c>
      <c t="s">
        <v>3099</v>
      </c>
      <c t="s">
        <v>25017</v>
      </c>
      <c t="s">
        <v>2517</v>
      </c>
      <c t="s">
        <v>39289</v>
      </c>
      <c>
        <v>33909</v>
      </c>
      <c t="s">
        <v>1982</v>
      </c>
      <c t="s">
        <v>48794</v>
      </c>
      <c t="s">
        <v>63298</v>
      </c>
      <c>
        <v>27</v>
      </c>
      <c r="AI1609" t="s">
        <v>37785</v>
      </c>
      <c t="s">
        <v>31192</v>
      </c>
      <c r="AL1609" t="s">
        <v>6640</v>
      </c>
      <c r="AN1609" t="s">
        <v>26016</v>
      </c>
      <c t="s">
        <v>36952</v>
      </c>
      <c t="s">
        <v>25140</v>
      </c>
      <c t="s">
        <v>3093</v>
      </c>
      <c t="s">
        <v>21888</v>
      </c>
    </row>
    <row>
      <c t="s">
        <v>17594</v>
      </c>
      <c t="s">
        <v>53922</v>
      </c>
      <c t="s">
        <v>9963</v>
      </c>
      <c t="s">
        <v>1896</v>
      </c>
      <c t="s">
        <v>37886</v>
      </c>
      <c s="3">
        <v>12544</v>
      </c>
      <c s="3">
        <v>12544</v>
      </c>
      <c s="3">
        <v>4952</v>
      </c>
      <c>
        <v>0</v>
      </c>
      <c s="3">
        <v>0</v>
      </c>
      <c s="3">
        <v>313.92</v>
      </c>
      <c s="3">
        <v>12544</v>
      </c>
      <c>
        <v>2021</v>
      </c>
      <c>
        <v>310.13</v>
      </c>
      <c s="1" t="str">
        <f ca="1">HYPERLINK("https://web.datatree.com/?/property?propertyId=32559340", "https://web.datatree.com/?/property?propertyId=32559340")</f>
        <v>https://web.datatree.com/?/property?propertyId=32559340</v>
      </c>
      <c r="Q1610" t="s">
        <v>316</v>
      </c>
      <c>
        <v>0.224</v>
      </c>
      <c t="s">
        <v>5471</v>
      </c>
      <c t="s">
        <v>21248</v>
      </c>
      <c t="s">
        <v>17484</v>
      </c>
      <c t="s">
        <v>66704</v>
      </c>
      <c t="s">
        <v>17484</v>
      </c>
      <c t="s">
        <v>6034</v>
      </c>
      <c t="s">
        <v>26386</v>
      </c>
      <c t="s">
        <v>65059</v>
      </c>
      <c t="s">
        <v>39289</v>
      </c>
      <c>
        <v>33905</v>
      </c>
      <c t="s">
        <v>7757</v>
      </c>
      <c t="s">
        <v>48794</v>
      </c>
      <c t="s">
        <v>34442</v>
      </c>
      <c>
        <v>86</v>
      </c>
      <c r="AI1610" t="s">
        <v>37538</v>
      </c>
      <c r="AL1610" t="s">
        <v>41064</v>
      </c>
      <c r="AN1610" t="s">
        <v>7234</v>
      </c>
      <c>
        <v>0</v>
      </c>
      <c r="AR1610" t="s">
        <v>10493</v>
      </c>
    </row>
    <row>
      <c t="s">
        <v>17594</v>
      </c>
      <c t="s">
        <v>33706</v>
      </c>
      <c t="s">
        <v>18143</v>
      </c>
      <c t="s">
        <v>8317</v>
      </c>
      <c t="s">
        <v>11080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611" s="1" t="str">
        <f ca="1">HYPERLINK("https://web.datatree.com/?/property?propertyId=32559458", "https://web.datatree.com/?/property?propertyId=32559458")</f>
        <v>https://web.datatree.com/?/property?propertyId=32559458</v>
      </c>
      <c r="Q1611" t="s">
        <v>316</v>
      </c>
      <c>
        <v>0.23</v>
      </c>
      <c t="s">
        <v>6175</v>
      </c>
      <c t="s">
        <v>2140</v>
      </c>
      <c t="s">
        <v>32965</v>
      </c>
      <c t="s">
        <v>63047</v>
      </c>
      <c t="s">
        <v>32965</v>
      </c>
      <c t="s">
        <v>2828</v>
      </c>
      <c t="s">
        <v>33179</v>
      </c>
      <c t="s">
        <v>2517</v>
      </c>
      <c t="s">
        <v>39289</v>
      </c>
      <c>
        <v>33909</v>
      </c>
      <c t="s">
        <v>57713</v>
      </c>
      <c t="s">
        <v>48794</v>
      </c>
      <c t="s">
        <v>16952</v>
      </c>
      <c>
        <v>19</v>
      </c>
      <c r="AI1611" t="s">
        <v>46260</v>
      </c>
      <c t="s">
        <v>45393</v>
      </c>
      <c r="AL1611" t="s">
        <v>60095</v>
      </c>
      <c t="s">
        <v>60095</v>
      </c>
      <c t="s">
        <v>50917</v>
      </c>
      <c t="s">
        <v>38376</v>
      </c>
      <c t="s">
        <v>4480</v>
      </c>
      <c t="s">
        <v>3093</v>
      </c>
      <c t="s">
        <v>56349</v>
      </c>
    </row>
    <row>
      <c t="s">
        <v>17594</v>
      </c>
      <c t="s">
        <v>35452</v>
      </c>
      <c t="s">
        <v>9054</v>
      </c>
      <c t="s">
        <v>66058</v>
      </c>
      <c t="s">
        <v>28311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612" s="1" t="str">
        <f ca="1">HYPERLINK("https://web.datatree.com/?/property?propertyId=32559623", "https://web.datatree.com/?/property?propertyId=32559623")</f>
        <v>https://web.datatree.com/?/property?propertyId=32559623</v>
      </c>
      <c r="Q1612" t="s">
        <v>316</v>
      </c>
      <c>
        <v>0.23</v>
      </c>
      <c t="s">
        <v>6175</v>
      </c>
      <c t="s">
        <v>44610</v>
      </c>
      <c t="s">
        <v>45340</v>
      </c>
      <c t="s">
        <v>64030</v>
      </c>
      <c t="s">
        <v>41915</v>
      </c>
      <c t="s">
        <v>54813</v>
      </c>
      <c t="s">
        <v>33179</v>
      </c>
      <c t="s">
        <v>2517</v>
      </c>
      <c t="s">
        <v>39289</v>
      </c>
      <c>
        <v>33909</v>
      </c>
      <c t="s">
        <v>62483</v>
      </c>
      <c t="s">
        <v>48794</v>
      </c>
      <c t="s">
        <v>64171</v>
      </c>
      <c>
        <v>935</v>
      </c>
      <c r="AI1612" t="s">
        <v>60933</v>
      </c>
      <c t="s">
        <v>24900</v>
      </c>
      <c r="AL1612" t="s">
        <v>6144</v>
      </c>
      <c r="AN1612" t="s">
        <v>50917</v>
      </c>
      <c t="s">
        <v>44459</v>
      </c>
      <c t="s">
        <v>4797</v>
      </c>
      <c t="s">
        <v>3093</v>
      </c>
      <c t="s">
        <v>20549</v>
      </c>
    </row>
    <row>
      <c t="s">
        <v>17594</v>
      </c>
      <c t="s">
        <v>15712</v>
      </c>
      <c t="s">
        <v>25630</v>
      </c>
      <c t="s">
        <v>45858</v>
      </c>
      <c t="s">
        <v>53695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613" s="1" t="str">
        <f ca="1">HYPERLINK("https://web.datatree.com/?/property?propertyId=32560617", "https://web.datatree.com/?/property?propertyId=32560617")</f>
        <v>https://web.datatree.com/?/property?propertyId=32560617</v>
      </c>
      <c r="Q1613" t="s">
        <v>316</v>
      </c>
      <c>
        <v>0.23</v>
      </c>
      <c t="s">
        <v>42044</v>
      </c>
      <c r="U1613" t="s">
        <v>855</v>
      </c>
      <c t="s">
        <v>54158</v>
      </c>
      <c t="s">
        <v>38153</v>
      </c>
      <c t="s">
        <v>32945</v>
      </c>
      <c t="s">
        <v>39777</v>
      </c>
      <c t="s">
        <v>2517</v>
      </c>
      <c t="s">
        <v>39289</v>
      </c>
      <c>
        <v>33909</v>
      </c>
      <c t="s">
        <v>53261</v>
      </c>
      <c t="s">
        <v>48794</v>
      </c>
      <c t="s">
        <v>29039</v>
      </c>
      <c>
        <v>5511</v>
      </c>
      <c r="AI1613" t="s">
        <v>63682</v>
      </c>
      <c t="s">
        <v>31192</v>
      </c>
      <c r="AL1613" t="s">
        <v>54986</v>
      </c>
      <c r="AN1613" t="s">
        <v>18236</v>
      </c>
      <c t="s">
        <v>1835</v>
      </c>
      <c t="s">
        <v>12113</v>
      </c>
      <c t="s">
        <v>3093</v>
      </c>
      <c t="s">
        <v>30884</v>
      </c>
    </row>
    <row>
      <c t="s">
        <v>17594</v>
      </c>
      <c t="s">
        <v>53227</v>
      </c>
      <c t="s">
        <v>40666</v>
      </c>
      <c t="s">
        <v>57247</v>
      </c>
      <c t="s">
        <v>11337</v>
      </c>
      <c s="3">
        <v>10600</v>
      </c>
      <c s="3">
        <v>10600</v>
      </c>
      <c s="3">
        <v>9680</v>
      </c>
      <c>
        <v>0</v>
      </c>
      <c s="3">
        <v>0</v>
      </c>
      <c s="3">
        <v>3638.62</v>
      </c>
      <c s="3">
        <v>10600</v>
      </c>
      <c r="O1614" s="1" t="str">
        <f ca="1">HYPERLINK("https://web.datatree.com/?/property?propertyId=32561265", "https://web.datatree.com/?/property?propertyId=32561265")</f>
        <v>https://web.datatree.com/?/property?propertyId=32561265</v>
      </c>
      <c r="Q1614" t="s">
        <v>316</v>
      </c>
      <c>
        <v>0.386</v>
      </c>
      <c t="s">
        <v>6175</v>
      </c>
      <c t="s">
        <v>22027</v>
      </c>
      <c t="s">
        <v>37991</v>
      </c>
      <c r="X1614" t="s">
        <v>56281</v>
      </c>
      <c t="s">
        <v>55273</v>
      </c>
      <c t="s">
        <v>2517</v>
      </c>
      <c t="s">
        <v>39289</v>
      </c>
      <c>
        <v>33909</v>
      </c>
      <c t="s">
        <v>66471</v>
      </c>
      <c t="s">
        <v>48794</v>
      </c>
      <c t="s">
        <v>6547</v>
      </c>
      <c t="str">
        <f>"64-20"</f>
        <v>64-20</v>
      </c>
      <c r="AI1614" t="s">
        <v>47848</v>
      </c>
      <c r="AL1614" t="s">
        <v>60998</v>
      </c>
      <c r="AN1614" t="s">
        <v>14798</v>
      </c>
      <c r="AR1614" t="s">
        <v>35570</v>
      </c>
    </row>
    <row>
      <c t="s">
        <v>17594</v>
      </c>
      <c t="s">
        <v>67214</v>
      </c>
      <c t="s">
        <v>23091</v>
      </c>
      <c t="s">
        <v>59297</v>
      </c>
      <c t="s">
        <v>67123</v>
      </c>
      <c s="3">
        <v>22300</v>
      </c>
      <c s="3">
        <v>22300</v>
      </c>
      <c s="3">
        <v>12884</v>
      </c>
      <c>
        <v>0</v>
      </c>
      <c s="3">
        <v>0</v>
      </c>
      <c s="3">
        <v>228.2</v>
      </c>
      <c s="3">
        <v>22300</v>
      </c>
      <c r="O1615" s="1" t="str">
        <f ca="1">HYPERLINK("https://web.datatree.com/?/property?propertyId=32561521", "https://web.datatree.com/?/property?propertyId=32561521")</f>
        <v>https://web.datatree.com/?/property?propertyId=32561521</v>
      </c>
      <c r="Q1615" t="s">
        <v>316</v>
      </c>
      <c>
        <v>0.216</v>
      </c>
      <c t="s">
        <v>5471</v>
      </c>
      <c t="s">
        <v>14396</v>
      </c>
      <c t="s">
        <v>51183</v>
      </c>
      <c t="s">
        <v>64201</v>
      </c>
      <c t="s">
        <v>51183</v>
      </c>
      <c t="s">
        <v>55148</v>
      </c>
      <c t="s">
        <v>44379</v>
      </c>
      <c t="s">
        <v>65059</v>
      </c>
      <c t="s">
        <v>39289</v>
      </c>
      <c>
        <v>33905</v>
      </c>
      <c t="s">
        <v>60682</v>
      </c>
      <c t="s">
        <v>48794</v>
      </c>
      <c t="s">
        <v>29431</v>
      </c>
      <c>
        <v>6673</v>
      </c>
      <c r="AI1615" t="s">
        <v>20817</v>
      </c>
      <c t="s">
        <v>45620</v>
      </c>
      <c r="AL1615" t="s">
        <v>35035</v>
      </c>
      <c r="AN1615" t="s">
        <v>7064</v>
      </c>
      <c t="s">
        <v>25696</v>
      </c>
      <c r="AQ1615" t="s">
        <v>27814</v>
      </c>
      <c t="s">
        <v>63244</v>
      </c>
    </row>
    <row>
      <c t="s">
        <v>17594</v>
      </c>
      <c t="s">
        <v>62584</v>
      </c>
      <c t="s">
        <v>42224</v>
      </c>
      <c t="s">
        <v>33192</v>
      </c>
      <c t="s">
        <v>62037</v>
      </c>
      <c s="3">
        <v>8400</v>
      </c>
      <c s="3">
        <v>8400</v>
      </c>
      <c s="3">
        <v>8400</v>
      </c>
      <c>
        <v>0</v>
      </c>
      <c s="3">
        <v>0</v>
      </c>
      <c s="3">
        <v>683.32</v>
      </c>
      <c s="3">
        <v>8400</v>
      </c>
      <c r="O1616" s="1" t="str">
        <f ca="1">HYPERLINK("https://web.datatree.com/?/property?propertyId=32561628", "https://web.datatree.com/?/property?propertyId=32561628")</f>
        <v>https://web.datatree.com/?/property?propertyId=32561628</v>
      </c>
      <c r="Q1616" t="s">
        <v>316</v>
      </c>
      <c>
        <v>0.23</v>
      </c>
      <c t="s">
        <v>6175</v>
      </c>
      <c t="s">
        <v>1859</v>
      </c>
      <c t="s">
        <v>66428</v>
      </c>
      <c t="s">
        <v>2873</v>
      </c>
      <c t="s">
        <v>66428</v>
      </c>
      <c t="s">
        <v>14773</v>
      </c>
      <c t="s">
        <v>39777</v>
      </c>
      <c t="s">
        <v>2517</v>
      </c>
      <c t="s">
        <v>39289</v>
      </c>
      <c>
        <v>33909</v>
      </c>
      <c t="s">
        <v>1753</v>
      </c>
      <c t="s">
        <v>48794</v>
      </c>
      <c t="s">
        <v>36780</v>
      </c>
      <c>
        <v>8</v>
      </c>
      <c r="AI1616" t="s">
        <v>19249</v>
      </c>
      <c t="s">
        <v>45393</v>
      </c>
      <c r="AL1616" t="s">
        <v>5749</v>
      </c>
      <c r="AN1616" t="s">
        <v>14509</v>
      </c>
      <c t="s">
        <v>33867</v>
      </c>
      <c t="s">
        <v>34162</v>
      </c>
      <c t="s">
        <v>3093</v>
      </c>
      <c t="s">
        <v>32398</v>
      </c>
    </row>
    <row>
      <c t="s">
        <v>17594</v>
      </c>
      <c t="s">
        <v>26910</v>
      </c>
      <c t="s">
        <v>42027</v>
      </c>
      <c t="s">
        <v>62727</v>
      </c>
      <c t="s">
        <v>38323</v>
      </c>
      <c s="3">
        <v>43179</v>
      </c>
      <c s="3">
        <v>43179</v>
      </c>
      <c s="3">
        <v>23581</v>
      </c>
      <c>
        <v>0</v>
      </c>
      <c s="3">
        <v>0</v>
      </c>
      <c s="3">
        <v>432.48</v>
      </c>
      <c s="3">
        <v>43179</v>
      </c>
      <c r="O1617" s="1" t="str">
        <f ca="1">HYPERLINK("https://web.datatree.com/?/property?propertyId=32562113", "https://web.datatree.com/?/property?propertyId=32562113")</f>
        <v>https://web.datatree.com/?/property?propertyId=32562113</v>
      </c>
      <c r="Q1617" t="s">
        <v>316</v>
      </c>
      <c>
        <v>0.249</v>
      </c>
      <c t="s">
        <v>37489</v>
      </c>
      <c r="U1617" t="s">
        <v>11377</v>
      </c>
      <c r="W1617" t="s">
        <v>61304</v>
      </c>
      <c t="s">
        <v>3358</v>
      </c>
      <c t="s">
        <v>13478</v>
      </c>
      <c t="s">
        <v>65059</v>
      </c>
      <c t="s">
        <v>39289</v>
      </c>
      <c>
        <v>33908</v>
      </c>
      <c t="s">
        <v>13756</v>
      </c>
      <c t="s">
        <v>48794</v>
      </c>
      <c t="s">
        <v>49688</v>
      </c>
      <c>
        <v>862</v>
      </c>
      <c r="AI1617" t="s">
        <v>51638</v>
      </c>
      <c t="s">
        <v>45620</v>
      </c>
      <c r="AL1617" t="s">
        <v>52987</v>
      </c>
      <c r="AN1617" t="s">
        <v>14798</v>
      </c>
      <c t="s">
        <v>6563</v>
      </c>
      <c t="s">
        <v>17376</v>
      </c>
      <c t="s">
        <v>3093</v>
      </c>
      <c t="s">
        <v>19493</v>
      </c>
    </row>
    <row>
      <c t="s">
        <v>17594</v>
      </c>
      <c t="s">
        <v>25711</v>
      </c>
      <c t="s">
        <v>12043</v>
      </c>
      <c t="s">
        <v>57426</v>
      </c>
      <c t="s">
        <v>7478</v>
      </c>
      <c s="3">
        <v>54000</v>
      </c>
      <c s="3">
        <v>54000</v>
      </c>
      <c s="3">
        <v>10848</v>
      </c>
      <c>
        <v>0</v>
      </c>
      <c s="3">
        <v>0</v>
      </c>
      <c s="3">
        <v>1613.48</v>
      </c>
      <c s="3">
        <v>54000</v>
      </c>
      <c r="O1618" s="1" t="str">
        <f ca="1">HYPERLINK("https://web.datatree.com/?/property?propertyId=32562225", "https://web.datatree.com/?/property?propertyId=32562225")</f>
        <v>https://web.datatree.com/?/property?propertyId=32562225</v>
      </c>
      <c r="Q1618" t="s">
        <v>316</v>
      </c>
      <c>
        <v>0.232</v>
      </c>
      <c t="s">
        <v>6175</v>
      </c>
      <c t="s">
        <v>44457</v>
      </c>
      <c t="s">
        <v>51166</v>
      </c>
      <c t="s">
        <v>4917</v>
      </c>
      <c t="s">
        <v>51166</v>
      </c>
      <c t="s">
        <v>52371</v>
      </c>
      <c t="s">
        <v>17022</v>
      </c>
      <c t="s">
        <v>2517</v>
      </c>
      <c t="s">
        <v>39289</v>
      </c>
      <c>
        <v>33909</v>
      </c>
      <c t="s">
        <v>21582</v>
      </c>
      <c t="s">
        <v>48794</v>
      </c>
      <c t="s">
        <v>9393</v>
      </c>
      <c>
        <v>7707</v>
      </c>
      <c r="AI1618" t="s">
        <v>48684</v>
      </c>
      <c t="s">
        <v>45393</v>
      </c>
      <c r="AL1618" t="s">
        <v>36080</v>
      </c>
      <c r="AN1618" t="s">
        <v>39289</v>
      </c>
      <c t="s">
        <v>9757</v>
      </c>
      <c t="s">
        <v>12241</v>
      </c>
      <c t="s">
        <v>3093</v>
      </c>
      <c t="s">
        <v>46491</v>
      </c>
    </row>
    <row>
      <c t="s">
        <v>17594</v>
      </c>
      <c t="s">
        <v>33413</v>
      </c>
      <c t="s">
        <v>49943</v>
      </c>
      <c t="s">
        <v>32969</v>
      </c>
      <c t="s">
        <v>46168</v>
      </c>
      <c s="3">
        <v>20900</v>
      </c>
      <c s="3">
        <v>20900</v>
      </c>
      <c s="3">
        <v>10450</v>
      </c>
      <c>
        <v>0</v>
      </c>
      <c s="3">
        <v>0</v>
      </c>
      <c s="3">
        <v>623.19</v>
      </c>
      <c s="3">
        <v>20900</v>
      </c>
      <c r="O1619" s="1" t="str">
        <f ca="1">HYPERLINK("https://web.datatree.com/?/property?propertyId=32562787", "https://web.datatree.com/?/property?propertyId=32562787")</f>
        <v>https://web.datatree.com/?/property?propertyId=32562787</v>
      </c>
      <c r="Q1619" t="s">
        <v>316</v>
      </c>
      <c>
        <v>0.263</v>
      </c>
      <c t="s">
        <v>22490</v>
      </c>
      <c t="s">
        <v>35571</v>
      </c>
      <c t="s">
        <v>48794</v>
      </c>
      <c t="s">
        <v>54926</v>
      </c>
      <c t="s">
        <v>48794</v>
      </c>
      <c t="s">
        <v>61344</v>
      </c>
      <c t="s">
        <v>371</v>
      </c>
      <c t="s">
        <v>2517</v>
      </c>
      <c t="s">
        <v>39289</v>
      </c>
      <c>
        <v>33909</v>
      </c>
      <c t="s">
        <v>30433</v>
      </c>
      <c t="s">
        <v>48794</v>
      </c>
      <c t="s">
        <v>28410</v>
      </c>
      <c>
        <v>61</v>
      </c>
      <c r="AI1619" t="s">
        <v>40429</v>
      </c>
      <c t="s">
        <v>31192</v>
      </c>
      <c r="AL1619" t="s">
        <v>41165</v>
      </c>
      <c r="AN1619" t="s">
        <v>10909</v>
      </c>
      <c t="s">
        <v>31913</v>
      </c>
      <c r="AQ1619" t="s">
        <v>27814</v>
      </c>
      <c t="s">
        <v>18544</v>
      </c>
    </row>
    <row>
      <c t="s">
        <v>17594</v>
      </c>
      <c t="s">
        <v>24622</v>
      </c>
      <c t="s">
        <v>33219</v>
      </c>
      <c t="s">
        <v>41062</v>
      </c>
      <c t="s">
        <v>44296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1620" s="1" t="str">
        <f ca="1">HYPERLINK("https://web.datatree.com/?/property?propertyId=32562885", "https://web.datatree.com/?/property?propertyId=32562885")</f>
        <v>https://web.datatree.com/?/property?propertyId=32562885</v>
      </c>
      <c r="Q1620" t="s">
        <v>316</v>
      </c>
      <c>
        <v>0.23</v>
      </c>
      <c t="s">
        <v>58725</v>
      </c>
      <c t="s">
        <v>1859</v>
      </c>
      <c t="s">
        <v>10044</v>
      </c>
      <c t="s">
        <v>51891</v>
      </c>
      <c t="s">
        <v>10044</v>
      </c>
      <c t="s">
        <v>6115</v>
      </c>
      <c t="s">
        <v>39082</v>
      </c>
      <c t="s">
        <v>2517</v>
      </c>
      <c t="s">
        <v>39289</v>
      </c>
      <c>
        <v>33909</v>
      </c>
      <c t="s">
        <v>26533</v>
      </c>
      <c t="s">
        <v>48794</v>
      </c>
      <c t="s">
        <v>32813</v>
      </c>
      <c>
        <v>5451</v>
      </c>
      <c r="AH1620" t="s">
        <v>15376</v>
      </c>
      <c t="s">
        <v>64331</v>
      </c>
      <c t="s">
        <v>24900</v>
      </c>
      <c r="AL1620" t="s">
        <v>11713</v>
      </c>
      <c r="AN1620" t="s">
        <v>39289</v>
      </c>
      <c t="s">
        <v>9987</v>
      </c>
      <c t="s">
        <v>14845</v>
      </c>
      <c t="s">
        <v>3093</v>
      </c>
      <c t="s">
        <v>32463</v>
      </c>
    </row>
    <row>
      <c t="s">
        <v>17594</v>
      </c>
      <c t="s">
        <v>26797</v>
      </c>
      <c t="s">
        <v>23881</v>
      </c>
      <c t="s">
        <v>52801</v>
      </c>
      <c t="s">
        <v>12080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>
        <v>2019</v>
      </c>
      <c>
        <v>484.45</v>
      </c>
      <c s="1" t="str">
        <f ca="1">HYPERLINK("https://web.datatree.com/?/property?propertyId=32562946", "https://web.datatree.com/?/property?propertyId=32562946")</f>
        <v>https://web.datatree.com/?/property?propertyId=32562946</v>
      </c>
      <c r="Q1621" t="s">
        <v>316</v>
      </c>
      <c>
        <v>0.254</v>
      </c>
      <c t="s">
        <v>5471</v>
      </c>
      <c t="s">
        <v>50154</v>
      </c>
      <c t="s">
        <v>11802</v>
      </c>
      <c r="X1621" t="s">
        <v>65153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60737</v>
      </c>
      <c>
        <v>11702</v>
      </c>
      <c r="AI1621" t="s">
        <v>12764</v>
      </c>
      <c t="s">
        <v>40123</v>
      </c>
      <c r="AL1621" t="s">
        <v>55393</v>
      </c>
      <c t="s">
        <v>57031</v>
      </c>
      <c t="s">
        <v>39289</v>
      </c>
      <c t="s">
        <v>21979</v>
      </c>
      <c t="s">
        <v>27553</v>
      </c>
      <c t="s">
        <v>3093</v>
      </c>
      <c t="s">
        <v>8358</v>
      </c>
    </row>
    <row>
      <c t="s">
        <v>17594</v>
      </c>
      <c t="s">
        <v>8827</v>
      </c>
      <c t="s">
        <v>30692</v>
      </c>
      <c t="s">
        <v>49727</v>
      </c>
      <c t="s">
        <v>23948</v>
      </c>
      <c s="3">
        <v>18193</v>
      </c>
      <c s="3">
        <v>18193</v>
      </c>
      <c s="3">
        <v>7865</v>
      </c>
      <c>
        <v>0</v>
      </c>
      <c s="3">
        <v>0</v>
      </c>
      <c s="3">
        <v>496.24</v>
      </c>
      <c s="3">
        <v>18193</v>
      </c>
      <c r="O1622" s="1" t="str">
        <f ca="1">HYPERLINK("https://web.datatree.com/?/property?propertyId=32563389", "https://web.datatree.com/?/property?propertyId=32563389")</f>
        <v>https://web.datatree.com/?/property?propertyId=32563389</v>
      </c>
      <c r="Q1622" t="s">
        <v>316</v>
      </c>
      <c>
        <v>0.249</v>
      </c>
      <c t="s">
        <v>6175</v>
      </c>
      <c t="s">
        <v>19212</v>
      </c>
      <c t="s">
        <v>19907</v>
      </c>
      <c r="X1622" t="s">
        <v>43178</v>
      </c>
      <c t="s">
        <v>55273</v>
      </c>
      <c t="s">
        <v>2517</v>
      </c>
      <c t="s">
        <v>39289</v>
      </c>
      <c>
        <v>33909</v>
      </c>
      <c t="s">
        <v>63859</v>
      </c>
      <c t="s">
        <v>48794</v>
      </c>
      <c t="s">
        <v>14995</v>
      </c>
      <c>
        <v>350</v>
      </c>
      <c r="AI1622" t="s">
        <v>6350</v>
      </c>
      <c t="s">
        <v>24900</v>
      </c>
      <c>
        <v>2</v>
      </c>
      <c t="s">
        <v>26078</v>
      </c>
      <c r="AN1622" t="s">
        <v>26016</v>
      </c>
      <c t="s">
        <v>9727</v>
      </c>
      <c t="s">
        <v>49977</v>
      </c>
      <c t="s">
        <v>3093</v>
      </c>
      <c t="s">
        <v>60314</v>
      </c>
    </row>
    <row>
      <c t="s">
        <v>17594</v>
      </c>
      <c t="s">
        <v>42424</v>
      </c>
      <c t="s">
        <v>2903</v>
      </c>
      <c t="s">
        <v>11856</v>
      </c>
      <c t="s">
        <v>56618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623" s="1" t="str">
        <f ca="1">HYPERLINK("https://web.datatree.com/?/property?propertyId=32563458", "https://web.datatree.com/?/property?propertyId=32563458")</f>
        <v>https://web.datatree.com/?/property?propertyId=32563458</v>
      </c>
      <c r="Q1623" t="s">
        <v>316</v>
      </c>
      <c>
        <v>0.23</v>
      </c>
      <c t="s">
        <v>6175</v>
      </c>
      <c t="s">
        <v>45883</v>
      </c>
      <c t="s">
        <v>59867</v>
      </c>
      <c t="s">
        <v>51891</v>
      </c>
      <c t="s">
        <v>59867</v>
      </c>
      <c t="s">
        <v>23313</v>
      </c>
      <c t="s">
        <v>14534</v>
      </c>
      <c t="s">
        <v>2517</v>
      </c>
      <c t="s">
        <v>39289</v>
      </c>
      <c>
        <v>33909</v>
      </c>
      <c t="s">
        <v>6027</v>
      </c>
      <c t="s">
        <v>48794</v>
      </c>
      <c t="s">
        <v>60439</v>
      </c>
      <c>
        <v>4979</v>
      </c>
      <c r="AI1623" t="s">
        <v>49309</v>
      </c>
      <c t="s">
        <v>45620</v>
      </c>
      <c r="AL1623" t="s">
        <v>55833</v>
      </c>
      <c r="AN1623" t="s">
        <v>50917</v>
      </c>
      <c t="s">
        <v>31124</v>
      </c>
      <c t="s">
        <v>18895</v>
      </c>
      <c t="s">
        <v>3093</v>
      </c>
      <c t="s">
        <v>17129</v>
      </c>
    </row>
    <row>
      <c t="s">
        <v>17594</v>
      </c>
      <c t="s">
        <v>48418</v>
      </c>
      <c t="s">
        <v>51726</v>
      </c>
      <c t="s">
        <v>45910</v>
      </c>
      <c t="s">
        <v>5449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1624" s="1" t="str">
        <f ca="1">HYPERLINK("https://web.datatree.com/?/property?propertyId=32563465", "https://web.datatree.com/?/property?propertyId=32563465")</f>
        <v>https://web.datatree.com/?/property?propertyId=32563465</v>
      </c>
      <c r="Q1624" t="s">
        <v>316</v>
      </c>
      <c>
        <v>0.23</v>
      </c>
      <c t="s">
        <v>22490</v>
      </c>
      <c t="s">
        <v>21852</v>
      </c>
      <c t="s">
        <v>50728</v>
      </c>
      <c t="s">
        <v>45340</v>
      </c>
      <c t="s">
        <v>42950</v>
      </c>
      <c t="s">
        <v>62899</v>
      </c>
      <c t="s">
        <v>53663</v>
      </c>
      <c t="s">
        <v>2517</v>
      </c>
      <c t="s">
        <v>39289</v>
      </c>
      <c>
        <v>33909</v>
      </c>
      <c t="s">
        <v>66676</v>
      </c>
      <c t="s">
        <v>48794</v>
      </c>
      <c t="s">
        <v>43145</v>
      </c>
      <c t="s">
        <v>52767</v>
      </c>
      <c r="AI1624" t="s">
        <v>41052</v>
      </c>
      <c r="AK1624">
        <v>202</v>
      </c>
      <c t="s">
        <v>60998</v>
      </c>
      <c r="AN1624" t="s">
        <v>14798</v>
      </c>
      <c r="AR1624" t="s">
        <v>53926</v>
      </c>
    </row>
    <row>
      <c t="s">
        <v>42103</v>
      </c>
      <c t="s">
        <v>56881</v>
      </c>
      <c t="s">
        <v>8157</v>
      </c>
      <c t="s">
        <v>50583</v>
      </c>
      <c t="s">
        <v>53357</v>
      </c>
      <c s="3">
        <v>94962</v>
      </c>
      <c s="3">
        <v>94962</v>
      </c>
      <c s="3">
        <v>29710</v>
      </c>
      <c>
        <v>0</v>
      </c>
      <c s="3">
        <v>0</v>
      </c>
      <c s="3">
        <v>1250.92</v>
      </c>
      <c s="3">
        <v>94962</v>
      </c>
      <c r="O1625" s="1" t="str">
        <f ca="1">HYPERLINK("https://web.datatree.com/?/property?propertyId=32563821", "https://web.datatree.com/?/property?propertyId=32563821")</f>
        <v>https://web.datatree.com/?/property?propertyId=32563821</v>
      </c>
      <c r="Q1625" t="s">
        <v>316</v>
      </c>
      <c>
        <v>0.236</v>
      </c>
      <c t="s">
        <v>6175</v>
      </c>
      <c r="U1625" t="s">
        <v>50312</v>
      </c>
      <c r="W1625" t="s">
        <v>20921</v>
      </c>
      <c t="s">
        <v>15350</v>
      </c>
      <c t="s">
        <v>14534</v>
      </c>
      <c t="s">
        <v>2517</v>
      </c>
      <c t="s">
        <v>39289</v>
      </c>
      <c>
        <v>33904</v>
      </c>
      <c t="s">
        <v>48901</v>
      </c>
      <c t="s">
        <v>48794</v>
      </c>
      <c t="s">
        <v>52088</v>
      </c>
      <c r="AI1625" t="s">
        <v>17726</v>
      </c>
      <c r="AL1625" t="s">
        <v>46348</v>
      </c>
      <c r="AN1625" t="s">
        <v>50917</v>
      </c>
      <c t="s">
        <v>53801</v>
      </c>
      <c t="s">
        <v>22417</v>
      </c>
      <c t="s">
        <v>3093</v>
      </c>
      <c t="s">
        <v>63045</v>
      </c>
    </row>
    <row>
      <c t="s">
        <v>17594</v>
      </c>
      <c t="s">
        <v>8884</v>
      </c>
      <c t="s">
        <v>14335</v>
      </c>
      <c t="s">
        <v>3601</v>
      </c>
      <c t="s">
        <v>12959</v>
      </c>
      <c s="3">
        <v>8669</v>
      </c>
      <c s="3">
        <v>8669</v>
      </c>
      <c s="3">
        <v>4972</v>
      </c>
      <c>
        <v>0</v>
      </c>
      <c s="3">
        <v>0</v>
      </c>
      <c s="3">
        <v>316.66</v>
      </c>
      <c s="3">
        <v>8669</v>
      </c>
      <c r="O1626" s="1" t="str">
        <f ca="1">HYPERLINK("https://web.datatree.com/?/property?propertyId=32564433", "https://web.datatree.com/?/property?propertyId=32564433")</f>
        <v>https://web.datatree.com/?/property?propertyId=32564433</v>
      </c>
      <c r="Q1626" t="s">
        <v>316</v>
      </c>
      <c>
        <v>0.235</v>
      </c>
      <c t="s">
        <v>5471</v>
      </c>
      <c t="s">
        <v>12732</v>
      </c>
      <c t="s">
        <v>46201</v>
      </c>
      <c r="X1626" t="s">
        <v>39065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4157</v>
      </c>
      <c>
        <v>10500</v>
      </c>
      <c r="AI1626" t="s">
        <v>6371</v>
      </c>
      <c t="s">
        <v>24900</v>
      </c>
      <c r="AL1626" t="s">
        <v>60186</v>
      </c>
      <c r="AN1626" t="s">
        <v>51137</v>
      </c>
      <c t="s">
        <v>54396</v>
      </c>
      <c t="s">
        <v>40645</v>
      </c>
      <c t="s">
        <v>3093</v>
      </c>
      <c t="s">
        <v>53822</v>
      </c>
    </row>
    <row>
      <c t="s">
        <v>17594</v>
      </c>
      <c t="s">
        <v>24183</v>
      </c>
      <c t="s">
        <v>28665</v>
      </c>
      <c t="s">
        <v>1155</v>
      </c>
      <c t="s">
        <v>50079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1627" s="1" t="str">
        <f ca="1">HYPERLINK("https://web.datatree.com/?/property?propertyId=32564721", "https://web.datatree.com/?/property?propertyId=32564721")</f>
        <v>https://web.datatree.com/?/property?propertyId=32564721</v>
      </c>
      <c r="Q1627" t="s">
        <v>316</v>
      </c>
      <c>
        <v>0.244</v>
      </c>
      <c t="s">
        <v>22490</v>
      </c>
      <c t="s">
        <v>20069</v>
      </c>
      <c t="s">
        <v>67153</v>
      </c>
      <c r="X1627" t="s">
        <v>52156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65236</v>
      </c>
      <c>
        <v>17</v>
      </c>
      <c r="AI1627" t="s">
        <v>34895</v>
      </c>
      <c t="s">
        <v>45393</v>
      </c>
      <c r="AL1627" t="s">
        <v>15127</v>
      </c>
      <c t="s">
        <v>15127</v>
      </c>
      <c t="s">
        <v>65451</v>
      </c>
      <c>
        <v>91207</v>
      </c>
      <c r="AR1627" t="s">
        <v>59247</v>
      </c>
    </row>
    <row>
      <c t="s">
        <v>17594</v>
      </c>
      <c t="s">
        <v>52108</v>
      </c>
      <c t="s">
        <v>30300</v>
      </c>
      <c t="s">
        <v>19029</v>
      </c>
      <c t="s">
        <v>61457</v>
      </c>
      <c s="3">
        <v>61102</v>
      </c>
      <c s="3">
        <v>61102</v>
      </c>
      <c s="3">
        <v>60830</v>
      </c>
      <c>
        <v>0</v>
      </c>
      <c s="3">
        <v>0</v>
      </c>
      <c s="3">
        <v>941.48</v>
      </c>
      <c s="3">
        <v>61102</v>
      </c>
      <c r="O1628" s="1" t="str">
        <f ca="1">HYPERLINK("https://web.datatree.com/?/property?propertyId=32564749", "https://web.datatree.com/?/property?propertyId=32564749")</f>
        <v>https://web.datatree.com/?/property?propertyId=32564749</v>
      </c>
      <c r="Q1628" t="s">
        <v>316</v>
      </c>
      <c>
        <v>0.416</v>
      </c>
      <c t="s">
        <v>30497</v>
      </c>
      <c t="s">
        <v>26823</v>
      </c>
      <c t="s">
        <v>13398</v>
      </c>
      <c r="X1628" t="s">
        <v>14408</v>
      </c>
      <c t="s">
        <v>51919</v>
      </c>
      <c t="s">
        <v>65059</v>
      </c>
      <c t="s">
        <v>39289</v>
      </c>
      <c>
        <v>33905</v>
      </c>
      <c t="s">
        <v>31026</v>
      </c>
      <c t="s">
        <v>48794</v>
      </c>
      <c t="s">
        <v>63279</v>
      </c>
      <c>
        <v>6931</v>
      </c>
      <c r="AI1628" t="s">
        <v>60040</v>
      </c>
      <c t="s">
        <v>24900</v>
      </c>
      <c r="AL1628" t="s">
        <v>65059</v>
      </c>
      <c r="AN1628" t="s">
        <v>39289</v>
      </c>
      <c t="s">
        <v>11456</v>
      </c>
      <c t="s">
        <v>44428</v>
      </c>
      <c t="s">
        <v>3093</v>
      </c>
      <c t="s">
        <v>386</v>
      </c>
    </row>
    <row>
      <c t="s">
        <v>17594</v>
      </c>
      <c t="s">
        <v>32960</v>
      </c>
      <c t="s">
        <v>54698</v>
      </c>
      <c t="s">
        <v>6764</v>
      </c>
      <c t="s">
        <v>24196</v>
      </c>
      <c s="3">
        <v>8100</v>
      </c>
      <c s="3">
        <v>8100</v>
      </c>
      <c s="3">
        <v>8100</v>
      </c>
      <c>
        <v>0</v>
      </c>
      <c s="3">
        <v>0</v>
      </c>
      <c s="3">
        <v>649.01</v>
      </c>
      <c s="3">
        <v>8100</v>
      </c>
      <c>
        <v>2021</v>
      </c>
      <c>
        <v>534.29</v>
      </c>
      <c s="1" t="str">
        <f ca="1">HYPERLINK("https://web.datatree.com/?/property?propertyId=32565211", "https://web.datatree.com/?/property?propertyId=32565211")</f>
        <v>https://web.datatree.com/?/property?propertyId=32565211</v>
      </c>
      <c r="Q1629" t="s">
        <v>316</v>
      </c>
      <c>
        <v>0.23</v>
      </c>
      <c t="s">
        <v>6175</v>
      </c>
      <c t="s">
        <v>40783</v>
      </c>
      <c t="s">
        <v>29150</v>
      </c>
      <c r="X1629" t="s">
        <v>45352</v>
      </c>
      <c t="s">
        <v>60363</v>
      </c>
      <c t="s">
        <v>2517</v>
      </c>
      <c t="s">
        <v>39289</v>
      </c>
      <c>
        <v>33909</v>
      </c>
      <c t="s">
        <v>17300</v>
      </c>
      <c t="s">
        <v>48794</v>
      </c>
      <c t="s">
        <v>17313</v>
      </c>
      <c>
        <v>13525</v>
      </c>
      <c r="AI1629" t="s">
        <v>54608</v>
      </c>
      <c t="s">
        <v>40123</v>
      </c>
      <c r="AL1629" t="s">
        <v>21676</v>
      </c>
      <c t="s">
        <v>21676</v>
      </c>
      <c t="s">
        <v>39289</v>
      </c>
      <c t="s">
        <v>58131</v>
      </c>
      <c t="s">
        <v>66797</v>
      </c>
      <c t="s">
        <v>3093</v>
      </c>
      <c t="s">
        <v>52838</v>
      </c>
    </row>
    <row>
      <c t="s">
        <v>17594</v>
      </c>
      <c t="s">
        <v>66148</v>
      </c>
      <c t="s">
        <v>499</v>
      </c>
      <c t="s">
        <v>28745</v>
      </c>
      <c t="s">
        <v>36894</v>
      </c>
      <c s="3">
        <v>7700</v>
      </c>
      <c s="3">
        <v>7700</v>
      </c>
      <c s="3">
        <v>7700</v>
      </c>
      <c>
        <v>0</v>
      </c>
      <c s="3">
        <v>0</v>
      </c>
      <c s="3">
        <v>640.64</v>
      </c>
      <c s="3">
        <v>7700</v>
      </c>
      <c r="O1630" s="1" t="str">
        <f ca="1">HYPERLINK("https://web.datatree.com/?/property?propertyId=32565598", "https://web.datatree.com/?/property?propertyId=32565598")</f>
        <v>https://web.datatree.com/?/property?propertyId=32565598</v>
      </c>
      <c r="Q1630" t="s">
        <v>316</v>
      </c>
      <c>
        <v>0.241</v>
      </c>
      <c t="s">
        <v>6175</v>
      </c>
      <c t="s">
        <v>54961</v>
      </c>
      <c t="s">
        <v>61644</v>
      </c>
      <c t="s">
        <v>31729</v>
      </c>
      <c t="s">
        <v>61644</v>
      </c>
      <c t="s">
        <v>7545</v>
      </c>
      <c t="s">
        <v>30928</v>
      </c>
      <c t="s">
        <v>2517</v>
      </c>
      <c t="s">
        <v>39289</v>
      </c>
      <c>
        <v>33909</v>
      </c>
      <c t="s">
        <v>23431</v>
      </c>
      <c t="s">
        <v>48794</v>
      </c>
      <c t="s">
        <v>16967</v>
      </c>
      <c>
        <v>3220</v>
      </c>
      <c r="AI1630" t="s">
        <v>8717</v>
      </c>
      <c t="s">
        <v>45393</v>
      </c>
      <c t="s">
        <v>17594</v>
      </c>
      <c t="s">
        <v>21385</v>
      </c>
      <c t="s">
        <v>21385</v>
      </c>
      <c t="s">
        <v>9636</v>
      </c>
      <c t="s">
        <v>27467</v>
      </c>
      <c t="s">
        <v>7361</v>
      </c>
      <c t="s">
        <v>3093</v>
      </c>
      <c t="s">
        <v>23068</v>
      </c>
    </row>
    <row>
      <c t="s">
        <v>17594</v>
      </c>
      <c t="s">
        <v>37831</v>
      </c>
      <c t="s">
        <v>65464</v>
      </c>
      <c t="s">
        <v>34245</v>
      </c>
      <c t="s">
        <v>43037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1631" s="1" t="str">
        <f ca="1">HYPERLINK("https://web.datatree.com/?/property?propertyId=32566061", "https://web.datatree.com/?/property?propertyId=32566061")</f>
        <v>https://web.datatree.com/?/property?propertyId=32566061</v>
      </c>
      <c r="Q1631" t="s">
        <v>316</v>
      </c>
      <c>
        <v>0.244</v>
      </c>
      <c t="s">
        <v>6175</v>
      </c>
      <c t="s">
        <v>52701</v>
      </c>
      <c t="s">
        <v>63374</v>
      </c>
      <c r="X1631" t="s">
        <v>61711</v>
      </c>
      <c t="s">
        <v>2626</v>
      </c>
      <c t="s">
        <v>2517</v>
      </c>
      <c t="s">
        <v>39289</v>
      </c>
      <c>
        <v>33909</v>
      </c>
      <c t="s">
        <v>1668</v>
      </c>
      <c t="s">
        <v>48794</v>
      </c>
      <c t="s">
        <v>29874</v>
      </c>
      <c>
        <v>160</v>
      </c>
      <c r="AI1631" t="s">
        <v>8346</v>
      </c>
      <c t="s">
        <v>45393</v>
      </c>
      <c>
        <v>320</v>
      </c>
      <c t="s">
        <v>6144</v>
      </c>
      <c t="s">
        <v>13397</v>
      </c>
      <c t="s">
        <v>50917</v>
      </c>
      <c t="s">
        <v>29851</v>
      </c>
      <c t="s">
        <v>4797</v>
      </c>
      <c t="s">
        <v>3093</v>
      </c>
      <c t="s">
        <v>24425</v>
      </c>
    </row>
    <row>
      <c t="s">
        <v>17594</v>
      </c>
      <c t="s">
        <v>47786</v>
      </c>
      <c t="s">
        <v>886</v>
      </c>
      <c t="s">
        <v>50194</v>
      </c>
      <c t="s">
        <v>46330</v>
      </c>
      <c s="3">
        <v>17276</v>
      </c>
      <c s="3">
        <v>17276</v>
      </c>
      <c s="3">
        <v>8470</v>
      </c>
      <c>
        <v>0</v>
      </c>
      <c s="3">
        <v>0</v>
      </c>
      <c s="3">
        <v>576.29</v>
      </c>
      <c s="3">
        <v>17276</v>
      </c>
      <c r="O1632" s="1" t="str">
        <f ca="1">HYPERLINK("https://web.datatree.com/?/property?propertyId=32566209", "https://web.datatree.com/?/property?propertyId=32566209")</f>
        <v>https://web.datatree.com/?/property?propertyId=32566209</v>
      </c>
      <c r="Q1632" t="s">
        <v>316</v>
      </c>
      <c>
        <v>0.241</v>
      </c>
      <c t="s">
        <v>6175</v>
      </c>
      <c t="s">
        <v>12240</v>
      </c>
      <c t="s">
        <v>34484</v>
      </c>
      <c r="X1632" t="s">
        <v>45149</v>
      </c>
      <c t="s">
        <v>371</v>
      </c>
      <c t="s">
        <v>2517</v>
      </c>
      <c t="s">
        <v>39289</v>
      </c>
      <c>
        <v>33909</v>
      </c>
      <c t="s">
        <v>49301</v>
      </c>
      <c t="s">
        <v>48794</v>
      </c>
      <c t="s">
        <v>15259</v>
      </c>
      <c>
        <v>249</v>
      </c>
      <c r="AI1632" t="s">
        <v>66507</v>
      </c>
      <c t="s">
        <v>24900</v>
      </c>
      <c r="AL1632" t="s">
        <v>61009</v>
      </c>
      <c r="AN1632" t="s">
        <v>26016</v>
      </c>
      <c t="s">
        <v>63303</v>
      </c>
      <c t="s">
        <v>4480</v>
      </c>
      <c t="s">
        <v>3093</v>
      </c>
      <c t="s">
        <v>16669</v>
      </c>
    </row>
    <row>
      <c t="s">
        <v>17594</v>
      </c>
      <c t="s">
        <v>39839</v>
      </c>
      <c t="s">
        <v>35021</v>
      </c>
      <c t="s">
        <v>28234</v>
      </c>
      <c t="s">
        <v>35530</v>
      </c>
      <c s="3">
        <v>52000</v>
      </c>
      <c s="3">
        <v>52000</v>
      </c>
      <c s="3">
        <v>28600</v>
      </c>
      <c>
        <v>0</v>
      </c>
      <c s="3">
        <v>0</v>
      </c>
      <c s="3">
        <v>994.84</v>
      </c>
      <c s="3">
        <v>52000</v>
      </c>
      <c r="O1633" s="1" t="str">
        <f ca="1">HYPERLINK("https://web.datatree.com/?/property?propertyId=32566288", "https://web.datatree.com/?/property?propertyId=32566288")</f>
        <v>https://web.datatree.com/?/property?propertyId=32566288</v>
      </c>
      <c r="Q1633" t="s">
        <v>316</v>
      </c>
      <c>
        <v>0.23</v>
      </c>
      <c t="s">
        <v>22490</v>
      </c>
      <c t="s">
        <v>53608</v>
      </c>
      <c t="s">
        <v>23454</v>
      </c>
      <c r="X1633" t="s">
        <v>26522</v>
      </c>
      <c t="s">
        <v>10653</v>
      </c>
      <c t="s">
        <v>2517</v>
      </c>
      <c t="s">
        <v>39289</v>
      </c>
      <c>
        <v>33909</v>
      </c>
      <c t="s">
        <v>65128</v>
      </c>
      <c t="s">
        <v>48794</v>
      </c>
      <c t="s">
        <v>34156</v>
      </c>
      <c>
        <v>1936</v>
      </c>
      <c r="AI1633" t="s">
        <v>53175</v>
      </c>
      <c t="s">
        <v>31192</v>
      </c>
      <c r="AL1633" t="s">
        <v>27398</v>
      </c>
      <c t="s">
        <v>27398</v>
      </c>
      <c t="s">
        <v>39289</v>
      </c>
      <c t="s">
        <v>6337</v>
      </c>
      <c t="s">
        <v>65563</v>
      </c>
      <c t="s">
        <v>3093</v>
      </c>
      <c t="s">
        <v>37901</v>
      </c>
    </row>
    <row>
      <c t="s">
        <v>17594</v>
      </c>
      <c t="s">
        <v>63934</v>
      </c>
      <c t="s">
        <v>23273</v>
      </c>
      <c t="s">
        <v>5674</v>
      </c>
      <c t="s">
        <v>32911</v>
      </c>
      <c s="3">
        <v>8500</v>
      </c>
      <c s="3">
        <v>8500</v>
      </c>
      <c s="3">
        <v>8500</v>
      </c>
      <c>
        <v>0</v>
      </c>
      <c s="3">
        <v>0</v>
      </c>
      <c s="3">
        <v>576.1</v>
      </c>
      <c s="3">
        <v>8500</v>
      </c>
      <c r="O1634" s="1" t="str">
        <f ca="1">HYPERLINK("https://web.datatree.com/?/property?propertyId=32566698", "https://web.datatree.com/?/property?propertyId=32566698")</f>
        <v>https://web.datatree.com/?/property?propertyId=32566698</v>
      </c>
      <c r="Q1634" t="s">
        <v>316</v>
      </c>
      <c>
        <v>0.23</v>
      </c>
      <c t="s">
        <v>6175</v>
      </c>
      <c t="s">
        <v>40487</v>
      </c>
      <c t="s">
        <v>47054</v>
      </c>
      <c t="s">
        <v>35664</v>
      </c>
      <c t="s">
        <v>47054</v>
      </c>
      <c t="s">
        <v>21253</v>
      </c>
      <c t="s">
        <v>14534</v>
      </c>
      <c t="s">
        <v>2517</v>
      </c>
      <c t="s">
        <v>39289</v>
      </c>
      <c>
        <v>33909</v>
      </c>
      <c t="s">
        <v>22368</v>
      </c>
      <c t="s">
        <v>48794</v>
      </c>
      <c t="s">
        <v>32785</v>
      </c>
      <c>
        <v>9301</v>
      </c>
      <c r="AI1634" t="s">
        <v>47150</v>
      </c>
      <c t="s">
        <v>45393</v>
      </c>
      <c r="AL1634" t="s">
        <v>55393</v>
      </c>
      <c t="s">
        <v>523</v>
      </c>
      <c t="s">
        <v>39289</v>
      </c>
      <c t="s">
        <v>60455</v>
      </c>
      <c t="s">
        <v>61564</v>
      </c>
      <c t="s">
        <v>3093</v>
      </c>
      <c t="s">
        <v>8354</v>
      </c>
    </row>
    <row>
      <c t="s">
        <v>17594</v>
      </c>
      <c t="s">
        <v>34609</v>
      </c>
      <c t="s">
        <v>51878</v>
      </c>
      <c t="s">
        <v>61080</v>
      </c>
      <c t="s">
        <v>50618</v>
      </c>
      <c s="3">
        <v>124700</v>
      </c>
      <c s="3">
        <v>124700</v>
      </c>
      <c s="3">
        <v>58462</v>
      </c>
      <c>
        <v>0</v>
      </c>
      <c s="3">
        <v>0</v>
      </c>
      <c s="3">
        <v>1243.37</v>
      </c>
      <c s="3">
        <v>124700</v>
      </c>
      <c r="O1635" s="1" t="str">
        <f ca="1">HYPERLINK("https://web.datatree.com/?/property?propertyId=32567512", "https://web.datatree.com/?/property?propertyId=32567512")</f>
        <v>https://web.datatree.com/?/property?propertyId=32567512</v>
      </c>
      <c r="Q1635" t="s">
        <v>316</v>
      </c>
      <c>
        <v>2.5</v>
      </c>
      <c t="s">
        <v>30497</v>
      </c>
      <c t="s">
        <v>29237</v>
      </c>
      <c t="s">
        <v>33325</v>
      </c>
      <c t="s">
        <v>19042</v>
      </c>
      <c r="X1635" t="s">
        <v>51172</v>
      </c>
      <c t="s">
        <v>6684</v>
      </c>
      <c t="s">
        <v>65059</v>
      </c>
      <c t="s">
        <v>39289</v>
      </c>
      <c>
        <v>33905</v>
      </c>
      <c t="s">
        <v>15031</v>
      </c>
      <c t="s">
        <v>48794</v>
      </c>
      <c t="s">
        <v>1889</v>
      </c>
      <c>
        <v>1301</v>
      </c>
      <c r="AI1635" t="s">
        <v>65002</v>
      </c>
      <c t="s">
        <v>24900</v>
      </c>
      <c r="AL1635" t="s">
        <v>41691</v>
      </c>
      <c t="s">
        <v>58278</v>
      </c>
      <c t="s">
        <v>39289</v>
      </c>
      <c t="s">
        <v>2746</v>
      </c>
      <c t="s">
        <v>22455</v>
      </c>
      <c t="s">
        <v>3093</v>
      </c>
      <c t="s">
        <v>57194</v>
      </c>
    </row>
    <row>
      <c t="s">
        <v>17594</v>
      </c>
      <c t="s">
        <v>25019</v>
      </c>
      <c t="s">
        <v>38953</v>
      </c>
      <c t="s">
        <v>17057</v>
      </c>
      <c t="s">
        <v>24809</v>
      </c>
      <c s="3">
        <v>23310</v>
      </c>
      <c s="3">
        <v>23310</v>
      </c>
      <c s="3">
        <v>9599</v>
      </c>
      <c>
        <v>0</v>
      </c>
      <c s="3">
        <v>0</v>
      </c>
      <c s="3">
        <v>700.67</v>
      </c>
      <c s="3">
        <v>23310</v>
      </c>
      <c r="O1636" s="1" t="str">
        <f ca="1">HYPERLINK("https://web.datatree.com/?/property?propertyId=32567691", "https://web.datatree.com/?/property?propertyId=32567691")</f>
        <v>https://web.datatree.com/?/property?propertyId=32567691</v>
      </c>
      <c r="Q1636" t="s">
        <v>316</v>
      </c>
      <c>
        <v>0.356</v>
      </c>
      <c t="s">
        <v>6175</v>
      </c>
      <c t="s">
        <v>64818</v>
      </c>
      <c t="s">
        <v>44878</v>
      </c>
      <c r="X1636" t="s">
        <v>53409</v>
      </c>
      <c t="s">
        <v>53663</v>
      </c>
      <c t="s">
        <v>2517</v>
      </c>
      <c t="s">
        <v>39289</v>
      </c>
      <c>
        <v>33909</v>
      </c>
      <c t="s">
        <v>20875</v>
      </c>
      <c t="s">
        <v>48794</v>
      </c>
      <c t="s">
        <v>44848</v>
      </c>
      <c>
        <v>3321</v>
      </c>
      <c r="AI1636" t="s">
        <v>31347</v>
      </c>
      <c t="s">
        <v>31192</v>
      </c>
      <c t="s">
        <v>19708</v>
      </c>
      <c t="s">
        <v>36080</v>
      </c>
      <c t="s">
        <v>56208</v>
      </c>
      <c t="s">
        <v>39289</v>
      </c>
      <c t="s">
        <v>12029</v>
      </c>
      <c t="s">
        <v>17380</v>
      </c>
      <c t="s">
        <v>3093</v>
      </c>
      <c t="s">
        <v>15847</v>
      </c>
    </row>
    <row>
      <c t="s">
        <v>17594</v>
      </c>
      <c t="s">
        <v>49635</v>
      </c>
      <c t="s">
        <v>46752</v>
      </c>
      <c t="s">
        <v>49615</v>
      </c>
      <c t="s">
        <v>24631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1637" s="1" t="str">
        <f ca="1">HYPERLINK("https://web.datatree.com/?/property?propertyId=32568019", "https://web.datatree.com/?/property?propertyId=32568019")</f>
        <v>https://web.datatree.com/?/property?propertyId=32568019</v>
      </c>
      <c r="Q1637" t="s">
        <v>316</v>
      </c>
      <c>
        <v>0.23</v>
      </c>
      <c t="s">
        <v>22490</v>
      </c>
      <c r="U1637" t="s">
        <v>51142</v>
      </c>
      <c r="W1637" t="s">
        <v>45708</v>
      </c>
      <c t="s">
        <v>53661</v>
      </c>
      <c t="s">
        <v>29190</v>
      </c>
      <c t="s">
        <v>2517</v>
      </c>
      <c t="s">
        <v>39289</v>
      </c>
      <c>
        <v>33909</v>
      </c>
      <c t="s">
        <v>15216</v>
      </c>
      <c t="s">
        <v>48794</v>
      </c>
      <c t="s">
        <v>14536</v>
      </c>
      <c>
        <v>437</v>
      </c>
      <c r="AI1637" t="s">
        <v>44213</v>
      </c>
      <c t="s">
        <v>55842</v>
      </c>
      <c r="AL1637" t="s">
        <v>31482</v>
      </c>
      <c r="AN1637" t="s">
        <v>19878</v>
      </c>
      <c t="s">
        <v>31389</v>
      </c>
      <c t="s">
        <v>25140</v>
      </c>
      <c t="s">
        <v>3093</v>
      </c>
      <c t="s">
        <v>605</v>
      </c>
    </row>
    <row>
      <c t="s">
        <v>17594</v>
      </c>
      <c t="s">
        <v>44487</v>
      </c>
      <c t="s">
        <v>22926</v>
      </c>
      <c t="s">
        <v>28526</v>
      </c>
      <c t="s">
        <v>18878</v>
      </c>
      <c s="3">
        <v>97644</v>
      </c>
      <c s="3">
        <v>86250</v>
      </c>
      <c s="3">
        <v>86275</v>
      </c>
      <c>
        <v>0</v>
      </c>
      <c s="3">
        <v>0</v>
      </c>
      <c s="3">
        <v>1359.73</v>
      </c>
      <c s="3">
        <v>97644</v>
      </c>
      <c r="O1638" s="1" t="str">
        <f ca="1">HYPERLINK("https://web.datatree.com/?/property?propertyId=32568131", "https://web.datatree.com/?/property?propertyId=32568131")</f>
        <v>https://web.datatree.com/?/property?propertyId=32568131</v>
      </c>
      <c r="Q1638" t="s">
        <v>316</v>
      </c>
      <c>
        <v>0.111</v>
      </c>
      <c t="s">
        <v>26492</v>
      </c>
      <c t="s">
        <v>23807</v>
      </c>
      <c t="s">
        <v>19843</v>
      </c>
      <c t="s">
        <v>55253</v>
      </c>
      <c t="s">
        <v>19843</v>
      </c>
      <c t="s">
        <v>32749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2045</v>
      </c>
      <c>
        <v>250</v>
      </c>
      <c r="AI1638" t="s">
        <v>42246</v>
      </c>
      <c t="s">
        <v>31192</v>
      </c>
      <c r="AL1638" t="s">
        <v>51149</v>
      </c>
      <c t="s">
        <v>40227</v>
      </c>
      <c t="s">
        <v>50917</v>
      </c>
      <c t="s">
        <v>64809</v>
      </c>
      <c t="s">
        <v>61719</v>
      </c>
      <c t="s">
        <v>3093</v>
      </c>
      <c t="s">
        <v>35871</v>
      </c>
    </row>
    <row>
      <c t="s">
        <v>17594</v>
      </c>
      <c t="s">
        <v>11781</v>
      </c>
      <c t="s">
        <v>48212</v>
      </c>
      <c t="s">
        <v>36557</v>
      </c>
      <c t="s">
        <v>11395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1639" s="1" t="str">
        <f ca="1">HYPERLINK("https://web.datatree.com/?/property?propertyId=32568430", "https://web.datatree.com/?/property?propertyId=32568430")</f>
        <v>https://web.datatree.com/?/property?propertyId=32568430</v>
      </c>
      <c r="Q1639" t="s">
        <v>316</v>
      </c>
      <c>
        <v>0.241</v>
      </c>
      <c t="s">
        <v>6175</v>
      </c>
      <c t="s">
        <v>16080</v>
      </c>
      <c t="s">
        <v>39666</v>
      </c>
      <c t="s">
        <v>8614</v>
      </c>
      <c t="s">
        <v>41602</v>
      </c>
      <c t="s">
        <v>51350</v>
      </c>
      <c t="s">
        <v>10653</v>
      </c>
      <c t="s">
        <v>2517</v>
      </c>
      <c t="s">
        <v>39289</v>
      </c>
      <c>
        <v>33909</v>
      </c>
      <c t="s">
        <v>1646</v>
      </c>
      <c t="s">
        <v>48794</v>
      </c>
      <c t="s">
        <v>36907</v>
      </c>
      <c>
        <v>2138</v>
      </c>
      <c r="AI1639" t="s">
        <v>51759</v>
      </c>
      <c t="s">
        <v>40123</v>
      </c>
      <c r="AL1639" t="s">
        <v>8334</v>
      </c>
      <c r="AN1639" t="s">
        <v>39289</v>
      </c>
      <c t="s">
        <v>3316</v>
      </c>
      <c t="s">
        <v>35205</v>
      </c>
      <c t="s">
        <v>3093</v>
      </c>
      <c t="s">
        <v>44633</v>
      </c>
    </row>
    <row>
      <c t="s">
        <v>17594</v>
      </c>
      <c t="s">
        <v>6204</v>
      </c>
      <c t="s">
        <v>2606</v>
      </c>
      <c t="s">
        <v>45519</v>
      </c>
      <c t="s">
        <v>65330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640" s="1" t="str">
        <f ca="1">HYPERLINK("https://web.datatree.com/?/property?propertyId=32569840", "https://web.datatree.com/?/property?propertyId=32569840")</f>
        <v>https://web.datatree.com/?/property?propertyId=32569840</v>
      </c>
      <c r="Q1640" t="s">
        <v>316</v>
      </c>
      <c>
        <v>0.23</v>
      </c>
      <c t="s">
        <v>22490</v>
      </c>
      <c t="s">
        <v>42987</v>
      </c>
      <c t="s">
        <v>8384</v>
      </c>
      <c t="s">
        <v>5383</v>
      </c>
      <c t="s">
        <v>56439</v>
      </c>
      <c t="s">
        <v>65453</v>
      </c>
      <c t="s">
        <v>22731</v>
      </c>
      <c t="s">
        <v>2517</v>
      </c>
      <c t="s">
        <v>39289</v>
      </c>
      <c>
        <v>33909</v>
      </c>
      <c t="s">
        <v>43284</v>
      </c>
      <c t="s">
        <v>48794</v>
      </c>
      <c t="s">
        <v>15026</v>
      </c>
      <c>
        <v>8490</v>
      </c>
      <c r="AI1640" t="s">
        <v>15625</v>
      </c>
      <c t="s">
        <v>45393</v>
      </c>
      <c r="AL1640" t="s">
        <v>55393</v>
      </c>
      <c t="s">
        <v>461</v>
      </c>
      <c t="s">
        <v>39289</v>
      </c>
      <c t="s">
        <v>9685</v>
      </c>
      <c t="s">
        <v>66620</v>
      </c>
      <c t="s">
        <v>3093</v>
      </c>
      <c t="s">
        <v>46902</v>
      </c>
    </row>
    <row>
      <c t="s">
        <v>17594</v>
      </c>
      <c t="s">
        <v>52416</v>
      </c>
      <c t="s">
        <v>44497</v>
      </c>
      <c t="s">
        <v>34988</v>
      </c>
      <c t="s">
        <v>52355</v>
      </c>
      <c s="3">
        <v>38750</v>
      </c>
      <c s="3">
        <v>38750</v>
      </c>
      <c s="3">
        <v>17050</v>
      </c>
      <c>
        <v>0</v>
      </c>
      <c s="3">
        <v>0</v>
      </c>
      <c s="3">
        <v>768.4</v>
      </c>
      <c s="3">
        <v>38750</v>
      </c>
      <c r="O1641" s="1" t="str">
        <f ca="1">HYPERLINK("https://web.datatree.com/?/property?propertyId=32569923", "https://web.datatree.com/?/property?propertyId=32569923")</f>
        <v>https://web.datatree.com/?/property?propertyId=32569923</v>
      </c>
      <c r="Q1641" t="s">
        <v>316</v>
      </c>
      <c>
        <v>0.244</v>
      </c>
      <c t="s">
        <v>45031</v>
      </c>
      <c t="s">
        <v>54854</v>
      </c>
      <c t="s">
        <v>41881</v>
      </c>
      <c t="s">
        <v>47656</v>
      </c>
      <c t="s">
        <v>41881</v>
      </c>
      <c t="s">
        <v>57830</v>
      </c>
      <c t="s">
        <v>30928</v>
      </c>
      <c t="s">
        <v>2517</v>
      </c>
      <c t="s">
        <v>39289</v>
      </c>
      <c>
        <v>33909</v>
      </c>
      <c t="s">
        <v>44122</v>
      </c>
      <c t="s">
        <v>48794</v>
      </c>
      <c t="s">
        <v>23551</v>
      </c>
      <c>
        <v>4</v>
      </c>
      <c r="AI1641" t="s">
        <v>13471</v>
      </c>
      <c t="s">
        <v>835</v>
      </c>
      <c r="AL1641" t="s">
        <v>41055</v>
      </c>
      <c r="AN1641" t="s">
        <v>26016</v>
      </c>
      <c t="s">
        <v>26263</v>
      </c>
      <c t="s">
        <v>17380</v>
      </c>
      <c t="s">
        <v>3093</v>
      </c>
      <c t="s">
        <v>25964</v>
      </c>
    </row>
    <row>
      <c t="s">
        <v>17594</v>
      </c>
      <c t="s">
        <v>57723</v>
      </c>
      <c t="s">
        <v>53046</v>
      </c>
      <c t="s">
        <v>58713</v>
      </c>
      <c t="s">
        <v>7997</v>
      </c>
      <c s="3">
        <v>19990</v>
      </c>
      <c s="3">
        <v>19990</v>
      </c>
      <c s="3">
        <v>10450</v>
      </c>
      <c>
        <v>0</v>
      </c>
      <c s="3">
        <v>0</v>
      </c>
      <c s="3">
        <v>597.57</v>
      </c>
      <c s="3">
        <v>19990</v>
      </c>
      <c r="O1642" s="1" t="str">
        <f ca="1">HYPERLINK("https://web.datatree.com/?/property?propertyId=32570729", "https://web.datatree.com/?/property?propertyId=32570729")</f>
        <v>https://web.datatree.com/?/property?propertyId=32570729</v>
      </c>
      <c r="Q1642" t="s">
        <v>316</v>
      </c>
      <c>
        <v>0.23</v>
      </c>
      <c t="s">
        <v>22490</v>
      </c>
      <c t="s">
        <v>65985</v>
      </c>
      <c t="s">
        <v>225</v>
      </c>
      <c r="X1642" t="s">
        <v>63799</v>
      </c>
      <c t="s">
        <v>50440</v>
      </c>
      <c t="s">
        <v>2517</v>
      </c>
      <c t="s">
        <v>39289</v>
      </c>
      <c>
        <v>33909</v>
      </c>
      <c t="s">
        <v>12258</v>
      </c>
      <c t="s">
        <v>48794</v>
      </c>
      <c t="s">
        <v>26295</v>
      </c>
      <c>
        <v>4104</v>
      </c>
      <c r="AI1642" t="s">
        <v>66149</v>
      </c>
      <c t="s">
        <v>45393</v>
      </c>
      <c r="AL1642" t="s">
        <v>38297</v>
      </c>
      <c r="AN1642" t="s">
        <v>27222</v>
      </c>
      <c t="s">
        <v>16473</v>
      </c>
      <c t="s">
        <v>2121</v>
      </c>
      <c t="s">
        <v>3093</v>
      </c>
      <c t="s">
        <v>26648</v>
      </c>
    </row>
    <row>
      <c t="s">
        <v>17594</v>
      </c>
      <c t="s">
        <v>20877</v>
      </c>
      <c t="s">
        <v>25568</v>
      </c>
      <c t="s">
        <v>21307</v>
      </c>
      <c t="s">
        <v>6316</v>
      </c>
      <c s="3">
        <v>25687</v>
      </c>
      <c s="3">
        <v>25687</v>
      </c>
      <c s="3">
        <v>9680</v>
      </c>
      <c>
        <v>0</v>
      </c>
      <c s="3">
        <v>0</v>
      </c>
      <c s="3">
        <v>685.07</v>
      </c>
      <c s="3">
        <v>25687</v>
      </c>
      <c r="O1643" s="1" t="str">
        <f ca="1">HYPERLINK("https://web.datatree.com/?/property?propertyId=32571133", "https://web.datatree.com/?/property?propertyId=32571133")</f>
        <v>https://web.datatree.com/?/property?propertyId=32571133</v>
      </c>
      <c r="Q1643" t="s">
        <v>316</v>
      </c>
      <c>
        <v>0.308</v>
      </c>
      <c t="s">
        <v>22490</v>
      </c>
      <c t="s">
        <v>62456</v>
      </c>
      <c t="s">
        <v>44102</v>
      </c>
      <c t="s">
        <v>35714</v>
      </c>
      <c t="s">
        <v>48139</v>
      </c>
      <c t="s">
        <v>34679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15143</v>
      </c>
      <c>
        <v>5</v>
      </c>
      <c r="AI1643" t="s">
        <v>24073</v>
      </c>
      <c r="AL1643" t="s">
        <v>8446</v>
      </c>
      <c r="AN1643" t="s">
        <v>45665</v>
      </c>
      <c>
        <v>0</v>
      </c>
      <c r="AR1643" t="s">
        <v>15168</v>
      </c>
    </row>
    <row>
      <c t="s">
        <v>17594</v>
      </c>
      <c t="s">
        <v>20774</v>
      </c>
      <c t="s">
        <v>35108</v>
      </c>
      <c t="s">
        <v>47229</v>
      </c>
      <c t="s">
        <v>24535</v>
      </c>
      <c s="3">
        <v>17097</v>
      </c>
      <c s="3">
        <v>17097</v>
      </c>
      <c s="3">
        <v>8470</v>
      </c>
      <c>
        <v>0</v>
      </c>
      <c s="3">
        <v>0</v>
      </c>
      <c s="3">
        <v>557.43</v>
      </c>
      <c s="3">
        <v>17097</v>
      </c>
      <c r="O1644" s="1" t="str">
        <f ca="1">HYPERLINK("https://web.datatree.com/?/property?propertyId=32571312", "https://web.datatree.com/?/property?propertyId=32571312")</f>
        <v>https://web.datatree.com/?/property?propertyId=32571312</v>
      </c>
      <c r="Q1644" t="s">
        <v>316</v>
      </c>
      <c>
        <v>0.244</v>
      </c>
      <c t="s">
        <v>6175</v>
      </c>
      <c t="s">
        <v>42210</v>
      </c>
      <c t="s">
        <v>19069</v>
      </c>
      <c r="X1644" t="s">
        <v>56259</v>
      </c>
      <c t="s">
        <v>30928</v>
      </c>
      <c t="s">
        <v>2517</v>
      </c>
      <c t="s">
        <v>39289</v>
      </c>
      <c>
        <v>33909</v>
      </c>
      <c t="s">
        <v>29591</v>
      </c>
      <c t="s">
        <v>48794</v>
      </c>
      <c t="s">
        <v>34073</v>
      </c>
      <c>
        <v>2120</v>
      </c>
      <c r="AI1644" t="s">
        <v>47419</v>
      </c>
      <c t="s">
        <v>24900</v>
      </c>
      <c>
        <v>2</v>
      </c>
      <c t="s">
        <v>32695</v>
      </c>
      <c r="AN1644" t="s">
        <v>65451</v>
      </c>
      <c t="s">
        <v>65428</v>
      </c>
      <c t="s">
        <v>23744</v>
      </c>
      <c t="s">
        <v>3093</v>
      </c>
      <c t="s">
        <v>6740</v>
      </c>
    </row>
    <row>
      <c t="s">
        <v>42103</v>
      </c>
      <c t="s">
        <v>36081</v>
      </c>
      <c t="s">
        <v>2230</v>
      </c>
      <c t="s">
        <v>34878</v>
      </c>
      <c t="s">
        <v>8233</v>
      </c>
      <c s="3">
        <v>18361</v>
      </c>
      <c s="3">
        <v>18361</v>
      </c>
      <c s="3">
        <v>9130</v>
      </c>
      <c>
        <v>0</v>
      </c>
      <c s="3">
        <v>0</v>
      </c>
      <c s="3">
        <v>581.68</v>
      </c>
      <c s="3">
        <v>18361</v>
      </c>
      <c>
        <v>2021</v>
      </c>
      <c>
        <v>537.87</v>
      </c>
      <c s="1" t="str">
        <f ca="1">HYPERLINK("https://web.datatree.com/?/property?propertyId=32571535", "https://web.datatree.com/?/property?propertyId=32571535")</f>
        <v>https://web.datatree.com/?/property?propertyId=32571535</v>
      </c>
      <c r="Q1645" t="s">
        <v>316</v>
      </c>
      <c>
        <v>0.23</v>
      </c>
      <c t="s">
        <v>45031</v>
      </c>
      <c t="s">
        <v>44541</v>
      </c>
      <c t="s">
        <v>5607</v>
      </c>
      <c r="X1645" t="s">
        <v>12746</v>
      </c>
      <c t="s">
        <v>10653</v>
      </c>
      <c t="s">
        <v>2517</v>
      </c>
      <c t="s">
        <v>39289</v>
      </c>
      <c>
        <v>33909</v>
      </c>
      <c>
        <v>33909</v>
      </c>
      <c t="s">
        <v>48794</v>
      </c>
      <c t="s">
        <v>62416</v>
      </c>
      <c r="AI1645" t="s">
        <v>43847</v>
      </c>
      <c r="AL1645" t="s">
        <v>21640</v>
      </c>
      <c r="AN1645" t="s">
        <v>50917</v>
      </c>
      <c>
        <v>13029</v>
      </c>
      <c t="s">
        <v>23536</v>
      </c>
      <c t="s">
        <v>3093</v>
      </c>
      <c t="s">
        <v>5253</v>
      </c>
    </row>
    <row>
      <c t="s">
        <v>17594</v>
      </c>
      <c t="s">
        <v>43952</v>
      </c>
      <c t="s">
        <v>35724</v>
      </c>
      <c t="s">
        <v>23524</v>
      </c>
      <c t="s">
        <v>46539</v>
      </c>
      <c s="3">
        <v>92552</v>
      </c>
      <c s="3">
        <v>90733</v>
      </c>
      <c s="3">
        <v>88392</v>
      </c>
      <c>
        <v>0</v>
      </c>
      <c s="3">
        <v>0</v>
      </c>
      <c s="3">
        <v>1351.39</v>
      </c>
      <c s="3">
        <v>92552</v>
      </c>
      <c r="O1646" s="1" t="str">
        <f ca="1">HYPERLINK("https://web.datatree.com/?/property?propertyId=32571797", "https://web.datatree.com/?/property?propertyId=32571797")</f>
        <v>https://web.datatree.com/?/property?propertyId=32571797</v>
      </c>
      <c r="Q1646" t="s">
        <v>316</v>
      </c>
      <c>
        <v>0.105</v>
      </c>
      <c t="s">
        <v>26492</v>
      </c>
      <c t="s">
        <v>13419</v>
      </c>
      <c t="s">
        <v>29691</v>
      </c>
      <c t="s">
        <v>33614</v>
      </c>
      <c t="s">
        <v>29691</v>
      </c>
      <c t="s">
        <v>48257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41505</v>
      </c>
      <c>
        <v>842</v>
      </c>
      <c r="AI1646" t="s">
        <v>29804</v>
      </c>
      <c t="s">
        <v>55910</v>
      </c>
      <c r="AL1646" t="s">
        <v>12481</v>
      </c>
      <c t="s">
        <v>40227</v>
      </c>
      <c t="s">
        <v>17134</v>
      </c>
      <c t="s">
        <v>23762</v>
      </c>
      <c t="s">
        <v>31626</v>
      </c>
      <c t="s">
        <v>3093</v>
      </c>
      <c t="s">
        <v>32466</v>
      </c>
    </row>
    <row>
      <c t="s">
        <v>17594</v>
      </c>
      <c t="s">
        <v>13182</v>
      </c>
      <c t="s">
        <v>28509</v>
      </c>
      <c t="s">
        <v>67056</v>
      </c>
      <c t="s">
        <v>65823</v>
      </c>
      <c s="3">
        <v>55793</v>
      </c>
      <c s="3">
        <v>55793</v>
      </c>
      <c s="3">
        <v>22638</v>
      </c>
      <c>
        <v>0</v>
      </c>
      <c s="3">
        <v>0</v>
      </c>
      <c s="3">
        <v>940.65</v>
      </c>
      <c s="3">
        <v>55793</v>
      </c>
      <c r="O1647" s="1" t="str">
        <f ca="1">HYPERLINK("https://web.datatree.com/?/property?propertyId=32572160", "https://web.datatree.com/?/property?propertyId=32572160")</f>
        <v>https://web.datatree.com/?/property?propertyId=32572160</v>
      </c>
      <c r="Q1647" t="s">
        <v>316</v>
      </c>
      <c>
        <v>0.27</v>
      </c>
      <c t="s">
        <v>6175</v>
      </c>
      <c t="s">
        <v>5390</v>
      </c>
      <c t="s">
        <v>3535</v>
      </c>
      <c r="X1647" t="s">
        <v>34880</v>
      </c>
      <c t="s">
        <v>57064</v>
      </c>
      <c t="s">
        <v>2517</v>
      </c>
      <c t="s">
        <v>39289</v>
      </c>
      <c>
        <v>33904</v>
      </c>
      <c t="s">
        <v>12854</v>
      </c>
      <c t="s">
        <v>48794</v>
      </c>
      <c t="s">
        <v>58052</v>
      </c>
      <c>
        <v>818</v>
      </c>
      <c r="AI1647" t="s">
        <v>40191</v>
      </c>
      <c t="s">
        <v>45393</v>
      </c>
      <c r="AL1647" t="s">
        <v>9913</v>
      </c>
      <c r="AN1647" t="s">
        <v>39289</v>
      </c>
      <c t="s">
        <v>57287</v>
      </c>
      <c t="s">
        <v>42082</v>
      </c>
      <c t="s">
        <v>3093</v>
      </c>
      <c t="s">
        <v>47217</v>
      </c>
    </row>
    <row>
      <c t="s">
        <v>17594</v>
      </c>
      <c t="s">
        <v>65091</v>
      </c>
      <c t="s">
        <v>56485</v>
      </c>
      <c t="s">
        <v>55855</v>
      </c>
      <c t="s">
        <v>28576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>
        <v>2019</v>
      </c>
      <c>
        <v>4232.34</v>
      </c>
      <c s="1" t="str">
        <f ca="1">HYPERLINK("https://web.datatree.com/?/property?propertyId=32572356", "https://web.datatree.com/?/property?propertyId=32572356")</f>
        <v>https://web.datatree.com/?/property?propertyId=32572356</v>
      </c>
      <c r="Q1648" t="s">
        <v>316</v>
      </c>
      <c>
        <v>0.255</v>
      </c>
      <c t="s">
        <v>6175</v>
      </c>
      <c t="s">
        <v>65073</v>
      </c>
      <c t="s">
        <v>38143</v>
      </c>
      <c r="X1648" t="s">
        <v>15266</v>
      </c>
      <c t="s">
        <v>13478</v>
      </c>
      <c t="s">
        <v>2517</v>
      </c>
      <c t="s">
        <v>39289</v>
      </c>
      <c>
        <v>33909</v>
      </c>
      <c t="s">
        <v>46793</v>
      </c>
      <c t="s">
        <v>48794</v>
      </c>
      <c t="s">
        <v>43203</v>
      </c>
      <c>
        <v>1019</v>
      </c>
      <c r="AI1648" t="s">
        <v>28892</v>
      </c>
      <c r="AL1648" t="s">
        <v>16802</v>
      </c>
      <c r="AN1648" t="s">
        <v>513</v>
      </c>
      <c r="AR1648" t="s">
        <v>22491</v>
      </c>
    </row>
    <row>
      <c t="s">
        <v>17594</v>
      </c>
      <c t="s">
        <v>49354</v>
      </c>
      <c t="s">
        <v>20057</v>
      </c>
      <c t="s">
        <v>54012</v>
      </c>
      <c t="s">
        <v>37994</v>
      </c>
      <c s="3">
        <v>96317</v>
      </c>
      <c s="3">
        <v>85250</v>
      </c>
      <c s="3">
        <v>96317</v>
      </c>
      <c>
        <v>0</v>
      </c>
      <c s="3">
        <v>0</v>
      </c>
      <c s="3">
        <v>1446.9</v>
      </c>
      <c s="3">
        <v>96317</v>
      </c>
      <c r="O1649" s="1" t="str">
        <f ca="1">HYPERLINK("https://web.datatree.com/?/property?propertyId=32572472", "https://web.datatree.com/?/property?propertyId=32572472")</f>
        <v>https://web.datatree.com/?/property?propertyId=32572472</v>
      </c>
      <c r="Q1649" t="s">
        <v>316</v>
      </c>
      <c>
        <v>0.119</v>
      </c>
      <c t="s">
        <v>26492</v>
      </c>
      <c t="s">
        <v>23807</v>
      </c>
      <c t="s">
        <v>46201</v>
      </c>
      <c t="s">
        <v>60286</v>
      </c>
      <c t="s">
        <v>46201</v>
      </c>
      <c t="s">
        <v>23747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41645</v>
      </c>
      <c>
        <v>5753</v>
      </c>
      <c r="AH1649" t="s">
        <v>26580</v>
      </c>
      <c t="s">
        <v>32180</v>
      </c>
      <c r="AK1649">
        <v>2102</v>
      </c>
      <c t="s">
        <v>19330</v>
      </c>
      <c t="s">
        <v>40227</v>
      </c>
      <c t="s">
        <v>39289</v>
      </c>
      <c t="s">
        <v>61371</v>
      </c>
      <c t="s">
        <v>15070</v>
      </c>
      <c t="s">
        <v>3093</v>
      </c>
      <c t="s">
        <v>62302</v>
      </c>
    </row>
    <row>
      <c t="s">
        <v>42103</v>
      </c>
      <c t="s">
        <v>16511</v>
      </c>
      <c t="s">
        <v>17306</v>
      </c>
      <c t="s">
        <v>66609</v>
      </c>
      <c t="s">
        <v>51240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>
        <v>2020</v>
      </c>
      <c>
        <v>1742.25</v>
      </c>
      <c s="1" t="str">
        <f ca="1">HYPERLINK("https://web.datatree.com/?/property?propertyId=32572586", "https://web.datatree.com/?/property?propertyId=32572586")</f>
        <v>https://web.datatree.com/?/property?propertyId=32572586</v>
      </c>
      <c r="Q1650" t="s">
        <v>316</v>
      </c>
      <c>
        <v>0.23</v>
      </c>
      <c t="s">
        <v>6175</v>
      </c>
      <c t="s">
        <v>44541</v>
      </c>
      <c t="s">
        <v>46852</v>
      </c>
      <c t="s">
        <v>41661</v>
      </c>
      <c t="s">
        <v>46852</v>
      </c>
      <c t="s">
        <v>55837</v>
      </c>
      <c t="s">
        <v>30928</v>
      </c>
      <c t="s">
        <v>2517</v>
      </c>
      <c t="s">
        <v>39289</v>
      </c>
      <c>
        <v>33909</v>
      </c>
      <c t="s">
        <v>24166</v>
      </c>
      <c t="s">
        <v>48794</v>
      </c>
      <c t="s">
        <v>35641</v>
      </c>
      <c r="AI1650" t="s">
        <v>2367</v>
      </c>
      <c r="AL1650" t="s">
        <v>32385</v>
      </c>
      <c r="AN1650" t="s">
        <v>14509</v>
      </c>
      <c>
        <v>6061</v>
      </c>
      <c t="s">
        <v>15796</v>
      </c>
      <c t="s">
        <v>3093</v>
      </c>
      <c t="s">
        <v>35086</v>
      </c>
    </row>
    <row>
      <c t="s">
        <v>17594</v>
      </c>
      <c t="s">
        <v>65396</v>
      </c>
      <c t="s">
        <v>18780</v>
      </c>
      <c t="s">
        <v>15442</v>
      </c>
      <c t="s">
        <v>3285</v>
      </c>
      <c s="3">
        <v>20580</v>
      </c>
      <c s="3">
        <v>20580</v>
      </c>
      <c s="3">
        <v>9599</v>
      </c>
      <c>
        <v>0</v>
      </c>
      <c s="3">
        <v>0</v>
      </c>
      <c s="3">
        <v>681.46</v>
      </c>
      <c s="3">
        <v>20580</v>
      </c>
      <c r="O1651" s="1" t="str">
        <f ca="1">HYPERLINK("https://web.datatree.com/?/property?propertyId=32572710", "https://web.datatree.com/?/property?propertyId=32572710")</f>
        <v>https://web.datatree.com/?/property?propertyId=32572710</v>
      </c>
      <c r="Q1651" t="s">
        <v>316</v>
      </c>
      <c>
        <v>0.344</v>
      </c>
      <c t="s">
        <v>6175</v>
      </c>
      <c r="U1651" t="s">
        <v>27188</v>
      </c>
      <c r="W1651" t="s">
        <v>67099</v>
      </c>
      <c t="s">
        <v>27977</v>
      </c>
      <c t="s">
        <v>24999</v>
      </c>
      <c t="s">
        <v>2517</v>
      </c>
      <c t="s">
        <v>39289</v>
      </c>
      <c>
        <v>33909</v>
      </c>
      <c t="s">
        <v>39242</v>
      </c>
      <c t="s">
        <v>48794</v>
      </c>
      <c t="s">
        <v>17422</v>
      </c>
      <c>
        <v>4307</v>
      </c>
      <c r="AI1651" t="s">
        <v>1046</v>
      </c>
      <c t="s">
        <v>24900</v>
      </c>
      <c r="AL1651" t="s">
        <v>22611</v>
      </c>
      <c r="AN1651" t="s">
        <v>19878</v>
      </c>
      <c t="s">
        <v>43542</v>
      </c>
      <c t="s">
        <v>5800</v>
      </c>
      <c t="s">
        <v>3093</v>
      </c>
      <c t="s">
        <v>4203</v>
      </c>
    </row>
    <row>
      <c t="s">
        <v>17594</v>
      </c>
      <c t="s">
        <v>56002</v>
      </c>
      <c t="s">
        <v>7288</v>
      </c>
      <c t="s">
        <v>43266</v>
      </c>
      <c t="s">
        <v>57176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1652" s="1" t="str">
        <f ca="1">HYPERLINK("https://web.datatree.com/?/property?propertyId=32573015", "https://web.datatree.com/?/property?propertyId=32573015")</f>
        <v>https://web.datatree.com/?/property?propertyId=32573015</v>
      </c>
      <c r="Q1652" t="s">
        <v>316</v>
      </c>
      <c>
        <v>0.23</v>
      </c>
      <c t="s">
        <v>6175</v>
      </c>
      <c t="s">
        <v>64030</v>
      </c>
      <c t="s">
        <v>55698</v>
      </c>
      <c t="s">
        <v>1898</v>
      </c>
      <c t="s">
        <v>11497</v>
      </c>
      <c t="s">
        <v>13348</v>
      </c>
      <c t="s">
        <v>2619</v>
      </c>
      <c t="s">
        <v>2517</v>
      </c>
      <c t="s">
        <v>39289</v>
      </c>
      <c>
        <v>33909</v>
      </c>
      <c t="s">
        <v>27831</v>
      </c>
      <c t="s">
        <v>48794</v>
      </c>
      <c t="s">
        <v>34777</v>
      </c>
      <c>
        <v>825</v>
      </c>
      <c r="AI1652" t="s">
        <v>48518</v>
      </c>
      <c t="s">
        <v>45393</v>
      </c>
      <c r="AL1652" t="s">
        <v>64339</v>
      </c>
      <c t="s">
        <v>64339</v>
      </c>
      <c t="s">
        <v>39289</v>
      </c>
      <c t="s">
        <v>3723</v>
      </c>
      <c t="s">
        <v>66620</v>
      </c>
      <c t="s">
        <v>3093</v>
      </c>
      <c t="s">
        <v>6376</v>
      </c>
    </row>
    <row>
      <c t="s">
        <v>17594</v>
      </c>
      <c t="s">
        <v>22435</v>
      </c>
      <c t="s">
        <v>57094</v>
      </c>
      <c t="s">
        <v>857</v>
      </c>
      <c t="s">
        <v>49751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653" s="1" t="str">
        <f ca="1">HYPERLINK("https://web.datatree.com/?/property?propertyId=32573043", "https://web.datatree.com/?/property?propertyId=32573043")</f>
        <v>https://web.datatree.com/?/property?propertyId=32573043</v>
      </c>
      <c r="Q1653" t="s">
        <v>316</v>
      </c>
      <c>
        <v>0.23</v>
      </c>
      <c t="s">
        <v>6175</v>
      </c>
      <c t="s">
        <v>64030</v>
      </c>
      <c t="s">
        <v>48196</v>
      </c>
      <c t="s">
        <v>1599</v>
      </c>
      <c t="s">
        <v>17840</v>
      </c>
      <c t="s">
        <v>39590</v>
      </c>
      <c t="s">
        <v>10653</v>
      </c>
      <c t="s">
        <v>2517</v>
      </c>
      <c t="s">
        <v>39289</v>
      </c>
      <c>
        <v>33909</v>
      </c>
      <c t="s">
        <v>36799</v>
      </c>
      <c t="s">
        <v>48794</v>
      </c>
      <c t="s">
        <v>39169</v>
      </c>
      <c>
        <v>222</v>
      </c>
      <c r="AI1653" t="s">
        <v>23493</v>
      </c>
      <c t="s">
        <v>45620</v>
      </c>
      <c r="AL1653" t="s">
        <v>9654</v>
      </c>
      <c r="AN1653" t="s">
        <v>26016</v>
      </c>
      <c t="s">
        <v>35328</v>
      </c>
      <c t="s">
        <v>27780</v>
      </c>
      <c t="s">
        <v>3093</v>
      </c>
      <c t="s">
        <v>58975</v>
      </c>
    </row>
    <row>
      <c t="s">
        <v>17594</v>
      </c>
      <c t="s">
        <v>40868</v>
      </c>
      <c t="s">
        <v>32215</v>
      </c>
      <c t="s">
        <v>6726</v>
      </c>
      <c t="s">
        <v>50276</v>
      </c>
      <c s="3">
        <v>24856</v>
      </c>
      <c s="3">
        <v>24856</v>
      </c>
      <c s="3">
        <v>24856</v>
      </c>
      <c>
        <v>0</v>
      </c>
      <c s="3">
        <v>0</v>
      </c>
      <c s="3">
        <v>814.31</v>
      </c>
      <c s="3">
        <v>24856</v>
      </c>
      <c r="O1654" s="1" t="str">
        <f ca="1">HYPERLINK("https://web.datatree.com/?/property?propertyId=32573505", "https://web.datatree.com/?/property?propertyId=32573505")</f>
        <v>https://web.datatree.com/?/property?propertyId=32573505</v>
      </c>
      <c r="Q1654" t="s">
        <v>316</v>
      </c>
      <c>
        <v>0.286</v>
      </c>
      <c t="s">
        <v>22490</v>
      </c>
      <c t="s">
        <v>10408</v>
      </c>
      <c t="s">
        <v>30027</v>
      </c>
      <c r="X1654" t="s">
        <v>42889</v>
      </c>
      <c t="s">
        <v>29190</v>
      </c>
      <c t="s">
        <v>2517</v>
      </c>
      <c t="s">
        <v>39289</v>
      </c>
      <c>
        <v>33909</v>
      </c>
      <c t="s">
        <v>3130</v>
      </c>
      <c t="s">
        <v>48794</v>
      </c>
      <c t="s">
        <v>10031</v>
      </c>
      <c>
        <v>800</v>
      </c>
      <c r="AI1654" t="s">
        <v>33179</v>
      </c>
      <c t="s">
        <v>24900</v>
      </c>
      <c>
        <v>151</v>
      </c>
      <c t="s">
        <v>33214</v>
      </c>
      <c t="s">
        <v>33214</v>
      </c>
      <c t="s">
        <v>39289</v>
      </c>
      <c t="s">
        <v>46628</v>
      </c>
      <c t="s">
        <v>14845</v>
      </c>
      <c t="s">
        <v>3093</v>
      </c>
      <c t="s">
        <v>23930</v>
      </c>
    </row>
    <row>
      <c t="s">
        <v>17594</v>
      </c>
      <c t="s">
        <v>46867</v>
      </c>
      <c t="s">
        <v>51189</v>
      </c>
      <c t="s">
        <v>2951</v>
      </c>
      <c t="s">
        <v>49797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655" s="1" t="str">
        <f ca="1">HYPERLINK("https://web.datatree.com/?/property?propertyId=32573889", "https://web.datatree.com/?/property?propertyId=32573889")</f>
        <v>https://web.datatree.com/?/property?propertyId=32573889</v>
      </c>
      <c r="Q1655" t="s">
        <v>316</v>
      </c>
      <c>
        <v>0.23</v>
      </c>
      <c t="s">
        <v>6175</v>
      </c>
      <c t="s">
        <v>15138</v>
      </c>
      <c t="s">
        <v>29699</v>
      </c>
      <c r="X1655" t="s">
        <v>39727</v>
      </c>
      <c t="s">
        <v>49122</v>
      </c>
      <c t="s">
        <v>2517</v>
      </c>
      <c t="s">
        <v>39289</v>
      </c>
      <c>
        <v>33909</v>
      </c>
      <c t="s">
        <v>515</v>
      </c>
      <c t="s">
        <v>48794</v>
      </c>
      <c t="s">
        <v>257</v>
      </c>
      <c>
        <v>2618</v>
      </c>
      <c r="AI1655" t="s">
        <v>42980</v>
      </c>
      <c t="s">
        <v>45620</v>
      </c>
      <c>
        <v>2</v>
      </c>
      <c t="s">
        <v>40928</v>
      </c>
      <c r="AN1655" t="s">
        <v>26016</v>
      </c>
      <c t="s">
        <v>13003</v>
      </c>
      <c t="s">
        <v>61410</v>
      </c>
      <c t="s">
        <v>3093</v>
      </c>
      <c t="s">
        <v>28080</v>
      </c>
    </row>
    <row>
      <c t="s">
        <v>17594</v>
      </c>
      <c t="s">
        <v>14298</v>
      </c>
      <c t="s">
        <v>7247</v>
      </c>
      <c t="s">
        <v>65991</v>
      </c>
      <c t="s">
        <v>35219</v>
      </c>
      <c s="3">
        <v>78809</v>
      </c>
      <c s="3">
        <v>75232</v>
      </c>
      <c s="3">
        <v>78809</v>
      </c>
      <c>
        <v>0</v>
      </c>
      <c s="3">
        <v>0</v>
      </c>
      <c s="3">
        <v>1075.89</v>
      </c>
      <c s="3">
        <v>78809</v>
      </c>
      <c>
        <v>2021</v>
      </c>
      <c>
        <v>1092.47</v>
      </c>
      <c s="1" t="str">
        <f ca="1">HYPERLINK("https://web.datatree.com/?/property?propertyId=32573931", "https://web.datatree.com/?/property?propertyId=32573931")</f>
        <v>https://web.datatree.com/?/property?propertyId=32573931</v>
      </c>
      <c r="Q1656" t="s">
        <v>316</v>
      </c>
      <c>
        <v>0.207</v>
      </c>
      <c t="s">
        <v>5471</v>
      </c>
      <c t="s">
        <v>27081</v>
      </c>
      <c t="s">
        <v>6525</v>
      </c>
      <c r="X1656" t="s">
        <v>12395</v>
      </c>
      <c t="s">
        <v>48923</v>
      </c>
      <c t="s">
        <v>65059</v>
      </c>
      <c t="s">
        <v>39289</v>
      </c>
      <c>
        <v>33905</v>
      </c>
      <c t="s">
        <v>59788</v>
      </c>
      <c t="s">
        <v>48794</v>
      </c>
      <c t="s">
        <v>33812</v>
      </c>
      <c>
        <v>6450</v>
      </c>
      <c r="AI1656" t="s">
        <v>5881</v>
      </c>
      <c t="s">
        <v>24900</v>
      </c>
      <c>
        <v>309</v>
      </c>
      <c t="s">
        <v>23972</v>
      </c>
      <c t="s">
        <v>23972</v>
      </c>
      <c t="s">
        <v>19878</v>
      </c>
      <c t="s">
        <v>18871</v>
      </c>
      <c t="s">
        <v>5948</v>
      </c>
      <c t="s">
        <v>3093</v>
      </c>
      <c t="s">
        <v>17749</v>
      </c>
    </row>
    <row>
      <c t="s">
        <v>17594</v>
      </c>
      <c t="s">
        <v>5897</v>
      </c>
      <c t="s">
        <v>38342</v>
      </c>
      <c t="s">
        <v>24647</v>
      </c>
      <c t="s">
        <v>39736</v>
      </c>
      <c s="3">
        <v>26855</v>
      </c>
      <c s="3">
        <v>26855</v>
      </c>
      <c s="3">
        <v>26855</v>
      </c>
      <c>
        <v>0</v>
      </c>
      <c s="3">
        <v>0</v>
      </c>
      <c s="3">
        <v>586.68</v>
      </c>
      <c s="3">
        <v>26855</v>
      </c>
      <c r="O1657" s="1" t="str">
        <f ca="1">HYPERLINK("https://web.datatree.com/?/property?propertyId=32573961", "https://web.datatree.com/?/property?propertyId=32573961")</f>
        <v>https://web.datatree.com/?/property?propertyId=32573961</v>
      </c>
      <c r="Q1657" t="s">
        <v>316</v>
      </c>
      <c>
        <v>0.429</v>
      </c>
      <c t="s">
        <v>23582</v>
      </c>
      <c t="s">
        <v>2140</v>
      </c>
      <c t="s">
        <v>58880</v>
      </c>
      <c r="X1657" t="s">
        <v>38700</v>
      </c>
      <c t="s">
        <v>60758</v>
      </c>
      <c t="s">
        <v>65059</v>
      </c>
      <c t="s">
        <v>39289</v>
      </c>
      <c>
        <v>33905</v>
      </c>
      <c t="s">
        <v>17650</v>
      </c>
      <c t="s">
        <v>48794</v>
      </c>
      <c t="s">
        <v>30356</v>
      </c>
      <c>
        <v>4020</v>
      </c>
      <c r="AI1657" t="s">
        <v>45399</v>
      </c>
      <c t="s">
        <v>40123</v>
      </c>
      <c r="AL1657" t="s">
        <v>49652</v>
      </c>
      <c r="AN1657" t="s">
        <v>50917</v>
      </c>
      <c t="s">
        <v>34376</v>
      </c>
      <c t="s">
        <v>27780</v>
      </c>
      <c t="s">
        <v>3093</v>
      </c>
      <c t="s">
        <v>47406</v>
      </c>
    </row>
    <row>
      <c t="s">
        <v>17594</v>
      </c>
      <c t="s">
        <v>39055</v>
      </c>
      <c t="s">
        <v>50305</v>
      </c>
      <c t="s">
        <v>18627</v>
      </c>
      <c t="s">
        <v>31631</v>
      </c>
      <c s="3">
        <v>29400</v>
      </c>
      <c s="3">
        <v>29400</v>
      </c>
      <c s="3">
        <v>29400</v>
      </c>
      <c>
        <v>0</v>
      </c>
      <c s="3">
        <v>0</v>
      </c>
      <c s="3">
        <v>785.1</v>
      </c>
      <c s="3">
        <v>29400</v>
      </c>
      <c r="O1658" s="1" t="str">
        <f ca="1">HYPERLINK("https://web.datatree.com/?/property?propertyId=32574096", "https://web.datatree.com/?/property?propertyId=32574096")</f>
        <v>https://web.datatree.com/?/property?propertyId=32574096</v>
      </c>
      <c r="Q1658" t="s">
        <v>316</v>
      </c>
      <c>
        <v>0.285</v>
      </c>
      <c t="s">
        <v>45031</v>
      </c>
      <c t="s">
        <v>64030</v>
      </c>
      <c t="s">
        <v>4190</v>
      </c>
      <c t="s">
        <v>41132</v>
      </c>
      <c t="s">
        <v>29699</v>
      </c>
      <c t="s">
        <v>48598</v>
      </c>
      <c t="s">
        <v>10653</v>
      </c>
      <c t="s">
        <v>2517</v>
      </c>
      <c t="s">
        <v>39289</v>
      </c>
      <c>
        <v>33909</v>
      </c>
      <c t="s">
        <v>42017</v>
      </c>
      <c t="s">
        <v>48794</v>
      </c>
      <c t="s">
        <v>3989</v>
      </c>
      <c>
        <v>4719</v>
      </c>
      <c r="AI1658" t="s">
        <v>25988</v>
      </c>
      <c t="s">
        <v>835</v>
      </c>
      <c r="AL1658" t="s">
        <v>18092</v>
      </c>
      <c t="s">
        <v>18092</v>
      </c>
      <c t="s">
        <v>39289</v>
      </c>
      <c t="s">
        <v>3120</v>
      </c>
      <c t="s">
        <v>62830</v>
      </c>
      <c t="s">
        <v>3093</v>
      </c>
      <c t="s">
        <v>11457</v>
      </c>
    </row>
    <row>
      <c t="s">
        <v>17594</v>
      </c>
      <c t="s">
        <v>42597</v>
      </c>
      <c t="s">
        <v>55713</v>
      </c>
      <c t="s">
        <v>33586</v>
      </c>
      <c t="s">
        <v>27938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659" s="1" t="str">
        <f ca="1">HYPERLINK("https://web.datatree.com/?/property?propertyId=32574774", "https://web.datatree.com/?/property?propertyId=32574774")</f>
        <v>https://web.datatree.com/?/property?propertyId=32574774</v>
      </c>
      <c r="Q1659" t="s">
        <v>316</v>
      </c>
      <c>
        <v>0.23</v>
      </c>
      <c t="s">
        <v>6175</v>
      </c>
      <c t="s">
        <v>8574</v>
      </c>
      <c t="s">
        <v>30601</v>
      </c>
      <c r="X1659" t="s">
        <v>16522</v>
      </c>
      <c t="s">
        <v>23517</v>
      </c>
      <c t="s">
        <v>2517</v>
      </c>
      <c t="s">
        <v>39289</v>
      </c>
      <c>
        <v>33909</v>
      </c>
      <c t="s">
        <v>58741</v>
      </c>
      <c t="s">
        <v>48794</v>
      </c>
      <c t="s">
        <v>48638</v>
      </c>
      <c>
        <v>8680</v>
      </c>
      <c r="AH1659" t="s">
        <v>26580</v>
      </c>
      <c t="s">
        <v>8930</v>
      </c>
      <c t="s">
        <v>56275</v>
      </c>
      <c r="AL1659" t="s">
        <v>51593</v>
      </c>
      <c t="s">
        <v>51593</v>
      </c>
      <c t="s">
        <v>50829</v>
      </c>
      <c t="s">
        <v>53414</v>
      </c>
      <c t="s">
        <v>45700</v>
      </c>
      <c t="s">
        <v>3093</v>
      </c>
      <c t="s">
        <v>13821</v>
      </c>
    </row>
    <row>
      <c t="s">
        <v>17594</v>
      </c>
      <c t="s">
        <v>10454</v>
      </c>
      <c t="s">
        <v>20997</v>
      </c>
      <c t="s">
        <v>44322</v>
      </c>
      <c t="s">
        <v>33383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1660" s="1" t="str">
        <f ca="1">HYPERLINK("https://web.datatree.com/?/property?propertyId=32575896", "https://web.datatree.com/?/property?propertyId=32575896")</f>
        <v>https://web.datatree.com/?/property?propertyId=32575896</v>
      </c>
      <c r="Q1660" t="s">
        <v>316</v>
      </c>
      <c>
        <v>0.23</v>
      </c>
      <c t="s">
        <v>6175</v>
      </c>
      <c r="U1660" t="s">
        <v>63122</v>
      </c>
      <c r="W1660" t="s">
        <v>66173</v>
      </c>
      <c t="s">
        <v>23152</v>
      </c>
      <c t="s">
        <v>53663</v>
      </c>
      <c t="s">
        <v>2517</v>
      </c>
      <c t="s">
        <v>39289</v>
      </c>
      <c>
        <v>33909</v>
      </c>
      <c t="s">
        <v>52549</v>
      </c>
      <c t="s">
        <v>48794</v>
      </c>
      <c t="s">
        <v>17884</v>
      </c>
      <c>
        <v>10910</v>
      </c>
      <c r="AI1660" t="s">
        <v>25545</v>
      </c>
      <c t="s">
        <v>31192</v>
      </c>
      <c r="AL1660" t="s">
        <v>2002</v>
      </c>
      <c r="AN1660" t="s">
        <v>27481</v>
      </c>
      <c t="s">
        <v>3168</v>
      </c>
      <c t="s">
        <v>45980</v>
      </c>
      <c t="s">
        <v>3093</v>
      </c>
      <c t="s">
        <v>38645</v>
      </c>
    </row>
    <row>
      <c t="s">
        <v>17594</v>
      </c>
      <c t="s">
        <v>12801</v>
      </c>
      <c t="s">
        <v>40096</v>
      </c>
      <c t="s">
        <v>55013</v>
      </c>
      <c t="s">
        <v>15773</v>
      </c>
      <c s="3">
        <v>8564</v>
      </c>
      <c s="3">
        <v>8564</v>
      </c>
      <c s="3">
        <v>4972</v>
      </c>
      <c>
        <v>0</v>
      </c>
      <c s="3">
        <v>0</v>
      </c>
      <c s="3">
        <v>317.96</v>
      </c>
      <c s="3">
        <v>8564</v>
      </c>
      <c>
        <v>2015</v>
      </c>
      <c>
        <v>4067.17</v>
      </c>
      <c s="1" t="str">
        <f ca="1">HYPERLINK("https://web.datatree.com/?/property?propertyId=32576325", "https://web.datatree.com/?/property?propertyId=32576325")</f>
        <v>https://web.datatree.com/?/property?propertyId=32576325</v>
      </c>
      <c r="Q1661" t="s">
        <v>316</v>
      </c>
      <c>
        <v>0.245</v>
      </c>
      <c t="s">
        <v>5471</v>
      </c>
      <c t="s">
        <v>36792</v>
      </c>
      <c t="s">
        <v>54870</v>
      </c>
      <c r="X1661" t="s">
        <v>3967</v>
      </c>
      <c t="s">
        <v>10854</v>
      </c>
      <c t="s">
        <v>65059</v>
      </c>
      <c t="s">
        <v>39289</v>
      </c>
      <c>
        <v>33905</v>
      </c>
      <c t="s">
        <v>423</v>
      </c>
      <c t="s">
        <v>48794</v>
      </c>
      <c t="s">
        <v>30150</v>
      </c>
      <c>
        <v>37641</v>
      </c>
      <c r="AI1661" t="s">
        <v>25468</v>
      </c>
      <c t="s">
        <v>39321</v>
      </c>
      <c r="AL1661" t="s">
        <v>12652</v>
      </c>
      <c t="s">
        <v>12652</v>
      </c>
      <c t="s">
        <v>65451</v>
      </c>
      <c t="s">
        <v>10911</v>
      </c>
      <c t="s">
        <v>39331</v>
      </c>
      <c t="s">
        <v>3093</v>
      </c>
      <c t="s">
        <v>23823</v>
      </c>
    </row>
    <row>
      <c t="s">
        <v>17594</v>
      </c>
      <c t="s">
        <v>16278</v>
      </c>
      <c t="s">
        <v>43322</v>
      </c>
      <c t="s">
        <v>54062</v>
      </c>
      <c t="s">
        <v>4953</v>
      </c>
      <c s="3">
        <v>7980</v>
      </c>
      <c s="3">
        <v>7980</v>
      </c>
      <c s="3">
        <v>7980</v>
      </c>
      <c>
        <v>0</v>
      </c>
      <c s="3">
        <v>0</v>
      </c>
      <c s="3">
        <v>660.2</v>
      </c>
      <c s="3">
        <v>7980</v>
      </c>
      <c r="O1662" s="1" t="str">
        <f ca="1">HYPERLINK("https://web.datatree.com/?/property?propertyId=32576566", "https://web.datatree.com/?/property?propertyId=32576566")</f>
        <v>https://web.datatree.com/?/property?propertyId=32576566</v>
      </c>
      <c r="Q1662" t="s">
        <v>316</v>
      </c>
      <c>
        <v>0.332</v>
      </c>
      <c t="s">
        <v>22490</v>
      </c>
      <c t="s">
        <v>47977</v>
      </c>
      <c t="s">
        <v>64526</v>
      </c>
      <c t="s">
        <v>16488</v>
      </c>
      <c t="s">
        <v>64526</v>
      </c>
      <c t="s">
        <v>5844</v>
      </c>
      <c t="s">
        <v>52171</v>
      </c>
      <c t="s">
        <v>2517</v>
      </c>
      <c t="s">
        <v>39289</v>
      </c>
      <c>
        <v>33909</v>
      </c>
      <c>
        <v>33909</v>
      </c>
      <c t="s">
        <v>48794</v>
      </c>
      <c t="s">
        <v>8505</v>
      </c>
      <c>
        <v>74</v>
      </c>
      <c r="AI1662" t="s">
        <v>9615</v>
      </c>
      <c t="s">
        <v>55842</v>
      </c>
      <c r="AL1662" t="s">
        <v>50983</v>
      </c>
      <c t="s">
        <v>52609</v>
      </c>
      <c t="s">
        <v>50917</v>
      </c>
      <c t="s">
        <v>37724</v>
      </c>
      <c t="s">
        <v>6081</v>
      </c>
      <c t="s">
        <v>3093</v>
      </c>
      <c t="s">
        <v>31545</v>
      </c>
    </row>
    <row>
      <c t="s">
        <v>17594</v>
      </c>
      <c t="s">
        <v>22244</v>
      </c>
      <c t="s">
        <v>64557</v>
      </c>
      <c t="s">
        <v>31895</v>
      </c>
      <c t="s">
        <v>52423</v>
      </c>
      <c s="3">
        <v>17276</v>
      </c>
      <c s="3">
        <v>17276</v>
      </c>
      <c s="3">
        <v>8470</v>
      </c>
      <c>
        <v>0</v>
      </c>
      <c s="3">
        <v>0</v>
      </c>
      <c s="3">
        <v>576.29</v>
      </c>
      <c s="3">
        <v>17276</v>
      </c>
      <c>
        <v>2021</v>
      </c>
      <c>
        <v>531.21</v>
      </c>
      <c s="1" t="str">
        <f ca="1">HYPERLINK("https://web.datatree.com/?/property?propertyId=32577074", "https://web.datatree.com/?/property?propertyId=32577074")</f>
        <v>https://web.datatree.com/?/property?propertyId=32577074</v>
      </c>
      <c r="Q1663" t="s">
        <v>316</v>
      </c>
      <c>
        <v>0.24</v>
      </c>
      <c t="s">
        <v>6175</v>
      </c>
      <c t="s">
        <v>48373</v>
      </c>
      <c t="s">
        <v>30988</v>
      </c>
      <c r="X1663" t="s">
        <v>54503</v>
      </c>
      <c t="s">
        <v>14917</v>
      </c>
      <c t="s">
        <v>2517</v>
      </c>
      <c t="s">
        <v>39289</v>
      </c>
      <c>
        <v>33909</v>
      </c>
      <c t="s">
        <v>12914</v>
      </c>
      <c t="s">
        <v>48794</v>
      </c>
      <c t="s">
        <v>39485</v>
      </c>
      <c>
        <v>1526</v>
      </c>
      <c r="AI1663" t="s">
        <v>7594</v>
      </c>
      <c t="s">
        <v>45393</v>
      </c>
      <c r="AL1663" t="s">
        <v>40928</v>
      </c>
      <c r="AN1663" t="s">
        <v>26016</v>
      </c>
      <c t="s">
        <v>5615</v>
      </c>
      <c t="s">
        <v>7207</v>
      </c>
      <c t="s">
        <v>3093</v>
      </c>
      <c t="s">
        <v>38673</v>
      </c>
    </row>
    <row>
      <c t="s">
        <v>17594</v>
      </c>
      <c t="s">
        <v>976</v>
      </c>
      <c t="s">
        <v>49136</v>
      </c>
      <c t="s">
        <v>16848</v>
      </c>
      <c t="s">
        <v>25993</v>
      </c>
      <c s="3">
        <v>10600</v>
      </c>
      <c s="3">
        <v>10600</v>
      </c>
      <c s="3">
        <v>10600</v>
      </c>
      <c>
        <v>0</v>
      </c>
      <c s="3">
        <v>0</v>
      </c>
      <c s="3">
        <v>3053.38</v>
      </c>
      <c s="3">
        <v>10600</v>
      </c>
      <c>
        <v>2021</v>
      </c>
      <c>
        <v>3158.11</v>
      </c>
      <c s="1" t="str">
        <f ca="1">HYPERLINK("https://web.datatree.com/?/property?propertyId=32577281", "https://web.datatree.com/?/property?propertyId=32577281")</f>
        <v>https://web.datatree.com/?/property?propertyId=32577281</v>
      </c>
      <c r="Q1664" t="s">
        <v>316</v>
      </c>
      <c>
        <v>0.23</v>
      </c>
      <c t="s">
        <v>6175</v>
      </c>
      <c t="s">
        <v>50331</v>
      </c>
      <c t="s">
        <v>46970</v>
      </c>
      <c r="X1664" t="s">
        <v>13727</v>
      </c>
      <c t="s">
        <v>18679</v>
      </c>
      <c t="s">
        <v>2517</v>
      </c>
      <c t="s">
        <v>39289</v>
      </c>
      <c>
        <v>33909</v>
      </c>
      <c t="s">
        <v>19074</v>
      </c>
      <c t="s">
        <v>48794</v>
      </c>
      <c t="s">
        <v>44317</v>
      </c>
      <c>
        <v>2255</v>
      </c>
      <c r="AI1664" t="s">
        <v>66737</v>
      </c>
      <c t="s">
        <v>24900</v>
      </c>
      <c r="AL1664" t="s">
        <v>32381</v>
      </c>
      <c r="AN1664" t="s">
        <v>39289</v>
      </c>
      <c t="s">
        <v>12776</v>
      </c>
      <c t="s">
        <v>52551</v>
      </c>
      <c t="s">
        <v>3093</v>
      </c>
      <c t="s">
        <v>40614</v>
      </c>
    </row>
    <row>
      <c t="s">
        <v>17594</v>
      </c>
      <c t="s">
        <v>4165</v>
      </c>
      <c t="s">
        <v>21615</v>
      </c>
      <c t="s">
        <v>46705</v>
      </c>
      <c t="s">
        <v>18951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1665" s="1" t="str">
        <f ca="1">HYPERLINK("https://web.datatree.com/?/property?propertyId=32578014", "https://web.datatree.com/?/property?propertyId=32578014")</f>
        <v>https://web.datatree.com/?/property?propertyId=32578014</v>
      </c>
      <c r="Q1665" t="s">
        <v>316</v>
      </c>
      <c>
        <v>0.241</v>
      </c>
      <c t="s">
        <v>6175</v>
      </c>
      <c r="U1665" t="s">
        <v>64721</v>
      </c>
      <c r="W1665" t="s">
        <v>59349</v>
      </c>
      <c t="s">
        <v>44292</v>
      </c>
      <c t="s">
        <v>53663</v>
      </c>
      <c t="s">
        <v>2517</v>
      </c>
      <c t="s">
        <v>39289</v>
      </c>
      <c>
        <v>33909</v>
      </c>
      <c t="s">
        <v>57030</v>
      </c>
      <c t="s">
        <v>48794</v>
      </c>
      <c t="s">
        <v>42783</v>
      </c>
      <c>
        <v>27</v>
      </c>
      <c r="AI1665" t="s">
        <v>2578</v>
      </c>
      <c t="s">
        <v>45393</v>
      </c>
      <c r="AL1665" t="s">
        <v>25403</v>
      </c>
      <c r="AN1665" t="s">
        <v>27747</v>
      </c>
      <c t="s">
        <v>23682</v>
      </c>
      <c t="s">
        <v>44573</v>
      </c>
      <c t="s">
        <v>3093</v>
      </c>
      <c t="s">
        <v>37921</v>
      </c>
    </row>
    <row>
      <c t="s">
        <v>17594</v>
      </c>
      <c t="s">
        <v>45461</v>
      </c>
      <c t="s">
        <v>41877</v>
      </c>
      <c t="s">
        <v>20735</v>
      </c>
      <c t="s">
        <v>43260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1666" s="1" t="str">
        <f ca="1">HYPERLINK("https://web.datatree.com/?/property?propertyId=32578635", "https://web.datatree.com/?/property?propertyId=32578635")</f>
        <v>https://web.datatree.com/?/property?propertyId=32578635</v>
      </c>
      <c r="Q1666" t="s">
        <v>316</v>
      </c>
      <c>
        <v>0.262</v>
      </c>
      <c t="s">
        <v>5471</v>
      </c>
      <c t="s">
        <v>36834</v>
      </c>
      <c t="s">
        <v>41970</v>
      </c>
      <c t="s">
        <v>62392</v>
      </c>
      <c t="s">
        <v>41970</v>
      </c>
      <c t="s">
        <v>21174</v>
      </c>
      <c t="s">
        <v>65695</v>
      </c>
      <c t="s">
        <v>65059</v>
      </c>
      <c t="s">
        <v>39289</v>
      </c>
      <c>
        <v>33905</v>
      </c>
      <c t="s">
        <v>33993</v>
      </c>
      <c t="s">
        <v>48794</v>
      </c>
      <c t="s">
        <v>33370</v>
      </c>
      <c r="AI1666" t="s">
        <v>54776</v>
      </c>
      <c r="AK1666">
        <v>20</v>
      </c>
      <c t="s">
        <v>36113</v>
      </c>
      <c r="AN1666" t="s">
        <v>63985</v>
      </c>
      <c>
        <v>22459</v>
      </c>
      <c r="AR1666" t="s">
        <v>38141</v>
      </c>
    </row>
    <row>
      <c t="s">
        <v>17594</v>
      </c>
      <c t="s">
        <v>6989</v>
      </c>
      <c t="s">
        <v>5775</v>
      </c>
      <c t="s">
        <v>9378</v>
      </c>
      <c t="s">
        <v>45546</v>
      </c>
      <c s="3">
        <v>8500</v>
      </c>
      <c s="3">
        <v>8500</v>
      </c>
      <c s="3">
        <v>8500</v>
      </c>
      <c>
        <v>0</v>
      </c>
      <c s="3">
        <v>0</v>
      </c>
      <c s="3">
        <v>627.22</v>
      </c>
      <c s="3">
        <v>8500</v>
      </c>
      <c r="O1667" s="1" t="str">
        <f ca="1">HYPERLINK("https://web.datatree.com/?/property?propertyId=32579566", "https://web.datatree.com/?/property?propertyId=32579566")</f>
        <v>https://web.datatree.com/?/property?propertyId=32579566</v>
      </c>
      <c r="Q1667" t="s">
        <v>316</v>
      </c>
      <c>
        <v>0.3</v>
      </c>
      <c t="s">
        <v>6175</v>
      </c>
      <c t="s">
        <v>33280</v>
      </c>
      <c t="s">
        <v>11928</v>
      </c>
      <c t="s">
        <v>11751</v>
      </c>
      <c t="s">
        <v>11928</v>
      </c>
      <c t="s">
        <v>10430</v>
      </c>
      <c t="s">
        <v>22731</v>
      </c>
      <c t="s">
        <v>2517</v>
      </c>
      <c t="s">
        <v>39289</v>
      </c>
      <c>
        <v>33909</v>
      </c>
      <c t="s">
        <v>37671</v>
      </c>
      <c t="s">
        <v>48794</v>
      </c>
      <c t="s">
        <v>56189</v>
      </c>
      <c>
        <v>16</v>
      </c>
      <c r="AI1667" t="s">
        <v>47479</v>
      </c>
      <c t="s">
        <v>41372</v>
      </c>
      <c r="AL1667" t="s">
        <v>3670</v>
      </c>
      <c r="AN1667" t="s">
        <v>26016</v>
      </c>
      <c t="s">
        <v>61730</v>
      </c>
      <c t="s">
        <v>19978</v>
      </c>
      <c t="s">
        <v>3093</v>
      </c>
      <c t="s">
        <v>63143</v>
      </c>
    </row>
    <row>
      <c t="s">
        <v>17594</v>
      </c>
      <c t="s">
        <v>31578</v>
      </c>
      <c t="s">
        <v>18866</v>
      </c>
      <c t="s">
        <v>14238</v>
      </c>
      <c t="s">
        <v>5081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1668" s="1" t="str">
        <f ca="1">HYPERLINK("https://web.datatree.com/?/property?propertyId=32579756", "https://web.datatree.com/?/property?propertyId=32579756")</f>
        <v>https://web.datatree.com/?/property?propertyId=32579756</v>
      </c>
      <c r="Q1668" t="s">
        <v>316</v>
      </c>
      <c>
        <v>0.241</v>
      </c>
      <c t="s">
        <v>6175</v>
      </c>
      <c r="U1668" t="s">
        <v>3230</v>
      </c>
      <c r="W1668" t="s">
        <v>46936</v>
      </c>
      <c t="s">
        <v>58415</v>
      </c>
      <c t="s">
        <v>53675</v>
      </c>
      <c t="s">
        <v>2517</v>
      </c>
      <c t="s">
        <v>39289</v>
      </c>
      <c>
        <v>33909</v>
      </c>
      <c t="s">
        <v>32309</v>
      </c>
      <c t="s">
        <v>48794</v>
      </c>
      <c t="s">
        <v>25606</v>
      </c>
      <c>
        <v>7692</v>
      </c>
      <c r="AH1668" t="s">
        <v>57851</v>
      </c>
      <c t="s">
        <v>36513</v>
      </c>
      <c r="AL1668" t="s">
        <v>26964</v>
      </c>
      <c r="AN1668" t="s">
        <v>49572</v>
      </c>
      <c t="s">
        <v>37076</v>
      </c>
      <c t="s">
        <v>14695</v>
      </c>
      <c t="s">
        <v>3093</v>
      </c>
      <c t="s">
        <v>5933</v>
      </c>
    </row>
    <row>
      <c t="s">
        <v>17594</v>
      </c>
      <c t="s">
        <v>54535</v>
      </c>
      <c t="s">
        <v>28119</v>
      </c>
      <c t="s">
        <v>24111</v>
      </c>
      <c t="s">
        <v>31350</v>
      </c>
      <c s="3">
        <v>20745</v>
      </c>
      <c s="3">
        <v>20745</v>
      </c>
      <c s="3">
        <v>9240</v>
      </c>
      <c>
        <v>0</v>
      </c>
      <c s="3">
        <v>0</v>
      </c>
      <c s="3">
        <v>601.72</v>
      </c>
      <c s="3">
        <v>20745</v>
      </c>
      <c r="O1669" s="1" t="str">
        <f ca="1">HYPERLINK("https://web.datatree.com/?/property?propertyId=32579814", "https://web.datatree.com/?/property?propertyId=32579814")</f>
        <v>https://web.datatree.com/?/property?propertyId=32579814</v>
      </c>
      <c r="Q1669" t="s">
        <v>316</v>
      </c>
      <c>
        <v>0.258</v>
      </c>
      <c t="s">
        <v>22490</v>
      </c>
      <c t="s">
        <v>33621</v>
      </c>
      <c t="s">
        <v>45098</v>
      </c>
      <c r="X1669" t="s">
        <v>59598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39548</v>
      </c>
      <c>
        <v>5700</v>
      </c>
      <c r="AI1669" t="s">
        <v>58189</v>
      </c>
      <c t="s">
        <v>45393</v>
      </c>
      <c r="AL1669" t="s">
        <v>58116</v>
      </c>
      <c r="AN1669" t="s">
        <v>19878</v>
      </c>
      <c t="s">
        <v>24149</v>
      </c>
      <c t="s">
        <v>45980</v>
      </c>
      <c t="s">
        <v>3093</v>
      </c>
      <c t="s">
        <v>46570</v>
      </c>
    </row>
    <row>
      <c t="s">
        <v>17594</v>
      </c>
      <c t="s">
        <v>34328</v>
      </c>
      <c t="s">
        <v>31352</v>
      </c>
      <c t="s">
        <v>8486</v>
      </c>
      <c t="s">
        <v>34502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1670" s="1" t="str">
        <f ca="1">HYPERLINK("https://web.datatree.com/?/property?propertyId=32580410", "https://web.datatree.com/?/property?propertyId=32580410")</f>
        <v>https://web.datatree.com/?/property?propertyId=32580410</v>
      </c>
      <c r="Q1670" t="s">
        <v>316</v>
      </c>
      <c>
        <v>0.23</v>
      </c>
      <c t="s">
        <v>22490</v>
      </c>
      <c t="s">
        <v>6645</v>
      </c>
      <c t="s">
        <v>43645</v>
      </c>
      <c t="s">
        <v>49307</v>
      </c>
      <c t="s">
        <v>50666</v>
      </c>
      <c t="s">
        <v>23553</v>
      </c>
      <c t="s">
        <v>371</v>
      </c>
      <c t="s">
        <v>2517</v>
      </c>
      <c t="s">
        <v>39289</v>
      </c>
      <c>
        <v>33909</v>
      </c>
      <c t="s">
        <v>1440</v>
      </c>
      <c t="s">
        <v>48794</v>
      </c>
      <c t="s">
        <v>4771</v>
      </c>
      <c>
        <v>3589</v>
      </c>
      <c r="AI1670" t="s">
        <v>65333</v>
      </c>
      <c t="s">
        <v>24900</v>
      </c>
      <c r="AL1670" t="s">
        <v>18719</v>
      </c>
      <c t="s">
        <v>18719</v>
      </c>
      <c t="s">
        <v>64156</v>
      </c>
      <c t="s">
        <v>63055</v>
      </c>
      <c t="s">
        <v>23435</v>
      </c>
      <c t="s">
        <v>3093</v>
      </c>
      <c t="s">
        <v>18710</v>
      </c>
    </row>
    <row>
      <c t="s">
        <v>17594</v>
      </c>
      <c t="s">
        <v>61476</v>
      </c>
      <c t="s">
        <v>38581</v>
      </c>
      <c t="s">
        <v>16828</v>
      </c>
      <c t="s">
        <v>56393</v>
      </c>
      <c s="3">
        <v>75773</v>
      </c>
      <c s="3">
        <v>63500</v>
      </c>
      <c s="3">
        <v>73013</v>
      </c>
      <c>
        <v>0</v>
      </c>
      <c s="3">
        <v>0</v>
      </c>
      <c s="3">
        <v>1113.36</v>
      </c>
      <c s="3">
        <v>75773</v>
      </c>
      <c r="O1671" s="1" t="str">
        <f ca="1">HYPERLINK("https://web.datatree.com/?/property?propertyId=32581089", "https://web.datatree.com/?/property?propertyId=32581089")</f>
        <v>https://web.datatree.com/?/property?propertyId=32581089</v>
      </c>
      <c r="Q1671" t="s">
        <v>316</v>
      </c>
      <c>
        <v>0.095</v>
      </c>
      <c t="s">
        <v>26492</v>
      </c>
      <c t="s">
        <v>21668</v>
      </c>
      <c t="s">
        <v>47494</v>
      </c>
      <c t="s">
        <v>15017</v>
      </c>
      <c t="s">
        <v>34432</v>
      </c>
      <c t="s">
        <v>319</v>
      </c>
      <c t="s">
        <v>65698</v>
      </c>
      <c t="s">
        <v>65059</v>
      </c>
      <c t="s">
        <v>39289</v>
      </c>
      <c>
        <v>33905</v>
      </c>
      <c>
        <v>33905</v>
      </c>
      <c t="s">
        <v>48794</v>
      </c>
      <c t="s">
        <v>64140</v>
      </c>
      <c t="s">
        <v>17968</v>
      </c>
      <c r="AI1671" t="s">
        <v>47470</v>
      </c>
      <c t="s">
        <v>24900</v>
      </c>
      <c r="AL1671" t="s">
        <v>45435</v>
      </c>
      <c t="s">
        <v>40227</v>
      </c>
      <c t="s">
        <v>58811</v>
      </c>
      <c t="s">
        <v>46654</v>
      </c>
      <c r="AQ1671" t="s">
        <v>27814</v>
      </c>
      <c t="s">
        <v>6127</v>
      </c>
    </row>
    <row>
      <c t="s">
        <v>17594</v>
      </c>
      <c t="s">
        <v>45939</v>
      </c>
      <c t="s">
        <v>44423</v>
      </c>
      <c t="s">
        <v>47772</v>
      </c>
      <c t="s">
        <v>33537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1672" s="1" t="str">
        <f ca="1">HYPERLINK("https://web.datatree.com/?/property?propertyId=32581579", "https://web.datatree.com/?/property?propertyId=32581579")</f>
        <v>https://web.datatree.com/?/property?propertyId=32581579</v>
      </c>
      <c r="Q1672" t="s">
        <v>316</v>
      </c>
      <c>
        <v>0.23</v>
      </c>
      <c t="s">
        <v>6175</v>
      </c>
      <c t="s">
        <v>53569</v>
      </c>
      <c t="s">
        <v>32448</v>
      </c>
      <c r="X1672" t="s">
        <v>47193</v>
      </c>
      <c t="s">
        <v>38550</v>
      </c>
      <c t="s">
        <v>2517</v>
      </c>
      <c t="s">
        <v>39289</v>
      </c>
      <c>
        <v>33909</v>
      </c>
      <c t="s">
        <v>48762</v>
      </c>
      <c t="s">
        <v>48794</v>
      </c>
      <c t="s">
        <v>34314</v>
      </c>
      <c>
        <v>2115</v>
      </c>
      <c r="AI1672" t="s">
        <v>45488</v>
      </c>
      <c t="s">
        <v>31192</v>
      </c>
      <c r="AL1672" t="s">
        <v>54566</v>
      </c>
      <c t="s">
        <v>54986</v>
      </c>
      <c t="s">
        <v>18236</v>
      </c>
      <c t="s">
        <v>63936</v>
      </c>
      <c t="s">
        <v>5652</v>
      </c>
      <c t="s">
        <v>3093</v>
      </c>
      <c t="s">
        <v>53896</v>
      </c>
    </row>
    <row>
      <c t="s">
        <v>17594</v>
      </c>
      <c t="s">
        <v>20591</v>
      </c>
      <c t="s">
        <v>43380</v>
      </c>
      <c t="s">
        <v>27660</v>
      </c>
      <c t="s">
        <v>30354</v>
      </c>
      <c s="3">
        <v>26249</v>
      </c>
      <c s="3">
        <v>26249</v>
      </c>
      <c s="3">
        <v>13310</v>
      </c>
      <c>
        <v>0</v>
      </c>
      <c s="3">
        <v>0</v>
      </c>
      <c s="3">
        <v>738.57</v>
      </c>
      <c s="3">
        <v>26249</v>
      </c>
      <c r="O1673" s="1" t="str">
        <f ca="1">HYPERLINK("https://web.datatree.com/?/property?propertyId=32581682", "https://web.datatree.com/?/property?propertyId=32581682")</f>
        <v>https://web.datatree.com/?/property?propertyId=32581682</v>
      </c>
      <c r="Q1673" t="s">
        <v>316</v>
      </c>
      <c>
        <v>0.23</v>
      </c>
      <c t="s">
        <v>14479</v>
      </c>
      <c t="s">
        <v>53453</v>
      </c>
      <c t="s">
        <v>5143</v>
      </c>
      <c r="X1673" t="s">
        <v>44699</v>
      </c>
      <c t="s">
        <v>17022</v>
      </c>
      <c t="s">
        <v>2517</v>
      </c>
      <c t="s">
        <v>39289</v>
      </c>
      <c>
        <v>33909</v>
      </c>
      <c t="s">
        <v>30202</v>
      </c>
      <c t="s">
        <v>48794</v>
      </c>
      <c t="s">
        <v>67079</v>
      </c>
      <c>
        <v>1819</v>
      </c>
      <c r="AI1673" t="s">
        <v>37361</v>
      </c>
      <c t="s">
        <v>45620</v>
      </c>
      <c r="AL1673" t="s">
        <v>6640</v>
      </c>
      <c r="AN1673" t="s">
        <v>26016</v>
      </c>
      <c t="s">
        <v>26806</v>
      </c>
      <c t="s">
        <v>34171</v>
      </c>
      <c t="s">
        <v>3093</v>
      </c>
      <c t="s">
        <v>34299</v>
      </c>
    </row>
    <row>
      <c t="s">
        <v>17594</v>
      </c>
      <c t="s">
        <v>55079</v>
      </c>
      <c t="s">
        <v>37530</v>
      </c>
      <c t="s">
        <v>48575</v>
      </c>
      <c t="s">
        <v>17805</v>
      </c>
      <c s="3">
        <v>10710</v>
      </c>
      <c s="3">
        <v>10710</v>
      </c>
      <c s="3">
        <v>10710</v>
      </c>
      <c>
        <v>0</v>
      </c>
      <c s="3">
        <v>0</v>
      </c>
      <c s="3">
        <v>209.05</v>
      </c>
      <c s="3">
        <v>10710</v>
      </c>
      <c r="O1674" s="1" t="str">
        <f ca="1">HYPERLINK("https://web.datatree.com/?/property?propertyId=32582111", "https://web.datatree.com/?/property?propertyId=32582111")</f>
        <v>https://web.datatree.com/?/property?propertyId=32582111</v>
      </c>
      <c r="Q1674" t="s">
        <v>316</v>
      </c>
      <c>
        <v>3.21</v>
      </c>
      <c t="s">
        <v>5471</v>
      </c>
      <c r="U1674" t="s">
        <v>17125</v>
      </c>
      <c r="X1674" t="s">
        <v>66421</v>
      </c>
      <c t="s">
        <v>51733</v>
      </c>
      <c t="s">
        <v>54524</v>
      </c>
      <c t="s">
        <v>39289</v>
      </c>
      <c>
        <v>33903</v>
      </c>
      <c t="s">
        <v>33848</v>
      </c>
      <c t="s">
        <v>48794</v>
      </c>
      <c t="s">
        <v>58111</v>
      </c>
      <c>
        <v>3122</v>
      </c>
      <c r="AI1674" t="s">
        <v>46256</v>
      </c>
      <c t="s">
        <v>31192</v>
      </c>
      <c>
        <v>801</v>
      </c>
      <c t="s">
        <v>8334</v>
      </c>
      <c r="AN1674" t="s">
        <v>39289</v>
      </c>
      <c t="s">
        <v>31222</v>
      </c>
      <c t="s">
        <v>34162</v>
      </c>
      <c t="s">
        <v>3093</v>
      </c>
      <c t="s">
        <v>31046</v>
      </c>
    </row>
    <row>
      <c t="s">
        <v>17594</v>
      </c>
      <c t="s">
        <v>18026</v>
      </c>
      <c t="s">
        <v>45500</v>
      </c>
      <c t="s">
        <v>44686</v>
      </c>
      <c t="s">
        <v>46550</v>
      </c>
      <c s="3">
        <v>7500</v>
      </c>
      <c s="3">
        <v>7500</v>
      </c>
      <c s="3">
        <v>7500</v>
      </c>
      <c>
        <v>0</v>
      </c>
      <c s="3">
        <v>0</v>
      </c>
      <c s="3">
        <v>506.26</v>
      </c>
      <c s="3">
        <v>7500</v>
      </c>
      <c r="O1675" s="1" t="str">
        <f ca="1">HYPERLINK("https://web.datatree.com/?/property?propertyId=32583160", "https://web.datatree.com/?/property?propertyId=32583160")</f>
        <v>https://web.datatree.com/?/property?propertyId=32583160</v>
      </c>
      <c r="Q1675" t="s">
        <v>316</v>
      </c>
      <c>
        <v>0.23</v>
      </c>
      <c t="s">
        <v>6175</v>
      </c>
      <c t="s">
        <v>17594</v>
      </c>
      <c t="s">
        <v>55530</v>
      </c>
      <c t="s">
        <v>27351</v>
      </c>
      <c t="s">
        <v>55530</v>
      </c>
      <c t="s">
        <v>52162</v>
      </c>
      <c t="s">
        <v>33179</v>
      </c>
      <c t="s">
        <v>2517</v>
      </c>
      <c t="s">
        <v>39289</v>
      </c>
      <c>
        <v>33909</v>
      </c>
      <c t="s">
        <v>57146</v>
      </c>
      <c t="s">
        <v>48794</v>
      </c>
      <c t="s">
        <v>63590</v>
      </c>
      <c>
        <v>5</v>
      </c>
      <c r="AI1675" t="s">
        <v>64797</v>
      </c>
      <c t="s">
        <v>31192</v>
      </c>
      <c r="AL1675" t="s">
        <v>42761</v>
      </c>
      <c r="AN1675" t="s">
        <v>5859</v>
      </c>
      <c t="s">
        <v>1998</v>
      </c>
      <c t="s">
        <v>3364</v>
      </c>
      <c t="s">
        <v>3093</v>
      </c>
      <c t="s">
        <v>36679</v>
      </c>
    </row>
    <row>
      <c t="s">
        <v>17594</v>
      </c>
      <c t="s">
        <v>27677</v>
      </c>
      <c t="s">
        <v>7966</v>
      </c>
      <c t="s">
        <v>48944</v>
      </c>
      <c t="s">
        <v>675</v>
      </c>
      <c s="3">
        <v>85595</v>
      </c>
      <c s="3">
        <v>85595</v>
      </c>
      <c s="3">
        <v>85595</v>
      </c>
      <c>
        <v>0</v>
      </c>
      <c s="3">
        <v>0</v>
      </c>
      <c s="3">
        <v>1316.3</v>
      </c>
      <c s="3">
        <v>85595</v>
      </c>
      <c r="O1676" s="1" t="str">
        <f ca="1">HYPERLINK("https://web.datatree.com/?/property?propertyId=32583268", "https://web.datatree.com/?/property?propertyId=32583268")</f>
        <v>https://web.datatree.com/?/property?propertyId=32583268</v>
      </c>
      <c r="Q1676" t="s">
        <v>316</v>
      </c>
      <c>
        <v>0.165</v>
      </c>
      <c t="s">
        <v>5471</v>
      </c>
      <c r="U1676" t="s">
        <v>12193</v>
      </c>
      <c r="W1676" t="s">
        <v>46832</v>
      </c>
      <c t="s">
        <v>29</v>
      </c>
      <c t="s">
        <v>32108</v>
      </c>
      <c t="s">
        <v>65059</v>
      </c>
      <c t="s">
        <v>39289</v>
      </c>
      <c>
        <v>33905</v>
      </c>
      <c t="s">
        <v>55409</v>
      </c>
      <c t="s">
        <v>48794</v>
      </c>
      <c t="s">
        <v>15110</v>
      </c>
      <c>
        <v>1320</v>
      </c>
      <c r="AI1676" t="s">
        <v>7134</v>
      </c>
      <c t="s">
        <v>39321</v>
      </c>
      <c r="AL1676" t="s">
        <v>8894</v>
      </c>
      <c r="AN1676" t="s">
        <v>39289</v>
      </c>
      <c t="s">
        <v>14151</v>
      </c>
      <c t="s">
        <v>64089</v>
      </c>
      <c t="s">
        <v>3093</v>
      </c>
      <c t="s">
        <v>55615</v>
      </c>
    </row>
    <row>
      <c t="s">
        <v>17594</v>
      </c>
      <c t="s">
        <v>53868</v>
      </c>
      <c t="s">
        <v>44308</v>
      </c>
      <c t="s">
        <v>48005</v>
      </c>
      <c t="s">
        <v>46459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>
        <v>2020</v>
      </c>
      <c>
        <v>1130.96</v>
      </c>
      <c s="1" t="str">
        <f ca="1">HYPERLINK("https://web.datatree.com/?/property?propertyId=32583534", "https://web.datatree.com/?/property?propertyId=32583534")</f>
        <v>https://web.datatree.com/?/property?propertyId=32583534</v>
      </c>
      <c r="Q1677" t="s">
        <v>316</v>
      </c>
      <c>
        <v>0.23</v>
      </c>
      <c t="s">
        <v>6175</v>
      </c>
      <c t="s">
        <v>44468</v>
      </c>
      <c t="s">
        <v>17569</v>
      </c>
      <c r="X1677" t="s">
        <v>14012</v>
      </c>
      <c t="s">
        <v>39082</v>
      </c>
      <c t="s">
        <v>2517</v>
      </c>
      <c t="s">
        <v>39289</v>
      </c>
      <c>
        <v>33909</v>
      </c>
      <c t="s">
        <v>60089</v>
      </c>
      <c t="s">
        <v>48794</v>
      </c>
      <c t="s">
        <v>52469</v>
      </c>
      <c>
        <v>17</v>
      </c>
      <c r="AI1677" t="s">
        <v>18318</v>
      </c>
      <c t="s">
        <v>24900</v>
      </c>
      <c r="AL1677" t="s">
        <v>62658</v>
      </c>
      <c r="AN1677" t="s">
        <v>27747</v>
      </c>
      <c t="s">
        <v>14923</v>
      </c>
      <c t="s">
        <v>4797</v>
      </c>
      <c t="s">
        <v>3093</v>
      </c>
      <c t="s">
        <v>2441</v>
      </c>
    </row>
    <row>
      <c t="s">
        <v>17594</v>
      </c>
      <c t="s">
        <v>4386</v>
      </c>
      <c t="s">
        <v>17772</v>
      </c>
      <c t="s">
        <v>3005</v>
      </c>
      <c t="s">
        <v>48765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1678" s="1" t="str">
        <f ca="1">HYPERLINK("https://web.datatree.com/?/property?propertyId=32583712", "https://web.datatree.com/?/property?propertyId=32583712")</f>
        <v>https://web.datatree.com/?/property?propertyId=32583712</v>
      </c>
      <c r="Q1678" t="s">
        <v>316</v>
      </c>
      <c>
        <v>0.23</v>
      </c>
      <c t="s">
        <v>22490</v>
      </c>
      <c t="s">
        <v>19092</v>
      </c>
      <c t="s">
        <v>45794</v>
      </c>
      <c t="s">
        <v>51528</v>
      </c>
      <c t="s">
        <v>40102</v>
      </c>
      <c t="s">
        <v>30052</v>
      </c>
      <c t="s">
        <v>25017</v>
      </c>
      <c t="s">
        <v>2517</v>
      </c>
      <c t="s">
        <v>39289</v>
      </c>
      <c>
        <v>33909</v>
      </c>
      <c t="s">
        <v>26055</v>
      </c>
      <c t="s">
        <v>48794</v>
      </c>
      <c t="s">
        <v>19178</v>
      </c>
      <c>
        <v>6414</v>
      </c>
      <c r="AI1678" t="s">
        <v>14095</v>
      </c>
      <c t="s">
        <v>835</v>
      </c>
      <c r="AL1678" t="s">
        <v>42704</v>
      </c>
      <c t="s">
        <v>42704</v>
      </c>
      <c t="s">
        <v>47028</v>
      </c>
      <c t="s">
        <v>56927</v>
      </c>
      <c t="s">
        <v>5652</v>
      </c>
      <c t="s">
        <v>3093</v>
      </c>
      <c t="s">
        <v>5442</v>
      </c>
    </row>
    <row>
      <c t="s">
        <v>17594</v>
      </c>
      <c t="s">
        <v>61556</v>
      </c>
      <c t="s">
        <v>7353</v>
      </c>
      <c t="s">
        <v>49583</v>
      </c>
      <c t="s">
        <v>58319</v>
      </c>
      <c s="3">
        <v>4500</v>
      </c>
      <c s="3">
        <v>4500</v>
      </c>
      <c s="3">
        <v>3782</v>
      </c>
      <c>
        <v>0</v>
      </c>
      <c s="3">
        <v>0</v>
      </c>
      <c s="3">
        <v>66.69</v>
      </c>
      <c s="3">
        <v>4500</v>
      </c>
      <c r="O1679" s="1" t="str">
        <f ca="1">HYPERLINK("https://web.datatree.com/?/property?propertyId=32583832", "https://web.datatree.com/?/property?propertyId=32583832")</f>
        <v>https://web.datatree.com/?/property?propertyId=32583832</v>
      </c>
      <c r="Q1679" t="s">
        <v>316</v>
      </c>
      <c>
        <v>0.126</v>
      </c>
      <c t="s">
        <v>66399</v>
      </c>
      <c t="s">
        <v>9900</v>
      </c>
      <c t="s">
        <v>51893</v>
      </c>
      <c r="X1679" t="s">
        <v>38366</v>
      </c>
      <c t="s">
        <v>14676</v>
      </c>
      <c t="s">
        <v>65059</v>
      </c>
      <c t="s">
        <v>39289</v>
      </c>
      <c>
        <v>33905</v>
      </c>
      <c t="s">
        <v>64136</v>
      </c>
      <c t="s">
        <v>48794</v>
      </c>
      <c t="s">
        <v>59341</v>
      </c>
      <c>
        <v>1481</v>
      </c>
      <c r="AI1679" t="s">
        <v>50455</v>
      </c>
      <c t="s">
        <v>45620</v>
      </c>
      <c r="AL1679" t="s">
        <v>15302</v>
      </c>
      <c r="AN1679" t="s">
        <v>32576</v>
      </c>
      <c t="s">
        <v>57909</v>
      </c>
      <c t="s">
        <v>52247</v>
      </c>
      <c t="s">
        <v>3093</v>
      </c>
      <c t="s">
        <v>66434</v>
      </c>
    </row>
    <row>
      <c t="s">
        <v>17594</v>
      </c>
      <c t="s">
        <v>61774</v>
      </c>
      <c t="s">
        <v>28780</v>
      </c>
      <c t="s">
        <v>47359</v>
      </c>
      <c t="s">
        <v>63824</v>
      </c>
      <c s="3">
        <v>22231</v>
      </c>
      <c s="3">
        <v>22231</v>
      </c>
      <c s="3">
        <v>6839</v>
      </c>
      <c>
        <v>0</v>
      </c>
      <c s="3">
        <v>0</v>
      </c>
      <c s="3">
        <v>387.96</v>
      </c>
      <c s="3">
        <v>22231</v>
      </c>
      <c r="O1680" s="1" t="str">
        <f ca="1">HYPERLINK("https://web.datatree.com/?/property?propertyId=32584342", "https://web.datatree.com/?/property?propertyId=32584342")</f>
        <v>https://web.datatree.com/?/property?propertyId=32584342</v>
      </c>
      <c r="Q1680" t="s">
        <v>316</v>
      </c>
      <c>
        <v>0.393</v>
      </c>
      <c t="s">
        <v>37489</v>
      </c>
      <c r="U1680" t="s">
        <v>46284</v>
      </c>
      <c r="W1680" t="s">
        <v>32958</v>
      </c>
      <c t="s">
        <v>3871</v>
      </c>
      <c t="s">
        <v>18019</v>
      </c>
      <c t="s">
        <v>65059</v>
      </c>
      <c t="s">
        <v>39289</v>
      </c>
      <c>
        <v>33905</v>
      </c>
      <c t="s">
        <v>23947</v>
      </c>
      <c t="s">
        <v>48794</v>
      </c>
      <c t="s">
        <v>30247</v>
      </c>
      <c>
        <v>962</v>
      </c>
      <c r="AI1680" t="s">
        <v>7855</v>
      </c>
      <c t="s">
        <v>24900</v>
      </c>
      <c r="AL1680" t="s">
        <v>9733</v>
      </c>
      <c r="AN1680" t="s">
        <v>48152</v>
      </c>
      <c t="s">
        <v>14677</v>
      </c>
      <c t="s">
        <v>1951</v>
      </c>
      <c t="s">
        <v>3093</v>
      </c>
      <c t="s">
        <v>18009</v>
      </c>
    </row>
    <row>
      <c t="s">
        <v>17594</v>
      </c>
      <c t="s">
        <v>24052</v>
      </c>
      <c t="s">
        <v>15874</v>
      </c>
      <c t="s">
        <v>58376</v>
      </c>
      <c t="s">
        <v>9722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681" s="1" t="str">
        <f ca="1">HYPERLINK("https://web.datatree.com/?/property?propertyId=32584737", "https://web.datatree.com/?/property?propertyId=32584737")</f>
        <v>https://web.datatree.com/?/property?propertyId=32584737</v>
      </c>
      <c r="Q1681" t="s">
        <v>316</v>
      </c>
      <c>
        <v>0.231</v>
      </c>
      <c t="s">
        <v>6175</v>
      </c>
      <c r="U1681" t="s">
        <v>40385</v>
      </c>
      <c r="W1681" t="s">
        <v>3188</v>
      </c>
      <c t="s">
        <v>6319</v>
      </c>
      <c t="s">
        <v>13829</v>
      </c>
      <c t="s">
        <v>2517</v>
      </c>
      <c t="s">
        <v>39289</v>
      </c>
      <c>
        <v>33909</v>
      </c>
      <c t="s">
        <v>39980</v>
      </c>
      <c t="s">
        <v>48794</v>
      </c>
      <c t="s">
        <v>46730</v>
      </c>
      <c>
        <v>1906</v>
      </c>
      <c r="AI1681" t="s">
        <v>47027</v>
      </c>
      <c t="s">
        <v>55842</v>
      </c>
      <c r="AL1681" t="s">
        <v>28136</v>
      </c>
      <c r="AN1681" t="s">
        <v>19878</v>
      </c>
      <c t="s">
        <v>51901</v>
      </c>
      <c t="s">
        <v>61719</v>
      </c>
      <c t="s">
        <v>3093</v>
      </c>
      <c t="s">
        <v>57768</v>
      </c>
    </row>
    <row>
      <c t="s">
        <v>17594</v>
      </c>
      <c t="s">
        <v>9029</v>
      </c>
      <c t="s">
        <v>50137</v>
      </c>
      <c t="s">
        <v>32130</v>
      </c>
      <c t="s">
        <v>56319</v>
      </c>
      <c s="3">
        <v>10600</v>
      </c>
      <c s="3">
        <v>10600</v>
      </c>
      <c s="3">
        <v>9339</v>
      </c>
      <c>
        <v>0</v>
      </c>
      <c s="3">
        <v>0</v>
      </c>
      <c s="3">
        <v>2880.21</v>
      </c>
      <c s="3">
        <v>10600</v>
      </c>
      <c r="O1682" s="1" t="str">
        <f ca="1">HYPERLINK("https://web.datatree.com/?/property?propertyId=32585205", "https://web.datatree.com/?/property?propertyId=32585205")</f>
        <v>https://web.datatree.com/?/property?propertyId=32585205</v>
      </c>
      <c r="Q1682" t="s">
        <v>316</v>
      </c>
      <c>
        <v>0.23</v>
      </c>
      <c t="s">
        <v>6175</v>
      </c>
      <c t="s">
        <v>32955</v>
      </c>
      <c t="s">
        <v>35857</v>
      </c>
      <c t="s">
        <v>21379</v>
      </c>
      <c t="s">
        <v>35857</v>
      </c>
      <c t="s">
        <v>66136</v>
      </c>
      <c t="s">
        <v>53675</v>
      </c>
      <c t="s">
        <v>2517</v>
      </c>
      <c t="s">
        <v>39289</v>
      </c>
      <c>
        <v>33909</v>
      </c>
      <c t="s">
        <v>59937</v>
      </c>
      <c t="s">
        <v>48794</v>
      </c>
      <c t="s">
        <v>58077</v>
      </c>
      <c>
        <v>4023</v>
      </c>
      <c r="AI1682" t="s">
        <v>47453</v>
      </c>
      <c t="s">
        <v>31192</v>
      </c>
      <c r="AL1682" t="s">
        <v>55130</v>
      </c>
      <c r="AN1682" t="s">
        <v>32657</v>
      </c>
      <c t="s">
        <v>49217</v>
      </c>
      <c t="s">
        <v>58683</v>
      </c>
      <c t="s">
        <v>3093</v>
      </c>
      <c t="s">
        <v>12541</v>
      </c>
    </row>
    <row>
      <c t="s">
        <v>17594</v>
      </c>
      <c t="s">
        <v>15545</v>
      </c>
      <c t="s">
        <v>52058</v>
      </c>
      <c t="s">
        <v>27845</v>
      </c>
      <c t="s">
        <v>7166</v>
      </c>
      <c s="3">
        <v>12544</v>
      </c>
      <c s="3">
        <v>12544</v>
      </c>
      <c s="3">
        <v>4972</v>
      </c>
      <c>
        <v>0</v>
      </c>
      <c s="3">
        <v>0</v>
      </c>
      <c s="3">
        <v>357</v>
      </c>
      <c s="3">
        <v>12544</v>
      </c>
      <c r="O1683" s="1" t="str">
        <f ca="1">HYPERLINK("https://web.datatree.com/?/property?propertyId=32586710", "https://web.datatree.com/?/property?propertyId=32586710")</f>
        <v>https://web.datatree.com/?/property?propertyId=32586710</v>
      </c>
      <c r="Q1683" t="s">
        <v>316</v>
      </c>
      <c>
        <v>0.546</v>
      </c>
      <c t="s">
        <v>5471</v>
      </c>
      <c t="s">
        <v>58113</v>
      </c>
      <c t="s">
        <v>18314</v>
      </c>
      <c t="s">
        <v>35852</v>
      </c>
      <c t="s">
        <v>18314</v>
      </c>
      <c t="s">
        <v>58234</v>
      </c>
      <c t="s">
        <v>10490</v>
      </c>
      <c t="s">
        <v>65059</v>
      </c>
      <c t="s">
        <v>39289</v>
      </c>
      <c>
        <v>33905</v>
      </c>
      <c t="s">
        <v>40373</v>
      </c>
      <c t="s">
        <v>48794</v>
      </c>
      <c t="s">
        <v>62790</v>
      </c>
      <c>
        <v>8953</v>
      </c>
      <c r="AI1683" t="s">
        <v>13415</v>
      </c>
      <c t="s">
        <v>45620</v>
      </c>
      <c r="AL1683" t="s">
        <v>16779</v>
      </c>
      <c r="AN1683" t="s">
        <v>19878</v>
      </c>
      <c t="s">
        <v>64303</v>
      </c>
      <c t="s">
        <v>35679</v>
      </c>
      <c t="s">
        <v>3093</v>
      </c>
      <c t="s">
        <v>58343</v>
      </c>
    </row>
    <row>
      <c t="s">
        <v>17594</v>
      </c>
      <c t="s">
        <v>36352</v>
      </c>
      <c t="s">
        <v>59057</v>
      </c>
      <c t="s">
        <v>26316</v>
      </c>
      <c t="s">
        <v>59638</v>
      </c>
      <c s="3">
        <v>4200</v>
      </c>
      <c s="3">
        <v>4200</v>
      </c>
      <c s="3">
        <v>4200</v>
      </c>
      <c>
        <v>0</v>
      </c>
      <c s="3">
        <v>0</v>
      </c>
      <c s="3">
        <v>357.11</v>
      </c>
      <c s="3">
        <v>4200</v>
      </c>
      <c r="O1684" s="1" t="str">
        <f ca="1">HYPERLINK("https://web.datatree.com/?/property?propertyId=32586957", "https://web.datatree.com/?/property?propertyId=32586957")</f>
        <v>https://web.datatree.com/?/property?propertyId=32586957</v>
      </c>
      <c r="Q1684" t="s">
        <v>316</v>
      </c>
      <c>
        <v>0.114</v>
      </c>
      <c t="s">
        <v>6175</v>
      </c>
      <c t="s">
        <v>61273</v>
      </c>
      <c t="s">
        <v>32331</v>
      </c>
      <c r="X1684" t="s">
        <v>14976</v>
      </c>
      <c t="s">
        <v>38550</v>
      </c>
      <c t="s">
        <v>2517</v>
      </c>
      <c t="s">
        <v>39289</v>
      </c>
      <c>
        <v>33909</v>
      </c>
      <c t="s">
        <v>43034</v>
      </c>
      <c t="s">
        <v>48794</v>
      </c>
      <c t="s">
        <v>33262</v>
      </c>
      <c>
        <v>4755</v>
      </c>
      <c r="AI1684" t="s">
        <v>34790</v>
      </c>
      <c t="s">
        <v>31192</v>
      </c>
      <c r="AL1684" t="s">
        <v>43328</v>
      </c>
      <c r="AN1684" t="s">
        <v>22275</v>
      </c>
      <c t="s">
        <v>23656</v>
      </c>
      <c t="s">
        <v>42082</v>
      </c>
      <c t="s">
        <v>3093</v>
      </c>
      <c t="s">
        <v>61161</v>
      </c>
    </row>
    <row>
      <c t="s">
        <v>17594</v>
      </c>
      <c t="s">
        <v>52725</v>
      </c>
      <c t="s">
        <v>58379</v>
      </c>
      <c t="s">
        <v>66909</v>
      </c>
      <c t="s">
        <v>55852</v>
      </c>
      <c s="3">
        <v>9305</v>
      </c>
      <c s="3">
        <v>9305</v>
      </c>
      <c s="3">
        <v>4972</v>
      </c>
      <c>
        <v>0</v>
      </c>
      <c s="3">
        <v>0</v>
      </c>
      <c s="3">
        <v>321.86</v>
      </c>
      <c s="3">
        <v>9305</v>
      </c>
      <c r="O1685" s="1" t="str">
        <f ca="1">HYPERLINK("https://web.datatree.com/?/property?propertyId=32587441", "https://web.datatree.com/?/property?propertyId=32587441")</f>
        <v>https://web.datatree.com/?/property?propertyId=32587441</v>
      </c>
      <c r="Q1685" t="s">
        <v>316</v>
      </c>
      <c>
        <v>0.28</v>
      </c>
      <c t="s">
        <v>5471</v>
      </c>
      <c t="s">
        <v>54926</v>
      </c>
      <c t="s">
        <v>38218</v>
      </c>
      <c r="X1685" t="s">
        <v>6546</v>
      </c>
      <c t="s">
        <v>18225</v>
      </c>
      <c t="s">
        <v>65059</v>
      </c>
      <c t="s">
        <v>39289</v>
      </c>
      <c>
        <v>33905</v>
      </c>
      <c t="s">
        <v>61148</v>
      </c>
      <c t="s">
        <v>48794</v>
      </c>
      <c t="s">
        <v>39767</v>
      </c>
      <c>
        <v>10</v>
      </c>
      <c r="AI1685" t="s">
        <v>30742</v>
      </c>
      <c t="s">
        <v>45393</v>
      </c>
      <c r="AL1685" t="s">
        <v>53929</v>
      </c>
      <c r="AN1685" t="s">
        <v>27747</v>
      </c>
      <c t="s">
        <v>36641</v>
      </c>
      <c t="s">
        <v>39566</v>
      </c>
      <c t="s">
        <v>3093</v>
      </c>
      <c t="s">
        <v>12621</v>
      </c>
    </row>
    <row>
      <c t="s">
        <v>17594</v>
      </c>
      <c t="s">
        <v>55355</v>
      </c>
      <c t="s">
        <v>64792</v>
      </c>
      <c t="s">
        <v>49770</v>
      </c>
      <c t="s">
        <v>40819</v>
      </c>
      <c s="3">
        <v>36210</v>
      </c>
      <c s="3">
        <v>36210</v>
      </c>
      <c s="3">
        <v>9339</v>
      </c>
      <c>
        <v>0</v>
      </c>
      <c s="3">
        <v>0</v>
      </c>
      <c s="3">
        <v>671.29</v>
      </c>
      <c s="3">
        <v>36210</v>
      </c>
      <c r="O1686" s="1" t="str">
        <f ca="1">HYPERLINK("https://web.datatree.com/?/property?propertyId=32588147", "https://web.datatree.com/?/property?propertyId=32588147")</f>
        <v>https://web.datatree.com/?/property?propertyId=32588147</v>
      </c>
      <c r="Q1686" t="s">
        <v>316</v>
      </c>
      <c>
        <v>0.23</v>
      </c>
      <c t="s">
        <v>65422</v>
      </c>
      <c t="s">
        <v>37194</v>
      </c>
      <c t="s">
        <v>66815</v>
      </c>
      <c t="s">
        <v>51344</v>
      </c>
      <c t="s">
        <v>66815</v>
      </c>
      <c t="s">
        <v>11612</v>
      </c>
      <c t="s">
        <v>17022</v>
      </c>
      <c t="s">
        <v>2517</v>
      </c>
      <c t="s">
        <v>39289</v>
      </c>
      <c>
        <v>33909</v>
      </c>
      <c t="s">
        <v>34189</v>
      </c>
      <c t="s">
        <v>48794</v>
      </c>
      <c t="s">
        <v>45467</v>
      </c>
      <c>
        <v>8901</v>
      </c>
      <c r="AI1686" t="s">
        <v>2626</v>
      </c>
      <c t="s">
        <v>24900</v>
      </c>
      <c r="AL1686" t="s">
        <v>40928</v>
      </c>
      <c r="AN1686" t="s">
        <v>26016</v>
      </c>
      <c t="s">
        <v>29244</v>
      </c>
      <c t="s">
        <v>61719</v>
      </c>
      <c t="s">
        <v>3093</v>
      </c>
      <c t="s">
        <v>22263</v>
      </c>
    </row>
    <row>
      <c t="s">
        <v>17594</v>
      </c>
      <c t="s">
        <v>38403</v>
      </c>
      <c t="s">
        <v>24033</v>
      </c>
      <c t="s">
        <v>52168</v>
      </c>
      <c t="s">
        <v>14635</v>
      </c>
      <c s="3">
        <v>121250</v>
      </c>
      <c s="3">
        <v>121250</v>
      </c>
      <c s="3">
        <v>121250</v>
      </c>
      <c>
        <v>0</v>
      </c>
      <c s="3">
        <v>0</v>
      </c>
      <c s="3">
        <v>3505.75</v>
      </c>
      <c s="3">
        <v>121250</v>
      </c>
      <c>
        <v>2021</v>
      </c>
      <c>
        <v>3789.25</v>
      </c>
      <c s="1" t="str">
        <f ca="1">HYPERLINK("https://web.datatree.com/?/property?propertyId=32588344", "https://web.datatree.com/?/property?propertyId=32588344")</f>
        <v>https://web.datatree.com/?/property?propertyId=32588344</v>
      </c>
      <c r="Q1687" t="s">
        <v>316</v>
      </c>
      <c>
        <v>0.327</v>
      </c>
      <c t="s">
        <v>60849</v>
      </c>
      <c t="s">
        <v>42397</v>
      </c>
      <c t="s">
        <v>53284</v>
      </c>
      <c t="s">
        <v>53622</v>
      </c>
      <c t="s">
        <v>53284</v>
      </c>
      <c t="s">
        <v>45701</v>
      </c>
      <c t="s">
        <v>62972</v>
      </c>
      <c t="s">
        <v>65059</v>
      </c>
      <c t="s">
        <v>39289</v>
      </c>
      <c>
        <v>33905</v>
      </c>
      <c t="s">
        <v>63243</v>
      </c>
      <c t="s">
        <v>48794</v>
      </c>
      <c t="s">
        <v>7031</v>
      </c>
      <c>
        <v>200</v>
      </c>
      <c r="AI1687" t="s">
        <v>23895</v>
      </c>
      <c t="s">
        <v>31192</v>
      </c>
      <c r="AL1687" t="s">
        <v>51363</v>
      </c>
      <c r="AN1687" t="s">
        <v>19878</v>
      </c>
      <c t="s">
        <v>15522</v>
      </c>
      <c t="s">
        <v>46114</v>
      </c>
      <c t="s">
        <v>3093</v>
      </c>
      <c t="s">
        <v>46172</v>
      </c>
    </row>
    <row>
      <c t="s">
        <v>17594</v>
      </c>
      <c t="s">
        <v>66863</v>
      </c>
      <c t="s">
        <v>41453</v>
      </c>
      <c t="s">
        <v>51704</v>
      </c>
      <c t="s">
        <v>11953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688" s="1" t="str">
        <f ca="1">HYPERLINK("https://web.datatree.com/?/property?propertyId=32589561", "https://web.datatree.com/?/property?propertyId=32589561")</f>
        <v>https://web.datatree.com/?/property?propertyId=32589561</v>
      </c>
      <c r="Q1688" t="s">
        <v>316</v>
      </c>
      <c>
        <v>0.241</v>
      </c>
      <c t="s">
        <v>6175</v>
      </c>
      <c t="s">
        <v>13273</v>
      </c>
      <c t="s">
        <v>4190</v>
      </c>
      <c t="s">
        <v>39994</v>
      </c>
      <c t="s">
        <v>4190</v>
      </c>
      <c t="s">
        <v>6171</v>
      </c>
      <c t="s">
        <v>29190</v>
      </c>
      <c t="s">
        <v>2517</v>
      </c>
      <c t="s">
        <v>39289</v>
      </c>
      <c>
        <v>33909</v>
      </c>
      <c t="s">
        <v>11614</v>
      </c>
      <c t="s">
        <v>48794</v>
      </c>
      <c t="s">
        <v>50061</v>
      </c>
      <c>
        <v>6755</v>
      </c>
      <c r="AI1688" t="s">
        <v>44850</v>
      </c>
      <c t="s">
        <v>45393</v>
      </c>
      <c r="AL1688" t="s">
        <v>55393</v>
      </c>
      <c r="AN1688" t="s">
        <v>39289</v>
      </c>
      <c t="s">
        <v>4902</v>
      </c>
      <c t="s">
        <v>62830</v>
      </c>
      <c t="s">
        <v>3093</v>
      </c>
      <c t="s">
        <v>49872</v>
      </c>
    </row>
    <row>
      <c t="s">
        <v>42103</v>
      </c>
      <c t="s">
        <v>65278</v>
      </c>
      <c t="s">
        <v>7444</v>
      </c>
      <c t="s">
        <v>55789</v>
      </c>
      <c t="s">
        <v>49413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>
        <v>2021</v>
      </c>
      <c>
        <v>602.4</v>
      </c>
      <c s="1" t="str">
        <f ca="1">HYPERLINK("https://web.datatree.com/?/property?propertyId=32589648", "https://web.datatree.com/?/property?propertyId=32589648")</f>
        <v>https://web.datatree.com/?/property?propertyId=32589648</v>
      </c>
      <c r="Q1689" t="s">
        <v>316</v>
      </c>
      <c>
        <v>0.241</v>
      </c>
      <c t="s">
        <v>6175</v>
      </c>
      <c t="s">
        <v>39139</v>
      </c>
      <c t="s">
        <v>30647</v>
      </c>
      <c t="s">
        <v>54926</v>
      </c>
      <c t="s">
        <v>60980</v>
      </c>
      <c t="s">
        <v>15067</v>
      </c>
      <c t="s">
        <v>46469</v>
      </c>
      <c t="s">
        <v>2517</v>
      </c>
      <c t="s">
        <v>39289</v>
      </c>
      <c>
        <v>33909</v>
      </c>
      <c t="s">
        <v>62351</v>
      </c>
      <c t="s">
        <v>48794</v>
      </c>
      <c t="s">
        <v>4842</v>
      </c>
      <c r="AI1689" t="s">
        <v>7479</v>
      </c>
      <c r="AL1689" t="s">
        <v>54821</v>
      </c>
      <c t="s">
        <v>54821</v>
      </c>
      <c t="s">
        <v>50917</v>
      </c>
      <c>
        <v>14706</v>
      </c>
      <c t="s">
        <v>15796</v>
      </c>
      <c t="s">
        <v>3093</v>
      </c>
      <c t="s">
        <v>30127</v>
      </c>
    </row>
    <row>
      <c t="s">
        <v>17594</v>
      </c>
      <c t="s">
        <v>10813</v>
      </c>
      <c t="s">
        <v>19561</v>
      </c>
      <c t="s">
        <v>6671</v>
      </c>
      <c t="s">
        <v>44137</v>
      </c>
      <c s="3">
        <v>499164</v>
      </c>
      <c s="3">
        <v>499164</v>
      </c>
      <c s="3">
        <v>242000</v>
      </c>
      <c>
        <v>0</v>
      </c>
      <c s="3">
        <v>0</v>
      </c>
      <c s="3">
        <v>4398.53</v>
      </c>
      <c s="3">
        <v>499164</v>
      </c>
      <c>
        <v>2021</v>
      </c>
      <c>
        <v>4295.49</v>
      </c>
      <c s="1" t="str">
        <f ca="1">HYPERLINK("https://web.datatree.com/?/property?propertyId=32589920", "https://web.datatree.com/?/property?propertyId=32589920")</f>
        <v>https://web.datatree.com/?/property?propertyId=32589920</v>
      </c>
      <c r="Q1690" t="s">
        <v>316</v>
      </c>
      <c>
        <v>0.23</v>
      </c>
      <c t="s">
        <v>22490</v>
      </c>
      <c r="U1690" t="s">
        <v>16231</v>
      </c>
      <c t="s">
        <v>34344</v>
      </c>
      <c t="s">
        <v>37659</v>
      </c>
      <c t="s">
        <v>9676</v>
      </c>
      <c t="s">
        <v>33739</v>
      </c>
      <c t="s">
        <v>2517</v>
      </c>
      <c t="s">
        <v>39289</v>
      </c>
      <c>
        <v>33904</v>
      </c>
      <c t="s">
        <v>50184</v>
      </c>
      <c t="s">
        <v>48794</v>
      </c>
      <c t="s">
        <v>45674</v>
      </c>
      <c>
        <v>5852</v>
      </c>
      <c r="AI1690" t="s">
        <v>40604</v>
      </c>
      <c r="AL1690" t="s">
        <v>15943</v>
      </c>
      <c r="AN1690" t="s">
        <v>51137</v>
      </c>
      <c>
        <v>48028</v>
      </c>
      <c t="s">
        <v>66530</v>
      </c>
      <c t="s">
        <v>3093</v>
      </c>
      <c t="s">
        <v>38529</v>
      </c>
    </row>
    <row>
      <c t="s">
        <v>17594</v>
      </c>
      <c t="s">
        <v>63319</v>
      </c>
      <c t="s">
        <v>15094</v>
      </c>
      <c t="s">
        <v>41953</v>
      </c>
      <c t="s">
        <v>20343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1691" s="1" t="str">
        <f ca="1">HYPERLINK("https://web.datatree.com/?/property?propertyId=32589925", "https://web.datatree.com/?/property?propertyId=32589925")</f>
        <v>https://web.datatree.com/?/property?propertyId=32589925</v>
      </c>
      <c r="Q1691" t="s">
        <v>316</v>
      </c>
      <c>
        <v>0.26</v>
      </c>
      <c t="s">
        <v>5471</v>
      </c>
      <c t="s">
        <v>12497</v>
      </c>
      <c t="s">
        <v>53702</v>
      </c>
      <c t="s">
        <v>29901</v>
      </c>
      <c t="s">
        <v>53702</v>
      </c>
      <c t="s">
        <v>26109</v>
      </c>
      <c t="s">
        <v>51938</v>
      </c>
      <c t="s">
        <v>65059</v>
      </c>
      <c t="s">
        <v>39289</v>
      </c>
      <c>
        <v>33905</v>
      </c>
      <c t="s">
        <v>8255</v>
      </c>
      <c t="s">
        <v>48794</v>
      </c>
      <c t="s">
        <v>46277</v>
      </c>
      <c>
        <v>8526</v>
      </c>
      <c r="AI1691" t="s">
        <v>58353</v>
      </c>
      <c t="s">
        <v>45393</v>
      </c>
      <c r="AL1691" t="s">
        <v>18475</v>
      </c>
      <c r="AN1691" t="s">
        <v>22275</v>
      </c>
      <c t="s">
        <v>9045</v>
      </c>
      <c t="s">
        <v>26242</v>
      </c>
      <c t="s">
        <v>3093</v>
      </c>
      <c t="s">
        <v>16183</v>
      </c>
    </row>
    <row>
      <c t="s">
        <v>17594</v>
      </c>
      <c t="s">
        <v>45930</v>
      </c>
      <c t="s">
        <v>30087</v>
      </c>
      <c t="s">
        <v>17922</v>
      </c>
      <c t="s">
        <v>10489</v>
      </c>
      <c s="3">
        <v>7961</v>
      </c>
      <c s="3">
        <v>7961</v>
      </c>
      <c s="3">
        <v>5346</v>
      </c>
      <c>
        <v>0</v>
      </c>
      <c s="3">
        <v>0</v>
      </c>
      <c s="3">
        <v>94.57</v>
      </c>
      <c s="3">
        <v>7961</v>
      </c>
      <c r="O1692" s="1" t="str">
        <f ca="1">HYPERLINK("https://web.datatree.com/?/property?propertyId=32590256", "https://web.datatree.com/?/property?propertyId=32590256")</f>
        <v>https://web.datatree.com/?/property?propertyId=32590256</v>
      </c>
      <c r="Q1692" t="s">
        <v>316</v>
      </c>
      <c>
        <v>0.14</v>
      </c>
      <c t="s">
        <v>5471</v>
      </c>
      <c t="s">
        <v>51891</v>
      </c>
      <c t="s">
        <v>21780</v>
      </c>
      <c r="X1692" t="s">
        <v>15946</v>
      </c>
      <c t="s">
        <v>18318</v>
      </c>
      <c t="s">
        <v>65059</v>
      </c>
      <c t="s">
        <v>39289</v>
      </c>
      <c>
        <v>33905</v>
      </c>
      <c t="s">
        <v>57686</v>
      </c>
      <c t="s">
        <v>48794</v>
      </c>
      <c t="s">
        <v>40764</v>
      </c>
      <c>
        <v>3314</v>
      </c>
      <c r="AI1692" t="s">
        <v>27471</v>
      </c>
      <c t="s">
        <v>41372</v>
      </c>
      <c r="AL1692" t="s">
        <v>6144</v>
      </c>
      <c r="AN1692" t="s">
        <v>50917</v>
      </c>
      <c t="s">
        <v>22975</v>
      </c>
      <c t="s">
        <v>49977</v>
      </c>
      <c t="s">
        <v>3093</v>
      </c>
      <c t="s">
        <v>7316</v>
      </c>
    </row>
    <row>
      <c t="s">
        <v>17594</v>
      </c>
      <c t="s">
        <v>54006</v>
      </c>
      <c t="s">
        <v>9053</v>
      </c>
      <c t="s">
        <v>9993</v>
      </c>
      <c t="s">
        <v>40520</v>
      </c>
      <c s="3">
        <v>19591</v>
      </c>
      <c s="3">
        <v>19591</v>
      </c>
      <c s="3">
        <v>8030</v>
      </c>
      <c>
        <v>0</v>
      </c>
      <c s="3">
        <v>0</v>
      </c>
      <c s="3">
        <v>565.03</v>
      </c>
      <c s="3">
        <v>19591</v>
      </c>
      <c r="O1693" s="1" t="str">
        <f ca="1">HYPERLINK("https://web.datatree.com/?/property?propertyId=32590603", "https://web.datatree.com/?/property?propertyId=32590603")</f>
        <v>https://web.datatree.com/?/property?propertyId=32590603</v>
      </c>
      <c r="Q1693" t="s">
        <v>316</v>
      </c>
      <c>
        <v>0.231</v>
      </c>
      <c t="s">
        <v>22490</v>
      </c>
      <c r="U1693" t="s">
        <v>20641</v>
      </c>
      <c r="W1693" t="s">
        <v>56576</v>
      </c>
      <c t="s">
        <v>34840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31489</v>
      </c>
      <c>
        <v>204</v>
      </c>
      <c r="AI1693" t="s">
        <v>34770</v>
      </c>
      <c t="s">
        <v>31192</v>
      </c>
      <c r="AL1693" t="s">
        <v>36968</v>
      </c>
      <c r="AN1693" t="s">
        <v>27747</v>
      </c>
      <c t="s">
        <v>7325</v>
      </c>
      <c t="s">
        <v>14695</v>
      </c>
      <c t="s">
        <v>3093</v>
      </c>
      <c t="s">
        <v>53042</v>
      </c>
    </row>
    <row>
      <c t="s">
        <v>17594</v>
      </c>
      <c t="s">
        <v>52084</v>
      </c>
      <c t="s">
        <v>7442</v>
      </c>
      <c t="s">
        <v>50461</v>
      </c>
      <c t="s">
        <v>44877</v>
      </c>
      <c s="3">
        <v>56330</v>
      </c>
      <c s="3">
        <v>56330</v>
      </c>
      <c s="3">
        <v>47300</v>
      </c>
      <c>
        <v>0</v>
      </c>
      <c s="3">
        <v>0</v>
      </c>
      <c s="3">
        <v>1210.42</v>
      </c>
      <c s="3">
        <v>56330</v>
      </c>
      <c>
        <v>2021</v>
      </c>
      <c>
        <v>1197.11</v>
      </c>
      <c s="1" t="str">
        <f ca="1">HYPERLINK("https://web.datatree.com/?/property?propertyId=32591853", "https://web.datatree.com/?/property?propertyId=32591853")</f>
        <v>https://web.datatree.com/?/property?propertyId=32591853</v>
      </c>
      <c r="Q1694" t="s">
        <v>316</v>
      </c>
      <c>
        <v>0.23</v>
      </c>
      <c t="s">
        <v>22490</v>
      </c>
      <c t="s">
        <v>51891</v>
      </c>
      <c t="s">
        <v>49479</v>
      </c>
      <c t="s">
        <v>9157</v>
      </c>
      <c t="s">
        <v>49479</v>
      </c>
      <c t="s">
        <v>66646</v>
      </c>
      <c t="s">
        <v>33179</v>
      </c>
      <c t="s">
        <v>2517</v>
      </c>
      <c t="s">
        <v>39289</v>
      </c>
      <c>
        <v>33909</v>
      </c>
      <c t="s">
        <v>34288</v>
      </c>
      <c t="s">
        <v>48794</v>
      </c>
      <c t="s">
        <v>30521</v>
      </c>
      <c r="AI1694" t="s">
        <v>790</v>
      </c>
      <c t="s">
        <v>41372</v>
      </c>
      <c r="AL1694" t="s">
        <v>53388</v>
      </c>
      <c r="AN1694" t="s">
        <v>63985</v>
      </c>
      <c>
        <v>76344</v>
      </c>
      <c r="AR1694" t="s">
        <v>40007</v>
      </c>
    </row>
    <row>
      <c t="s">
        <v>17594</v>
      </c>
      <c t="s">
        <v>46320</v>
      </c>
      <c t="s">
        <v>65054</v>
      </c>
      <c t="s">
        <v>41360</v>
      </c>
      <c t="s">
        <v>28440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695" s="1" t="str">
        <f ca="1">HYPERLINK("https://web.datatree.com/?/property?propertyId=32592591", "https://web.datatree.com/?/property?propertyId=32592591")</f>
        <v>https://web.datatree.com/?/property?propertyId=32592591</v>
      </c>
      <c r="Q1695" t="s">
        <v>316</v>
      </c>
      <c>
        <v>0.231</v>
      </c>
      <c t="s">
        <v>6175</v>
      </c>
      <c t="s">
        <v>66333</v>
      </c>
      <c t="s">
        <v>19231</v>
      </c>
      <c t="s">
        <v>37820</v>
      </c>
      <c t="s">
        <v>1954</v>
      </c>
      <c t="s">
        <v>58400</v>
      </c>
      <c t="s">
        <v>13829</v>
      </c>
      <c t="s">
        <v>2517</v>
      </c>
      <c t="s">
        <v>39289</v>
      </c>
      <c>
        <v>33909</v>
      </c>
      <c t="s">
        <v>1736</v>
      </c>
      <c t="s">
        <v>48794</v>
      </c>
      <c t="s">
        <v>63888</v>
      </c>
      <c>
        <v>310</v>
      </c>
      <c r="AI1695" t="s">
        <v>1257</v>
      </c>
      <c t="s">
        <v>45620</v>
      </c>
      <c r="AL1695" t="s">
        <v>53335</v>
      </c>
      <c r="AN1695" t="s">
        <v>14509</v>
      </c>
      <c t="s">
        <v>30567</v>
      </c>
      <c t="s">
        <v>43294</v>
      </c>
      <c t="s">
        <v>3093</v>
      </c>
      <c t="s">
        <v>50912</v>
      </c>
    </row>
    <row>
      <c t="s">
        <v>17594</v>
      </c>
      <c t="s">
        <v>26718</v>
      </c>
      <c t="s">
        <v>42092</v>
      </c>
      <c t="s">
        <v>20713</v>
      </c>
      <c t="s">
        <v>66143</v>
      </c>
      <c s="3">
        <v>26250</v>
      </c>
      <c s="3">
        <v>26250</v>
      </c>
      <c s="3">
        <v>18975</v>
      </c>
      <c>
        <v>0</v>
      </c>
      <c s="3">
        <v>0</v>
      </c>
      <c s="3">
        <v>283.29</v>
      </c>
      <c s="3">
        <v>26250</v>
      </c>
      <c r="O1696" s="1" t="str">
        <f ca="1">HYPERLINK("https://web.datatree.com/?/property?propertyId=32593021", "https://web.datatree.com/?/property?propertyId=32593021")</f>
        <v>https://web.datatree.com/?/property?propertyId=32593021</v>
      </c>
      <c r="Q1696" t="s">
        <v>316</v>
      </c>
      <c>
        <v>0.228</v>
      </c>
      <c t="s">
        <v>5471</v>
      </c>
      <c r="U1696" t="s">
        <v>24903</v>
      </c>
      <c r="W1696" t="s">
        <v>61746</v>
      </c>
      <c t="s">
        <v>61196</v>
      </c>
      <c t="s">
        <v>6696</v>
      </c>
      <c t="s">
        <v>65059</v>
      </c>
      <c t="s">
        <v>39289</v>
      </c>
      <c>
        <v>33905</v>
      </c>
      <c t="s">
        <v>54328</v>
      </c>
      <c t="s">
        <v>48794</v>
      </c>
      <c t="s">
        <v>38791</v>
      </c>
      <c>
        <v>39</v>
      </c>
      <c r="AI1696" t="s">
        <v>37279</v>
      </c>
      <c t="s">
        <v>45620</v>
      </c>
      <c r="AL1696" t="s">
        <v>25546</v>
      </c>
      <c t="s">
        <v>25546</v>
      </c>
      <c t="s">
        <v>64022</v>
      </c>
      <c t="s">
        <v>7360</v>
      </c>
      <c t="s">
        <v>22455</v>
      </c>
      <c t="s">
        <v>3093</v>
      </c>
      <c t="s">
        <v>21051</v>
      </c>
    </row>
    <row>
      <c t="s">
        <v>17594</v>
      </c>
      <c t="s">
        <v>35797</v>
      </c>
      <c t="s">
        <v>8793</v>
      </c>
      <c t="s">
        <v>2947</v>
      </c>
      <c t="s">
        <v>24323</v>
      </c>
      <c s="3">
        <v>28407</v>
      </c>
      <c s="3">
        <v>28407</v>
      </c>
      <c s="3">
        <v>28407</v>
      </c>
      <c>
        <v>0</v>
      </c>
      <c s="3">
        <v>0</v>
      </c>
      <c s="3">
        <v>917.59</v>
      </c>
      <c s="3">
        <v>28407</v>
      </c>
      <c r="O1697" s="1" t="str">
        <f ca="1">HYPERLINK("https://web.datatree.com/?/property?propertyId=32593057", "https://web.datatree.com/?/property?propertyId=32593057")</f>
        <v>https://web.datatree.com/?/property?propertyId=32593057</v>
      </c>
      <c r="Q1697" t="s">
        <v>316</v>
      </c>
      <c>
        <v>0.349</v>
      </c>
      <c t="s">
        <v>22490</v>
      </c>
      <c t="s">
        <v>49698</v>
      </c>
      <c t="s">
        <v>5192</v>
      </c>
      <c r="X1697" t="s">
        <v>55587</v>
      </c>
      <c t="s">
        <v>5115</v>
      </c>
      <c t="s">
        <v>2517</v>
      </c>
      <c t="s">
        <v>39289</v>
      </c>
      <c>
        <v>33909</v>
      </c>
      <c t="s">
        <v>36628</v>
      </c>
      <c t="s">
        <v>48794</v>
      </c>
      <c t="s">
        <v>48445</v>
      </c>
      <c>
        <v>1606</v>
      </c>
      <c r="AI1697" t="s">
        <v>25116</v>
      </c>
      <c t="s">
        <v>24900</v>
      </c>
      <c r="AL1697" t="s">
        <v>27398</v>
      </c>
      <c t="s">
        <v>27398</v>
      </c>
      <c t="s">
        <v>39289</v>
      </c>
      <c t="s">
        <v>59357</v>
      </c>
      <c t="s">
        <v>33029</v>
      </c>
      <c t="s">
        <v>3093</v>
      </c>
      <c t="s">
        <v>4041</v>
      </c>
    </row>
    <row>
      <c t="s">
        <v>17594</v>
      </c>
      <c t="s">
        <v>24249</v>
      </c>
      <c t="s">
        <v>41263</v>
      </c>
      <c t="s">
        <v>55038</v>
      </c>
      <c t="s">
        <v>29135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527.13</v>
      </c>
      <c s="1" t="str">
        <f ca="1">HYPERLINK("https://web.datatree.com/?/property?propertyId=32593250", "https://web.datatree.com/?/property?propertyId=32593250")</f>
        <v>https://web.datatree.com/?/property?propertyId=32593250</v>
      </c>
      <c r="Q1698" t="s">
        <v>316</v>
      </c>
      <c>
        <v>0.23</v>
      </c>
      <c t="s">
        <v>6175</v>
      </c>
      <c t="s">
        <v>39054</v>
      </c>
      <c t="s">
        <v>8978</v>
      </c>
      <c t="s">
        <v>8845</v>
      </c>
      <c t="s">
        <v>8978</v>
      </c>
      <c t="s">
        <v>17231</v>
      </c>
      <c t="s">
        <v>39777</v>
      </c>
      <c t="s">
        <v>2517</v>
      </c>
      <c t="s">
        <v>39289</v>
      </c>
      <c>
        <v>33909</v>
      </c>
      <c t="s">
        <v>24591</v>
      </c>
      <c t="s">
        <v>48794</v>
      </c>
      <c t="s">
        <v>58472</v>
      </c>
      <c>
        <v>16443</v>
      </c>
      <c r="AI1698" t="s">
        <v>42439</v>
      </c>
      <c t="s">
        <v>45393</v>
      </c>
      <c r="AL1698" t="s">
        <v>60064</v>
      </c>
      <c r="AN1698" t="s">
        <v>50917</v>
      </c>
      <c t="s">
        <v>36311</v>
      </c>
      <c t="s">
        <v>3364</v>
      </c>
      <c t="s">
        <v>3093</v>
      </c>
      <c t="s">
        <v>20153</v>
      </c>
    </row>
    <row>
      <c t="s">
        <v>17594</v>
      </c>
      <c t="s">
        <v>33986</v>
      </c>
      <c t="s">
        <v>20401</v>
      </c>
      <c t="s">
        <v>27632</v>
      </c>
      <c t="s">
        <v>25308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699" s="1" t="str">
        <f ca="1">HYPERLINK("https://web.datatree.com/?/property?propertyId=32593413", "https://web.datatree.com/?/property?propertyId=32593413")</f>
        <v>https://web.datatree.com/?/property?propertyId=32593413</v>
      </c>
      <c r="Q1699" t="s">
        <v>316</v>
      </c>
      <c>
        <v>0.241</v>
      </c>
      <c t="s">
        <v>6175</v>
      </c>
      <c t="s">
        <v>32955</v>
      </c>
      <c t="s">
        <v>21512</v>
      </c>
      <c t="s">
        <v>23659</v>
      </c>
      <c t="s">
        <v>21512</v>
      </c>
      <c t="s">
        <v>60871</v>
      </c>
      <c t="s">
        <v>14534</v>
      </c>
      <c t="s">
        <v>2517</v>
      </c>
      <c t="s">
        <v>39289</v>
      </c>
      <c>
        <v>33909</v>
      </c>
      <c t="s">
        <v>23079</v>
      </c>
      <c t="s">
        <v>48794</v>
      </c>
      <c t="s">
        <v>11133</v>
      </c>
      <c>
        <v>29481</v>
      </c>
      <c r="AI1699" t="s">
        <v>5289</v>
      </c>
      <c t="s">
        <v>24900</v>
      </c>
      <c r="AL1699" t="s">
        <v>26810</v>
      </c>
      <c r="AN1699" t="s">
        <v>50829</v>
      </c>
      <c t="s">
        <v>16817</v>
      </c>
      <c t="s">
        <v>62845</v>
      </c>
      <c t="s">
        <v>3093</v>
      </c>
      <c t="s">
        <v>57773</v>
      </c>
    </row>
    <row>
      <c t="s">
        <v>17594</v>
      </c>
      <c t="s">
        <v>58548</v>
      </c>
      <c t="s">
        <v>14589</v>
      </c>
      <c t="s">
        <v>2986</v>
      </c>
      <c t="s">
        <v>38909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>
        <v>2021</v>
      </c>
      <c>
        <v>591.97</v>
      </c>
      <c s="1" t="str">
        <f ca="1">HYPERLINK("https://web.datatree.com/?/property?propertyId=32593902", "https://web.datatree.com/?/property?propertyId=32593902")</f>
        <v>https://web.datatree.com/?/property?propertyId=32593902</v>
      </c>
      <c r="Q1700" t="s">
        <v>316</v>
      </c>
      <c>
        <v>0.23</v>
      </c>
      <c t="s">
        <v>22490</v>
      </c>
      <c t="s">
        <v>19620</v>
      </c>
      <c t="s">
        <v>40306</v>
      </c>
      <c t="s">
        <v>20935</v>
      </c>
      <c t="s">
        <v>8831</v>
      </c>
      <c t="s">
        <v>30208</v>
      </c>
      <c t="s">
        <v>49122</v>
      </c>
      <c t="s">
        <v>2517</v>
      </c>
      <c t="s">
        <v>39289</v>
      </c>
      <c>
        <v>33909</v>
      </c>
      <c>
        <v>33909</v>
      </c>
      <c t="s">
        <v>48794</v>
      </c>
      <c t="s">
        <v>1920</v>
      </c>
      <c>
        <v>68</v>
      </c>
      <c r="AI1700" t="s">
        <v>9414</v>
      </c>
      <c r="AL1700" t="s">
        <v>18930</v>
      </c>
      <c r="AN1700" t="s">
        <v>32840</v>
      </c>
      <c r="AR1700" t="s">
        <v>8962</v>
      </c>
    </row>
    <row>
      <c t="s">
        <v>17594</v>
      </c>
      <c t="s">
        <v>29324</v>
      </c>
      <c t="s">
        <v>16932</v>
      </c>
      <c t="s">
        <v>39835</v>
      </c>
      <c t="s">
        <v>42983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1701" s="1" t="str">
        <f ca="1">HYPERLINK("https://web.datatree.com/?/property?propertyId=32594300", "https://web.datatree.com/?/property?propertyId=32594300")</f>
        <v>https://web.datatree.com/?/property?propertyId=32594300</v>
      </c>
      <c r="Q1701" t="s">
        <v>316</v>
      </c>
      <c>
        <v>0.23</v>
      </c>
      <c t="s">
        <v>6175</v>
      </c>
      <c t="s">
        <v>65064</v>
      </c>
      <c t="s">
        <v>47211</v>
      </c>
      <c r="X1701" t="s">
        <v>45138</v>
      </c>
      <c t="s">
        <v>38550</v>
      </c>
      <c t="s">
        <v>2517</v>
      </c>
      <c t="s">
        <v>39289</v>
      </c>
      <c>
        <v>33909</v>
      </c>
      <c t="s">
        <v>21823</v>
      </c>
      <c t="s">
        <v>48794</v>
      </c>
      <c t="s">
        <v>17360</v>
      </c>
      <c>
        <v>12</v>
      </c>
      <c r="AI1701" t="s">
        <v>36880</v>
      </c>
      <c t="s">
        <v>45393</v>
      </c>
      <c r="AL1701" t="s">
        <v>55237</v>
      </c>
      <c r="AN1701" t="s">
        <v>19878</v>
      </c>
      <c>
        <v>76328</v>
      </c>
      <c r="AR1701" t="s">
        <v>29965</v>
      </c>
    </row>
    <row>
      <c t="s">
        <v>17594</v>
      </c>
      <c t="s">
        <v>17426</v>
      </c>
      <c t="s">
        <v>55526</v>
      </c>
      <c t="s">
        <v>16548</v>
      </c>
      <c t="s">
        <v>20445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1702" s="1" t="str">
        <f ca="1">HYPERLINK("https://web.datatree.com/?/property?propertyId=32594404", "https://web.datatree.com/?/property?propertyId=32594404")</f>
        <v>https://web.datatree.com/?/property?propertyId=32594404</v>
      </c>
      <c r="Q1702" t="s">
        <v>316</v>
      </c>
      <c>
        <v>0.23</v>
      </c>
      <c t="s">
        <v>22490</v>
      </c>
      <c t="s">
        <v>17723</v>
      </c>
      <c t="s">
        <v>63233</v>
      </c>
      <c t="s">
        <v>65681</v>
      </c>
      <c t="s">
        <v>40640</v>
      </c>
      <c t="s">
        <v>35898</v>
      </c>
      <c t="s">
        <v>53675</v>
      </c>
      <c t="s">
        <v>2517</v>
      </c>
      <c t="s">
        <v>39289</v>
      </c>
      <c>
        <v>33909</v>
      </c>
      <c t="s">
        <v>31803</v>
      </c>
      <c t="s">
        <v>48794</v>
      </c>
      <c t="s">
        <v>32138</v>
      </c>
      <c>
        <v>1910</v>
      </c>
      <c r="AI1702" t="s">
        <v>3035</v>
      </c>
      <c t="s">
        <v>55842</v>
      </c>
      <c r="AL1702" t="s">
        <v>67236</v>
      </c>
      <c t="s">
        <v>67236</v>
      </c>
      <c t="s">
        <v>51087</v>
      </c>
      <c t="s">
        <v>16417</v>
      </c>
      <c t="s">
        <v>37774</v>
      </c>
      <c t="s">
        <v>3093</v>
      </c>
      <c t="s">
        <v>41352</v>
      </c>
    </row>
    <row>
      <c t="s">
        <v>17594</v>
      </c>
      <c t="s">
        <v>64702</v>
      </c>
      <c t="s">
        <v>57320</v>
      </c>
      <c t="s">
        <v>62124</v>
      </c>
      <c t="s">
        <v>13044</v>
      </c>
      <c s="3">
        <v>14982</v>
      </c>
      <c s="3">
        <v>14982</v>
      </c>
      <c s="3">
        <v>5657</v>
      </c>
      <c>
        <v>0</v>
      </c>
      <c s="3">
        <v>0</v>
      </c>
      <c s="3">
        <v>335.9</v>
      </c>
      <c s="3">
        <v>14982</v>
      </c>
      <c r="O1703" s="1" t="str">
        <f ca="1">HYPERLINK("https://web.datatree.com/?/property?propertyId=32594771", "https://web.datatree.com/?/property?propertyId=32594771")</f>
        <v>https://web.datatree.com/?/property?propertyId=32594771</v>
      </c>
      <c r="Q1703" t="s">
        <v>316</v>
      </c>
      <c>
        <v>0.249</v>
      </c>
      <c t="s">
        <v>5471</v>
      </c>
      <c t="s">
        <v>62125</v>
      </c>
      <c t="s">
        <v>53561</v>
      </c>
      <c t="s">
        <v>54833</v>
      </c>
      <c t="s">
        <v>53561</v>
      </c>
      <c t="s">
        <v>21180</v>
      </c>
      <c t="s">
        <v>51919</v>
      </c>
      <c t="s">
        <v>65059</v>
      </c>
      <c t="s">
        <v>39289</v>
      </c>
      <c>
        <v>33905</v>
      </c>
      <c t="s">
        <v>61106</v>
      </c>
      <c t="s">
        <v>48794</v>
      </c>
      <c t="s">
        <v>40853</v>
      </c>
      <c>
        <v>1054</v>
      </c>
      <c r="AI1703" t="s">
        <v>62511</v>
      </c>
      <c t="s">
        <v>835</v>
      </c>
      <c r="AL1703" t="s">
        <v>38121</v>
      </c>
      <c r="AN1703" t="s">
        <v>65451</v>
      </c>
      <c t="s">
        <v>47061</v>
      </c>
      <c t="s">
        <v>45852</v>
      </c>
      <c t="s">
        <v>3093</v>
      </c>
      <c t="s">
        <v>17116</v>
      </c>
    </row>
    <row>
      <c t="s">
        <v>17594</v>
      </c>
      <c t="s">
        <v>3002</v>
      </c>
      <c t="s">
        <v>40383</v>
      </c>
      <c t="s">
        <v>33200</v>
      </c>
      <c t="s">
        <v>1371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1704" s="1" t="str">
        <f ca="1">HYPERLINK("https://web.datatree.com/?/property?propertyId=32594855", "https://web.datatree.com/?/property?propertyId=32594855")</f>
        <v>https://web.datatree.com/?/property?propertyId=32594855</v>
      </c>
      <c r="Q1704" t="s">
        <v>316</v>
      </c>
      <c>
        <v>0.23</v>
      </c>
      <c t="s">
        <v>22490</v>
      </c>
      <c t="s">
        <v>20345</v>
      </c>
      <c t="s">
        <v>37991</v>
      </c>
      <c r="X1704" t="s">
        <v>37022</v>
      </c>
      <c t="s">
        <v>66701</v>
      </c>
      <c t="s">
        <v>2517</v>
      </c>
      <c t="s">
        <v>39289</v>
      </c>
      <c>
        <v>33909</v>
      </c>
      <c t="s">
        <v>468</v>
      </c>
      <c t="s">
        <v>48794</v>
      </c>
      <c t="s">
        <v>32106</v>
      </c>
      <c>
        <v>16453</v>
      </c>
      <c r="AI1704" t="s">
        <v>34269</v>
      </c>
      <c t="s">
        <v>45393</v>
      </c>
      <c r="AL1704" t="s">
        <v>55393</v>
      </c>
      <c t="s">
        <v>57031</v>
      </c>
      <c t="s">
        <v>39289</v>
      </c>
      <c t="s">
        <v>38359</v>
      </c>
      <c t="s">
        <v>8296</v>
      </c>
      <c t="s">
        <v>3093</v>
      </c>
      <c t="s">
        <v>44400</v>
      </c>
    </row>
    <row>
      <c t="s">
        <v>17594</v>
      </c>
      <c t="s">
        <v>25258</v>
      </c>
      <c t="s">
        <v>13947</v>
      </c>
      <c t="s">
        <v>5551</v>
      </c>
      <c t="s">
        <v>49079</v>
      </c>
      <c s="3">
        <v>28407</v>
      </c>
      <c s="3">
        <v>28407</v>
      </c>
      <c s="3">
        <v>11484</v>
      </c>
      <c>
        <v>0</v>
      </c>
      <c s="3">
        <v>0</v>
      </c>
      <c s="3">
        <v>744.28</v>
      </c>
      <c s="3">
        <v>28407</v>
      </c>
      <c r="O1705" s="1" t="str">
        <f ca="1">HYPERLINK("https://web.datatree.com/?/property?propertyId=32595238", "https://web.datatree.com/?/property?propertyId=32595238")</f>
        <v>https://web.datatree.com/?/property?propertyId=32595238</v>
      </c>
      <c r="Q1705" t="s">
        <v>316</v>
      </c>
      <c>
        <v>0.344</v>
      </c>
      <c t="s">
        <v>22490</v>
      </c>
      <c t="s">
        <v>2140</v>
      </c>
      <c t="s">
        <v>58840</v>
      </c>
      <c t="s">
        <v>20358</v>
      </c>
      <c t="s">
        <v>60907</v>
      </c>
      <c t="s">
        <v>13995</v>
      </c>
      <c t="s">
        <v>53663</v>
      </c>
      <c t="s">
        <v>2517</v>
      </c>
      <c t="s">
        <v>39289</v>
      </c>
      <c>
        <v>33909</v>
      </c>
      <c t="s">
        <v>32489</v>
      </c>
      <c t="s">
        <v>48794</v>
      </c>
      <c t="s">
        <v>29140</v>
      </c>
      <c>
        <v>3621</v>
      </c>
      <c r="AI1705" t="s">
        <v>6619</v>
      </c>
      <c t="s">
        <v>31192</v>
      </c>
      <c r="AL1705" t="s">
        <v>47361</v>
      </c>
      <c r="AN1705" t="s">
        <v>10804</v>
      </c>
      <c t="s">
        <v>56568</v>
      </c>
      <c t="s">
        <v>30106</v>
      </c>
      <c t="s">
        <v>3093</v>
      </c>
      <c t="s">
        <v>36005</v>
      </c>
    </row>
    <row>
      <c t="s">
        <v>17594</v>
      </c>
      <c t="s">
        <v>42024</v>
      </c>
      <c t="s">
        <v>14451</v>
      </c>
      <c t="s">
        <v>55846</v>
      </c>
      <c t="s">
        <v>39695</v>
      </c>
      <c s="3">
        <v>26200</v>
      </c>
      <c s="3">
        <v>26200</v>
      </c>
      <c s="3">
        <v>13310</v>
      </c>
      <c>
        <v>0</v>
      </c>
      <c s="3">
        <v>0</v>
      </c>
      <c s="3">
        <v>575.55</v>
      </c>
      <c s="3">
        <v>26200</v>
      </c>
      <c r="O1706" s="1" t="str">
        <f ca="1">HYPERLINK("https://web.datatree.com/?/property?propertyId=32595410", "https://web.datatree.com/?/property?propertyId=32595410")</f>
        <v>https://web.datatree.com/?/property?propertyId=32595410</v>
      </c>
      <c r="Q1706" t="s">
        <v>316</v>
      </c>
      <c>
        <v>0.225</v>
      </c>
      <c r="T1706" t="s">
        <v>7869</v>
      </c>
      <c t="s">
        <v>5100</v>
      </c>
      <c r="X1706" t="s">
        <v>40368</v>
      </c>
      <c t="s">
        <v>61208</v>
      </c>
      <c t="s">
        <v>2517</v>
      </c>
      <c t="s">
        <v>39289</v>
      </c>
      <c>
        <v>33909</v>
      </c>
      <c t="s">
        <v>31108</v>
      </c>
      <c t="s">
        <v>48794</v>
      </c>
      <c t="s">
        <v>29449</v>
      </c>
      <c>
        <v>5072</v>
      </c>
      <c r="AH1706" t="s">
        <v>26580</v>
      </c>
      <c t="s">
        <v>26112</v>
      </c>
      <c t="s">
        <v>835</v>
      </c>
      <c r="AL1706" t="s">
        <v>51960</v>
      </c>
      <c t="s">
        <v>16235</v>
      </c>
      <c t="s">
        <v>39289</v>
      </c>
      <c t="s">
        <v>56501</v>
      </c>
      <c t="s">
        <v>32895</v>
      </c>
      <c t="s">
        <v>3093</v>
      </c>
      <c t="s">
        <v>19039</v>
      </c>
    </row>
    <row>
      <c t="s">
        <v>17594</v>
      </c>
      <c t="s">
        <v>39681</v>
      </c>
      <c t="s">
        <v>56364</v>
      </c>
      <c t="s">
        <v>7278</v>
      </c>
      <c t="s">
        <v>4024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707" s="1" t="str">
        <f ca="1">HYPERLINK("https://web.datatree.com/?/property?propertyId=32595694", "https://web.datatree.com/?/property?propertyId=32595694")</f>
        <v>https://web.datatree.com/?/property?propertyId=32595694</v>
      </c>
      <c r="Q1707" t="s">
        <v>316</v>
      </c>
      <c>
        <v>0.23</v>
      </c>
      <c t="s">
        <v>6175</v>
      </c>
      <c t="s">
        <v>24692</v>
      </c>
      <c t="s">
        <v>12109</v>
      </c>
      <c r="X1707" t="s">
        <v>46024</v>
      </c>
      <c t="s">
        <v>25017</v>
      </c>
      <c t="s">
        <v>2517</v>
      </c>
      <c t="s">
        <v>39289</v>
      </c>
      <c>
        <v>33909</v>
      </c>
      <c t="s">
        <v>65208</v>
      </c>
      <c t="s">
        <v>48794</v>
      </c>
      <c t="s">
        <v>56308</v>
      </c>
      <c>
        <v>6121</v>
      </c>
      <c r="AI1707" t="s">
        <v>39211</v>
      </c>
      <c t="s">
        <v>31192</v>
      </c>
      <c r="AL1707" t="s">
        <v>32445</v>
      </c>
      <c t="s">
        <v>30655</v>
      </c>
      <c t="s">
        <v>49572</v>
      </c>
      <c t="s">
        <v>27298</v>
      </c>
      <c t="s">
        <v>56186</v>
      </c>
      <c t="s">
        <v>3093</v>
      </c>
      <c t="s">
        <v>2997</v>
      </c>
    </row>
    <row>
      <c t="s">
        <v>17594</v>
      </c>
      <c t="s">
        <v>9351</v>
      </c>
      <c t="s">
        <v>26583</v>
      </c>
      <c t="s">
        <v>48500</v>
      </c>
      <c t="s">
        <v>66827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708" s="1" t="str">
        <f ca="1">HYPERLINK("https://web.datatree.com/?/property?propertyId=32595849", "https://web.datatree.com/?/property?propertyId=32595849")</f>
        <v>https://web.datatree.com/?/property?propertyId=32595849</v>
      </c>
      <c r="Q1708" t="s">
        <v>316</v>
      </c>
      <c>
        <v>0.23</v>
      </c>
      <c t="s">
        <v>6175</v>
      </c>
      <c t="s">
        <v>59451</v>
      </c>
      <c t="s">
        <v>46389</v>
      </c>
      <c t="s">
        <v>9877</v>
      </c>
      <c t="s">
        <v>46389</v>
      </c>
      <c t="s">
        <v>1253</v>
      </c>
      <c t="s">
        <v>13829</v>
      </c>
      <c t="s">
        <v>2517</v>
      </c>
      <c t="s">
        <v>39289</v>
      </c>
      <c>
        <v>33909</v>
      </c>
      <c t="s">
        <v>6776</v>
      </c>
      <c t="s">
        <v>48794</v>
      </c>
      <c t="s">
        <v>12870</v>
      </c>
      <c>
        <v>8731</v>
      </c>
      <c r="AI1708" t="s">
        <v>24318</v>
      </c>
      <c t="s">
        <v>45393</v>
      </c>
      <c r="AL1708" t="s">
        <v>67108</v>
      </c>
      <c r="AN1708" t="s">
        <v>50917</v>
      </c>
      <c t="s">
        <v>10871</v>
      </c>
      <c t="s">
        <v>11138</v>
      </c>
      <c t="s">
        <v>3093</v>
      </c>
      <c t="s">
        <v>56318</v>
      </c>
    </row>
    <row>
      <c t="s">
        <v>17594</v>
      </c>
      <c t="s">
        <v>66156</v>
      </c>
      <c t="s">
        <v>31226</v>
      </c>
      <c t="s">
        <v>20182</v>
      </c>
      <c t="s">
        <v>42546</v>
      </c>
      <c s="3">
        <v>18026</v>
      </c>
      <c s="3">
        <v>18026</v>
      </c>
      <c s="3">
        <v>7865</v>
      </c>
      <c>
        <v>0</v>
      </c>
      <c s="3">
        <v>0</v>
      </c>
      <c s="3">
        <v>492.2</v>
      </c>
      <c s="3">
        <v>18026</v>
      </c>
      <c r="O1709" s="1" t="str">
        <f ca="1">HYPERLINK("https://web.datatree.com/?/property?propertyId=32596206", "https://web.datatree.com/?/property?propertyId=32596206")</f>
        <v>https://web.datatree.com/?/property?propertyId=32596206</v>
      </c>
      <c r="Q1709" t="s">
        <v>316</v>
      </c>
      <c>
        <v>0.242</v>
      </c>
      <c t="s">
        <v>6175</v>
      </c>
      <c t="s">
        <v>62125</v>
      </c>
      <c t="s">
        <v>66987</v>
      </c>
      <c r="X1709" t="s">
        <v>56677</v>
      </c>
      <c t="s">
        <v>17022</v>
      </c>
      <c t="s">
        <v>2517</v>
      </c>
      <c t="s">
        <v>39289</v>
      </c>
      <c>
        <v>33909</v>
      </c>
      <c t="s">
        <v>42836</v>
      </c>
      <c t="s">
        <v>48794</v>
      </c>
      <c t="s">
        <v>63016</v>
      </c>
      <c t="str">
        <f>"95-245"</f>
        <v>95-245</v>
      </c>
      <c r="AI1709" t="s">
        <v>35277</v>
      </c>
      <c t="s">
        <v>45393</v>
      </c>
      <c r="AL1709" t="s">
        <v>56807</v>
      </c>
      <c r="AN1709" t="s">
        <v>43132</v>
      </c>
      <c t="s">
        <v>38046</v>
      </c>
      <c t="s">
        <v>11138</v>
      </c>
      <c t="s">
        <v>3093</v>
      </c>
      <c t="s">
        <v>26231</v>
      </c>
    </row>
    <row>
      <c t="s">
        <v>17594</v>
      </c>
      <c t="s">
        <v>31953</v>
      </c>
      <c t="s">
        <v>37163</v>
      </c>
      <c t="s">
        <v>28538</v>
      </c>
      <c t="s">
        <v>37399</v>
      </c>
      <c s="3">
        <v>18000</v>
      </c>
      <c s="3">
        <v>18000</v>
      </c>
      <c s="3">
        <v>7028</v>
      </c>
      <c>
        <v>0</v>
      </c>
      <c s="3">
        <v>0</v>
      </c>
      <c s="3">
        <v>155.09</v>
      </c>
      <c s="3">
        <v>18000</v>
      </c>
      <c>
        <v>2021</v>
      </c>
      <c>
        <v>209.61</v>
      </c>
      <c s="1" t="str">
        <f ca="1">HYPERLINK("https://web.datatree.com/?/property?propertyId=32597203", "https://web.datatree.com/?/property?propertyId=32597203")</f>
        <v>https://web.datatree.com/?/property?propertyId=32597203</v>
      </c>
      <c r="Q1710" t="s">
        <v>316</v>
      </c>
      <c>
        <v>0.318</v>
      </c>
      <c t="s">
        <v>36245</v>
      </c>
      <c t="s">
        <v>14632</v>
      </c>
      <c t="s">
        <v>14808</v>
      </c>
      <c r="X1710" t="s">
        <v>58313</v>
      </c>
      <c t="s">
        <v>22493</v>
      </c>
      <c t="s">
        <v>65059</v>
      </c>
      <c t="s">
        <v>39289</v>
      </c>
      <c>
        <v>33905</v>
      </c>
      <c>
        <v>33905</v>
      </c>
      <c t="s">
        <v>48794</v>
      </c>
      <c t="s">
        <v>40921</v>
      </c>
      <c>
        <v>2380</v>
      </c>
      <c r="AH1710" t="s">
        <v>52165</v>
      </c>
      <c t="s">
        <v>62800</v>
      </c>
      <c t="s">
        <v>24900</v>
      </c>
      <c r="AL1710" t="s">
        <v>11713</v>
      </c>
      <c t="s">
        <v>40227</v>
      </c>
      <c t="s">
        <v>39289</v>
      </c>
      <c t="s">
        <v>30174</v>
      </c>
      <c t="s">
        <v>31749</v>
      </c>
      <c t="s">
        <v>3093</v>
      </c>
      <c t="s">
        <v>20658</v>
      </c>
    </row>
    <row>
      <c t="s">
        <v>17594</v>
      </c>
      <c t="s">
        <v>34200</v>
      </c>
      <c t="s">
        <v>47210</v>
      </c>
      <c t="s">
        <v>21114</v>
      </c>
      <c t="s">
        <v>64110</v>
      </c>
      <c s="3">
        <v>9100</v>
      </c>
      <c s="3">
        <v>9100</v>
      </c>
      <c s="3">
        <v>9100</v>
      </c>
      <c>
        <v>0</v>
      </c>
      <c s="3">
        <v>0</v>
      </c>
      <c s="3">
        <v>590.57</v>
      </c>
      <c s="3">
        <v>9100</v>
      </c>
      <c r="O1711" s="1" t="str">
        <f ca="1">HYPERLINK("https://web.datatree.com/?/property?propertyId=32597311", "https://web.datatree.com/?/property?propertyId=32597311")</f>
        <v>https://web.datatree.com/?/property?propertyId=32597311</v>
      </c>
      <c r="Q1711" t="s">
        <v>316</v>
      </c>
      <c>
        <v>0.241</v>
      </c>
      <c t="s">
        <v>65422</v>
      </c>
      <c t="s">
        <v>52709</v>
      </c>
      <c t="s">
        <v>8291</v>
      </c>
      <c t="s">
        <v>26481</v>
      </c>
      <c t="s">
        <v>14645</v>
      </c>
      <c t="s">
        <v>22664</v>
      </c>
      <c t="s">
        <v>30928</v>
      </c>
      <c t="s">
        <v>2517</v>
      </c>
      <c t="s">
        <v>39289</v>
      </c>
      <c>
        <v>33909</v>
      </c>
      <c t="s">
        <v>6789</v>
      </c>
      <c t="s">
        <v>48794</v>
      </c>
      <c t="s">
        <v>25011</v>
      </c>
      <c>
        <v>10</v>
      </c>
      <c r="AI1711" t="s">
        <v>55130</v>
      </c>
      <c t="s">
        <v>39321</v>
      </c>
      <c r="AL1711" t="s">
        <v>1869</v>
      </c>
      <c r="AN1711" t="s">
        <v>26016</v>
      </c>
      <c t="s">
        <v>33346</v>
      </c>
      <c t="s">
        <v>61410</v>
      </c>
      <c t="s">
        <v>3093</v>
      </c>
      <c t="s">
        <v>39864</v>
      </c>
    </row>
    <row>
      <c t="s">
        <v>17594</v>
      </c>
      <c t="s">
        <v>312</v>
      </c>
      <c t="s">
        <v>37149</v>
      </c>
      <c t="s">
        <v>65083</v>
      </c>
      <c t="s">
        <v>58081</v>
      </c>
      <c s="3">
        <v>29181</v>
      </c>
      <c s="3">
        <v>29181</v>
      </c>
      <c s="3">
        <v>11385</v>
      </c>
      <c>
        <v>0</v>
      </c>
      <c s="3">
        <v>0</v>
      </c>
      <c s="3">
        <v>743.33</v>
      </c>
      <c s="3">
        <v>29181</v>
      </c>
      <c r="O1712" s="1" t="str">
        <f ca="1">HYPERLINK("https://web.datatree.com/?/property?propertyId=32597898", "https://web.datatree.com/?/property?propertyId=32597898")</f>
        <v>https://web.datatree.com/?/property?propertyId=32597898</v>
      </c>
      <c r="Q1712" t="s">
        <v>316</v>
      </c>
      <c>
        <v>0.344</v>
      </c>
      <c t="s">
        <v>22490</v>
      </c>
      <c t="s">
        <v>13176</v>
      </c>
      <c t="s">
        <v>24508</v>
      </c>
      <c r="X1712" t="s">
        <v>13908</v>
      </c>
      <c t="s">
        <v>35712</v>
      </c>
      <c t="s">
        <v>2517</v>
      </c>
      <c t="s">
        <v>39289</v>
      </c>
      <c>
        <v>33909</v>
      </c>
      <c t="s">
        <v>32593</v>
      </c>
      <c t="s">
        <v>48794</v>
      </c>
      <c t="s">
        <v>12925</v>
      </c>
      <c>
        <v>20301</v>
      </c>
      <c r="AH1712" t="s">
        <v>12549</v>
      </c>
      <c t="s">
        <v>11711</v>
      </c>
      <c t="s">
        <v>24900</v>
      </c>
      <c r="AL1712" t="s">
        <v>64518</v>
      </c>
      <c t="s">
        <v>64518</v>
      </c>
      <c t="s">
        <v>4477</v>
      </c>
      <c t="s">
        <v>21842</v>
      </c>
      <c t="s">
        <v>54916</v>
      </c>
      <c t="s">
        <v>3093</v>
      </c>
      <c t="s">
        <v>31459</v>
      </c>
    </row>
    <row>
      <c t="s">
        <v>17594</v>
      </c>
      <c t="s">
        <v>10043</v>
      </c>
      <c t="s">
        <v>64515</v>
      </c>
      <c t="s">
        <v>66198</v>
      </c>
      <c t="s">
        <v>40642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713" s="1" t="str">
        <f ca="1">HYPERLINK("https://web.datatree.com/?/property?propertyId=32598325", "https://web.datatree.com/?/property?propertyId=32598325")</f>
        <v>https://web.datatree.com/?/property?propertyId=32598325</v>
      </c>
      <c r="Q1713" t="s">
        <v>316</v>
      </c>
      <c>
        <v>0.23</v>
      </c>
      <c t="s">
        <v>6175</v>
      </c>
      <c t="s">
        <v>21312</v>
      </c>
      <c t="s">
        <v>58404</v>
      </c>
      <c t="s">
        <v>64649</v>
      </c>
      <c t="s">
        <v>58404</v>
      </c>
      <c t="s">
        <v>19780</v>
      </c>
      <c t="s">
        <v>15510</v>
      </c>
      <c t="s">
        <v>2517</v>
      </c>
      <c t="s">
        <v>39289</v>
      </c>
      <c>
        <v>33909</v>
      </c>
      <c t="s">
        <v>2400</v>
      </c>
      <c t="s">
        <v>48794</v>
      </c>
      <c t="s">
        <v>22018</v>
      </c>
      <c>
        <v>6148</v>
      </c>
      <c r="AI1713" t="s">
        <v>54416</v>
      </c>
      <c t="s">
        <v>1671</v>
      </c>
      <c r="AL1713" t="s">
        <v>23695</v>
      </c>
      <c t="s">
        <v>11555</v>
      </c>
      <c t="s">
        <v>39289</v>
      </c>
      <c t="s">
        <v>23358</v>
      </c>
      <c t="s">
        <v>36638</v>
      </c>
      <c t="s">
        <v>3093</v>
      </c>
      <c t="s">
        <v>31575</v>
      </c>
    </row>
    <row>
      <c t="s">
        <v>17594</v>
      </c>
      <c t="s">
        <v>3061</v>
      </c>
      <c t="s">
        <v>58962</v>
      </c>
      <c t="s">
        <v>3475</v>
      </c>
      <c t="s">
        <v>15357</v>
      </c>
      <c s="3">
        <v>12544</v>
      </c>
      <c s="3">
        <v>12544</v>
      </c>
      <c s="3">
        <v>4972</v>
      </c>
      <c>
        <v>0</v>
      </c>
      <c s="3">
        <v>0</v>
      </c>
      <c s="3">
        <v>320.56</v>
      </c>
      <c s="3">
        <v>12544</v>
      </c>
      <c r="O1714" s="1" t="str">
        <f ca="1">HYPERLINK("https://web.datatree.com/?/property?propertyId=32598822", "https://web.datatree.com/?/property?propertyId=32598822")</f>
        <v>https://web.datatree.com/?/property?propertyId=32598822</v>
      </c>
      <c r="Q1714" t="s">
        <v>316</v>
      </c>
      <c>
        <v>0.272</v>
      </c>
      <c t="s">
        <v>5471</v>
      </c>
      <c t="s">
        <v>40487</v>
      </c>
      <c t="s">
        <v>18057</v>
      </c>
      <c r="X1714" t="s">
        <v>36405</v>
      </c>
      <c t="s">
        <v>16121</v>
      </c>
      <c t="s">
        <v>65059</v>
      </c>
      <c t="s">
        <v>39289</v>
      </c>
      <c>
        <v>33905</v>
      </c>
      <c t="s">
        <v>29594</v>
      </c>
      <c t="s">
        <v>48794</v>
      </c>
      <c t="s">
        <v>9625</v>
      </c>
      <c>
        <v>7708</v>
      </c>
      <c r="AI1714" t="s">
        <v>3293</v>
      </c>
      <c t="s">
        <v>45393</v>
      </c>
      <c r="AL1714" t="s">
        <v>18475</v>
      </c>
      <c t="s">
        <v>18475</v>
      </c>
      <c t="s">
        <v>22275</v>
      </c>
      <c t="s">
        <v>43431</v>
      </c>
      <c t="s">
        <v>14845</v>
      </c>
      <c t="s">
        <v>3093</v>
      </c>
      <c t="s">
        <v>7541</v>
      </c>
    </row>
    <row>
      <c t="s">
        <v>17594</v>
      </c>
      <c t="s">
        <v>24663</v>
      </c>
      <c t="s">
        <v>21952</v>
      </c>
      <c t="s">
        <v>18179</v>
      </c>
      <c t="s">
        <v>16539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1715" s="1" t="str">
        <f ca="1">HYPERLINK("https://web.datatree.com/?/property?propertyId=32599429", "https://web.datatree.com/?/property?propertyId=32599429")</f>
        <v>https://web.datatree.com/?/property?propertyId=32599429</v>
      </c>
      <c r="Q1715" t="s">
        <v>316</v>
      </c>
      <c>
        <v>0.106</v>
      </c>
      <c t="s">
        <v>26492</v>
      </c>
      <c t="s">
        <v>50331</v>
      </c>
      <c t="s">
        <v>54257</v>
      </c>
      <c t="s">
        <v>54377</v>
      </c>
      <c t="s">
        <v>54257</v>
      </c>
      <c t="s">
        <v>543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6363</v>
      </c>
      <c>
        <v>2700</v>
      </c>
      <c r="AI1715" t="s">
        <v>10259</v>
      </c>
      <c t="s">
        <v>55910</v>
      </c>
      <c r="AL1715" t="s">
        <v>19719</v>
      </c>
      <c t="s">
        <v>40227</v>
      </c>
      <c t="s">
        <v>51137</v>
      </c>
      <c t="s">
        <v>4798</v>
      </c>
      <c t="s">
        <v>45700</v>
      </c>
      <c t="s">
        <v>3093</v>
      </c>
      <c t="s">
        <v>15593</v>
      </c>
    </row>
    <row>
      <c t="s">
        <v>17594</v>
      </c>
      <c t="s">
        <v>12618</v>
      </c>
      <c t="s">
        <v>39113</v>
      </c>
      <c t="s">
        <v>3824</v>
      </c>
      <c t="s">
        <v>52610</v>
      </c>
      <c s="3">
        <v>18398</v>
      </c>
      <c s="3">
        <v>18398</v>
      </c>
      <c s="3">
        <v>8910</v>
      </c>
      <c>
        <v>0</v>
      </c>
      <c s="3">
        <v>0</v>
      </c>
      <c s="3">
        <v>587.86</v>
      </c>
      <c s="3">
        <v>18398</v>
      </c>
      <c r="O1716" s="1" t="str">
        <f ca="1">HYPERLINK("https://web.datatree.com/?/property?propertyId=32599653", "https://web.datatree.com/?/property?propertyId=32599653")</f>
        <v>https://web.datatree.com/?/property?propertyId=32599653</v>
      </c>
      <c r="Q1716" t="s">
        <v>316</v>
      </c>
      <c>
        <v>0.259</v>
      </c>
      <c t="s">
        <v>6175</v>
      </c>
      <c t="s">
        <v>39477</v>
      </c>
      <c t="s">
        <v>17621</v>
      </c>
      <c r="X1716" t="s">
        <v>21833</v>
      </c>
      <c t="s">
        <v>18679</v>
      </c>
      <c t="s">
        <v>2517</v>
      </c>
      <c t="s">
        <v>39289</v>
      </c>
      <c>
        <v>33909</v>
      </c>
      <c t="s">
        <v>32883</v>
      </c>
      <c t="s">
        <v>48794</v>
      </c>
      <c t="s">
        <v>45718</v>
      </c>
      <c>
        <v>9865</v>
      </c>
      <c r="AI1716" t="s">
        <v>44742</v>
      </c>
      <c t="s">
        <v>45393</v>
      </c>
      <c r="AL1716" t="s">
        <v>16712</v>
      </c>
      <c r="AN1716" t="s">
        <v>14798</v>
      </c>
      <c t="s">
        <v>12409</v>
      </c>
      <c t="s">
        <v>15968</v>
      </c>
      <c t="s">
        <v>3093</v>
      </c>
      <c t="s">
        <v>51059</v>
      </c>
    </row>
    <row>
      <c t="s">
        <v>17594</v>
      </c>
      <c t="s">
        <v>59747</v>
      </c>
      <c t="s">
        <v>63241</v>
      </c>
      <c t="s">
        <v>59632</v>
      </c>
      <c t="s">
        <v>23231</v>
      </c>
      <c s="3">
        <v>22874</v>
      </c>
      <c s="3">
        <v>22874</v>
      </c>
      <c s="3">
        <v>9433</v>
      </c>
      <c>
        <v>0</v>
      </c>
      <c s="3">
        <v>0</v>
      </c>
      <c s="3">
        <v>419.58</v>
      </c>
      <c s="3">
        <v>22874</v>
      </c>
      <c r="O1717" s="1" t="str">
        <f ca="1">HYPERLINK("https://web.datatree.com/?/property?propertyId=32599738", "https://web.datatree.com/?/property?propertyId=32599738")</f>
        <v>https://web.datatree.com/?/property?propertyId=32599738</v>
      </c>
      <c r="Q1717" t="s">
        <v>316</v>
      </c>
      <c>
        <v>0.279</v>
      </c>
      <c t="s">
        <v>5471</v>
      </c>
      <c t="s">
        <v>47552</v>
      </c>
      <c t="s">
        <v>61419</v>
      </c>
      <c r="X1717" t="s">
        <v>24641</v>
      </c>
      <c t="s">
        <v>6696</v>
      </c>
      <c t="s">
        <v>65059</v>
      </c>
      <c t="s">
        <v>39289</v>
      </c>
      <c>
        <v>33905</v>
      </c>
      <c t="s">
        <v>6622</v>
      </c>
      <c t="s">
        <v>48794</v>
      </c>
      <c t="s">
        <v>23879</v>
      </c>
      <c>
        <v>14442</v>
      </c>
      <c r="AI1717" t="s">
        <v>8519</v>
      </c>
      <c t="s">
        <v>45620</v>
      </c>
      <c r="AL1717" t="s">
        <v>1121</v>
      </c>
      <c r="AN1717" t="s">
        <v>39289</v>
      </c>
      <c t="s">
        <v>22165</v>
      </c>
      <c t="s">
        <v>24994</v>
      </c>
      <c t="s">
        <v>3093</v>
      </c>
      <c t="s">
        <v>5686</v>
      </c>
    </row>
    <row>
      <c t="s">
        <v>17594</v>
      </c>
      <c t="s">
        <v>64627</v>
      </c>
      <c t="s">
        <v>43668</v>
      </c>
      <c t="s">
        <v>40561</v>
      </c>
      <c t="s">
        <v>61321</v>
      </c>
      <c s="3">
        <v>29840</v>
      </c>
      <c s="3">
        <v>29840</v>
      </c>
      <c s="3">
        <v>9079</v>
      </c>
      <c>
        <v>0</v>
      </c>
      <c s="3">
        <v>0</v>
      </c>
      <c s="3">
        <v>3031.5</v>
      </c>
      <c s="3">
        <v>29840</v>
      </c>
      <c r="O1718" s="1" t="str">
        <f ca="1">HYPERLINK("https://web.datatree.com/?/property?propertyId=32600067", "https://web.datatree.com/?/property?propertyId=32600067")</f>
        <v>https://web.datatree.com/?/property?propertyId=32600067</v>
      </c>
      <c r="Q1718" t="s">
        <v>316</v>
      </c>
      <c>
        <v>0.255</v>
      </c>
      <c t="s">
        <v>6175</v>
      </c>
      <c t="s">
        <v>52701</v>
      </c>
      <c t="s">
        <v>38143</v>
      </c>
      <c r="X1718" t="s">
        <v>50652</v>
      </c>
      <c t="s">
        <v>58797</v>
      </c>
      <c t="s">
        <v>2517</v>
      </c>
      <c t="s">
        <v>39289</v>
      </c>
      <c>
        <v>33909</v>
      </c>
      <c t="s">
        <v>50365</v>
      </c>
      <c t="s">
        <v>48794</v>
      </c>
      <c t="s">
        <v>2750</v>
      </c>
      <c>
        <v>10135</v>
      </c>
      <c r="AI1718" t="s">
        <v>34731</v>
      </c>
      <c t="s">
        <v>39321</v>
      </c>
      <c r="AL1718" t="s">
        <v>55393</v>
      </c>
      <c r="AN1718" t="s">
        <v>39289</v>
      </c>
      <c t="s">
        <v>16697</v>
      </c>
      <c t="s">
        <v>16126</v>
      </c>
      <c t="s">
        <v>3093</v>
      </c>
      <c t="s">
        <v>49490</v>
      </c>
    </row>
    <row>
      <c t="s">
        <v>42103</v>
      </c>
      <c t="s">
        <v>48735</v>
      </c>
      <c t="s">
        <v>63854</v>
      </c>
      <c t="s">
        <v>65405</v>
      </c>
      <c t="s">
        <v>20162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1719" s="1" t="str">
        <f ca="1">HYPERLINK("https://web.datatree.com/?/property?propertyId=32601334", "https://web.datatree.com/?/property?propertyId=32601334")</f>
        <v>https://web.datatree.com/?/property?propertyId=32601334</v>
      </c>
      <c r="Q1719" t="s">
        <v>316</v>
      </c>
      <c>
        <v>0.23</v>
      </c>
      <c t="s">
        <v>6175</v>
      </c>
      <c t="s">
        <v>52701</v>
      </c>
      <c t="s">
        <v>12573</v>
      </c>
      <c r="X1719" t="s">
        <v>8999</v>
      </c>
      <c t="s">
        <v>53663</v>
      </c>
      <c t="s">
        <v>2517</v>
      </c>
      <c t="s">
        <v>39289</v>
      </c>
      <c>
        <v>33909</v>
      </c>
      <c t="s">
        <v>67204</v>
      </c>
      <c t="s">
        <v>48794</v>
      </c>
      <c t="s">
        <v>31291</v>
      </c>
      <c r="AI1719" t="s">
        <v>16793</v>
      </c>
      <c r="AL1719" t="s">
        <v>51776</v>
      </c>
      <c r="AN1719" t="s">
        <v>39289</v>
      </c>
      <c t="s">
        <v>28896</v>
      </c>
      <c t="s">
        <v>31451</v>
      </c>
      <c t="s">
        <v>3093</v>
      </c>
      <c t="s">
        <v>54401</v>
      </c>
    </row>
    <row>
      <c t="s">
        <v>17594</v>
      </c>
      <c t="s">
        <v>15865</v>
      </c>
      <c t="s">
        <v>40419</v>
      </c>
      <c t="s">
        <v>27043</v>
      </c>
      <c t="s">
        <v>8511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1720" s="1" t="str">
        <f ca="1">HYPERLINK("https://web.datatree.com/?/property?propertyId=32602796", "https://web.datatree.com/?/property?propertyId=32602796")</f>
        <v>https://web.datatree.com/?/property?propertyId=32602796</v>
      </c>
      <c r="Q1720" t="s">
        <v>316</v>
      </c>
      <c>
        <v>0.236</v>
      </c>
      <c t="s">
        <v>6175</v>
      </c>
      <c r="U1720" t="s">
        <v>60918</v>
      </c>
      <c r="W1720" t="s">
        <v>4656</v>
      </c>
      <c t="s">
        <v>38944</v>
      </c>
      <c t="s">
        <v>61850</v>
      </c>
      <c t="s">
        <v>2517</v>
      </c>
      <c t="s">
        <v>39289</v>
      </c>
      <c>
        <v>33909</v>
      </c>
      <c t="s">
        <v>17498</v>
      </c>
      <c t="s">
        <v>48794</v>
      </c>
      <c t="s">
        <v>11740</v>
      </c>
      <c>
        <v>619</v>
      </c>
      <c r="AH1720" t="s">
        <v>26580</v>
      </c>
      <c t="s">
        <v>6645</v>
      </c>
      <c t="s">
        <v>45393</v>
      </c>
      <c r="AL1720" t="s">
        <v>17856</v>
      </c>
      <c t="s">
        <v>55371</v>
      </c>
      <c t="s">
        <v>50829</v>
      </c>
      <c t="s">
        <v>34327</v>
      </c>
      <c t="s">
        <v>44843</v>
      </c>
      <c t="s">
        <v>3093</v>
      </c>
      <c t="s">
        <v>21006</v>
      </c>
    </row>
    <row>
      <c t="s">
        <v>17594</v>
      </c>
      <c t="s">
        <v>43744</v>
      </c>
      <c t="s">
        <v>64388</v>
      </c>
      <c t="s">
        <v>4748</v>
      </c>
      <c t="s">
        <v>28812</v>
      </c>
      <c s="3">
        <v>26199</v>
      </c>
      <c s="3">
        <v>26199</v>
      </c>
      <c s="3">
        <v>9599</v>
      </c>
      <c>
        <v>0</v>
      </c>
      <c s="3">
        <v>0</v>
      </c>
      <c s="3">
        <v>713.82</v>
      </c>
      <c s="3">
        <v>26199</v>
      </c>
      <c r="O1721" s="1" t="str">
        <f ca="1">HYPERLINK("https://web.datatree.com/?/property?propertyId=32603092", "https://web.datatree.com/?/property?propertyId=32603092")</f>
        <v>https://web.datatree.com/?/property?propertyId=32603092</v>
      </c>
      <c r="Q1721" t="s">
        <v>316</v>
      </c>
      <c>
        <v>0.356</v>
      </c>
      <c t="s">
        <v>28270</v>
      </c>
      <c t="s">
        <v>51338</v>
      </c>
      <c t="s">
        <v>37294</v>
      </c>
      <c r="X1721" t="s">
        <v>29374</v>
      </c>
      <c t="s">
        <v>61850</v>
      </c>
      <c t="s">
        <v>2517</v>
      </c>
      <c t="s">
        <v>39289</v>
      </c>
      <c>
        <v>33909</v>
      </c>
      <c t="s">
        <v>17670</v>
      </c>
      <c t="s">
        <v>48794</v>
      </c>
      <c t="s">
        <v>27293</v>
      </c>
      <c>
        <v>340</v>
      </c>
      <c r="AI1721" t="s">
        <v>27556</v>
      </c>
      <c t="s">
        <v>45620</v>
      </c>
      <c r="AL1721" t="s">
        <v>27556</v>
      </c>
      <c r="AN1721" t="s">
        <v>26016</v>
      </c>
      <c t="s">
        <v>46888</v>
      </c>
      <c t="s">
        <v>1951</v>
      </c>
      <c t="s">
        <v>3093</v>
      </c>
      <c t="s">
        <v>63281</v>
      </c>
    </row>
    <row>
      <c t="s">
        <v>17594</v>
      </c>
      <c t="s">
        <v>65417</v>
      </c>
      <c t="s">
        <v>2011</v>
      </c>
      <c t="s">
        <v>40872</v>
      </c>
      <c t="s">
        <v>55951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722" s="1" t="str">
        <f ca="1">HYPERLINK("https://web.datatree.com/?/property?propertyId=32603541", "https://web.datatree.com/?/property?propertyId=32603541")</f>
        <v>https://web.datatree.com/?/property?propertyId=32603541</v>
      </c>
      <c r="Q1722" t="s">
        <v>316</v>
      </c>
      <c>
        <v>0.23</v>
      </c>
      <c t="s">
        <v>6175</v>
      </c>
      <c t="s">
        <v>5121</v>
      </c>
      <c t="s">
        <v>54461</v>
      </c>
      <c r="X1722" t="s">
        <v>6724</v>
      </c>
      <c t="s">
        <v>15510</v>
      </c>
      <c t="s">
        <v>2517</v>
      </c>
      <c t="s">
        <v>39289</v>
      </c>
      <c>
        <v>33909</v>
      </c>
      <c t="s">
        <v>15271</v>
      </c>
      <c t="s">
        <v>48794</v>
      </c>
      <c t="s">
        <v>40189</v>
      </c>
      <c>
        <v>3825</v>
      </c>
      <c r="AI1722" t="s">
        <v>24289</v>
      </c>
      <c t="s">
        <v>24900</v>
      </c>
      <c r="AL1722" t="s">
        <v>57288</v>
      </c>
      <c t="s">
        <v>57288</v>
      </c>
      <c t="s">
        <v>4477</v>
      </c>
      <c t="s">
        <v>64520</v>
      </c>
      <c t="s">
        <v>61719</v>
      </c>
      <c t="s">
        <v>3093</v>
      </c>
      <c t="s">
        <v>38240</v>
      </c>
    </row>
    <row>
      <c t="s">
        <v>17594</v>
      </c>
      <c t="s">
        <v>18349</v>
      </c>
      <c t="s">
        <v>22248</v>
      </c>
      <c t="s">
        <v>11655</v>
      </c>
      <c t="s">
        <v>48141</v>
      </c>
      <c s="3">
        <v>26290</v>
      </c>
      <c s="3">
        <v>26290</v>
      </c>
      <c s="3">
        <v>12650</v>
      </c>
      <c>
        <v>0</v>
      </c>
      <c s="3">
        <v>0</v>
      </c>
      <c s="3">
        <v>2927.82</v>
      </c>
      <c s="3">
        <v>26290</v>
      </c>
      <c r="O1723" s="1" t="str">
        <f ca="1">HYPERLINK("https://web.datatree.com/?/property?propertyId=32603734", "https://web.datatree.com/?/property?propertyId=32603734")</f>
        <v>https://web.datatree.com/?/property?propertyId=32603734</v>
      </c>
      <c r="Q1723" t="s">
        <v>316</v>
      </c>
      <c>
        <v>0.23</v>
      </c>
      <c t="s">
        <v>22490</v>
      </c>
      <c t="s">
        <v>54267</v>
      </c>
      <c t="s">
        <v>41835</v>
      </c>
      <c r="X1723" t="s">
        <v>54216</v>
      </c>
      <c t="s">
        <v>17022</v>
      </c>
      <c t="s">
        <v>2517</v>
      </c>
      <c t="s">
        <v>39289</v>
      </c>
      <c>
        <v>33909</v>
      </c>
      <c t="s">
        <v>48169</v>
      </c>
      <c t="s">
        <v>48794</v>
      </c>
      <c t="s">
        <v>28210</v>
      </c>
      <c>
        <v>4617</v>
      </c>
      <c r="AI1723" t="s">
        <v>6466</v>
      </c>
      <c t="s">
        <v>45393</v>
      </c>
      <c r="AL1723" t="s">
        <v>27398</v>
      </c>
      <c t="s">
        <v>27398</v>
      </c>
      <c t="s">
        <v>39289</v>
      </c>
      <c t="s">
        <v>7945</v>
      </c>
      <c t="s">
        <v>39566</v>
      </c>
      <c t="s">
        <v>3093</v>
      </c>
      <c t="s">
        <v>10739</v>
      </c>
    </row>
    <row>
      <c t="s">
        <v>17594</v>
      </c>
      <c t="s">
        <v>15099</v>
      </c>
      <c t="s">
        <v>7981</v>
      </c>
      <c t="s">
        <v>655</v>
      </c>
      <c t="s">
        <v>27363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724" s="1" t="str">
        <f ca="1">HYPERLINK("https://web.datatree.com/?/property?propertyId=32603857", "https://web.datatree.com/?/property?propertyId=32603857")</f>
        <v>https://web.datatree.com/?/property?propertyId=32603857</v>
      </c>
      <c r="Q1724" t="s">
        <v>316</v>
      </c>
      <c>
        <v>0.23</v>
      </c>
      <c t="s">
        <v>22490</v>
      </c>
      <c t="s">
        <v>2474</v>
      </c>
      <c t="s">
        <v>24727</v>
      </c>
      <c r="X1724" t="s">
        <v>65494</v>
      </c>
      <c t="s">
        <v>22731</v>
      </c>
      <c t="s">
        <v>2517</v>
      </c>
      <c t="s">
        <v>39289</v>
      </c>
      <c>
        <v>33909</v>
      </c>
      <c t="s">
        <v>12094</v>
      </c>
      <c t="s">
        <v>48794</v>
      </c>
      <c t="s">
        <v>65477</v>
      </c>
      <c>
        <v>1951</v>
      </c>
      <c r="AI1724" t="s">
        <v>26120</v>
      </c>
      <c t="s">
        <v>45393</v>
      </c>
      <c r="AL1724" t="s">
        <v>968</v>
      </c>
      <c t="s">
        <v>21690</v>
      </c>
      <c t="s">
        <v>39289</v>
      </c>
      <c t="s">
        <v>34781</v>
      </c>
      <c t="s">
        <v>27515</v>
      </c>
      <c t="s">
        <v>3093</v>
      </c>
      <c t="s">
        <v>33362</v>
      </c>
    </row>
    <row>
      <c t="s">
        <v>17594</v>
      </c>
      <c t="s">
        <v>39873</v>
      </c>
      <c t="s">
        <v>11025</v>
      </c>
      <c t="s">
        <v>34703</v>
      </c>
      <c t="s">
        <v>29181</v>
      </c>
      <c s="3">
        <v>34130</v>
      </c>
      <c s="3">
        <v>34130</v>
      </c>
      <c s="3">
        <v>34130</v>
      </c>
      <c>
        <v>0</v>
      </c>
      <c s="3">
        <v>0</v>
      </c>
      <c s="3">
        <v>913.63</v>
      </c>
      <c s="3">
        <v>34130</v>
      </c>
      <c r="O1725" s="1" t="str">
        <f ca="1">HYPERLINK("https://web.datatree.com/?/property?propertyId=32603901", "https://web.datatree.com/?/property?propertyId=32603901")</f>
        <v>https://web.datatree.com/?/property?propertyId=32603901</v>
      </c>
      <c r="Q1725" t="s">
        <v>316</v>
      </c>
      <c>
        <v>0.23</v>
      </c>
      <c t="s">
        <v>22490</v>
      </c>
      <c t="s">
        <v>30413</v>
      </c>
      <c t="s">
        <v>47727</v>
      </c>
      <c r="X1725" t="s">
        <v>52421</v>
      </c>
      <c t="s">
        <v>30928</v>
      </c>
      <c t="s">
        <v>2517</v>
      </c>
      <c t="s">
        <v>39289</v>
      </c>
      <c>
        <v>33909</v>
      </c>
      <c t="s">
        <v>66226</v>
      </c>
      <c t="s">
        <v>48794</v>
      </c>
      <c t="s">
        <v>66758</v>
      </c>
      <c>
        <v>1201</v>
      </c>
      <c r="AI1725" t="s">
        <v>34600</v>
      </c>
      <c t="s">
        <v>45393</v>
      </c>
      <c r="AL1725" t="s">
        <v>45107</v>
      </c>
      <c t="s">
        <v>45107</v>
      </c>
      <c t="s">
        <v>65451</v>
      </c>
      <c t="s">
        <v>21904</v>
      </c>
      <c t="s">
        <v>11138</v>
      </c>
      <c t="s">
        <v>3093</v>
      </c>
      <c t="s">
        <v>33656</v>
      </c>
    </row>
    <row>
      <c t="s">
        <v>17594</v>
      </c>
      <c t="s">
        <v>56090</v>
      </c>
      <c t="s">
        <v>51911</v>
      </c>
      <c t="s">
        <v>781</v>
      </c>
      <c t="s">
        <v>12471</v>
      </c>
      <c s="3">
        <v>7300</v>
      </c>
      <c s="3">
        <v>7300</v>
      </c>
      <c s="3">
        <v>7300</v>
      </c>
      <c>
        <v>0</v>
      </c>
      <c s="3">
        <v>0</v>
      </c>
      <c s="3">
        <v>601.71</v>
      </c>
      <c s="3">
        <v>7300</v>
      </c>
      <c r="O1726" s="1" t="str">
        <f ca="1">HYPERLINK("https://web.datatree.com/?/property?propertyId=32604014", "https://web.datatree.com/?/property?propertyId=32604014")</f>
        <v>https://web.datatree.com/?/property?propertyId=32604014</v>
      </c>
      <c r="Q1726" t="s">
        <v>316</v>
      </c>
      <c>
        <v>0.23</v>
      </c>
      <c t="s">
        <v>22490</v>
      </c>
      <c t="s">
        <v>61171</v>
      </c>
      <c t="s">
        <v>1067</v>
      </c>
      <c r="X1726" t="s">
        <v>66217</v>
      </c>
      <c t="s">
        <v>10653</v>
      </c>
      <c t="s">
        <v>2517</v>
      </c>
      <c t="s">
        <v>39289</v>
      </c>
      <c>
        <v>33909</v>
      </c>
      <c t="s">
        <v>30438</v>
      </c>
      <c t="s">
        <v>48794</v>
      </c>
      <c t="s">
        <v>25646</v>
      </c>
      <c>
        <v>41614</v>
      </c>
      <c r="AI1726" t="s">
        <v>60181</v>
      </c>
      <c t="s">
        <v>31192</v>
      </c>
      <c r="AL1726" t="s">
        <v>8225</v>
      </c>
      <c r="AN1726" t="s">
        <v>51087</v>
      </c>
      <c t="s">
        <v>26741</v>
      </c>
      <c t="s">
        <v>5503</v>
      </c>
      <c t="s">
        <v>3093</v>
      </c>
      <c t="s">
        <v>28681</v>
      </c>
    </row>
    <row>
      <c t="s">
        <v>17594</v>
      </c>
      <c t="s">
        <v>63545</v>
      </c>
      <c t="s">
        <v>56303</v>
      </c>
      <c t="s">
        <v>43045</v>
      </c>
      <c t="s">
        <v>25748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1727" s="1" t="str">
        <f ca="1">HYPERLINK("https://web.datatree.com/?/property?propertyId=32604201", "https://web.datatree.com/?/property?propertyId=32604201")</f>
        <v>https://web.datatree.com/?/property?propertyId=32604201</v>
      </c>
      <c r="Q1727" t="s">
        <v>316</v>
      </c>
      <c>
        <v>0.23</v>
      </c>
      <c t="s">
        <v>22490</v>
      </c>
      <c t="s">
        <v>23497</v>
      </c>
      <c t="s">
        <v>29701</v>
      </c>
      <c t="s">
        <v>52701</v>
      </c>
      <c t="s">
        <v>29701</v>
      </c>
      <c t="s">
        <v>55212</v>
      </c>
      <c t="s">
        <v>35712</v>
      </c>
      <c t="s">
        <v>2517</v>
      </c>
      <c t="s">
        <v>39289</v>
      </c>
      <c>
        <v>33909</v>
      </c>
      <c>
        <v>33909</v>
      </c>
      <c t="s">
        <v>48794</v>
      </c>
      <c t="s">
        <v>63760</v>
      </c>
      <c r="AI1727" t="s">
        <v>41752</v>
      </c>
      <c r="AK1727">
        <v>57</v>
      </c>
      <c t="s">
        <v>7554</v>
      </c>
      <c r="AN1727" t="s">
        <v>22478</v>
      </c>
      <c r="AR1727" t="s">
        <v>46036</v>
      </c>
    </row>
    <row>
      <c t="s">
        <v>17594</v>
      </c>
      <c t="s">
        <v>611</v>
      </c>
      <c t="s">
        <v>15169</v>
      </c>
      <c t="s">
        <v>46437</v>
      </c>
      <c t="s">
        <v>4058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1728" s="1" t="str">
        <f ca="1">HYPERLINK("https://web.datatree.com/?/property?propertyId=32604959", "https://web.datatree.com/?/property?propertyId=32604959")</f>
        <v>https://web.datatree.com/?/property?propertyId=32604959</v>
      </c>
      <c r="Q1728" t="s">
        <v>316</v>
      </c>
      <c>
        <v>0.244</v>
      </c>
      <c t="s">
        <v>22490</v>
      </c>
      <c r="U1728" t="s">
        <v>24788</v>
      </c>
      <c r="W1728" t="s">
        <v>58753</v>
      </c>
      <c t="s">
        <v>15422</v>
      </c>
      <c t="s">
        <v>39082</v>
      </c>
      <c t="s">
        <v>2517</v>
      </c>
      <c t="s">
        <v>39289</v>
      </c>
      <c>
        <v>33909</v>
      </c>
      <c t="s">
        <v>20135</v>
      </c>
      <c t="s">
        <v>48794</v>
      </c>
      <c t="s">
        <v>40206</v>
      </c>
      <c>
        <v>20</v>
      </c>
      <c r="AI1728" t="s">
        <v>5105</v>
      </c>
      <c t="s">
        <v>45393</v>
      </c>
      <c>
        <v>510</v>
      </c>
      <c t="s">
        <v>65081</v>
      </c>
      <c t="s">
        <v>65081</v>
      </c>
      <c t="s">
        <v>19878</v>
      </c>
      <c t="s">
        <v>49202</v>
      </c>
      <c t="s">
        <v>636</v>
      </c>
      <c t="s">
        <v>3093</v>
      </c>
      <c t="s">
        <v>35449</v>
      </c>
    </row>
    <row>
      <c t="s">
        <v>17594</v>
      </c>
      <c t="s">
        <v>52588</v>
      </c>
      <c t="s">
        <v>37795</v>
      </c>
      <c t="s">
        <v>52129</v>
      </c>
      <c t="s">
        <v>46508</v>
      </c>
      <c s="3">
        <v>29256</v>
      </c>
      <c s="3">
        <v>29256</v>
      </c>
      <c s="3">
        <v>9079</v>
      </c>
      <c>
        <v>0</v>
      </c>
      <c s="3">
        <v>0</v>
      </c>
      <c s="3">
        <v>2977.63</v>
      </c>
      <c s="3">
        <v>29256</v>
      </c>
      <c>
        <v>2018</v>
      </c>
      <c>
        <v>31013.42</v>
      </c>
      <c s="1" t="str">
        <f ca="1">HYPERLINK("https://web.datatree.com/?/property?propertyId=32605049", "https://web.datatree.com/?/property?propertyId=32605049")</f>
        <v>https://web.datatree.com/?/property?propertyId=32605049</v>
      </c>
      <c r="Q1729" t="s">
        <v>316</v>
      </c>
      <c>
        <v>0.245</v>
      </c>
      <c t="s">
        <v>6175</v>
      </c>
      <c t="s">
        <v>56743</v>
      </c>
      <c t="s">
        <v>44416</v>
      </c>
      <c r="X1729" t="s">
        <v>28057</v>
      </c>
      <c t="s">
        <v>13478</v>
      </c>
      <c t="s">
        <v>2517</v>
      </c>
      <c t="s">
        <v>39289</v>
      </c>
      <c>
        <v>33909</v>
      </c>
      <c t="s">
        <v>61201</v>
      </c>
      <c t="s">
        <v>48794</v>
      </c>
      <c t="s">
        <v>14884</v>
      </c>
      <c>
        <v>109</v>
      </c>
      <c r="AI1729" t="s">
        <v>28104</v>
      </c>
      <c t="s">
        <v>31192</v>
      </c>
      <c r="AL1729" t="s">
        <v>2960</v>
      </c>
      <c r="AN1729" t="s">
        <v>26016</v>
      </c>
      <c t="s">
        <v>47376</v>
      </c>
      <c t="s">
        <v>52551</v>
      </c>
      <c t="s">
        <v>3093</v>
      </c>
      <c t="s">
        <v>33784</v>
      </c>
    </row>
    <row>
      <c t="s">
        <v>17594</v>
      </c>
      <c t="s">
        <v>880</v>
      </c>
      <c t="s">
        <v>8197</v>
      </c>
      <c t="s">
        <v>15928</v>
      </c>
      <c t="s">
        <v>18590</v>
      </c>
      <c s="3">
        <v>406172</v>
      </c>
      <c s="3">
        <v>406172</v>
      </c>
      <c s="3">
        <v>406172</v>
      </c>
      <c>
        <v>0</v>
      </c>
      <c s="3">
        <v>0</v>
      </c>
      <c s="3">
        <v>6710.53</v>
      </c>
      <c s="3">
        <v>406172</v>
      </c>
      <c r="O1730" s="1" t="str">
        <f ca="1">HYPERLINK("https://web.datatree.com/?/property?propertyId=32605051", "https://web.datatree.com/?/property?propertyId=32605051")</f>
        <v>https://web.datatree.com/?/property?propertyId=32605051</v>
      </c>
      <c r="Q1730" t="s">
        <v>316</v>
      </c>
      <c>
        <v>0.249</v>
      </c>
      <c t="s">
        <v>22490</v>
      </c>
      <c r="U1730" t="s">
        <v>46663</v>
      </c>
      <c r="W1730" t="s">
        <v>20784</v>
      </c>
      <c t="s">
        <v>32639</v>
      </c>
      <c t="s">
        <v>22731</v>
      </c>
      <c t="s">
        <v>2517</v>
      </c>
      <c t="s">
        <v>39289</v>
      </c>
      <c>
        <v>33904</v>
      </c>
      <c t="s">
        <v>54294</v>
      </c>
      <c t="s">
        <v>48794</v>
      </c>
      <c t="s">
        <v>29559</v>
      </c>
      <c>
        <v>10380</v>
      </c>
      <c r="AI1730" t="s">
        <v>33854</v>
      </c>
      <c t="s">
        <v>45620</v>
      </c>
      <c r="AL1730" t="s">
        <v>42666</v>
      </c>
      <c r="AN1730" t="s">
        <v>51137</v>
      </c>
      <c t="s">
        <v>12529</v>
      </c>
      <c t="s">
        <v>44428</v>
      </c>
      <c t="s">
        <v>3093</v>
      </c>
      <c t="s">
        <v>37586</v>
      </c>
    </row>
    <row>
      <c t="s">
        <v>17594</v>
      </c>
      <c t="s">
        <v>10903</v>
      </c>
      <c t="s">
        <v>3652</v>
      </c>
      <c t="s">
        <v>55649</v>
      </c>
      <c t="s">
        <v>1698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1731" s="1" t="str">
        <f ca="1">HYPERLINK("https://web.datatree.com/?/property?propertyId=32605089", "https://web.datatree.com/?/property?propertyId=32605089")</f>
        <v>https://web.datatree.com/?/property?propertyId=32605089</v>
      </c>
      <c r="Q1731" t="s">
        <v>316</v>
      </c>
      <c>
        <v>0.23</v>
      </c>
      <c t="s">
        <v>22490</v>
      </c>
      <c t="s">
        <v>54943</v>
      </c>
      <c t="s">
        <v>17879</v>
      </c>
      <c r="X1731" t="s">
        <v>28436</v>
      </c>
      <c t="s">
        <v>10653</v>
      </c>
      <c t="s">
        <v>2517</v>
      </c>
      <c t="s">
        <v>39289</v>
      </c>
      <c>
        <v>33909</v>
      </c>
      <c t="s">
        <v>30438</v>
      </c>
      <c t="s">
        <v>48794</v>
      </c>
      <c t="s">
        <v>1163</v>
      </c>
      <c>
        <v>3604</v>
      </c>
      <c r="AI1731" t="s">
        <v>4927</v>
      </c>
      <c t="s">
        <v>4985</v>
      </c>
      <c r="AL1731" t="s">
        <v>17200</v>
      </c>
      <c r="AN1731" t="s">
        <v>39289</v>
      </c>
      <c t="s">
        <v>16650</v>
      </c>
      <c t="s">
        <v>24994</v>
      </c>
      <c t="s">
        <v>3093</v>
      </c>
      <c t="s">
        <v>23329</v>
      </c>
    </row>
    <row>
      <c t="s">
        <v>17594</v>
      </c>
      <c t="s">
        <v>38988</v>
      </c>
      <c t="s">
        <v>17849</v>
      </c>
      <c t="s">
        <v>923</v>
      </c>
      <c t="s">
        <v>11744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1732" s="1" t="str">
        <f ca="1">HYPERLINK("https://web.datatree.com/?/property?propertyId=32605275", "https://web.datatree.com/?/property?propertyId=32605275")</f>
        <v>https://web.datatree.com/?/property?propertyId=32605275</v>
      </c>
      <c r="Q1732" t="s">
        <v>316</v>
      </c>
      <c>
        <v>0.23</v>
      </c>
      <c t="s">
        <v>22490</v>
      </c>
      <c r="U1732" t="s">
        <v>10074</v>
      </c>
      <c t="s">
        <v>11374</v>
      </c>
      <c t="s">
        <v>12951</v>
      </c>
      <c t="s">
        <v>62038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19401</v>
      </c>
      <c>
        <v>8756</v>
      </c>
      <c r="AI1732" t="s">
        <v>34598</v>
      </c>
      <c t="s">
        <v>24900</v>
      </c>
      <c r="AL1732" t="s">
        <v>16347</v>
      </c>
      <c r="AN1732" t="s">
        <v>19878</v>
      </c>
      <c t="s">
        <v>24392</v>
      </c>
      <c t="s">
        <v>45852</v>
      </c>
      <c t="s">
        <v>3093</v>
      </c>
      <c t="s">
        <v>34561</v>
      </c>
    </row>
    <row>
      <c t="s">
        <v>17594</v>
      </c>
      <c t="s">
        <v>42309</v>
      </c>
      <c t="s">
        <v>31440</v>
      </c>
      <c t="s">
        <v>52282</v>
      </c>
      <c t="s">
        <v>17872</v>
      </c>
      <c s="3">
        <v>40329</v>
      </c>
      <c s="3">
        <v>40329</v>
      </c>
      <c s="3">
        <v>29365</v>
      </c>
      <c>
        <v>0</v>
      </c>
      <c s="3">
        <v>0</v>
      </c>
      <c s="3">
        <v>456.51</v>
      </c>
      <c s="3">
        <v>40329</v>
      </c>
      <c r="O1733" s="1" t="str">
        <f ca="1">HYPERLINK("https://web.datatree.com/?/property?propertyId=32605705", "https://web.datatree.com/?/property?propertyId=32605705")</f>
        <v>https://web.datatree.com/?/property?propertyId=32605705</v>
      </c>
      <c r="Q1733" t="s">
        <v>316</v>
      </c>
      <c>
        <v>0.67</v>
      </c>
      <c t="s">
        <v>30497</v>
      </c>
      <c r="U1733" t="s">
        <v>16418</v>
      </c>
      <c r="W1733" t="s">
        <v>59575</v>
      </c>
      <c t="s">
        <v>49592</v>
      </c>
      <c t="s">
        <v>3186</v>
      </c>
      <c t="s">
        <v>65059</v>
      </c>
      <c t="s">
        <v>39289</v>
      </c>
      <c>
        <v>33905</v>
      </c>
      <c t="s">
        <v>28981</v>
      </c>
      <c t="s">
        <v>48794</v>
      </c>
      <c t="s">
        <v>58422</v>
      </c>
      <c>
        <v>8691</v>
      </c>
      <c r="AI1733" t="s">
        <v>58536</v>
      </c>
      <c t="s">
        <v>24900</v>
      </c>
      <c r="AL1733" t="s">
        <v>17200</v>
      </c>
      <c r="AN1733" t="s">
        <v>39289</v>
      </c>
      <c t="s">
        <v>53249</v>
      </c>
      <c t="s">
        <v>56028</v>
      </c>
      <c t="s">
        <v>3093</v>
      </c>
      <c t="s">
        <v>25169</v>
      </c>
    </row>
    <row>
      <c t="s">
        <v>17594</v>
      </c>
      <c t="s">
        <v>21203</v>
      </c>
      <c t="s">
        <v>66660</v>
      </c>
      <c t="s">
        <v>56719</v>
      </c>
      <c t="s">
        <v>12993</v>
      </c>
      <c s="3">
        <v>20472</v>
      </c>
      <c s="3">
        <v>20472</v>
      </c>
      <c s="3">
        <v>9130</v>
      </c>
      <c>
        <v>0</v>
      </c>
      <c s="3">
        <v>0</v>
      </c>
      <c s="3">
        <v>654.49</v>
      </c>
      <c s="3">
        <v>20472</v>
      </c>
      <c r="O1734" s="1" t="str">
        <f ca="1">HYPERLINK("https://web.datatree.com/?/property?propertyId=32605826", "https://web.datatree.com/?/property?propertyId=32605826")</f>
        <v>https://web.datatree.com/?/property?propertyId=32605826</v>
      </c>
      <c r="Q1734" t="s">
        <v>316</v>
      </c>
      <c>
        <v>0.324</v>
      </c>
      <c t="s">
        <v>45031</v>
      </c>
      <c t="s">
        <v>3581</v>
      </c>
      <c t="s">
        <v>26287</v>
      </c>
      <c t="s">
        <v>47656</v>
      </c>
      <c t="s">
        <v>26287</v>
      </c>
      <c t="s">
        <v>8007</v>
      </c>
      <c t="s">
        <v>22731</v>
      </c>
      <c t="s">
        <v>2517</v>
      </c>
      <c t="s">
        <v>39289</v>
      </c>
      <c>
        <v>33909</v>
      </c>
      <c t="s">
        <v>32436</v>
      </c>
      <c t="s">
        <v>48794</v>
      </c>
      <c t="s">
        <v>17860</v>
      </c>
      <c>
        <v>86</v>
      </c>
      <c r="AI1734" t="s">
        <v>10653</v>
      </c>
      <c t="s">
        <v>45393</v>
      </c>
      <c t="s">
        <v>22377</v>
      </c>
      <c t="s">
        <v>13397</v>
      </c>
      <c r="AN1734" t="s">
        <v>50917</v>
      </c>
      <c t="s">
        <v>25812</v>
      </c>
      <c t="s">
        <v>1951</v>
      </c>
      <c t="s">
        <v>3093</v>
      </c>
      <c t="s">
        <v>29595</v>
      </c>
    </row>
    <row>
      <c t="s">
        <v>17594</v>
      </c>
      <c t="s">
        <v>45100</v>
      </c>
      <c t="s">
        <v>63289</v>
      </c>
      <c t="s">
        <v>12725</v>
      </c>
      <c t="s">
        <v>2520</v>
      </c>
      <c s="3">
        <v>9680</v>
      </c>
      <c s="3">
        <v>9680</v>
      </c>
      <c s="3">
        <v>4972</v>
      </c>
      <c>
        <v>0</v>
      </c>
      <c s="3">
        <v>0</v>
      </c>
      <c s="3">
        <v>327.07</v>
      </c>
      <c s="3">
        <v>9680</v>
      </c>
      <c>
        <v>2021</v>
      </c>
      <c>
        <v>360.26</v>
      </c>
      <c s="1" t="str">
        <f ca="1">HYPERLINK("https://web.datatree.com/?/property?propertyId=32606528", "https://web.datatree.com/?/property?propertyId=32606528")</f>
        <v>https://web.datatree.com/?/property?propertyId=32606528</v>
      </c>
      <c r="Q1735" t="s">
        <v>316</v>
      </c>
      <c>
        <v>0.317</v>
      </c>
      <c t="s">
        <v>37489</v>
      </c>
      <c t="s">
        <v>55134</v>
      </c>
      <c t="s">
        <v>10906</v>
      </c>
      <c r="X1735" t="s">
        <v>57687</v>
      </c>
      <c t="s">
        <v>20086</v>
      </c>
      <c t="s">
        <v>65059</v>
      </c>
      <c t="s">
        <v>39289</v>
      </c>
      <c>
        <v>33905</v>
      </c>
      <c>
        <v>33905</v>
      </c>
      <c t="s">
        <v>48794</v>
      </c>
      <c t="s">
        <v>54617</v>
      </c>
      <c>
        <v>35</v>
      </c>
      <c r="AI1735" t="s">
        <v>1557</v>
      </c>
      <c t="s">
        <v>24900</v>
      </c>
      <c>
        <v>412</v>
      </c>
      <c t="s">
        <v>64737</v>
      </c>
      <c t="s">
        <v>40227</v>
      </c>
      <c t="s">
        <v>10909</v>
      </c>
      <c t="s">
        <v>25589</v>
      </c>
      <c r="AQ1735" t="s">
        <v>27814</v>
      </c>
      <c t="s">
        <v>2577</v>
      </c>
    </row>
    <row>
      <c t="s">
        <v>17594</v>
      </c>
      <c t="s">
        <v>34669</v>
      </c>
      <c t="s">
        <v>12132</v>
      </c>
      <c t="s">
        <v>66254</v>
      </c>
      <c t="s">
        <v>13828</v>
      </c>
      <c s="3">
        <v>8334</v>
      </c>
      <c s="3">
        <v>8334</v>
      </c>
      <c s="3">
        <v>4972</v>
      </c>
      <c>
        <v>0</v>
      </c>
      <c s="3">
        <v>0</v>
      </c>
      <c s="3">
        <v>316.66</v>
      </c>
      <c s="3">
        <v>8334</v>
      </c>
      <c>
        <v>2020</v>
      </c>
      <c>
        <v>1082.2</v>
      </c>
      <c s="1" t="str">
        <f ca="1">HYPERLINK("https://web.datatree.com/?/property?propertyId=32608201", "https://web.datatree.com/?/property?propertyId=32608201")</f>
        <v>https://web.datatree.com/?/property?propertyId=32608201</v>
      </c>
      <c r="Q1736" t="s">
        <v>316</v>
      </c>
      <c>
        <v>0.235</v>
      </c>
      <c t="s">
        <v>5471</v>
      </c>
      <c t="s">
        <v>35754</v>
      </c>
      <c t="s">
        <v>64898</v>
      </c>
      <c t="s">
        <v>12385</v>
      </c>
      <c t="s">
        <v>64898</v>
      </c>
      <c t="s">
        <v>2116</v>
      </c>
      <c t="s">
        <v>20199</v>
      </c>
      <c t="s">
        <v>65059</v>
      </c>
      <c t="s">
        <v>39289</v>
      </c>
      <c>
        <v>33905</v>
      </c>
      <c t="s">
        <v>59368</v>
      </c>
      <c t="s">
        <v>48794</v>
      </c>
      <c t="s">
        <v>14574</v>
      </c>
      <c>
        <v>9136</v>
      </c>
      <c r="AI1736" t="s">
        <v>16503</v>
      </c>
      <c t="s">
        <v>45393</v>
      </c>
      <c r="AL1736" t="s">
        <v>23715</v>
      </c>
      <c t="s">
        <v>23715</v>
      </c>
      <c t="s">
        <v>39289</v>
      </c>
      <c t="s">
        <v>38433</v>
      </c>
      <c t="s">
        <v>30106</v>
      </c>
      <c t="s">
        <v>3093</v>
      </c>
      <c t="s">
        <v>40055</v>
      </c>
    </row>
    <row>
      <c t="s">
        <v>17594</v>
      </c>
      <c t="s">
        <v>18921</v>
      </c>
      <c t="s">
        <v>59943</v>
      </c>
      <c t="s">
        <v>47220</v>
      </c>
      <c t="s">
        <v>36022</v>
      </c>
      <c s="3">
        <v>42987</v>
      </c>
      <c s="3">
        <v>41596</v>
      </c>
      <c s="3">
        <v>30562</v>
      </c>
      <c>
        <v>0</v>
      </c>
      <c s="3">
        <v>0</v>
      </c>
      <c s="3">
        <v>523.86</v>
      </c>
      <c s="3">
        <v>42987</v>
      </c>
      <c r="O1737" s="1" t="str">
        <f ca="1">HYPERLINK("https://web.datatree.com/?/property?propertyId=32608267", "https://web.datatree.com/?/property?propertyId=32608267")</f>
        <v>https://web.datatree.com/?/property?propertyId=32608267</v>
      </c>
      <c>
        <v>872</v>
      </c>
      <c t="s">
        <v>316</v>
      </c>
      <c>
        <v>0.051</v>
      </c>
      <c t="s">
        <v>54329</v>
      </c>
      <c t="s">
        <v>7674</v>
      </c>
      <c t="s">
        <v>5793</v>
      </c>
      <c t="s">
        <v>56743</v>
      </c>
      <c t="s">
        <v>16161</v>
      </c>
      <c t="s">
        <v>33418</v>
      </c>
      <c t="s">
        <v>54795</v>
      </c>
      <c t="s">
        <v>54524</v>
      </c>
      <c t="s">
        <v>39289</v>
      </c>
      <c>
        <v>33903</v>
      </c>
      <c t="s">
        <v>52159</v>
      </c>
      <c t="s">
        <v>48794</v>
      </c>
      <c t="s">
        <v>22243</v>
      </c>
      <c>
        <v>217</v>
      </c>
      <c r="AI1737" t="s">
        <v>35035</v>
      </c>
      <c t="s">
        <v>45620</v>
      </c>
      <c r="AL1737" t="s">
        <v>1883</v>
      </c>
      <c t="s">
        <v>65059</v>
      </c>
      <c t="s">
        <v>32657</v>
      </c>
      <c t="s">
        <v>38845</v>
      </c>
      <c t="s">
        <v>22455</v>
      </c>
      <c t="s">
        <v>3093</v>
      </c>
      <c t="s">
        <v>26746</v>
      </c>
      <c>
        <v>1983</v>
      </c>
    </row>
    <row>
      <c t="s">
        <v>17594</v>
      </c>
      <c t="s">
        <v>31344</v>
      </c>
      <c t="s">
        <v>22492</v>
      </c>
      <c t="s">
        <v>9017</v>
      </c>
      <c t="s">
        <v>40874</v>
      </c>
      <c s="3">
        <v>8124</v>
      </c>
      <c s="3">
        <v>8124</v>
      </c>
      <c s="3">
        <v>4972</v>
      </c>
      <c>
        <v>0</v>
      </c>
      <c s="3">
        <v>0</v>
      </c>
      <c s="3">
        <v>316.66</v>
      </c>
      <c s="3">
        <v>8124</v>
      </c>
      <c r="O1738" s="1" t="str">
        <f ca="1">HYPERLINK("https://web.datatree.com/?/property?propertyId=32608526", "https://web.datatree.com/?/property?propertyId=32608526")</f>
        <v>https://web.datatree.com/?/property?propertyId=32608526</v>
      </c>
      <c r="Q1738" t="s">
        <v>316</v>
      </c>
      <c>
        <v>0.237</v>
      </c>
      <c t="s">
        <v>5471</v>
      </c>
      <c t="s">
        <v>2902</v>
      </c>
      <c t="s">
        <v>56253</v>
      </c>
      <c r="X1738" t="s">
        <v>15319</v>
      </c>
      <c t="s">
        <v>52508</v>
      </c>
      <c t="s">
        <v>65059</v>
      </c>
      <c t="s">
        <v>39289</v>
      </c>
      <c>
        <v>33905</v>
      </c>
      <c t="s">
        <v>50827</v>
      </c>
      <c t="s">
        <v>48794</v>
      </c>
      <c t="s">
        <v>41887</v>
      </c>
      <c>
        <v>2915</v>
      </c>
      <c r="AI1738" t="s">
        <v>37486</v>
      </c>
      <c t="s">
        <v>24900</v>
      </c>
      <c r="AL1738" t="s">
        <v>36080</v>
      </c>
      <c r="AN1738" t="s">
        <v>39289</v>
      </c>
      <c t="s">
        <v>34737</v>
      </c>
      <c t="s">
        <v>27780</v>
      </c>
      <c t="s">
        <v>3093</v>
      </c>
      <c t="s">
        <v>4933</v>
      </c>
    </row>
    <row>
      <c t="s">
        <v>17594</v>
      </c>
      <c t="s">
        <v>49034</v>
      </c>
      <c t="s">
        <v>22227</v>
      </c>
      <c t="s">
        <v>46733</v>
      </c>
      <c t="s">
        <v>57159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1739" s="1" t="str">
        <f ca="1">HYPERLINK("https://web.datatree.com/?/property?propertyId=32609389", "https://web.datatree.com/?/property?propertyId=32609389")</f>
        <v>https://web.datatree.com/?/property?propertyId=32609389</v>
      </c>
      <c r="Q1739" t="s">
        <v>316</v>
      </c>
      <c>
        <v>0.23</v>
      </c>
      <c t="s">
        <v>6175</v>
      </c>
      <c t="s">
        <v>26502</v>
      </c>
      <c t="s">
        <v>1306</v>
      </c>
      <c r="X1739" t="s">
        <v>44041</v>
      </c>
      <c t="s">
        <v>47150</v>
      </c>
      <c t="s">
        <v>2517</v>
      </c>
      <c t="s">
        <v>39289</v>
      </c>
      <c>
        <v>33909</v>
      </c>
      <c t="s">
        <v>33300</v>
      </c>
      <c t="s">
        <v>48794</v>
      </c>
      <c t="s">
        <v>65289</v>
      </c>
      <c>
        <v>307</v>
      </c>
      <c r="AI1739" t="s">
        <v>7927</v>
      </c>
      <c t="s">
        <v>31192</v>
      </c>
      <c r="AL1739" t="s">
        <v>22859</v>
      </c>
      <c r="AN1739" t="s">
        <v>18236</v>
      </c>
      <c t="s">
        <v>31127</v>
      </c>
      <c t="s">
        <v>52247</v>
      </c>
      <c t="s">
        <v>3093</v>
      </c>
      <c t="s">
        <v>13818</v>
      </c>
    </row>
    <row>
      <c t="s">
        <v>17594</v>
      </c>
      <c t="s">
        <v>41451</v>
      </c>
      <c t="s">
        <v>58875</v>
      </c>
      <c t="s">
        <v>43809</v>
      </c>
      <c t="s">
        <v>53924</v>
      </c>
      <c s="3">
        <v>22041</v>
      </c>
      <c s="3">
        <v>22041</v>
      </c>
      <c s="3">
        <v>22041</v>
      </c>
      <c>
        <v>0</v>
      </c>
      <c s="3">
        <v>0</v>
      </c>
      <c s="3">
        <v>817.02</v>
      </c>
      <c s="3">
        <v>22041</v>
      </c>
      <c r="O1740" s="1" t="str">
        <f ca="1">HYPERLINK("https://web.datatree.com/?/property?propertyId=32610891", "https://web.datatree.com/?/property?propertyId=32610891")</f>
        <v>https://web.datatree.com/?/property?propertyId=32610891</v>
      </c>
      <c r="Q1740" t="s">
        <v>316</v>
      </c>
      <c>
        <v>0.344</v>
      </c>
      <c t="s">
        <v>42044</v>
      </c>
      <c t="s">
        <v>24499</v>
      </c>
      <c t="s">
        <v>26285</v>
      </c>
      <c t="s">
        <v>40002</v>
      </c>
      <c t="s">
        <v>34973</v>
      </c>
      <c t="s">
        <v>59365</v>
      </c>
      <c t="s">
        <v>61144</v>
      </c>
      <c t="s">
        <v>2517</v>
      </c>
      <c t="s">
        <v>39289</v>
      </c>
      <c>
        <v>33909</v>
      </c>
      <c t="s">
        <v>34574</v>
      </c>
      <c t="s">
        <v>48794</v>
      </c>
      <c t="s">
        <v>39212</v>
      </c>
      <c>
        <v>5541</v>
      </c>
      <c r="AI1740" t="s">
        <v>51426</v>
      </c>
      <c t="s">
        <v>45620</v>
      </c>
      <c r="AL1740" t="s">
        <v>40475</v>
      </c>
      <c t="s">
        <v>37889</v>
      </c>
      <c t="s">
        <v>4477</v>
      </c>
      <c t="s">
        <v>19465</v>
      </c>
      <c t="s">
        <v>3364</v>
      </c>
      <c t="s">
        <v>3093</v>
      </c>
      <c t="s">
        <v>4578</v>
      </c>
    </row>
    <row>
      <c t="s">
        <v>17594</v>
      </c>
      <c t="s">
        <v>37702</v>
      </c>
      <c t="s">
        <v>17759</v>
      </c>
      <c t="s">
        <v>46220</v>
      </c>
      <c t="s">
        <v>65276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 r="O1741" s="1" t="str">
        <f ca="1">HYPERLINK("https://web.datatree.com/?/property?propertyId=32610931", "https://web.datatree.com/?/property?propertyId=32610931")</f>
        <v>https://web.datatree.com/?/property?propertyId=32610931</v>
      </c>
      <c r="Q1741" t="s">
        <v>316</v>
      </c>
      <c>
        <v>0.243</v>
      </c>
      <c t="s">
        <v>5471</v>
      </c>
      <c t="s">
        <v>55556</v>
      </c>
      <c t="s">
        <v>18487</v>
      </c>
      <c t="s">
        <v>26023</v>
      </c>
      <c t="s">
        <v>18487</v>
      </c>
      <c t="s">
        <v>27324</v>
      </c>
      <c t="s">
        <v>6696</v>
      </c>
      <c t="s">
        <v>65059</v>
      </c>
      <c t="s">
        <v>39289</v>
      </c>
      <c>
        <v>33905</v>
      </c>
      <c t="s">
        <v>24554</v>
      </c>
      <c t="s">
        <v>48794</v>
      </c>
      <c t="s">
        <v>63400</v>
      </c>
      <c>
        <v>605</v>
      </c>
      <c r="AI1741" t="s">
        <v>51665</v>
      </c>
      <c t="s">
        <v>45393</v>
      </c>
      <c>
        <v>450</v>
      </c>
      <c t="s">
        <v>27398</v>
      </c>
      <c t="s">
        <v>27398</v>
      </c>
      <c t="s">
        <v>39289</v>
      </c>
      <c t="s">
        <v>5726</v>
      </c>
      <c t="s">
        <v>26242</v>
      </c>
      <c t="s">
        <v>3093</v>
      </c>
      <c t="s">
        <v>28166</v>
      </c>
    </row>
    <row>
      <c t="s">
        <v>17594</v>
      </c>
      <c t="s">
        <v>2876</v>
      </c>
      <c t="s">
        <v>10046</v>
      </c>
      <c t="s">
        <v>44752</v>
      </c>
      <c t="s">
        <v>60717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1742" s="1" t="str">
        <f ca="1">HYPERLINK("https://web.datatree.com/?/property?propertyId=32611334", "https://web.datatree.com/?/property?propertyId=32611334")</f>
        <v>https://web.datatree.com/?/property?propertyId=32611334</v>
      </c>
      <c r="Q1742" t="s">
        <v>316</v>
      </c>
      <c>
        <v>0.23</v>
      </c>
      <c t="s">
        <v>22490</v>
      </c>
      <c t="s">
        <v>24219</v>
      </c>
      <c t="s">
        <v>11562</v>
      </c>
      <c r="X1742" t="s">
        <v>46139</v>
      </c>
      <c t="s">
        <v>24999</v>
      </c>
      <c t="s">
        <v>2517</v>
      </c>
      <c t="s">
        <v>39289</v>
      </c>
      <c>
        <v>33904</v>
      </c>
      <c t="s">
        <v>11608</v>
      </c>
      <c t="s">
        <v>48794</v>
      </c>
      <c t="s">
        <v>4343</v>
      </c>
      <c>
        <v>9573</v>
      </c>
      <c r="AI1742" t="s">
        <v>67109</v>
      </c>
      <c t="s">
        <v>55842</v>
      </c>
      <c r="AL1742" t="s">
        <v>28015</v>
      </c>
      <c r="AN1742" t="s">
        <v>32657</v>
      </c>
      <c t="s">
        <v>46562</v>
      </c>
      <c t="s">
        <v>38014</v>
      </c>
      <c t="s">
        <v>3093</v>
      </c>
      <c t="s">
        <v>66770</v>
      </c>
    </row>
    <row>
      <c t="s">
        <v>17594</v>
      </c>
      <c t="s">
        <v>55962</v>
      </c>
      <c t="s">
        <v>41179</v>
      </c>
      <c t="s">
        <v>3842</v>
      </c>
      <c t="s">
        <v>41600</v>
      </c>
      <c s="3">
        <v>17722</v>
      </c>
      <c s="3">
        <v>17722</v>
      </c>
      <c s="3">
        <v>7040</v>
      </c>
      <c>
        <v>0</v>
      </c>
      <c s="3">
        <v>0</v>
      </c>
      <c s="3">
        <v>544.32</v>
      </c>
      <c s="3">
        <v>17722</v>
      </c>
      <c r="O1743" s="1" t="str">
        <f ca="1">HYPERLINK("https://web.datatree.com/?/property?propertyId=32611995", "https://web.datatree.com/?/property?propertyId=32611995")</f>
        <v>https://web.datatree.com/?/property?propertyId=32611995</v>
      </c>
      <c r="Q1743" t="s">
        <v>316</v>
      </c>
      <c>
        <v>0.23</v>
      </c>
      <c t="s">
        <v>58725</v>
      </c>
      <c t="s">
        <v>10361</v>
      </c>
      <c t="s">
        <v>20881</v>
      </c>
      <c r="X1743" t="s">
        <v>12354</v>
      </c>
      <c t="s">
        <v>57064</v>
      </c>
      <c t="s">
        <v>2517</v>
      </c>
      <c t="s">
        <v>39289</v>
      </c>
      <c>
        <v>33909</v>
      </c>
      <c t="s">
        <v>41148</v>
      </c>
      <c t="s">
        <v>48794</v>
      </c>
      <c t="s">
        <v>13209</v>
      </c>
      <c>
        <v>23629</v>
      </c>
      <c r="AI1743" t="s">
        <v>31548</v>
      </c>
      <c t="s">
        <v>31192</v>
      </c>
      <c r="AL1743" t="s">
        <v>31841</v>
      </c>
      <c r="AN1743" t="s">
        <v>18236</v>
      </c>
      <c t="s">
        <v>64574</v>
      </c>
      <c t="s">
        <v>22455</v>
      </c>
      <c t="s">
        <v>3093</v>
      </c>
      <c t="s">
        <v>48829</v>
      </c>
    </row>
    <row>
      <c t="s">
        <v>17594</v>
      </c>
      <c t="s">
        <v>30019</v>
      </c>
      <c t="s">
        <v>56633</v>
      </c>
      <c t="s">
        <v>33850</v>
      </c>
      <c t="s">
        <v>565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1744" s="1" t="str">
        <f ca="1">HYPERLINK("https://web.datatree.com/?/property?propertyId=32612179", "https://web.datatree.com/?/property?propertyId=32612179")</f>
        <v>https://web.datatree.com/?/property?propertyId=32612179</v>
      </c>
      <c r="Q1744" t="s">
        <v>316</v>
      </c>
      <c>
        <v>0.233</v>
      </c>
      <c t="s">
        <v>6175</v>
      </c>
      <c r="U1744" t="s">
        <v>28722</v>
      </c>
      <c r="X1744" t="s">
        <v>55349</v>
      </c>
      <c t="s">
        <v>61850</v>
      </c>
      <c t="s">
        <v>2517</v>
      </c>
      <c t="s">
        <v>39289</v>
      </c>
      <c>
        <v>33909</v>
      </c>
      <c t="s">
        <v>55313</v>
      </c>
      <c t="s">
        <v>48794</v>
      </c>
      <c t="s">
        <v>25675</v>
      </c>
      <c>
        <v>14545</v>
      </c>
      <c r="AI1744" t="s">
        <v>25819</v>
      </c>
      <c t="s">
        <v>45620</v>
      </c>
      <c r="AL1744" t="s">
        <v>44933</v>
      </c>
      <c t="s">
        <v>49210</v>
      </c>
      <c t="s">
        <v>51137</v>
      </c>
      <c t="s">
        <v>30590</v>
      </c>
      <c t="s">
        <v>44428</v>
      </c>
      <c t="s">
        <v>3093</v>
      </c>
      <c t="s">
        <v>10170</v>
      </c>
    </row>
    <row>
      <c t="s">
        <v>17594</v>
      </c>
      <c t="s">
        <v>7483</v>
      </c>
      <c t="s">
        <v>22289</v>
      </c>
      <c t="s">
        <v>27933</v>
      </c>
      <c t="s">
        <v>60809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1745" s="1" t="str">
        <f ca="1">HYPERLINK("https://web.datatree.com/?/property?propertyId=32612676", "https://web.datatree.com/?/property?propertyId=32612676")</f>
        <v>https://web.datatree.com/?/property?propertyId=32612676</v>
      </c>
      <c r="Q1745" t="s">
        <v>316</v>
      </c>
      <c>
        <v>0.23</v>
      </c>
      <c t="s">
        <v>6175</v>
      </c>
      <c t="s">
        <v>10419</v>
      </c>
      <c t="s">
        <v>49611</v>
      </c>
      <c t="s">
        <v>47813</v>
      </c>
      <c t="s">
        <v>49611</v>
      </c>
      <c t="s">
        <v>17393</v>
      </c>
      <c t="s">
        <v>53675</v>
      </c>
      <c t="s">
        <v>2517</v>
      </c>
      <c t="s">
        <v>39289</v>
      </c>
      <c>
        <v>33909</v>
      </c>
      <c t="s">
        <v>16116</v>
      </c>
      <c t="s">
        <v>48794</v>
      </c>
      <c t="s">
        <v>60384</v>
      </c>
      <c>
        <v>701</v>
      </c>
      <c r="AI1745" t="s">
        <v>65129</v>
      </c>
      <c t="s">
        <v>45393</v>
      </c>
      <c r="AL1745" t="s">
        <v>55847</v>
      </c>
      <c r="AN1745" t="s">
        <v>26016</v>
      </c>
      <c t="s">
        <v>39809</v>
      </c>
      <c t="s">
        <v>55071</v>
      </c>
      <c t="s">
        <v>3093</v>
      </c>
      <c t="s">
        <v>27029</v>
      </c>
    </row>
    <row>
      <c t="s">
        <v>17594</v>
      </c>
      <c t="s">
        <v>58670</v>
      </c>
      <c t="s">
        <v>30697</v>
      </c>
      <c t="s">
        <v>6741</v>
      </c>
      <c t="s">
        <v>26863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746" s="1" t="str">
        <f ca="1">HYPERLINK("https://web.datatree.com/?/property?propertyId=32612859", "https://web.datatree.com/?/property?propertyId=32612859")</f>
        <v>https://web.datatree.com/?/property?propertyId=32612859</v>
      </c>
      <c r="Q1746" t="s">
        <v>316</v>
      </c>
      <c>
        <v>0.23</v>
      </c>
      <c t="s">
        <v>6175</v>
      </c>
      <c t="s">
        <v>16271</v>
      </c>
      <c t="s">
        <v>58174</v>
      </c>
      <c r="X1746" t="s">
        <v>27646</v>
      </c>
      <c t="s">
        <v>13829</v>
      </c>
      <c t="s">
        <v>2517</v>
      </c>
      <c t="s">
        <v>39289</v>
      </c>
      <c>
        <v>33909</v>
      </c>
      <c t="s">
        <v>50718</v>
      </c>
      <c t="s">
        <v>48794</v>
      </c>
      <c t="s">
        <v>49296</v>
      </c>
      <c>
        <v>1281</v>
      </c>
      <c r="AI1746" t="s">
        <v>44479</v>
      </c>
      <c t="s">
        <v>45620</v>
      </c>
      <c>
        <v>426</v>
      </c>
      <c t="s">
        <v>49335</v>
      </c>
      <c t="s">
        <v>49335</v>
      </c>
      <c t="s">
        <v>65451</v>
      </c>
      <c t="s">
        <v>57148</v>
      </c>
      <c t="s">
        <v>6081</v>
      </c>
      <c t="s">
        <v>3093</v>
      </c>
      <c t="s">
        <v>58190</v>
      </c>
    </row>
    <row>
      <c t="s">
        <v>17594</v>
      </c>
      <c t="s">
        <v>49096</v>
      </c>
      <c t="s">
        <v>1321</v>
      </c>
      <c t="s">
        <v>2579</v>
      </c>
      <c t="s">
        <v>67133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>
        <v>2020</v>
      </c>
      <c>
        <v>1709.54</v>
      </c>
      <c s="1" t="str">
        <f ca="1">HYPERLINK("https://web.datatree.com/?/property?propertyId=32613088", "https://web.datatree.com/?/property?propertyId=32613088")</f>
        <v>https://web.datatree.com/?/property?propertyId=32613088</v>
      </c>
      <c r="Q1747" t="s">
        <v>316</v>
      </c>
      <c>
        <v>0.23</v>
      </c>
      <c t="s">
        <v>6175</v>
      </c>
      <c r="U1747" t="s">
        <v>855</v>
      </c>
      <c t="s">
        <v>13419</v>
      </c>
      <c t="s">
        <v>1886</v>
      </c>
      <c t="s">
        <v>42504</v>
      </c>
      <c t="s">
        <v>2626</v>
      </c>
      <c t="s">
        <v>2517</v>
      </c>
      <c t="s">
        <v>39289</v>
      </c>
      <c>
        <v>33909</v>
      </c>
      <c t="s">
        <v>42247</v>
      </c>
      <c t="s">
        <v>48794</v>
      </c>
      <c t="s">
        <v>47095</v>
      </c>
      <c>
        <v>6900</v>
      </c>
      <c r="AI1747" t="s">
        <v>42233</v>
      </c>
      <c t="s">
        <v>31192</v>
      </c>
      <c>
        <v>603</v>
      </c>
      <c t="s">
        <v>38297</v>
      </c>
      <c r="AN1747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44688</v>
      </c>
      <c t="s">
        <v>87</v>
      </c>
      <c t="s">
        <v>49516</v>
      </c>
      <c t="s">
        <v>17881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1748" s="1" t="str">
        <f ca="1">HYPERLINK("https://web.datatree.com/?/property?propertyId=32613369", "https://web.datatree.com/?/property?propertyId=32613369")</f>
        <v>https://web.datatree.com/?/property?propertyId=32613369</v>
      </c>
      <c r="Q1748" t="s">
        <v>316</v>
      </c>
      <c>
        <v>0.23</v>
      </c>
      <c t="s">
        <v>45031</v>
      </c>
      <c t="s">
        <v>41303</v>
      </c>
      <c t="s">
        <v>38973</v>
      </c>
      <c t="s">
        <v>14620</v>
      </c>
      <c t="s">
        <v>38973</v>
      </c>
      <c t="s">
        <v>66302</v>
      </c>
      <c t="s">
        <v>47150</v>
      </c>
      <c t="s">
        <v>2517</v>
      </c>
      <c t="s">
        <v>39289</v>
      </c>
      <c>
        <v>33909</v>
      </c>
      <c t="s">
        <v>44869</v>
      </c>
      <c t="s">
        <v>48794</v>
      </c>
      <c t="s">
        <v>13436</v>
      </c>
      <c>
        <v>17</v>
      </c>
      <c r="AI1748" t="s">
        <v>66081</v>
      </c>
      <c t="s">
        <v>40123</v>
      </c>
      <c r="AL1748" t="s">
        <v>63770</v>
      </c>
      <c r="AN1748" t="s">
        <v>50917</v>
      </c>
      <c t="s">
        <v>59516</v>
      </c>
      <c t="s">
        <v>17380</v>
      </c>
      <c t="s">
        <v>3093</v>
      </c>
      <c t="s">
        <v>51018</v>
      </c>
    </row>
    <row>
      <c t="s">
        <v>17594</v>
      </c>
      <c t="s">
        <v>47828</v>
      </c>
      <c t="s">
        <v>61589</v>
      </c>
      <c t="s">
        <v>60123</v>
      </c>
      <c t="s">
        <v>32125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>
        <v>2021</v>
      </c>
      <c>
        <v>660.86</v>
      </c>
      <c s="1" t="str">
        <f ca="1">HYPERLINK("https://web.datatree.com/?/property?propertyId=32613426", "https://web.datatree.com/?/property?propertyId=32613426")</f>
        <v>https://web.datatree.com/?/property?propertyId=32613426</v>
      </c>
      <c r="Q1749" t="s">
        <v>316</v>
      </c>
      <c>
        <v>0.23</v>
      </c>
      <c t="s">
        <v>22490</v>
      </c>
      <c t="s">
        <v>47419</v>
      </c>
      <c t="s">
        <v>10632</v>
      </c>
      <c t="s">
        <v>34210</v>
      </c>
      <c r="X1749" t="s">
        <v>20325</v>
      </c>
      <c t="s">
        <v>66701</v>
      </c>
      <c t="s">
        <v>2517</v>
      </c>
      <c t="s">
        <v>39289</v>
      </c>
      <c>
        <v>33909</v>
      </c>
      <c t="s">
        <v>37072</v>
      </c>
      <c t="s">
        <v>48794</v>
      </c>
      <c t="s">
        <v>61015</v>
      </c>
      <c>
        <v>2112</v>
      </c>
      <c r="AI1749" t="s">
        <v>34731</v>
      </c>
      <c t="s">
        <v>24900</v>
      </c>
      <c r="AL1749" t="s">
        <v>55393</v>
      </c>
      <c t="s">
        <v>55393</v>
      </c>
      <c t="s">
        <v>39289</v>
      </c>
      <c t="s">
        <v>39572</v>
      </c>
      <c t="s">
        <v>34342</v>
      </c>
      <c t="s">
        <v>3093</v>
      </c>
      <c t="s">
        <v>4490</v>
      </c>
    </row>
    <row>
      <c t="s">
        <v>17594</v>
      </c>
      <c t="s">
        <v>2898</v>
      </c>
      <c t="s">
        <v>11461</v>
      </c>
      <c t="s">
        <v>51589</v>
      </c>
      <c t="s">
        <v>9588</v>
      </c>
      <c s="3">
        <v>38645</v>
      </c>
      <c s="3">
        <v>38645</v>
      </c>
      <c s="3">
        <v>15044</v>
      </c>
      <c>
        <v>0</v>
      </c>
      <c s="3">
        <v>0</v>
      </c>
      <c s="3">
        <v>794.88</v>
      </c>
      <c s="3">
        <v>38645</v>
      </c>
      <c r="O1750" s="1" t="str">
        <f ca="1">HYPERLINK("https://web.datatree.com/?/property?propertyId=32613545", "https://web.datatree.com/?/property?propertyId=32613545")</f>
        <v>https://web.datatree.com/?/property?propertyId=32613545</v>
      </c>
      <c r="Q1750" t="s">
        <v>316</v>
      </c>
      <c>
        <v>0.226</v>
      </c>
      <c t="s">
        <v>6175</v>
      </c>
      <c t="s">
        <v>48755</v>
      </c>
      <c t="s">
        <v>13745</v>
      </c>
      <c t="s">
        <v>54618</v>
      </c>
      <c t="s">
        <v>13745</v>
      </c>
      <c t="s">
        <v>30345</v>
      </c>
      <c t="s">
        <v>29190</v>
      </c>
      <c t="s">
        <v>2517</v>
      </c>
      <c t="s">
        <v>39289</v>
      </c>
      <c>
        <v>33909</v>
      </c>
      <c t="s">
        <v>64697</v>
      </c>
      <c t="s">
        <v>48794</v>
      </c>
      <c t="s">
        <v>33961</v>
      </c>
      <c>
        <v>3185</v>
      </c>
      <c r="AI1750" t="s">
        <v>35789</v>
      </c>
      <c t="s">
        <v>31192</v>
      </c>
      <c r="AL1750" t="s">
        <v>13883</v>
      </c>
      <c r="AN1750" t="s">
        <v>10909</v>
      </c>
      <c t="s">
        <v>54402</v>
      </c>
      <c r="AQ1750" t="s">
        <v>27814</v>
      </c>
      <c t="s">
        <v>14909</v>
      </c>
    </row>
    <row>
      <c t="s">
        <v>17594</v>
      </c>
      <c t="s">
        <v>11674</v>
      </c>
      <c t="s">
        <v>54442</v>
      </c>
      <c t="s">
        <v>57879</v>
      </c>
      <c t="s">
        <v>8843</v>
      </c>
      <c s="3">
        <v>20472</v>
      </c>
      <c s="3">
        <v>20472</v>
      </c>
      <c s="3">
        <v>9130</v>
      </c>
      <c>
        <v>0</v>
      </c>
      <c s="3">
        <v>0</v>
      </c>
      <c s="3">
        <v>3300.09</v>
      </c>
      <c s="3">
        <v>20472</v>
      </c>
      <c r="O1751" s="1" t="str">
        <f ca="1">HYPERLINK("https://web.datatree.com/?/property?propertyId=32613853", "https://web.datatree.com/?/property?propertyId=32613853")</f>
        <v>https://web.datatree.com/?/property?propertyId=32613853</v>
      </c>
      <c r="Q1751" t="s">
        <v>316</v>
      </c>
      <c>
        <v>0.326</v>
      </c>
      <c t="s">
        <v>22490</v>
      </c>
      <c t="s">
        <v>4112</v>
      </c>
      <c t="s">
        <v>39852</v>
      </c>
      <c t="s">
        <v>61273</v>
      </c>
      <c t="s">
        <v>39852</v>
      </c>
      <c t="s">
        <v>52870</v>
      </c>
      <c t="s">
        <v>18679</v>
      </c>
      <c t="s">
        <v>2517</v>
      </c>
      <c t="s">
        <v>39289</v>
      </c>
      <c>
        <v>33909</v>
      </c>
      <c t="s">
        <v>65424</v>
      </c>
      <c t="s">
        <v>48794</v>
      </c>
      <c t="s">
        <v>3712</v>
      </c>
      <c>
        <v>348</v>
      </c>
      <c r="AI1751" t="s">
        <v>46490</v>
      </c>
      <c t="s">
        <v>20615</v>
      </c>
      <c r="AL1751" t="s">
        <v>51363</v>
      </c>
      <c r="AN1751" t="s">
        <v>26016</v>
      </c>
      <c t="s">
        <v>23480</v>
      </c>
      <c t="s">
        <v>23611</v>
      </c>
      <c t="s">
        <v>3093</v>
      </c>
      <c t="s">
        <v>7139</v>
      </c>
    </row>
    <row>
      <c t="s">
        <v>42103</v>
      </c>
      <c t="s">
        <v>47668</v>
      </c>
      <c t="s">
        <v>10395</v>
      </c>
      <c t="s">
        <v>41674</v>
      </c>
      <c t="s">
        <v>13668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1752" s="1" t="str">
        <f ca="1">HYPERLINK("https://web.datatree.com/?/property?propertyId=32613958", "https://web.datatree.com/?/property?propertyId=32613958")</f>
        <v>https://web.datatree.com/?/property?propertyId=32613958</v>
      </c>
      <c r="Q1752" t="s">
        <v>316</v>
      </c>
      <c>
        <v>0.23</v>
      </c>
      <c t="s">
        <v>6175</v>
      </c>
      <c t="s">
        <v>62501</v>
      </c>
      <c t="s">
        <v>49900</v>
      </c>
      <c r="X1752" t="s">
        <v>62423</v>
      </c>
      <c t="s">
        <v>47150</v>
      </c>
      <c t="s">
        <v>2517</v>
      </c>
      <c t="s">
        <v>39289</v>
      </c>
      <c>
        <v>33909</v>
      </c>
      <c t="s">
        <v>48883</v>
      </c>
      <c t="s">
        <v>48794</v>
      </c>
      <c t="s">
        <v>32192</v>
      </c>
      <c r="AI1752" t="s">
        <v>48949</v>
      </c>
      <c r="AL1752" t="s">
        <v>7501</v>
      </c>
      <c r="AN1752" t="s">
        <v>50917</v>
      </c>
      <c>
        <v>10589</v>
      </c>
      <c t="s">
        <v>7011</v>
      </c>
      <c t="s">
        <v>3093</v>
      </c>
      <c t="s">
        <v>54359</v>
      </c>
    </row>
    <row>
      <c t="s">
        <v>17594</v>
      </c>
      <c t="s">
        <v>51201</v>
      </c>
      <c t="s">
        <v>15851</v>
      </c>
      <c t="s">
        <v>40342</v>
      </c>
      <c t="s">
        <v>10173</v>
      </c>
      <c s="3">
        <v>61490</v>
      </c>
      <c s="3">
        <v>61490</v>
      </c>
      <c s="3">
        <v>25939</v>
      </c>
      <c>
        <v>0</v>
      </c>
      <c s="3">
        <v>0</v>
      </c>
      <c s="3">
        <v>551.04</v>
      </c>
      <c s="3">
        <v>61490</v>
      </c>
      <c r="O1753" s="1" t="str">
        <f ca="1">HYPERLINK("https://web.datatree.com/?/property?propertyId=32614377", "https://web.datatree.com/?/property?propertyId=32614377")</f>
        <v>https://web.datatree.com/?/property?propertyId=32614377</v>
      </c>
      <c r="Q1753" t="s">
        <v>316</v>
      </c>
      <c>
        <v>0.341</v>
      </c>
      <c t="s">
        <v>37489</v>
      </c>
      <c t="s">
        <v>45640</v>
      </c>
      <c t="s">
        <v>43311</v>
      </c>
      <c r="X1753" t="s">
        <v>35629</v>
      </c>
      <c t="s">
        <v>10089</v>
      </c>
      <c t="s">
        <v>65059</v>
      </c>
      <c t="s">
        <v>39289</v>
      </c>
      <c>
        <v>33908</v>
      </c>
      <c>
        <v>33908</v>
      </c>
      <c t="s">
        <v>48794</v>
      </c>
      <c t="s">
        <v>59470</v>
      </c>
      <c>
        <v>3</v>
      </c>
      <c r="AI1753" t="s">
        <v>31709</v>
      </c>
      <c t="s">
        <v>45393</v>
      </c>
      <c t="s">
        <v>11374</v>
      </c>
      <c t="s">
        <v>5756</v>
      </c>
      <c t="s">
        <v>5756</v>
      </c>
      <c t="s">
        <v>19878</v>
      </c>
      <c t="s">
        <v>28947</v>
      </c>
      <c t="s">
        <v>19978</v>
      </c>
      <c t="s">
        <v>3093</v>
      </c>
      <c t="s">
        <v>5220</v>
      </c>
    </row>
    <row>
      <c t="s">
        <v>17594</v>
      </c>
      <c t="s">
        <v>44266</v>
      </c>
      <c t="s">
        <v>49499</v>
      </c>
      <c t="s">
        <v>49342</v>
      </c>
      <c t="s">
        <v>66093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1754" s="1" t="str">
        <f ca="1">HYPERLINK("https://web.datatree.com/?/property?propertyId=32614399", "https://web.datatree.com/?/property?propertyId=32614399")</f>
        <v>https://web.datatree.com/?/property?propertyId=32614399</v>
      </c>
      <c r="Q1754" t="s">
        <v>316</v>
      </c>
      <c>
        <v>0.243</v>
      </c>
      <c t="s">
        <v>22490</v>
      </c>
      <c t="s">
        <v>58173</v>
      </c>
      <c t="s">
        <v>19806</v>
      </c>
      <c t="s">
        <v>56743</v>
      </c>
      <c t="s">
        <v>19806</v>
      </c>
      <c t="s">
        <v>51289</v>
      </c>
      <c t="s">
        <v>24999</v>
      </c>
      <c t="s">
        <v>2517</v>
      </c>
      <c t="s">
        <v>39289</v>
      </c>
      <c>
        <v>33904</v>
      </c>
      <c t="s">
        <v>14693</v>
      </c>
      <c t="s">
        <v>48794</v>
      </c>
      <c t="s">
        <v>29698</v>
      </c>
      <c t="s">
        <v>14584</v>
      </c>
      <c r="AI1754" t="s">
        <v>41844</v>
      </c>
      <c t="s">
        <v>45620</v>
      </c>
      <c r="AL1754" t="s">
        <v>24288</v>
      </c>
      <c r="AN1754" t="s">
        <v>50917</v>
      </c>
      <c t="s">
        <v>37845</v>
      </c>
      <c t="s">
        <v>44428</v>
      </c>
      <c t="s">
        <v>3093</v>
      </c>
      <c t="s">
        <v>32862</v>
      </c>
    </row>
    <row>
      <c t="s">
        <v>17594</v>
      </c>
      <c t="s">
        <v>19974</v>
      </c>
      <c t="s">
        <v>16260</v>
      </c>
      <c t="s">
        <v>45263</v>
      </c>
      <c t="s">
        <v>55029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755" s="1" t="str">
        <f ca="1">HYPERLINK("https://web.datatree.com/?/property?propertyId=32615522", "https://web.datatree.com/?/property?propertyId=32615522")</f>
        <v>https://web.datatree.com/?/property?propertyId=32615522</v>
      </c>
      <c r="Q1755" t="s">
        <v>316</v>
      </c>
      <c>
        <v>0.23</v>
      </c>
      <c t="s">
        <v>22490</v>
      </c>
      <c t="s">
        <v>4909</v>
      </c>
      <c t="s">
        <v>13824</v>
      </c>
      <c r="X1755" t="s">
        <v>58996</v>
      </c>
      <c t="s">
        <v>11985</v>
      </c>
      <c t="s">
        <v>2517</v>
      </c>
      <c t="s">
        <v>39289</v>
      </c>
      <c>
        <v>33909</v>
      </c>
      <c>
        <v>33909</v>
      </c>
      <c t="s">
        <v>48794</v>
      </c>
      <c t="s">
        <v>11914</v>
      </c>
      <c>
        <v>3701</v>
      </c>
      <c r="AI1755" t="s">
        <v>33179</v>
      </c>
      <c t="s">
        <v>45393</v>
      </c>
      <c r="AL1755" t="s">
        <v>30396</v>
      </c>
      <c t="s">
        <v>30396</v>
      </c>
      <c t="s">
        <v>39289</v>
      </c>
      <c t="s">
        <v>8534</v>
      </c>
      <c t="s">
        <v>4175</v>
      </c>
      <c t="s">
        <v>3093</v>
      </c>
      <c t="s">
        <v>56414</v>
      </c>
    </row>
    <row>
      <c t="s">
        <v>17594</v>
      </c>
      <c t="s">
        <v>38460</v>
      </c>
      <c t="s">
        <v>836</v>
      </c>
      <c t="s">
        <v>1316</v>
      </c>
      <c t="s">
        <v>654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1756" s="1" t="str">
        <f ca="1">HYPERLINK("https://web.datatree.com/?/property?propertyId=32615838", "https://web.datatree.com/?/property?propertyId=32615838")</f>
        <v>https://web.datatree.com/?/property?propertyId=32615838</v>
      </c>
      <c r="Q1756" t="s">
        <v>316</v>
      </c>
      <c>
        <v>0.23</v>
      </c>
      <c t="s">
        <v>6175</v>
      </c>
      <c t="s">
        <v>61517</v>
      </c>
      <c t="s">
        <v>10531</v>
      </c>
      <c r="X1756" t="s">
        <v>49248</v>
      </c>
      <c t="s">
        <v>2626</v>
      </c>
      <c t="s">
        <v>2517</v>
      </c>
      <c t="s">
        <v>39289</v>
      </c>
      <c>
        <v>33909</v>
      </c>
      <c t="s">
        <v>42247</v>
      </c>
      <c t="s">
        <v>48794</v>
      </c>
      <c t="s">
        <v>32769</v>
      </c>
      <c>
        <v>59</v>
      </c>
      <c r="AI1756" t="s">
        <v>64666</v>
      </c>
      <c t="s">
        <v>24900</v>
      </c>
      <c r="AL1756" t="s">
        <v>15</v>
      </c>
      <c r="AN1756" t="s">
        <v>5859</v>
      </c>
      <c t="s">
        <v>60609</v>
      </c>
      <c t="s">
        <v>25140</v>
      </c>
      <c t="s">
        <v>3093</v>
      </c>
      <c t="s">
        <v>33374</v>
      </c>
    </row>
    <row>
      <c t="s">
        <v>17594</v>
      </c>
      <c t="s">
        <v>8887</v>
      </c>
      <c t="s">
        <v>17635</v>
      </c>
      <c t="s">
        <v>35032</v>
      </c>
      <c t="s">
        <v>32592</v>
      </c>
      <c s="3">
        <v>71493</v>
      </c>
      <c s="3">
        <v>63500</v>
      </c>
      <c s="3">
        <v>69576</v>
      </c>
      <c>
        <v>0</v>
      </c>
      <c s="3">
        <v>0</v>
      </c>
      <c s="3">
        <v>1057.23</v>
      </c>
      <c s="3">
        <v>71493</v>
      </c>
      <c r="O1757" s="1" t="str">
        <f ca="1">HYPERLINK("https://web.datatree.com/?/property?propertyId=32616342", "https://web.datatree.com/?/property?propertyId=32616342")</f>
        <v>https://web.datatree.com/?/property?propertyId=32616342</v>
      </c>
      <c r="Q1757" t="s">
        <v>316</v>
      </c>
      <c>
        <v>0.11</v>
      </c>
      <c t="s">
        <v>26492</v>
      </c>
      <c t="s">
        <v>3293</v>
      </c>
      <c t="s">
        <v>46201</v>
      </c>
      <c t="s">
        <v>4617</v>
      </c>
      <c t="s">
        <v>46201</v>
      </c>
      <c t="s">
        <v>46464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35873</v>
      </c>
      <c>
        <v>1376</v>
      </c>
      <c r="AI1757" t="s">
        <v>53362</v>
      </c>
      <c t="s">
        <v>55842</v>
      </c>
      <c r="AL1757" t="s">
        <v>58743</v>
      </c>
      <c t="s">
        <v>58743</v>
      </c>
      <c t="s">
        <v>58733</v>
      </c>
      <c t="s">
        <v>59584</v>
      </c>
      <c t="s">
        <v>52247</v>
      </c>
      <c t="s">
        <v>3093</v>
      </c>
      <c t="s">
        <v>1188</v>
      </c>
    </row>
    <row>
      <c t="s">
        <v>17594</v>
      </c>
      <c t="s">
        <v>39143</v>
      </c>
      <c t="s">
        <v>28339</v>
      </c>
      <c t="s">
        <v>11933</v>
      </c>
      <c t="s">
        <v>4969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758" s="1" t="str">
        <f ca="1">HYPERLINK("https://web.datatree.com/?/property?propertyId=32616420", "https://web.datatree.com/?/property?propertyId=32616420")</f>
        <v>https://web.datatree.com/?/property?propertyId=32616420</v>
      </c>
      <c r="Q1758" t="s">
        <v>316</v>
      </c>
      <c>
        <v>0.241</v>
      </c>
      <c t="s">
        <v>54449</v>
      </c>
      <c t="s">
        <v>66177</v>
      </c>
      <c t="s">
        <v>20640</v>
      </c>
      <c t="s">
        <v>24525</v>
      </c>
      <c t="s">
        <v>20640</v>
      </c>
      <c t="s">
        <v>46980</v>
      </c>
      <c t="s">
        <v>39777</v>
      </c>
      <c t="s">
        <v>2517</v>
      </c>
      <c t="s">
        <v>39289</v>
      </c>
      <c>
        <v>33909</v>
      </c>
      <c t="s">
        <v>40003</v>
      </c>
      <c t="s">
        <v>48794</v>
      </c>
      <c t="s">
        <v>17641</v>
      </c>
      <c>
        <v>553</v>
      </c>
      <c r="AI1758" t="s">
        <v>64355</v>
      </c>
      <c t="s">
        <v>835</v>
      </c>
      <c t="s">
        <v>33269</v>
      </c>
      <c t="s">
        <v>41017</v>
      </c>
      <c r="AN1758" t="s">
        <v>14798</v>
      </c>
      <c t="s">
        <v>32619</v>
      </c>
      <c t="s">
        <v>62701</v>
      </c>
      <c t="s">
        <v>3093</v>
      </c>
      <c t="s">
        <v>44821</v>
      </c>
    </row>
    <row>
      <c t="s">
        <v>17594</v>
      </c>
      <c t="s">
        <v>20773</v>
      </c>
      <c t="s">
        <v>43106</v>
      </c>
      <c t="s">
        <v>32165</v>
      </c>
      <c t="s">
        <v>46947</v>
      </c>
      <c s="3">
        <v>140977</v>
      </c>
      <c s="3">
        <v>140977</v>
      </c>
      <c s="3">
        <v>103280</v>
      </c>
      <c>
        <v>0</v>
      </c>
      <c s="3">
        <v>0</v>
      </c>
      <c s="3">
        <v>2095.76</v>
      </c>
      <c s="3">
        <v>140977</v>
      </c>
      <c>
        <v>2021</v>
      </c>
      <c>
        <v>2179.22</v>
      </c>
      <c s="1" t="str">
        <f ca="1">HYPERLINK("https://web.datatree.com/?/property?propertyId=32616518", "https://web.datatree.com/?/property?propertyId=32616518")</f>
        <v>https://web.datatree.com/?/property?propertyId=32616518</v>
      </c>
      <c r="Q1759" t="s">
        <v>316</v>
      </c>
      <c>
        <v>0.239</v>
      </c>
      <c t="s">
        <v>22490</v>
      </c>
      <c t="s">
        <v>46605</v>
      </c>
      <c t="s">
        <v>57608</v>
      </c>
      <c t="s">
        <v>46676</v>
      </c>
      <c t="s">
        <v>57608</v>
      </c>
      <c t="s">
        <v>25917</v>
      </c>
      <c t="s">
        <v>57064</v>
      </c>
      <c t="s">
        <v>2517</v>
      </c>
      <c t="s">
        <v>39289</v>
      </c>
      <c>
        <v>33904</v>
      </c>
      <c t="s">
        <v>48264</v>
      </c>
      <c t="s">
        <v>48794</v>
      </c>
      <c t="s">
        <v>20756</v>
      </c>
      <c>
        <v>2101</v>
      </c>
      <c r="AH1759" t="s">
        <v>57851</v>
      </c>
      <c t="s">
        <v>61850</v>
      </c>
      <c t="s">
        <v>40123</v>
      </c>
      <c r="AL1759" t="s">
        <v>22170</v>
      </c>
      <c t="s">
        <v>22170</v>
      </c>
      <c t="s">
        <v>18594</v>
      </c>
      <c t="s">
        <v>43515</v>
      </c>
      <c t="s">
        <v>33029</v>
      </c>
      <c t="s">
        <v>3093</v>
      </c>
      <c t="s">
        <v>38989</v>
      </c>
    </row>
    <row>
      <c t="s">
        <v>17594</v>
      </c>
      <c t="s">
        <v>61692</v>
      </c>
      <c t="s">
        <v>61283</v>
      </c>
      <c t="s">
        <v>59283</v>
      </c>
      <c t="s">
        <v>11143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1760" s="1" t="str">
        <f ca="1">HYPERLINK("https://web.datatree.com/?/property?propertyId=32616522", "https://web.datatree.com/?/property?propertyId=32616522")</f>
        <v>https://web.datatree.com/?/property?propertyId=32616522</v>
      </c>
      <c r="Q1760" t="s">
        <v>316</v>
      </c>
      <c>
        <v>0.244</v>
      </c>
      <c t="s">
        <v>6175</v>
      </c>
      <c r="U1760" t="s">
        <v>45710</v>
      </c>
      <c r="W1760" t="s">
        <v>32501</v>
      </c>
      <c t="s">
        <v>49876</v>
      </c>
      <c t="s">
        <v>53675</v>
      </c>
      <c t="s">
        <v>2517</v>
      </c>
      <c t="s">
        <v>39289</v>
      </c>
      <c>
        <v>33909</v>
      </c>
      <c t="s">
        <v>36791</v>
      </c>
      <c t="s">
        <v>48794</v>
      </c>
      <c t="s">
        <v>7153</v>
      </c>
      <c>
        <v>210</v>
      </c>
      <c r="AI1760" t="s">
        <v>42172</v>
      </c>
      <c t="s">
        <v>45393</v>
      </c>
      <c r="AL1760" t="s">
        <v>45994</v>
      </c>
      <c r="AN1760" t="s">
        <v>51087</v>
      </c>
      <c t="s">
        <v>16820</v>
      </c>
      <c t="s">
        <v>26416</v>
      </c>
      <c t="s">
        <v>3093</v>
      </c>
      <c t="s">
        <v>31339</v>
      </c>
    </row>
    <row>
      <c t="s">
        <v>17594</v>
      </c>
      <c t="s">
        <v>59935</v>
      </c>
      <c t="s">
        <v>17835</v>
      </c>
      <c t="s">
        <v>67060</v>
      </c>
      <c t="s">
        <v>38719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1761" s="1" t="str">
        <f ca="1">HYPERLINK("https://web.datatree.com/?/property?propertyId=32616902", "https://web.datatree.com/?/property?propertyId=32616902")</f>
        <v>https://web.datatree.com/?/property?propertyId=32616902</v>
      </c>
      <c r="Q1761" t="s">
        <v>316</v>
      </c>
      <c>
        <v>0.23</v>
      </c>
      <c t="s">
        <v>6175</v>
      </c>
      <c t="s">
        <v>7996</v>
      </c>
      <c t="s">
        <v>11579</v>
      </c>
      <c r="X1761" t="s">
        <v>48713</v>
      </c>
      <c t="s">
        <v>22731</v>
      </c>
      <c t="s">
        <v>2517</v>
      </c>
      <c t="s">
        <v>39289</v>
      </c>
      <c>
        <v>33909</v>
      </c>
      <c t="s">
        <v>6235</v>
      </c>
      <c t="s">
        <v>48794</v>
      </c>
      <c t="s">
        <v>63108</v>
      </c>
      <c>
        <v>449</v>
      </c>
      <c r="AI1761" t="s">
        <v>2619</v>
      </c>
      <c t="s">
        <v>45393</v>
      </c>
      <c t="s">
        <v>13379</v>
      </c>
      <c t="s">
        <v>13397</v>
      </c>
      <c r="AN1761" t="s">
        <v>50917</v>
      </c>
      <c t="s">
        <v>8693</v>
      </c>
      <c t="s">
        <v>48506</v>
      </c>
      <c t="s">
        <v>3093</v>
      </c>
      <c t="s">
        <v>42102</v>
      </c>
    </row>
    <row>
      <c t="s">
        <v>17594</v>
      </c>
      <c t="s">
        <v>44802</v>
      </c>
      <c t="s">
        <v>34135</v>
      </c>
      <c t="s">
        <v>9064</v>
      </c>
      <c t="s">
        <v>49494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1762" s="1" t="str">
        <f ca="1">HYPERLINK("https://web.datatree.com/?/property?propertyId=32617009", "https://web.datatree.com/?/property?propertyId=32617009")</f>
        <v>https://web.datatree.com/?/property?propertyId=32617009</v>
      </c>
      <c r="Q1762" t="s">
        <v>316</v>
      </c>
      <c>
        <v>0.244</v>
      </c>
      <c t="s">
        <v>6175</v>
      </c>
      <c t="s">
        <v>24409</v>
      </c>
      <c t="s">
        <v>28930</v>
      </c>
      <c t="s">
        <v>53790</v>
      </c>
      <c t="s">
        <v>28930</v>
      </c>
      <c t="s">
        <v>40343</v>
      </c>
      <c t="s">
        <v>25017</v>
      </c>
      <c t="s">
        <v>2517</v>
      </c>
      <c t="s">
        <v>39289</v>
      </c>
      <c>
        <v>33909</v>
      </c>
      <c t="s">
        <v>63632</v>
      </c>
      <c t="s">
        <v>48794</v>
      </c>
      <c t="s">
        <v>33626</v>
      </c>
      <c>
        <v>20</v>
      </c>
      <c r="AI1762" t="s">
        <v>3568</v>
      </c>
      <c t="s">
        <v>55842</v>
      </c>
      <c r="AL1762" t="s">
        <v>59611</v>
      </c>
      <c r="AN1762" t="s">
        <v>50917</v>
      </c>
      <c t="s">
        <v>22821</v>
      </c>
      <c t="s">
        <v>38014</v>
      </c>
      <c t="s">
        <v>3093</v>
      </c>
      <c t="s">
        <v>6479</v>
      </c>
    </row>
    <row>
      <c t="s">
        <v>17594</v>
      </c>
      <c t="s">
        <v>5184</v>
      </c>
      <c t="s">
        <v>55304</v>
      </c>
      <c t="s">
        <v>39342</v>
      </c>
      <c t="s">
        <v>62817</v>
      </c>
      <c s="3">
        <v>36210</v>
      </c>
      <c s="3">
        <v>36210</v>
      </c>
      <c s="3">
        <v>9339</v>
      </c>
      <c>
        <v>0</v>
      </c>
      <c s="3">
        <v>0</v>
      </c>
      <c s="3">
        <v>671.29</v>
      </c>
      <c s="3">
        <v>36210</v>
      </c>
      <c r="O1763" s="1" t="str">
        <f ca="1">HYPERLINK("https://web.datatree.com/?/property?propertyId=32617073", "https://web.datatree.com/?/property?propertyId=32617073")</f>
        <v>https://web.datatree.com/?/property?propertyId=32617073</v>
      </c>
      <c r="Q1763" t="s">
        <v>316</v>
      </c>
      <c>
        <v>0.23</v>
      </c>
      <c t="s">
        <v>65422</v>
      </c>
      <c t="s">
        <v>64030</v>
      </c>
      <c t="s">
        <v>7428</v>
      </c>
      <c t="s">
        <v>17459</v>
      </c>
      <c t="s">
        <v>7428</v>
      </c>
      <c t="s">
        <v>657</v>
      </c>
      <c t="s">
        <v>8669</v>
      </c>
      <c t="s">
        <v>2517</v>
      </c>
      <c t="s">
        <v>39289</v>
      </c>
      <c>
        <v>33909</v>
      </c>
      <c t="s">
        <v>17515</v>
      </c>
      <c t="s">
        <v>48794</v>
      </c>
      <c t="s">
        <v>41216</v>
      </c>
      <c>
        <v>5700</v>
      </c>
      <c r="AI1763" t="s">
        <v>6328</v>
      </c>
      <c t="s">
        <v>24900</v>
      </c>
      <c>
        <v>1112</v>
      </c>
      <c t="s">
        <v>55393</v>
      </c>
      <c r="AN1763" t="s">
        <v>39289</v>
      </c>
      <c t="s">
        <v>14515</v>
      </c>
      <c t="s">
        <v>23611</v>
      </c>
      <c t="s">
        <v>3093</v>
      </c>
      <c t="s">
        <v>8680</v>
      </c>
    </row>
    <row>
      <c t="s">
        <v>42103</v>
      </c>
      <c t="s">
        <v>47087</v>
      </c>
      <c t="s">
        <v>39347</v>
      </c>
      <c t="s">
        <v>22716</v>
      </c>
      <c t="s">
        <v>31730</v>
      </c>
      <c s="3">
        <v>28418</v>
      </c>
      <c s="3">
        <v>28418</v>
      </c>
      <c s="3">
        <v>11385</v>
      </c>
      <c>
        <v>0</v>
      </c>
      <c s="3">
        <v>0</v>
      </c>
      <c s="3">
        <v>833.68</v>
      </c>
      <c s="3">
        <v>28418</v>
      </c>
      <c>
        <v>2021</v>
      </c>
      <c>
        <v>759.08</v>
      </c>
      <c s="1" t="str">
        <f ca="1">HYPERLINK("https://web.datatree.com/?/property?propertyId=32617865", "https://web.datatree.com/?/property?propertyId=32617865")</f>
        <v>https://web.datatree.com/?/property?propertyId=32617865</v>
      </c>
      <c r="Q1764" t="s">
        <v>316</v>
      </c>
      <c>
        <v>0.447</v>
      </c>
      <c t="s">
        <v>22490</v>
      </c>
      <c t="s">
        <v>45561</v>
      </c>
      <c t="s">
        <v>54492</v>
      </c>
      <c t="s">
        <v>9900</v>
      </c>
      <c t="s">
        <v>47618</v>
      </c>
      <c t="s">
        <v>54477</v>
      </c>
      <c t="s">
        <v>34136</v>
      </c>
      <c t="s">
        <v>2517</v>
      </c>
      <c t="s">
        <v>39289</v>
      </c>
      <c>
        <v>33909</v>
      </c>
      <c t="s">
        <v>1234</v>
      </c>
      <c t="s">
        <v>48794</v>
      </c>
      <c t="s">
        <v>50761</v>
      </c>
      <c r="AI1764" t="s">
        <v>60268</v>
      </c>
      <c r="AL1764" t="s">
        <v>66907</v>
      </c>
      <c r="AN1764" t="s">
        <v>19878</v>
      </c>
      <c>
        <v>60463</v>
      </c>
      <c t="s">
        <v>31451</v>
      </c>
      <c t="s">
        <v>3093</v>
      </c>
      <c t="s">
        <v>6903</v>
      </c>
    </row>
    <row>
      <c t="s">
        <v>17594</v>
      </c>
      <c t="s">
        <v>56986</v>
      </c>
      <c t="s">
        <v>26751</v>
      </c>
      <c t="s">
        <v>47954</v>
      </c>
      <c t="s">
        <v>1618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1765" s="1" t="str">
        <f ca="1">HYPERLINK("https://web.datatree.com/?/property?propertyId=32618237", "https://web.datatree.com/?/property?propertyId=32618237")</f>
        <v>https://web.datatree.com/?/property?propertyId=32618237</v>
      </c>
      <c r="Q1765" t="s">
        <v>316</v>
      </c>
      <c>
        <v>0.23</v>
      </c>
      <c t="s">
        <v>6175</v>
      </c>
      <c t="s">
        <v>25477</v>
      </c>
      <c t="s">
        <v>61584</v>
      </c>
      <c r="X1765" t="s">
        <v>47006</v>
      </c>
      <c t="s">
        <v>53663</v>
      </c>
      <c t="s">
        <v>2517</v>
      </c>
      <c t="s">
        <v>39289</v>
      </c>
      <c>
        <v>33909</v>
      </c>
      <c t="s">
        <v>57030</v>
      </c>
      <c t="s">
        <v>48794</v>
      </c>
      <c t="s">
        <v>21358</v>
      </c>
      <c>
        <v>18958</v>
      </c>
      <c r="AI1765" t="s">
        <v>25268</v>
      </c>
      <c t="s">
        <v>40123</v>
      </c>
      <c r="AL1765" t="s">
        <v>29515</v>
      </c>
      <c r="AN1765" t="s">
        <v>39289</v>
      </c>
      <c t="s">
        <v>43018</v>
      </c>
      <c t="s">
        <v>17380</v>
      </c>
      <c t="s">
        <v>3093</v>
      </c>
      <c t="s">
        <v>55699</v>
      </c>
    </row>
    <row>
      <c t="s">
        <v>17594</v>
      </c>
      <c t="s">
        <v>5474</v>
      </c>
      <c t="s">
        <v>48689</v>
      </c>
      <c t="s">
        <v>38095</v>
      </c>
      <c t="s">
        <v>33830</v>
      </c>
      <c s="3">
        <v>8161</v>
      </c>
      <c s="3">
        <v>8161</v>
      </c>
      <c s="3">
        <v>4952</v>
      </c>
      <c>
        <v>0</v>
      </c>
      <c s="3">
        <v>0</v>
      </c>
      <c s="3">
        <v>313.92</v>
      </c>
      <c s="3">
        <v>8161</v>
      </c>
      <c r="O1766" s="1" t="str">
        <f ca="1">HYPERLINK("https://web.datatree.com/?/property?propertyId=32618251", "https://web.datatree.com/?/property?propertyId=32618251")</f>
        <v>https://web.datatree.com/?/property?propertyId=32618251</v>
      </c>
      <c r="Q1766" t="s">
        <v>316</v>
      </c>
      <c>
        <v>0.223</v>
      </c>
      <c t="s">
        <v>5471</v>
      </c>
      <c t="s">
        <v>67208</v>
      </c>
      <c t="s">
        <v>60475</v>
      </c>
      <c r="X1766" t="s">
        <v>51730</v>
      </c>
      <c t="s">
        <v>26561</v>
      </c>
      <c t="s">
        <v>65059</v>
      </c>
      <c t="s">
        <v>39289</v>
      </c>
      <c>
        <v>33905</v>
      </c>
      <c t="s">
        <v>11852</v>
      </c>
      <c t="s">
        <v>48794</v>
      </c>
      <c t="s">
        <v>47486</v>
      </c>
      <c>
        <v>61</v>
      </c>
      <c r="AI1766" t="s">
        <v>37220</v>
      </c>
      <c t="s">
        <v>45393</v>
      </c>
      <c r="AL1766" t="s">
        <v>66801</v>
      </c>
      <c r="AN1766" t="s">
        <v>27747</v>
      </c>
      <c t="s">
        <v>37458</v>
      </c>
      <c t="s">
        <v>23611</v>
      </c>
      <c t="s">
        <v>3093</v>
      </c>
      <c t="s">
        <v>12626</v>
      </c>
    </row>
    <row>
      <c t="s">
        <v>17594</v>
      </c>
      <c t="s">
        <v>16090</v>
      </c>
      <c t="s">
        <v>39562</v>
      </c>
      <c t="s">
        <v>6008</v>
      </c>
      <c t="s">
        <v>21524</v>
      </c>
      <c s="3">
        <v>24937</v>
      </c>
      <c s="3">
        <v>24937</v>
      </c>
      <c s="3">
        <v>9438</v>
      </c>
      <c>
        <v>0</v>
      </c>
      <c s="3">
        <v>0</v>
      </c>
      <c s="3">
        <v>2913.71</v>
      </c>
      <c s="3">
        <v>24937</v>
      </c>
      <c r="O1767" s="1" t="str">
        <f ca="1">HYPERLINK("https://web.datatree.com/?/property?propertyId=32618567", "https://web.datatree.com/?/property?propertyId=32618567")</f>
        <v>https://web.datatree.com/?/property?propertyId=32618567</v>
      </c>
      <c r="Q1767" t="s">
        <v>316</v>
      </c>
      <c>
        <v>0.23</v>
      </c>
      <c t="s">
        <v>6175</v>
      </c>
      <c t="s">
        <v>66240</v>
      </c>
      <c t="s">
        <v>9185</v>
      </c>
      <c r="W1767" t="s">
        <v>27758</v>
      </c>
      <c t="s">
        <v>14198</v>
      </c>
      <c t="s">
        <v>58797</v>
      </c>
      <c t="s">
        <v>2517</v>
      </c>
      <c t="s">
        <v>39289</v>
      </c>
      <c>
        <v>33909</v>
      </c>
      <c t="s">
        <v>60687</v>
      </c>
      <c t="s">
        <v>48794</v>
      </c>
      <c t="s">
        <v>43308</v>
      </c>
      <c>
        <v>448</v>
      </c>
      <c r="AI1767" t="s">
        <v>37773</v>
      </c>
      <c t="s">
        <v>45393</v>
      </c>
      <c>
        <v>2</v>
      </c>
      <c t="s">
        <v>16321</v>
      </c>
      <c t="s">
        <v>16321</v>
      </c>
      <c t="s">
        <v>27747</v>
      </c>
      <c t="s">
        <v>37762</v>
      </c>
      <c t="s">
        <v>15968</v>
      </c>
      <c t="s">
        <v>3093</v>
      </c>
      <c t="s">
        <v>21243</v>
      </c>
    </row>
    <row>
      <c t="s">
        <v>17594</v>
      </c>
      <c t="s">
        <v>60145</v>
      </c>
      <c t="s">
        <v>54429</v>
      </c>
      <c t="s">
        <v>13124</v>
      </c>
      <c t="s">
        <v>26973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1768" s="1" t="str">
        <f ca="1">HYPERLINK("https://web.datatree.com/?/property?propertyId=32618591", "https://web.datatree.com/?/property?propertyId=32618591")</f>
        <v>https://web.datatree.com/?/property?propertyId=32618591</v>
      </c>
      <c r="Q1768" t="s">
        <v>316</v>
      </c>
      <c>
        <v>0.23</v>
      </c>
      <c t="s">
        <v>22490</v>
      </c>
      <c t="s">
        <v>2022</v>
      </c>
      <c t="s">
        <v>30491</v>
      </c>
      <c t="s">
        <v>56498</v>
      </c>
      <c t="s">
        <v>30491</v>
      </c>
      <c t="s">
        <v>15303</v>
      </c>
      <c t="s">
        <v>53675</v>
      </c>
      <c t="s">
        <v>2517</v>
      </c>
      <c t="s">
        <v>39289</v>
      </c>
      <c>
        <v>33909</v>
      </c>
      <c t="s">
        <v>49621</v>
      </c>
      <c t="s">
        <v>48794</v>
      </c>
      <c t="s">
        <v>16626</v>
      </c>
      <c>
        <v>74</v>
      </c>
      <c r="AI1768" t="s">
        <v>49762</v>
      </c>
      <c t="s">
        <v>45620</v>
      </c>
      <c r="AL1768" t="s">
        <v>18466</v>
      </c>
      <c r="AN1768" t="s">
        <v>26016</v>
      </c>
      <c t="s">
        <v>3957</v>
      </c>
      <c t="s">
        <v>65563</v>
      </c>
      <c t="s">
        <v>3093</v>
      </c>
      <c t="s">
        <v>52124</v>
      </c>
    </row>
    <row>
      <c t="s">
        <v>17594</v>
      </c>
      <c t="s">
        <v>53141</v>
      </c>
      <c t="s">
        <v>20209</v>
      </c>
      <c t="s">
        <v>65538</v>
      </c>
      <c t="s">
        <v>62219</v>
      </c>
      <c s="3">
        <v>12544</v>
      </c>
      <c s="3">
        <v>12544</v>
      </c>
      <c s="3">
        <v>6389</v>
      </c>
      <c>
        <v>0</v>
      </c>
      <c s="3">
        <v>0</v>
      </c>
      <c s="3">
        <v>325.76</v>
      </c>
      <c s="3">
        <v>12544</v>
      </c>
      <c r="O1769" s="1" t="str">
        <f ca="1">HYPERLINK("https://web.datatree.com/?/property?propertyId=32618613", "https://web.datatree.com/?/property?propertyId=32618613")</f>
        <v>https://web.datatree.com/?/property?propertyId=32618613</v>
      </c>
      <c r="Q1769" t="s">
        <v>316</v>
      </c>
      <c>
        <v>0.24</v>
      </c>
      <c t="s">
        <v>5471</v>
      </c>
      <c t="s">
        <v>19775</v>
      </c>
      <c t="s">
        <v>7637</v>
      </c>
      <c r="X1769" t="s">
        <v>10387</v>
      </c>
      <c t="s">
        <v>20199</v>
      </c>
      <c t="s">
        <v>65059</v>
      </c>
      <c t="s">
        <v>39289</v>
      </c>
      <c>
        <v>33905</v>
      </c>
      <c t="s">
        <v>59368</v>
      </c>
      <c t="s">
        <v>48794</v>
      </c>
      <c t="s">
        <v>18175</v>
      </c>
      <c>
        <v>610</v>
      </c>
      <c r="AI1769" t="s">
        <v>38787</v>
      </c>
      <c t="s">
        <v>45620</v>
      </c>
      <c>
        <v>1</v>
      </c>
      <c t="s">
        <v>54231</v>
      </c>
      <c t="s">
        <v>54231</v>
      </c>
      <c t="s">
        <v>39289</v>
      </c>
      <c t="s">
        <v>47440</v>
      </c>
      <c t="s">
        <v>4480</v>
      </c>
      <c t="s">
        <v>3093</v>
      </c>
      <c t="s">
        <v>3307</v>
      </c>
    </row>
    <row>
      <c t="s">
        <v>17594</v>
      </c>
      <c t="s">
        <v>41471</v>
      </c>
      <c t="s">
        <v>13498</v>
      </c>
      <c t="s">
        <v>23629</v>
      </c>
      <c t="s">
        <v>1480</v>
      </c>
      <c s="3">
        <v>22152</v>
      </c>
      <c s="3">
        <v>22152</v>
      </c>
      <c s="3">
        <v>22152</v>
      </c>
      <c>
        <v>0</v>
      </c>
      <c s="3">
        <v>0</v>
      </c>
      <c s="3">
        <v>718.12</v>
      </c>
      <c s="3">
        <v>22152</v>
      </c>
      <c r="O1770" s="1" t="str">
        <f ca="1">HYPERLINK("https://web.datatree.com/?/property?propertyId=32618894", "https://web.datatree.com/?/property?propertyId=32618894")</f>
        <v>https://web.datatree.com/?/property?propertyId=32618894</v>
      </c>
      <c r="Q1770" t="s">
        <v>316</v>
      </c>
      <c>
        <v>0.244</v>
      </c>
      <c t="s">
        <v>22490</v>
      </c>
      <c t="s">
        <v>39936</v>
      </c>
      <c t="s">
        <v>26330</v>
      </c>
      <c t="s">
        <v>55140</v>
      </c>
      <c t="s">
        <v>26330</v>
      </c>
      <c t="s">
        <v>16632</v>
      </c>
      <c t="s">
        <v>25017</v>
      </c>
      <c t="s">
        <v>2517</v>
      </c>
      <c t="s">
        <v>39289</v>
      </c>
      <c>
        <v>33909</v>
      </c>
      <c t="s">
        <v>26055</v>
      </c>
      <c t="s">
        <v>48794</v>
      </c>
      <c t="s">
        <v>13079</v>
      </c>
      <c>
        <v>1835</v>
      </c>
      <c r="AI1770" t="s">
        <v>25897</v>
      </c>
      <c t="s">
        <v>56275</v>
      </c>
      <c r="AL1770" t="s">
        <v>62000</v>
      </c>
      <c t="s">
        <v>62000</v>
      </c>
      <c t="s">
        <v>32657</v>
      </c>
      <c t="s">
        <v>63370</v>
      </c>
      <c t="s">
        <v>57360</v>
      </c>
      <c t="s">
        <v>3093</v>
      </c>
      <c t="s">
        <v>62349</v>
      </c>
    </row>
    <row>
      <c t="s">
        <v>17594</v>
      </c>
      <c t="s">
        <v>24407</v>
      </c>
      <c t="s">
        <v>45381</v>
      </c>
      <c t="s">
        <v>62832</v>
      </c>
      <c t="s">
        <v>7380</v>
      </c>
      <c s="3">
        <v>7700</v>
      </c>
      <c s="3">
        <v>7700</v>
      </c>
      <c s="3">
        <v>7700</v>
      </c>
      <c>
        <v>0</v>
      </c>
      <c s="3">
        <v>0</v>
      </c>
      <c s="3">
        <v>690.23</v>
      </c>
      <c s="3">
        <v>7700</v>
      </c>
      <c>
        <v>2021</v>
      </c>
      <c>
        <v>586.06</v>
      </c>
      <c s="1" t="str">
        <f ca="1">HYPERLINK("https://web.datatree.com/?/property?propertyId=32618969", "https://web.datatree.com/?/property?propertyId=32618969")</f>
        <v>https://web.datatree.com/?/property?propertyId=32618969</v>
      </c>
      <c r="Q1771" t="s">
        <v>316</v>
      </c>
      <c>
        <v>0.23</v>
      </c>
      <c t="s">
        <v>6175</v>
      </c>
      <c t="s">
        <v>552</v>
      </c>
      <c t="s">
        <v>44606</v>
      </c>
      <c t="s">
        <v>32056</v>
      </c>
      <c t="s">
        <v>52908</v>
      </c>
      <c t="s">
        <v>48590</v>
      </c>
      <c t="s">
        <v>29190</v>
      </c>
      <c t="s">
        <v>2517</v>
      </c>
      <c t="s">
        <v>39289</v>
      </c>
      <c>
        <v>33909</v>
      </c>
      <c t="s">
        <v>41386</v>
      </c>
      <c t="s">
        <v>48794</v>
      </c>
      <c t="s">
        <v>59533</v>
      </c>
      <c>
        <v>750</v>
      </c>
      <c r="AI1771" t="s">
        <v>66157</v>
      </c>
      <c t="s">
        <v>835</v>
      </c>
      <c r="AL1771" t="s">
        <v>56874</v>
      </c>
      <c t="s">
        <v>56874</v>
      </c>
      <c t="s">
        <v>39289</v>
      </c>
      <c t="s">
        <v>56791</v>
      </c>
      <c t="s">
        <v>13414</v>
      </c>
      <c t="s">
        <v>3093</v>
      </c>
      <c t="s">
        <v>28111</v>
      </c>
    </row>
    <row>
      <c t="s">
        <v>17594</v>
      </c>
      <c t="s">
        <v>28085</v>
      </c>
      <c t="s">
        <v>18612</v>
      </c>
      <c t="s">
        <v>11782</v>
      </c>
      <c t="s">
        <v>45069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1772" s="1" t="str">
        <f ca="1">HYPERLINK("https://web.datatree.com/?/property?propertyId=32619032", "https://web.datatree.com/?/property?propertyId=32619032")</f>
        <v>https://web.datatree.com/?/property?propertyId=32619032</v>
      </c>
      <c r="Q1772" t="s">
        <v>316</v>
      </c>
      <c>
        <v>0.241</v>
      </c>
      <c t="s">
        <v>42044</v>
      </c>
      <c t="s">
        <v>3238</v>
      </c>
      <c t="s">
        <v>66864</v>
      </c>
      <c t="s">
        <v>35512</v>
      </c>
      <c t="s">
        <v>4341</v>
      </c>
      <c t="s">
        <v>62362</v>
      </c>
      <c t="s">
        <v>7113</v>
      </c>
      <c t="s">
        <v>2517</v>
      </c>
      <c t="s">
        <v>39289</v>
      </c>
      <c>
        <v>33909</v>
      </c>
      <c t="s">
        <v>28696</v>
      </c>
      <c t="s">
        <v>48794</v>
      </c>
      <c t="s">
        <v>7297</v>
      </c>
      <c>
        <v>497</v>
      </c>
      <c r="AI1772" t="s">
        <v>26026</v>
      </c>
      <c r="AL1772" t="s">
        <v>4367</v>
      </c>
      <c r="AN1772" t="s">
        <v>52339</v>
      </c>
      <c>
        <v>2300</v>
      </c>
      <c r="AR1772" t="s">
        <v>27567</v>
      </c>
    </row>
    <row>
      <c t="s">
        <v>17594</v>
      </c>
      <c t="s">
        <v>4825</v>
      </c>
      <c t="s">
        <v>26430</v>
      </c>
      <c t="s">
        <v>51</v>
      </c>
      <c t="s">
        <v>38898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773" s="1" t="str">
        <f ca="1">HYPERLINK("https://web.datatree.com/?/property?propertyId=32619280", "https://web.datatree.com/?/property?propertyId=32619280")</f>
        <v>https://web.datatree.com/?/property?propertyId=32619280</v>
      </c>
      <c r="Q1773" t="s">
        <v>316</v>
      </c>
      <c>
        <v>0.23</v>
      </c>
      <c t="s">
        <v>6175</v>
      </c>
      <c t="s">
        <v>19112</v>
      </c>
      <c t="s">
        <v>39395</v>
      </c>
      <c t="s">
        <v>27351</v>
      </c>
      <c t="s">
        <v>39395</v>
      </c>
      <c t="s">
        <v>43870</v>
      </c>
      <c t="s">
        <v>57064</v>
      </c>
      <c t="s">
        <v>2517</v>
      </c>
      <c t="s">
        <v>39289</v>
      </c>
      <c>
        <v>33909</v>
      </c>
      <c t="s">
        <v>19058</v>
      </c>
      <c t="s">
        <v>48794</v>
      </c>
      <c t="s">
        <v>35594</v>
      </c>
      <c>
        <v>7832</v>
      </c>
      <c r="AI1773" t="s">
        <v>67120</v>
      </c>
      <c t="s">
        <v>4985</v>
      </c>
      <c r="AL1773" t="s">
        <v>7812</v>
      </c>
      <c r="AN1773" t="s">
        <v>49572</v>
      </c>
      <c t="s">
        <v>10114</v>
      </c>
      <c t="s">
        <v>23625</v>
      </c>
      <c t="s">
        <v>3093</v>
      </c>
      <c t="s">
        <v>46718</v>
      </c>
    </row>
    <row>
      <c t="s">
        <v>17594</v>
      </c>
      <c t="s">
        <v>7235</v>
      </c>
      <c t="s">
        <v>25891</v>
      </c>
      <c t="s">
        <v>10897</v>
      </c>
      <c t="s">
        <v>23393</v>
      </c>
      <c s="3">
        <v>19576</v>
      </c>
      <c s="3">
        <v>19576</v>
      </c>
      <c s="3">
        <v>9599</v>
      </c>
      <c>
        <v>0</v>
      </c>
      <c s="3">
        <v>0</v>
      </c>
      <c s="3">
        <v>689.58</v>
      </c>
      <c s="3">
        <v>19576</v>
      </c>
      <c r="O1774" s="1" t="str">
        <f ca="1">HYPERLINK("https://web.datatree.com/?/property?propertyId=32619819", "https://web.datatree.com/?/property?propertyId=32619819")</f>
        <v>https://web.datatree.com/?/property?propertyId=32619819</v>
      </c>
      <c r="Q1774" t="s">
        <v>316</v>
      </c>
      <c>
        <v>0.344</v>
      </c>
      <c t="s">
        <v>6175</v>
      </c>
      <c t="s">
        <v>53959</v>
      </c>
      <c t="s">
        <v>30959</v>
      </c>
      <c r="X1774" t="s">
        <v>24772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40590</v>
      </c>
      <c t="str">
        <f>"24-2-16"</f>
        <v>24-2-16</v>
      </c>
      <c r="AI1774" t="s">
        <v>53092</v>
      </c>
      <c r="AL1774" t="s">
        <v>63230</v>
      </c>
      <c r="AN1774" t="s">
        <v>40580</v>
      </c>
      <c>
        <v>1140</v>
      </c>
      <c r="AR1774" t="s">
        <v>53649</v>
      </c>
    </row>
    <row>
      <c t="s">
        <v>17594</v>
      </c>
      <c t="s">
        <v>51917</v>
      </c>
      <c t="s">
        <v>25360</v>
      </c>
      <c t="s">
        <v>25054</v>
      </c>
      <c t="s">
        <v>58649</v>
      </c>
      <c s="3">
        <v>29858</v>
      </c>
      <c s="3">
        <v>29858</v>
      </c>
      <c s="3">
        <v>29698</v>
      </c>
      <c>
        <v>0</v>
      </c>
      <c s="3">
        <v>0</v>
      </c>
      <c s="3">
        <v>413.29</v>
      </c>
      <c s="3">
        <v>29858</v>
      </c>
      <c r="O1775" s="1" t="str">
        <f ca="1">HYPERLINK("https://web.datatree.com/?/property?propertyId=32620271", "https://web.datatree.com/?/property?propertyId=32620271")</f>
        <v>https://web.datatree.com/?/property?propertyId=32620271</v>
      </c>
      <c r="Q1775" t="s">
        <v>316</v>
      </c>
      <c>
        <v>0.039</v>
      </c>
      <c t="s">
        <v>54329</v>
      </c>
      <c t="s">
        <v>3724</v>
      </c>
      <c t="s">
        <v>44403</v>
      </c>
      <c t="s">
        <v>33832</v>
      </c>
      <c t="s">
        <v>44403</v>
      </c>
      <c t="s">
        <v>57478</v>
      </c>
      <c t="s">
        <v>2541</v>
      </c>
      <c t="s">
        <v>65059</v>
      </c>
      <c t="s">
        <v>39289</v>
      </c>
      <c>
        <v>33908</v>
      </c>
      <c t="s">
        <v>2686</v>
      </c>
      <c t="s">
        <v>48794</v>
      </c>
      <c t="s">
        <v>54433</v>
      </c>
      <c>
        <v>400</v>
      </c>
      <c r="AI1775" t="s">
        <v>48577</v>
      </c>
      <c t="s">
        <v>45393</v>
      </c>
      <c r="AL1775" t="s">
        <v>11743</v>
      </c>
      <c t="s">
        <v>53482</v>
      </c>
      <c t="s">
        <v>22275</v>
      </c>
      <c t="s">
        <v>13682</v>
      </c>
      <c t="s">
        <v>26242</v>
      </c>
      <c t="s">
        <v>3093</v>
      </c>
      <c t="s">
        <v>4666</v>
      </c>
    </row>
    <row>
      <c t="s">
        <v>17594</v>
      </c>
      <c t="s">
        <v>14875</v>
      </c>
      <c t="s">
        <v>40638</v>
      </c>
      <c t="s">
        <v>47018</v>
      </c>
      <c t="s">
        <v>37734</v>
      </c>
      <c s="3">
        <v>25200</v>
      </c>
      <c s="3">
        <v>25200</v>
      </c>
      <c s="3">
        <v>25200</v>
      </c>
      <c>
        <v>0</v>
      </c>
      <c s="3">
        <v>0</v>
      </c>
      <c s="3">
        <v>1503.6</v>
      </c>
      <c s="3">
        <v>25200</v>
      </c>
      <c>
        <v>2021</v>
      </c>
      <c>
        <v>1225.08</v>
      </c>
      <c s="1" t="str">
        <f ca="1">HYPERLINK("https://web.datatree.com/?/property?propertyId=32620596", "https://web.datatree.com/?/property?propertyId=32620596")</f>
        <v>https://web.datatree.com/?/property?propertyId=32620596</v>
      </c>
      <c r="Q1776" t="s">
        <v>316</v>
      </c>
      <c>
        <v>0.689</v>
      </c>
      <c t="s">
        <v>42044</v>
      </c>
      <c t="s">
        <v>5459</v>
      </c>
      <c t="s">
        <v>6209</v>
      </c>
      <c t="s">
        <v>2140</v>
      </c>
      <c r="X1776" t="s">
        <v>32779</v>
      </c>
      <c t="s">
        <v>7113</v>
      </c>
      <c t="s">
        <v>2517</v>
      </c>
      <c t="s">
        <v>39289</v>
      </c>
      <c>
        <v>33909</v>
      </c>
      <c t="s">
        <v>7028</v>
      </c>
      <c t="s">
        <v>48794</v>
      </c>
      <c t="s">
        <v>34336</v>
      </c>
      <c>
        <v>507</v>
      </c>
      <c r="AH1776" t="s">
        <v>63047</v>
      </c>
      <c t="s">
        <v>7113</v>
      </c>
      <c t="s">
        <v>20615</v>
      </c>
      <c r="AL1776" t="s">
        <v>2517</v>
      </c>
      <c t="s">
        <v>33214</v>
      </c>
      <c t="s">
        <v>39289</v>
      </c>
      <c t="s">
        <v>28696</v>
      </c>
      <c t="s">
        <v>30807</v>
      </c>
      <c t="s">
        <v>3093</v>
      </c>
      <c t="s">
        <v>65736</v>
      </c>
    </row>
    <row>
      <c t="s">
        <v>17594</v>
      </c>
      <c t="s">
        <v>24276</v>
      </c>
      <c t="s">
        <v>11532</v>
      </c>
      <c t="s">
        <v>64138</v>
      </c>
      <c t="s">
        <v>16132</v>
      </c>
      <c s="3">
        <v>136210</v>
      </c>
      <c s="3">
        <v>136210</v>
      </c>
      <c s="3">
        <v>136210</v>
      </c>
      <c>
        <v>0</v>
      </c>
      <c s="3">
        <v>0</v>
      </c>
      <c s="3">
        <v>2039.31</v>
      </c>
      <c s="3">
        <v>136210</v>
      </c>
      <c r="O1777" s="1" t="str">
        <f ca="1">HYPERLINK("https://web.datatree.com/?/property?propertyId=32620787", "https://web.datatree.com/?/property?propertyId=32620787")</f>
        <v>https://web.datatree.com/?/property?propertyId=32620787</v>
      </c>
      <c r="Q1777" t="s">
        <v>316</v>
      </c>
      <c>
        <v>5.14</v>
      </c>
      <c t="s">
        <v>30497</v>
      </c>
      <c t="s">
        <v>61259</v>
      </c>
      <c t="s">
        <v>27484</v>
      </c>
      <c r="X1777" t="s">
        <v>19244</v>
      </c>
      <c t="s">
        <v>42459</v>
      </c>
      <c t="s">
        <v>65059</v>
      </c>
      <c t="s">
        <v>39289</v>
      </c>
      <c>
        <v>33905</v>
      </c>
      <c>
        <v>33905</v>
      </c>
      <c t="s">
        <v>48794</v>
      </c>
      <c t="s">
        <v>54010</v>
      </c>
      <c>
        <v>353</v>
      </c>
      <c r="AI1777" t="s">
        <v>1275</v>
      </c>
      <c t="s">
        <v>31192</v>
      </c>
      <c r="AL1777" t="s">
        <v>31886</v>
      </c>
      <c t="s">
        <v>53407</v>
      </c>
      <c t="s">
        <v>66651</v>
      </c>
      <c t="s">
        <v>37048</v>
      </c>
      <c t="s">
        <v>17380</v>
      </c>
      <c t="s">
        <v>3093</v>
      </c>
      <c t="s">
        <v>64871</v>
      </c>
    </row>
    <row>
      <c t="s">
        <v>42103</v>
      </c>
      <c t="s">
        <v>10793</v>
      </c>
      <c t="s">
        <v>64542</v>
      </c>
      <c t="s">
        <v>62534</v>
      </c>
      <c t="s">
        <v>52783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778" s="1" t="str">
        <f ca="1">HYPERLINK("https://web.datatree.com/?/property?propertyId=32621325", "https://web.datatree.com/?/property?propertyId=32621325")</f>
        <v>https://web.datatree.com/?/property?propertyId=32621325</v>
      </c>
      <c r="Q1778" t="s">
        <v>316</v>
      </c>
      <c>
        <v>0.23</v>
      </c>
      <c t="s">
        <v>6175</v>
      </c>
      <c t="s">
        <v>2140</v>
      </c>
      <c t="s">
        <v>30728</v>
      </c>
      <c r="X1778" t="s">
        <v>10695</v>
      </c>
      <c t="s">
        <v>41506</v>
      </c>
      <c t="s">
        <v>2517</v>
      </c>
      <c t="s">
        <v>39289</v>
      </c>
      <c>
        <v>33909</v>
      </c>
      <c t="s">
        <v>27393</v>
      </c>
      <c t="s">
        <v>48794</v>
      </c>
      <c t="s">
        <v>20976</v>
      </c>
      <c r="AI1778" t="s">
        <v>4065</v>
      </c>
      <c t="s">
        <v>31192</v>
      </c>
      <c>
        <v>540</v>
      </c>
      <c t="s">
        <v>6205</v>
      </c>
      <c r="AN1778" t="s">
        <v>39289</v>
      </c>
      <c>
        <v>33162</v>
      </c>
      <c r="AQ1778" t="s">
        <v>3093</v>
      </c>
      <c t="s">
        <v>2089</v>
      </c>
    </row>
    <row>
      <c t="s">
        <v>17594</v>
      </c>
      <c t="s">
        <v>16949</v>
      </c>
      <c t="s">
        <v>50946</v>
      </c>
      <c t="s">
        <v>42399</v>
      </c>
      <c t="s">
        <v>57443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1779" s="1" t="str">
        <f ca="1">HYPERLINK("https://web.datatree.com/?/property?propertyId=32621902", "https://web.datatree.com/?/property?propertyId=32621902")</f>
        <v>https://web.datatree.com/?/property?propertyId=32621902</v>
      </c>
      <c r="Q1779" t="s">
        <v>316</v>
      </c>
      <c>
        <v>0.23</v>
      </c>
      <c t="s">
        <v>6175</v>
      </c>
      <c t="s">
        <v>34106</v>
      </c>
      <c t="s">
        <v>12671</v>
      </c>
      <c r="X1779" t="s">
        <v>22996</v>
      </c>
      <c t="s">
        <v>2626</v>
      </c>
      <c t="s">
        <v>2517</v>
      </c>
      <c t="s">
        <v>39289</v>
      </c>
      <c>
        <v>33909</v>
      </c>
      <c t="s">
        <v>38739</v>
      </c>
      <c t="s">
        <v>48794</v>
      </c>
      <c t="s">
        <v>12055</v>
      </c>
      <c>
        <v>3</v>
      </c>
      <c r="AI1779" t="s">
        <v>3124</v>
      </c>
      <c t="s">
        <v>31192</v>
      </c>
      <c r="AL1779" t="s">
        <v>58736</v>
      </c>
      <c t="s">
        <v>58736</v>
      </c>
      <c t="s">
        <v>17331</v>
      </c>
      <c t="s">
        <v>46094</v>
      </c>
      <c t="s">
        <v>22302</v>
      </c>
      <c t="s">
        <v>3093</v>
      </c>
      <c t="s">
        <v>20653</v>
      </c>
    </row>
    <row>
      <c t="s">
        <v>17594</v>
      </c>
      <c t="s">
        <v>65585</v>
      </c>
      <c t="s">
        <v>58286</v>
      </c>
      <c t="s">
        <v>7091</v>
      </c>
      <c t="s">
        <v>25398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605.74</v>
      </c>
      <c s="1" t="str">
        <f ca="1">HYPERLINK("https://web.datatree.com/?/property?propertyId=32621964", "https://web.datatree.com/?/property?propertyId=32621964")</f>
        <v>https://web.datatree.com/?/property?propertyId=32621964</v>
      </c>
      <c r="Q1780" t="s">
        <v>316</v>
      </c>
      <c>
        <v>0.23</v>
      </c>
      <c t="s">
        <v>45031</v>
      </c>
      <c t="s">
        <v>19197</v>
      </c>
      <c t="s">
        <v>30094</v>
      </c>
      <c r="X1780" t="s">
        <v>33145</v>
      </c>
      <c t="s">
        <v>22731</v>
      </c>
      <c t="s">
        <v>2517</v>
      </c>
      <c t="s">
        <v>39289</v>
      </c>
      <c>
        <v>33909</v>
      </c>
      <c>
        <v>33909</v>
      </c>
      <c t="s">
        <v>48794</v>
      </c>
      <c t="s">
        <v>52417</v>
      </c>
      <c>
        <v>6303</v>
      </c>
      <c r="AI1780" t="s">
        <v>26976</v>
      </c>
      <c t="s">
        <v>31192</v>
      </c>
      <c>
        <v>400</v>
      </c>
      <c t="s">
        <v>55393</v>
      </c>
      <c r="AN1780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30125</v>
      </c>
      <c t="s">
        <v>3528</v>
      </c>
      <c t="s">
        <v>39536</v>
      </c>
      <c t="s">
        <v>61277</v>
      </c>
      <c s="3">
        <v>8600</v>
      </c>
      <c s="3">
        <v>8600</v>
      </c>
      <c s="3">
        <v>8600</v>
      </c>
      <c>
        <v>0</v>
      </c>
      <c s="3">
        <v>0</v>
      </c>
      <c s="3">
        <v>591.9</v>
      </c>
      <c s="3">
        <v>8600</v>
      </c>
      <c r="O1781" s="1" t="str">
        <f ca="1">HYPERLINK("https://web.datatree.com/?/property?propertyId=32622243", "https://web.datatree.com/?/property?propertyId=32622243")</f>
        <v>https://web.datatree.com/?/property?propertyId=32622243</v>
      </c>
      <c r="Q1781" t="s">
        <v>316</v>
      </c>
      <c>
        <v>0.262</v>
      </c>
      <c t="s">
        <v>6175</v>
      </c>
      <c t="s">
        <v>38202</v>
      </c>
      <c t="s">
        <v>13855</v>
      </c>
      <c t="s">
        <v>41917</v>
      </c>
      <c t="s">
        <v>13855</v>
      </c>
      <c t="s">
        <v>59426</v>
      </c>
      <c t="s">
        <v>17022</v>
      </c>
      <c t="s">
        <v>2517</v>
      </c>
      <c t="s">
        <v>39289</v>
      </c>
      <c>
        <v>33909</v>
      </c>
      <c t="s">
        <v>50429</v>
      </c>
      <c t="s">
        <v>48794</v>
      </c>
      <c t="s">
        <v>28507</v>
      </c>
      <c>
        <v>6380</v>
      </c>
      <c r="AI1781" t="s">
        <v>53817</v>
      </c>
      <c t="s">
        <v>1671</v>
      </c>
      <c r="AL1781" t="s">
        <v>11070</v>
      </c>
      <c t="s">
        <v>11070</v>
      </c>
      <c t="s">
        <v>39289</v>
      </c>
      <c t="s">
        <v>29347</v>
      </c>
      <c t="s">
        <v>12241</v>
      </c>
      <c t="s">
        <v>3093</v>
      </c>
      <c t="s">
        <v>46308</v>
      </c>
    </row>
    <row>
      <c t="s">
        <v>17594</v>
      </c>
      <c t="s">
        <v>57040</v>
      </c>
      <c t="s">
        <v>26826</v>
      </c>
      <c t="s">
        <v>47040</v>
      </c>
      <c t="s">
        <v>56551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1782" s="1" t="str">
        <f ca="1">HYPERLINK("https://web.datatree.com/?/property?propertyId=32622342", "https://web.datatree.com/?/property?propertyId=32622342")</f>
        <v>https://web.datatree.com/?/property?propertyId=32622342</v>
      </c>
      <c r="Q1782" t="s">
        <v>316</v>
      </c>
      <c>
        <v>0.23</v>
      </c>
      <c t="s">
        <v>22490</v>
      </c>
      <c t="s">
        <v>10587</v>
      </c>
      <c t="s">
        <v>56222</v>
      </c>
      <c t="s">
        <v>21379</v>
      </c>
      <c t="s">
        <v>56222</v>
      </c>
      <c t="s">
        <v>7947</v>
      </c>
      <c t="s">
        <v>53675</v>
      </c>
      <c t="s">
        <v>2517</v>
      </c>
      <c t="s">
        <v>39289</v>
      </c>
      <c>
        <v>33909</v>
      </c>
      <c t="s">
        <v>262</v>
      </c>
      <c t="s">
        <v>48794</v>
      </c>
      <c t="s">
        <v>16001</v>
      </c>
      <c>
        <v>2</v>
      </c>
      <c r="AI1782" t="s">
        <v>36693</v>
      </c>
      <c t="s">
        <v>40123</v>
      </c>
      <c r="AL1782" t="s">
        <v>59745</v>
      </c>
      <c r="AN1782" t="s">
        <v>19878</v>
      </c>
      <c t="s">
        <v>48032</v>
      </c>
      <c t="s">
        <v>38014</v>
      </c>
      <c t="s">
        <v>3093</v>
      </c>
      <c t="s">
        <v>12205</v>
      </c>
    </row>
    <row>
      <c t="s">
        <v>17594</v>
      </c>
      <c t="s">
        <v>66782</v>
      </c>
      <c t="s">
        <v>54493</v>
      </c>
      <c t="s">
        <v>41030</v>
      </c>
      <c t="s">
        <v>44719</v>
      </c>
      <c s="3">
        <v>19430</v>
      </c>
      <c s="3">
        <v>19430</v>
      </c>
      <c s="3">
        <v>2065</v>
      </c>
      <c>
        <v>0</v>
      </c>
      <c s="3">
        <v>0</v>
      </c>
      <c s="3">
        <v>2050.9</v>
      </c>
      <c s="3">
        <v>19430</v>
      </c>
      <c r="O1783" s="1" t="str">
        <f ca="1">HYPERLINK("https://web.datatree.com/?/property?propertyId=32623729", "https://web.datatree.com/?/property?propertyId=32623729")</f>
        <v>https://web.datatree.com/?/property?propertyId=32623729</v>
      </c>
      <c r="Q1783" t="s">
        <v>316</v>
      </c>
      <c>
        <v>0.115</v>
      </c>
      <c t="s">
        <v>6175</v>
      </c>
      <c t="s">
        <v>10419</v>
      </c>
      <c t="s">
        <v>4591</v>
      </c>
      <c r="X1783" t="s">
        <v>54131</v>
      </c>
      <c t="s">
        <v>61865</v>
      </c>
      <c t="s">
        <v>2517</v>
      </c>
      <c t="s">
        <v>39289</v>
      </c>
      <c>
        <v>33909</v>
      </c>
      <c t="s">
        <v>53199</v>
      </c>
      <c t="s">
        <v>48794</v>
      </c>
      <c t="s">
        <v>37044</v>
      </c>
      <c>
        <v>28</v>
      </c>
      <c r="AI1783" t="s">
        <v>51733</v>
      </c>
      <c t="s">
        <v>45393</v>
      </c>
      <c r="AL1783" t="s">
        <v>37818</v>
      </c>
      <c r="AN1783" t="s">
        <v>50917</v>
      </c>
      <c t="s">
        <v>1938</v>
      </c>
      <c t="s">
        <v>61410</v>
      </c>
      <c t="s">
        <v>3093</v>
      </c>
      <c t="s">
        <v>53659</v>
      </c>
    </row>
    <row>
      <c t="s">
        <v>17594</v>
      </c>
      <c t="s">
        <v>12939</v>
      </c>
      <c t="s">
        <v>33000</v>
      </c>
      <c t="s">
        <v>23686</v>
      </c>
      <c t="s">
        <v>26724</v>
      </c>
      <c s="3">
        <v>20376</v>
      </c>
      <c s="3">
        <v>20376</v>
      </c>
      <c s="3">
        <v>9240</v>
      </c>
      <c>
        <v>0</v>
      </c>
      <c s="3">
        <v>0</v>
      </c>
      <c s="3">
        <v>584.18</v>
      </c>
      <c s="3">
        <v>20376</v>
      </c>
      <c r="O1784" s="1" t="str">
        <f ca="1">HYPERLINK("https://web.datatree.com/?/property?propertyId=32623775", "https://web.datatree.com/?/property?propertyId=32623775")</f>
        <v>https://web.datatree.com/?/property?propertyId=32623775</v>
      </c>
      <c r="Q1784" t="s">
        <v>316</v>
      </c>
      <c>
        <v>0.244</v>
      </c>
      <c t="s">
        <v>22490</v>
      </c>
      <c t="s">
        <v>62778</v>
      </c>
      <c t="s">
        <v>60513</v>
      </c>
      <c r="X1784" t="s">
        <v>55924</v>
      </c>
      <c t="s">
        <v>11985</v>
      </c>
      <c t="s">
        <v>2517</v>
      </c>
      <c t="s">
        <v>39289</v>
      </c>
      <c>
        <v>33909</v>
      </c>
      <c>
        <v>33909</v>
      </c>
      <c t="s">
        <v>48794</v>
      </c>
      <c t="s">
        <v>38659</v>
      </c>
      <c>
        <v>1544</v>
      </c>
      <c r="AI1784" t="s">
        <v>47150</v>
      </c>
      <c t="s">
        <v>45393</v>
      </c>
      <c t="s">
        <v>18456</v>
      </c>
      <c t="s">
        <v>8109</v>
      </c>
      <c r="AN1784" t="s">
        <v>50917</v>
      </c>
      <c t="s">
        <v>54406</v>
      </c>
      <c t="s">
        <v>65563</v>
      </c>
      <c t="s">
        <v>3093</v>
      </c>
      <c t="s">
        <v>51211</v>
      </c>
    </row>
    <row>
      <c t="s">
        <v>42103</v>
      </c>
      <c t="s">
        <v>9431</v>
      </c>
      <c t="s">
        <v>40042</v>
      </c>
      <c t="s">
        <v>12958</v>
      </c>
      <c t="s">
        <v>38</v>
      </c>
      <c s="3">
        <v>114766</v>
      </c>
      <c s="3">
        <v>114766</v>
      </c>
      <c s="3">
        <v>114766</v>
      </c>
      <c>
        <v>0</v>
      </c>
      <c s="3">
        <v>0</v>
      </c>
      <c s="3">
        <v>1718.23</v>
      </c>
      <c s="3">
        <v>114766</v>
      </c>
      <c r="O1785" s="1" t="str">
        <f ca="1">HYPERLINK("https://web.datatree.com/?/property?propertyId=32624087", "https://web.datatree.com/?/property?propertyId=32624087")</f>
        <v>https://web.datatree.com/?/property?propertyId=32624087</v>
      </c>
      <c r="Q1785" t="s">
        <v>316</v>
      </c>
      <c>
        <v>1.071</v>
      </c>
      <c t="s">
        <v>30497</v>
      </c>
      <c t="s">
        <v>33614</v>
      </c>
      <c t="s">
        <v>32949</v>
      </c>
      <c t="s">
        <v>57869</v>
      </c>
      <c t="s">
        <v>32949</v>
      </c>
      <c t="s">
        <v>32570</v>
      </c>
      <c t="s">
        <v>45355</v>
      </c>
      <c t="s">
        <v>65059</v>
      </c>
      <c t="s">
        <v>39289</v>
      </c>
      <c>
        <v>33905</v>
      </c>
      <c>
        <v>33905</v>
      </c>
      <c t="s">
        <v>48794</v>
      </c>
      <c t="s">
        <v>20830</v>
      </c>
      <c t="s">
        <v>28273</v>
      </c>
      <c r="AI1785" t="s">
        <v>48626</v>
      </c>
      <c t="s">
        <v>31192</v>
      </c>
      <c r="AL1785" t="s">
        <v>5212</v>
      </c>
      <c t="s">
        <v>40227</v>
      </c>
      <c t="s">
        <v>27481</v>
      </c>
      <c t="s">
        <v>26753</v>
      </c>
      <c t="s">
        <v>44428</v>
      </c>
      <c t="s">
        <v>3093</v>
      </c>
      <c t="s">
        <v>36789</v>
      </c>
    </row>
    <row>
      <c t="s">
        <v>17594</v>
      </c>
      <c t="s">
        <v>36667</v>
      </c>
      <c t="s">
        <v>29248</v>
      </c>
      <c t="s">
        <v>35918</v>
      </c>
      <c t="s">
        <v>62032</v>
      </c>
      <c s="3">
        <v>41000</v>
      </c>
      <c s="3">
        <v>41000</v>
      </c>
      <c s="3">
        <v>13310</v>
      </c>
      <c>
        <v>0</v>
      </c>
      <c s="3">
        <v>0</v>
      </c>
      <c s="3">
        <v>738.57</v>
      </c>
      <c s="3">
        <v>41000</v>
      </c>
      <c r="O1786" s="1" t="str">
        <f ca="1">HYPERLINK("https://web.datatree.com/?/property?propertyId=32624307", "https://web.datatree.com/?/property?propertyId=32624307")</f>
        <v>https://web.datatree.com/?/property?propertyId=32624307</v>
      </c>
      <c r="Q1786" t="s">
        <v>316</v>
      </c>
      <c>
        <v>0.23</v>
      </c>
      <c t="s">
        <v>14479</v>
      </c>
      <c t="s">
        <v>27351</v>
      </c>
      <c t="s">
        <v>21755</v>
      </c>
      <c r="W1786" t="s">
        <v>53890</v>
      </c>
      <c t="s">
        <v>41209</v>
      </c>
      <c t="s">
        <v>39082</v>
      </c>
      <c t="s">
        <v>2517</v>
      </c>
      <c t="s">
        <v>39289</v>
      </c>
      <c>
        <v>33909</v>
      </c>
      <c t="s">
        <v>53408</v>
      </c>
      <c t="s">
        <v>48794</v>
      </c>
      <c t="s">
        <v>39048</v>
      </c>
      <c>
        <v>347</v>
      </c>
      <c r="AI1786" t="s">
        <v>5105</v>
      </c>
      <c t="s">
        <v>45393</v>
      </c>
      <c r="AL1786" t="s">
        <v>31833</v>
      </c>
      <c r="AN1786" t="s">
        <v>14509</v>
      </c>
      <c t="s">
        <v>54828</v>
      </c>
      <c t="s">
        <v>60160</v>
      </c>
      <c t="s">
        <v>3093</v>
      </c>
      <c t="s">
        <v>20923</v>
      </c>
    </row>
    <row>
      <c t="s">
        <v>17594</v>
      </c>
      <c t="s">
        <v>24182</v>
      </c>
      <c t="s">
        <v>31642</v>
      </c>
      <c t="s">
        <v>31105</v>
      </c>
      <c t="s">
        <v>22235</v>
      </c>
      <c s="3">
        <v>42510</v>
      </c>
      <c s="3">
        <v>42510</v>
      </c>
      <c s="3">
        <v>20280</v>
      </c>
      <c>
        <v>0</v>
      </c>
      <c s="3">
        <v>0</v>
      </c>
      <c s="3">
        <v>965.49</v>
      </c>
      <c s="3">
        <v>42510</v>
      </c>
      <c r="O1787" s="1" t="str">
        <f ca="1">HYPERLINK("https://web.datatree.com/?/property?propertyId=32624903", "https://web.datatree.com/?/property?propertyId=32624903")</f>
        <v>https://web.datatree.com/?/property?propertyId=32624903</v>
      </c>
      <c r="Q1787" t="s">
        <v>316</v>
      </c>
      <c>
        <v>0.328</v>
      </c>
      <c t="s">
        <v>6175</v>
      </c>
      <c t="s">
        <v>32056</v>
      </c>
      <c t="s">
        <v>42502</v>
      </c>
      <c t="s">
        <v>63623</v>
      </c>
      <c t="s">
        <v>41791</v>
      </c>
      <c t="s">
        <v>59676</v>
      </c>
      <c t="s">
        <v>24630</v>
      </c>
      <c t="s">
        <v>2517</v>
      </c>
      <c t="s">
        <v>39289</v>
      </c>
      <c>
        <v>33909</v>
      </c>
      <c t="s">
        <v>34985</v>
      </c>
      <c t="s">
        <v>48794</v>
      </c>
      <c t="s">
        <v>67032</v>
      </c>
      <c>
        <v>48</v>
      </c>
      <c r="AI1787" t="s">
        <v>49105</v>
      </c>
      <c t="s">
        <v>24900</v>
      </c>
      <c r="AL1787" t="s">
        <v>64737</v>
      </c>
      <c r="AN1787" t="s">
        <v>10909</v>
      </c>
      <c t="s">
        <v>55851</v>
      </c>
      <c r="AQ1787" t="s">
        <v>27814</v>
      </c>
      <c t="s">
        <v>5524</v>
      </c>
    </row>
    <row>
      <c t="s">
        <v>17594</v>
      </c>
      <c t="s">
        <v>58106</v>
      </c>
      <c t="s">
        <v>48525</v>
      </c>
      <c t="s">
        <v>1037</v>
      </c>
      <c t="s">
        <v>62122</v>
      </c>
      <c s="3">
        <v>12544</v>
      </c>
      <c s="3">
        <v>12544</v>
      </c>
      <c s="3">
        <v>4972</v>
      </c>
      <c>
        <v>0</v>
      </c>
      <c s="3">
        <v>0</v>
      </c>
      <c s="3">
        <v>325.77</v>
      </c>
      <c s="3">
        <v>12544</v>
      </c>
      <c r="O1788" s="1" t="str">
        <f ca="1">HYPERLINK("https://web.datatree.com/?/property?propertyId=32625350", "https://web.datatree.com/?/property?propertyId=32625350")</f>
        <v>https://web.datatree.com/?/property?propertyId=32625350</v>
      </c>
      <c r="Q1788" t="s">
        <v>316</v>
      </c>
      <c>
        <v>0.314</v>
      </c>
      <c t="s">
        <v>5471</v>
      </c>
      <c t="s">
        <v>8762</v>
      </c>
      <c t="s">
        <v>2108</v>
      </c>
      <c t="s">
        <v>64318</v>
      </c>
      <c t="s">
        <v>2108</v>
      </c>
      <c t="s">
        <v>53246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62058</v>
      </c>
      <c>
        <v>34</v>
      </c>
      <c r="AI1788" t="s">
        <v>16188</v>
      </c>
      <c t="s">
        <v>45620</v>
      </c>
      <c r="AL1788" t="s">
        <v>13392</v>
      </c>
      <c r="AN1788" t="s">
        <v>50917</v>
      </c>
      <c t="s">
        <v>46327</v>
      </c>
      <c t="s">
        <v>702</v>
      </c>
      <c t="s">
        <v>3093</v>
      </c>
      <c t="s">
        <v>2112</v>
      </c>
    </row>
    <row>
      <c t="s">
        <v>17594</v>
      </c>
      <c t="s">
        <v>17083</v>
      </c>
      <c t="s">
        <v>10770</v>
      </c>
      <c t="s">
        <v>5830</v>
      </c>
      <c t="s">
        <v>8191</v>
      </c>
      <c s="3">
        <v>7300</v>
      </c>
      <c s="3">
        <v>7300</v>
      </c>
      <c s="3">
        <v>7300</v>
      </c>
      <c>
        <v>0</v>
      </c>
      <c s="3">
        <v>0</v>
      </c>
      <c s="3">
        <v>725.65</v>
      </c>
      <c s="3">
        <v>7300</v>
      </c>
      <c r="O1789" s="1" t="str">
        <f ca="1">HYPERLINK("https://web.datatree.com/?/property?propertyId=32625786", "https://web.datatree.com/?/property?propertyId=32625786")</f>
        <v>https://web.datatree.com/?/property?propertyId=32625786</v>
      </c>
      <c r="Q1789" t="s">
        <v>316</v>
      </c>
      <c>
        <v>0.28</v>
      </c>
      <c t="s">
        <v>22490</v>
      </c>
      <c t="s">
        <v>12475</v>
      </c>
      <c t="s">
        <v>60168</v>
      </c>
      <c t="s">
        <v>64283</v>
      </c>
      <c t="s">
        <v>43840</v>
      </c>
      <c t="s">
        <v>25641</v>
      </c>
      <c t="s">
        <v>23517</v>
      </c>
      <c t="s">
        <v>2517</v>
      </c>
      <c t="s">
        <v>39289</v>
      </c>
      <c>
        <v>33909</v>
      </c>
      <c t="s">
        <v>29934</v>
      </c>
      <c t="s">
        <v>48794</v>
      </c>
      <c t="s">
        <v>61438</v>
      </c>
      <c>
        <v>13</v>
      </c>
      <c r="AI1789" t="s">
        <v>18135</v>
      </c>
      <c r="AL1789" t="s">
        <v>47027</v>
      </c>
      <c t="s">
        <v>19179</v>
      </c>
      <c t="s">
        <v>22275</v>
      </c>
      <c t="s">
        <v>26433</v>
      </c>
      <c t="s">
        <v>15686</v>
      </c>
      <c t="s">
        <v>3093</v>
      </c>
      <c t="s">
        <v>8749</v>
      </c>
    </row>
    <row>
      <c t="s">
        <v>17594</v>
      </c>
      <c t="s">
        <v>66193</v>
      </c>
      <c t="s">
        <v>54978</v>
      </c>
      <c t="s">
        <v>42677</v>
      </c>
      <c t="s">
        <v>48601</v>
      </c>
      <c s="3">
        <v>45092</v>
      </c>
      <c s="3">
        <v>45092</v>
      </c>
      <c s="3">
        <v>38400</v>
      </c>
      <c>
        <v>0</v>
      </c>
      <c s="3">
        <v>0</v>
      </c>
      <c s="3">
        <v>1056.81</v>
      </c>
      <c s="3">
        <v>45092</v>
      </c>
      <c r="O1790" s="1" t="str">
        <f ca="1">HYPERLINK("https://web.datatree.com/?/property?propertyId=32626056", "https://web.datatree.com/?/property?propertyId=32626056")</f>
        <v>https://web.datatree.com/?/property?propertyId=32626056</v>
      </c>
      <c r="Q1790" t="s">
        <v>316</v>
      </c>
      <c>
        <v>0.23</v>
      </c>
      <c t="s">
        <v>22490</v>
      </c>
      <c t="s">
        <v>54880</v>
      </c>
      <c t="s">
        <v>24606</v>
      </c>
      <c r="X1790" t="s">
        <v>15758</v>
      </c>
      <c t="s">
        <v>49074</v>
      </c>
      <c t="s">
        <v>2517</v>
      </c>
      <c t="s">
        <v>39289</v>
      </c>
      <c>
        <v>33904</v>
      </c>
      <c t="s">
        <v>2647</v>
      </c>
      <c t="s">
        <v>48794</v>
      </c>
      <c t="s">
        <v>46780</v>
      </c>
      <c>
        <v>9305</v>
      </c>
      <c r="AI1790" t="s">
        <v>47751</v>
      </c>
      <c t="s">
        <v>45620</v>
      </c>
      <c r="AL1790" t="s">
        <v>39042</v>
      </c>
      <c t="s">
        <v>39042</v>
      </c>
      <c t="s">
        <v>65467</v>
      </c>
      <c t="s">
        <v>40004</v>
      </c>
      <c t="s">
        <v>50779</v>
      </c>
      <c t="s">
        <v>3093</v>
      </c>
      <c t="s">
        <v>46463</v>
      </c>
    </row>
    <row>
      <c t="s">
        <v>17594</v>
      </c>
      <c t="s">
        <v>24874</v>
      </c>
      <c t="s">
        <v>2788</v>
      </c>
      <c t="s">
        <v>28560</v>
      </c>
      <c t="s">
        <v>39956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1791" s="1" t="str">
        <f ca="1">HYPERLINK("https://web.datatree.com/?/property?propertyId=32627328", "https://web.datatree.com/?/property?propertyId=32627328")</f>
        <v>https://web.datatree.com/?/property?propertyId=32627328</v>
      </c>
      <c r="Q1791" t="s">
        <v>316</v>
      </c>
      <c>
        <v>0.23</v>
      </c>
      <c t="s">
        <v>22490</v>
      </c>
      <c t="s">
        <v>19313</v>
      </c>
      <c t="s">
        <v>33960</v>
      </c>
      <c t="s">
        <v>60243</v>
      </c>
      <c t="s">
        <v>33960</v>
      </c>
      <c t="s">
        <v>14055</v>
      </c>
      <c t="s">
        <v>24999</v>
      </c>
      <c t="s">
        <v>2517</v>
      </c>
      <c t="s">
        <v>39289</v>
      </c>
      <c>
        <v>33909</v>
      </c>
      <c t="s">
        <v>20628</v>
      </c>
      <c t="s">
        <v>48794</v>
      </c>
      <c t="s">
        <v>18589</v>
      </c>
      <c>
        <v>8561</v>
      </c>
      <c r="AI1791" t="s">
        <v>3248</v>
      </c>
      <c t="s">
        <v>31192</v>
      </c>
      <c r="AL1791" t="s">
        <v>52434</v>
      </c>
      <c r="AN1791" t="s">
        <v>39289</v>
      </c>
      <c t="s">
        <v>29240</v>
      </c>
      <c t="s">
        <v>39331</v>
      </c>
      <c t="s">
        <v>3093</v>
      </c>
      <c t="s">
        <v>3532</v>
      </c>
    </row>
    <row>
      <c t="s">
        <v>17594</v>
      </c>
      <c t="s">
        <v>57621</v>
      </c>
      <c t="s">
        <v>44357</v>
      </c>
      <c t="s">
        <v>44905</v>
      </c>
      <c t="s">
        <v>51417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792" s="1" t="str">
        <f ca="1">HYPERLINK("https://web.datatree.com/?/property?propertyId=32627520", "https://web.datatree.com/?/property?propertyId=32627520")</f>
        <v>https://web.datatree.com/?/property?propertyId=32627520</v>
      </c>
      <c r="Q1792" t="s">
        <v>316</v>
      </c>
      <c>
        <v>0.24</v>
      </c>
      <c t="s">
        <v>5471</v>
      </c>
      <c t="s">
        <v>40902</v>
      </c>
      <c t="s">
        <v>39164</v>
      </c>
      <c r="X1792" t="s">
        <v>31794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10955</v>
      </c>
      <c>
        <v>3900</v>
      </c>
      <c r="AI1792" t="s">
        <v>27195</v>
      </c>
      <c t="s">
        <v>24900</v>
      </c>
      <c r="AL1792" t="s">
        <v>21676</v>
      </c>
      <c t="s">
        <v>21676</v>
      </c>
      <c t="s">
        <v>39289</v>
      </c>
      <c t="s">
        <v>34399</v>
      </c>
      <c t="s">
        <v>46114</v>
      </c>
      <c t="s">
        <v>3093</v>
      </c>
      <c t="s">
        <v>37027</v>
      </c>
    </row>
    <row>
      <c t="s">
        <v>17594</v>
      </c>
      <c t="s">
        <v>6390</v>
      </c>
      <c t="s">
        <v>13381</v>
      </c>
      <c t="s">
        <v>46088</v>
      </c>
      <c t="s">
        <v>15877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793" s="1" t="str">
        <f ca="1">HYPERLINK("https://web.datatree.com/?/property?propertyId=32627888", "https://web.datatree.com/?/property?propertyId=32627888")</f>
        <v>https://web.datatree.com/?/property?propertyId=32627888</v>
      </c>
      <c r="Q1793" t="s">
        <v>316</v>
      </c>
      <c>
        <v>0.23</v>
      </c>
      <c t="s">
        <v>6175</v>
      </c>
      <c t="s">
        <v>13593</v>
      </c>
      <c t="s">
        <v>9720</v>
      </c>
      <c t="s">
        <v>50343</v>
      </c>
      <c t="s">
        <v>9720</v>
      </c>
      <c t="s">
        <v>58893</v>
      </c>
      <c t="s">
        <v>53663</v>
      </c>
      <c t="s">
        <v>2517</v>
      </c>
      <c t="s">
        <v>39289</v>
      </c>
      <c>
        <v>33909</v>
      </c>
      <c t="s">
        <v>18287</v>
      </c>
      <c t="s">
        <v>48794</v>
      </c>
      <c t="s">
        <v>31719</v>
      </c>
      <c>
        <v>16</v>
      </c>
      <c r="AI1793" t="s">
        <v>27024</v>
      </c>
      <c t="s">
        <v>45393</v>
      </c>
      <c r="AL1793" t="s">
        <v>33575</v>
      </c>
      <c r="AN1793" t="s">
        <v>50917</v>
      </c>
      <c t="s">
        <v>21088</v>
      </c>
      <c t="s">
        <v>4480</v>
      </c>
      <c t="s">
        <v>3093</v>
      </c>
      <c t="s">
        <v>938</v>
      </c>
    </row>
    <row>
      <c t="s">
        <v>17594</v>
      </c>
      <c t="s">
        <v>53786</v>
      </c>
      <c t="s">
        <v>1321</v>
      </c>
      <c t="s">
        <v>12510</v>
      </c>
      <c t="s">
        <v>2493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1794" s="1" t="str">
        <f ca="1">HYPERLINK("https://web.datatree.com/?/property?propertyId=32628049", "https://web.datatree.com/?/property?propertyId=32628049")</f>
        <v>https://web.datatree.com/?/property?propertyId=32628049</v>
      </c>
      <c r="Q1794" t="s">
        <v>316</v>
      </c>
      <c>
        <v>0.23</v>
      </c>
      <c t="s">
        <v>6175</v>
      </c>
      <c t="s">
        <v>30728</v>
      </c>
      <c t="s">
        <v>60552</v>
      </c>
      <c r="W1794" t="s">
        <v>855</v>
      </c>
      <c t="s">
        <v>23944</v>
      </c>
      <c t="s">
        <v>13065</v>
      </c>
      <c t="s">
        <v>2517</v>
      </c>
      <c t="s">
        <v>39289</v>
      </c>
      <c>
        <v>33909</v>
      </c>
      <c t="s">
        <v>32978</v>
      </c>
      <c t="s">
        <v>48794</v>
      </c>
      <c t="s">
        <v>39185</v>
      </c>
      <c>
        <v>6900</v>
      </c>
      <c r="AI1794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52030</v>
      </c>
      <c t="s">
        <v>60945</v>
      </c>
      <c t="s">
        <v>38088</v>
      </c>
      <c t="s">
        <v>22794</v>
      </c>
      <c s="3">
        <v>74321</v>
      </c>
      <c s="3">
        <v>63500</v>
      </c>
      <c s="3">
        <v>71624</v>
      </c>
      <c>
        <v>0</v>
      </c>
      <c s="3">
        <v>0</v>
      </c>
      <c s="3">
        <v>1092.19</v>
      </c>
      <c s="3">
        <v>74321</v>
      </c>
      <c r="O1795" s="1" t="str">
        <f ca="1">HYPERLINK("https://web.datatree.com/?/property?propertyId=32628214", "https://web.datatree.com/?/property?propertyId=32628214")</f>
        <v>https://web.datatree.com/?/property?propertyId=32628214</v>
      </c>
      <c r="Q1795" t="s">
        <v>316</v>
      </c>
      <c>
        <v>0.108</v>
      </c>
      <c t="s">
        <v>26492</v>
      </c>
      <c t="s">
        <v>24692</v>
      </c>
      <c t="s">
        <v>46831</v>
      </c>
      <c t="s">
        <v>5831</v>
      </c>
      <c t="s">
        <v>46831</v>
      </c>
      <c t="s">
        <v>8692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66851</v>
      </c>
      <c>
        <v>1034</v>
      </c>
      <c r="AI1795" t="s">
        <v>46260</v>
      </c>
      <c t="s">
        <v>1671</v>
      </c>
      <c r="AL1795" t="s">
        <v>2967</v>
      </c>
      <c t="s">
        <v>40227</v>
      </c>
      <c t="s">
        <v>22275</v>
      </c>
      <c t="s">
        <v>33735</v>
      </c>
      <c t="s">
        <v>30106</v>
      </c>
      <c t="s">
        <v>3093</v>
      </c>
      <c t="s">
        <v>35019</v>
      </c>
    </row>
    <row>
      <c t="s">
        <v>17594</v>
      </c>
      <c t="s">
        <v>49167</v>
      </c>
      <c t="s">
        <v>54161</v>
      </c>
      <c t="s">
        <v>50273</v>
      </c>
      <c t="s">
        <v>16233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1796" s="1" t="str">
        <f ca="1">HYPERLINK("https://web.datatree.com/?/property?propertyId=32628521", "https://web.datatree.com/?/property?propertyId=32628521")</f>
        <v>https://web.datatree.com/?/property?propertyId=32628521</v>
      </c>
      <c r="Q1796" t="s">
        <v>316</v>
      </c>
      <c>
        <v>0.23</v>
      </c>
      <c t="s">
        <v>6175</v>
      </c>
      <c t="s">
        <v>30490</v>
      </c>
      <c t="s">
        <v>55721</v>
      </c>
      <c r="X1796" t="s">
        <v>23226</v>
      </c>
      <c t="s">
        <v>61865</v>
      </c>
      <c t="s">
        <v>2517</v>
      </c>
      <c t="s">
        <v>39289</v>
      </c>
      <c>
        <v>33909</v>
      </c>
      <c t="s">
        <v>56565</v>
      </c>
      <c t="s">
        <v>48794</v>
      </c>
      <c t="s">
        <v>34654</v>
      </c>
      <c>
        <v>11638</v>
      </c>
      <c r="AI1796" t="s">
        <v>40480</v>
      </c>
      <c t="s">
        <v>40123</v>
      </c>
      <c r="AL1796" t="s">
        <v>23346</v>
      </c>
      <c r="AN1796" t="s">
        <v>51137</v>
      </c>
      <c t="s">
        <v>19596</v>
      </c>
      <c t="s">
        <v>4797</v>
      </c>
      <c t="s">
        <v>3093</v>
      </c>
      <c t="s">
        <v>297</v>
      </c>
    </row>
    <row>
      <c t="s">
        <v>17594</v>
      </c>
      <c t="s">
        <v>24015</v>
      </c>
      <c t="s">
        <v>1064</v>
      </c>
      <c t="s">
        <v>62590</v>
      </c>
      <c t="s">
        <v>57719</v>
      </c>
      <c s="3">
        <v>34391</v>
      </c>
      <c s="3">
        <v>33965</v>
      </c>
      <c s="3">
        <v>34200</v>
      </c>
      <c>
        <v>0</v>
      </c>
      <c s="3">
        <v>0</v>
      </c>
      <c s="3">
        <v>475.23</v>
      </c>
      <c s="3">
        <v>34391</v>
      </c>
      <c r="O1797" s="1" t="str">
        <f ca="1">HYPERLINK("https://web.datatree.com/?/property?propertyId=32628803", "https://web.datatree.com/?/property?propertyId=32628803")</f>
        <v>https://web.datatree.com/?/property?propertyId=32628803</v>
      </c>
      <c>
        <v>284</v>
      </c>
      <c t="s">
        <v>316</v>
      </c>
      <c>
        <v>0.046</v>
      </c>
      <c t="s">
        <v>54329</v>
      </c>
      <c r="U1797" t="s">
        <v>60927</v>
      </c>
      <c r="W1797" t="s">
        <v>5462</v>
      </c>
      <c t="s">
        <v>18331</v>
      </c>
      <c t="s">
        <v>32195</v>
      </c>
      <c t="s">
        <v>65059</v>
      </c>
      <c t="s">
        <v>39289</v>
      </c>
      <c>
        <v>33908</v>
      </c>
      <c>
        <v>33908</v>
      </c>
      <c t="s">
        <v>48794</v>
      </c>
      <c t="s">
        <v>26636</v>
      </c>
      <c>
        <v>4661</v>
      </c>
      <c r="AI1797" t="s">
        <v>24503</v>
      </c>
      <c t="s">
        <v>22297</v>
      </c>
      <c r="AL1797" t="s">
        <v>42560</v>
      </c>
      <c r="AN1797" t="s">
        <v>51137</v>
      </c>
      <c t="s">
        <v>3584</v>
      </c>
      <c t="s">
        <v>22455</v>
      </c>
      <c t="s">
        <v>3093</v>
      </c>
      <c t="s">
        <v>1490</v>
      </c>
      <c>
        <v>1978</v>
      </c>
    </row>
    <row>
      <c t="s">
        <v>42103</v>
      </c>
      <c t="s">
        <v>46660</v>
      </c>
      <c t="s">
        <v>63259</v>
      </c>
      <c t="s">
        <v>12779</v>
      </c>
      <c t="s">
        <v>23124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>
        <v>2021</v>
      </c>
      <c>
        <v>605.74</v>
      </c>
      <c s="1" t="str">
        <f ca="1">HYPERLINK("https://web.datatree.com/?/property?propertyId=32628861", "https://web.datatree.com/?/property?propertyId=32628861")</f>
        <v>https://web.datatree.com/?/property?propertyId=32628861</v>
      </c>
      <c r="Q1798" t="s">
        <v>316</v>
      </c>
      <c>
        <v>0.23</v>
      </c>
      <c t="s">
        <v>6175</v>
      </c>
      <c t="s">
        <v>56713</v>
      </c>
      <c t="s">
        <v>2269</v>
      </c>
      <c r="X1798" t="s">
        <v>47057</v>
      </c>
      <c t="s">
        <v>47150</v>
      </c>
      <c t="s">
        <v>2517</v>
      </c>
      <c t="s">
        <v>39289</v>
      </c>
      <c>
        <v>33909</v>
      </c>
      <c t="s">
        <v>59540</v>
      </c>
      <c t="s">
        <v>48794</v>
      </c>
      <c t="s">
        <v>30280</v>
      </c>
      <c r="AI1798" t="s">
        <v>47179</v>
      </c>
      <c r="AL1798" t="s">
        <v>64889</v>
      </c>
      <c t="s">
        <v>64889</v>
      </c>
      <c t="s">
        <v>50917</v>
      </c>
      <c>
        <v>10924</v>
      </c>
      <c t="s">
        <v>23536</v>
      </c>
      <c t="s">
        <v>3093</v>
      </c>
      <c t="s">
        <v>58482</v>
      </c>
    </row>
    <row>
      <c t="s">
        <v>17594</v>
      </c>
      <c t="s">
        <v>20009</v>
      </c>
      <c t="s">
        <v>1921</v>
      </c>
      <c t="s">
        <v>21744</v>
      </c>
      <c t="s">
        <v>29319</v>
      </c>
      <c s="3">
        <v>24937</v>
      </c>
      <c s="3">
        <v>24937</v>
      </c>
      <c s="3">
        <v>9079</v>
      </c>
      <c>
        <v>0</v>
      </c>
      <c s="3">
        <v>0</v>
      </c>
      <c s="3">
        <v>2910.05</v>
      </c>
      <c s="3">
        <v>24937</v>
      </c>
      <c r="O1799" s="1" t="str">
        <f ca="1">HYPERLINK("https://web.datatree.com/?/property?propertyId=32629594", "https://web.datatree.com/?/property?propertyId=32629594")</f>
        <v>https://web.datatree.com/?/property?propertyId=32629594</v>
      </c>
      <c r="Q1799" t="s">
        <v>316</v>
      </c>
      <c>
        <v>0.23</v>
      </c>
      <c t="s">
        <v>37741</v>
      </c>
      <c t="s">
        <v>16069</v>
      </c>
      <c t="s">
        <v>42602</v>
      </c>
      <c r="X1799" t="s">
        <v>43790</v>
      </c>
      <c t="s">
        <v>61865</v>
      </c>
      <c t="s">
        <v>2517</v>
      </c>
      <c t="s">
        <v>39289</v>
      </c>
      <c>
        <v>33909</v>
      </c>
      <c>
        <v>33909</v>
      </c>
      <c t="s">
        <v>48794</v>
      </c>
      <c t="s">
        <v>13295</v>
      </c>
      <c>
        <v>7289</v>
      </c>
      <c r="AI1799" t="s">
        <v>52494</v>
      </c>
      <c t="s">
        <v>45620</v>
      </c>
      <c r="AL1799" t="s">
        <v>4542</v>
      </c>
      <c r="AN1799" t="s">
        <v>50917</v>
      </c>
      <c t="s">
        <v>13846</v>
      </c>
      <c t="s">
        <v>44428</v>
      </c>
      <c t="s">
        <v>3093</v>
      </c>
      <c t="s">
        <v>750</v>
      </c>
    </row>
    <row>
      <c t="s">
        <v>17594</v>
      </c>
      <c t="s">
        <v>66697</v>
      </c>
      <c t="s">
        <v>50549</v>
      </c>
      <c t="s">
        <v>14265</v>
      </c>
      <c t="s">
        <v>54812</v>
      </c>
      <c s="3">
        <v>23352</v>
      </c>
      <c s="3">
        <v>23352</v>
      </c>
      <c s="3">
        <v>8800</v>
      </c>
      <c>
        <v>0</v>
      </c>
      <c s="3">
        <v>0</v>
      </c>
      <c s="3">
        <v>615.88</v>
      </c>
      <c s="3">
        <v>23352</v>
      </c>
      <c r="O1800" s="1" t="str">
        <f ca="1">HYPERLINK("https://web.datatree.com/?/property?propertyId=32629612", "https://web.datatree.com/?/property?propertyId=32629612")</f>
        <v>https://web.datatree.com/?/property?propertyId=32629612</v>
      </c>
      <c r="Q1800" t="s">
        <v>316</v>
      </c>
      <c>
        <v>0.255</v>
      </c>
      <c t="s">
        <v>22490</v>
      </c>
      <c t="s">
        <v>51049</v>
      </c>
      <c t="s">
        <v>5715</v>
      </c>
      <c t="s">
        <v>24692</v>
      </c>
      <c t="s">
        <v>5715</v>
      </c>
      <c t="s">
        <v>30773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3290</v>
      </c>
      <c>
        <v>65</v>
      </c>
      <c r="AI1800" t="s">
        <v>56396</v>
      </c>
      <c t="s">
        <v>4985</v>
      </c>
      <c>
        <v>905</v>
      </c>
      <c t="s">
        <v>64737</v>
      </c>
      <c r="AN1800" t="s">
        <v>10909</v>
      </c>
      <c t="s">
        <v>22569</v>
      </c>
      <c r="AQ1800" t="s">
        <v>27814</v>
      </c>
      <c t="s">
        <v>3103</v>
      </c>
    </row>
    <row>
      <c t="s">
        <v>17594</v>
      </c>
      <c t="s">
        <v>59543</v>
      </c>
      <c t="s">
        <v>53149</v>
      </c>
      <c t="s">
        <v>56520</v>
      </c>
      <c t="s">
        <v>8808</v>
      </c>
      <c s="3">
        <v>104650</v>
      </c>
      <c s="3">
        <v>104650</v>
      </c>
      <c s="3">
        <v>104650</v>
      </c>
      <c>
        <v>0</v>
      </c>
      <c s="3">
        <v>0</v>
      </c>
      <c s="3">
        <v>1428.65</v>
      </c>
      <c s="3">
        <v>104650</v>
      </c>
      <c r="O1801" s="1" t="str">
        <f ca="1">HYPERLINK("https://web.datatree.com/?/property?propertyId=32629838", "https://web.datatree.com/?/property?propertyId=32629838")</f>
        <v>https://web.datatree.com/?/property?propertyId=32629838</v>
      </c>
      <c r="Q1801" t="s">
        <v>316</v>
      </c>
      <c>
        <v>0.413</v>
      </c>
      <c t="s">
        <v>5471</v>
      </c>
      <c t="s">
        <v>29973</v>
      </c>
      <c t="s">
        <v>28072</v>
      </c>
      <c t="s">
        <v>26628</v>
      </c>
      <c t="s">
        <v>28072</v>
      </c>
      <c t="s">
        <v>26894</v>
      </c>
      <c t="s">
        <v>45219</v>
      </c>
      <c t="s">
        <v>65059</v>
      </c>
      <c t="s">
        <v>39289</v>
      </c>
      <c>
        <v>33905</v>
      </c>
      <c t="s">
        <v>37575</v>
      </c>
      <c t="s">
        <v>48794</v>
      </c>
      <c t="s">
        <v>58858</v>
      </c>
      <c>
        <v>21</v>
      </c>
      <c r="AI1801" t="s">
        <v>37472</v>
      </c>
      <c t="s">
        <v>31192</v>
      </c>
      <c r="AL1801" t="s">
        <v>38064</v>
      </c>
      <c r="AN1801" t="s">
        <v>26016</v>
      </c>
      <c t="s">
        <v>35800</v>
      </c>
      <c t="s">
        <v>64128</v>
      </c>
      <c t="s">
        <v>3093</v>
      </c>
      <c t="s">
        <v>19145</v>
      </c>
    </row>
    <row>
      <c t="s">
        <v>17594</v>
      </c>
      <c t="s">
        <v>65504</v>
      </c>
      <c t="s">
        <v>47979</v>
      </c>
      <c t="s">
        <v>46255</v>
      </c>
      <c t="s">
        <v>25029</v>
      </c>
      <c s="3">
        <v>26249</v>
      </c>
      <c s="3">
        <v>26249</v>
      </c>
      <c s="3">
        <v>12100</v>
      </c>
      <c>
        <v>0</v>
      </c>
      <c s="3">
        <v>0</v>
      </c>
      <c s="3">
        <v>2918.19</v>
      </c>
      <c s="3">
        <v>26249</v>
      </c>
      <c r="O1802" s="1" t="str">
        <f ca="1">HYPERLINK("https://web.datatree.com/?/property?propertyId=32629951", "https://web.datatree.com/?/property?propertyId=32629951")</f>
        <v>https://web.datatree.com/?/property?propertyId=32629951</v>
      </c>
      <c r="Q1802" t="s">
        <v>316</v>
      </c>
      <c>
        <v>0.23</v>
      </c>
      <c t="s">
        <v>22490</v>
      </c>
      <c t="s">
        <v>2140</v>
      </c>
      <c t="s">
        <v>55646</v>
      </c>
      <c r="X1802" t="s">
        <v>62955</v>
      </c>
      <c t="s">
        <v>47150</v>
      </c>
      <c t="s">
        <v>2517</v>
      </c>
      <c t="s">
        <v>39289</v>
      </c>
      <c>
        <v>33909</v>
      </c>
      <c t="s">
        <v>14210</v>
      </c>
      <c t="s">
        <v>48794</v>
      </c>
      <c t="s">
        <v>32825</v>
      </c>
      <c>
        <v>151</v>
      </c>
      <c r="AI1802" t="s">
        <v>60728</v>
      </c>
      <c t="s">
        <v>31192</v>
      </c>
      <c r="AL1802" t="s">
        <v>36576</v>
      </c>
      <c r="AN1802" t="s">
        <v>65467</v>
      </c>
      <c t="s">
        <v>65829</v>
      </c>
      <c t="s">
        <v>40645</v>
      </c>
      <c t="s">
        <v>3093</v>
      </c>
      <c t="s">
        <v>37721</v>
      </c>
    </row>
    <row>
      <c t="s">
        <v>17594</v>
      </c>
      <c t="s">
        <v>1565</v>
      </c>
      <c t="s">
        <v>7262</v>
      </c>
      <c t="s">
        <v>35435</v>
      </c>
      <c t="s">
        <v>57674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1803" s="1" t="str">
        <f ca="1">HYPERLINK("https://web.datatree.com/?/property?propertyId=32630614", "https://web.datatree.com/?/property?propertyId=32630614")</f>
        <v>https://web.datatree.com/?/property?propertyId=32630614</v>
      </c>
      <c r="Q1803" t="s">
        <v>316</v>
      </c>
      <c>
        <v>0.23</v>
      </c>
      <c t="s">
        <v>22490</v>
      </c>
      <c t="s">
        <v>26789</v>
      </c>
      <c t="s">
        <v>24714</v>
      </c>
      <c r="X1803" t="s">
        <v>12185</v>
      </c>
      <c t="s">
        <v>24999</v>
      </c>
      <c t="s">
        <v>2517</v>
      </c>
      <c t="s">
        <v>39289</v>
      </c>
      <c>
        <v>33909</v>
      </c>
      <c>
        <v>33909</v>
      </c>
      <c t="s">
        <v>48794</v>
      </c>
      <c t="s">
        <v>49679</v>
      </c>
      <c>
        <v>18101</v>
      </c>
      <c r="AI1803" t="s">
        <v>41844</v>
      </c>
      <c t="s">
        <v>45620</v>
      </c>
      <c>
        <v>86</v>
      </c>
      <c t="s">
        <v>63383</v>
      </c>
      <c t="s">
        <v>63383</v>
      </c>
      <c t="s">
        <v>65451</v>
      </c>
      <c>
        <v>95627</v>
      </c>
      <c r="AQ1803" t="s">
        <v>3093</v>
      </c>
      <c t="s">
        <v>24729</v>
      </c>
    </row>
    <row>
      <c t="s">
        <v>17594</v>
      </c>
      <c t="s">
        <v>17668</v>
      </c>
      <c t="s">
        <v>10100</v>
      </c>
      <c t="s">
        <v>29128</v>
      </c>
      <c t="s">
        <v>60647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804" s="1" t="str">
        <f ca="1">HYPERLINK("https://web.datatree.com/?/property?propertyId=32631202", "https://web.datatree.com/?/property?propertyId=32631202")</f>
        <v>https://web.datatree.com/?/property?propertyId=32631202</v>
      </c>
      <c r="Q1804" t="s">
        <v>316</v>
      </c>
      <c>
        <v>0.23</v>
      </c>
      <c t="s">
        <v>6175</v>
      </c>
      <c r="U1804" t="s">
        <v>855</v>
      </c>
      <c t="s">
        <v>13593</v>
      </c>
      <c t="s">
        <v>52816</v>
      </c>
      <c t="s">
        <v>65545</v>
      </c>
      <c t="s">
        <v>49122</v>
      </c>
      <c t="s">
        <v>2517</v>
      </c>
      <c t="s">
        <v>39289</v>
      </c>
      <c>
        <v>33909</v>
      </c>
      <c t="s">
        <v>27325</v>
      </c>
      <c t="s">
        <v>48794</v>
      </c>
      <c t="s">
        <v>8356</v>
      </c>
      <c>
        <v>27011</v>
      </c>
      <c r="AI1804" t="s">
        <v>54858</v>
      </c>
      <c t="s">
        <v>55842</v>
      </c>
      <c r="AL1804" t="s">
        <v>64412</v>
      </c>
      <c r="AN1804" t="s">
        <v>65451</v>
      </c>
      <c t="s">
        <v>63906</v>
      </c>
      <c t="s">
        <v>39566</v>
      </c>
      <c t="s">
        <v>3093</v>
      </c>
      <c t="s">
        <v>17226</v>
      </c>
    </row>
    <row>
      <c t="s">
        <v>17594</v>
      </c>
      <c t="s">
        <v>31917</v>
      </c>
      <c t="s">
        <v>65113</v>
      </c>
      <c t="s">
        <v>47653</v>
      </c>
      <c t="s">
        <v>30883</v>
      </c>
      <c s="3">
        <v>31592</v>
      </c>
      <c s="3">
        <v>31592</v>
      </c>
      <c s="3">
        <v>11858</v>
      </c>
      <c>
        <v>0</v>
      </c>
      <c s="3">
        <v>0</v>
      </c>
      <c s="3">
        <v>2935.69</v>
      </c>
      <c s="3">
        <v>31592</v>
      </c>
      <c r="O1805" s="1" t="str">
        <f ca="1">HYPERLINK("https://web.datatree.com/?/property?propertyId=32631583", "https://web.datatree.com/?/property?propertyId=32631583")</f>
        <v>https://web.datatree.com/?/property?propertyId=32631583</v>
      </c>
      <c r="Q1805" t="s">
        <v>316</v>
      </c>
      <c>
        <v>0.23</v>
      </c>
      <c t="s">
        <v>32050</v>
      </c>
      <c t="s">
        <v>63047</v>
      </c>
      <c t="s">
        <v>50696</v>
      </c>
      <c t="s">
        <v>54926</v>
      </c>
      <c t="s">
        <v>50696</v>
      </c>
      <c t="s">
        <v>52806</v>
      </c>
      <c t="s">
        <v>2626</v>
      </c>
      <c t="s">
        <v>2517</v>
      </c>
      <c t="s">
        <v>39289</v>
      </c>
      <c>
        <v>33909</v>
      </c>
      <c t="s">
        <v>45563</v>
      </c>
      <c t="s">
        <v>48794</v>
      </c>
      <c t="s">
        <v>45614</v>
      </c>
      <c>
        <v>239</v>
      </c>
      <c r="AI1805" t="s">
        <v>15214</v>
      </c>
      <c t="s">
        <v>45393</v>
      </c>
      <c r="AL1805" t="s">
        <v>6449</v>
      </c>
      <c r="AN1805" t="s">
        <v>27747</v>
      </c>
      <c t="s">
        <v>53111</v>
      </c>
      <c t="s">
        <v>40645</v>
      </c>
      <c t="s">
        <v>3093</v>
      </c>
      <c t="s">
        <v>52898</v>
      </c>
    </row>
    <row>
      <c t="s">
        <v>17594</v>
      </c>
      <c t="s">
        <v>63971</v>
      </c>
      <c t="s">
        <v>65727</v>
      </c>
      <c t="s">
        <v>45767</v>
      </c>
      <c t="s">
        <v>58475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1806" s="1" t="str">
        <f ca="1">HYPERLINK("https://web.datatree.com/?/property?propertyId=32632478", "https://web.datatree.com/?/property?propertyId=32632478")</f>
        <v>https://web.datatree.com/?/property?propertyId=32632478</v>
      </c>
      <c r="Q1806" t="s">
        <v>316</v>
      </c>
      <c>
        <v>0.255</v>
      </c>
      <c t="s">
        <v>6175</v>
      </c>
      <c t="s">
        <v>33269</v>
      </c>
      <c t="s">
        <v>16968</v>
      </c>
      <c t="s">
        <v>65497</v>
      </c>
      <c t="s">
        <v>16968</v>
      </c>
      <c t="s">
        <v>61775</v>
      </c>
      <c t="s">
        <v>25017</v>
      </c>
      <c t="s">
        <v>2517</v>
      </c>
      <c t="s">
        <v>39289</v>
      </c>
      <c>
        <v>33909</v>
      </c>
      <c t="s">
        <v>18651</v>
      </c>
      <c t="s">
        <v>48794</v>
      </c>
      <c t="s">
        <v>35273</v>
      </c>
      <c>
        <v>121</v>
      </c>
      <c r="AI1806" t="s">
        <v>16200</v>
      </c>
      <c t="s">
        <v>45393</v>
      </c>
      <c>
        <v>202</v>
      </c>
      <c t="s">
        <v>60313</v>
      </c>
      <c r="AN1806" t="s">
        <v>50917</v>
      </c>
      <c t="s">
        <v>45982</v>
      </c>
      <c t="s">
        <v>26242</v>
      </c>
      <c t="s">
        <v>3093</v>
      </c>
      <c t="s">
        <v>62264</v>
      </c>
    </row>
    <row>
      <c t="s">
        <v>17594</v>
      </c>
      <c t="s">
        <v>34877</v>
      </c>
      <c t="s">
        <v>16013</v>
      </c>
      <c t="s">
        <v>10995</v>
      </c>
      <c t="s">
        <v>45505</v>
      </c>
      <c s="3">
        <v>46344</v>
      </c>
      <c s="3">
        <v>46344</v>
      </c>
      <c s="3">
        <v>46344</v>
      </c>
      <c>
        <v>0</v>
      </c>
      <c s="3">
        <v>0</v>
      </c>
      <c s="3">
        <v>1106.57</v>
      </c>
      <c s="3">
        <v>46344</v>
      </c>
      <c r="O1807" s="1" t="str">
        <f ca="1">HYPERLINK("https://web.datatree.com/?/property?propertyId=32632669", "https://web.datatree.com/?/property?propertyId=32632669")</f>
        <v>https://web.datatree.com/?/property?propertyId=32632669</v>
      </c>
      <c r="Q1807" t="s">
        <v>316</v>
      </c>
      <c>
        <v>0.23</v>
      </c>
      <c t="s">
        <v>65422</v>
      </c>
      <c t="s">
        <v>32915</v>
      </c>
      <c t="s">
        <v>27594</v>
      </c>
      <c r="X1807" t="s">
        <v>39430</v>
      </c>
      <c t="s">
        <v>17022</v>
      </c>
      <c t="s">
        <v>2517</v>
      </c>
      <c t="s">
        <v>39289</v>
      </c>
      <c>
        <v>33909</v>
      </c>
      <c t="s">
        <v>22380</v>
      </c>
      <c t="s">
        <v>48794</v>
      </c>
      <c t="s">
        <v>22852</v>
      </c>
      <c>
        <v>3458</v>
      </c>
      <c r="AI1807" t="s">
        <v>52908</v>
      </c>
      <c t="s">
        <v>4985</v>
      </c>
      <c r="AL1807" t="s">
        <v>51808</v>
      </c>
      <c t="s">
        <v>51808</v>
      </c>
      <c t="s">
        <v>3034</v>
      </c>
      <c t="s">
        <v>51488</v>
      </c>
      <c t="s">
        <v>29069</v>
      </c>
      <c t="s">
        <v>3093</v>
      </c>
      <c t="s">
        <v>13444</v>
      </c>
    </row>
    <row>
      <c t="s">
        <v>17594</v>
      </c>
      <c t="s">
        <v>18292</v>
      </c>
      <c t="s">
        <v>34866</v>
      </c>
      <c t="s">
        <v>2241</v>
      </c>
      <c t="s">
        <v>15776</v>
      </c>
      <c s="3">
        <v>7200</v>
      </c>
      <c s="3">
        <v>7200</v>
      </c>
      <c s="3">
        <v>7200</v>
      </c>
      <c>
        <v>0</v>
      </c>
      <c s="3">
        <v>0</v>
      </c>
      <c s="3">
        <v>461.27</v>
      </c>
      <c s="3">
        <v>7200</v>
      </c>
      <c r="O1808" s="1" t="str">
        <f ca="1">HYPERLINK("https://web.datatree.com/?/property?propertyId=32633239", "https://web.datatree.com/?/property?propertyId=32633239")</f>
        <v>https://web.datatree.com/?/property?propertyId=32633239</v>
      </c>
      <c r="Q1808" t="s">
        <v>316</v>
      </c>
      <c>
        <v>0.265</v>
      </c>
      <c t="s">
        <v>6175</v>
      </c>
      <c t="s">
        <v>47754</v>
      </c>
      <c t="s">
        <v>7637</v>
      </c>
      <c r="X1808" t="s">
        <v>60122</v>
      </c>
      <c t="s">
        <v>61850</v>
      </c>
      <c t="s">
        <v>2517</v>
      </c>
      <c t="s">
        <v>39289</v>
      </c>
      <c>
        <v>33909</v>
      </c>
      <c t="s">
        <v>46071</v>
      </c>
      <c t="s">
        <v>48794</v>
      </c>
      <c t="s">
        <v>20413</v>
      </c>
      <c>
        <v>6515</v>
      </c>
      <c r="AI1808" t="s">
        <v>18686</v>
      </c>
      <c t="s">
        <v>45620</v>
      </c>
      <c>
        <v>2065</v>
      </c>
      <c t="s">
        <v>51170</v>
      </c>
      <c r="AN1808" t="s">
        <v>26016</v>
      </c>
      <c t="s">
        <v>25986</v>
      </c>
      <c t="s">
        <v>44428</v>
      </c>
      <c t="s">
        <v>3093</v>
      </c>
      <c t="s">
        <v>25368</v>
      </c>
    </row>
    <row>
      <c t="s">
        <v>17594</v>
      </c>
      <c t="s">
        <v>7982</v>
      </c>
      <c t="s">
        <v>27145</v>
      </c>
      <c t="s">
        <v>14692</v>
      </c>
      <c t="s">
        <v>52796</v>
      </c>
      <c s="3">
        <v>17200</v>
      </c>
      <c s="3">
        <v>17200</v>
      </c>
      <c s="3">
        <v>17200</v>
      </c>
      <c>
        <v>0</v>
      </c>
      <c s="3">
        <v>0</v>
      </c>
      <c s="3">
        <v>946.94</v>
      </c>
      <c s="3">
        <v>17200</v>
      </c>
      <c r="O1809" s="1" t="str">
        <f ca="1">HYPERLINK("https://web.datatree.com/?/property?propertyId=32633374", "https://web.datatree.com/?/property?propertyId=32633374")</f>
        <v>https://web.datatree.com/?/property?propertyId=32633374</v>
      </c>
      <c r="Q1809" t="s">
        <v>316</v>
      </c>
      <c>
        <v>0.459</v>
      </c>
      <c t="s">
        <v>6175</v>
      </c>
      <c t="s">
        <v>65497</v>
      </c>
      <c t="s">
        <v>27504</v>
      </c>
      <c r="X1809" t="s">
        <v>62764</v>
      </c>
      <c t="s">
        <v>13478</v>
      </c>
      <c t="s">
        <v>2517</v>
      </c>
      <c t="s">
        <v>39289</v>
      </c>
      <c>
        <v>33909</v>
      </c>
      <c t="s">
        <v>33931</v>
      </c>
      <c t="s">
        <v>48794</v>
      </c>
      <c t="s">
        <v>51484</v>
      </c>
      <c>
        <v>241</v>
      </c>
      <c r="AI1809" t="s">
        <v>55847</v>
      </c>
      <c t="s">
        <v>45620</v>
      </c>
      <c r="AL1809" t="s">
        <v>37196</v>
      </c>
      <c r="AN1809" t="s">
        <v>39289</v>
      </c>
      <c t="s">
        <v>22023</v>
      </c>
      <c t="s">
        <v>12251</v>
      </c>
      <c t="s">
        <v>3093</v>
      </c>
      <c t="s">
        <v>61214</v>
      </c>
    </row>
    <row>
      <c t="s">
        <v>17594</v>
      </c>
      <c t="s">
        <v>35579</v>
      </c>
      <c t="s">
        <v>13185</v>
      </c>
      <c t="s">
        <v>6170</v>
      </c>
      <c t="s">
        <v>58995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1810" s="1" t="str">
        <f ca="1">HYPERLINK("https://web.datatree.com/?/property?propertyId=32633389", "https://web.datatree.com/?/property?propertyId=32633389")</f>
        <v>https://web.datatree.com/?/property?propertyId=32633389</v>
      </c>
      <c r="Q1810" t="s">
        <v>316</v>
      </c>
      <c>
        <v>0.241</v>
      </c>
      <c t="s">
        <v>6175</v>
      </c>
      <c t="s">
        <v>25695</v>
      </c>
      <c t="s">
        <v>52349</v>
      </c>
      <c r="X1810" t="s">
        <v>41795</v>
      </c>
      <c t="s">
        <v>13065</v>
      </c>
      <c t="s">
        <v>2517</v>
      </c>
      <c t="s">
        <v>39289</v>
      </c>
      <c>
        <v>33909</v>
      </c>
      <c t="s">
        <v>23984</v>
      </c>
      <c t="s">
        <v>48794</v>
      </c>
      <c t="s">
        <v>58091</v>
      </c>
      <c r="AI1810" t="s">
        <v>26135</v>
      </c>
      <c r="AK1810">
        <v>10</v>
      </c>
      <c t="s">
        <v>27566</v>
      </c>
      <c t="s">
        <v>27566</v>
      </c>
      <c t="s">
        <v>32576</v>
      </c>
      <c>
        <v>29614</v>
      </c>
      <c r="AR1810" t="s">
        <v>26293</v>
      </c>
    </row>
    <row>
      <c t="s">
        <v>17594</v>
      </c>
      <c t="s">
        <v>3044</v>
      </c>
      <c t="s">
        <v>37877</v>
      </c>
      <c t="s">
        <v>64298</v>
      </c>
      <c t="s">
        <v>50889</v>
      </c>
      <c s="3">
        <v>31219</v>
      </c>
      <c s="3">
        <v>30731</v>
      </c>
      <c s="3">
        <v>31206</v>
      </c>
      <c>
        <v>0</v>
      </c>
      <c s="3">
        <v>0</v>
      </c>
      <c s="3">
        <v>433.16</v>
      </c>
      <c s="3">
        <v>31219</v>
      </c>
      <c r="O1811" s="1" t="str">
        <f ca="1">HYPERLINK("https://web.datatree.com/?/property?propertyId=32633662", "https://web.datatree.com/?/property?propertyId=32633662")</f>
        <v>https://web.datatree.com/?/property?propertyId=32633662</v>
      </c>
      <c>
        <v>192</v>
      </c>
      <c t="s">
        <v>316</v>
      </c>
      <c>
        <v>0.04</v>
      </c>
      <c t="s">
        <v>54329</v>
      </c>
      <c t="s">
        <v>66736</v>
      </c>
      <c t="s">
        <v>55646</v>
      </c>
      <c t="s">
        <v>578</v>
      </c>
      <c t="s">
        <v>56262</v>
      </c>
      <c t="s">
        <v>23162</v>
      </c>
      <c t="s">
        <v>40268</v>
      </c>
      <c t="s">
        <v>65059</v>
      </c>
      <c t="s">
        <v>39289</v>
      </c>
      <c>
        <v>33908</v>
      </c>
      <c t="s">
        <v>2818</v>
      </c>
      <c t="s">
        <v>48794</v>
      </c>
      <c t="s">
        <v>21239</v>
      </c>
      <c>
        <v>7112</v>
      </c>
      <c r="AI1811" t="s">
        <v>15117</v>
      </c>
      <c t="s">
        <v>45620</v>
      </c>
      <c r="AL1811" t="s">
        <v>51283</v>
      </c>
      <c t="s">
        <v>53482</v>
      </c>
      <c t="s">
        <v>51137</v>
      </c>
      <c t="s">
        <v>42561</v>
      </c>
      <c t="s">
        <v>37948</v>
      </c>
      <c t="s">
        <v>3093</v>
      </c>
      <c t="s">
        <v>375</v>
      </c>
      <c>
        <v>1978</v>
      </c>
    </row>
    <row>
      <c t="s">
        <v>17594</v>
      </c>
      <c t="s">
        <v>433</v>
      </c>
      <c t="s">
        <v>39558</v>
      </c>
      <c t="s">
        <v>64143</v>
      </c>
      <c t="s">
        <v>52619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1812" s="1" t="str">
        <f ca="1">HYPERLINK("https://web.datatree.com/?/property?propertyId=32634588", "https://web.datatree.com/?/property?propertyId=32634588")</f>
        <v>https://web.datatree.com/?/property?propertyId=32634588</v>
      </c>
      <c r="Q1812" t="s">
        <v>316</v>
      </c>
      <c>
        <v>0.23</v>
      </c>
      <c t="s">
        <v>6175</v>
      </c>
      <c t="s">
        <v>29807</v>
      </c>
      <c t="s">
        <v>50657</v>
      </c>
      <c r="X1812" t="s">
        <v>4605</v>
      </c>
      <c t="s">
        <v>58797</v>
      </c>
      <c t="s">
        <v>2517</v>
      </c>
      <c t="s">
        <v>39289</v>
      </c>
      <c>
        <v>33909</v>
      </c>
      <c t="s">
        <v>65130</v>
      </c>
      <c t="s">
        <v>48794</v>
      </c>
      <c t="s">
        <v>65169</v>
      </c>
      <c>
        <v>201</v>
      </c>
      <c r="AH1812" t="s">
        <v>57851</v>
      </c>
      <c t="s">
        <v>25194</v>
      </c>
      <c t="s">
        <v>45620</v>
      </c>
      <c r="AL1812" t="s">
        <v>45481</v>
      </c>
      <c r="AN1812" t="s">
        <v>10909</v>
      </c>
      <c t="s">
        <v>12874</v>
      </c>
      <c r="AQ1812" t="s">
        <v>27814</v>
      </c>
      <c t="s">
        <v>61560</v>
      </c>
    </row>
    <row>
      <c t="s">
        <v>17594</v>
      </c>
      <c t="s">
        <v>28889</v>
      </c>
      <c t="s">
        <v>17336</v>
      </c>
      <c t="s">
        <v>63953</v>
      </c>
      <c t="s">
        <v>17244</v>
      </c>
      <c s="3">
        <v>39276</v>
      </c>
      <c s="3">
        <v>39276</v>
      </c>
      <c s="3">
        <v>39276</v>
      </c>
      <c>
        <v>0</v>
      </c>
      <c s="3">
        <v>0</v>
      </c>
      <c s="3">
        <v>588.01</v>
      </c>
      <c s="3">
        <v>39276</v>
      </c>
      <c r="O1813" s="1" t="str">
        <f ca="1">HYPERLINK("https://web.datatree.com/?/property?propertyId=32634924", "https://web.datatree.com/?/property?propertyId=32634924")</f>
        <v>https://web.datatree.com/?/property?propertyId=32634924</v>
      </c>
      <c r="Q1813" t="s">
        <v>316</v>
      </c>
      <c>
        <v>0.202</v>
      </c>
      <c t="s">
        <v>5471</v>
      </c>
      <c t="s">
        <v>64395</v>
      </c>
      <c t="s">
        <v>34052</v>
      </c>
      <c r="X1813" t="s">
        <v>59801</v>
      </c>
      <c t="s">
        <v>19843</v>
      </c>
      <c t="s">
        <v>65059</v>
      </c>
      <c t="s">
        <v>39289</v>
      </c>
      <c>
        <v>33905</v>
      </c>
      <c t="s">
        <v>41770</v>
      </c>
      <c t="s">
        <v>48794</v>
      </c>
      <c t="s">
        <v>17349</v>
      </c>
      <c>
        <v>2201</v>
      </c>
      <c r="AI1813" t="s">
        <v>50591</v>
      </c>
      <c t="s">
        <v>705</v>
      </c>
      <c r="AL1813" t="s">
        <v>51149</v>
      </c>
      <c r="AN1813" t="s">
        <v>22275</v>
      </c>
      <c t="s">
        <v>14263</v>
      </c>
      <c t="s">
        <v>56186</v>
      </c>
      <c t="s">
        <v>3093</v>
      </c>
      <c t="s">
        <v>44849</v>
      </c>
    </row>
    <row>
      <c t="s">
        <v>17594</v>
      </c>
      <c t="s">
        <v>21675</v>
      </c>
      <c t="s">
        <v>23637</v>
      </c>
      <c t="s">
        <v>1276</v>
      </c>
      <c t="s">
        <v>48095</v>
      </c>
      <c s="3">
        <v>17399</v>
      </c>
      <c s="3">
        <v>17399</v>
      </c>
      <c s="3">
        <v>17399</v>
      </c>
      <c>
        <v>0</v>
      </c>
      <c s="3">
        <v>0</v>
      </c>
      <c s="3">
        <v>642.89</v>
      </c>
      <c s="3">
        <v>17399</v>
      </c>
      <c r="O1814" s="1" t="str">
        <f ca="1">HYPERLINK("https://web.datatree.com/?/property?propertyId=32635026", "https://web.datatree.com/?/property?propertyId=32635026")</f>
        <v>https://web.datatree.com/?/property?propertyId=32635026</v>
      </c>
      <c r="Q1814" t="s">
        <v>316</v>
      </c>
      <c>
        <v>0.244</v>
      </c>
      <c t="s">
        <v>6175</v>
      </c>
      <c t="s">
        <v>52880</v>
      </c>
      <c t="s">
        <v>42761</v>
      </c>
      <c r="X1814" t="s">
        <v>18421</v>
      </c>
      <c t="s">
        <v>13829</v>
      </c>
      <c t="s">
        <v>2517</v>
      </c>
      <c t="s">
        <v>39289</v>
      </c>
      <c>
        <v>33909</v>
      </c>
      <c t="s">
        <v>20126</v>
      </c>
      <c t="s">
        <v>48794</v>
      </c>
      <c t="s">
        <v>40518</v>
      </c>
      <c>
        <v>511</v>
      </c>
      <c r="AI1814" t="s">
        <v>46254</v>
      </c>
      <c t="s">
        <v>41372</v>
      </c>
      <c r="AL1814" t="s">
        <v>48150</v>
      </c>
      <c t="s">
        <v>48150</v>
      </c>
      <c t="s">
        <v>39289</v>
      </c>
      <c t="s">
        <v>27489</v>
      </c>
      <c t="s">
        <v>45852</v>
      </c>
      <c t="s">
        <v>3093</v>
      </c>
      <c t="s">
        <v>37467</v>
      </c>
    </row>
    <row>
      <c t="s">
        <v>17594</v>
      </c>
      <c t="s">
        <v>18618</v>
      </c>
      <c t="s">
        <v>61020</v>
      </c>
      <c t="s">
        <v>7987</v>
      </c>
      <c t="s">
        <v>59680</v>
      </c>
      <c s="3">
        <v>49096</v>
      </c>
      <c s="3">
        <v>49096</v>
      </c>
      <c s="3">
        <v>22824</v>
      </c>
      <c>
        <v>0</v>
      </c>
      <c s="3">
        <v>0</v>
      </c>
      <c s="3">
        <v>925.52</v>
      </c>
      <c s="3">
        <v>49096</v>
      </c>
      <c r="O1815" s="1" t="str">
        <f ca="1">HYPERLINK("https://web.datatree.com/?/property?propertyId=32635285", "https://web.datatree.com/?/property?propertyId=32635285")</f>
        <v>https://web.datatree.com/?/property?propertyId=32635285</v>
      </c>
      <c r="Q1815" t="s">
        <v>316</v>
      </c>
      <c>
        <v>0.24</v>
      </c>
      <c t="s">
        <v>6175</v>
      </c>
      <c t="s">
        <v>66868</v>
      </c>
      <c t="s">
        <v>3731</v>
      </c>
      <c r="X1815" t="s">
        <v>19896</v>
      </c>
      <c t="s">
        <v>28635</v>
      </c>
      <c t="s">
        <v>2517</v>
      </c>
      <c t="s">
        <v>39289</v>
      </c>
      <c>
        <v>33904</v>
      </c>
      <c t="s">
        <v>11111</v>
      </c>
      <c t="s">
        <v>48794</v>
      </c>
      <c t="s">
        <v>16839</v>
      </c>
      <c>
        <v>52</v>
      </c>
      <c r="AI1815" t="s">
        <v>35789</v>
      </c>
      <c t="s">
        <v>31192</v>
      </c>
      <c t="s">
        <v>55629</v>
      </c>
      <c t="s">
        <v>13397</v>
      </c>
      <c t="s">
        <v>13397</v>
      </c>
      <c t="s">
        <v>50917</v>
      </c>
      <c t="s">
        <v>41490</v>
      </c>
      <c t="s">
        <v>4797</v>
      </c>
      <c t="s">
        <v>3093</v>
      </c>
      <c t="s">
        <v>16238</v>
      </c>
    </row>
    <row>
      <c t="s">
        <v>17594</v>
      </c>
      <c t="s">
        <v>33703</v>
      </c>
      <c t="s">
        <v>40577</v>
      </c>
      <c t="s">
        <v>60502</v>
      </c>
      <c t="s">
        <v>370</v>
      </c>
      <c s="3">
        <v>22990</v>
      </c>
      <c s="3">
        <v>22990</v>
      </c>
      <c s="3">
        <v>22990</v>
      </c>
      <c>
        <v>0</v>
      </c>
      <c s="3">
        <v>0</v>
      </c>
      <c s="3">
        <v>780.78</v>
      </c>
      <c s="3">
        <v>22990</v>
      </c>
      <c r="O1816" s="1" t="str">
        <f ca="1">HYPERLINK("https://web.datatree.com/?/property?propertyId=32635520", "https://web.datatree.com/?/property?propertyId=32635520")</f>
        <v>https://web.datatree.com/?/property?propertyId=32635520</v>
      </c>
      <c r="Q1816" t="s">
        <v>316</v>
      </c>
      <c>
        <v>0.281</v>
      </c>
      <c t="s">
        <v>22490</v>
      </c>
      <c t="s">
        <v>62125</v>
      </c>
      <c t="s">
        <v>14308</v>
      </c>
      <c t="s">
        <v>35872</v>
      </c>
      <c t="s">
        <v>14308</v>
      </c>
      <c t="s">
        <v>49</v>
      </c>
      <c t="s">
        <v>44061</v>
      </c>
      <c t="s">
        <v>2517</v>
      </c>
      <c t="s">
        <v>39289</v>
      </c>
      <c>
        <v>33909</v>
      </c>
      <c t="s">
        <v>57704</v>
      </c>
      <c t="s">
        <v>48794</v>
      </c>
      <c t="s">
        <v>5677</v>
      </c>
      <c>
        <v>82</v>
      </c>
      <c r="AI1816" t="s">
        <v>27191</v>
      </c>
      <c t="s">
        <v>31192</v>
      </c>
      <c r="AL1816" t="s">
        <v>43451</v>
      </c>
      <c t="s">
        <v>43451</v>
      </c>
      <c t="s">
        <v>65467</v>
      </c>
      <c t="s">
        <v>39634</v>
      </c>
      <c t="s">
        <v>22455</v>
      </c>
      <c t="s">
        <v>3093</v>
      </c>
      <c t="s">
        <v>65252</v>
      </c>
    </row>
    <row>
      <c t="s">
        <v>17594</v>
      </c>
      <c t="s">
        <v>33573</v>
      </c>
      <c t="s">
        <v>20667</v>
      </c>
      <c t="s">
        <v>8462</v>
      </c>
      <c t="s">
        <v>12827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1817" s="1" t="str">
        <f ca="1">HYPERLINK("https://web.datatree.com/?/property?propertyId=32635731", "https://web.datatree.com/?/property?propertyId=32635731")</f>
        <v>https://web.datatree.com/?/property?propertyId=32635731</v>
      </c>
      <c r="Q1817" t="s">
        <v>316</v>
      </c>
      <c>
        <v>0.244</v>
      </c>
      <c t="s">
        <v>6175</v>
      </c>
      <c t="s">
        <v>39210</v>
      </c>
      <c t="s">
        <v>19946</v>
      </c>
      <c r="X1817" t="s">
        <v>49198</v>
      </c>
      <c t="s">
        <v>39832</v>
      </c>
      <c t="s">
        <v>2517</v>
      </c>
      <c t="s">
        <v>39289</v>
      </c>
      <c>
        <v>33909</v>
      </c>
      <c t="s">
        <v>33197</v>
      </c>
      <c t="s">
        <v>48794</v>
      </c>
      <c t="s">
        <v>56097</v>
      </c>
      <c>
        <v>103</v>
      </c>
      <c r="AI1817" t="s">
        <v>46201</v>
      </c>
      <c t="s">
        <v>45393</v>
      </c>
      <c>
        <v>8</v>
      </c>
      <c t="s">
        <v>8109</v>
      </c>
      <c r="AN1817" t="s">
        <v>50917</v>
      </c>
      <c t="s">
        <v>61668</v>
      </c>
      <c t="s">
        <v>48506</v>
      </c>
      <c t="s">
        <v>3093</v>
      </c>
      <c t="s">
        <v>53100</v>
      </c>
    </row>
    <row>
      <c t="s">
        <v>17594</v>
      </c>
      <c t="s">
        <v>60840</v>
      </c>
      <c t="s">
        <v>17453</v>
      </c>
      <c t="s">
        <v>59210</v>
      </c>
      <c t="s">
        <v>4328</v>
      </c>
      <c s="3">
        <v>83178</v>
      </c>
      <c s="3">
        <v>74250</v>
      </c>
      <c s="3">
        <v>79343</v>
      </c>
      <c>
        <v>0</v>
      </c>
      <c s="3">
        <v>0</v>
      </c>
      <c s="3">
        <v>1214.1</v>
      </c>
      <c s="3">
        <v>83178</v>
      </c>
      <c r="O1818" s="1" t="str">
        <f ca="1">HYPERLINK("https://web.datatree.com/?/property?propertyId=32636053", "https://web.datatree.com/?/property?propertyId=32636053")</f>
        <v>https://web.datatree.com/?/property?propertyId=32636053</v>
      </c>
      <c r="Q1818" t="s">
        <v>316</v>
      </c>
      <c>
        <v>0.095</v>
      </c>
      <c t="s">
        <v>26492</v>
      </c>
      <c t="s">
        <v>50331</v>
      </c>
      <c t="s">
        <v>63723</v>
      </c>
      <c t="s">
        <v>3429</v>
      </c>
      <c t="s">
        <v>59885</v>
      </c>
      <c t="s">
        <v>2387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29791</v>
      </c>
      <c>
        <v>4432</v>
      </c>
      <c r="AI1818" t="s">
        <v>42514</v>
      </c>
      <c t="s">
        <v>31192</v>
      </c>
      <c r="AL1818" t="s">
        <v>18905</v>
      </c>
      <c t="s">
        <v>40227</v>
      </c>
      <c t="s">
        <v>50829</v>
      </c>
      <c t="s">
        <v>53549</v>
      </c>
      <c t="s">
        <v>42082</v>
      </c>
      <c t="s">
        <v>3093</v>
      </c>
      <c t="s">
        <v>19756</v>
      </c>
    </row>
    <row>
      <c t="s">
        <v>17594</v>
      </c>
      <c t="s">
        <v>2706</v>
      </c>
      <c t="s">
        <v>56344</v>
      </c>
      <c t="s">
        <v>37357</v>
      </c>
      <c t="s">
        <v>65296</v>
      </c>
      <c s="3">
        <v>26129</v>
      </c>
      <c s="3">
        <v>26129</v>
      </c>
      <c s="3">
        <v>9570</v>
      </c>
      <c>
        <v>0</v>
      </c>
      <c s="3">
        <v>0</v>
      </c>
      <c s="3">
        <v>655.21</v>
      </c>
      <c s="3">
        <v>26129</v>
      </c>
      <c r="O1819" s="1" t="str">
        <f ca="1">HYPERLINK("https://web.datatree.com/?/property?propertyId=32636906", "https://web.datatree.com/?/property?propertyId=32636906")</f>
        <v>https://web.datatree.com/?/property?propertyId=32636906</v>
      </c>
      <c r="Q1819" t="s">
        <v>316</v>
      </c>
      <c>
        <v>0.301</v>
      </c>
      <c t="s">
        <v>22490</v>
      </c>
      <c t="s">
        <v>60671</v>
      </c>
      <c t="s">
        <v>43765</v>
      </c>
      <c r="X1819" t="s">
        <v>52844</v>
      </c>
      <c t="s">
        <v>41506</v>
      </c>
      <c t="s">
        <v>2517</v>
      </c>
      <c t="s">
        <v>39289</v>
      </c>
      <c>
        <v>33909</v>
      </c>
      <c>
        <v>33909</v>
      </c>
      <c t="s">
        <v>48794</v>
      </c>
      <c t="s">
        <v>20473</v>
      </c>
      <c>
        <v>14838</v>
      </c>
      <c r="AI1819" t="s">
        <v>63532</v>
      </c>
      <c t="s">
        <v>45393</v>
      </c>
      <c r="AL1819" t="s">
        <v>2107</v>
      </c>
      <c r="AN1819" t="s">
        <v>51087</v>
      </c>
      <c t="s">
        <v>30350</v>
      </c>
      <c t="s">
        <v>44428</v>
      </c>
      <c t="s">
        <v>3093</v>
      </c>
      <c t="s">
        <v>9840</v>
      </c>
    </row>
    <row>
      <c t="s">
        <v>17594</v>
      </c>
      <c t="s">
        <v>60898</v>
      </c>
      <c t="s">
        <v>32016</v>
      </c>
      <c t="s">
        <v>40947</v>
      </c>
      <c t="s">
        <v>61662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1820" s="1" t="str">
        <f ca="1">HYPERLINK("https://web.datatree.com/?/property?propertyId=32637796", "https://web.datatree.com/?/property?propertyId=32637796")</f>
        <v>https://web.datatree.com/?/property?propertyId=32637796</v>
      </c>
      <c r="Q1820" t="s">
        <v>316</v>
      </c>
      <c>
        <v>0.23</v>
      </c>
      <c t="s">
        <v>22490</v>
      </c>
      <c t="s">
        <v>58113</v>
      </c>
      <c t="s">
        <v>20355</v>
      </c>
      <c t="s">
        <v>42532</v>
      </c>
      <c t="s">
        <v>20355</v>
      </c>
      <c t="s">
        <v>58460</v>
      </c>
      <c t="s">
        <v>47150</v>
      </c>
      <c t="s">
        <v>2517</v>
      </c>
      <c t="s">
        <v>39289</v>
      </c>
      <c>
        <v>33909</v>
      </c>
      <c t="s">
        <v>64184</v>
      </c>
      <c t="s">
        <v>48794</v>
      </c>
      <c t="s">
        <v>54074</v>
      </c>
      <c>
        <v>228</v>
      </c>
      <c r="AH1820" t="s">
        <v>6851</v>
      </c>
      <c t="s">
        <v>39114</v>
      </c>
      <c t="s">
        <v>31192</v>
      </c>
      <c r="AL1820" t="s">
        <v>41369</v>
      </c>
      <c r="AN1820" t="s">
        <v>45851</v>
      </c>
      <c t="s">
        <v>19909</v>
      </c>
      <c r="AQ1820" t="s">
        <v>27814</v>
      </c>
      <c t="s">
        <v>11518</v>
      </c>
    </row>
    <row>
      <c t="s">
        <v>17594</v>
      </c>
      <c t="s">
        <v>7376</v>
      </c>
      <c t="s">
        <v>63172</v>
      </c>
      <c t="s">
        <v>2386</v>
      </c>
      <c t="s">
        <v>17943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1821" s="1" t="str">
        <f ca="1">HYPERLINK("https://web.datatree.com/?/property?propertyId=32637815", "https://web.datatree.com/?/property?propertyId=32637815")</f>
        <v>https://web.datatree.com/?/property?propertyId=32637815</v>
      </c>
      <c r="Q1821" t="s">
        <v>316</v>
      </c>
      <c>
        <v>0.23</v>
      </c>
      <c t="s">
        <v>45031</v>
      </c>
      <c t="s">
        <v>56684</v>
      </c>
      <c t="s">
        <v>21427</v>
      </c>
      <c t="s">
        <v>21379</v>
      </c>
      <c t="s">
        <v>21427</v>
      </c>
      <c t="s">
        <v>39260</v>
      </c>
      <c t="s">
        <v>55273</v>
      </c>
      <c t="s">
        <v>2517</v>
      </c>
      <c t="s">
        <v>39289</v>
      </c>
      <c>
        <v>33909</v>
      </c>
      <c t="s">
        <v>52075</v>
      </c>
      <c t="s">
        <v>48794</v>
      </c>
      <c t="s">
        <v>50047</v>
      </c>
      <c>
        <v>29</v>
      </c>
      <c r="AI1821" t="s">
        <v>15782</v>
      </c>
      <c t="s">
        <v>24900</v>
      </c>
      <c r="AL1821" t="s">
        <v>5749</v>
      </c>
      <c r="AN1821" t="s">
        <v>14509</v>
      </c>
      <c t="s">
        <v>39031</v>
      </c>
      <c t="s">
        <v>42082</v>
      </c>
      <c t="s">
        <v>3093</v>
      </c>
      <c t="s">
        <v>54240</v>
      </c>
    </row>
    <row>
      <c t="s">
        <v>17594</v>
      </c>
      <c t="s">
        <v>29219</v>
      </c>
      <c t="s">
        <v>49093</v>
      </c>
      <c t="s">
        <v>53851</v>
      </c>
      <c t="s">
        <v>2485</v>
      </c>
      <c s="3">
        <v>19200</v>
      </c>
      <c s="3">
        <v>19200</v>
      </c>
      <c s="3">
        <v>9339</v>
      </c>
      <c>
        <v>0</v>
      </c>
      <c s="3">
        <v>0</v>
      </c>
      <c s="3">
        <v>580.03</v>
      </c>
      <c s="3">
        <v>19200</v>
      </c>
      <c r="O1822" s="1" t="str">
        <f ca="1">HYPERLINK("https://web.datatree.com/?/property?propertyId=32638047", "https://web.datatree.com/?/property?propertyId=32638047")</f>
        <v>https://web.datatree.com/?/property?propertyId=32638047</v>
      </c>
      <c r="Q1822" t="s">
        <v>316</v>
      </c>
      <c>
        <v>0.244</v>
      </c>
      <c t="s">
        <v>6175</v>
      </c>
      <c t="s">
        <v>54692</v>
      </c>
      <c t="s">
        <v>13388</v>
      </c>
      <c r="X1822" t="s">
        <v>59226</v>
      </c>
      <c t="s">
        <v>53663</v>
      </c>
      <c t="s">
        <v>2517</v>
      </c>
      <c t="s">
        <v>39289</v>
      </c>
      <c>
        <v>33909</v>
      </c>
      <c t="s">
        <v>15660</v>
      </c>
      <c t="s">
        <v>48794</v>
      </c>
      <c t="s">
        <v>21375</v>
      </c>
      <c>
        <v>130</v>
      </c>
      <c r="AI1822" t="s">
        <v>18314</v>
      </c>
      <c t="s">
        <v>24900</v>
      </c>
      <c>
        <v>1</v>
      </c>
      <c t="s">
        <v>61009</v>
      </c>
      <c r="AN1822" t="s">
        <v>26016</v>
      </c>
      <c t="s">
        <v>16637</v>
      </c>
      <c t="s">
        <v>43446</v>
      </c>
      <c t="s">
        <v>3093</v>
      </c>
      <c t="s">
        <v>32770</v>
      </c>
    </row>
    <row>
      <c t="s">
        <v>17594</v>
      </c>
      <c t="s">
        <v>5164</v>
      </c>
      <c t="s">
        <v>44414</v>
      </c>
      <c t="s">
        <v>52715</v>
      </c>
      <c t="s">
        <v>60142</v>
      </c>
      <c s="3">
        <v>82947</v>
      </c>
      <c s="3">
        <v>74250</v>
      </c>
      <c s="3">
        <v>82947</v>
      </c>
      <c>
        <v>0</v>
      </c>
      <c s="3">
        <v>0</v>
      </c>
      <c s="3">
        <v>1246.74</v>
      </c>
      <c s="3">
        <v>82947</v>
      </c>
      <c r="O1823" s="1" t="str">
        <f ca="1">HYPERLINK("https://web.datatree.com/?/property?propertyId=32638121", "https://web.datatree.com/?/property?propertyId=32638121")</f>
        <v>https://web.datatree.com/?/property?propertyId=32638121</v>
      </c>
      <c r="Q1823" t="s">
        <v>316</v>
      </c>
      <c>
        <v>0.095</v>
      </c>
      <c t="s">
        <v>26492</v>
      </c>
      <c t="s">
        <v>21376</v>
      </c>
      <c t="s">
        <v>56050</v>
      </c>
      <c t="s">
        <v>26502</v>
      </c>
      <c t="s">
        <v>56050</v>
      </c>
      <c t="s">
        <v>53548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65916</v>
      </c>
      <c>
        <v>18</v>
      </c>
      <c r="AI1823" t="s">
        <v>38449</v>
      </c>
      <c t="s">
        <v>40123</v>
      </c>
      <c r="AL1823" t="s">
        <v>20838</v>
      </c>
      <c t="s">
        <v>19597</v>
      </c>
      <c t="s">
        <v>32657</v>
      </c>
      <c t="s">
        <v>38490</v>
      </c>
      <c t="s">
        <v>1951</v>
      </c>
      <c t="s">
        <v>3093</v>
      </c>
      <c t="s">
        <v>33680</v>
      </c>
    </row>
    <row>
      <c t="s">
        <v>17594</v>
      </c>
      <c t="s">
        <v>51431</v>
      </c>
      <c t="s">
        <v>48014</v>
      </c>
      <c t="s">
        <v>4113</v>
      </c>
      <c t="s">
        <v>38950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2020</v>
      </c>
      <c>
        <v>1039.77</v>
      </c>
      <c s="1" t="str">
        <f ca="1">HYPERLINK("https://web.datatree.com/?/property?propertyId=32638647", "https://web.datatree.com/?/property?propertyId=32638647")</f>
        <v>https://web.datatree.com/?/property?propertyId=32638647</v>
      </c>
      <c r="Q1824" t="s">
        <v>316</v>
      </c>
      <c>
        <v>0.241</v>
      </c>
      <c t="s">
        <v>5471</v>
      </c>
      <c r="U1824" t="s">
        <v>35723</v>
      </c>
      <c r="X1824" t="s">
        <v>13462</v>
      </c>
      <c t="s">
        <v>3747</v>
      </c>
      <c t="s">
        <v>65059</v>
      </c>
      <c t="s">
        <v>39289</v>
      </c>
      <c>
        <v>33905</v>
      </c>
      <c t="s">
        <v>61499</v>
      </c>
      <c t="s">
        <v>48794</v>
      </c>
      <c t="s">
        <v>19070</v>
      </c>
      <c>
        <v>7</v>
      </c>
      <c r="AI1824" t="s">
        <v>16345</v>
      </c>
      <c t="s">
        <v>45620</v>
      </c>
      <c r="AL1824" t="s">
        <v>39044</v>
      </c>
      <c r="AN1824" t="s">
        <v>14509</v>
      </c>
      <c t="s">
        <v>48858</v>
      </c>
      <c t="s">
        <v>27780</v>
      </c>
      <c t="s">
        <v>3093</v>
      </c>
      <c t="s">
        <v>7114</v>
      </c>
    </row>
    <row>
      <c t="s">
        <v>17594</v>
      </c>
      <c t="s">
        <v>49816</v>
      </c>
      <c t="s">
        <v>61197</v>
      </c>
      <c t="s">
        <v>22328</v>
      </c>
      <c t="s">
        <v>35958</v>
      </c>
      <c s="3">
        <v>30450</v>
      </c>
      <c s="3">
        <v>30450</v>
      </c>
      <c s="3">
        <v>19140</v>
      </c>
      <c>
        <v>0</v>
      </c>
      <c s="3">
        <v>0</v>
      </c>
      <c s="3">
        <v>324.14</v>
      </c>
      <c s="3">
        <v>30450</v>
      </c>
      <c r="O1825" s="1" t="str">
        <f ca="1">HYPERLINK("https://web.datatree.com/?/property?propertyId=32638746", "https://web.datatree.com/?/property?propertyId=32638746")</f>
        <v>https://web.datatree.com/?/property?propertyId=32638746</v>
      </c>
      <c r="Q1825" t="s">
        <v>316</v>
      </c>
      <c>
        <v>0.41</v>
      </c>
      <c t="s">
        <v>5471</v>
      </c>
      <c t="s">
        <v>64201</v>
      </c>
      <c t="s">
        <v>6255</v>
      </c>
      <c t="s">
        <v>17719</v>
      </c>
      <c t="s">
        <v>6255</v>
      </c>
      <c t="s">
        <v>59408</v>
      </c>
      <c t="s">
        <v>48352</v>
      </c>
      <c t="s">
        <v>65059</v>
      </c>
      <c t="s">
        <v>39289</v>
      </c>
      <c>
        <v>33905</v>
      </c>
      <c t="s">
        <v>60202</v>
      </c>
      <c t="s">
        <v>48794</v>
      </c>
      <c t="s">
        <v>43028</v>
      </c>
      <c>
        <v>1924</v>
      </c>
      <c r="AI1825" t="s">
        <v>10281</v>
      </c>
      <c t="s">
        <v>31192</v>
      </c>
      <c r="AL1825" t="s">
        <v>51615</v>
      </c>
      <c r="AN1825" t="s">
        <v>39289</v>
      </c>
      <c t="s">
        <v>61565</v>
      </c>
      <c t="s">
        <v>35354</v>
      </c>
      <c t="s">
        <v>3093</v>
      </c>
      <c t="s">
        <v>34138</v>
      </c>
    </row>
    <row>
      <c t="s">
        <v>17594</v>
      </c>
      <c t="s">
        <v>65803</v>
      </c>
      <c t="s">
        <v>61811</v>
      </c>
      <c t="s">
        <v>8745</v>
      </c>
      <c t="s">
        <v>43386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1826" s="1" t="str">
        <f ca="1">HYPERLINK("https://web.datatree.com/?/property?propertyId=32639017", "https://web.datatree.com/?/property?propertyId=32639017")</f>
        <v>https://web.datatree.com/?/property?propertyId=32639017</v>
      </c>
      <c r="Q1826" t="s">
        <v>316</v>
      </c>
      <c>
        <v>0.255</v>
      </c>
      <c t="s">
        <v>6175</v>
      </c>
      <c t="s">
        <v>12551</v>
      </c>
      <c t="s">
        <v>4383</v>
      </c>
      <c t="s">
        <v>21379</v>
      </c>
      <c t="s">
        <v>4383</v>
      </c>
      <c t="s">
        <v>44410</v>
      </c>
      <c t="s">
        <v>61865</v>
      </c>
      <c t="s">
        <v>2517</v>
      </c>
      <c t="s">
        <v>39289</v>
      </c>
      <c>
        <v>33909</v>
      </c>
      <c t="s">
        <v>58155</v>
      </c>
      <c t="s">
        <v>48794</v>
      </c>
      <c t="s">
        <v>60005</v>
      </c>
      <c>
        <v>350</v>
      </c>
      <c r="AI1826" t="s">
        <v>48187</v>
      </c>
      <c t="s">
        <v>24900</v>
      </c>
      <c r="AL1826" t="s">
        <v>61009</v>
      </c>
      <c r="AN1826" t="s">
        <v>26016</v>
      </c>
      <c t="s">
        <v>62754</v>
      </c>
      <c t="s">
        <v>61410</v>
      </c>
      <c t="s">
        <v>3093</v>
      </c>
      <c t="s">
        <v>35313</v>
      </c>
    </row>
    <row>
      <c t="s">
        <v>42103</v>
      </c>
      <c t="s">
        <v>10642</v>
      </c>
      <c t="s">
        <v>2298</v>
      </c>
      <c t="s">
        <v>51777</v>
      </c>
      <c t="s">
        <v>23961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1827" s="1" t="str">
        <f ca="1">HYPERLINK("https://web.datatree.com/?/property?propertyId=32640710", "https://web.datatree.com/?/property?propertyId=32640710")</f>
        <v>https://web.datatree.com/?/property?propertyId=32640710</v>
      </c>
      <c r="Q1827" t="s">
        <v>316</v>
      </c>
      <c>
        <v>0.23</v>
      </c>
      <c t="s">
        <v>45031</v>
      </c>
      <c t="s">
        <v>64736</v>
      </c>
      <c t="s">
        <v>53507</v>
      </c>
      <c t="s">
        <v>16200</v>
      </c>
      <c t="s">
        <v>53507</v>
      </c>
      <c t="s">
        <v>30361</v>
      </c>
      <c t="s">
        <v>10653</v>
      </c>
      <c t="s">
        <v>2517</v>
      </c>
      <c t="s">
        <v>39289</v>
      </c>
      <c>
        <v>33909</v>
      </c>
      <c t="s">
        <v>4277</v>
      </c>
      <c t="s">
        <v>48794</v>
      </c>
      <c t="s">
        <v>54364</v>
      </c>
      <c r="AI1827" t="s">
        <v>10627</v>
      </c>
      <c r="AL1827" t="s">
        <v>66828</v>
      </c>
      <c r="AN1827" t="s">
        <v>51087</v>
      </c>
      <c t="s">
        <v>39597</v>
      </c>
      <c t="s">
        <v>22417</v>
      </c>
      <c t="s">
        <v>3093</v>
      </c>
      <c t="s">
        <v>54223</v>
      </c>
    </row>
    <row>
      <c t="s">
        <v>17594</v>
      </c>
      <c t="s">
        <v>52771</v>
      </c>
      <c t="s">
        <v>63782</v>
      </c>
      <c t="s">
        <v>30400</v>
      </c>
      <c t="s">
        <v>56005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1828" s="1" t="str">
        <f ca="1">HYPERLINK("https://web.datatree.com/?/property?propertyId=32641048", "https://web.datatree.com/?/property?propertyId=32641048")</f>
        <v>https://web.datatree.com/?/property?propertyId=32641048</v>
      </c>
      <c r="Q1828" t="s">
        <v>316</v>
      </c>
      <c>
        <v>0.23</v>
      </c>
      <c t="s">
        <v>6175</v>
      </c>
      <c t="s">
        <v>2140</v>
      </c>
      <c t="s">
        <v>64379</v>
      </c>
      <c r="X1828" t="s">
        <v>65125</v>
      </c>
      <c t="s">
        <v>38550</v>
      </c>
      <c t="s">
        <v>2517</v>
      </c>
      <c t="s">
        <v>39289</v>
      </c>
      <c>
        <v>33909</v>
      </c>
      <c t="s">
        <v>15098</v>
      </c>
      <c t="s">
        <v>48794</v>
      </c>
      <c t="s">
        <v>3619</v>
      </c>
      <c>
        <v>10264</v>
      </c>
      <c r="AI1828" t="s">
        <v>27455</v>
      </c>
      <c t="s">
        <v>31192</v>
      </c>
      <c r="AL1828" t="s">
        <v>34557</v>
      </c>
      <c r="AN1828" t="s">
        <v>65451</v>
      </c>
      <c t="s">
        <v>21421</v>
      </c>
      <c t="s">
        <v>34162</v>
      </c>
      <c t="s">
        <v>3093</v>
      </c>
      <c t="s">
        <v>35075</v>
      </c>
    </row>
    <row>
      <c t="s">
        <v>17594</v>
      </c>
      <c t="s">
        <v>20629</v>
      </c>
      <c t="s">
        <v>6101</v>
      </c>
      <c t="s">
        <v>56738</v>
      </c>
      <c t="s">
        <v>10073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1829" s="1" t="str">
        <f ca="1">HYPERLINK("https://web.datatree.com/?/property?propertyId=32642309", "https://web.datatree.com/?/property?propertyId=32642309")</f>
        <v>https://web.datatree.com/?/property?propertyId=32642309</v>
      </c>
      <c r="Q1829" t="s">
        <v>316</v>
      </c>
      <c>
        <v>0.241</v>
      </c>
      <c t="s">
        <v>6175</v>
      </c>
      <c t="s">
        <v>1599</v>
      </c>
      <c t="s">
        <v>46201</v>
      </c>
      <c r="X1829" t="s">
        <v>53142</v>
      </c>
      <c t="s">
        <v>13065</v>
      </c>
      <c t="s">
        <v>2517</v>
      </c>
      <c t="s">
        <v>39289</v>
      </c>
      <c>
        <v>33909</v>
      </c>
      <c t="s">
        <v>27251</v>
      </c>
      <c t="s">
        <v>48794</v>
      </c>
      <c t="s">
        <v>64563</v>
      </c>
      <c>
        <v>13</v>
      </c>
      <c r="AI1829" t="s">
        <v>22354</v>
      </c>
      <c t="s">
        <v>1671</v>
      </c>
      <c>
        <v>2</v>
      </c>
      <c t="s">
        <v>5738</v>
      </c>
      <c t="s">
        <v>5738</v>
      </c>
      <c t="s">
        <v>39289</v>
      </c>
      <c t="s">
        <v>64896</v>
      </c>
      <c t="s">
        <v>864</v>
      </c>
      <c t="s">
        <v>3093</v>
      </c>
      <c t="s">
        <v>59717</v>
      </c>
    </row>
    <row>
      <c t="s">
        <v>17594</v>
      </c>
      <c t="s">
        <v>51198</v>
      </c>
      <c t="s">
        <v>34208</v>
      </c>
      <c t="s">
        <v>53180</v>
      </c>
      <c t="s">
        <v>60637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1830" s="1" t="str">
        <f ca="1">HYPERLINK("https://web.datatree.com/?/property?propertyId=32642506", "https://web.datatree.com/?/property?propertyId=32642506")</f>
        <v>https://web.datatree.com/?/property?propertyId=32642506</v>
      </c>
      <c r="Q1830" t="s">
        <v>316</v>
      </c>
      <c>
        <v>0.23</v>
      </c>
      <c t="s">
        <v>6175</v>
      </c>
      <c r="U1830" t="s">
        <v>25548</v>
      </c>
      <c t="s">
        <v>58113</v>
      </c>
      <c t="s">
        <v>46450</v>
      </c>
      <c t="s">
        <v>37275</v>
      </c>
      <c t="s">
        <v>39082</v>
      </c>
      <c t="s">
        <v>2517</v>
      </c>
      <c t="s">
        <v>39289</v>
      </c>
      <c>
        <v>33909</v>
      </c>
      <c t="s">
        <v>15007</v>
      </c>
      <c t="s">
        <v>48794</v>
      </c>
      <c t="s">
        <v>11407</v>
      </c>
      <c>
        <v>4198</v>
      </c>
      <c r="AI1830" t="s">
        <v>62257</v>
      </c>
      <c t="s">
        <v>835</v>
      </c>
      <c r="AL1830" t="s">
        <v>32207</v>
      </c>
      <c t="s">
        <v>62109</v>
      </c>
      <c t="s">
        <v>39289</v>
      </c>
      <c t="s">
        <v>66480</v>
      </c>
      <c t="s">
        <v>62845</v>
      </c>
      <c t="s">
        <v>3093</v>
      </c>
      <c t="s">
        <v>39278</v>
      </c>
    </row>
    <row>
      <c t="s">
        <v>17594</v>
      </c>
      <c t="s">
        <v>33111</v>
      </c>
      <c t="s">
        <v>44718</v>
      </c>
      <c t="s">
        <v>25831</v>
      </c>
      <c t="s">
        <v>55984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1831" s="1" t="str">
        <f ca="1">HYPERLINK("https://web.datatree.com/?/property?propertyId=32642526", "https://web.datatree.com/?/property?propertyId=32642526")</f>
        <v>https://web.datatree.com/?/property?propertyId=32642526</v>
      </c>
      <c r="Q1831" t="s">
        <v>316</v>
      </c>
      <c>
        <v>0.241</v>
      </c>
      <c t="s">
        <v>6175</v>
      </c>
      <c t="s">
        <v>47656</v>
      </c>
      <c t="s">
        <v>46136</v>
      </c>
      <c t="s">
        <v>52701</v>
      </c>
      <c t="s">
        <v>3480</v>
      </c>
      <c t="s">
        <v>50444</v>
      </c>
      <c t="s">
        <v>17022</v>
      </c>
      <c t="s">
        <v>2517</v>
      </c>
      <c t="s">
        <v>39289</v>
      </c>
      <c>
        <v>33909</v>
      </c>
      <c t="s">
        <v>15987</v>
      </c>
      <c t="s">
        <v>48794</v>
      </c>
      <c t="s">
        <v>37964</v>
      </c>
      <c>
        <v>460</v>
      </c>
      <c r="AI1831" t="s">
        <v>16561</v>
      </c>
      <c t="s">
        <v>24900</v>
      </c>
      <c r="AL1831" t="s">
        <v>22048</v>
      </c>
      <c t="s">
        <v>11831</v>
      </c>
      <c t="s">
        <v>50917</v>
      </c>
      <c t="s">
        <v>10547</v>
      </c>
      <c t="s">
        <v>65450</v>
      </c>
      <c t="s">
        <v>3093</v>
      </c>
      <c t="s">
        <v>24831</v>
      </c>
    </row>
    <row>
      <c t="s">
        <v>17594</v>
      </c>
      <c t="s">
        <v>58250</v>
      </c>
      <c t="s">
        <v>10420</v>
      </c>
      <c t="s">
        <v>59903</v>
      </c>
      <c t="s">
        <v>57975</v>
      </c>
      <c s="3">
        <v>6400</v>
      </c>
      <c s="3">
        <v>6400</v>
      </c>
      <c s="3">
        <v>3703</v>
      </c>
      <c>
        <v>0</v>
      </c>
      <c s="3">
        <v>0</v>
      </c>
      <c s="3">
        <v>79.1</v>
      </c>
      <c s="3">
        <v>6400</v>
      </c>
      <c r="O1832" s="1" t="str">
        <f ca="1">HYPERLINK("https://web.datatree.com/?/property?propertyId=32642705", "https://web.datatree.com/?/property?propertyId=32642705")</f>
        <v>https://web.datatree.com/?/property?propertyId=32642705</v>
      </c>
      <c r="Q1832" t="s">
        <v>316</v>
      </c>
      <c>
        <v>0.303</v>
      </c>
      <c t="s">
        <v>66399</v>
      </c>
      <c t="s">
        <v>43541</v>
      </c>
      <c t="s">
        <v>15962</v>
      </c>
      <c r="X1832" t="s">
        <v>34539</v>
      </c>
      <c t="s">
        <v>60186</v>
      </c>
      <c t="s">
        <v>65059</v>
      </c>
      <c t="s">
        <v>39289</v>
      </c>
      <c>
        <v>33905</v>
      </c>
      <c t="s">
        <v>24766</v>
      </c>
      <c t="s">
        <v>48794</v>
      </c>
      <c t="s">
        <v>23681</v>
      </c>
      <c>
        <v>38</v>
      </c>
      <c r="AI1832" t="s">
        <v>41872</v>
      </c>
      <c t="s">
        <v>45393</v>
      </c>
      <c r="AL1832" t="s">
        <v>39915</v>
      </c>
      <c t="s">
        <v>46764</v>
      </c>
      <c t="s">
        <v>27747</v>
      </c>
      <c t="s">
        <v>55231</v>
      </c>
      <c t="s">
        <v>56186</v>
      </c>
      <c t="s">
        <v>3093</v>
      </c>
      <c t="s">
        <v>54440</v>
      </c>
    </row>
    <row>
      <c t="s">
        <v>17594</v>
      </c>
      <c t="s">
        <v>13329</v>
      </c>
      <c t="s">
        <v>51928</v>
      </c>
      <c t="s">
        <v>42541</v>
      </c>
      <c t="s">
        <v>38985</v>
      </c>
      <c s="3">
        <v>14027</v>
      </c>
      <c s="3">
        <v>14027</v>
      </c>
      <c s="3">
        <v>6948</v>
      </c>
      <c>
        <v>0</v>
      </c>
      <c s="3">
        <v>0</v>
      </c>
      <c s="3">
        <v>150.32</v>
      </c>
      <c s="3">
        <v>14027</v>
      </c>
      <c r="O1833" s="1" t="str">
        <f ca="1">HYPERLINK("https://web.datatree.com/?/property?propertyId=32642800", "https://web.datatree.com/?/property?propertyId=32642800")</f>
        <v>https://web.datatree.com/?/property?propertyId=32642800</v>
      </c>
      <c r="Q1833" t="s">
        <v>316</v>
      </c>
      <c>
        <v>0.236</v>
      </c>
      <c t="s">
        <v>5471</v>
      </c>
      <c t="s">
        <v>4868</v>
      </c>
      <c t="s">
        <v>10175</v>
      </c>
      <c t="s">
        <v>65985</v>
      </c>
      <c t="s">
        <v>36771</v>
      </c>
      <c t="s">
        <v>14660</v>
      </c>
      <c t="s">
        <v>60074</v>
      </c>
      <c t="s">
        <v>54524</v>
      </c>
      <c t="s">
        <v>39289</v>
      </c>
      <c>
        <v>33903</v>
      </c>
      <c t="s">
        <v>3175</v>
      </c>
      <c t="s">
        <v>48794</v>
      </c>
      <c t="s">
        <v>21664</v>
      </c>
      <c>
        <v>63</v>
      </c>
      <c r="AI1833" t="s">
        <v>51663</v>
      </c>
      <c t="s">
        <v>45620</v>
      </c>
      <c r="AL1833" t="s">
        <v>31805</v>
      </c>
      <c r="AN1833" t="s">
        <v>51087</v>
      </c>
      <c t="s">
        <v>28424</v>
      </c>
      <c t="s">
        <v>37948</v>
      </c>
      <c t="s">
        <v>3093</v>
      </c>
      <c t="s">
        <v>21350</v>
      </c>
    </row>
    <row>
      <c t="s">
        <v>17594</v>
      </c>
      <c t="s">
        <v>37070</v>
      </c>
      <c t="s">
        <v>2095</v>
      </c>
      <c t="s">
        <v>11965</v>
      </c>
      <c t="s">
        <v>66178</v>
      </c>
      <c s="3">
        <v>49096</v>
      </c>
      <c s="3">
        <v>49096</v>
      </c>
      <c s="3">
        <v>29369</v>
      </c>
      <c>
        <v>0</v>
      </c>
      <c s="3">
        <v>0</v>
      </c>
      <c s="3">
        <v>1068.83</v>
      </c>
      <c s="3">
        <v>49096</v>
      </c>
      <c r="O1834" s="1" t="str">
        <f ca="1">HYPERLINK("https://web.datatree.com/?/property?propertyId=32642836", "https://web.datatree.com/?/property?propertyId=32642836")</f>
        <v>https://web.datatree.com/?/property?propertyId=32642836</v>
      </c>
      <c r="Q1834" t="s">
        <v>316</v>
      </c>
      <c>
        <v>0.313</v>
      </c>
      <c t="s">
        <v>6175</v>
      </c>
      <c t="s">
        <v>62098</v>
      </c>
      <c t="s">
        <v>45300</v>
      </c>
      <c t="s">
        <v>27704</v>
      </c>
      <c t="s">
        <v>45300</v>
      </c>
      <c t="s">
        <v>13748</v>
      </c>
      <c t="s">
        <v>59763</v>
      </c>
      <c t="s">
        <v>2517</v>
      </c>
      <c t="s">
        <v>39289</v>
      </c>
      <c>
        <v>33904</v>
      </c>
      <c t="s">
        <v>11149</v>
      </c>
      <c t="s">
        <v>48794</v>
      </c>
      <c t="s">
        <v>5969</v>
      </c>
      <c>
        <v>25</v>
      </c>
      <c r="AI1834" t="s">
        <v>48589</v>
      </c>
      <c t="s">
        <v>24900</v>
      </c>
      <c r="AL1834" t="s">
        <v>66317</v>
      </c>
      <c r="AN1834" t="s">
        <v>50917</v>
      </c>
      <c t="s">
        <v>31866</v>
      </c>
      <c t="s">
        <v>4480</v>
      </c>
      <c t="s">
        <v>3093</v>
      </c>
      <c t="s">
        <v>60376</v>
      </c>
    </row>
    <row>
      <c t="s">
        <v>17594</v>
      </c>
      <c t="s">
        <v>13634</v>
      </c>
      <c t="s">
        <v>65899</v>
      </c>
      <c t="s">
        <v>21322</v>
      </c>
      <c t="s">
        <v>41765</v>
      </c>
      <c s="3">
        <v>23012</v>
      </c>
      <c s="3">
        <v>23012</v>
      </c>
      <c s="3">
        <v>10450</v>
      </c>
      <c>
        <v>0</v>
      </c>
      <c s="3">
        <v>0</v>
      </c>
      <c s="3">
        <v>613.35</v>
      </c>
      <c s="3">
        <v>23012</v>
      </c>
      <c r="O1835" s="1" t="str">
        <f ca="1">HYPERLINK("https://web.datatree.com/?/property?propertyId=32643512", "https://web.datatree.com/?/property?propertyId=32643512")</f>
        <v>https://web.datatree.com/?/property?propertyId=32643512</v>
      </c>
      <c r="Q1835" t="s">
        <v>316</v>
      </c>
      <c>
        <v>0.244</v>
      </c>
      <c t="s">
        <v>45031</v>
      </c>
      <c t="s">
        <v>36748</v>
      </c>
      <c t="s">
        <v>65241</v>
      </c>
      <c t="s">
        <v>56496</v>
      </c>
      <c t="s">
        <v>65241</v>
      </c>
      <c t="s">
        <v>51590</v>
      </c>
      <c t="s">
        <v>29190</v>
      </c>
      <c t="s">
        <v>2517</v>
      </c>
      <c t="s">
        <v>39289</v>
      </c>
      <c>
        <v>33909</v>
      </c>
      <c t="s">
        <v>7838</v>
      </c>
      <c t="s">
        <v>48794</v>
      </c>
      <c t="s">
        <v>14185</v>
      </c>
      <c>
        <v>5500</v>
      </c>
      <c r="AI1835" t="s">
        <v>40289</v>
      </c>
      <c t="s">
        <v>45620</v>
      </c>
      <c r="AL1835" t="s">
        <v>41691</v>
      </c>
      <c r="AN1835" t="s">
        <v>39289</v>
      </c>
      <c t="s">
        <v>10607</v>
      </c>
      <c t="s">
        <v>22455</v>
      </c>
      <c t="s">
        <v>3093</v>
      </c>
      <c t="s">
        <v>39818</v>
      </c>
    </row>
    <row>
      <c t="s">
        <v>17594</v>
      </c>
      <c t="s">
        <v>50034</v>
      </c>
      <c t="s">
        <v>26503</v>
      </c>
      <c t="s">
        <v>23781</v>
      </c>
      <c t="s">
        <v>33620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836" s="1" t="str">
        <f ca="1">HYPERLINK("https://web.datatree.com/?/property?propertyId=32644469", "https://web.datatree.com/?/property?propertyId=32644469")</f>
        <v>https://web.datatree.com/?/property?propertyId=32644469</v>
      </c>
      <c r="Q1836" t="s">
        <v>316</v>
      </c>
      <c>
        <v>0.23</v>
      </c>
      <c t="s">
        <v>6175</v>
      </c>
      <c t="s">
        <v>14751</v>
      </c>
      <c t="s">
        <v>59631</v>
      </c>
      <c t="s">
        <v>64649</v>
      </c>
      <c t="s">
        <v>59631</v>
      </c>
      <c t="s">
        <v>53094</v>
      </c>
      <c t="s">
        <v>2626</v>
      </c>
      <c t="s">
        <v>2517</v>
      </c>
      <c t="s">
        <v>39289</v>
      </c>
      <c>
        <v>33909</v>
      </c>
      <c t="s">
        <v>2758</v>
      </c>
      <c t="s">
        <v>48794</v>
      </c>
      <c t="s">
        <v>37633</v>
      </c>
      <c>
        <v>1859</v>
      </c>
      <c r="AI1836" t="s">
        <v>2088</v>
      </c>
      <c t="s">
        <v>31192</v>
      </c>
      <c r="AL1836" t="s">
        <v>6640</v>
      </c>
      <c r="AN1836" t="s">
        <v>26016</v>
      </c>
      <c t="s">
        <v>64442</v>
      </c>
      <c t="s">
        <v>5800</v>
      </c>
      <c t="s">
        <v>3093</v>
      </c>
      <c t="s">
        <v>51061</v>
      </c>
    </row>
    <row>
      <c t="s">
        <v>17594</v>
      </c>
      <c t="s">
        <v>46355</v>
      </c>
      <c t="s">
        <v>4323</v>
      </c>
      <c t="s">
        <v>32681</v>
      </c>
      <c t="s">
        <v>50021</v>
      </c>
      <c s="3">
        <v>41625</v>
      </c>
      <c s="3">
        <v>41625</v>
      </c>
      <c s="3">
        <v>41250</v>
      </c>
      <c>
        <v>0</v>
      </c>
      <c s="3">
        <v>0</v>
      </c>
      <c s="3">
        <v>590.4</v>
      </c>
      <c s="3">
        <v>41625</v>
      </c>
      <c r="O1837" s="1" t="str">
        <f ca="1">HYPERLINK("https://web.datatree.com/?/property?propertyId=32644827", "https://web.datatree.com/?/property?propertyId=32644827")</f>
        <v>https://web.datatree.com/?/property?propertyId=32644827</v>
      </c>
      <c r="Q1837" t="s">
        <v>316</v>
      </c>
      <c>
        <v>0.23</v>
      </c>
      <c t="s">
        <v>23582</v>
      </c>
      <c t="s">
        <v>22019</v>
      </c>
      <c t="s">
        <v>27591</v>
      </c>
      <c r="X1837" t="s">
        <v>7034</v>
      </c>
      <c t="s">
        <v>27653</v>
      </c>
      <c t="s">
        <v>65059</v>
      </c>
      <c t="s">
        <v>39289</v>
      </c>
      <c>
        <v>33908</v>
      </c>
      <c t="s">
        <v>23700</v>
      </c>
      <c t="s">
        <v>48794</v>
      </c>
      <c t="s">
        <v>40169</v>
      </c>
      <c>
        <v>6255</v>
      </c>
      <c r="AI1837" t="s">
        <v>10784</v>
      </c>
      <c t="s">
        <v>45620</v>
      </c>
      <c r="AL1837" t="s">
        <v>16727</v>
      </c>
      <c r="AN1837" t="s">
        <v>51137</v>
      </c>
      <c t="s">
        <v>37744</v>
      </c>
      <c t="s">
        <v>5811</v>
      </c>
      <c t="s">
        <v>3093</v>
      </c>
      <c t="s">
        <v>57372</v>
      </c>
    </row>
    <row>
      <c t="s">
        <v>17594</v>
      </c>
      <c t="s">
        <v>49176</v>
      </c>
      <c t="s">
        <v>66357</v>
      </c>
      <c t="s">
        <v>31240</v>
      </c>
      <c t="s">
        <v>58028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1838" s="1" t="str">
        <f ca="1">HYPERLINK("https://web.datatree.com/?/property?propertyId=32644909", "https://web.datatree.com/?/property?propertyId=32644909")</f>
        <v>https://web.datatree.com/?/property?propertyId=32644909</v>
      </c>
      <c r="Q1838" t="s">
        <v>316</v>
      </c>
      <c>
        <v>0.244</v>
      </c>
      <c t="s">
        <v>45031</v>
      </c>
      <c t="s">
        <v>42757</v>
      </c>
      <c t="s">
        <v>13719</v>
      </c>
      <c r="X1838" t="s">
        <v>40418</v>
      </c>
      <c t="s">
        <v>53663</v>
      </c>
      <c t="s">
        <v>2517</v>
      </c>
      <c t="s">
        <v>39289</v>
      </c>
      <c>
        <v>33909</v>
      </c>
      <c t="s">
        <v>33274</v>
      </c>
      <c t="s">
        <v>48794</v>
      </c>
      <c t="s">
        <v>19449</v>
      </c>
      <c>
        <v>331</v>
      </c>
      <c r="AI1838" t="s">
        <v>62239</v>
      </c>
      <c t="s">
        <v>45620</v>
      </c>
      <c r="AL1838" t="s">
        <v>60977</v>
      </c>
      <c r="AN1838" t="s">
        <v>26016</v>
      </c>
      <c t="s">
        <v>40548</v>
      </c>
      <c t="s">
        <v>52247</v>
      </c>
      <c t="s">
        <v>3093</v>
      </c>
      <c t="s">
        <v>46820</v>
      </c>
    </row>
    <row>
      <c t="s">
        <v>17594</v>
      </c>
      <c t="s">
        <v>31268</v>
      </c>
      <c t="s">
        <v>58168</v>
      </c>
      <c t="s">
        <v>7226</v>
      </c>
      <c t="s">
        <v>39610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1839" s="1" t="str">
        <f ca="1">HYPERLINK("https://web.datatree.com/?/property?propertyId=32645096", "https://web.datatree.com/?/property?propertyId=32645096")</f>
        <v>https://web.datatree.com/?/property?propertyId=32645096</v>
      </c>
      <c r="Q1839" t="s">
        <v>316</v>
      </c>
      <c>
        <v>0.23</v>
      </c>
      <c t="s">
        <v>6175</v>
      </c>
      <c t="s">
        <v>39574</v>
      </c>
      <c t="s">
        <v>41408</v>
      </c>
      <c t="s">
        <v>26059</v>
      </c>
      <c t="s">
        <v>41408</v>
      </c>
      <c t="s">
        <v>20825</v>
      </c>
      <c t="s">
        <v>371</v>
      </c>
      <c t="s">
        <v>2517</v>
      </c>
      <c t="s">
        <v>39289</v>
      </c>
      <c>
        <v>33909</v>
      </c>
      <c t="s">
        <v>62186</v>
      </c>
      <c t="s">
        <v>48794</v>
      </c>
      <c t="s">
        <v>62191</v>
      </c>
      <c>
        <v>4364</v>
      </c>
      <c r="AI1839" t="s">
        <v>52146</v>
      </c>
      <c t="s">
        <v>31192</v>
      </c>
      <c>
        <v>1</v>
      </c>
      <c t="s">
        <v>6605</v>
      </c>
      <c r="AN1839" t="s">
        <v>51137</v>
      </c>
      <c t="s">
        <v>56687</v>
      </c>
      <c t="s">
        <v>54605</v>
      </c>
      <c t="s">
        <v>3093</v>
      </c>
      <c t="s">
        <v>12037</v>
      </c>
    </row>
    <row>
      <c t="s">
        <v>17594</v>
      </c>
      <c t="s">
        <v>5804</v>
      </c>
      <c t="s">
        <v>14664</v>
      </c>
      <c t="s">
        <v>1531</v>
      </c>
      <c t="s">
        <v>60278</v>
      </c>
      <c s="3">
        <v>10600</v>
      </c>
      <c s="3">
        <v>10600</v>
      </c>
      <c s="3">
        <v>9680</v>
      </c>
      <c>
        <v>0</v>
      </c>
      <c s="3">
        <v>0</v>
      </c>
      <c s="3">
        <v>1266.17</v>
      </c>
      <c s="3">
        <v>10600</v>
      </c>
      <c r="O1840" s="1" t="str">
        <f ca="1">HYPERLINK("https://web.datatree.com/?/property?propertyId=32645428", "https://web.datatree.com/?/property?propertyId=32645428")</f>
        <v>https://web.datatree.com/?/property?propertyId=32645428</v>
      </c>
      <c r="Q1840" t="s">
        <v>316</v>
      </c>
      <c>
        <v>0.258</v>
      </c>
      <c t="s">
        <v>6175</v>
      </c>
      <c t="s">
        <v>552</v>
      </c>
      <c t="s">
        <v>47931</v>
      </c>
      <c r="X1840" t="s">
        <v>31079</v>
      </c>
      <c t="s">
        <v>53675</v>
      </c>
      <c t="s">
        <v>2517</v>
      </c>
      <c t="s">
        <v>39289</v>
      </c>
      <c>
        <v>33909</v>
      </c>
      <c t="s">
        <v>23896</v>
      </c>
      <c t="s">
        <v>48794</v>
      </c>
      <c t="s">
        <v>57008</v>
      </c>
      <c>
        <v>6367</v>
      </c>
      <c r="AI1840" t="s">
        <v>35665</v>
      </c>
      <c t="s">
        <v>31192</v>
      </c>
      <c r="AL1840" t="s">
        <v>62575</v>
      </c>
      <c t="s">
        <v>62575</v>
      </c>
      <c t="s">
        <v>17134</v>
      </c>
      <c t="s">
        <v>45401</v>
      </c>
      <c t="s">
        <v>45980</v>
      </c>
      <c t="s">
        <v>3093</v>
      </c>
      <c t="s">
        <v>57661</v>
      </c>
    </row>
    <row>
      <c t="s">
        <v>17594</v>
      </c>
      <c t="s">
        <v>27658</v>
      </c>
      <c t="s">
        <v>36257</v>
      </c>
      <c t="s">
        <v>46585</v>
      </c>
      <c t="s">
        <v>59241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1841" s="1" t="str">
        <f ca="1">HYPERLINK("https://web.datatree.com/?/property?propertyId=32645500", "https://web.datatree.com/?/property?propertyId=32645500")</f>
        <v>https://web.datatree.com/?/property?propertyId=32645500</v>
      </c>
      <c r="Q1841" t="s">
        <v>316</v>
      </c>
      <c>
        <v>0.23</v>
      </c>
      <c t="s">
        <v>45031</v>
      </c>
      <c t="s">
        <v>13419</v>
      </c>
      <c t="s">
        <v>25783</v>
      </c>
      <c t="s">
        <v>56484</v>
      </c>
      <c t="s">
        <v>35379</v>
      </c>
      <c t="s">
        <v>41748</v>
      </c>
      <c t="s">
        <v>39082</v>
      </c>
      <c t="s">
        <v>2517</v>
      </c>
      <c t="s">
        <v>39289</v>
      </c>
      <c>
        <v>33909</v>
      </c>
      <c t="s">
        <v>39205</v>
      </c>
      <c t="s">
        <v>48794</v>
      </c>
      <c t="s">
        <v>43194</v>
      </c>
      <c>
        <v>6931</v>
      </c>
      <c r="AI1841" t="s">
        <v>5522</v>
      </c>
      <c t="s">
        <v>45620</v>
      </c>
      <c r="AL1841" t="s">
        <v>15244</v>
      </c>
      <c t="s">
        <v>51404</v>
      </c>
      <c t="s">
        <v>48152</v>
      </c>
      <c t="s">
        <v>27163</v>
      </c>
      <c t="s">
        <v>62983</v>
      </c>
      <c t="s">
        <v>3093</v>
      </c>
      <c t="s">
        <v>24027</v>
      </c>
    </row>
    <row>
      <c t="s">
        <v>17594</v>
      </c>
      <c t="s">
        <v>32703</v>
      </c>
      <c t="s">
        <v>65939</v>
      </c>
      <c t="s">
        <v>41452</v>
      </c>
      <c t="s">
        <v>45145</v>
      </c>
      <c s="3">
        <v>20472</v>
      </c>
      <c s="3">
        <v>20472</v>
      </c>
      <c s="3">
        <v>9130</v>
      </c>
      <c>
        <v>0</v>
      </c>
      <c s="3">
        <v>0</v>
      </c>
      <c s="3">
        <v>628.88</v>
      </c>
      <c s="3">
        <v>20472</v>
      </c>
      <c r="O1842" s="1" t="str">
        <f ca="1">HYPERLINK("https://web.datatree.com/?/property?propertyId=32645513", "https://web.datatree.com/?/property?propertyId=32645513")</f>
        <v>https://web.datatree.com/?/property?propertyId=32645513</v>
      </c>
      <c r="Q1842" t="s">
        <v>316</v>
      </c>
      <c>
        <v>0.287</v>
      </c>
      <c t="s">
        <v>45031</v>
      </c>
      <c t="s">
        <v>18846</v>
      </c>
      <c t="s">
        <v>36537</v>
      </c>
      <c t="s">
        <v>56498</v>
      </c>
      <c t="s">
        <v>41422</v>
      </c>
      <c t="s">
        <v>58059</v>
      </c>
      <c t="s">
        <v>22731</v>
      </c>
      <c t="s">
        <v>2517</v>
      </c>
      <c t="s">
        <v>39289</v>
      </c>
      <c>
        <v>33909</v>
      </c>
      <c t="s">
        <v>10393</v>
      </c>
      <c t="s">
        <v>48794</v>
      </c>
      <c t="s">
        <v>22879</v>
      </c>
      <c>
        <v>9</v>
      </c>
      <c r="AI1842" t="s">
        <v>43735</v>
      </c>
      <c t="s">
        <v>45393</v>
      </c>
      <c r="AL1842" t="s">
        <v>28473</v>
      </c>
      <c r="AN1842" t="s">
        <v>63985</v>
      </c>
      <c>
        <v>12683</v>
      </c>
      <c r="AR1842" t="s">
        <v>25236</v>
      </c>
    </row>
    <row>
      <c t="s">
        <v>17594</v>
      </c>
      <c t="s">
        <v>51447</v>
      </c>
      <c t="s">
        <v>46494</v>
      </c>
      <c t="s">
        <v>40530</v>
      </c>
      <c t="s">
        <v>58675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1843" s="1" t="str">
        <f ca="1">HYPERLINK("https://web.datatree.com/?/property?propertyId=32645578", "https://web.datatree.com/?/property?propertyId=32645578")</f>
        <v>https://web.datatree.com/?/property?propertyId=32645578</v>
      </c>
      <c r="Q1843" t="s">
        <v>316</v>
      </c>
      <c>
        <v>0.23</v>
      </c>
      <c t="s">
        <v>6175</v>
      </c>
      <c t="s">
        <v>30886</v>
      </c>
      <c t="s">
        <v>56494</v>
      </c>
      <c r="X1843" t="s">
        <v>31994</v>
      </c>
      <c t="s">
        <v>2619</v>
      </c>
      <c t="s">
        <v>2517</v>
      </c>
      <c t="s">
        <v>39289</v>
      </c>
      <c>
        <v>33909</v>
      </c>
      <c t="s">
        <v>38483</v>
      </c>
      <c t="s">
        <v>48794</v>
      </c>
      <c t="s">
        <v>13326</v>
      </c>
      <c>
        <v>1</v>
      </c>
      <c r="AI1843" t="s">
        <v>13192</v>
      </c>
      <c t="s">
        <v>31192</v>
      </c>
      <c r="AL1843" t="s">
        <v>3843</v>
      </c>
      <c r="AN1843" t="s">
        <v>26016</v>
      </c>
      <c t="s">
        <v>480</v>
      </c>
      <c t="s">
        <v>19978</v>
      </c>
      <c t="s">
        <v>3093</v>
      </c>
      <c t="s">
        <v>14177</v>
      </c>
    </row>
    <row>
      <c t="s">
        <v>17594</v>
      </c>
      <c t="s">
        <v>22140</v>
      </c>
      <c t="s">
        <v>49252</v>
      </c>
      <c t="s">
        <v>49046</v>
      </c>
      <c t="s">
        <v>59381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1844" s="1" t="str">
        <f ca="1">HYPERLINK("https://web.datatree.com/?/property?propertyId=32645941", "https://web.datatree.com/?/property?propertyId=32645941")</f>
        <v>https://web.datatree.com/?/property?propertyId=32645941</v>
      </c>
      <c r="Q1844" t="s">
        <v>316</v>
      </c>
      <c>
        <v>0.23</v>
      </c>
      <c t="s">
        <v>6175</v>
      </c>
      <c t="s">
        <v>57667</v>
      </c>
      <c t="s">
        <v>3249</v>
      </c>
      <c t="s">
        <v>10013</v>
      </c>
      <c t="s">
        <v>36481</v>
      </c>
      <c t="s">
        <v>65901</v>
      </c>
      <c t="s">
        <v>61865</v>
      </c>
      <c t="s">
        <v>2517</v>
      </c>
      <c t="s">
        <v>39289</v>
      </c>
      <c>
        <v>33909</v>
      </c>
      <c t="s">
        <v>39961</v>
      </c>
      <c t="s">
        <v>48794</v>
      </c>
      <c t="s">
        <v>10090</v>
      </c>
      <c>
        <v>10076</v>
      </c>
      <c r="AH1844" t="s">
        <v>26580</v>
      </c>
      <c t="s">
        <v>33916</v>
      </c>
      <c t="s">
        <v>55842</v>
      </c>
      <c r="AL1844" t="s">
        <v>52434</v>
      </c>
      <c r="AN1844" t="s">
        <v>39289</v>
      </c>
      <c t="s">
        <v>32870</v>
      </c>
      <c t="s">
        <v>53660</v>
      </c>
      <c t="s">
        <v>3093</v>
      </c>
      <c t="s">
        <v>49991</v>
      </c>
    </row>
    <row>
      <c t="s">
        <v>42103</v>
      </c>
      <c t="s">
        <v>2600</v>
      </c>
      <c t="s">
        <v>15570</v>
      </c>
      <c t="s">
        <v>30956</v>
      </c>
      <c t="s">
        <v>62314</v>
      </c>
      <c s="3">
        <v>467899</v>
      </c>
      <c s="3">
        <v>467899</v>
      </c>
      <c s="3">
        <v>467899</v>
      </c>
      <c>
        <v>0</v>
      </c>
      <c s="3">
        <v>0</v>
      </c>
      <c s="3">
        <v>7571.85</v>
      </c>
      <c s="3">
        <v>467899</v>
      </c>
      <c r="O1845" s="1" t="str">
        <f ca="1">HYPERLINK("https://web.datatree.com/?/property?propertyId=32646579", "https://web.datatree.com/?/property?propertyId=32646579")</f>
        <v>https://web.datatree.com/?/property?propertyId=32646579</v>
      </c>
      <c r="Q1845" t="s">
        <v>316</v>
      </c>
      <c>
        <v>0.629</v>
      </c>
      <c t="s">
        <v>14479</v>
      </c>
      <c t="s">
        <v>552</v>
      </c>
      <c t="s">
        <v>28072</v>
      </c>
      <c r="X1845" t="s">
        <v>11415</v>
      </c>
      <c t="s">
        <v>44129</v>
      </c>
      <c t="s">
        <v>2517</v>
      </c>
      <c t="s">
        <v>39289</v>
      </c>
      <c>
        <v>33904</v>
      </c>
      <c>
        <v>33904</v>
      </c>
      <c t="s">
        <v>48794</v>
      </c>
      <c t="s">
        <v>46685</v>
      </c>
      <c r="AI1845" t="s">
        <v>55834</v>
      </c>
      <c r="AL1845" t="s">
        <v>2578</v>
      </c>
      <c r="AN1845" t="s">
        <v>64022</v>
      </c>
      <c>
        <v>3110</v>
      </c>
      <c t="s">
        <v>61509</v>
      </c>
      <c t="s">
        <v>3093</v>
      </c>
      <c t="s">
        <v>12922</v>
      </c>
    </row>
    <row>
      <c t="s">
        <v>17594</v>
      </c>
      <c t="s">
        <v>27080</v>
      </c>
      <c t="s">
        <v>7853</v>
      </c>
      <c t="s">
        <v>61485</v>
      </c>
      <c t="s">
        <v>17076</v>
      </c>
      <c s="3">
        <v>38645</v>
      </c>
      <c s="3">
        <v>38645</v>
      </c>
      <c s="3">
        <v>15044</v>
      </c>
      <c>
        <v>0</v>
      </c>
      <c s="3">
        <v>0</v>
      </c>
      <c s="3">
        <v>794.88</v>
      </c>
      <c s="3">
        <v>38645</v>
      </c>
      <c r="O1846" s="1" t="str">
        <f ca="1">HYPERLINK("https://web.datatree.com/?/property?propertyId=32646878", "https://web.datatree.com/?/property?propertyId=32646878")</f>
        <v>https://web.datatree.com/?/property?propertyId=32646878</v>
      </c>
      <c r="Q1846" t="s">
        <v>316</v>
      </c>
      <c>
        <v>0.23</v>
      </c>
      <c t="s">
        <v>6175</v>
      </c>
      <c t="s">
        <v>65063</v>
      </c>
      <c t="s">
        <v>51549</v>
      </c>
      <c t="s">
        <v>53353</v>
      </c>
      <c t="s">
        <v>51549</v>
      </c>
      <c t="s">
        <v>31346</v>
      </c>
      <c t="s">
        <v>38550</v>
      </c>
      <c t="s">
        <v>2517</v>
      </c>
      <c t="s">
        <v>39289</v>
      </c>
      <c>
        <v>33909</v>
      </c>
      <c t="s">
        <v>25730</v>
      </c>
      <c t="s">
        <v>48794</v>
      </c>
      <c t="s">
        <v>39503</v>
      </c>
      <c>
        <v>10441</v>
      </c>
      <c r="AI1846" t="s">
        <v>9600</v>
      </c>
      <c t="s">
        <v>45393</v>
      </c>
      <c r="AL1846" t="s">
        <v>63930</v>
      </c>
      <c r="AN1846" t="s">
        <v>50917</v>
      </c>
      <c t="s">
        <v>43923</v>
      </c>
      <c t="s">
        <v>48506</v>
      </c>
      <c t="s">
        <v>3093</v>
      </c>
      <c t="s">
        <v>32336</v>
      </c>
    </row>
    <row>
      <c t="s">
        <v>17594</v>
      </c>
      <c t="s">
        <v>58002</v>
      </c>
      <c t="s">
        <v>63671</v>
      </c>
      <c t="s">
        <v>31410</v>
      </c>
      <c t="s">
        <v>13485</v>
      </c>
      <c s="3">
        <v>12203</v>
      </c>
      <c s="3">
        <v>12203</v>
      </c>
      <c s="3">
        <v>8195</v>
      </c>
      <c>
        <v>0</v>
      </c>
      <c s="3">
        <v>0</v>
      </c>
      <c s="3">
        <v>144.95</v>
      </c>
      <c s="3">
        <v>12203</v>
      </c>
      <c r="O1847" s="1" t="str">
        <f ca="1">HYPERLINK("https://web.datatree.com/?/property?propertyId=32646912", "https://web.datatree.com/?/property?propertyId=32646912")</f>
        <v>https://web.datatree.com/?/property?propertyId=32646912</v>
      </c>
      <c r="Q1847" t="s">
        <v>316</v>
      </c>
      <c>
        <v>0.243</v>
      </c>
      <c t="s">
        <v>5471</v>
      </c>
      <c t="s">
        <v>1859</v>
      </c>
      <c t="s">
        <v>52069</v>
      </c>
      <c r="X1847" t="s">
        <v>34088</v>
      </c>
      <c t="s">
        <v>5630</v>
      </c>
      <c t="s">
        <v>65059</v>
      </c>
      <c t="s">
        <v>39289</v>
      </c>
      <c>
        <v>33905</v>
      </c>
      <c t="s">
        <v>3912</v>
      </c>
      <c t="s">
        <v>48794</v>
      </c>
      <c t="s">
        <v>34881</v>
      </c>
      <c>
        <v>6965</v>
      </c>
      <c r="AH1847" t="s">
        <v>57851</v>
      </c>
      <c t="s">
        <v>55516</v>
      </c>
      <c r="AL1847" t="s">
        <v>52434</v>
      </c>
      <c r="AN1847" t="s">
        <v>39289</v>
      </c>
      <c t="s">
        <v>12761</v>
      </c>
      <c t="s">
        <v>4480</v>
      </c>
      <c t="s">
        <v>3093</v>
      </c>
      <c t="s">
        <v>17907</v>
      </c>
    </row>
    <row>
      <c t="s">
        <v>17594</v>
      </c>
      <c t="s">
        <v>27538</v>
      </c>
      <c t="s">
        <v>43375</v>
      </c>
      <c t="s">
        <v>35965</v>
      </c>
      <c t="s">
        <v>18697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1848" s="1" t="str">
        <f ca="1">HYPERLINK("https://web.datatree.com/?/property?propertyId=32648224", "https://web.datatree.com/?/property?propertyId=32648224")</f>
        <v>https://web.datatree.com/?/property?propertyId=32648224</v>
      </c>
      <c r="Q1848" t="s">
        <v>316</v>
      </c>
      <c>
        <v>0.23</v>
      </c>
      <c t="s">
        <v>6175</v>
      </c>
      <c t="s">
        <v>46245</v>
      </c>
      <c t="s">
        <v>18034</v>
      </c>
      <c r="X1848" t="s">
        <v>11347</v>
      </c>
      <c t="s">
        <v>22731</v>
      </c>
      <c t="s">
        <v>2517</v>
      </c>
      <c t="s">
        <v>39289</v>
      </c>
      <c>
        <v>33909</v>
      </c>
      <c t="s">
        <v>29468</v>
      </c>
      <c t="s">
        <v>48794</v>
      </c>
      <c t="s">
        <v>49089</v>
      </c>
      <c>
        <v>276</v>
      </c>
      <c r="AI1848" t="s">
        <v>22773</v>
      </c>
      <c t="s">
        <v>55842</v>
      </c>
      <c r="AL1848" t="s">
        <v>62077</v>
      </c>
      <c r="AN1848" t="s">
        <v>50917</v>
      </c>
      <c t="s">
        <v>23077</v>
      </c>
      <c t="s">
        <v>40645</v>
      </c>
      <c t="s">
        <v>3093</v>
      </c>
      <c t="s">
        <v>39658</v>
      </c>
    </row>
    <row>
      <c t="s">
        <v>17594</v>
      </c>
      <c t="s">
        <v>66438</v>
      </c>
      <c t="s">
        <v>63644</v>
      </c>
      <c t="s">
        <v>8653</v>
      </c>
      <c t="s">
        <v>28874</v>
      </c>
      <c s="3">
        <v>61102</v>
      </c>
      <c s="3">
        <v>61102</v>
      </c>
      <c s="3">
        <v>60894</v>
      </c>
      <c>
        <v>0</v>
      </c>
      <c s="3">
        <v>0</v>
      </c>
      <c s="3">
        <v>942.45</v>
      </c>
      <c s="3">
        <v>61102</v>
      </c>
      <c r="O1849" s="1" t="str">
        <f ca="1">HYPERLINK("https://web.datatree.com/?/property?propertyId=32648519", "https://web.datatree.com/?/property?propertyId=32648519")</f>
        <v>https://web.datatree.com/?/property?propertyId=32648519</v>
      </c>
      <c r="Q1849" t="s">
        <v>316</v>
      </c>
      <c>
        <v>0.417</v>
      </c>
      <c t="s">
        <v>30497</v>
      </c>
      <c t="s">
        <v>50331</v>
      </c>
      <c t="s">
        <v>3876</v>
      </c>
      <c t="s">
        <v>39768</v>
      </c>
      <c t="s">
        <v>3876</v>
      </c>
      <c t="s">
        <v>14051</v>
      </c>
      <c t="s">
        <v>48518</v>
      </c>
      <c t="s">
        <v>65059</v>
      </c>
      <c t="s">
        <v>39289</v>
      </c>
      <c>
        <v>33905</v>
      </c>
      <c>
        <v>33905</v>
      </c>
      <c t="s">
        <v>48794</v>
      </c>
      <c t="s">
        <v>59176</v>
      </c>
      <c>
        <v>11415</v>
      </c>
      <c r="AI1849" t="s">
        <v>56397</v>
      </c>
      <c t="s">
        <v>39321</v>
      </c>
      <c r="AL1849" t="s">
        <v>17200</v>
      </c>
      <c t="s">
        <v>17200</v>
      </c>
      <c t="s">
        <v>39289</v>
      </c>
      <c t="s">
        <v>1398</v>
      </c>
      <c t="s">
        <v>32752</v>
      </c>
      <c t="s">
        <v>3093</v>
      </c>
      <c t="s">
        <v>31237</v>
      </c>
    </row>
    <row>
      <c t="s">
        <v>17594</v>
      </c>
      <c t="s">
        <v>12089</v>
      </c>
      <c t="s">
        <v>21965</v>
      </c>
      <c t="s">
        <v>5820</v>
      </c>
      <c t="s">
        <v>52556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597.9</v>
      </c>
      <c s="1" t="str">
        <f ca="1">HYPERLINK("https://web.datatree.com/?/property?propertyId=32648630", "https://web.datatree.com/?/property?propertyId=32648630")</f>
        <v>https://web.datatree.com/?/property?propertyId=32648630</v>
      </c>
      <c r="Q1850" t="s">
        <v>316</v>
      </c>
      <c>
        <v>0.23</v>
      </c>
      <c t="s">
        <v>6175</v>
      </c>
      <c t="s">
        <v>1062</v>
      </c>
      <c t="s">
        <v>43840</v>
      </c>
      <c r="X1850" t="s">
        <v>66159</v>
      </c>
      <c t="s">
        <v>46469</v>
      </c>
      <c t="s">
        <v>2517</v>
      </c>
      <c t="s">
        <v>39289</v>
      </c>
      <c>
        <v>33909</v>
      </c>
      <c t="s">
        <v>10639</v>
      </c>
      <c t="s">
        <v>48794</v>
      </c>
      <c t="s">
        <v>50994</v>
      </c>
      <c>
        <v>21627</v>
      </c>
      <c r="AI1850" t="s">
        <v>65182</v>
      </c>
      <c t="s">
        <v>55842</v>
      </c>
      <c r="AL1850" t="s">
        <v>52434</v>
      </c>
      <c r="AN1850" t="s">
        <v>39289</v>
      </c>
      <c t="s">
        <v>2234</v>
      </c>
      <c t="s">
        <v>34342</v>
      </c>
      <c t="s">
        <v>3093</v>
      </c>
      <c t="s">
        <v>49465</v>
      </c>
    </row>
    <row>
      <c t="s">
        <v>17594</v>
      </c>
      <c t="s">
        <v>38878</v>
      </c>
      <c t="s">
        <v>27730</v>
      </c>
      <c t="s">
        <v>54104</v>
      </c>
      <c t="s">
        <v>65952</v>
      </c>
      <c s="3">
        <v>102661</v>
      </c>
      <c s="3">
        <v>93500</v>
      </c>
      <c s="3">
        <v>102661</v>
      </c>
      <c>
        <v>0</v>
      </c>
      <c s="3">
        <v>0</v>
      </c>
      <c s="3">
        <v>1541.88</v>
      </c>
      <c s="3">
        <v>102661</v>
      </c>
      <c r="O1851" s="1" t="str">
        <f ca="1">HYPERLINK("https://web.datatree.com/?/property?propertyId=32649158", "https://web.datatree.com/?/property?propertyId=32649158")</f>
        <v>https://web.datatree.com/?/property?propertyId=32649158</v>
      </c>
      <c r="Q1851" t="s">
        <v>316</v>
      </c>
      <c>
        <v>0.096</v>
      </c>
      <c t="s">
        <v>26492</v>
      </c>
      <c t="s">
        <v>2140</v>
      </c>
      <c t="s">
        <v>37723</v>
      </c>
      <c t="s">
        <v>26023</v>
      </c>
      <c t="s">
        <v>37723</v>
      </c>
      <c t="s">
        <v>30622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31208</v>
      </c>
      <c>
        <v>5825</v>
      </c>
      <c r="AI1851" t="s">
        <v>50499</v>
      </c>
      <c t="s">
        <v>1671</v>
      </c>
      <c r="AL1851" t="s">
        <v>28744</v>
      </c>
      <c t="s">
        <v>40227</v>
      </c>
      <c t="s">
        <v>22275</v>
      </c>
      <c t="s">
        <v>51104</v>
      </c>
      <c t="s">
        <v>702</v>
      </c>
      <c t="s">
        <v>3093</v>
      </c>
      <c t="s">
        <v>25161</v>
      </c>
    </row>
    <row>
      <c t="s">
        <v>17594</v>
      </c>
      <c t="s">
        <v>28964</v>
      </c>
      <c t="s">
        <v>58589</v>
      </c>
      <c t="s">
        <v>41144</v>
      </c>
      <c t="s">
        <v>62818</v>
      </c>
      <c s="3">
        <v>32820</v>
      </c>
      <c s="3">
        <v>29068</v>
      </c>
      <c s="3">
        <v>32727</v>
      </c>
      <c>
        <v>0</v>
      </c>
      <c s="3">
        <v>0</v>
      </c>
      <c s="3">
        <v>452.37</v>
      </c>
      <c s="3">
        <v>32820</v>
      </c>
      <c r="O1852" s="1" t="str">
        <f ca="1">HYPERLINK("https://web.datatree.com/?/property?propertyId=32649810", "https://web.datatree.com/?/property?propertyId=32649810")</f>
        <v>https://web.datatree.com/?/property?propertyId=32649810</v>
      </c>
      <c r="Q1852" t="s">
        <v>316</v>
      </c>
      <c>
        <v>0.047</v>
      </c>
      <c t="s">
        <v>54329</v>
      </c>
      <c r="U1852" t="s">
        <v>26786</v>
      </c>
      <c t="s">
        <v>3293</v>
      </c>
      <c t="s">
        <v>28448</v>
      </c>
      <c t="s">
        <v>62861</v>
      </c>
      <c t="s">
        <v>43791</v>
      </c>
      <c t="s">
        <v>65059</v>
      </c>
      <c t="s">
        <v>39289</v>
      </c>
      <c>
        <v>33908</v>
      </c>
      <c t="s">
        <v>36276</v>
      </c>
      <c t="s">
        <v>48794</v>
      </c>
      <c t="s">
        <v>967</v>
      </c>
      <c>
        <v>3750</v>
      </c>
      <c r="AH1852" t="s">
        <v>6851</v>
      </c>
      <c t="s">
        <v>52361</v>
      </c>
      <c t="s">
        <v>24900</v>
      </c>
      <c r="AL1852" t="s">
        <v>58129</v>
      </c>
      <c t="s">
        <v>53482</v>
      </c>
      <c t="s">
        <v>51137</v>
      </c>
      <c t="s">
        <v>65303</v>
      </c>
      <c t="s">
        <v>22455</v>
      </c>
      <c t="s">
        <v>3093</v>
      </c>
      <c t="s">
        <v>48370</v>
      </c>
    </row>
    <row>
      <c t="s">
        <v>17594</v>
      </c>
      <c t="s">
        <v>20269</v>
      </c>
      <c t="s">
        <v>45025</v>
      </c>
      <c t="s">
        <v>11702</v>
      </c>
      <c t="s">
        <v>65167</v>
      </c>
      <c s="3">
        <v>22041</v>
      </c>
      <c s="3">
        <v>22041</v>
      </c>
      <c s="3">
        <v>22041</v>
      </c>
      <c>
        <v>0</v>
      </c>
      <c s="3">
        <v>0</v>
      </c>
      <c s="3">
        <v>817.02</v>
      </c>
      <c s="3">
        <v>22041</v>
      </c>
      <c r="O1853" s="1" t="str">
        <f ca="1">HYPERLINK("https://web.datatree.com/?/property?propertyId=32650342", "https://web.datatree.com/?/property?propertyId=32650342")</f>
        <v>https://web.datatree.com/?/property?propertyId=32650342</v>
      </c>
      <c r="Q1853" t="s">
        <v>316</v>
      </c>
      <c>
        <v>0.344</v>
      </c>
      <c t="s">
        <v>6175</v>
      </c>
      <c t="s">
        <v>27759</v>
      </c>
      <c t="s">
        <v>59270</v>
      </c>
      <c r="X1853" t="s">
        <v>13827</v>
      </c>
      <c t="s">
        <v>41506</v>
      </c>
      <c t="s">
        <v>2517</v>
      </c>
      <c t="s">
        <v>39289</v>
      </c>
      <c>
        <v>33909</v>
      </c>
      <c t="s">
        <v>36270</v>
      </c>
      <c t="s">
        <v>48794</v>
      </c>
      <c t="s">
        <v>46998</v>
      </c>
      <c>
        <v>4653</v>
      </c>
      <c r="AI1853" t="s">
        <v>19343</v>
      </c>
      <c t="s">
        <v>41372</v>
      </c>
      <c r="AL1853" t="s">
        <v>38297</v>
      </c>
      <c t="s">
        <v>47118</v>
      </c>
      <c t="s">
        <v>27222</v>
      </c>
      <c t="s">
        <v>3426</v>
      </c>
      <c t="s">
        <v>34162</v>
      </c>
      <c t="s">
        <v>3093</v>
      </c>
      <c t="s">
        <v>2123</v>
      </c>
    </row>
    <row>
      <c t="s">
        <v>17594</v>
      </c>
      <c t="s">
        <v>58976</v>
      </c>
      <c t="s">
        <v>34287</v>
      </c>
      <c t="s">
        <v>60282</v>
      </c>
      <c t="s">
        <v>63738</v>
      </c>
      <c s="3">
        <v>12544</v>
      </c>
      <c s="3">
        <v>12544</v>
      </c>
      <c s="3">
        <v>6389</v>
      </c>
      <c>
        <v>0</v>
      </c>
      <c s="3">
        <v>0</v>
      </c>
      <c s="3">
        <v>333.57</v>
      </c>
      <c s="3">
        <v>12544</v>
      </c>
      <c r="O1854" s="1" t="str">
        <f ca="1">HYPERLINK("https://web.datatree.com/?/property?propertyId=32650590", "https://web.datatree.com/?/property?propertyId=32650590")</f>
        <v>https://web.datatree.com/?/property?propertyId=32650590</v>
      </c>
      <c r="Q1854" t="s">
        <v>316</v>
      </c>
      <c>
        <v>0.296</v>
      </c>
      <c t="s">
        <v>37489</v>
      </c>
      <c r="U1854" t="s">
        <v>41821</v>
      </c>
      <c r="W1854" t="s">
        <v>60033</v>
      </c>
      <c t="s">
        <v>27340</v>
      </c>
      <c t="s">
        <v>65695</v>
      </c>
      <c t="s">
        <v>65059</v>
      </c>
      <c t="s">
        <v>39289</v>
      </c>
      <c>
        <v>33905</v>
      </c>
      <c t="s">
        <v>5780</v>
      </c>
      <c t="s">
        <v>48794</v>
      </c>
      <c t="s">
        <v>33696</v>
      </c>
      <c>
        <v>2907</v>
      </c>
      <c r="AI1854" t="s">
        <v>19924</v>
      </c>
      <c t="s">
        <v>45620</v>
      </c>
      <c r="AL1854" t="s">
        <v>46963</v>
      </c>
      <c r="AN1854" t="s">
        <v>51137</v>
      </c>
      <c t="s">
        <v>43450</v>
      </c>
      <c t="s">
        <v>27720</v>
      </c>
      <c t="s">
        <v>3093</v>
      </c>
      <c t="s">
        <v>59421</v>
      </c>
    </row>
    <row>
      <c t="s">
        <v>17594</v>
      </c>
      <c t="s">
        <v>33709</v>
      </c>
      <c t="s">
        <v>34910</v>
      </c>
      <c t="s">
        <v>10416</v>
      </c>
      <c t="s">
        <v>34837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1855" s="1" t="str">
        <f ca="1">HYPERLINK("https://web.datatree.com/?/property?propertyId=32651204", "https://web.datatree.com/?/property?propertyId=32651204")</f>
        <v>https://web.datatree.com/?/property?propertyId=32651204</v>
      </c>
      <c r="Q1855" t="s">
        <v>316</v>
      </c>
      <c>
        <v>0.23</v>
      </c>
      <c t="s">
        <v>42044</v>
      </c>
      <c t="s">
        <v>52045</v>
      </c>
      <c t="s">
        <v>11693</v>
      </c>
      <c r="X1855" t="s">
        <v>23073</v>
      </c>
      <c t="s">
        <v>57064</v>
      </c>
      <c t="s">
        <v>2517</v>
      </c>
      <c t="s">
        <v>39289</v>
      </c>
      <c>
        <v>33909</v>
      </c>
      <c t="s">
        <v>41148</v>
      </c>
      <c t="s">
        <v>48794</v>
      </c>
      <c t="s">
        <v>64760</v>
      </c>
      <c>
        <v>46</v>
      </c>
      <c r="AI1855" t="s">
        <v>2723</v>
      </c>
      <c t="s">
        <v>45393</v>
      </c>
      <c r="AL1855" t="s">
        <v>5138</v>
      </c>
      <c r="AN1855" t="s">
        <v>39289</v>
      </c>
      <c t="s">
        <v>15330</v>
      </c>
      <c t="s">
        <v>44573</v>
      </c>
      <c t="s">
        <v>3093</v>
      </c>
      <c t="s">
        <v>5517</v>
      </c>
    </row>
    <row>
      <c t="s">
        <v>42103</v>
      </c>
      <c t="s">
        <v>53594</v>
      </c>
      <c t="s">
        <v>49081</v>
      </c>
      <c t="s">
        <v>36861</v>
      </c>
      <c t="s">
        <v>16654</v>
      </c>
      <c s="3">
        <v>61962</v>
      </c>
      <c s="3">
        <v>61962</v>
      </c>
      <c s="3">
        <v>29945</v>
      </c>
      <c>
        <v>0</v>
      </c>
      <c s="3">
        <v>0</v>
      </c>
      <c s="3">
        <v>1276.57</v>
      </c>
      <c s="3">
        <v>61962</v>
      </c>
      <c r="O1856" s="1" t="str">
        <f ca="1">HYPERLINK("https://web.datatree.com/?/property?propertyId=32651410", "https://web.datatree.com/?/property?propertyId=32651410")</f>
        <v>https://web.datatree.com/?/property?propertyId=32651410</v>
      </c>
      <c r="Q1856" t="s">
        <v>316</v>
      </c>
      <c>
        <v>0.356</v>
      </c>
      <c t="s">
        <v>6175</v>
      </c>
      <c t="s">
        <v>35237</v>
      </c>
      <c t="s">
        <v>13824</v>
      </c>
      <c t="s">
        <v>45406</v>
      </c>
      <c t="s">
        <v>13824</v>
      </c>
      <c t="s">
        <v>47897</v>
      </c>
      <c t="s">
        <v>49074</v>
      </c>
      <c t="s">
        <v>2517</v>
      </c>
      <c t="s">
        <v>39289</v>
      </c>
      <c>
        <v>33904</v>
      </c>
      <c t="s">
        <v>15224</v>
      </c>
      <c t="s">
        <v>48794</v>
      </c>
      <c t="s">
        <v>57751</v>
      </c>
      <c r="AI1856" t="s">
        <v>16833</v>
      </c>
      <c r="AL1856" t="s">
        <v>55393</v>
      </c>
      <c r="AN1856" t="s">
        <v>39289</v>
      </c>
      <c t="s">
        <v>33425</v>
      </c>
      <c t="s">
        <v>18593</v>
      </c>
      <c t="s">
        <v>3093</v>
      </c>
      <c t="s">
        <v>2000</v>
      </c>
    </row>
    <row>
      <c t="s">
        <v>17594</v>
      </c>
      <c t="s">
        <v>24181</v>
      </c>
      <c t="s">
        <v>31372</v>
      </c>
      <c t="s">
        <v>35622</v>
      </c>
      <c t="s">
        <v>57651</v>
      </c>
      <c s="3">
        <v>24249</v>
      </c>
      <c s="3">
        <v>24249</v>
      </c>
      <c s="3">
        <v>18150</v>
      </c>
      <c>
        <v>0</v>
      </c>
      <c s="3">
        <v>0</v>
      </c>
      <c s="3">
        <v>961.28</v>
      </c>
      <c s="3">
        <v>24249</v>
      </c>
      <c r="O1857" s="1" t="str">
        <f ca="1">HYPERLINK("https://web.datatree.com/?/property?propertyId=32651905", "https://web.datatree.com/?/property?propertyId=32651905")</f>
        <v>https://web.datatree.com/?/property?propertyId=32651905</v>
      </c>
      <c r="Q1857" t="s">
        <v>316</v>
      </c>
      <c>
        <v>0.491</v>
      </c>
      <c t="s">
        <v>42044</v>
      </c>
      <c t="s">
        <v>18547</v>
      </c>
      <c t="s">
        <v>60353</v>
      </c>
      <c r="X1857" t="s">
        <v>29778</v>
      </c>
      <c t="s">
        <v>13478</v>
      </c>
      <c t="s">
        <v>2517</v>
      </c>
      <c t="s">
        <v>39289</v>
      </c>
      <c>
        <v>33909</v>
      </c>
      <c t="s">
        <v>9141</v>
      </c>
      <c t="s">
        <v>48794</v>
      </c>
      <c t="s">
        <v>64699</v>
      </c>
      <c>
        <v>5839</v>
      </c>
      <c r="AI1857" t="s">
        <v>19125</v>
      </c>
      <c t="s">
        <v>29535</v>
      </c>
      <c r="AL1857" t="s">
        <v>52636</v>
      </c>
      <c r="AN1857" t="s">
        <v>58811</v>
      </c>
      <c t="s">
        <v>5379</v>
      </c>
      <c r="AQ1857" t="s">
        <v>27814</v>
      </c>
      <c t="s">
        <v>22308</v>
      </c>
    </row>
    <row>
      <c t="s">
        <v>17594</v>
      </c>
      <c t="s">
        <v>30579</v>
      </c>
      <c t="s">
        <v>1321</v>
      </c>
      <c t="s">
        <v>44373</v>
      </c>
      <c t="s">
        <v>43262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1858" s="1" t="str">
        <f ca="1">HYPERLINK("https://web.datatree.com/?/property?propertyId=32652234", "https://web.datatree.com/?/property?propertyId=32652234")</f>
        <v>https://web.datatree.com/?/property?propertyId=32652234</v>
      </c>
      <c r="Q1858" t="s">
        <v>316</v>
      </c>
      <c>
        <v>0.23</v>
      </c>
      <c t="s">
        <v>6175</v>
      </c>
      <c r="U1858" t="s">
        <v>855</v>
      </c>
      <c t="s">
        <v>3293</v>
      </c>
      <c t="s">
        <v>3096</v>
      </c>
      <c t="s">
        <v>12553</v>
      </c>
      <c t="s">
        <v>49122</v>
      </c>
      <c t="s">
        <v>2517</v>
      </c>
      <c t="s">
        <v>39289</v>
      </c>
      <c>
        <v>33909</v>
      </c>
      <c t="s">
        <v>8002</v>
      </c>
      <c t="s">
        <v>48794</v>
      </c>
      <c t="s">
        <v>19501</v>
      </c>
      <c>
        <v>6900</v>
      </c>
      <c r="AI1858" t="s">
        <v>42233</v>
      </c>
      <c t="s">
        <v>31192</v>
      </c>
      <c>
        <v>603</v>
      </c>
      <c t="s">
        <v>38297</v>
      </c>
      <c r="AN1858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56999</v>
      </c>
      <c t="s">
        <v>1321</v>
      </c>
      <c t="s">
        <v>55275</v>
      </c>
      <c t="s">
        <v>53452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1859" s="1" t="str">
        <f ca="1">HYPERLINK("https://web.datatree.com/?/property?propertyId=32652373", "https://web.datatree.com/?/property?propertyId=32652373")</f>
        <v>https://web.datatree.com/?/property?propertyId=32652373</v>
      </c>
      <c r="Q1859" t="s">
        <v>316</v>
      </c>
      <c>
        <v>0.23</v>
      </c>
      <c t="s">
        <v>6175</v>
      </c>
      <c t="s">
        <v>16200</v>
      </c>
      <c t="s">
        <v>8623</v>
      </c>
      <c r="X1859" t="s">
        <v>60477</v>
      </c>
      <c t="s">
        <v>17022</v>
      </c>
      <c t="s">
        <v>2517</v>
      </c>
      <c t="s">
        <v>39289</v>
      </c>
      <c>
        <v>33909</v>
      </c>
      <c t="s">
        <v>34939</v>
      </c>
      <c t="s">
        <v>48794</v>
      </c>
      <c t="s">
        <v>59321</v>
      </c>
      <c>
        <v>6900</v>
      </c>
      <c r="AI1859" t="s">
        <v>42233</v>
      </c>
      <c t="s">
        <v>31192</v>
      </c>
      <c>
        <v>603</v>
      </c>
      <c t="s">
        <v>38297</v>
      </c>
      <c r="AN1859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63310</v>
      </c>
      <c t="s">
        <v>7193</v>
      </c>
      <c t="s">
        <v>448</v>
      </c>
      <c t="s">
        <v>27084</v>
      </c>
      <c s="3">
        <v>26249</v>
      </c>
      <c s="3">
        <v>26249</v>
      </c>
      <c s="3">
        <v>12100</v>
      </c>
      <c>
        <v>0</v>
      </c>
      <c s="3">
        <v>0</v>
      </c>
      <c s="3">
        <v>653.92</v>
      </c>
      <c s="3">
        <v>26249</v>
      </c>
      <c>
        <v>2020</v>
      </c>
      <c>
        <v>1197.73</v>
      </c>
      <c s="1" t="str">
        <f ca="1">HYPERLINK("https://web.datatree.com/?/property?propertyId=32652420", "https://web.datatree.com/?/property?propertyId=32652420")</f>
        <v>https://web.datatree.com/?/property?propertyId=32652420</v>
      </c>
      <c r="Q1860" t="s">
        <v>316</v>
      </c>
      <c>
        <v>0.23</v>
      </c>
      <c t="s">
        <v>22490</v>
      </c>
      <c t="s">
        <v>51891</v>
      </c>
      <c t="s">
        <v>671</v>
      </c>
      <c r="X1860" t="s">
        <v>66261</v>
      </c>
      <c t="s">
        <v>55273</v>
      </c>
      <c t="s">
        <v>2517</v>
      </c>
      <c t="s">
        <v>39289</v>
      </c>
      <c>
        <v>33909</v>
      </c>
      <c t="s">
        <v>18953</v>
      </c>
      <c t="s">
        <v>48794</v>
      </c>
      <c t="s">
        <v>55499</v>
      </c>
      <c>
        <v>601</v>
      </c>
      <c r="AI1860" t="s">
        <v>29275</v>
      </c>
      <c t="s">
        <v>45393</v>
      </c>
      <c>
        <v>516</v>
      </c>
      <c t="s">
        <v>40475</v>
      </c>
      <c r="AN1860" t="s">
        <v>4477</v>
      </c>
      <c t="s">
        <v>67046</v>
      </c>
      <c t="s">
        <v>44843</v>
      </c>
      <c t="s">
        <v>3093</v>
      </c>
      <c t="s">
        <v>38356</v>
      </c>
    </row>
    <row>
      <c t="s">
        <v>17594</v>
      </c>
      <c t="s">
        <v>15072</v>
      </c>
      <c t="s">
        <v>59399</v>
      </c>
      <c t="s">
        <v>52428</v>
      </c>
      <c t="s">
        <v>6817</v>
      </c>
      <c s="3">
        <v>18361</v>
      </c>
      <c s="3">
        <v>18361</v>
      </c>
      <c s="3">
        <v>9339</v>
      </c>
      <c>
        <v>0</v>
      </c>
      <c s="3">
        <v>0</v>
      </c>
      <c s="3">
        <v>575.99</v>
      </c>
      <c s="3">
        <v>18361</v>
      </c>
      <c r="O1861" s="1" t="str">
        <f ca="1">HYPERLINK("https://web.datatree.com/?/property?propertyId=32652991", "https://web.datatree.com/?/property?propertyId=32652991")</f>
        <v>https://web.datatree.com/?/property?propertyId=32652991</v>
      </c>
      <c r="Q1861" t="s">
        <v>316</v>
      </c>
      <c>
        <v>0.23</v>
      </c>
      <c t="s">
        <v>6175</v>
      </c>
      <c t="s">
        <v>50366</v>
      </c>
      <c t="s">
        <v>10285</v>
      </c>
      <c r="X1861" t="s">
        <v>340</v>
      </c>
      <c t="s">
        <v>29190</v>
      </c>
      <c t="s">
        <v>2517</v>
      </c>
      <c t="s">
        <v>39289</v>
      </c>
      <c>
        <v>33909</v>
      </c>
      <c t="s">
        <v>23407</v>
      </c>
      <c t="s">
        <v>48794</v>
      </c>
      <c t="s">
        <v>54489</v>
      </c>
      <c>
        <v>5607</v>
      </c>
      <c r="AI1861" t="s">
        <v>42109</v>
      </c>
      <c t="s">
        <v>835</v>
      </c>
      <c r="AL1861" t="s">
        <v>54566</v>
      </c>
      <c t="s">
        <v>54986</v>
      </c>
      <c t="s">
        <v>18236</v>
      </c>
      <c t="s">
        <v>44149</v>
      </c>
      <c t="s">
        <v>36638</v>
      </c>
      <c t="s">
        <v>3093</v>
      </c>
      <c t="s">
        <v>8023</v>
      </c>
    </row>
    <row>
      <c t="s">
        <v>17594</v>
      </c>
      <c t="s">
        <v>86</v>
      </c>
      <c t="s">
        <v>23363</v>
      </c>
      <c t="s">
        <v>1502</v>
      </c>
      <c t="s">
        <v>66723</v>
      </c>
      <c s="3">
        <v>20565</v>
      </c>
      <c s="3">
        <v>20565</v>
      </c>
      <c s="3">
        <v>19455</v>
      </c>
      <c>
        <v>0</v>
      </c>
      <c s="3">
        <v>0</v>
      </c>
      <c s="3">
        <v>297.46</v>
      </c>
      <c s="3">
        <v>20565</v>
      </c>
      <c r="O1862" s="1" t="str">
        <f ca="1">HYPERLINK("https://web.datatree.com/?/property?propertyId=32654338", "https://web.datatree.com/?/property?propertyId=32654338")</f>
        <v>https://web.datatree.com/?/property?propertyId=32654338</v>
      </c>
      <c r="Q1862" t="s">
        <v>316</v>
      </c>
      <c>
        <v>0.48</v>
      </c>
      <c t="s">
        <v>5471</v>
      </c>
      <c t="s">
        <v>552</v>
      </c>
      <c t="s">
        <v>31302</v>
      </c>
      <c t="s">
        <v>65497</v>
      </c>
      <c t="s">
        <v>31302</v>
      </c>
      <c t="s">
        <v>24524</v>
      </c>
      <c t="s">
        <v>66374</v>
      </c>
      <c t="s">
        <v>65059</v>
      </c>
      <c t="s">
        <v>39289</v>
      </c>
      <c>
        <v>33905</v>
      </c>
      <c t="s">
        <v>2629</v>
      </c>
      <c t="s">
        <v>48794</v>
      </c>
      <c t="s">
        <v>63631</v>
      </c>
      <c>
        <v>62</v>
      </c>
      <c r="AH1862" t="s">
        <v>57851</v>
      </c>
      <c t="s">
        <v>22297</v>
      </c>
      <c t="s">
        <v>39321</v>
      </c>
      <c t="s">
        <v>20940</v>
      </c>
      <c t="s">
        <v>13397</v>
      </c>
      <c r="AN1862" t="s">
        <v>50917</v>
      </c>
      <c>
        <v>10034</v>
      </c>
      <c t="s">
        <v>54916</v>
      </c>
      <c t="s">
        <v>3093</v>
      </c>
      <c t="s">
        <v>1633</v>
      </c>
    </row>
    <row>
      <c t="s">
        <v>17594</v>
      </c>
      <c t="s">
        <v>17297</v>
      </c>
      <c t="s">
        <v>31599</v>
      </c>
      <c t="s">
        <v>24724</v>
      </c>
      <c t="s">
        <v>24602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863" s="1" t="str">
        <f ca="1">HYPERLINK("https://web.datatree.com/?/property?propertyId=32655152", "https://web.datatree.com/?/property?propertyId=32655152")</f>
        <v>https://web.datatree.com/?/property?propertyId=32655152</v>
      </c>
      <c r="Q1863" t="s">
        <v>316</v>
      </c>
      <c>
        <v>0.23</v>
      </c>
      <c t="s">
        <v>22490</v>
      </c>
      <c r="U1863" t="s">
        <v>53380</v>
      </c>
      <c r="W1863" t="s">
        <v>28343</v>
      </c>
      <c t="s">
        <v>21486</v>
      </c>
      <c t="s">
        <v>29190</v>
      </c>
      <c t="s">
        <v>2517</v>
      </c>
      <c t="s">
        <v>39289</v>
      </c>
      <c>
        <v>33909</v>
      </c>
      <c t="s">
        <v>56020</v>
      </c>
      <c t="s">
        <v>48794</v>
      </c>
      <c t="s">
        <v>29492</v>
      </c>
      <c>
        <v>8050</v>
      </c>
      <c r="AI1863" t="s">
        <v>29771</v>
      </c>
      <c t="s">
        <v>31192</v>
      </c>
      <c r="AL1863" t="s">
        <v>64763</v>
      </c>
      <c r="AN1863" t="s">
        <v>51137</v>
      </c>
      <c t="s">
        <v>3890</v>
      </c>
      <c t="s">
        <v>49977</v>
      </c>
      <c t="s">
        <v>3093</v>
      </c>
      <c t="s">
        <v>30012</v>
      </c>
    </row>
    <row>
      <c t="s">
        <v>17594</v>
      </c>
      <c t="s">
        <v>38201</v>
      </c>
      <c t="s">
        <v>32186</v>
      </c>
      <c t="s">
        <v>16077</v>
      </c>
      <c t="s">
        <v>39383</v>
      </c>
      <c s="3">
        <v>70023</v>
      </c>
      <c s="3">
        <v>62040</v>
      </c>
      <c s="3">
        <v>69564</v>
      </c>
      <c>
        <v>0</v>
      </c>
      <c s="3">
        <v>0</v>
      </c>
      <c s="3">
        <v>1057.04</v>
      </c>
      <c s="3">
        <v>70023</v>
      </c>
      <c r="O1864" s="1" t="str">
        <f ca="1">HYPERLINK("https://web.datatree.com/?/property?propertyId=32655336", "https://web.datatree.com/?/property?propertyId=32655336")</f>
        <v>https://web.datatree.com/?/property?propertyId=32655336</v>
      </c>
      <c r="Q1864" t="s">
        <v>316</v>
      </c>
      <c>
        <v>0.097</v>
      </c>
      <c t="s">
        <v>26492</v>
      </c>
      <c t="s">
        <v>30490</v>
      </c>
      <c t="s">
        <v>65187</v>
      </c>
      <c t="s">
        <v>42388</v>
      </c>
      <c t="s">
        <v>65187</v>
      </c>
      <c t="s">
        <v>46639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9443</v>
      </c>
      <c>
        <v>811</v>
      </c>
      <c r="AI1864" t="s">
        <v>38202</v>
      </c>
      <c t="s">
        <v>40123</v>
      </c>
      <c r="AL1864" t="s">
        <v>5347</v>
      </c>
      <c t="s">
        <v>5347</v>
      </c>
      <c t="s">
        <v>19878</v>
      </c>
      <c t="s">
        <v>18646</v>
      </c>
      <c t="s">
        <v>60160</v>
      </c>
      <c t="s">
        <v>3093</v>
      </c>
      <c t="s">
        <v>41208</v>
      </c>
    </row>
    <row>
      <c t="s">
        <v>17594</v>
      </c>
      <c t="s">
        <v>7238</v>
      </c>
      <c t="s">
        <v>63999</v>
      </c>
      <c t="s">
        <v>15669</v>
      </c>
      <c t="s">
        <v>65483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>
        <v>2019</v>
      </c>
      <c>
        <v>2879.72</v>
      </c>
      <c s="1" t="str">
        <f ca="1">HYPERLINK("https://web.datatree.com/?/property?propertyId=32655375", "https://web.datatree.com/?/property?propertyId=32655375")</f>
        <v>https://web.datatree.com/?/property?propertyId=32655375</v>
      </c>
      <c r="Q1865" t="s">
        <v>316</v>
      </c>
      <c>
        <v>0.244</v>
      </c>
      <c t="s">
        <v>6175</v>
      </c>
      <c t="s">
        <v>47119</v>
      </c>
      <c t="s">
        <v>10250</v>
      </c>
      <c t="s">
        <v>31337</v>
      </c>
      <c t="s">
        <v>58946</v>
      </c>
      <c t="s">
        <v>8056</v>
      </c>
      <c t="s">
        <v>8669</v>
      </c>
      <c t="s">
        <v>2517</v>
      </c>
      <c t="s">
        <v>39289</v>
      </c>
      <c>
        <v>33909</v>
      </c>
      <c t="s">
        <v>28891</v>
      </c>
      <c t="s">
        <v>48794</v>
      </c>
      <c t="s">
        <v>53570</v>
      </c>
      <c>
        <v>110</v>
      </c>
      <c r="AI1865" t="s">
        <v>59523</v>
      </c>
      <c t="s">
        <v>31192</v>
      </c>
      <c r="AL1865" t="s">
        <v>56530</v>
      </c>
      <c r="AN1865" t="s">
        <v>10909</v>
      </c>
      <c t="s">
        <v>34096</v>
      </c>
      <c r="AQ1865" t="s">
        <v>27814</v>
      </c>
      <c t="s">
        <v>41522</v>
      </c>
    </row>
    <row>
      <c t="s">
        <v>17594</v>
      </c>
      <c t="s">
        <v>37030</v>
      </c>
      <c t="s">
        <v>31255</v>
      </c>
      <c t="s">
        <v>66946</v>
      </c>
      <c t="s">
        <v>28005</v>
      </c>
      <c s="3">
        <v>95427</v>
      </c>
      <c s="3">
        <v>95427</v>
      </c>
      <c s="3">
        <v>95427</v>
      </c>
      <c>
        <v>0</v>
      </c>
      <c s="3">
        <v>0</v>
      </c>
      <c s="3">
        <v>1302.76</v>
      </c>
      <c s="3">
        <v>95427</v>
      </c>
      <c r="O1866" s="1" t="str">
        <f ca="1">HYPERLINK("https://web.datatree.com/?/property?propertyId=32655618", "https://web.datatree.com/?/property?propertyId=32655618")</f>
        <v>https://web.datatree.com/?/property?propertyId=32655618</v>
      </c>
      <c r="Q1866" t="s">
        <v>316</v>
      </c>
      <c>
        <v>0.269</v>
      </c>
      <c t="s">
        <v>5471</v>
      </c>
      <c r="U1866" t="s">
        <v>18904</v>
      </c>
      <c r="W1866" t="s">
        <v>3629</v>
      </c>
      <c t="s">
        <v>18904</v>
      </c>
      <c t="s">
        <v>48352</v>
      </c>
      <c t="s">
        <v>65059</v>
      </c>
      <c t="s">
        <v>39289</v>
      </c>
      <c>
        <v>33905</v>
      </c>
      <c>
        <v>33905</v>
      </c>
      <c t="s">
        <v>48794</v>
      </c>
      <c t="s">
        <v>14293</v>
      </c>
      <c>
        <v>13096</v>
      </c>
      <c r="AH1866" t="s">
        <v>26580</v>
      </c>
      <c t="s">
        <v>4097</v>
      </c>
      <c t="s">
        <v>31192</v>
      </c>
      <c r="AL1866" t="s">
        <v>17200</v>
      </c>
      <c t="s">
        <v>17200</v>
      </c>
      <c t="s">
        <v>39289</v>
      </c>
      <c t="s">
        <v>34187</v>
      </c>
      <c t="s">
        <v>65713</v>
      </c>
      <c t="s">
        <v>3093</v>
      </c>
      <c t="s">
        <v>32773</v>
      </c>
    </row>
    <row>
      <c t="s">
        <v>17594</v>
      </c>
      <c t="s">
        <v>15267</v>
      </c>
      <c t="s">
        <v>41767</v>
      </c>
      <c t="s">
        <v>26413</v>
      </c>
      <c t="s">
        <v>3258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1867" s="1" t="str">
        <f ca="1">HYPERLINK("https://web.datatree.com/?/property?propertyId=32655742", "https://web.datatree.com/?/property?propertyId=32655742")</f>
        <v>https://web.datatree.com/?/property?propertyId=32655742</v>
      </c>
      <c r="Q1867" t="s">
        <v>316</v>
      </c>
      <c>
        <v>0.23</v>
      </c>
      <c t="s">
        <v>22490</v>
      </c>
      <c t="s">
        <v>3965</v>
      </c>
      <c t="s">
        <v>52915</v>
      </c>
      <c t="s">
        <v>64030</v>
      </c>
      <c t="s">
        <v>52915</v>
      </c>
      <c t="s">
        <v>44773</v>
      </c>
      <c t="s">
        <v>2619</v>
      </c>
      <c t="s">
        <v>2517</v>
      </c>
      <c t="s">
        <v>39289</v>
      </c>
      <c>
        <v>33909</v>
      </c>
      <c t="s">
        <v>43005</v>
      </c>
      <c t="s">
        <v>48794</v>
      </c>
      <c t="s">
        <v>2149</v>
      </c>
      <c>
        <v>18125</v>
      </c>
      <c r="AI1867" t="s">
        <v>53324</v>
      </c>
      <c t="s">
        <v>40123</v>
      </c>
      <c r="AL1867" t="s">
        <v>55393</v>
      </c>
      <c t="s">
        <v>49823</v>
      </c>
      <c t="s">
        <v>39289</v>
      </c>
      <c t="s">
        <v>22133</v>
      </c>
      <c t="s">
        <v>48506</v>
      </c>
      <c t="s">
        <v>3093</v>
      </c>
      <c t="s">
        <v>60130</v>
      </c>
    </row>
    <row>
      <c t="s">
        <v>17594</v>
      </c>
      <c t="s">
        <v>55854</v>
      </c>
      <c t="s">
        <v>6428</v>
      </c>
      <c t="s">
        <v>57453</v>
      </c>
      <c t="s">
        <v>26381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1868" s="1" t="str">
        <f ca="1">HYPERLINK("https://web.datatree.com/?/property?propertyId=32656471", "https://web.datatree.com/?/property?propertyId=32656471")</f>
        <v>https://web.datatree.com/?/property?propertyId=32656471</v>
      </c>
      <c r="Q1868" t="s">
        <v>316</v>
      </c>
      <c>
        <v>0.23</v>
      </c>
      <c t="s">
        <v>22490</v>
      </c>
      <c r="U1868" t="s">
        <v>51939</v>
      </c>
      <c t="s">
        <v>10361</v>
      </c>
      <c t="s">
        <v>8877</v>
      </c>
      <c t="s">
        <v>44221</v>
      </c>
      <c t="s">
        <v>2619</v>
      </c>
      <c t="s">
        <v>2517</v>
      </c>
      <c t="s">
        <v>39289</v>
      </c>
      <c>
        <v>33909</v>
      </c>
      <c t="s">
        <v>41040</v>
      </c>
      <c t="s">
        <v>48794</v>
      </c>
      <c t="s">
        <v>52902</v>
      </c>
      <c>
        <v>831</v>
      </c>
      <c r="AI1868" t="s">
        <v>20949</v>
      </c>
      <c t="s">
        <v>41372</v>
      </c>
      <c>
        <v>2108</v>
      </c>
      <c t="s">
        <v>66511</v>
      </c>
      <c t="s">
        <v>66511</v>
      </c>
      <c t="s">
        <v>32576</v>
      </c>
      <c t="s">
        <v>67169</v>
      </c>
      <c t="s">
        <v>62562</v>
      </c>
      <c t="s">
        <v>3093</v>
      </c>
      <c t="s">
        <v>15324</v>
      </c>
    </row>
    <row>
      <c t="s">
        <v>17594</v>
      </c>
      <c t="s">
        <v>40362</v>
      </c>
      <c t="s">
        <v>18950</v>
      </c>
      <c t="s">
        <v>47438</v>
      </c>
      <c t="s">
        <v>57491</v>
      </c>
      <c s="3">
        <v>31592</v>
      </c>
      <c s="3">
        <v>31592</v>
      </c>
      <c s="3">
        <v>11858</v>
      </c>
      <c>
        <v>0</v>
      </c>
      <c s="3">
        <v>0</v>
      </c>
      <c s="3">
        <v>2807.09</v>
      </c>
      <c s="3">
        <v>31592</v>
      </c>
      <c>
        <v>2019</v>
      </c>
      <c>
        <v>18227.14</v>
      </c>
      <c s="1" t="str">
        <f ca="1">HYPERLINK("https://web.datatree.com/?/property?propertyId=32656472", "https://web.datatree.com/?/property?propertyId=32656472")</f>
        <v>https://web.datatree.com/?/property?propertyId=32656472</v>
      </c>
      <c r="Q1869" t="s">
        <v>316</v>
      </c>
      <c>
        <v>0.235</v>
      </c>
      <c t="s">
        <v>32050</v>
      </c>
      <c t="s">
        <v>44541</v>
      </c>
      <c t="s">
        <v>29352</v>
      </c>
      <c t="s">
        <v>66065</v>
      </c>
      <c t="s">
        <v>29352</v>
      </c>
      <c t="s">
        <v>54124</v>
      </c>
      <c t="s">
        <v>2626</v>
      </c>
      <c t="s">
        <v>2517</v>
      </c>
      <c t="s">
        <v>39289</v>
      </c>
      <c>
        <v>33909</v>
      </c>
      <c t="s">
        <v>18131</v>
      </c>
      <c t="s">
        <v>48794</v>
      </c>
      <c t="s">
        <v>30272</v>
      </c>
      <c>
        <v>9112</v>
      </c>
      <c r="AI1869" t="s">
        <v>32278</v>
      </c>
      <c t="s">
        <v>45620</v>
      </c>
      <c r="AL1869" t="s">
        <v>38860</v>
      </c>
      <c r="AN1869" t="s">
        <v>65467</v>
      </c>
      <c t="s">
        <v>25078</v>
      </c>
      <c t="s">
        <v>4797</v>
      </c>
      <c t="s">
        <v>3093</v>
      </c>
      <c t="s">
        <v>52864</v>
      </c>
    </row>
    <row>
      <c t="s">
        <v>17594</v>
      </c>
      <c t="s">
        <v>59715</v>
      </c>
      <c t="s">
        <v>53188</v>
      </c>
      <c t="s">
        <v>27134</v>
      </c>
      <c t="s">
        <v>3592</v>
      </c>
      <c s="3">
        <v>20733</v>
      </c>
      <c s="3">
        <v>20733</v>
      </c>
      <c s="3">
        <v>20733</v>
      </c>
      <c>
        <v>0</v>
      </c>
      <c s="3">
        <v>0</v>
      </c>
      <c s="3">
        <v>742</v>
      </c>
      <c s="3">
        <v>20733</v>
      </c>
      <c>
        <v>2021</v>
      </c>
      <c>
        <v>563.37</v>
      </c>
      <c s="1" t="str">
        <f ca="1">HYPERLINK("https://web.datatree.com/?/property?propertyId=32656942", "https://web.datatree.com/?/property?propertyId=32656942")</f>
        <v>https://web.datatree.com/?/property?propertyId=32656942</v>
      </c>
      <c r="Q1870" t="s">
        <v>316</v>
      </c>
      <c>
        <v>0.244</v>
      </c>
      <c t="s">
        <v>16350</v>
      </c>
      <c t="s">
        <v>52737</v>
      </c>
      <c t="s">
        <v>28897</v>
      </c>
      <c t="s">
        <v>28804</v>
      </c>
      <c t="s">
        <v>7254</v>
      </c>
      <c t="s">
        <v>59337</v>
      </c>
      <c t="s">
        <v>38550</v>
      </c>
      <c t="s">
        <v>2517</v>
      </c>
      <c t="s">
        <v>39289</v>
      </c>
      <c>
        <v>33909</v>
      </c>
      <c t="s">
        <v>9143</v>
      </c>
      <c t="s">
        <v>48794</v>
      </c>
      <c t="s">
        <v>64549</v>
      </c>
      <c>
        <v>13132</v>
      </c>
      <c r="AI1870" t="s">
        <v>6073</v>
      </c>
      <c t="s">
        <v>39321</v>
      </c>
      <c t="s">
        <v>18456</v>
      </c>
      <c t="s">
        <v>55393</v>
      </c>
      <c t="s">
        <v>16890</v>
      </c>
      <c t="s">
        <v>39289</v>
      </c>
      <c t="s">
        <v>31872</v>
      </c>
      <c t="s">
        <v>23611</v>
      </c>
      <c t="s">
        <v>3093</v>
      </c>
      <c t="s">
        <v>22350</v>
      </c>
    </row>
    <row>
      <c t="s">
        <v>17594</v>
      </c>
      <c t="s">
        <v>37835</v>
      </c>
      <c t="s">
        <v>2469</v>
      </c>
      <c t="s">
        <v>22256</v>
      </c>
      <c t="s">
        <v>43002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1871" s="1" t="str">
        <f ca="1">HYPERLINK("https://web.datatree.com/?/property?propertyId=32657075", "https://web.datatree.com/?/property?propertyId=32657075")</f>
        <v>https://web.datatree.com/?/property?propertyId=32657075</v>
      </c>
      <c r="Q1871" t="s">
        <v>316</v>
      </c>
      <c>
        <v>0.23</v>
      </c>
      <c t="s">
        <v>6175</v>
      </c>
      <c t="s">
        <v>111</v>
      </c>
      <c t="s">
        <v>55719</v>
      </c>
      <c t="s">
        <v>13190</v>
      </c>
      <c t="s">
        <v>41944</v>
      </c>
      <c t="s">
        <v>48419</v>
      </c>
      <c t="s">
        <v>33179</v>
      </c>
      <c t="s">
        <v>2517</v>
      </c>
      <c t="s">
        <v>39289</v>
      </c>
      <c>
        <v>33909</v>
      </c>
      <c t="s">
        <v>50642</v>
      </c>
      <c t="s">
        <v>48794</v>
      </c>
      <c t="s">
        <v>14035</v>
      </c>
      <c>
        <v>656</v>
      </c>
      <c r="AH1871" t="s">
        <v>52165</v>
      </c>
      <c t="s">
        <v>11374</v>
      </c>
      <c t="s">
        <v>45393</v>
      </c>
      <c r="AL1871" t="s">
        <v>29275</v>
      </c>
      <c t="s">
        <v>29275</v>
      </c>
      <c t="s">
        <v>34191</v>
      </c>
      <c t="s">
        <v>21923</v>
      </c>
      <c t="s">
        <v>51249</v>
      </c>
      <c t="s">
        <v>3093</v>
      </c>
      <c t="s">
        <v>31462</v>
      </c>
    </row>
    <row>
      <c t="s">
        <v>17594</v>
      </c>
      <c t="s">
        <v>64199</v>
      </c>
      <c t="s">
        <v>58433</v>
      </c>
      <c t="s">
        <v>52294</v>
      </c>
      <c t="s">
        <v>66774</v>
      </c>
      <c s="3">
        <v>25010</v>
      </c>
      <c s="3">
        <v>25010</v>
      </c>
      <c s="3">
        <v>9680</v>
      </c>
      <c>
        <v>0</v>
      </c>
      <c s="3">
        <v>0</v>
      </c>
      <c s="3">
        <v>655.24</v>
      </c>
      <c s="3">
        <v>25010</v>
      </c>
      <c r="O1872" s="1" t="str">
        <f ca="1">HYPERLINK("https://web.datatree.com/?/property?propertyId=32658747", "https://web.datatree.com/?/property?propertyId=32658747")</f>
        <v>https://web.datatree.com/?/property?propertyId=32658747</v>
      </c>
      <c r="Q1872" t="s">
        <v>316</v>
      </c>
      <c>
        <v>0.283</v>
      </c>
      <c t="s">
        <v>22490</v>
      </c>
      <c t="s">
        <v>2266</v>
      </c>
      <c t="s">
        <v>46154</v>
      </c>
      <c r="X1872" t="s">
        <v>40745</v>
      </c>
      <c t="s">
        <v>49674</v>
      </c>
      <c t="s">
        <v>2517</v>
      </c>
      <c t="s">
        <v>39289</v>
      </c>
      <c>
        <v>33909</v>
      </c>
      <c t="s">
        <v>24637</v>
      </c>
      <c t="s">
        <v>48794</v>
      </c>
      <c t="s">
        <v>63133</v>
      </c>
      <c>
        <v>5024</v>
      </c>
      <c r="AI1872" t="s">
        <v>53675</v>
      </c>
      <c t="s">
        <v>24900</v>
      </c>
      <c r="AL1872" t="s">
        <v>8109</v>
      </c>
      <c r="AN1872" t="s">
        <v>50917</v>
      </c>
      <c t="s">
        <v>24081</v>
      </c>
      <c t="s">
        <v>66620</v>
      </c>
      <c t="s">
        <v>3093</v>
      </c>
      <c t="s">
        <v>250</v>
      </c>
    </row>
    <row>
      <c t="s">
        <v>17594</v>
      </c>
      <c t="s">
        <v>34874</v>
      </c>
      <c t="s">
        <v>60586</v>
      </c>
      <c t="s">
        <v>19952</v>
      </c>
      <c t="s">
        <v>43647</v>
      </c>
      <c s="3">
        <v>56856</v>
      </c>
      <c s="3">
        <v>56856</v>
      </c>
      <c s="3">
        <v>25106</v>
      </c>
      <c>
        <v>0</v>
      </c>
      <c s="3">
        <v>0</v>
      </c>
      <c s="3">
        <v>1156.54</v>
      </c>
      <c s="3">
        <v>56856</v>
      </c>
      <c r="O1873" s="1" t="str">
        <f ca="1">HYPERLINK("https://web.datatree.com/?/property?propertyId=32659231", "https://web.datatree.com/?/property?propertyId=32659231")</f>
        <v>https://web.datatree.com/?/property?propertyId=32659231</v>
      </c>
      <c r="Q1873" t="s">
        <v>316</v>
      </c>
      <c>
        <v>0.406</v>
      </c>
      <c t="s">
        <v>6175</v>
      </c>
      <c t="s">
        <v>11082</v>
      </c>
      <c t="s">
        <v>33307</v>
      </c>
      <c t="s">
        <v>41586</v>
      </c>
      <c t="s">
        <v>33307</v>
      </c>
      <c t="s">
        <v>43306</v>
      </c>
      <c t="s">
        <v>66701</v>
      </c>
      <c t="s">
        <v>2517</v>
      </c>
      <c t="s">
        <v>39289</v>
      </c>
      <c>
        <v>33904</v>
      </c>
      <c t="s">
        <v>30482</v>
      </c>
      <c t="s">
        <v>48794</v>
      </c>
      <c t="s">
        <v>60240</v>
      </c>
      <c>
        <v>210</v>
      </c>
      <c r="AI1873" t="s">
        <v>48794</v>
      </c>
      <c t="s">
        <v>24900</v>
      </c>
      <c r="AL1873" t="s">
        <v>12831</v>
      </c>
      <c t="s">
        <v>12831</v>
      </c>
      <c t="s">
        <v>50917</v>
      </c>
      <c t="s">
        <v>53070</v>
      </c>
      <c t="s">
        <v>32746</v>
      </c>
      <c t="s">
        <v>3093</v>
      </c>
      <c t="s">
        <v>17531</v>
      </c>
    </row>
    <row>
      <c t="s">
        <v>17594</v>
      </c>
      <c t="s">
        <v>16553</v>
      </c>
      <c t="s">
        <v>17799</v>
      </c>
      <c t="s">
        <v>34351</v>
      </c>
      <c t="s">
        <v>50636</v>
      </c>
      <c s="3">
        <v>19576</v>
      </c>
      <c s="3">
        <v>19576</v>
      </c>
      <c s="3">
        <v>9599</v>
      </c>
      <c>
        <v>0</v>
      </c>
      <c s="3">
        <v>0</v>
      </c>
      <c s="3">
        <v>689.58</v>
      </c>
      <c s="3">
        <v>19576</v>
      </c>
      <c r="O1874" s="1" t="str">
        <f ca="1">HYPERLINK("https://web.datatree.com/?/property?propertyId=32659510", "https://web.datatree.com/?/property?propertyId=32659510")</f>
        <v>https://web.datatree.com/?/property?propertyId=32659510</v>
      </c>
      <c r="Q1874" t="s">
        <v>316</v>
      </c>
      <c>
        <v>0.344</v>
      </c>
      <c t="s">
        <v>42044</v>
      </c>
      <c t="s">
        <v>40088</v>
      </c>
      <c t="s">
        <v>64069</v>
      </c>
      <c r="X1874" t="s">
        <v>53536</v>
      </c>
      <c t="s">
        <v>61144</v>
      </c>
      <c t="s">
        <v>2517</v>
      </c>
      <c t="s">
        <v>39289</v>
      </c>
      <c>
        <v>33909</v>
      </c>
      <c t="s">
        <v>15061</v>
      </c>
      <c t="s">
        <v>48794</v>
      </c>
      <c t="s">
        <v>5766</v>
      </c>
      <c>
        <v>4420</v>
      </c>
      <c r="AI1874" t="s">
        <v>933</v>
      </c>
      <c t="s">
        <v>45620</v>
      </c>
      <c r="AL1874" t="s">
        <v>29086</v>
      </c>
      <c r="AN1874" t="s">
        <v>17134</v>
      </c>
      <c t="s">
        <v>21024</v>
      </c>
      <c t="s">
        <v>4480</v>
      </c>
      <c t="s">
        <v>3093</v>
      </c>
      <c t="s">
        <v>42022</v>
      </c>
    </row>
    <row>
      <c t="s">
        <v>17594</v>
      </c>
      <c t="s">
        <v>28852</v>
      </c>
      <c t="s">
        <v>19097</v>
      </c>
      <c t="s">
        <v>26355</v>
      </c>
      <c t="s">
        <v>11638</v>
      </c>
      <c s="3">
        <v>45000</v>
      </c>
      <c s="3">
        <v>45000</v>
      </c>
      <c s="3">
        <v>19800</v>
      </c>
      <c>
        <v>0</v>
      </c>
      <c s="3">
        <v>0</v>
      </c>
      <c s="3">
        <v>3172.2</v>
      </c>
      <c s="3">
        <v>45000</v>
      </c>
      <c r="O1875" s="1" t="str">
        <f ca="1">HYPERLINK("https://web.datatree.com/?/property?propertyId=32659581", "https://web.datatree.com/?/property?propertyId=32659581")</f>
        <v>https://web.datatree.com/?/property?propertyId=32659581</v>
      </c>
      <c r="Q1875" t="s">
        <v>316</v>
      </c>
      <c>
        <v>0.247</v>
      </c>
      <c t="s">
        <v>22490</v>
      </c>
      <c r="U1875" t="s">
        <v>27842</v>
      </c>
      <c r="W1875" t="s">
        <v>16168</v>
      </c>
      <c t="s">
        <v>10967</v>
      </c>
      <c t="s">
        <v>25017</v>
      </c>
      <c t="s">
        <v>2517</v>
      </c>
      <c t="s">
        <v>39289</v>
      </c>
      <c>
        <v>33909</v>
      </c>
      <c t="s">
        <v>19531</v>
      </c>
      <c t="s">
        <v>48794</v>
      </c>
      <c t="s">
        <v>48260</v>
      </c>
      <c>
        <v>1805</v>
      </c>
      <c r="AI1875" t="s">
        <v>22731</v>
      </c>
      <c t="s">
        <v>41372</v>
      </c>
      <c>
        <v>100</v>
      </c>
      <c t="s">
        <v>65980</v>
      </c>
      <c r="AN1875" t="s">
        <v>39289</v>
      </c>
      <c>
        <v>32960</v>
      </c>
      <c t="s">
        <v>54916</v>
      </c>
      <c t="s">
        <v>3093</v>
      </c>
      <c t="s">
        <v>47570</v>
      </c>
    </row>
    <row>
      <c t="s">
        <v>17594</v>
      </c>
      <c t="s">
        <v>10333</v>
      </c>
      <c t="s">
        <v>32714</v>
      </c>
      <c t="s">
        <v>10705</v>
      </c>
      <c t="s">
        <v>10544</v>
      </c>
      <c s="3">
        <v>7600</v>
      </c>
      <c s="3">
        <v>7600</v>
      </c>
      <c s="3">
        <v>7600</v>
      </c>
      <c>
        <v>0</v>
      </c>
      <c s="3">
        <v>0</v>
      </c>
      <c s="3">
        <v>664.2</v>
      </c>
      <c s="3">
        <v>7600</v>
      </c>
      <c r="O1876" s="1" t="str">
        <f ca="1">HYPERLINK("https://web.datatree.com/?/property?propertyId=32659832", "https://web.datatree.com/?/property?propertyId=32659832")</f>
        <v>https://web.datatree.com/?/property?propertyId=32659832</v>
      </c>
      <c r="Q1876" t="s">
        <v>316</v>
      </c>
      <c>
        <v>0.335</v>
      </c>
      <c t="s">
        <v>22490</v>
      </c>
      <c t="s">
        <v>25477</v>
      </c>
      <c t="s">
        <v>55925</v>
      </c>
      <c t="s">
        <v>6249</v>
      </c>
      <c r="X1876" t="s">
        <v>14548</v>
      </c>
      <c t="s">
        <v>7273</v>
      </c>
      <c t="s">
        <v>2517</v>
      </c>
      <c t="s">
        <v>39289</v>
      </c>
      <c>
        <v>33909</v>
      </c>
      <c>
        <v>33909</v>
      </c>
      <c t="s">
        <v>48794</v>
      </c>
      <c t="s">
        <v>16382</v>
      </c>
      <c>
        <v>133</v>
      </c>
      <c r="AI1876" t="s">
        <v>2654</v>
      </c>
      <c r="AL1876" t="s">
        <v>19762</v>
      </c>
      <c t="s">
        <v>45572</v>
      </c>
      <c t="s">
        <v>9533</v>
      </c>
      <c t="s">
        <v>51064</v>
      </c>
      <c t="s">
        <v>4480</v>
      </c>
      <c t="s">
        <v>3093</v>
      </c>
      <c t="s">
        <v>52800</v>
      </c>
    </row>
    <row>
      <c t="s">
        <v>17594</v>
      </c>
      <c t="s">
        <v>41108</v>
      </c>
      <c t="s">
        <v>3072</v>
      </c>
      <c t="s">
        <v>31745</v>
      </c>
      <c t="s">
        <v>20333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877" s="1" t="str">
        <f ca="1">HYPERLINK("https://web.datatree.com/?/property?propertyId=32660527", "https://web.datatree.com/?/property?propertyId=32660527")</f>
        <v>https://web.datatree.com/?/property?propertyId=32660527</v>
      </c>
      <c r="Q1877" t="s">
        <v>316</v>
      </c>
      <c>
        <v>0.232</v>
      </c>
      <c t="s">
        <v>6175</v>
      </c>
      <c t="s">
        <v>2140</v>
      </c>
      <c t="s">
        <v>48918</v>
      </c>
      <c t="s">
        <v>1599</v>
      </c>
      <c t="s">
        <v>2495</v>
      </c>
      <c t="s">
        <v>7802</v>
      </c>
      <c t="s">
        <v>22731</v>
      </c>
      <c t="s">
        <v>2517</v>
      </c>
      <c t="s">
        <v>39289</v>
      </c>
      <c>
        <v>33909</v>
      </c>
      <c t="s">
        <v>12094</v>
      </c>
      <c t="s">
        <v>48794</v>
      </c>
      <c t="s">
        <v>15000</v>
      </c>
      <c>
        <v>149</v>
      </c>
      <c r="AI1877" t="s">
        <v>63523</v>
      </c>
      <c t="s">
        <v>31192</v>
      </c>
      <c r="AL1877" t="s">
        <v>66387</v>
      </c>
      <c r="AN1877" t="s">
        <v>39289</v>
      </c>
      <c t="s">
        <v>26581</v>
      </c>
      <c t="s">
        <v>26242</v>
      </c>
      <c t="s">
        <v>3093</v>
      </c>
      <c t="s">
        <v>23560</v>
      </c>
    </row>
    <row>
      <c t="s">
        <v>17594</v>
      </c>
      <c t="s">
        <v>65482</v>
      </c>
      <c t="s">
        <v>42698</v>
      </c>
      <c t="s">
        <v>61338</v>
      </c>
      <c t="s">
        <v>64251</v>
      </c>
      <c s="3">
        <v>97924</v>
      </c>
      <c s="3">
        <v>97924</v>
      </c>
      <c s="3">
        <v>8078</v>
      </c>
      <c>
        <v>0</v>
      </c>
      <c s="3">
        <v>0</v>
      </c>
      <c s="3">
        <v>124.87</v>
      </c>
      <c s="3">
        <v>97924</v>
      </c>
      <c>
        <v>2021</v>
      </c>
      <c>
        <v>167.02</v>
      </c>
      <c s="1" t="str">
        <f ca="1">HYPERLINK("https://web.datatree.com/?/property?propertyId=32660599", "https://web.datatree.com/?/property?propertyId=32660599")</f>
        <v>https://web.datatree.com/?/property?propertyId=32660599</v>
      </c>
      <c r="Q1878" t="s">
        <v>316</v>
      </c>
      <c>
        <v>0.259</v>
      </c>
      <c t="s">
        <v>5471</v>
      </c>
      <c t="s">
        <v>3476</v>
      </c>
      <c t="s">
        <v>20604</v>
      </c>
      <c r="X1878" t="s">
        <v>58729</v>
      </c>
      <c t="s">
        <v>21676</v>
      </c>
      <c t="s">
        <v>65059</v>
      </c>
      <c t="s">
        <v>39289</v>
      </c>
      <c>
        <v>33905</v>
      </c>
      <c t="s">
        <v>64220</v>
      </c>
      <c t="s">
        <v>48794</v>
      </c>
      <c t="s">
        <v>35106</v>
      </c>
      <c>
        <v>1741</v>
      </c>
      <c r="AH1878" t="s">
        <v>60953</v>
      </c>
      <c t="s">
        <v>8609</v>
      </c>
      <c t="s">
        <v>41372</v>
      </c>
      <c r="AL1878" t="s">
        <v>42094</v>
      </c>
      <c r="AN1878" t="s">
        <v>66651</v>
      </c>
      <c t="s">
        <v>20668</v>
      </c>
      <c t="s">
        <v>42082</v>
      </c>
      <c t="s">
        <v>3093</v>
      </c>
      <c t="s">
        <v>66980</v>
      </c>
    </row>
    <row>
      <c t="s">
        <v>17594</v>
      </c>
      <c t="s">
        <v>11033</v>
      </c>
      <c t="s">
        <v>29120</v>
      </c>
      <c t="s">
        <v>47463</v>
      </c>
      <c t="s">
        <v>48200</v>
      </c>
      <c s="3">
        <v>31592</v>
      </c>
      <c s="3">
        <v>31592</v>
      </c>
      <c s="3">
        <v>11858</v>
      </c>
      <c>
        <v>0</v>
      </c>
      <c s="3">
        <v>0</v>
      </c>
      <c s="3">
        <v>3048.06</v>
      </c>
      <c s="3">
        <v>31592</v>
      </c>
      <c r="O1879" s="1" t="str">
        <f ca="1">HYPERLINK("https://web.datatree.com/?/property?propertyId=32661215", "https://web.datatree.com/?/property?propertyId=32661215")</f>
        <v>https://web.datatree.com/?/property?propertyId=32661215</v>
      </c>
      <c r="Q1879" t="s">
        <v>316</v>
      </c>
      <c>
        <v>0.251</v>
      </c>
      <c t="s">
        <v>22490</v>
      </c>
      <c t="s">
        <v>2140</v>
      </c>
      <c t="s">
        <v>51665</v>
      </c>
      <c t="s">
        <v>18302</v>
      </c>
      <c t="s">
        <v>51665</v>
      </c>
      <c t="s">
        <v>62853</v>
      </c>
      <c t="s">
        <v>2626</v>
      </c>
      <c t="s">
        <v>2517</v>
      </c>
      <c t="s">
        <v>39289</v>
      </c>
      <c>
        <v>33909</v>
      </c>
      <c t="s">
        <v>10432</v>
      </c>
      <c t="s">
        <v>48794</v>
      </c>
      <c t="s">
        <v>5781</v>
      </c>
      <c>
        <v>1108</v>
      </c>
      <c r="AI1879" t="s">
        <v>40942</v>
      </c>
      <c t="s">
        <v>24900</v>
      </c>
      <c r="AL1879" t="s">
        <v>65081</v>
      </c>
      <c t="s">
        <v>65081</v>
      </c>
      <c t="s">
        <v>19878</v>
      </c>
      <c t="s">
        <v>59031</v>
      </c>
      <c t="s">
        <v>18692</v>
      </c>
      <c t="s">
        <v>3093</v>
      </c>
      <c t="s">
        <v>58005</v>
      </c>
    </row>
    <row>
      <c t="s">
        <v>17594</v>
      </c>
      <c t="s">
        <v>1547</v>
      </c>
      <c t="s">
        <v>24684</v>
      </c>
      <c t="s">
        <v>35549</v>
      </c>
      <c t="s">
        <v>6592</v>
      </c>
      <c s="3">
        <v>8400</v>
      </c>
      <c s="3">
        <v>8400</v>
      </c>
      <c s="3">
        <v>8400</v>
      </c>
      <c>
        <v>0</v>
      </c>
      <c s="3">
        <v>0</v>
      </c>
      <c s="3">
        <v>620.44</v>
      </c>
      <c s="3">
        <v>8400</v>
      </c>
      <c r="O1880" s="1" t="str">
        <f ca="1">HYPERLINK("https://web.datatree.com/?/property?propertyId=32661254", "https://web.datatree.com/?/property?propertyId=32661254")</f>
        <v>https://web.datatree.com/?/property?propertyId=32661254</v>
      </c>
      <c r="Q1880" t="s">
        <v>316</v>
      </c>
      <c>
        <v>0.229</v>
      </c>
      <c t="s">
        <v>42044</v>
      </c>
      <c t="s">
        <v>51891</v>
      </c>
      <c t="s">
        <v>28434</v>
      </c>
      <c t="s">
        <v>38445</v>
      </c>
      <c t="s">
        <v>47799</v>
      </c>
      <c t="s">
        <v>12650</v>
      </c>
      <c t="s">
        <v>61865</v>
      </c>
      <c t="s">
        <v>2517</v>
      </c>
      <c t="s">
        <v>39289</v>
      </c>
      <c>
        <v>33909</v>
      </c>
      <c t="s">
        <v>17333</v>
      </c>
      <c t="s">
        <v>48794</v>
      </c>
      <c t="s">
        <v>33660</v>
      </c>
      <c>
        <v>1908</v>
      </c>
      <c r="AI1880" t="s">
        <v>45396</v>
      </c>
      <c t="s">
        <v>40123</v>
      </c>
      <c r="AL1880" t="s">
        <v>47465</v>
      </c>
      <c t="s">
        <v>13492</v>
      </c>
      <c t="s">
        <v>39289</v>
      </c>
      <c t="s">
        <v>36617</v>
      </c>
      <c t="s">
        <v>42945</v>
      </c>
      <c t="s">
        <v>3093</v>
      </c>
      <c t="s">
        <v>30032</v>
      </c>
    </row>
    <row>
      <c t="s">
        <v>17594</v>
      </c>
      <c t="s">
        <v>35507</v>
      </c>
      <c t="s">
        <v>6663</v>
      </c>
      <c t="s">
        <v>47929</v>
      </c>
      <c t="s">
        <v>51641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1881" s="1" t="str">
        <f ca="1">HYPERLINK("https://web.datatree.com/?/property?propertyId=32662308", "https://web.datatree.com/?/property?propertyId=32662308")</f>
        <v>https://web.datatree.com/?/property?propertyId=32662308</v>
      </c>
      <c r="Q1881" t="s">
        <v>316</v>
      </c>
      <c>
        <v>0.23</v>
      </c>
      <c t="s">
        <v>22490</v>
      </c>
      <c t="s">
        <v>58876</v>
      </c>
      <c t="s">
        <v>55780</v>
      </c>
      <c r="X1881" t="s">
        <v>23244</v>
      </c>
      <c t="s">
        <v>25017</v>
      </c>
      <c t="s">
        <v>2517</v>
      </c>
      <c t="s">
        <v>39289</v>
      </c>
      <c>
        <v>33909</v>
      </c>
      <c t="s">
        <v>63632</v>
      </c>
      <c t="s">
        <v>48794</v>
      </c>
      <c t="s">
        <v>55473</v>
      </c>
      <c r="AI1881" t="s">
        <v>30073</v>
      </c>
      <c r="AL1881" t="s">
        <v>13804</v>
      </c>
      <c r="AN1881" t="s">
        <v>32840</v>
      </c>
      <c r="AR1881" t="s">
        <v>1098</v>
      </c>
    </row>
    <row>
      <c t="s">
        <v>17594</v>
      </c>
      <c t="s">
        <v>64054</v>
      </c>
      <c t="s">
        <v>57875</v>
      </c>
      <c t="s">
        <v>33596</v>
      </c>
      <c t="s">
        <v>24686</v>
      </c>
      <c s="3">
        <v>723475</v>
      </c>
      <c s="3">
        <v>697376</v>
      </c>
      <c s="3">
        <v>697509</v>
      </c>
      <c>
        <v>0</v>
      </c>
      <c s="3">
        <v>0</v>
      </c>
      <c s="3">
        <v>11633.69</v>
      </c>
      <c s="3">
        <v>723475</v>
      </c>
      <c r="O1882" s="1" t="str">
        <f ca="1">HYPERLINK("https://web.datatree.com/?/property?propertyId=32662321", "https://web.datatree.com/?/property?propertyId=32662321")</f>
        <v>https://web.datatree.com/?/property?propertyId=32662321</v>
      </c>
      <c r="Q1882" t="s">
        <v>316</v>
      </c>
      <c>
        <v>0.287</v>
      </c>
      <c t="s">
        <v>22490</v>
      </c>
      <c r="U1882" t="s">
        <v>1</v>
      </c>
      <c r="W1882" t="s">
        <v>60364</v>
      </c>
      <c t="s">
        <v>66268</v>
      </c>
      <c t="s">
        <v>64376</v>
      </c>
      <c t="s">
        <v>2517</v>
      </c>
      <c t="s">
        <v>39289</v>
      </c>
      <c>
        <v>33904</v>
      </c>
      <c t="s">
        <v>28081</v>
      </c>
      <c t="s">
        <v>48794</v>
      </c>
      <c t="s">
        <v>18145</v>
      </c>
      <c>
        <v>5425</v>
      </c>
      <c r="AI1882" t="s">
        <v>66408</v>
      </c>
      <c t="s">
        <v>40123</v>
      </c>
      <c r="AL1882" t="s">
        <v>11713</v>
      </c>
      <c r="AN1882" t="s">
        <v>39289</v>
      </c>
      <c t="s">
        <v>2553</v>
      </c>
      <c t="s">
        <v>44275</v>
      </c>
      <c t="s">
        <v>3093</v>
      </c>
      <c t="s">
        <v>61566</v>
      </c>
    </row>
    <row>
      <c t="s">
        <v>17594</v>
      </c>
      <c t="s">
        <v>21941</v>
      </c>
      <c t="s">
        <v>14255</v>
      </c>
      <c t="s">
        <v>36386</v>
      </c>
      <c t="s">
        <v>2487</v>
      </c>
      <c s="3">
        <v>4050</v>
      </c>
      <c s="3">
        <v>4050</v>
      </c>
      <c s="3">
        <v>4050</v>
      </c>
      <c>
        <v>0</v>
      </c>
      <c s="3">
        <v>0</v>
      </c>
      <c s="3">
        <v>320.06</v>
      </c>
      <c s="3">
        <v>4050</v>
      </c>
      <c r="O1883" s="1" t="str">
        <f ca="1">HYPERLINK("https://web.datatree.com/?/property?propertyId=32662424", "https://web.datatree.com/?/property?propertyId=32662424")</f>
        <v>https://web.datatree.com/?/property?propertyId=32662424</v>
      </c>
      <c r="Q1883" t="s">
        <v>316</v>
      </c>
      <c>
        <v>0.115</v>
      </c>
      <c t="s">
        <v>6175</v>
      </c>
      <c t="s">
        <v>46309</v>
      </c>
      <c t="s">
        <v>54370</v>
      </c>
      <c r="X1883" t="s">
        <v>26068</v>
      </c>
      <c t="s">
        <v>23517</v>
      </c>
      <c t="s">
        <v>2517</v>
      </c>
      <c t="s">
        <v>39289</v>
      </c>
      <c>
        <v>33909</v>
      </c>
      <c t="s">
        <v>6822</v>
      </c>
      <c t="s">
        <v>48794</v>
      </c>
      <c t="s">
        <v>24159</v>
      </c>
      <c>
        <v>24</v>
      </c>
      <c r="AI1883" t="s">
        <v>18051</v>
      </c>
      <c t="s">
        <v>45620</v>
      </c>
      <c r="AL1883" t="s">
        <v>14230</v>
      </c>
      <c r="AN1883" t="s">
        <v>27747</v>
      </c>
      <c t="s">
        <v>13503</v>
      </c>
      <c t="s">
        <v>22455</v>
      </c>
      <c t="s">
        <v>3093</v>
      </c>
      <c t="s">
        <v>41963</v>
      </c>
    </row>
    <row>
      <c t="s">
        <v>17594</v>
      </c>
      <c t="s">
        <v>34480</v>
      </c>
      <c t="s">
        <v>33038</v>
      </c>
      <c t="s">
        <v>31712</v>
      </c>
      <c t="s">
        <v>21557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1884" s="1" t="str">
        <f ca="1">HYPERLINK("https://web.datatree.com/?/property?propertyId=32662652", "https://web.datatree.com/?/property?propertyId=32662652")</f>
        <v>https://web.datatree.com/?/property?propertyId=32662652</v>
      </c>
      <c r="Q1884" t="s">
        <v>316</v>
      </c>
      <c>
        <v>0.23</v>
      </c>
      <c t="s">
        <v>6175</v>
      </c>
      <c t="s">
        <v>50331</v>
      </c>
      <c t="s">
        <v>54710</v>
      </c>
      <c t="s">
        <v>33420</v>
      </c>
      <c t="s">
        <v>54710</v>
      </c>
      <c t="s">
        <v>3769</v>
      </c>
      <c t="s">
        <v>18679</v>
      </c>
      <c t="s">
        <v>2517</v>
      </c>
      <c t="s">
        <v>39289</v>
      </c>
      <c>
        <v>33909</v>
      </c>
      <c t="s">
        <v>2594</v>
      </c>
      <c t="s">
        <v>48794</v>
      </c>
      <c t="s">
        <v>59066</v>
      </c>
      <c>
        <v>4507</v>
      </c>
      <c r="AI1884" t="s">
        <v>13499</v>
      </c>
      <c t="s">
        <v>55842</v>
      </c>
      <c r="AL1884" t="s">
        <v>36970</v>
      </c>
      <c r="AN1884" t="s">
        <v>39289</v>
      </c>
      <c t="s">
        <v>36684</v>
      </c>
      <c t="s">
        <v>29069</v>
      </c>
      <c t="s">
        <v>3093</v>
      </c>
      <c t="s">
        <v>26256</v>
      </c>
    </row>
    <row>
      <c t="s">
        <v>17594</v>
      </c>
      <c t="s">
        <v>18111</v>
      </c>
      <c t="s">
        <v>63556</v>
      </c>
      <c t="s">
        <v>40216</v>
      </c>
      <c t="s">
        <v>50921</v>
      </c>
      <c s="3">
        <v>17382</v>
      </c>
      <c s="3">
        <v>17382</v>
      </c>
      <c s="3">
        <v>8910</v>
      </c>
      <c>
        <v>0</v>
      </c>
      <c s="3">
        <v>0</v>
      </c>
      <c s="3">
        <v>514.9</v>
      </c>
      <c s="3">
        <v>17382</v>
      </c>
      <c r="O1885" s="1" t="str">
        <f ca="1">HYPERLINK("https://web.datatree.com/?/property?propertyId=32663275", "https://web.datatree.com/?/property?propertyId=32663275")</f>
        <v>https://web.datatree.com/?/property?propertyId=32663275</v>
      </c>
      <c r="Q1885" t="s">
        <v>316</v>
      </c>
      <c>
        <v>0.23</v>
      </c>
      <c t="s">
        <v>6175</v>
      </c>
      <c t="s">
        <v>54158</v>
      </c>
      <c t="s">
        <v>66811</v>
      </c>
      <c r="X1885" t="s">
        <v>29369</v>
      </c>
      <c t="s">
        <v>23517</v>
      </c>
      <c t="s">
        <v>2517</v>
      </c>
      <c t="s">
        <v>39289</v>
      </c>
      <c>
        <v>33909</v>
      </c>
      <c t="s">
        <v>7124</v>
      </c>
      <c t="s">
        <v>48794</v>
      </c>
      <c t="s">
        <v>30616</v>
      </c>
      <c>
        <v>5115</v>
      </c>
      <c r="AI1885" t="s">
        <v>43363</v>
      </c>
      <c t="s">
        <v>31192</v>
      </c>
      <c r="AL1885" t="s">
        <v>34557</v>
      </c>
      <c t="s">
        <v>34557</v>
      </c>
      <c t="s">
        <v>65451</v>
      </c>
      <c t="s">
        <v>65148</v>
      </c>
      <c t="s">
        <v>45980</v>
      </c>
      <c t="s">
        <v>3093</v>
      </c>
      <c t="s">
        <v>39161</v>
      </c>
    </row>
    <row>
      <c t="s">
        <v>17594</v>
      </c>
      <c t="s">
        <v>10017</v>
      </c>
      <c t="s">
        <v>27762</v>
      </c>
      <c t="s">
        <v>16846</v>
      </c>
      <c t="s">
        <v>50084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1886" s="1" t="str">
        <f ca="1">HYPERLINK("https://web.datatree.com/?/property?propertyId=32663969", "https://web.datatree.com/?/property?propertyId=32663969")</f>
        <v>https://web.datatree.com/?/property?propertyId=32663969</v>
      </c>
      <c r="Q1886" t="s">
        <v>316</v>
      </c>
      <c>
        <v>0.23</v>
      </c>
      <c t="s">
        <v>22490</v>
      </c>
      <c t="s">
        <v>1258</v>
      </c>
      <c t="s">
        <v>40102</v>
      </c>
      <c r="X1886" t="s">
        <v>49850</v>
      </c>
      <c t="s">
        <v>47150</v>
      </c>
      <c t="s">
        <v>2517</v>
      </c>
      <c t="s">
        <v>39289</v>
      </c>
      <c>
        <v>33909</v>
      </c>
      <c t="s">
        <v>48883</v>
      </c>
      <c t="s">
        <v>48794</v>
      </c>
      <c t="s">
        <v>58350</v>
      </c>
      <c>
        <v>8910</v>
      </c>
      <c r="AI1886" t="s">
        <v>11830</v>
      </c>
      <c t="s">
        <v>55842</v>
      </c>
      <c r="AL1886" t="s">
        <v>30190</v>
      </c>
      <c t="s">
        <v>30190</v>
      </c>
      <c t="s">
        <v>65467</v>
      </c>
      <c t="s">
        <v>55625</v>
      </c>
      <c t="s">
        <v>52393</v>
      </c>
      <c t="s">
        <v>3093</v>
      </c>
      <c t="s">
        <v>49419</v>
      </c>
    </row>
    <row>
      <c t="s">
        <v>17594</v>
      </c>
      <c t="s">
        <v>29058</v>
      </c>
      <c t="s">
        <v>22523</v>
      </c>
      <c t="s">
        <v>14836</v>
      </c>
      <c t="s">
        <v>44617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887" s="1" t="str">
        <f ca="1">HYPERLINK("https://web.datatree.com/?/property?propertyId=32664357", "https://web.datatree.com/?/property?propertyId=32664357")</f>
        <v>https://web.datatree.com/?/property?propertyId=32664357</v>
      </c>
      <c r="Q1887" t="s">
        <v>316</v>
      </c>
      <c>
        <v>0.23</v>
      </c>
      <c t="s">
        <v>58725</v>
      </c>
      <c t="s">
        <v>20539</v>
      </c>
      <c t="s">
        <v>17118</v>
      </c>
      <c t="s">
        <v>52701</v>
      </c>
      <c t="s">
        <v>17118</v>
      </c>
      <c t="s">
        <v>65558</v>
      </c>
      <c t="s">
        <v>57064</v>
      </c>
      <c t="s">
        <v>2517</v>
      </c>
      <c t="s">
        <v>39289</v>
      </c>
      <c>
        <v>33909</v>
      </c>
      <c t="s">
        <v>57833</v>
      </c>
      <c t="s">
        <v>48794</v>
      </c>
      <c t="s">
        <v>25830</v>
      </c>
      <c>
        <v>10445</v>
      </c>
      <c r="AI1887" t="s">
        <v>18369</v>
      </c>
      <c t="s">
        <v>45393</v>
      </c>
      <c r="AL1887" t="s">
        <v>29515</v>
      </c>
      <c r="AN1887" t="s">
        <v>39289</v>
      </c>
      <c t="s">
        <v>23711</v>
      </c>
      <c t="s">
        <v>27410</v>
      </c>
      <c t="s">
        <v>3093</v>
      </c>
      <c t="s">
        <v>45762</v>
      </c>
    </row>
    <row>
      <c t="s">
        <v>17594</v>
      </c>
      <c t="s">
        <v>17938</v>
      </c>
      <c t="s">
        <v>33450</v>
      </c>
      <c t="s">
        <v>30031</v>
      </c>
      <c t="s">
        <v>62208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1888" s="1" t="str">
        <f ca="1">HYPERLINK("https://web.datatree.com/?/property?propertyId=32664437", "https://web.datatree.com/?/property?propertyId=32664437")</f>
        <v>https://web.datatree.com/?/property?propertyId=32664437</v>
      </c>
      <c r="Q1888" t="s">
        <v>316</v>
      </c>
      <c>
        <v>0.23</v>
      </c>
      <c t="s">
        <v>22490</v>
      </c>
      <c t="s">
        <v>14761</v>
      </c>
      <c t="s">
        <v>6725</v>
      </c>
      <c r="X1888" t="s">
        <v>28374</v>
      </c>
      <c t="s">
        <v>49674</v>
      </c>
      <c t="s">
        <v>2517</v>
      </c>
      <c t="s">
        <v>39289</v>
      </c>
      <c>
        <v>33909</v>
      </c>
      <c t="s">
        <v>49443</v>
      </c>
      <c t="s">
        <v>48794</v>
      </c>
      <c t="s">
        <v>6237</v>
      </c>
      <c>
        <v>10</v>
      </c>
      <c r="AI1888" t="s">
        <v>57841</v>
      </c>
      <c r="AL1888" t="s">
        <v>51112</v>
      </c>
      <c r="AN1888" t="s">
        <v>63985</v>
      </c>
      <c>
        <v>57612</v>
      </c>
      <c r="AR1888" t="s">
        <v>51379</v>
      </c>
    </row>
    <row>
      <c t="s">
        <v>17594</v>
      </c>
      <c t="s">
        <v>17672</v>
      </c>
      <c t="s">
        <v>22961</v>
      </c>
      <c t="s">
        <v>46030</v>
      </c>
      <c t="s">
        <v>54336</v>
      </c>
      <c s="3">
        <v>22184</v>
      </c>
      <c s="3">
        <v>22184</v>
      </c>
      <c s="3">
        <v>8360</v>
      </c>
      <c>
        <v>0</v>
      </c>
      <c s="3">
        <v>0</v>
      </c>
      <c s="3">
        <v>673.65</v>
      </c>
      <c s="3">
        <v>22184</v>
      </c>
      <c r="O1889" s="1" t="str">
        <f ca="1">HYPERLINK("https://web.datatree.com/?/property?propertyId=32664707", "https://web.datatree.com/?/property?propertyId=32664707")</f>
        <v>https://web.datatree.com/?/property?propertyId=32664707</v>
      </c>
      <c r="Q1889" t="s">
        <v>316</v>
      </c>
      <c>
        <v>0.332</v>
      </c>
      <c t="s">
        <v>22490</v>
      </c>
      <c t="s">
        <v>15107</v>
      </c>
      <c t="s">
        <v>46004</v>
      </c>
      <c t="s">
        <v>21852</v>
      </c>
      <c t="s">
        <v>46004</v>
      </c>
      <c t="s">
        <v>8481</v>
      </c>
      <c t="s">
        <v>13829</v>
      </c>
      <c t="s">
        <v>2517</v>
      </c>
      <c t="s">
        <v>39289</v>
      </c>
      <c>
        <v>33909</v>
      </c>
      <c t="s">
        <v>58456</v>
      </c>
      <c t="s">
        <v>48794</v>
      </c>
      <c t="s">
        <v>16792</v>
      </c>
      <c>
        <v>1376</v>
      </c>
      <c r="AI1889" t="s">
        <v>29275</v>
      </c>
      <c t="s">
        <v>45620</v>
      </c>
      <c r="AL1889" t="s">
        <v>24373</v>
      </c>
      <c r="AN1889" t="s">
        <v>22275</v>
      </c>
      <c t="s">
        <v>20855</v>
      </c>
      <c t="s">
        <v>34162</v>
      </c>
      <c t="s">
        <v>3093</v>
      </c>
      <c t="s">
        <v>23021</v>
      </c>
    </row>
    <row>
      <c t="s">
        <v>17594</v>
      </c>
      <c t="s">
        <v>28398</v>
      </c>
      <c t="s">
        <v>4935</v>
      </c>
      <c t="s">
        <v>25693</v>
      </c>
      <c t="s">
        <v>15340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1890" s="1" t="str">
        <f ca="1">HYPERLINK("https://web.datatree.com/?/property?propertyId=32664988", "https://web.datatree.com/?/property?propertyId=32664988")</f>
        <v>https://web.datatree.com/?/property?propertyId=32664988</v>
      </c>
      <c r="Q1890" t="s">
        <v>316</v>
      </c>
      <c>
        <v>0.23</v>
      </c>
      <c t="s">
        <v>6175</v>
      </c>
      <c t="s">
        <v>65985</v>
      </c>
      <c t="s">
        <v>40633</v>
      </c>
      <c t="s">
        <v>58703</v>
      </c>
      <c t="s">
        <v>40633</v>
      </c>
      <c t="s">
        <v>6927</v>
      </c>
      <c t="s">
        <v>47150</v>
      </c>
      <c t="s">
        <v>2517</v>
      </c>
      <c t="s">
        <v>39289</v>
      </c>
      <c>
        <v>33909</v>
      </c>
      <c t="s">
        <v>43699</v>
      </c>
      <c t="s">
        <v>48794</v>
      </c>
      <c t="s">
        <v>5466</v>
      </c>
      <c>
        <v>1401</v>
      </c>
      <c r="AI1890" t="s">
        <v>37123</v>
      </c>
      <c t="s">
        <v>31192</v>
      </c>
      <c r="AL1890" t="s">
        <v>6913</v>
      </c>
      <c r="AN1890" t="s">
        <v>22275</v>
      </c>
      <c t="s">
        <v>15075</v>
      </c>
      <c t="s">
        <v>21201</v>
      </c>
      <c t="s">
        <v>3093</v>
      </c>
      <c t="s">
        <v>10203</v>
      </c>
    </row>
    <row>
      <c t="s">
        <v>17594</v>
      </c>
      <c t="s">
        <v>18377</v>
      </c>
      <c t="s">
        <v>33843</v>
      </c>
      <c t="s">
        <v>46207</v>
      </c>
      <c t="s">
        <v>34657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1891" s="1" t="str">
        <f ca="1">HYPERLINK("https://web.datatree.com/?/property?propertyId=32665771", "https://web.datatree.com/?/property?propertyId=32665771")</f>
        <v>https://web.datatree.com/?/property?propertyId=32665771</v>
      </c>
      <c r="Q1891" t="s">
        <v>316</v>
      </c>
      <c>
        <v>0.23</v>
      </c>
      <c t="s">
        <v>6175</v>
      </c>
      <c r="U1891" t="s">
        <v>63435</v>
      </c>
      <c t="s">
        <v>60140</v>
      </c>
      <c t="s">
        <v>49256</v>
      </c>
      <c t="s">
        <v>55433</v>
      </c>
      <c t="s">
        <v>49122</v>
      </c>
      <c t="s">
        <v>2517</v>
      </c>
      <c t="s">
        <v>39289</v>
      </c>
      <c>
        <v>33909</v>
      </c>
      <c t="s">
        <v>9249</v>
      </c>
      <c t="s">
        <v>48794</v>
      </c>
      <c t="s">
        <v>1667</v>
      </c>
      <c>
        <v>2406</v>
      </c>
      <c r="AI1891" t="s">
        <v>17022</v>
      </c>
      <c t="s">
        <v>45393</v>
      </c>
      <c r="AL1891" t="s">
        <v>48923</v>
      </c>
      <c t="s">
        <v>48923</v>
      </c>
      <c t="s">
        <v>65451</v>
      </c>
      <c t="s">
        <v>15894</v>
      </c>
      <c t="s">
        <v>23744</v>
      </c>
      <c t="s">
        <v>3093</v>
      </c>
      <c t="s">
        <v>44775</v>
      </c>
    </row>
    <row>
      <c t="s">
        <v>17594</v>
      </c>
      <c t="s">
        <v>39534</v>
      </c>
      <c t="s">
        <v>24175</v>
      </c>
      <c t="s">
        <v>34671</v>
      </c>
      <c t="s">
        <v>18099</v>
      </c>
      <c s="3">
        <v>8329</v>
      </c>
      <c s="3">
        <v>8329</v>
      </c>
      <c s="3">
        <v>5594</v>
      </c>
      <c>
        <v>0</v>
      </c>
      <c s="3">
        <v>0</v>
      </c>
      <c s="3">
        <v>98.96</v>
      </c>
      <c s="3">
        <v>8329</v>
      </c>
      <c>
        <v>2019</v>
      </c>
      <c>
        <v>627.8</v>
      </c>
      <c s="1" t="str">
        <f ca="1">HYPERLINK("https://web.datatree.com/?/property?propertyId=32666036", "https://web.datatree.com/?/property?propertyId=32666036")</f>
        <v>https://web.datatree.com/?/property?propertyId=32666036</v>
      </c>
      <c r="Q1892" t="s">
        <v>316</v>
      </c>
      <c>
        <v>0.164</v>
      </c>
      <c t="s">
        <v>5471</v>
      </c>
      <c t="s">
        <v>1176</v>
      </c>
      <c t="s">
        <v>5796</v>
      </c>
      <c t="s">
        <v>4330</v>
      </c>
      <c t="s">
        <v>45802</v>
      </c>
      <c t="s">
        <v>47770</v>
      </c>
      <c t="s">
        <v>6617</v>
      </c>
      <c t="s">
        <v>65059</v>
      </c>
      <c t="s">
        <v>39289</v>
      </c>
      <c>
        <v>33905</v>
      </c>
      <c t="s">
        <v>22271</v>
      </c>
      <c t="s">
        <v>48794</v>
      </c>
      <c t="s">
        <v>17410</v>
      </c>
      <c>
        <v>3109</v>
      </c>
      <c r="AI1892" t="s">
        <v>47912</v>
      </c>
      <c t="s">
        <v>31192</v>
      </c>
      <c r="AL1892" t="s">
        <v>34722</v>
      </c>
      <c r="AN1892" t="s">
        <v>39289</v>
      </c>
      <c t="s">
        <v>60976</v>
      </c>
      <c t="s">
        <v>65288</v>
      </c>
      <c t="s">
        <v>3093</v>
      </c>
      <c t="s">
        <v>67096</v>
      </c>
    </row>
    <row>
      <c t="s">
        <v>17594</v>
      </c>
      <c t="s">
        <v>4603</v>
      </c>
      <c t="s">
        <v>1226</v>
      </c>
      <c t="s">
        <v>11578</v>
      </c>
      <c t="s">
        <v>42830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893" s="1" t="str">
        <f ca="1">HYPERLINK("https://web.datatree.com/?/property?propertyId=32666445", "https://web.datatree.com/?/property?propertyId=32666445")</f>
        <v>https://web.datatree.com/?/property?propertyId=32666445</v>
      </c>
      <c r="Q1893" t="s">
        <v>316</v>
      </c>
      <c>
        <v>0.241</v>
      </c>
      <c t="s">
        <v>5471</v>
      </c>
      <c t="s">
        <v>944</v>
      </c>
      <c t="s">
        <v>46201</v>
      </c>
      <c r="X1893" t="s">
        <v>8878</v>
      </c>
      <c t="s">
        <v>58047</v>
      </c>
      <c t="s">
        <v>65059</v>
      </c>
      <c t="s">
        <v>39289</v>
      </c>
      <c>
        <v>33905</v>
      </c>
      <c t="s">
        <v>31432</v>
      </c>
      <c t="s">
        <v>48794</v>
      </c>
      <c t="s">
        <v>9519</v>
      </c>
      <c t="str">
        <f>"58-60"</f>
        <v>58-60</v>
      </c>
      <c r="AI1893" t="s">
        <v>40084</v>
      </c>
      <c t="s">
        <v>45620</v>
      </c>
      <c r="AL1893" t="s">
        <v>30456</v>
      </c>
      <c r="AN1893" t="s">
        <v>7234</v>
      </c>
      <c>
        <v>0</v>
      </c>
      <c r="AR1893" t="s">
        <v>18754</v>
      </c>
    </row>
    <row>
      <c t="s">
        <v>17594</v>
      </c>
      <c t="s">
        <v>39096</v>
      </c>
      <c t="s">
        <v>2201</v>
      </c>
      <c t="s">
        <v>17973</v>
      </c>
      <c t="s">
        <v>19421</v>
      </c>
      <c s="3">
        <v>27056</v>
      </c>
      <c s="3">
        <v>27056</v>
      </c>
      <c s="3">
        <v>20282</v>
      </c>
      <c>
        <v>0</v>
      </c>
      <c s="3">
        <v>0</v>
      </c>
      <c s="3">
        <v>777.01</v>
      </c>
      <c s="3">
        <v>27056</v>
      </c>
      <c r="O1894" s="1" t="str">
        <f ca="1">HYPERLINK("https://web.datatree.com/?/property?propertyId=32667341", "https://web.datatree.com/?/property?propertyId=32667341")</f>
        <v>https://web.datatree.com/?/property?propertyId=32667341</v>
      </c>
      <c r="Q1894" t="s">
        <v>316</v>
      </c>
      <c>
        <v>0.246</v>
      </c>
      <c t="s">
        <v>6175</v>
      </c>
      <c t="s">
        <v>37194</v>
      </c>
      <c t="s">
        <v>30765</v>
      </c>
      <c t="s">
        <v>25155</v>
      </c>
      <c t="s">
        <v>30765</v>
      </c>
      <c t="s">
        <v>38004</v>
      </c>
      <c t="s">
        <v>49074</v>
      </c>
      <c t="s">
        <v>2517</v>
      </c>
      <c t="s">
        <v>39289</v>
      </c>
      <c>
        <v>33904</v>
      </c>
      <c t="s">
        <v>62372</v>
      </c>
      <c t="s">
        <v>48794</v>
      </c>
      <c t="s">
        <v>41257</v>
      </c>
      <c>
        <v>138</v>
      </c>
      <c r="AI1894" t="s">
        <v>30741</v>
      </c>
      <c t="s">
        <v>45620</v>
      </c>
      <c r="AL1894" t="s">
        <v>23703</v>
      </c>
      <c r="AN1894" t="s">
        <v>26016</v>
      </c>
      <c t="s">
        <v>54563</v>
      </c>
      <c t="s">
        <v>22302</v>
      </c>
      <c t="s">
        <v>3093</v>
      </c>
      <c t="s">
        <v>61479</v>
      </c>
    </row>
    <row>
      <c t="s">
        <v>17594</v>
      </c>
      <c t="s">
        <v>41227</v>
      </c>
      <c t="s">
        <v>56653</v>
      </c>
      <c t="s">
        <v>20861</v>
      </c>
      <c t="s">
        <v>42119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1895" s="1" t="str">
        <f ca="1">HYPERLINK("https://web.datatree.com/?/property?propertyId=32667443", "https://web.datatree.com/?/property?propertyId=32667443")</f>
        <v>https://web.datatree.com/?/property?propertyId=32667443</v>
      </c>
      <c r="Q1895" t="s">
        <v>316</v>
      </c>
      <c>
        <v>0.23</v>
      </c>
      <c t="s">
        <v>6175</v>
      </c>
      <c t="s">
        <v>2140</v>
      </c>
      <c t="s">
        <v>61709</v>
      </c>
      <c t="s">
        <v>23659</v>
      </c>
      <c t="s">
        <v>61709</v>
      </c>
      <c t="s">
        <v>51454</v>
      </c>
      <c t="s">
        <v>2619</v>
      </c>
      <c t="s">
        <v>2517</v>
      </c>
      <c t="s">
        <v>39289</v>
      </c>
      <c>
        <v>33909</v>
      </c>
      <c t="s">
        <v>2005</v>
      </c>
      <c t="s">
        <v>48794</v>
      </c>
      <c t="s">
        <v>25540</v>
      </c>
      <c>
        <v>2891</v>
      </c>
      <c r="AI1895" t="s">
        <v>23965</v>
      </c>
      <c r="AL1895" t="s">
        <v>61208</v>
      </c>
      <c r="AN1895" t="s">
        <v>50917</v>
      </c>
      <c t="s">
        <v>7223</v>
      </c>
      <c t="s">
        <v>30049</v>
      </c>
      <c t="s">
        <v>3093</v>
      </c>
      <c t="s">
        <v>27739</v>
      </c>
    </row>
    <row>
      <c t="s">
        <v>17594</v>
      </c>
      <c t="s">
        <v>40980</v>
      </c>
      <c t="s">
        <v>31900</v>
      </c>
      <c t="s">
        <v>42110</v>
      </c>
      <c t="s">
        <v>24139</v>
      </c>
      <c s="3">
        <v>7700</v>
      </c>
      <c s="3">
        <v>7700</v>
      </c>
      <c s="3">
        <v>7700</v>
      </c>
      <c>
        <v>0</v>
      </c>
      <c s="3">
        <v>0</v>
      </c>
      <c s="3">
        <v>711.81</v>
      </c>
      <c s="3">
        <v>7700</v>
      </c>
      <c r="O1896" s="1" t="str">
        <f ca="1">HYPERLINK("https://web.datatree.com/?/property?propertyId=32667717", "https://web.datatree.com/?/property?propertyId=32667717")</f>
        <v>https://web.datatree.com/?/property?propertyId=32667717</v>
      </c>
      <c r="Q1896" t="s">
        <v>316</v>
      </c>
      <c>
        <v>0.251</v>
      </c>
      <c t="s">
        <v>6175</v>
      </c>
      <c t="s">
        <v>25437</v>
      </c>
      <c t="s">
        <v>53990</v>
      </c>
      <c t="s">
        <v>111</v>
      </c>
      <c t="s">
        <v>12192</v>
      </c>
      <c t="s">
        <v>65962</v>
      </c>
      <c t="s">
        <v>14917</v>
      </c>
      <c t="s">
        <v>2517</v>
      </c>
      <c t="s">
        <v>39289</v>
      </c>
      <c>
        <v>33909</v>
      </c>
      <c t="s">
        <v>10471</v>
      </c>
      <c t="s">
        <v>48794</v>
      </c>
      <c t="s">
        <v>53895</v>
      </c>
      <c>
        <v>6465</v>
      </c>
      <c r="AI1896" t="s">
        <v>40009</v>
      </c>
      <c t="s">
        <v>1671</v>
      </c>
      <c>
        <v>208</v>
      </c>
      <c t="s">
        <v>11713</v>
      </c>
      <c t="s">
        <v>803</v>
      </c>
      <c t="s">
        <v>39289</v>
      </c>
      <c t="s">
        <v>43296</v>
      </c>
      <c t="s">
        <v>36802</v>
      </c>
      <c t="s">
        <v>3093</v>
      </c>
      <c t="s">
        <v>13611</v>
      </c>
    </row>
    <row>
      <c t="s">
        <v>42103</v>
      </c>
      <c t="s">
        <v>31714</v>
      </c>
      <c t="s">
        <v>25359</v>
      </c>
      <c t="s">
        <v>26491</v>
      </c>
      <c t="s">
        <v>15147</v>
      </c>
      <c s="3">
        <v>12770</v>
      </c>
      <c s="3">
        <v>10000</v>
      </c>
      <c s="3">
        <v>11473</v>
      </c>
      <c>
        <v>0</v>
      </c>
      <c s="3">
        <v>0</v>
      </c>
      <c s="3">
        <v>202.92</v>
      </c>
      <c s="3">
        <v>12770</v>
      </c>
      <c r="O1897" s="1" t="str">
        <f ca="1">HYPERLINK("https://web.datatree.com/?/property?propertyId=32668465", "https://web.datatree.com/?/property?propertyId=32668465")</f>
        <v>https://web.datatree.com/?/property?propertyId=32668465</v>
      </c>
      <c r="Q1897" t="s">
        <v>316</v>
      </c>
      <c>
        <v>0.233</v>
      </c>
      <c t="s">
        <v>36917</v>
      </c>
      <c t="s">
        <v>44541</v>
      </c>
      <c t="s">
        <v>27471</v>
      </c>
      <c r="X1897" t="s">
        <v>35773</v>
      </c>
      <c t="s">
        <v>33854</v>
      </c>
      <c t="s">
        <v>54524</v>
      </c>
      <c t="s">
        <v>39289</v>
      </c>
      <c>
        <v>33903</v>
      </c>
      <c>
        <v>33903</v>
      </c>
      <c t="s">
        <v>48794</v>
      </c>
      <c t="s">
        <v>50095</v>
      </c>
      <c r="AI1897" t="s">
        <v>17640</v>
      </c>
      <c r="AL1897" t="s">
        <v>13492</v>
      </c>
      <c t="s">
        <v>65059</v>
      </c>
      <c t="s">
        <v>39289</v>
      </c>
      <c>
        <v>33509</v>
      </c>
      <c t="s">
        <v>15796</v>
      </c>
      <c t="s">
        <v>3093</v>
      </c>
      <c t="s">
        <v>64466</v>
      </c>
    </row>
    <row>
      <c t="s">
        <v>17594</v>
      </c>
      <c t="s">
        <v>35934</v>
      </c>
      <c t="s">
        <v>982</v>
      </c>
      <c t="s">
        <v>61194</v>
      </c>
      <c t="s">
        <v>33640</v>
      </c>
      <c s="3">
        <v>31293</v>
      </c>
      <c s="3">
        <v>31172</v>
      </c>
      <c s="3">
        <v>31293</v>
      </c>
      <c>
        <v>0</v>
      </c>
      <c s="3">
        <v>0</v>
      </c>
      <c s="3">
        <v>437.22</v>
      </c>
      <c s="3">
        <v>31293</v>
      </c>
      <c r="O1898" s="1" t="str">
        <f ca="1">HYPERLINK("https://web.datatree.com/?/property?propertyId=32668924", "https://web.datatree.com/?/property?propertyId=32668924")</f>
        <v>https://web.datatree.com/?/property?propertyId=32668924</v>
      </c>
      <c>
        <v>192</v>
      </c>
      <c t="s">
        <v>316</v>
      </c>
      <c>
        <v>0.055</v>
      </c>
      <c t="s">
        <v>54329</v>
      </c>
      <c t="s">
        <v>40487</v>
      </c>
      <c t="s">
        <v>24305</v>
      </c>
      <c r="X1898" t="s">
        <v>28936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18353</v>
      </c>
      <c>
        <v>1101</v>
      </c>
      <c r="AI1898" t="s">
        <v>4103</v>
      </c>
      <c t="s">
        <v>24900</v>
      </c>
      <c r="AL1898" t="s">
        <v>30190</v>
      </c>
      <c t="s">
        <v>52959</v>
      </c>
      <c t="s">
        <v>65467</v>
      </c>
      <c t="s">
        <v>27276</v>
      </c>
      <c t="s">
        <v>6081</v>
      </c>
      <c t="s">
        <v>3093</v>
      </c>
      <c t="s">
        <v>64428</v>
      </c>
      <c>
        <v>1974</v>
      </c>
    </row>
    <row>
      <c t="s">
        <v>17594</v>
      </c>
      <c t="s">
        <v>38684</v>
      </c>
      <c t="s">
        <v>5618</v>
      </c>
      <c t="s">
        <v>16859</v>
      </c>
      <c t="s">
        <v>1631</v>
      </c>
      <c s="3">
        <v>28556</v>
      </c>
      <c s="3">
        <v>28556</v>
      </c>
      <c s="3">
        <v>11484</v>
      </c>
      <c>
        <v>0</v>
      </c>
      <c s="3">
        <v>0</v>
      </c>
      <c s="3">
        <v>761.82</v>
      </c>
      <c s="3">
        <v>28556</v>
      </c>
      <c r="O1899" s="1" t="str">
        <f ca="1">HYPERLINK("https://web.datatree.com/?/property?propertyId=32669159", "https://web.datatree.com/?/property?propertyId=32669159")</f>
        <v>https://web.datatree.com/?/property?propertyId=32669159</v>
      </c>
      <c r="Q1899" t="s">
        <v>316</v>
      </c>
      <c>
        <v>0.359</v>
      </c>
      <c t="s">
        <v>45031</v>
      </c>
      <c t="s">
        <v>11223</v>
      </c>
      <c t="s">
        <v>10641</v>
      </c>
      <c r="X1899" t="s">
        <v>26899</v>
      </c>
      <c t="s">
        <v>46469</v>
      </c>
      <c t="s">
        <v>2517</v>
      </c>
      <c t="s">
        <v>39289</v>
      </c>
      <c>
        <v>33909</v>
      </c>
      <c t="s">
        <v>2703</v>
      </c>
      <c t="s">
        <v>48794</v>
      </c>
      <c t="s">
        <v>46045</v>
      </c>
      <c>
        <v>234</v>
      </c>
      <c r="AH1899" t="s">
        <v>12549</v>
      </c>
      <c t="s">
        <v>43935</v>
      </c>
      <c r="AL1899" t="s">
        <v>45475</v>
      </c>
      <c r="AN1899" t="s">
        <v>49572</v>
      </c>
      <c t="s">
        <v>61910</v>
      </c>
      <c t="s">
        <v>14695</v>
      </c>
      <c t="s">
        <v>3093</v>
      </c>
      <c t="s">
        <v>1663</v>
      </c>
    </row>
    <row>
      <c t="s">
        <v>17594</v>
      </c>
      <c t="s">
        <v>30140</v>
      </c>
      <c t="s">
        <v>19722</v>
      </c>
      <c t="s">
        <v>45102</v>
      </c>
      <c t="s">
        <v>5911</v>
      </c>
      <c s="3">
        <v>35633</v>
      </c>
      <c s="3">
        <v>34891</v>
      </c>
      <c s="3">
        <v>26116</v>
      </c>
      <c>
        <v>0</v>
      </c>
      <c s="3">
        <v>0</v>
      </c>
      <c s="3">
        <v>417.78</v>
      </c>
      <c s="3">
        <v>35633</v>
      </c>
      <c r="O1900" s="1" t="str">
        <f ca="1">HYPERLINK("https://web.datatree.com/?/property?propertyId=32669950", "https://web.datatree.com/?/property?propertyId=32669950")</f>
        <v>https://web.datatree.com/?/property?propertyId=32669950</v>
      </c>
      <c>
        <v>412</v>
      </c>
      <c t="s">
        <v>316</v>
      </c>
      <c>
        <v>0.068</v>
      </c>
      <c t="s">
        <v>54329</v>
      </c>
      <c t="s">
        <v>40487</v>
      </c>
      <c t="s">
        <v>62081</v>
      </c>
      <c t="s">
        <v>23366</v>
      </c>
      <c t="s">
        <v>62081</v>
      </c>
      <c t="s">
        <v>29764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13891</v>
      </c>
      <c>
        <v>1912</v>
      </c>
      <c r="AI1900" t="s">
        <v>26684</v>
      </c>
      <c t="s">
        <v>835</v>
      </c>
      <c r="AL1900" t="s">
        <v>23689</v>
      </c>
      <c t="s">
        <v>54374</v>
      </c>
      <c t="s">
        <v>39289</v>
      </c>
      <c t="s">
        <v>21718</v>
      </c>
      <c t="s">
        <v>14695</v>
      </c>
      <c t="s">
        <v>3093</v>
      </c>
      <c t="s">
        <v>44946</v>
      </c>
      <c>
        <v>1971</v>
      </c>
    </row>
    <row>
      <c t="s">
        <v>17594</v>
      </c>
      <c t="s">
        <v>32217</v>
      </c>
      <c t="s">
        <v>15378</v>
      </c>
      <c t="s">
        <v>23042</v>
      </c>
      <c t="s">
        <v>51763</v>
      </c>
      <c s="3">
        <v>17856</v>
      </c>
      <c s="3">
        <v>17856</v>
      </c>
      <c s="3">
        <v>10187</v>
      </c>
      <c>
        <v>0</v>
      </c>
      <c s="3">
        <v>0</v>
      </c>
      <c s="3">
        <v>157.97</v>
      </c>
      <c s="3">
        <v>17856</v>
      </c>
      <c r="O1901" s="1" t="str">
        <f ca="1">HYPERLINK("https://web.datatree.com/?/property?propertyId=32669972", "https://web.datatree.com/?/property?propertyId=32669972")</f>
        <v>https://web.datatree.com/?/property?propertyId=32669972</v>
      </c>
      <c r="Q1901" t="s">
        <v>316</v>
      </c>
      <c>
        <v>0.12</v>
      </c>
      <c t="s">
        <v>23582</v>
      </c>
      <c t="s">
        <v>44541</v>
      </c>
      <c t="s">
        <v>2044</v>
      </c>
      <c r="X1901" t="s">
        <v>38397</v>
      </c>
      <c t="s">
        <v>450</v>
      </c>
      <c t="s">
        <v>65059</v>
      </c>
      <c t="s">
        <v>39289</v>
      </c>
      <c>
        <v>33908</v>
      </c>
      <c>
        <v>33908</v>
      </c>
      <c t="s">
        <v>48794</v>
      </c>
      <c t="s">
        <v>48432</v>
      </c>
      <c>
        <v>1911</v>
      </c>
      <c r="AI1901" t="s">
        <v>25275</v>
      </c>
      <c t="s">
        <v>45393</v>
      </c>
      <c r="AL1901" t="s">
        <v>19042</v>
      </c>
      <c r="AN1901" t="s">
        <v>18236</v>
      </c>
      <c t="s">
        <v>61242</v>
      </c>
      <c t="s">
        <v>42082</v>
      </c>
      <c t="s">
        <v>3093</v>
      </c>
      <c t="s">
        <v>43508</v>
      </c>
    </row>
    <row>
      <c t="s">
        <v>17594</v>
      </c>
      <c t="s">
        <v>36720</v>
      </c>
      <c t="s">
        <v>16094</v>
      </c>
      <c t="s">
        <v>51477</v>
      </c>
      <c t="s">
        <v>55563</v>
      </c>
      <c s="3">
        <v>17602</v>
      </c>
      <c s="3">
        <v>17602</v>
      </c>
      <c s="3">
        <v>9075</v>
      </c>
      <c>
        <v>0</v>
      </c>
      <c s="3">
        <v>0</v>
      </c>
      <c s="3">
        <v>575.48</v>
      </c>
      <c s="3">
        <v>17602</v>
      </c>
      <c>
        <v>2019</v>
      </c>
      <c>
        <v>2736.06</v>
      </c>
      <c s="1" t="str">
        <f ca="1">HYPERLINK("https://web.datatree.com/?/property?propertyId=32670082", "https://web.datatree.com/?/property?propertyId=32670082")</f>
        <v>https://web.datatree.com/?/property?propertyId=32670082</v>
      </c>
      <c r="Q1902" t="s">
        <v>316</v>
      </c>
      <c>
        <v>0.255</v>
      </c>
      <c t="s">
        <v>6175</v>
      </c>
      <c t="s">
        <v>2140</v>
      </c>
      <c t="s">
        <v>37991</v>
      </c>
      <c r="X1902" t="s">
        <v>38699</v>
      </c>
      <c t="s">
        <v>2626</v>
      </c>
      <c t="s">
        <v>2517</v>
      </c>
      <c t="s">
        <v>39289</v>
      </c>
      <c>
        <v>33909</v>
      </c>
      <c t="s">
        <v>29847</v>
      </c>
      <c t="s">
        <v>48794</v>
      </c>
      <c t="s">
        <v>45303</v>
      </c>
      <c>
        <v>13</v>
      </c>
      <c r="AI1902" t="s">
        <v>17104</v>
      </c>
      <c t="s">
        <v>45620</v>
      </c>
      <c r="AL1902" t="s">
        <v>29555</v>
      </c>
      <c r="AN1902" t="s">
        <v>27747</v>
      </c>
      <c t="s">
        <v>14204</v>
      </c>
      <c t="s">
        <v>14695</v>
      </c>
      <c t="s">
        <v>3093</v>
      </c>
      <c t="s">
        <v>16623</v>
      </c>
    </row>
    <row>
      <c t="s">
        <v>17594</v>
      </c>
      <c t="s">
        <v>5246</v>
      </c>
      <c t="s">
        <v>27698</v>
      </c>
      <c t="s">
        <v>20394</v>
      </c>
      <c t="s">
        <v>13813</v>
      </c>
      <c s="3">
        <v>18000</v>
      </c>
      <c s="3">
        <v>18000</v>
      </c>
      <c s="3">
        <v>18000</v>
      </c>
      <c>
        <v>0</v>
      </c>
      <c s="3">
        <v>0</v>
      </c>
      <c s="3">
        <v>269.51</v>
      </c>
      <c s="3">
        <v>18000</v>
      </c>
      <c r="O1903" s="1" t="str">
        <f ca="1">HYPERLINK("https://web.datatree.com/?/property?propertyId=32670453", "https://web.datatree.com/?/property?propertyId=32670453")</f>
        <v>https://web.datatree.com/?/property?propertyId=32670453</v>
      </c>
      <c r="Q1903" t="s">
        <v>316</v>
      </c>
      <c>
        <v>0.696</v>
      </c>
      <c t="s">
        <v>36245</v>
      </c>
      <c t="s">
        <v>22904</v>
      </c>
      <c t="s">
        <v>66811</v>
      </c>
      <c t="s">
        <v>22046</v>
      </c>
      <c t="s">
        <v>66811</v>
      </c>
      <c t="s">
        <v>37837</v>
      </c>
      <c t="s">
        <v>65985</v>
      </c>
      <c t="s">
        <v>65059</v>
      </c>
      <c t="s">
        <v>39289</v>
      </c>
      <c>
        <v>33905</v>
      </c>
      <c>
        <v>33905</v>
      </c>
      <c t="s">
        <v>48794</v>
      </c>
      <c t="s">
        <v>47686</v>
      </c>
      <c>
        <v>620</v>
      </c>
      <c r="AI1903" t="s">
        <v>40407</v>
      </c>
      <c t="s">
        <v>31192</v>
      </c>
      <c r="AL1903" t="s">
        <v>54428</v>
      </c>
      <c t="s">
        <v>54428</v>
      </c>
      <c t="s">
        <v>65467</v>
      </c>
      <c t="s">
        <v>8079</v>
      </c>
      <c t="s">
        <v>14845</v>
      </c>
      <c t="s">
        <v>3093</v>
      </c>
      <c t="s">
        <v>46599</v>
      </c>
    </row>
    <row>
      <c t="s">
        <v>17594</v>
      </c>
      <c t="s">
        <v>26229</v>
      </c>
      <c t="s">
        <v>55581</v>
      </c>
      <c t="s">
        <v>59602</v>
      </c>
      <c t="s">
        <v>20156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904" s="1" t="str">
        <f ca="1">HYPERLINK("https://web.datatree.com/?/property?propertyId=32670612", "https://web.datatree.com/?/property?propertyId=32670612")</f>
        <v>https://web.datatree.com/?/property?propertyId=32670612</v>
      </c>
      <c r="Q1904" t="s">
        <v>316</v>
      </c>
      <c>
        <v>0.23</v>
      </c>
      <c t="s">
        <v>6175</v>
      </c>
      <c r="U1904" t="s">
        <v>644</v>
      </c>
      <c r="W1904" t="s">
        <v>50136</v>
      </c>
      <c t="s">
        <v>49813</v>
      </c>
      <c t="s">
        <v>10653</v>
      </c>
      <c t="s">
        <v>2517</v>
      </c>
      <c t="s">
        <v>39289</v>
      </c>
      <c>
        <v>33909</v>
      </c>
      <c t="s">
        <v>56086</v>
      </c>
      <c t="s">
        <v>48794</v>
      </c>
      <c t="s">
        <v>8532</v>
      </c>
      <c>
        <v>9644</v>
      </c>
      <c r="AI1904" t="s">
        <v>47464</v>
      </c>
      <c t="s">
        <v>40123</v>
      </c>
      <c r="AL1904" t="s">
        <v>9952</v>
      </c>
      <c r="AN1904" t="s">
        <v>65467</v>
      </c>
      <c t="s">
        <v>53458</v>
      </c>
      <c t="s">
        <v>62562</v>
      </c>
      <c t="s">
        <v>3093</v>
      </c>
      <c t="s">
        <v>49986</v>
      </c>
    </row>
    <row>
      <c t="s">
        <v>17594</v>
      </c>
      <c t="s">
        <v>45524</v>
      </c>
      <c t="s">
        <v>48599</v>
      </c>
      <c t="s">
        <v>49909</v>
      </c>
      <c t="s">
        <v>46755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1905" s="1" t="str">
        <f ca="1">HYPERLINK("https://web.datatree.com/?/property?propertyId=32670961", "https://web.datatree.com/?/property?propertyId=32670961")</f>
        <v>https://web.datatree.com/?/property?propertyId=32670961</v>
      </c>
      <c r="Q1905" t="s">
        <v>316</v>
      </c>
      <c>
        <v>0.23</v>
      </c>
      <c t="s">
        <v>22490</v>
      </c>
      <c t="s">
        <v>45587</v>
      </c>
      <c t="s">
        <v>34217</v>
      </c>
      <c r="X1905" t="s">
        <v>7876</v>
      </c>
      <c t="s">
        <v>25017</v>
      </c>
      <c t="s">
        <v>2517</v>
      </c>
      <c t="s">
        <v>39289</v>
      </c>
      <c>
        <v>33909</v>
      </c>
      <c t="s">
        <v>1982</v>
      </c>
      <c t="s">
        <v>48794</v>
      </c>
      <c t="s">
        <v>31632</v>
      </c>
      <c>
        <v>445</v>
      </c>
      <c r="AI1905" t="s">
        <v>32351</v>
      </c>
      <c t="s">
        <v>45393</v>
      </c>
      <c r="AL1905" t="s">
        <v>11428</v>
      </c>
      <c t="s">
        <v>11428</v>
      </c>
      <c t="s">
        <v>65451</v>
      </c>
      <c t="s">
        <v>53620</v>
      </c>
      <c t="s">
        <v>44573</v>
      </c>
      <c t="s">
        <v>3093</v>
      </c>
      <c t="s">
        <v>25207</v>
      </c>
    </row>
    <row>
      <c t="s">
        <v>17594</v>
      </c>
      <c t="s">
        <v>14172</v>
      </c>
      <c t="s">
        <v>27906</v>
      </c>
      <c t="s">
        <v>9181</v>
      </c>
      <c t="s">
        <v>26966</v>
      </c>
      <c s="3">
        <v>12544</v>
      </c>
      <c s="3">
        <v>12544</v>
      </c>
      <c s="3">
        <v>4972</v>
      </c>
      <c>
        <v>0</v>
      </c>
      <c s="3">
        <v>0</v>
      </c>
      <c s="3">
        <v>334.88</v>
      </c>
      <c s="3">
        <v>12544</v>
      </c>
      <c>
        <v>2021</v>
      </c>
      <c>
        <v>378</v>
      </c>
      <c s="1" t="str">
        <f ca="1">HYPERLINK("https://web.datatree.com/?/property?propertyId=32670965", "https://web.datatree.com/?/property?propertyId=32670965")</f>
        <v>https://web.datatree.com/?/property?propertyId=32670965</v>
      </c>
      <c r="Q1906" t="s">
        <v>316</v>
      </c>
      <c>
        <v>0.378</v>
      </c>
      <c t="s">
        <v>5471</v>
      </c>
      <c t="s">
        <v>2140</v>
      </c>
      <c t="s">
        <v>42349</v>
      </c>
      <c t="s">
        <v>27351</v>
      </c>
      <c t="s">
        <v>42349</v>
      </c>
      <c t="s">
        <v>41423</v>
      </c>
      <c t="s">
        <v>39583</v>
      </c>
      <c t="s">
        <v>65059</v>
      </c>
      <c t="s">
        <v>39289</v>
      </c>
      <c>
        <v>33905</v>
      </c>
      <c t="s">
        <v>17212</v>
      </c>
      <c t="s">
        <v>48794</v>
      </c>
      <c t="s">
        <v>47005</v>
      </c>
      <c>
        <v>26</v>
      </c>
      <c r="AI1906" t="s">
        <v>34758</v>
      </c>
      <c t="s">
        <v>40345</v>
      </c>
      <c r="AL1906" t="s">
        <v>29122</v>
      </c>
      <c r="AN1906" t="s">
        <v>10909</v>
      </c>
      <c t="s">
        <v>35833</v>
      </c>
      <c r="AQ1906" t="s">
        <v>27814</v>
      </c>
      <c t="s">
        <v>64454</v>
      </c>
    </row>
    <row>
      <c t="s">
        <v>17594</v>
      </c>
      <c t="s">
        <v>60622</v>
      </c>
      <c t="s">
        <v>38666</v>
      </c>
      <c t="s">
        <v>32352</v>
      </c>
      <c t="s">
        <v>26840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907" s="1" t="str">
        <f ca="1">HYPERLINK("https://web.datatree.com/?/property?propertyId=32671021", "https://web.datatree.com/?/property?propertyId=32671021")</f>
        <v>https://web.datatree.com/?/property?propertyId=32671021</v>
      </c>
      <c r="Q1907" t="s">
        <v>316</v>
      </c>
      <c>
        <v>0.23</v>
      </c>
      <c t="s">
        <v>58725</v>
      </c>
      <c t="s">
        <v>29462</v>
      </c>
      <c t="s">
        <v>37873</v>
      </c>
      <c t="s">
        <v>2140</v>
      </c>
      <c t="s">
        <v>37873</v>
      </c>
      <c t="s">
        <v>4846</v>
      </c>
      <c t="s">
        <v>57064</v>
      </c>
      <c t="s">
        <v>2517</v>
      </c>
      <c t="s">
        <v>39289</v>
      </c>
      <c>
        <v>33909</v>
      </c>
      <c t="s">
        <v>11423</v>
      </c>
      <c t="s">
        <v>48794</v>
      </c>
      <c t="s">
        <v>2086</v>
      </c>
      <c>
        <v>446</v>
      </c>
      <c r="AI1907" t="s">
        <v>53379</v>
      </c>
      <c r="AL1907" t="s">
        <v>57918</v>
      </c>
      <c r="AN1907" t="s">
        <v>17134</v>
      </c>
      <c t="s">
        <v>47888</v>
      </c>
      <c t="s">
        <v>37948</v>
      </c>
      <c t="s">
        <v>3093</v>
      </c>
      <c t="s">
        <v>19778</v>
      </c>
    </row>
    <row>
      <c t="s">
        <v>17594</v>
      </c>
      <c t="s">
        <v>53045</v>
      </c>
      <c t="s">
        <v>1417</v>
      </c>
      <c t="s">
        <v>56981</v>
      </c>
      <c t="s">
        <v>50166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1908" s="1" t="str">
        <f ca="1">HYPERLINK("https://web.datatree.com/?/property?propertyId=32671597", "https://web.datatree.com/?/property?propertyId=32671597")</f>
        <v>https://web.datatree.com/?/property?propertyId=32671597</v>
      </c>
      <c r="Q1908" t="s">
        <v>316</v>
      </c>
      <c>
        <v>0.246</v>
      </c>
      <c t="s">
        <v>5471</v>
      </c>
      <c t="s">
        <v>552</v>
      </c>
      <c t="s">
        <v>19919</v>
      </c>
      <c t="s">
        <v>51968</v>
      </c>
      <c t="s">
        <v>19919</v>
      </c>
      <c t="s">
        <v>65548</v>
      </c>
      <c t="s">
        <v>43060</v>
      </c>
      <c t="s">
        <v>65059</v>
      </c>
      <c t="s">
        <v>39289</v>
      </c>
      <c>
        <v>33905</v>
      </c>
      <c t="s">
        <v>43998</v>
      </c>
      <c t="s">
        <v>48794</v>
      </c>
      <c t="s">
        <v>19786</v>
      </c>
      <c>
        <v>10665</v>
      </c>
      <c r="AI1908" t="s">
        <v>59604</v>
      </c>
      <c t="s">
        <v>1671</v>
      </c>
      <c r="AL1908" t="s">
        <v>14873</v>
      </c>
      <c r="AN1908" t="s">
        <v>39289</v>
      </c>
      <c t="s">
        <v>39425</v>
      </c>
      <c t="s">
        <v>52247</v>
      </c>
      <c t="s">
        <v>3093</v>
      </c>
      <c t="s">
        <v>9543</v>
      </c>
    </row>
    <row>
      <c t="s">
        <v>17594</v>
      </c>
      <c t="s">
        <v>61383</v>
      </c>
      <c t="s">
        <v>26333</v>
      </c>
      <c t="s">
        <v>56823</v>
      </c>
      <c t="s">
        <v>2073</v>
      </c>
      <c s="3">
        <v>19200</v>
      </c>
      <c s="3">
        <v>19200</v>
      </c>
      <c s="3">
        <v>9130</v>
      </c>
      <c>
        <v>0</v>
      </c>
      <c s="3">
        <v>0</v>
      </c>
      <c s="3">
        <v>585.72</v>
      </c>
      <c s="3">
        <v>19200</v>
      </c>
      <c r="O1909" s="1" t="str">
        <f ca="1">HYPERLINK("https://web.datatree.com/?/property?propertyId=32671682", "https://web.datatree.com/?/property?propertyId=32671682")</f>
        <v>https://web.datatree.com/?/property?propertyId=32671682</v>
      </c>
      <c r="Q1909" t="s">
        <v>316</v>
      </c>
      <c>
        <v>0.244</v>
      </c>
      <c t="s">
        <v>45031</v>
      </c>
      <c t="s">
        <v>47119</v>
      </c>
      <c t="s">
        <v>11660</v>
      </c>
      <c r="X1909" t="s">
        <v>2047</v>
      </c>
      <c t="s">
        <v>2619</v>
      </c>
      <c t="s">
        <v>2517</v>
      </c>
      <c t="s">
        <v>39289</v>
      </c>
      <c>
        <v>33909</v>
      </c>
      <c>
        <v>33909</v>
      </c>
      <c t="s">
        <v>48794</v>
      </c>
      <c t="s">
        <v>28575</v>
      </c>
      <c>
        <v>10010</v>
      </c>
      <c r="AI1909" t="s">
        <v>9872</v>
      </c>
      <c t="s">
        <v>55842</v>
      </c>
      <c r="AL1909" t="s">
        <v>55080</v>
      </c>
      <c r="AN1909" t="s">
        <v>51087</v>
      </c>
      <c t="s">
        <v>25323</v>
      </c>
      <c t="s">
        <v>27780</v>
      </c>
      <c t="s">
        <v>3093</v>
      </c>
      <c t="s">
        <v>56320</v>
      </c>
    </row>
    <row>
      <c t="s">
        <v>17594</v>
      </c>
      <c t="s">
        <v>45936</v>
      </c>
      <c t="s">
        <v>55241</v>
      </c>
      <c t="s">
        <v>51572</v>
      </c>
      <c t="s">
        <v>43208</v>
      </c>
      <c s="3">
        <v>57750</v>
      </c>
      <c s="3">
        <v>57750</v>
      </c>
      <c s="3">
        <v>9339</v>
      </c>
      <c>
        <v>0</v>
      </c>
      <c s="3">
        <v>0</v>
      </c>
      <c s="3">
        <v>795.02</v>
      </c>
      <c s="3">
        <v>57750</v>
      </c>
      <c r="O1910" s="1" t="str">
        <f ca="1">HYPERLINK("https://web.datatree.com/?/property?propertyId=32671763", "https://web.datatree.com/?/property?propertyId=32671763")</f>
        <v>https://web.datatree.com/?/property?propertyId=32671763</v>
      </c>
      <c r="Q1910" t="s">
        <v>316</v>
      </c>
      <c>
        <v>0.244</v>
      </c>
      <c t="s">
        <v>65422</v>
      </c>
      <c t="s">
        <v>34210</v>
      </c>
      <c t="s">
        <v>28685</v>
      </c>
      <c t="s">
        <v>21379</v>
      </c>
      <c t="s">
        <v>28685</v>
      </c>
      <c t="s">
        <v>11013</v>
      </c>
      <c t="s">
        <v>39082</v>
      </c>
      <c t="s">
        <v>2517</v>
      </c>
      <c t="s">
        <v>39289</v>
      </c>
      <c>
        <v>33909</v>
      </c>
      <c t="s">
        <v>33524</v>
      </c>
      <c t="s">
        <v>48794</v>
      </c>
      <c t="s">
        <v>34266</v>
      </c>
      <c>
        <v>665</v>
      </c>
      <c r="AI1910" t="s">
        <v>57563</v>
      </c>
      <c t="s">
        <v>1671</v>
      </c>
      <c r="AL1910" t="s">
        <v>23695</v>
      </c>
      <c r="AN1910" t="s">
        <v>39289</v>
      </c>
      <c t="s">
        <v>16739</v>
      </c>
      <c t="s">
        <v>42082</v>
      </c>
      <c t="s">
        <v>3093</v>
      </c>
      <c t="s">
        <v>41981</v>
      </c>
    </row>
    <row>
      <c t="s">
        <v>17594</v>
      </c>
      <c t="s">
        <v>38834</v>
      </c>
      <c t="s">
        <v>5131</v>
      </c>
      <c t="s">
        <v>58719</v>
      </c>
      <c t="s">
        <v>22025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>
        <v>2021</v>
      </c>
      <c>
        <v>532.49</v>
      </c>
      <c s="1" t="str">
        <f ca="1">HYPERLINK("https://web.datatree.com/?/property?propertyId=32671977", "https://web.datatree.com/?/property?propertyId=32671977")</f>
        <v>https://web.datatree.com/?/property?propertyId=32671977</v>
      </c>
      <c r="Q1911" t="s">
        <v>316</v>
      </c>
      <c>
        <v>0.23</v>
      </c>
      <c t="s">
        <v>22490</v>
      </c>
      <c t="s">
        <v>406</v>
      </c>
      <c t="s">
        <v>56273</v>
      </c>
      <c r="X1911" t="s">
        <v>63054</v>
      </c>
      <c t="s">
        <v>57064</v>
      </c>
      <c t="s">
        <v>2517</v>
      </c>
      <c t="s">
        <v>39289</v>
      </c>
      <c>
        <v>33909</v>
      </c>
      <c t="s">
        <v>33252</v>
      </c>
      <c t="s">
        <v>48794</v>
      </c>
      <c t="s">
        <v>19552</v>
      </c>
      <c t="str">
        <f>"20-40"</f>
        <v>20-40</v>
      </c>
      <c r="AI1911" t="s">
        <v>66115</v>
      </c>
      <c r="AL1911" t="s">
        <v>16956</v>
      </c>
      <c r="AN1911" t="s">
        <v>51137</v>
      </c>
      <c>
        <v>49055</v>
      </c>
      <c r="AR1911" t="s">
        <v>42832</v>
      </c>
    </row>
    <row>
      <c t="s">
        <v>17594</v>
      </c>
      <c t="s">
        <v>20314</v>
      </c>
      <c t="s">
        <v>11182</v>
      </c>
      <c t="s">
        <v>27346</v>
      </c>
      <c t="s">
        <v>49351</v>
      </c>
      <c s="3">
        <v>24474</v>
      </c>
      <c s="3">
        <v>24474</v>
      </c>
      <c s="3">
        <v>22528</v>
      </c>
      <c>
        <v>0</v>
      </c>
      <c s="3">
        <v>0</v>
      </c>
      <c s="3">
        <v>348.11</v>
      </c>
      <c s="3">
        <v>24474</v>
      </c>
      <c r="O1912" s="1" t="str">
        <f ca="1">HYPERLINK("https://web.datatree.com/?/property?propertyId=32672444", "https://web.datatree.com/?/property?propertyId=32672444")</f>
        <v>https://web.datatree.com/?/property?propertyId=32672444</v>
      </c>
      <c r="Q1912" t="s">
        <v>316</v>
      </c>
      <c>
        <v>0.54</v>
      </c>
      <c t="s">
        <v>30497</v>
      </c>
      <c t="s">
        <v>57302</v>
      </c>
      <c t="s">
        <v>43620</v>
      </c>
      <c t="s">
        <v>21814</v>
      </c>
      <c t="s">
        <v>43620</v>
      </c>
      <c t="s">
        <v>11484</v>
      </c>
      <c t="s">
        <v>40227</v>
      </c>
      <c t="s">
        <v>65059</v>
      </c>
      <c t="s">
        <v>39289</v>
      </c>
      <c>
        <v>33905</v>
      </c>
      <c t="s">
        <v>1771</v>
      </c>
      <c t="s">
        <v>48794</v>
      </c>
      <c t="s">
        <v>23320</v>
      </c>
      <c>
        <v>4799</v>
      </c>
      <c r="AI1912" t="s">
        <v>2666</v>
      </c>
      <c t="s">
        <v>45620</v>
      </c>
      <c r="AL1912" t="s">
        <v>21376</v>
      </c>
      <c r="AN1912" t="s">
        <v>7064</v>
      </c>
      <c t="s">
        <v>8764</v>
      </c>
      <c r="AQ1912" t="s">
        <v>27814</v>
      </c>
      <c t="s">
        <v>51036</v>
      </c>
    </row>
    <row>
      <c t="s">
        <v>17594</v>
      </c>
      <c t="s">
        <v>7571</v>
      </c>
      <c t="s">
        <v>1321</v>
      </c>
      <c t="s">
        <v>49236</v>
      </c>
      <c t="s">
        <v>37469</v>
      </c>
      <c s="3">
        <v>18464</v>
      </c>
      <c s="3">
        <v>18464</v>
      </c>
      <c s="3">
        <v>7865</v>
      </c>
      <c>
        <v>0</v>
      </c>
      <c s="3">
        <v>0</v>
      </c>
      <c s="3">
        <v>513.78</v>
      </c>
      <c s="3">
        <v>18464</v>
      </c>
      <c>
        <v>2021</v>
      </c>
      <c>
        <v>603.85</v>
      </c>
      <c s="1" t="str">
        <f ca="1">HYPERLINK("https://web.datatree.com/?/property?propertyId=32672965", "https://web.datatree.com/?/property?propertyId=32672965")</f>
        <v>https://web.datatree.com/?/property?propertyId=32672965</v>
      </c>
      <c r="Q1913" t="s">
        <v>316</v>
      </c>
      <c>
        <v>0.259</v>
      </c>
      <c t="s">
        <v>6175</v>
      </c>
      <c r="U1913" t="s">
        <v>855</v>
      </c>
      <c t="s">
        <v>16558</v>
      </c>
      <c t="s">
        <v>40517</v>
      </c>
      <c t="s">
        <v>37122</v>
      </c>
      <c t="s">
        <v>44061</v>
      </c>
      <c t="s">
        <v>2517</v>
      </c>
      <c t="s">
        <v>39289</v>
      </c>
      <c>
        <v>33909</v>
      </c>
      <c t="s">
        <v>52539</v>
      </c>
      <c t="s">
        <v>48794</v>
      </c>
      <c t="s">
        <v>37144</v>
      </c>
      <c>
        <v>6900</v>
      </c>
      <c r="AI1913" t="s">
        <v>42233</v>
      </c>
      <c t="s">
        <v>31192</v>
      </c>
      <c>
        <v>603</v>
      </c>
      <c t="s">
        <v>38297</v>
      </c>
      <c r="AN1913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38879</v>
      </c>
      <c t="s">
        <v>4215</v>
      </c>
      <c t="s">
        <v>17256</v>
      </c>
      <c t="s">
        <v>48833</v>
      </c>
      <c s="3">
        <v>17276</v>
      </c>
      <c s="3">
        <v>17276</v>
      </c>
      <c s="3">
        <v>8470</v>
      </c>
      <c>
        <v>0</v>
      </c>
      <c s="3">
        <v>0</v>
      </c>
      <c s="3">
        <v>576.29</v>
      </c>
      <c s="3">
        <v>17276</v>
      </c>
      <c r="O1914" s="1" t="str">
        <f ca="1">HYPERLINK("https://web.datatree.com/?/property?propertyId=32673023", "https://web.datatree.com/?/property?propertyId=32673023")</f>
        <v>https://web.datatree.com/?/property?propertyId=32673023</v>
      </c>
      <c r="Q1914" t="s">
        <v>316</v>
      </c>
      <c>
        <v>0.241</v>
      </c>
      <c t="s">
        <v>6175</v>
      </c>
      <c t="s">
        <v>43884</v>
      </c>
      <c t="s">
        <v>3827</v>
      </c>
      <c r="X1914" t="s">
        <v>45983</v>
      </c>
      <c t="s">
        <v>13829</v>
      </c>
      <c t="s">
        <v>2517</v>
      </c>
      <c t="s">
        <v>39289</v>
      </c>
      <c>
        <v>33909</v>
      </c>
      <c t="s">
        <v>163</v>
      </c>
      <c t="s">
        <v>48794</v>
      </c>
      <c t="s">
        <v>60726</v>
      </c>
      <c>
        <v>7825</v>
      </c>
      <c r="AI1914" t="s">
        <v>22297</v>
      </c>
      <c t="s">
        <v>24900</v>
      </c>
      <c r="AL1914" t="s">
        <v>9019</v>
      </c>
      <c r="AN1914" t="s">
        <v>21017</v>
      </c>
      <c t="s">
        <v>34710</v>
      </c>
      <c t="s">
        <v>19978</v>
      </c>
      <c t="s">
        <v>3093</v>
      </c>
      <c t="s">
        <v>65729</v>
      </c>
    </row>
    <row>
      <c t="s">
        <v>17594</v>
      </c>
      <c t="s">
        <v>58284</v>
      </c>
      <c t="s">
        <v>41291</v>
      </c>
      <c t="s">
        <v>67066</v>
      </c>
      <c t="s">
        <v>54586</v>
      </c>
      <c s="3">
        <v>18464</v>
      </c>
      <c s="3">
        <v>18464</v>
      </c>
      <c s="3">
        <v>7865</v>
      </c>
      <c>
        <v>0</v>
      </c>
      <c s="3">
        <v>0</v>
      </c>
      <c s="3">
        <v>513.78</v>
      </c>
      <c s="3">
        <v>18464</v>
      </c>
      <c r="O1915" s="1" t="str">
        <f ca="1">HYPERLINK("https://web.datatree.com/?/property?propertyId=32673132", "https://web.datatree.com/?/property?propertyId=32673132")</f>
        <v>https://web.datatree.com/?/property?propertyId=32673132</v>
      </c>
      <c r="Q1915" t="s">
        <v>316</v>
      </c>
      <c>
        <v>0.259</v>
      </c>
      <c t="s">
        <v>6175</v>
      </c>
      <c t="s">
        <v>10206</v>
      </c>
      <c t="s">
        <v>25102</v>
      </c>
      <c r="X1915" t="s">
        <v>3082</v>
      </c>
      <c t="s">
        <v>18679</v>
      </c>
      <c t="s">
        <v>2517</v>
      </c>
      <c t="s">
        <v>39289</v>
      </c>
      <c>
        <v>33909</v>
      </c>
      <c t="s">
        <v>43593</v>
      </c>
      <c t="s">
        <v>48794</v>
      </c>
      <c t="s">
        <v>9425</v>
      </c>
      <c>
        <v>3</v>
      </c>
      <c r="AI1915" t="s">
        <v>53362</v>
      </c>
      <c t="s">
        <v>31192</v>
      </c>
      <c r="AL1915" t="s">
        <v>59016</v>
      </c>
      <c r="AN1915" t="s">
        <v>50917</v>
      </c>
      <c t="s">
        <v>49700</v>
      </c>
      <c t="s">
        <v>11138</v>
      </c>
      <c t="s">
        <v>3093</v>
      </c>
      <c t="s">
        <v>20521</v>
      </c>
    </row>
    <row>
      <c t="s">
        <v>17594</v>
      </c>
      <c t="s">
        <v>12220</v>
      </c>
      <c t="s">
        <v>24175</v>
      </c>
      <c t="s">
        <v>40185</v>
      </c>
      <c t="s">
        <v>58829</v>
      </c>
      <c s="3">
        <v>8089</v>
      </c>
      <c s="3">
        <v>8089</v>
      </c>
      <c s="3">
        <v>3474</v>
      </c>
      <c>
        <v>0</v>
      </c>
      <c s="3">
        <v>0</v>
      </c>
      <c s="3">
        <v>81.14</v>
      </c>
      <c s="3">
        <v>8089</v>
      </c>
      <c>
        <v>2018</v>
      </c>
      <c>
        <v>728.86</v>
      </c>
      <c s="1" t="str">
        <f ca="1">HYPERLINK("https://web.datatree.com/?/property?propertyId=32673718", "https://web.datatree.com/?/property?propertyId=32673718")</f>
        <v>https://web.datatree.com/?/property?propertyId=32673718</v>
      </c>
      <c r="Q1916" t="s">
        <v>316</v>
      </c>
      <c>
        <v>0.114</v>
      </c>
      <c t="s">
        <v>5471</v>
      </c>
      <c t="s">
        <v>30591</v>
      </c>
      <c t="s">
        <v>1859</v>
      </c>
      <c t="s">
        <v>18988</v>
      </c>
      <c t="s">
        <v>45802</v>
      </c>
      <c t="s">
        <v>50592</v>
      </c>
      <c t="s">
        <v>58404</v>
      </c>
      <c t="s">
        <v>54524</v>
      </c>
      <c t="s">
        <v>39289</v>
      </c>
      <c>
        <v>33903</v>
      </c>
      <c t="s">
        <v>18441</v>
      </c>
      <c t="s">
        <v>48794</v>
      </c>
      <c t="s">
        <v>15464</v>
      </c>
      <c>
        <v>3109</v>
      </c>
      <c r="AI1916" t="s">
        <v>47912</v>
      </c>
      <c t="s">
        <v>31192</v>
      </c>
      <c r="AL1916" t="s">
        <v>34722</v>
      </c>
      <c r="AN1916" t="s">
        <v>39289</v>
      </c>
      <c t="s">
        <v>60976</v>
      </c>
      <c t="s">
        <v>65288</v>
      </c>
      <c t="s">
        <v>3093</v>
      </c>
      <c t="s">
        <v>67096</v>
      </c>
    </row>
    <row>
      <c t="s">
        <v>17594</v>
      </c>
      <c t="s">
        <v>42384</v>
      </c>
      <c t="s">
        <v>32549</v>
      </c>
      <c t="s">
        <v>62255</v>
      </c>
      <c t="s">
        <v>64732</v>
      </c>
      <c s="3">
        <v>24937</v>
      </c>
      <c s="3">
        <v>24937</v>
      </c>
      <c s="3">
        <v>9079</v>
      </c>
      <c>
        <v>0</v>
      </c>
      <c s="3">
        <v>0</v>
      </c>
      <c s="3">
        <v>2941.31</v>
      </c>
      <c s="3">
        <v>24937</v>
      </c>
      <c>
        <v>2018</v>
      </c>
      <c>
        <v>30355.93</v>
      </c>
      <c s="1" t="str">
        <f ca="1">HYPERLINK("https://web.datatree.com/?/property?propertyId=32674029", "https://web.datatree.com/?/property?propertyId=32674029")</f>
        <v>https://web.datatree.com/?/property?propertyId=32674029</v>
      </c>
      <c r="Q1917" t="s">
        <v>316</v>
      </c>
      <c>
        <v>0.237</v>
      </c>
      <c t="s">
        <v>6175</v>
      </c>
      <c t="s">
        <v>58276</v>
      </c>
      <c t="s">
        <v>3148</v>
      </c>
      <c t="s">
        <v>27743</v>
      </c>
      <c t="s">
        <v>3148</v>
      </c>
      <c t="s">
        <v>281</v>
      </c>
      <c t="s">
        <v>66701</v>
      </c>
      <c t="s">
        <v>2517</v>
      </c>
      <c t="s">
        <v>39289</v>
      </c>
      <c>
        <v>33909</v>
      </c>
      <c t="s">
        <v>14341</v>
      </c>
      <c t="s">
        <v>48794</v>
      </c>
      <c t="s">
        <v>8659</v>
      </c>
      <c>
        <v>16</v>
      </c>
      <c r="AI1917" t="s">
        <v>18796</v>
      </c>
      <c t="s">
        <v>55842</v>
      </c>
      <c r="AL1917" t="s">
        <v>39124</v>
      </c>
      <c r="AN1917" t="s">
        <v>50917</v>
      </c>
      <c t="s">
        <v>20654</v>
      </c>
      <c t="s">
        <v>42082</v>
      </c>
      <c t="s">
        <v>3093</v>
      </c>
      <c t="s">
        <v>53089</v>
      </c>
    </row>
    <row>
      <c t="s">
        <v>17594</v>
      </c>
      <c t="s">
        <v>3488</v>
      </c>
      <c t="s">
        <v>1675</v>
      </c>
      <c t="s">
        <v>37311</v>
      </c>
      <c t="s">
        <v>64094</v>
      </c>
      <c s="3">
        <v>28418</v>
      </c>
      <c s="3">
        <v>28418</v>
      </c>
      <c s="3">
        <v>28418</v>
      </c>
      <c>
        <v>0</v>
      </c>
      <c s="3">
        <v>0</v>
      </c>
      <c s="3">
        <v>943.4</v>
      </c>
      <c s="3">
        <v>28418</v>
      </c>
      <c r="O1918" s="1" t="str">
        <f ca="1">HYPERLINK("https://web.datatree.com/?/property?propertyId=32674114", "https://web.datatree.com/?/property?propertyId=32674114")</f>
        <v>https://web.datatree.com/?/property?propertyId=32674114</v>
      </c>
      <c r="Q1918" t="s">
        <v>316</v>
      </c>
      <c>
        <v>0.373</v>
      </c>
      <c t="s">
        <v>22490</v>
      </c>
      <c t="s">
        <v>53858</v>
      </c>
      <c t="s">
        <v>43746</v>
      </c>
      <c t="s">
        <v>62751</v>
      </c>
      <c t="s">
        <v>43746</v>
      </c>
      <c t="s">
        <v>19957</v>
      </c>
      <c t="s">
        <v>59763</v>
      </c>
      <c t="s">
        <v>2517</v>
      </c>
      <c t="s">
        <v>39289</v>
      </c>
      <c>
        <v>33909</v>
      </c>
      <c t="s">
        <v>28433</v>
      </c>
      <c t="s">
        <v>48794</v>
      </c>
      <c t="s">
        <v>7511</v>
      </c>
      <c>
        <v>4729</v>
      </c>
      <c r="AI1918" t="s">
        <v>19330</v>
      </c>
      <c t="s">
        <v>24900</v>
      </c>
      <c r="AL1918" t="s">
        <v>62170</v>
      </c>
      <c r="AN1918" t="s">
        <v>51137</v>
      </c>
      <c t="s">
        <v>22230</v>
      </c>
      <c t="s">
        <v>22152</v>
      </c>
      <c t="s">
        <v>3093</v>
      </c>
      <c t="s">
        <v>37217</v>
      </c>
    </row>
    <row>
      <c t="s">
        <v>17594</v>
      </c>
      <c t="s">
        <v>45133</v>
      </c>
      <c t="s">
        <v>43678</v>
      </c>
      <c t="s">
        <v>28017</v>
      </c>
      <c t="s">
        <v>16452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1919" s="1" t="str">
        <f ca="1">HYPERLINK("https://web.datatree.com/?/property?propertyId=32674756", "https://web.datatree.com/?/property?propertyId=32674756")</f>
        <v>https://web.datatree.com/?/property?propertyId=32674756</v>
      </c>
      <c r="Q1919" t="s">
        <v>316</v>
      </c>
      <c>
        <v>0.23</v>
      </c>
      <c t="s">
        <v>6175</v>
      </c>
      <c t="s">
        <v>47977</v>
      </c>
      <c t="s">
        <v>77</v>
      </c>
      <c r="X1919" t="s">
        <v>27606</v>
      </c>
      <c t="s">
        <v>60363</v>
      </c>
      <c t="s">
        <v>2517</v>
      </c>
      <c t="s">
        <v>39289</v>
      </c>
      <c>
        <v>33909</v>
      </c>
      <c t="s">
        <v>66400</v>
      </c>
      <c t="s">
        <v>48794</v>
      </c>
      <c t="s">
        <v>10715</v>
      </c>
      <c>
        <v>8101</v>
      </c>
      <c r="AH1919" t="s">
        <v>57851</v>
      </c>
      <c>
        <v>200</v>
      </c>
      <c r="AL1919" t="s">
        <v>31886</v>
      </c>
      <c r="AN1919" t="s">
        <v>49572</v>
      </c>
      <c t="s">
        <v>15289</v>
      </c>
      <c t="s">
        <v>30106</v>
      </c>
      <c t="s">
        <v>3093</v>
      </c>
      <c t="s">
        <v>42318</v>
      </c>
    </row>
    <row>
      <c t="s">
        <v>17594</v>
      </c>
      <c t="s">
        <v>51721</v>
      </c>
      <c t="s">
        <v>29126</v>
      </c>
      <c t="s">
        <v>44859</v>
      </c>
      <c t="s">
        <v>48297</v>
      </c>
      <c s="3">
        <v>81166</v>
      </c>
      <c s="3">
        <v>81166</v>
      </c>
      <c s="3">
        <v>81166</v>
      </c>
      <c>
        <v>0</v>
      </c>
      <c s="3">
        <v>0</v>
      </c>
      <c s="3">
        <v>1695.26</v>
      </c>
      <c s="3">
        <v>81166</v>
      </c>
      <c>
        <v>2021</v>
      </c>
      <c>
        <v>1634.17</v>
      </c>
      <c s="1" t="str">
        <f ca="1">HYPERLINK("https://web.datatree.com/?/property?propertyId=32674817", "https://web.datatree.com/?/property?propertyId=32674817")</f>
        <v>https://web.datatree.com/?/property?propertyId=32674817</v>
      </c>
      <c r="Q1920" t="s">
        <v>316</v>
      </c>
      <c>
        <v>0.23</v>
      </c>
      <c t="s">
        <v>22490</v>
      </c>
      <c t="s">
        <v>49349</v>
      </c>
      <c t="s">
        <v>1898</v>
      </c>
      <c t="s">
        <v>44610</v>
      </c>
      <c t="s">
        <v>1898</v>
      </c>
      <c t="s">
        <v>44570</v>
      </c>
      <c t="s">
        <v>49074</v>
      </c>
      <c t="s">
        <v>2517</v>
      </c>
      <c t="s">
        <v>39289</v>
      </c>
      <c>
        <v>33904</v>
      </c>
      <c t="s">
        <v>21926</v>
      </c>
      <c t="s">
        <v>48794</v>
      </c>
      <c t="s">
        <v>43216</v>
      </c>
      <c>
        <v>17055</v>
      </c>
      <c r="AI1920" t="s">
        <v>49777</v>
      </c>
      <c t="s">
        <v>24900</v>
      </c>
      <c r="AL1920" t="s">
        <v>29515</v>
      </c>
      <c t="s">
        <v>25469</v>
      </c>
      <c t="s">
        <v>39289</v>
      </c>
      <c t="s">
        <v>24589</v>
      </c>
      <c t="s">
        <v>26242</v>
      </c>
      <c t="s">
        <v>3093</v>
      </c>
      <c t="s">
        <v>32332</v>
      </c>
    </row>
    <row>
      <c t="s">
        <v>17594</v>
      </c>
      <c t="s">
        <v>12034</v>
      </c>
      <c t="s">
        <v>3154</v>
      </c>
      <c t="s">
        <v>44619</v>
      </c>
      <c t="s">
        <v>31965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>
        <v>2021</v>
      </c>
      <c>
        <v>584.1</v>
      </c>
      <c s="1" t="str">
        <f ca="1">HYPERLINK("https://web.datatree.com/?/property?propertyId=32674961", "https://web.datatree.com/?/property?propertyId=32674961")</f>
        <v>https://web.datatree.com/?/property?propertyId=32674961</v>
      </c>
      <c r="Q1921" t="s">
        <v>316</v>
      </c>
      <c>
        <v>0.23</v>
      </c>
      <c t="s">
        <v>6175</v>
      </c>
      <c t="s">
        <v>66812</v>
      </c>
      <c t="s">
        <v>26601</v>
      </c>
      <c t="s">
        <v>44037</v>
      </c>
      <c t="s">
        <v>26601</v>
      </c>
      <c t="s">
        <v>6213</v>
      </c>
      <c t="s">
        <v>53663</v>
      </c>
      <c t="s">
        <v>2517</v>
      </c>
      <c t="s">
        <v>39289</v>
      </c>
      <c>
        <v>33909</v>
      </c>
      <c t="s">
        <v>57342</v>
      </c>
      <c t="s">
        <v>48794</v>
      </c>
      <c t="s">
        <v>24465</v>
      </c>
      <c>
        <v>13440</v>
      </c>
      <c r="AI1921" t="s">
        <v>39949</v>
      </c>
      <c t="s">
        <v>4985</v>
      </c>
      <c r="AL1921" t="s">
        <v>46797</v>
      </c>
      <c r="AN1921" t="s">
        <v>39289</v>
      </c>
      <c t="s">
        <v>47580</v>
      </c>
      <c t="s">
        <v>8434</v>
      </c>
      <c t="s">
        <v>3093</v>
      </c>
      <c t="s">
        <v>45868</v>
      </c>
    </row>
    <row>
      <c t="s">
        <v>17594</v>
      </c>
      <c t="s">
        <v>32078</v>
      </c>
      <c t="s">
        <v>21247</v>
      </c>
      <c t="s">
        <v>22737</v>
      </c>
      <c t="s">
        <v>30964</v>
      </c>
      <c s="3">
        <v>10600</v>
      </c>
      <c s="3">
        <v>10600</v>
      </c>
      <c s="3">
        <v>9680</v>
      </c>
      <c>
        <v>0</v>
      </c>
      <c s="3">
        <v>0</v>
      </c>
      <c s="3">
        <v>2802.92</v>
      </c>
      <c s="3">
        <v>10600</v>
      </c>
      <c>
        <v>2021</v>
      </c>
      <c>
        <v>2863.73</v>
      </c>
      <c s="1" t="str">
        <f ca="1">HYPERLINK("https://web.datatree.com/?/property?propertyId=32675088", "https://web.datatree.com/?/property?propertyId=32675088")</f>
        <v>https://web.datatree.com/?/property?propertyId=32675088</v>
      </c>
      <c r="Q1922" t="s">
        <v>316</v>
      </c>
      <c>
        <v>0.23</v>
      </c>
      <c t="s">
        <v>6175</v>
      </c>
      <c t="s">
        <v>16200</v>
      </c>
      <c t="s">
        <v>439</v>
      </c>
      <c t="s">
        <v>14759</v>
      </c>
      <c t="s">
        <v>439</v>
      </c>
      <c t="s">
        <v>32601</v>
      </c>
      <c t="s">
        <v>18679</v>
      </c>
      <c t="s">
        <v>2517</v>
      </c>
      <c t="s">
        <v>39289</v>
      </c>
      <c>
        <v>33909</v>
      </c>
      <c t="s">
        <v>46354</v>
      </c>
      <c t="s">
        <v>48794</v>
      </c>
      <c t="s">
        <v>43793</v>
      </c>
      <c>
        <v>4003</v>
      </c>
      <c r="AI1922" t="s">
        <v>43076</v>
      </c>
      <c t="s">
        <v>45393</v>
      </c>
      <c>
        <v>1</v>
      </c>
      <c t="s">
        <v>21330</v>
      </c>
      <c t="s">
        <v>21330</v>
      </c>
      <c t="s">
        <v>56163</v>
      </c>
      <c t="s">
        <v>47761</v>
      </c>
      <c t="s">
        <v>50779</v>
      </c>
      <c t="s">
        <v>3093</v>
      </c>
      <c t="s">
        <v>45205</v>
      </c>
    </row>
    <row>
      <c t="s">
        <v>17594</v>
      </c>
      <c t="s">
        <v>50765</v>
      </c>
      <c t="s">
        <v>18958</v>
      </c>
      <c t="s">
        <v>41861</v>
      </c>
      <c t="s">
        <v>46370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517.64</v>
      </c>
      <c s="1" t="str">
        <f ca="1">HYPERLINK("https://web.datatree.com/?/property?propertyId=32675483", "https://web.datatree.com/?/property?propertyId=32675483")</f>
        <v>https://web.datatree.com/?/property?propertyId=32675483</v>
      </c>
      <c r="Q1923" t="s">
        <v>316</v>
      </c>
      <c>
        <v>0.23</v>
      </c>
      <c t="s">
        <v>6175</v>
      </c>
      <c t="s">
        <v>26023</v>
      </c>
      <c t="s">
        <v>3904</v>
      </c>
      <c t="s">
        <v>59344</v>
      </c>
      <c t="s">
        <v>59296</v>
      </c>
      <c t="s">
        <v>61024</v>
      </c>
      <c t="s">
        <v>61850</v>
      </c>
      <c t="s">
        <v>2517</v>
      </c>
      <c t="s">
        <v>39289</v>
      </c>
      <c>
        <v>33909</v>
      </c>
      <c t="s">
        <v>3482</v>
      </c>
      <c t="s">
        <v>48794</v>
      </c>
      <c t="s">
        <v>25685</v>
      </c>
      <c>
        <v>12155</v>
      </c>
      <c r="AI1923" t="s">
        <v>48538</v>
      </c>
      <c t="s">
        <v>55842</v>
      </c>
      <c r="AL1923" t="s">
        <v>11713</v>
      </c>
      <c r="AN1923" t="s">
        <v>39289</v>
      </c>
      <c t="s">
        <v>48823</v>
      </c>
      <c t="s">
        <v>34947</v>
      </c>
      <c t="s">
        <v>3093</v>
      </c>
      <c t="s">
        <v>14377</v>
      </c>
    </row>
    <row>
      <c t="s">
        <v>17594</v>
      </c>
      <c t="s">
        <v>31816</v>
      </c>
      <c s="2" t="s">
        <v>20965</v>
      </c>
      <c t="s">
        <v>27373</v>
      </c>
      <c t="s">
        <v>62313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1924" s="1" t="str">
        <f ca="1">HYPERLINK("https://web.datatree.com/?/property?propertyId=32675578", "https://web.datatree.com/?/property?propertyId=32675578")</f>
        <v>https://web.datatree.com/?/property?propertyId=32675578</v>
      </c>
      <c r="Q1924" t="s">
        <v>316</v>
      </c>
      <c>
        <v>0.23</v>
      </c>
      <c t="s">
        <v>6175</v>
      </c>
      <c t="s">
        <v>39954</v>
      </c>
      <c t="s">
        <v>37597</v>
      </c>
      <c r="X1924" t="s">
        <v>27987</v>
      </c>
      <c t="s">
        <v>2626</v>
      </c>
      <c t="s">
        <v>2517</v>
      </c>
      <c t="s">
        <v>39289</v>
      </c>
      <c>
        <v>33909</v>
      </c>
      <c t="s">
        <v>27640</v>
      </c>
      <c t="s">
        <v>48794</v>
      </c>
      <c t="s">
        <v>21347</v>
      </c>
      <c>
        <v>9945</v>
      </c>
      <c r="AI1924" t="s">
        <v>56384</v>
      </c>
      <c t="s">
        <v>45620</v>
      </c>
      <c r="AL1924" t="s">
        <v>51148</v>
      </c>
      <c r="AN1924" t="s">
        <v>39289</v>
      </c>
      <c t="s">
        <v>50984</v>
      </c>
      <c t="s">
        <v>61410</v>
      </c>
      <c t="s">
        <v>3093</v>
      </c>
      <c s="2" t="s">
        <v>60412</v>
      </c>
    </row>
    <row>
      <c t="s">
        <v>17594</v>
      </c>
      <c t="s">
        <v>16862</v>
      </c>
      <c t="s">
        <v>20263</v>
      </c>
      <c t="s">
        <v>20253</v>
      </c>
      <c t="s">
        <v>48420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1925" s="1" t="str">
        <f ca="1">HYPERLINK("https://web.datatree.com/?/property?propertyId=32675992", "https://web.datatree.com/?/property?propertyId=32675992")</f>
        <v>https://web.datatree.com/?/property?propertyId=32675992</v>
      </c>
      <c r="Q1925" t="s">
        <v>316</v>
      </c>
      <c>
        <v>0.235</v>
      </c>
      <c t="s">
        <v>22490</v>
      </c>
      <c t="s">
        <v>552</v>
      </c>
      <c t="s">
        <v>38246</v>
      </c>
      <c t="s">
        <v>51891</v>
      </c>
      <c t="s">
        <v>38246</v>
      </c>
      <c t="s">
        <v>30068</v>
      </c>
      <c t="s">
        <v>22731</v>
      </c>
      <c t="s">
        <v>2517</v>
      </c>
      <c t="s">
        <v>39289</v>
      </c>
      <c>
        <v>33909</v>
      </c>
      <c t="s">
        <v>35927</v>
      </c>
      <c t="s">
        <v>48794</v>
      </c>
      <c t="s">
        <v>49332</v>
      </c>
      <c>
        <v>5100</v>
      </c>
      <c r="AI1925" t="s">
        <v>17432</v>
      </c>
      <c t="s">
        <v>31192</v>
      </c>
      <c r="AL1925" t="s">
        <v>26777</v>
      </c>
      <c r="AN1925" t="s">
        <v>51137</v>
      </c>
      <c t="s">
        <v>46775</v>
      </c>
      <c t="s">
        <v>12241</v>
      </c>
      <c t="s">
        <v>3093</v>
      </c>
      <c t="s">
        <v>57628</v>
      </c>
    </row>
    <row>
      <c t="s">
        <v>17594</v>
      </c>
      <c t="s">
        <v>59477</v>
      </c>
      <c t="s">
        <v>30916</v>
      </c>
      <c t="s">
        <v>39629</v>
      </c>
      <c t="s">
        <v>56562</v>
      </c>
      <c s="3">
        <v>111405</v>
      </c>
      <c s="3">
        <v>111405</v>
      </c>
      <c s="3">
        <v>111405</v>
      </c>
      <c>
        <v>0</v>
      </c>
      <c s="3">
        <v>0</v>
      </c>
      <c s="3">
        <v>2204.41</v>
      </c>
      <c s="3">
        <v>111405</v>
      </c>
      <c r="O1926" s="1" t="str">
        <f ca="1">HYPERLINK("https://web.datatree.com/?/property?propertyId=32676393", "https://web.datatree.com/?/property?propertyId=32676393")</f>
        <v>https://web.datatree.com/?/property?propertyId=32676393</v>
      </c>
      <c r="Q1926" t="s">
        <v>316</v>
      </c>
      <c>
        <v>0.268</v>
      </c>
      <c t="s">
        <v>22490</v>
      </c>
      <c t="s">
        <v>50830</v>
      </c>
      <c t="s">
        <v>39440</v>
      </c>
      <c t="s">
        <v>3593</v>
      </c>
      <c t="s">
        <v>39440</v>
      </c>
      <c t="s">
        <v>44723</v>
      </c>
      <c t="s">
        <v>18679</v>
      </c>
      <c t="s">
        <v>2517</v>
      </c>
      <c t="s">
        <v>39289</v>
      </c>
      <c>
        <v>33904</v>
      </c>
      <c t="s">
        <v>25117</v>
      </c>
      <c t="s">
        <v>48794</v>
      </c>
      <c t="s">
        <v>23780</v>
      </c>
      <c r="AI1926" t="s">
        <v>55336</v>
      </c>
      <c r="AK1926">
        <v>26</v>
      </c>
      <c t="s">
        <v>58749</v>
      </c>
      <c r="AN1926" t="s">
        <v>63985</v>
      </c>
      <c>
        <v>78087</v>
      </c>
      <c r="AR1926" t="s">
        <v>40929</v>
      </c>
    </row>
    <row>
      <c t="s">
        <v>17594</v>
      </c>
      <c t="s">
        <v>20100</v>
      </c>
      <c t="s">
        <v>12599</v>
      </c>
      <c t="s">
        <v>56710</v>
      </c>
      <c t="s">
        <v>1218</v>
      </c>
      <c s="3">
        <v>7200</v>
      </c>
      <c s="3">
        <v>7200</v>
      </c>
      <c s="3">
        <v>7200</v>
      </c>
      <c>
        <v>0</v>
      </c>
      <c s="3">
        <v>0</v>
      </c>
      <c s="3">
        <v>496.24</v>
      </c>
      <c s="3">
        <v>7200</v>
      </c>
      <c r="O1927" s="1" t="str">
        <f ca="1">HYPERLINK("https://web.datatree.com/?/property?propertyId=32677325", "https://web.datatree.com/?/property?propertyId=32677325")</f>
        <v>https://web.datatree.com/?/property?propertyId=32677325</v>
      </c>
      <c r="Q1927" t="s">
        <v>316</v>
      </c>
      <c>
        <v>0.248</v>
      </c>
      <c t="s">
        <v>6175</v>
      </c>
      <c t="s">
        <v>34057</v>
      </c>
      <c t="s">
        <v>21690</v>
      </c>
      <c r="X1927" t="s">
        <v>30130</v>
      </c>
      <c t="s">
        <v>39082</v>
      </c>
      <c t="s">
        <v>2517</v>
      </c>
      <c t="s">
        <v>39289</v>
      </c>
      <c>
        <v>33909</v>
      </c>
      <c t="s">
        <v>14613</v>
      </c>
      <c t="s">
        <v>48794</v>
      </c>
      <c t="s">
        <v>14553</v>
      </c>
      <c>
        <v>408</v>
      </c>
      <c r="AI1927" t="s">
        <v>13397</v>
      </c>
      <c t="s">
        <v>24900</v>
      </c>
      <c r="AL1927" t="s">
        <v>8109</v>
      </c>
      <c t="s">
        <v>13397</v>
      </c>
      <c t="s">
        <v>50917</v>
      </c>
      <c t="s">
        <v>48790</v>
      </c>
      <c t="s">
        <v>25140</v>
      </c>
      <c t="s">
        <v>3093</v>
      </c>
      <c t="s">
        <v>41967</v>
      </c>
    </row>
    <row>
      <c t="s">
        <v>17594</v>
      </c>
      <c t="s">
        <v>1794</v>
      </c>
      <c t="s">
        <v>6016</v>
      </c>
      <c t="s">
        <v>28023</v>
      </c>
      <c t="s">
        <v>55579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1928" s="1" t="str">
        <f ca="1">HYPERLINK("https://web.datatree.com/?/property?propertyId=32678120", "https://web.datatree.com/?/property?propertyId=32678120")</f>
        <v>https://web.datatree.com/?/property?propertyId=32678120</v>
      </c>
      <c r="Q1928" t="s">
        <v>316</v>
      </c>
      <c>
        <v>0.23</v>
      </c>
      <c t="s">
        <v>22490</v>
      </c>
      <c t="s">
        <v>43159</v>
      </c>
      <c t="s">
        <v>33352</v>
      </c>
      <c r="X1928" t="s">
        <v>25673</v>
      </c>
      <c t="s">
        <v>66701</v>
      </c>
      <c t="s">
        <v>2517</v>
      </c>
      <c t="s">
        <v>39289</v>
      </c>
      <c>
        <v>33909</v>
      </c>
      <c t="s">
        <v>55178</v>
      </c>
      <c t="s">
        <v>48794</v>
      </c>
      <c t="s">
        <v>2142</v>
      </c>
      <c r="AI1928" t="s">
        <v>54094</v>
      </c>
      <c r="AK1928" t="s">
        <v>41578</v>
      </c>
      <c t="s">
        <v>56200</v>
      </c>
      <c r="AN1928" t="s">
        <v>8344</v>
      </c>
      <c>
        <v>98735</v>
      </c>
      <c r="AR1928" t="s">
        <v>32802</v>
      </c>
    </row>
    <row>
      <c t="s">
        <v>17594</v>
      </c>
      <c t="s">
        <v>8012</v>
      </c>
      <c t="s">
        <v>35127</v>
      </c>
      <c t="s">
        <v>42473</v>
      </c>
      <c t="s">
        <v>49874</v>
      </c>
      <c s="3">
        <v>38633</v>
      </c>
      <c s="3">
        <v>38633</v>
      </c>
      <c s="3">
        <v>29416</v>
      </c>
      <c>
        <v>0</v>
      </c>
      <c s="3">
        <v>0</v>
      </c>
      <c s="3">
        <v>467.1</v>
      </c>
      <c s="3">
        <v>38633</v>
      </c>
      <c r="O1929" s="1" t="str">
        <f ca="1">HYPERLINK("https://web.datatree.com/?/property?propertyId=32678765", "https://web.datatree.com/?/property?propertyId=32678765")</f>
        <v>https://web.datatree.com/?/property?propertyId=32678765</v>
      </c>
      <c r="Q1929" t="s">
        <v>316</v>
      </c>
      <c>
        <v>0.066</v>
      </c>
      <c t="s">
        <v>54329</v>
      </c>
      <c t="s">
        <v>60671</v>
      </c>
      <c t="s">
        <v>2177</v>
      </c>
      <c t="s">
        <v>56577</v>
      </c>
      <c t="s">
        <v>2177</v>
      </c>
      <c t="s">
        <v>20207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1673</v>
      </c>
      <c>
        <v>8332</v>
      </c>
      <c r="AI1929" t="s">
        <v>5342</v>
      </c>
      <c r="AL1929" t="s">
        <v>23346</v>
      </c>
      <c r="AN1929" t="s">
        <v>51137</v>
      </c>
      <c t="s">
        <v>41472</v>
      </c>
      <c t="s">
        <v>52247</v>
      </c>
      <c t="s">
        <v>3093</v>
      </c>
      <c t="s">
        <v>36426</v>
      </c>
    </row>
    <row>
      <c t="s">
        <v>17594</v>
      </c>
      <c t="s">
        <v>26828</v>
      </c>
      <c t="s">
        <v>20113</v>
      </c>
      <c t="s">
        <v>38021</v>
      </c>
      <c t="s">
        <v>7068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1930" s="1" t="str">
        <f ca="1">HYPERLINK("https://web.datatree.com/?/property?propertyId=32678877", "https://web.datatree.com/?/property?propertyId=32678877")</f>
        <v>https://web.datatree.com/?/property?propertyId=32678877</v>
      </c>
      <c r="Q1930" t="s">
        <v>316</v>
      </c>
      <c>
        <v>0.241</v>
      </c>
      <c t="s">
        <v>6175</v>
      </c>
      <c t="s">
        <v>10994</v>
      </c>
      <c t="s">
        <v>55325</v>
      </c>
      <c t="s">
        <v>46801</v>
      </c>
      <c t="s">
        <v>4183</v>
      </c>
      <c t="s">
        <v>6785</v>
      </c>
      <c t="s">
        <v>14534</v>
      </c>
      <c t="s">
        <v>2517</v>
      </c>
      <c t="s">
        <v>39289</v>
      </c>
      <c>
        <v>33909</v>
      </c>
      <c t="s">
        <v>19838</v>
      </c>
      <c t="s">
        <v>48794</v>
      </c>
      <c t="s">
        <v>58760</v>
      </c>
      <c>
        <v>4751</v>
      </c>
      <c r="AI1930" t="s">
        <v>43479</v>
      </c>
      <c t="s">
        <v>835</v>
      </c>
      <c t="s">
        <v>17594</v>
      </c>
      <c t="s">
        <v>36970</v>
      </c>
      <c r="AN1930" t="s">
        <v>39289</v>
      </c>
      <c t="s">
        <v>24453</v>
      </c>
      <c t="s">
        <v>1951</v>
      </c>
      <c t="s">
        <v>3093</v>
      </c>
      <c t="s">
        <v>57018</v>
      </c>
    </row>
    <row>
      <c t="s">
        <v>17594</v>
      </c>
      <c t="s">
        <v>54997</v>
      </c>
      <c t="s">
        <v>18660</v>
      </c>
      <c t="s">
        <v>26076</v>
      </c>
      <c t="s">
        <v>45032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1931" s="1" t="str">
        <f ca="1">HYPERLINK("https://web.datatree.com/?/property?propertyId=32679149", "https://web.datatree.com/?/property?propertyId=32679149")</f>
        <v>https://web.datatree.com/?/property?propertyId=32679149</v>
      </c>
      <c r="Q1931" t="s">
        <v>316</v>
      </c>
      <c>
        <v>0.245</v>
      </c>
      <c t="s">
        <v>5471</v>
      </c>
      <c t="s">
        <v>2873</v>
      </c>
      <c t="s">
        <v>59525</v>
      </c>
      <c t="s">
        <v>18849</v>
      </c>
      <c t="s">
        <v>59525</v>
      </c>
      <c t="s">
        <v>32878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40866</v>
      </c>
      <c>
        <v>1109</v>
      </c>
      <c r="AI1931" t="s">
        <v>29275</v>
      </c>
      <c t="s">
        <v>24900</v>
      </c>
      <c r="AL1931" t="s">
        <v>66873</v>
      </c>
      <c r="AN1931" t="s">
        <v>51137</v>
      </c>
      <c t="s">
        <v>40502</v>
      </c>
      <c t="s">
        <v>41946</v>
      </c>
      <c t="s">
        <v>3093</v>
      </c>
      <c t="s">
        <v>47508</v>
      </c>
    </row>
    <row>
      <c t="s">
        <v>17594</v>
      </c>
      <c t="s">
        <v>3641</v>
      </c>
      <c t="s">
        <v>63533</v>
      </c>
      <c t="s">
        <v>51033</v>
      </c>
      <c t="s">
        <v>9192</v>
      </c>
      <c s="3">
        <v>49498</v>
      </c>
      <c s="3">
        <v>49498</v>
      </c>
      <c s="3">
        <v>42240</v>
      </c>
      <c>
        <v>0</v>
      </c>
      <c s="3">
        <v>0</v>
      </c>
      <c s="3">
        <v>1158.9</v>
      </c>
      <c s="3">
        <v>49498</v>
      </c>
      <c r="O1932" s="1" t="str">
        <f ca="1">HYPERLINK("https://web.datatree.com/?/property?propertyId=32679786", "https://web.datatree.com/?/property?propertyId=32679786")</f>
        <v>https://web.datatree.com/?/property?propertyId=32679786</v>
      </c>
      <c r="Q1932" t="s">
        <v>316</v>
      </c>
      <c>
        <v>0.25</v>
      </c>
      <c t="s">
        <v>22490</v>
      </c>
      <c t="s">
        <v>30301</v>
      </c>
      <c t="s">
        <v>17166</v>
      </c>
      <c t="s">
        <v>26023</v>
      </c>
      <c t="s">
        <v>303</v>
      </c>
      <c t="s">
        <v>23802</v>
      </c>
      <c t="s">
        <v>34731</v>
      </c>
      <c t="s">
        <v>2517</v>
      </c>
      <c t="s">
        <v>39289</v>
      </c>
      <c>
        <v>33909</v>
      </c>
      <c t="s">
        <v>3934</v>
      </c>
      <c t="s">
        <v>48794</v>
      </c>
      <c t="s">
        <v>2299</v>
      </c>
      <c>
        <v>10</v>
      </c>
      <c r="AI1932" t="s">
        <v>42877</v>
      </c>
      <c t="s">
        <v>40123</v>
      </c>
      <c r="AL1932" t="s">
        <v>9748</v>
      </c>
      <c t="s">
        <v>9748</v>
      </c>
      <c t="s">
        <v>27481</v>
      </c>
      <c t="s">
        <v>48534</v>
      </c>
      <c t="s">
        <v>29069</v>
      </c>
      <c t="s">
        <v>3093</v>
      </c>
      <c t="s">
        <v>57897</v>
      </c>
    </row>
    <row>
      <c t="s">
        <v>17594</v>
      </c>
      <c t="s">
        <v>3982</v>
      </c>
      <c t="s">
        <v>45681</v>
      </c>
      <c t="s">
        <v>4646</v>
      </c>
      <c t="s">
        <v>62072</v>
      </c>
      <c s="3">
        <v>211493</v>
      </c>
      <c s="3">
        <v>207877</v>
      </c>
      <c s="3">
        <v>101627</v>
      </c>
      <c>
        <v>0</v>
      </c>
      <c s="3">
        <v>0</v>
      </c>
      <c s="3">
        <v>2124.35</v>
      </c>
      <c s="3">
        <v>211493</v>
      </c>
      <c r="O1933" s="1" t="str">
        <f ca="1">HYPERLINK("https://web.datatree.com/?/property?propertyId=32680046", "https://web.datatree.com/?/property?propertyId=32680046")</f>
        <v>https://web.datatree.com/?/property?propertyId=32680046</v>
      </c>
      <c r="Q1933" t="s">
        <v>316</v>
      </c>
      <c>
        <v>0.266</v>
      </c>
      <c t="s">
        <v>22490</v>
      </c>
      <c t="s">
        <v>2140</v>
      </c>
      <c t="s">
        <v>42761</v>
      </c>
      <c r="X1933" t="s">
        <v>16679</v>
      </c>
      <c t="s">
        <v>24999</v>
      </c>
      <c t="s">
        <v>2517</v>
      </c>
      <c t="s">
        <v>39289</v>
      </c>
      <c>
        <v>33904</v>
      </c>
      <c>
        <v>33904</v>
      </c>
      <c t="s">
        <v>48794</v>
      </c>
      <c t="s">
        <v>5159</v>
      </c>
      <c>
        <v>113</v>
      </c>
      <c r="AI1933" t="s">
        <v>43198</v>
      </c>
      <c t="s">
        <v>45620</v>
      </c>
      <c r="AL1933" t="s">
        <v>25170</v>
      </c>
      <c r="AN1933" t="s">
        <v>14509</v>
      </c>
      <c t="s">
        <v>50242</v>
      </c>
      <c t="s">
        <v>38014</v>
      </c>
      <c t="s">
        <v>3093</v>
      </c>
      <c t="s">
        <v>2988</v>
      </c>
    </row>
    <row>
      <c t="s">
        <v>17594</v>
      </c>
      <c t="s">
        <v>63748</v>
      </c>
      <c t="s">
        <v>49104</v>
      </c>
      <c t="s">
        <v>65212</v>
      </c>
      <c t="s">
        <v>59698</v>
      </c>
      <c s="3">
        <v>7094</v>
      </c>
      <c s="3">
        <v>7094</v>
      </c>
      <c s="3">
        <v>3306</v>
      </c>
      <c>
        <v>0</v>
      </c>
      <c s="3">
        <v>0</v>
      </c>
      <c s="3">
        <v>69.72</v>
      </c>
      <c s="3">
        <v>7094</v>
      </c>
      <c r="O1934" s="1" t="str">
        <f ca="1">HYPERLINK("https://web.datatree.com/?/property?propertyId=32680130", "https://web.datatree.com/?/property?propertyId=32680130")</f>
        <v>https://web.datatree.com/?/property?propertyId=32680130</v>
      </c>
      <c r="Q1934" t="s">
        <v>316</v>
      </c>
      <c>
        <v>0.083</v>
      </c>
      <c t="s">
        <v>36917</v>
      </c>
      <c t="s">
        <v>32793</v>
      </c>
      <c t="s">
        <v>9497</v>
      </c>
      <c t="s">
        <v>33261</v>
      </c>
      <c t="s">
        <v>56685</v>
      </c>
      <c t="s">
        <v>33520</v>
      </c>
      <c t="s">
        <v>61865</v>
      </c>
      <c t="s">
        <v>54524</v>
      </c>
      <c t="s">
        <v>39289</v>
      </c>
      <c>
        <v>33903</v>
      </c>
      <c t="s">
        <v>49099</v>
      </c>
      <c t="s">
        <v>48794</v>
      </c>
      <c t="s">
        <v>36853</v>
      </c>
      <c>
        <v>3337</v>
      </c>
      <c r="AI1934" t="s">
        <v>57118</v>
      </c>
      <c t="s">
        <v>835</v>
      </c>
      <c r="AL1934" t="s">
        <v>5451</v>
      </c>
      <c r="AN1934" t="s">
        <v>66651</v>
      </c>
      <c t="s">
        <v>3045</v>
      </c>
      <c t="s">
        <v>7207</v>
      </c>
      <c t="s">
        <v>3093</v>
      </c>
      <c t="s">
        <v>20152</v>
      </c>
    </row>
    <row>
      <c t="s">
        <v>17594</v>
      </c>
      <c t="s">
        <v>5333</v>
      </c>
      <c t="s">
        <v>1763</v>
      </c>
      <c t="s">
        <v>7277</v>
      </c>
      <c t="s">
        <v>8777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1935" s="1" t="str">
        <f ca="1">HYPERLINK("https://web.datatree.com/?/property?propertyId=32680220", "https://web.datatree.com/?/property?propertyId=32680220")</f>
        <v>https://web.datatree.com/?/property?propertyId=32680220</v>
      </c>
      <c r="Q1935" t="s">
        <v>316</v>
      </c>
      <c>
        <v>0.23</v>
      </c>
      <c t="s">
        <v>54449</v>
      </c>
      <c t="s">
        <v>58703</v>
      </c>
      <c t="s">
        <v>2291</v>
      </c>
      <c r="X1935" t="s">
        <v>59285</v>
      </c>
      <c t="s">
        <v>38550</v>
      </c>
      <c t="s">
        <v>2517</v>
      </c>
      <c t="s">
        <v>39289</v>
      </c>
      <c>
        <v>33909</v>
      </c>
      <c t="s">
        <v>19232</v>
      </c>
      <c t="s">
        <v>48794</v>
      </c>
      <c t="s">
        <v>5778</v>
      </c>
      <c>
        <v>19</v>
      </c>
      <c r="AI1935" t="s">
        <v>4412</v>
      </c>
      <c t="s">
        <v>45620</v>
      </c>
      <c r="AL1935" t="s">
        <v>7047</v>
      </c>
      <c r="AN1935" t="s">
        <v>65467</v>
      </c>
      <c t="s">
        <v>14742</v>
      </c>
      <c t="s">
        <v>4797</v>
      </c>
      <c t="s">
        <v>3093</v>
      </c>
      <c t="s">
        <v>26681</v>
      </c>
    </row>
    <row>
      <c t="s">
        <v>17594</v>
      </c>
      <c t="s">
        <v>55680</v>
      </c>
      <c t="s">
        <v>43086</v>
      </c>
      <c t="s">
        <v>59882</v>
      </c>
      <c t="s">
        <v>29586</v>
      </c>
      <c s="3">
        <v>12398</v>
      </c>
      <c s="3">
        <v>12398</v>
      </c>
      <c s="3">
        <v>2593</v>
      </c>
      <c>
        <v>0</v>
      </c>
      <c s="3">
        <v>0</v>
      </c>
      <c s="3">
        <v>93.23</v>
      </c>
      <c s="3">
        <v>12398</v>
      </c>
      <c r="O1936" s="1" t="str">
        <f ca="1">HYPERLINK("https://web.datatree.com/?/property?propertyId=32680261", "https://web.datatree.com/?/property?propertyId=32680261")</f>
        <v>https://web.datatree.com/?/property?propertyId=32680261</v>
      </c>
      <c r="Q1936" t="s">
        <v>316</v>
      </c>
      <c>
        <v>0.13</v>
      </c>
      <c r="T1936" t="s">
        <v>28617</v>
      </c>
      <c t="s">
        <v>6358</v>
      </c>
      <c r="X1936" t="s">
        <v>43007</v>
      </c>
      <c t="s">
        <v>18550</v>
      </c>
      <c t="s">
        <v>65059</v>
      </c>
      <c t="s">
        <v>39289</v>
      </c>
      <c>
        <v>33907</v>
      </c>
      <c>
        <v>33907</v>
      </c>
      <c t="s">
        <v>48794</v>
      </c>
      <c t="s">
        <v>45992</v>
      </c>
      <c>
        <v>6</v>
      </c>
      <c r="AI1936" t="s">
        <v>25221</v>
      </c>
      <c t="s">
        <v>45393</v>
      </c>
      <c>
        <v>2</v>
      </c>
      <c t="s">
        <v>48405</v>
      </c>
      <c t="s">
        <v>19621</v>
      </c>
      <c t="s">
        <v>27747</v>
      </c>
      <c t="s">
        <v>50895</v>
      </c>
      <c t="s">
        <v>40826</v>
      </c>
      <c t="s">
        <v>3093</v>
      </c>
      <c t="s">
        <v>25047</v>
      </c>
    </row>
    <row>
      <c t="s">
        <v>17594</v>
      </c>
      <c t="s">
        <v>13753</v>
      </c>
      <c t="s">
        <v>63772</v>
      </c>
      <c t="s">
        <v>35048</v>
      </c>
      <c t="s">
        <v>58605</v>
      </c>
      <c s="3">
        <v>8500</v>
      </c>
      <c s="3">
        <v>8500</v>
      </c>
      <c s="3">
        <v>8500</v>
      </c>
      <c>
        <v>0</v>
      </c>
      <c s="3">
        <v>0</v>
      </c>
      <c s="3">
        <v>697.13</v>
      </c>
      <c s="3">
        <v>8500</v>
      </c>
      <c r="O1937" s="1" t="str">
        <f ca="1">HYPERLINK("https://web.datatree.com/?/property?propertyId=32680573", "https://web.datatree.com/?/property?propertyId=32680573")</f>
        <v>https://web.datatree.com/?/property?propertyId=32680573</v>
      </c>
      <c r="Q1937" t="s">
        <v>316</v>
      </c>
      <c>
        <v>0.258</v>
      </c>
      <c t="s">
        <v>6175</v>
      </c>
      <c t="s">
        <v>2360</v>
      </c>
      <c t="s">
        <v>43112</v>
      </c>
      <c r="X1937" t="s">
        <v>41757</v>
      </c>
      <c t="s">
        <v>22731</v>
      </c>
      <c t="s">
        <v>2517</v>
      </c>
      <c t="s">
        <v>39289</v>
      </c>
      <c>
        <v>33909</v>
      </c>
      <c t="s">
        <v>10393</v>
      </c>
      <c t="s">
        <v>48794</v>
      </c>
      <c t="s">
        <v>57729</v>
      </c>
      <c>
        <v>4117</v>
      </c>
      <c r="AI1937" t="s">
        <v>16851</v>
      </c>
      <c t="s">
        <v>45620</v>
      </c>
      <c r="AL1937" t="s">
        <v>29040</v>
      </c>
      <c t="s">
        <v>29040</v>
      </c>
      <c t="s">
        <v>65451</v>
      </c>
      <c t="s">
        <v>66338</v>
      </c>
      <c t="s">
        <v>21201</v>
      </c>
      <c t="s">
        <v>3093</v>
      </c>
      <c t="s">
        <v>20503</v>
      </c>
    </row>
    <row>
      <c t="s">
        <v>17594</v>
      </c>
      <c t="s">
        <v>14267</v>
      </c>
      <c t="s">
        <v>3895</v>
      </c>
      <c t="s">
        <v>26739</v>
      </c>
      <c t="s">
        <v>63207</v>
      </c>
      <c s="3">
        <v>103694</v>
      </c>
      <c s="3">
        <v>93500</v>
      </c>
      <c s="3">
        <v>103694</v>
      </c>
      <c>
        <v>0</v>
      </c>
      <c s="3">
        <v>0</v>
      </c>
      <c s="3">
        <v>1557.36</v>
      </c>
      <c s="3">
        <v>103694</v>
      </c>
      <c r="O1938" s="1" t="str">
        <f ca="1">HYPERLINK("https://web.datatree.com/?/property?propertyId=32680632", "https://web.datatree.com/?/property?propertyId=32680632")</f>
        <v>https://web.datatree.com/?/property?propertyId=32680632</v>
      </c>
      <c r="Q1938" t="s">
        <v>316</v>
      </c>
      <c>
        <v>0.098</v>
      </c>
      <c t="s">
        <v>26492</v>
      </c>
      <c r="U1938" t="s">
        <v>38611</v>
      </c>
      <c r="W1938" t="s">
        <v>3832</v>
      </c>
      <c t="s">
        <v>22877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8723</v>
      </c>
      <c>
        <v>17919</v>
      </c>
      <c r="AI1938" t="s">
        <v>7418</v>
      </c>
      <c t="s">
        <v>40123</v>
      </c>
      <c r="AL1938" t="s">
        <v>62104</v>
      </c>
      <c t="s">
        <v>62104</v>
      </c>
      <c t="s">
        <v>50829</v>
      </c>
      <c t="s">
        <v>43535</v>
      </c>
      <c t="s">
        <v>60160</v>
      </c>
      <c t="s">
        <v>3093</v>
      </c>
      <c t="s">
        <v>61200</v>
      </c>
    </row>
    <row>
      <c t="s">
        <v>17594</v>
      </c>
      <c t="s">
        <v>44582</v>
      </c>
      <c t="s">
        <v>49634</v>
      </c>
      <c t="s">
        <v>61862</v>
      </c>
      <c t="s">
        <v>66986</v>
      </c>
      <c s="3">
        <v>73212</v>
      </c>
      <c s="3">
        <v>73212</v>
      </c>
      <c s="3">
        <v>72600</v>
      </c>
      <c>
        <v>0</v>
      </c>
      <c s="3">
        <v>0</v>
      </c>
      <c s="3">
        <v>1032.68</v>
      </c>
      <c s="3">
        <v>73212</v>
      </c>
      <c r="O1939" s="1" t="str">
        <f ca="1">HYPERLINK("https://web.datatree.com/?/property?propertyId=32681045", "https://web.datatree.com/?/property?propertyId=32681045")</f>
        <v>https://web.datatree.com/?/property?propertyId=32681045</v>
      </c>
      <c r="Q1939" t="s">
        <v>316</v>
      </c>
      <c>
        <v>0.415</v>
      </c>
      <c t="s">
        <v>23582</v>
      </c>
      <c t="s">
        <v>5759</v>
      </c>
      <c t="s">
        <v>1770</v>
      </c>
      <c r="X1939" t="s">
        <v>16825</v>
      </c>
      <c t="s">
        <v>9615</v>
      </c>
      <c t="s">
        <v>65059</v>
      </c>
      <c t="s">
        <v>39289</v>
      </c>
      <c>
        <v>33908</v>
      </c>
      <c t="s">
        <v>53964</v>
      </c>
      <c t="s">
        <v>48794</v>
      </c>
      <c t="s">
        <v>35028</v>
      </c>
      <c>
        <v>14017</v>
      </c>
      <c r="AI1939" t="s">
        <v>31875</v>
      </c>
      <c t="s">
        <v>45620</v>
      </c>
      <c r="AL1939" t="s">
        <v>16321</v>
      </c>
      <c t="s">
        <v>53482</v>
      </c>
      <c t="s">
        <v>17134</v>
      </c>
      <c t="s">
        <v>55454</v>
      </c>
      <c t="s">
        <v>52247</v>
      </c>
      <c t="s">
        <v>3093</v>
      </c>
      <c t="s">
        <v>24619</v>
      </c>
    </row>
    <row>
      <c t="s">
        <v>17594</v>
      </c>
      <c t="s">
        <v>52932</v>
      </c>
      <c t="s">
        <v>24273</v>
      </c>
      <c t="s">
        <v>1287</v>
      </c>
      <c t="s">
        <v>60667</v>
      </c>
      <c s="3">
        <v>722147</v>
      </c>
      <c s="3">
        <v>722147</v>
      </c>
      <c s="3">
        <v>615453</v>
      </c>
      <c>
        <v>0</v>
      </c>
      <c s="3">
        <v>0</v>
      </c>
      <c s="3">
        <v>10836.8</v>
      </c>
      <c s="3">
        <v>722147</v>
      </c>
      <c r="O1940" s="1" t="str">
        <f ca="1">HYPERLINK("https://web.datatree.com/?/property?propertyId=32681302", "https://web.datatree.com/?/property?propertyId=32681302")</f>
        <v>https://web.datatree.com/?/property?propertyId=32681302</v>
      </c>
      <c r="Q1940" t="s">
        <v>316</v>
      </c>
      <c>
        <v>0.331</v>
      </c>
      <c t="s">
        <v>22490</v>
      </c>
      <c t="s">
        <v>16750</v>
      </c>
      <c t="s">
        <v>45336</v>
      </c>
      <c r="X1940" t="s">
        <v>37193</v>
      </c>
      <c t="s">
        <v>20423</v>
      </c>
      <c t="s">
        <v>2517</v>
      </c>
      <c t="s">
        <v>39289</v>
      </c>
      <c>
        <v>33904</v>
      </c>
      <c t="s">
        <v>52278</v>
      </c>
      <c t="s">
        <v>48794</v>
      </c>
      <c t="s">
        <v>46262</v>
      </c>
      <c>
        <v>6</v>
      </c>
      <c r="AI1940" t="s">
        <v>32833</v>
      </c>
      <c r="AL1940" t="s">
        <v>36289</v>
      </c>
      <c r="AN1940" t="s">
        <v>51137</v>
      </c>
      <c>
        <v>49774</v>
      </c>
      <c r="AR1940" t="s">
        <v>48811</v>
      </c>
    </row>
    <row>
      <c t="s">
        <v>17594</v>
      </c>
      <c t="s">
        <v>1084</v>
      </c>
      <c t="s">
        <v>42645</v>
      </c>
      <c t="s">
        <v>51199</v>
      </c>
      <c t="s">
        <v>61154</v>
      </c>
      <c s="3">
        <v>20867</v>
      </c>
      <c s="3">
        <v>20867</v>
      </c>
      <c s="3">
        <v>9240</v>
      </c>
      <c>
        <v>0</v>
      </c>
      <c s="3">
        <v>0</v>
      </c>
      <c s="3">
        <v>605.76</v>
      </c>
      <c s="3">
        <v>20867</v>
      </c>
      <c r="O1941" s="1" t="str">
        <f ca="1">HYPERLINK("https://web.datatree.com/?/property?propertyId=32681852", "https://web.datatree.com/?/property?propertyId=32681852")</f>
        <v>https://web.datatree.com/?/property?propertyId=32681852</v>
      </c>
      <c r="Q1941" t="s">
        <v>316</v>
      </c>
      <c>
        <v>0.263</v>
      </c>
      <c t="s">
        <v>22490</v>
      </c>
      <c t="s">
        <v>56498</v>
      </c>
      <c t="s">
        <v>27484</v>
      </c>
      <c r="X1941" t="s">
        <v>43393</v>
      </c>
      <c t="s">
        <v>34136</v>
      </c>
      <c t="s">
        <v>2517</v>
      </c>
      <c t="s">
        <v>39289</v>
      </c>
      <c>
        <v>33909</v>
      </c>
      <c t="s">
        <v>374</v>
      </c>
      <c t="s">
        <v>48794</v>
      </c>
      <c t="s">
        <v>38474</v>
      </c>
      <c>
        <v>621</v>
      </c>
      <c r="AI1941" t="s">
        <v>43351</v>
      </c>
      <c t="s">
        <v>41372</v>
      </c>
      <c r="AL1941" t="s">
        <v>11870</v>
      </c>
      <c r="AN1941" t="s">
        <v>48152</v>
      </c>
      <c t="s">
        <v>25814</v>
      </c>
      <c t="s">
        <v>31626</v>
      </c>
      <c t="s">
        <v>3093</v>
      </c>
      <c t="s">
        <v>28894</v>
      </c>
    </row>
    <row>
      <c t="s">
        <v>17594</v>
      </c>
      <c t="s">
        <v>41464</v>
      </c>
      <c t="s">
        <v>53555</v>
      </c>
      <c t="s">
        <v>33271</v>
      </c>
      <c t="s">
        <v>29896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1942" s="1" t="str">
        <f ca="1">HYPERLINK("https://web.datatree.com/?/property?propertyId=32683692", "https://web.datatree.com/?/property?propertyId=32683692")</f>
        <v>https://web.datatree.com/?/property?propertyId=32683692</v>
      </c>
      <c r="Q1942" t="s">
        <v>316</v>
      </c>
      <c>
        <v>0.243</v>
      </c>
      <c t="s">
        <v>6175</v>
      </c>
      <c t="s">
        <v>51344</v>
      </c>
      <c t="s">
        <v>39666</v>
      </c>
      <c r="X1942" t="s">
        <v>22545</v>
      </c>
      <c t="s">
        <v>34731</v>
      </c>
      <c t="s">
        <v>2517</v>
      </c>
      <c t="s">
        <v>39289</v>
      </c>
      <c>
        <v>33909</v>
      </c>
      <c t="s">
        <v>26019</v>
      </c>
      <c t="s">
        <v>48794</v>
      </c>
      <c t="s">
        <v>61035</v>
      </c>
      <c>
        <v>409</v>
      </c>
      <c r="AI1942" t="s">
        <v>47092</v>
      </c>
      <c t="s">
        <v>55842</v>
      </c>
      <c r="AL1942" t="s">
        <v>38297</v>
      </c>
      <c t="s">
        <v>38297</v>
      </c>
      <c t="s">
        <v>27222</v>
      </c>
      <c t="s">
        <v>45250</v>
      </c>
      <c t="s">
        <v>36802</v>
      </c>
      <c t="s">
        <v>3093</v>
      </c>
      <c t="s">
        <v>40125</v>
      </c>
    </row>
    <row>
      <c t="s">
        <v>17594</v>
      </c>
      <c t="s">
        <v>44248</v>
      </c>
      <c t="s">
        <v>18652</v>
      </c>
      <c t="s">
        <v>32064</v>
      </c>
      <c t="s">
        <v>853</v>
      </c>
      <c s="3">
        <v>12900</v>
      </c>
      <c s="3">
        <v>12900</v>
      </c>
      <c s="3">
        <v>12900</v>
      </c>
      <c>
        <v>0</v>
      </c>
      <c s="3">
        <v>0</v>
      </c>
      <c s="3">
        <v>906.56</v>
      </c>
      <c s="3">
        <v>12900</v>
      </c>
      <c r="O1943" s="1" t="str">
        <f ca="1">HYPERLINK("https://web.datatree.com/?/property?propertyId=32684141", "https://web.datatree.com/?/property?propertyId=32684141")</f>
        <v>https://web.datatree.com/?/property?propertyId=32684141</v>
      </c>
      <c r="Q1943" t="s">
        <v>316</v>
      </c>
      <c>
        <v>0.344</v>
      </c>
      <c t="s">
        <v>3410</v>
      </c>
      <c t="s">
        <v>35571</v>
      </c>
      <c t="s">
        <v>44606</v>
      </c>
      <c t="s">
        <v>64505</v>
      </c>
      <c t="s">
        <v>44606</v>
      </c>
      <c t="s">
        <v>5012</v>
      </c>
      <c t="s">
        <v>55273</v>
      </c>
      <c t="s">
        <v>2517</v>
      </c>
      <c t="s">
        <v>39289</v>
      </c>
      <c>
        <v>33909</v>
      </c>
      <c t="s">
        <v>746</v>
      </c>
      <c t="s">
        <v>48794</v>
      </c>
      <c t="s">
        <v>11911</v>
      </c>
      <c>
        <v>10326</v>
      </c>
      <c r="AI1943" t="s">
        <v>3449</v>
      </c>
      <c t="s">
        <v>24900</v>
      </c>
      <c>
        <v>111</v>
      </c>
      <c t="s">
        <v>36080</v>
      </c>
      <c r="AN1943" t="s">
        <v>39289</v>
      </c>
      <c t="s">
        <v>26685</v>
      </c>
      <c t="s">
        <v>52647</v>
      </c>
      <c t="s">
        <v>3093</v>
      </c>
      <c t="s">
        <v>7792</v>
      </c>
    </row>
    <row>
      <c t="s">
        <v>17594</v>
      </c>
      <c t="s">
        <v>36854</v>
      </c>
      <c t="s">
        <v>38524</v>
      </c>
      <c t="s">
        <v>31267</v>
      </c>
      <c t="s">
        <v>5059</v>
      </c>
      <c s="3">
        <v>83683</v>
      </c>
      <c s="3">
        <v>74250</v>
      </c>
      <c s="3">
        <v>68990</v>
      </c>
      <c>
        <v>0</v>
      </c>
      <c s="3">
        <v>0</v>
      </c>
      <c s="3">
        <v>1119.44</v>
      </c>
      <c s="3">
        <v>83683</v>
      </c>
      <c r="O1944" s="1" t="str">
        <f ca="1">HYPERLINK("https://web.datatree.com/?/property?propertyId=32684432", "https://web.datatree.com/?/property?propertyId=32684432")</f>
        <v>https://web.datatree.com/?/property?propertyId=32684432</v>
      </c>
      <c r="Q1944" t="s">
        <v>316</v>
      </c>
      <c>
        <v>0.106</v>
      </c>
      <c t="s">
        <v>26492</v>
      </c>
      <c t="s">
        <v>51891</v>
      </c>
      <c t="s">
        <v>23148</v>
      </c>
      <c t="s">
        <v>10361</v>
      </c>
      <c t="s">
        <v>23148</v>
      </c>
      <c t="s">
        <v>62439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64842</v>
      </c>
      <c>
        <v>737</v>
      </c>
      <c r="AI1944" t="s">
        <v>24701</v>
      </c>
      <c t="s">
        <v>45393</v>
      </c>
      <c r="AL1944" t="s">
        <v>58665</v>
      </c>
      <c t="s">
        <v>58665</v>
      </c>
      <c t="s">
        <v>39289</v>
      </c>
      <c t="s">
        <v>48925</v>
      </c>
      <c t="s">
        <v>12251</v>
      </c>
      <c t="s">
        <v>3093</v>
      </c>
      <c t="s">
        <v>5236</v>
      </c>
    </row>
    <row>
      <c t="s">
        <v>17594</v>
      </c>
      <c t="s">
        <v>37647</v>
      </c>
      <c t="s">
        <v>11436</v>
      </c>
      <c t="s">
        <v>41221</v>
      </c>
      <c t="s">
        <v>28763</v>
      </c>
      <c s="3">
        <v>24450</v>
      </c>
      <c s="3">
        <v>24450</v>
      </c>
      <c s="3">
        <v>24450</v>
      </c>
      <c>
        <v>0</v>
      </c>
      <c s="3">
        <v>0</v>
      </c>
      <c s="3">
        <v>679.9</v>
      </c>
      <c s="3">
        <v>24450</v>
      </c>
      <c r="O1945" s="1" t="str">
        <f ca="1">HYPERLINK("https://web.datatree.com/?/property?propertyId=32684998", "https://web.datatree.com/?/property?propertyId=32684998")</f>
        <v>https://web.datatree.com/?/property?propertyId=32684998</v>
      </c>
      <c r="Q1945" t="s">
        <v>316</v>
      </c>
      <c>
        <v>0.23</v>
      </c>
      <c t="s">
        <v>22490</v>
      </c>
      <c t="s">
        <v>37244</v>
      </c>
      <c t="s">
        <v>56288</v>
      </c>
      <c t="s">
        <v>23903</v>
      </c>
      <c t="s">
        <v>56288</v>
      </c>
      <c t="s">
        <v>16097</v>
      </c>
      <c t="s">
        <v>22731</v>
      </c>
      <c t="s">
        <v>2517</v>
      </c>
      <c t="s">
        <v>39289</v>
      </c>
      <c>
        <v>33909</v>
      </c>
      <c t="s">
        <v>15810</v>
      </c>
      <c t="s">
        <v>48794</v>
      </c>
      <c t="s">
        <v>65085</v>
      </c>
      <c>
        <v>15801</v>
      </c>
      <c r="AI1945" t="s">
        <v>4640</v>
      </c>
      <c t="s">
        <v>45620</v>
      </c>
      <c r="AL1945" t="s">
        <v>11121</v>
      </c>
      <c t="s">
        <v>11121</v>
      </c>
      <c t="s">
        <v>58733</v>
      </c>
      <c t="s">
        <v>45746</v>
      </c>
      <c t="s">
        <v>42945</v>
      </c>
      <c t="s">
        <v>3093</v>
      </c>
      <c t="s">
        <v>15538</v>
      </c>
    </row>
    <row>
      <c t="s">
        <v>17594</v>
      </c>
      <c t="s">
        <v>39966</v>
      </c>
      <c t="s">
        <v>12555</v>
      </c>
      <c t="s">
        <v>11752</v>
      </c>
      <c t="s">
        <v>18915</v>
      </c>
      <c s="3">
        <v>35272</v>
      </c>
      <c s="3">
        <v>35272</v>
      </c>
      <c s="3">
        <v>30030</v>
      </c>
      <c>
        <v>0</v>
      </c>
      <c s="3">
        <v>0</v>
      </c>
      <c s="3">
        <v>947.93</v>
      </c>
      <c s="3">
        <v>35272</v>
      </c>
      <c r="O1946" s="1" t="str">
        <f ca="1">HYPERLINK("https://web.datatree.com/?/property?propertyId=32685679", "https://web.datatree.com/?/property?propertyId=32685679")</f>
        <v>https://web.datatree.com/?/property?propertyId=32685679</v>
      </c>
      <c r="Q1946" t="s">
        <v>316</v>
      </c>
      <c>
        <v>0.264</v>
      </c>
      <c t="s">
        <v>6175</v>
      </c>
      <c t="s">
        <v>4868</v>
      </c>
      <c t="s">
        <v>42761</v>
      </c>
      <c r="X1946" t="s">
        <v>13535</v>
      </c>
      <c t="s">
        <v>3567</v>
      </c>
      <c t="s">
        <v>2517</v>
      </c>
      <c t="s">
        <v>39289</v>
      </c>
      <c>
        <v>33904</v>
      </c>
      <c t="s">
        <v>39259</v>
      </c>
      <c t="s">
        <v>48794</v>
      </c>
      <c t="s">
        <v>2482</v>
      </c>
      <c>
        <v>188</v>
      </c>
      <c r="AI1946" t="s">
        <v>22158</v>
      </c>
      <c t="s">
        <v>24900</v>
      </c>
      <c r="AL1946" t="s">
        <v>66562</v>
      </c>
      <c t="s">
        <v>44939</v>
      </c>
      <c t="s">
        <v>17134</v>
      </c>
      <c t="s">
        <v>17876</v>
      </c>
      <c t="s">
        <v>40645</v>
      </c>
      <c t="s">
        <v>3093</v>
      </c>
      <c t="s">
        <v>23840</v>
      </c>
    </row>
    <row>
      <c t="s">
        <v>17594</v>
      </c>
      <c t="s">
        <v>46017</v>
      </c>
      <c t="s">
        <v>48781</v>
      </c>
      <c t="s">
        <v>30446</v>
      </c>
      <c t="s">
        <v>17211</v>
      </c>
      <c s="3">
        <v>24566</v>
      </c>
      <c s="3">
        <v>24566</v>
      </c>
      <c s="3">
        <v>10956</v>
      </c>
      <c>
        <v>0</v>
      </c>
      <c s="3">
        <v>0</v>
      </c>
      <c s="3">
        <v>721.56</v>
      </c>
      <c s="3">
        <v>24566</v>
      </c>
      <c r="O1947" s="1" t="str">
        <f ca="1">HYPERLINK("https://web.datatree.com/?/property?propertyId=32685855", "https://web.datatree.com/?/property?propertyId=32685855")</f>
        <v>https://web.datatree.com/?/property?propertyId=32685855</v>
      </c>
      <c r="Q1947" t="s">
        <v>316</v>
      </c>
      <c>
        <v>0.355</v>
      </c>
      <c t="s">
        <v>45031</v>
      </c>
      <c t="s">
        <v>18547</v>
      </c>
      <c t="s">
        <v>58056</v>
      </c>
      <c r="X1947" t="s">
        <v>44012</v>
      </c>
      <c t="s">
        <v>55273</v>
      </c>
      <c t="s">
        <v>2517</v>
      </c>
      <c t="s">
        <v>39289</v>
      </c>
      <c>
        <v>33909</v>
      </c>
      <c t="s">
        <v>55689</v>
      </c>
      <c t="s">
        <v>48794</v>
      </c>
      <c t="s">
        <v>8297</v>
      </c>
      <c>
        <v>29</v>
      </c>
      <c r="AI1947" t="s">
        <v>30181</v>
      </c>
      <c r="AL1947" t="s">
        <v>23833</v>
      </c>
      <c r="AN1947" t="s">
        <v>22478</v>
      </c>
      <c r="AR1947" t="s">
        <v>32360</v>
      </c>
    </row>
    <row>
      <c t="s">
        <v>17594</v>
      </c>
      <c s="2" t="s">
        <v>42270</v>
      </c>
      <c t="s">
        <v>43612</v>
      </c>
      <c t="s">
        <v>52460</v>
      </c>
      <c t="s">
        <v>33109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1948" s="1" t="str">
        <f ca="1">HYPERLINK("https://web.datatree.com/?/property?propertyId=32685860", "https://web.datatree.com/?/property?propertyId=32685860")</f>
        <v>https://web.datatree.com/?/property?propertyId=32685860</v>
      </c>
      <c r="Q1948" t="s">
        <v>316</v>
      </c>
      <c>
        <v>0.229</v>
      </c>
      <c t="s">
        <v>5471</v>
      </c>
      <c t="s">
        <v>34140</v>
      </c>
      <c t="s">
        <v>36452</v>
      </c>
      <c t="s">
        <v>65792</v>
      </c>
      <c t="s">
        <v>36452</v>
      </c>
      <c t="s">
        <v>24135</v>
      </c>
      <c t="s">
        <v>3722</v>
      </c>
      <c t="s">
        <v>65059</v>
      </c>
      <c t="s">
        <v>39289</v>
      </c>
      <c>
        <v>33905</v>
      </c>
      <c t="s">
        <v>3137</v>
      </c>
      <c t="s">
        <v>48794</v>
      </c>
      <c s="2" t="s">
        <v>18339</v>
      </c>
      <c>
        <v>2021</v>
      </c>
      <c r="AI1948" t="s">
        <v>9315</v>
      </c>
      <c t="s">
        <v>45393</v>
      </c>
      <c t="s">
        <v>44509</v>
      </c>
      <c t="s">
        <v>8109</v>
      </c>
      <c r="AN1948" t="s">
        <v>50917</v>
      </c>
      <c t="s">
        <v>64566</v>
      </c>
      <c t="s">
        <v>35508</v>
      </c>
      <c t="s">
        <v>3093</v>
      </c>
      <c t="s">
        <v>56851</v>
      </c>
    </row>
    <row>
      <c t="s">
        <v>17594</v>
      </c>
      <c t="s">
        <v>16707</v>
      </c>
      <c t="s">
        <v>18282</v>
      </c>
      <c t="s">
        <v>42279</v>
      </c>
      <c t="s">
        <v>48956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1949" s="1" t="str">
        <f ca="1">HYPERLINK("https://web.datatree.com/?/property?propertyId=32685944", "https://web.datatree.com/?/property?propertyId=32685944")</f>
        <v>https://web.datatree.com/?/property?propertyId=32685944</v>
      </c>
      <c r="Q1949" t="s">
        <v>316</v>
      </c>
      <c>
        <v>0.23</v>
      </c>
      <c t="s">
        <v>6175</v>
      </c>
      <c t="s">
        <v>18547</v>
      </c>
      <c t="s">
        <v>13824</v>
      </c>
      <c t="s">
        <v>20887</v>
      </c>
      <c t="s">
        <v>13824</v>
      </c>
      <c t="s">
        <v>7576</v>
      </c>
      <c t="s">
        <v>34731</v>
      </c>
      <c t="s">
        <v>2517</v>
      </c>
      <c t="s">
        <v>39289</v>
      </c>
      <c>
        <v>33909</v>
      </c>
      <c t="s">
        <v>1900</v>
      </c>
      <c t="s">
        <v>48794</v>
      </c>
      <c t="s">
        <v>6401</v>
      </c>
      <c>
        <v>2661</v>
      </c>
      <c r="AI1949" t="s">
        <v>53324</v>
      </c>
      <c t="s">
        <v>40123</v>
      </c>
      <c r="AL1949" t="s">
        <v>55393</v>
      </c>
      <c r="AN1949" t="s">
        <v>39289</v>
      </c>
      <c t="s">
        <v>55604</v>
      </c>
      <c t="s">
        <v>23888</v>
      </c>
      <c t="s">
        <v>3093</v>
      </c>
      <c t="s">
        <v>43705</v>
      </c>
    </row>
    <row>
      <c t="s">
        <v>17594</v>
      </c>
      <c t="s">
        <v>30109</v>
      </c>
      <c t="s">
        <v>32595</v>
      </c>
      <c t="s">
        <v>29464</v>
      </c>
      <c t="s">
        <v>42903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 r="O1950" s="1" t="str">
        <f ca="1">HYPERLINK("https://web.datatree.com/?/property?propertyId=32687337", "https://web.datatree.com/?/property?propertyId=32687337")</f>
        <v>https://web.datatree.com/?/property?propertyId=32687337</v>
      </c>
      <c r="Q1950" t="s">
        <v>316</v>
      </c>
      <c>
        <v>0.344</v>
      </c>
      <c t="s">
        <v>6175</v>
      </c>
      <c t="s">
        <v>33698</v>
      </c>
      <c t="s">
        <v>55668</v>
      </c>
      <c r="X1950" t="s">
        <v>17986</v>
      </c>
      <c t="s">
        <v>25017</v>
      </c>
      <c t="s">
        <v>2517</v>
      </c>
      <c t="s">
        <v>39289</v>
      </c>
      <c>
        <v>33909</v>
      </c>
      <c t="s">
        <v>64248</v>
      </c>
      <c t="s">
        <v>48794</v>
      </c>
      <c t="s">
        <v>37248</v>
      </c>
      <c>
        <v>15720</v>
      </c>
      <c r="AI1950" t="s">
        <v>3042</v>
      </c>
      <c t="s">
        <v>40123</v>
      </c>
      <c r="AL1950" t="s">
        <v>62020</v>
      </c>
      <c t="s">
        <v>62020</v>
      </c>
      <c t="s">
        <v>39289</v>
      </c>
      <c t="s">
        <v>30430</v>
      </c>
      <c t="s">
        <v>49977</v>
      </c>
      <c t="s">
        <v>3093</v>
      </c>
      <c t="s">
        <v>28299</v>
      </c>
    </row>
    <row>
      <c t="s">
        <v>17594</v>
      </c>
      <c t="s">
        <v>5491</v>
      </c>
      <c t="s">
        <v>67242</v>
      </c>
      <c t="s">
        <v>49689</v>
      </c>
      <c t="s">
        <v>28310</v>
      </c>
      <c s="3">
        <v>22152</v>
      </c>
      <c s="3">
        <v>22152</v>
      </c>
      <c s="3">
        <v>8800</v>
      </c>
      <c>
        <v>0</v>
      </c>
      <c s="3">
        <v>0</v>
      </c>
      <c s="3">
        <v>588.04</v>
      </c>
      <c s="3">
        <v>22152</v>
      </c>
      <c>
        <v>2021</v>
      </c>
      <c>
        <v>596.47</v>
      </c>
      <c s="1" t="str">
        <f ca="1">HYPERLINK("https://web.datatree.com/?/property?propertyId=32687677", "https://web.datatree.com/?/property?propertyId=32687677")</f>
        <v>https://web.datatree.com/?/property?propertyId=32687677</v>
      </c>
      <c r="Q1951" t="s">
        <v>316</v>
      </c>
      <c>
        <v>0.244</v>
      </c>
      <c t="s">
        <v>22490</v>
      </c>
      <c r="U1951" t="s">
        <v>9984</v>
      </c>
      <c r="W1951" t="s">
        <v>19927</v>
      </c>
      <c t="s">
        <v>56234</v>
      </c>
      <c t="s">
        <v>66701</v>
      </c>
      <c t="s">
        <v>2517</v>
      </c>
      <c t="s">
        <v>39289</v>
      </c>
      <c>
        <v>33909</v>
      </c>
      <c t="s">
        <v>53169</v>
      </c>
      <c t="s">
        <v>48794</v>
      </c>
      <c t="s">
        <v>5408</v>
      </c>
      <c>
        <v>841</v>
      </c>
      <c r="AI1951" t="s">
        <v>1831</v>
      </c>
      <c t="s">
        <v>45620</v>
      </c>
      <c r="AL1951" t="s">
        <v>31540</v>
      </c>
      <c t="s">
        <v>38084</v>
      </c>
      <c t="s">
        <v>65467</v>
      </c>
      <c>
        <v>21076</v>
      </c>
      <c r="AQ1951" t="s">
        <v>3093</v>
      </c>
      <c t="s">
        <v>63848</v>
      </c>
    </row>
    <row>
      <c t="s">
        <v>17594</v>
      </c>
      <c t="s">
        <v>47372</v>
      </c>
      <c t="s">
        <v>28766</v>
      </c>
      <c t="s">
        <v>32542</v>
      </c>
      <c t="s">
        <v>48235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952" s="1" t="str">
        <f ca="1">HYPERLINK("https://web.datatree.com/?/property?propertyId=32688152", "https://web.datatree.com/?/property?propertyId=32688152")</f>
        <v>https://web.datatree.com/?/property?propertyId=32688152</v>
      </c>
      <c r="Q1952" t="s">
        <v>316</v>
      </c>
      <c>
        <v>0.23</v>
      </c>
      <c t="s">
        <v>22490</v>
      </c>
      <c t="s">
        <v>16080</v>
      </c>
      <c t="s">
        <v>18183</v>
      </c>
      <c r="X1952" t="s">
        <v>11539</v>
      </c>
      <c t="s">
        <v>2626</v>
      </c>
      <c t="s">
        <v>2517</v>
      </c>
      <c t="s">
        <v>39289</v>
      </c>
      <c>
        <v>33909</v>
      </c>
      <c t="s">
        <v>9482</v>
      </c>
      <c t="s">
        <v>48794</v>
      </c>
      <c t="s">
        <v>60332</v>
      </c>
      <c>
        <v>7811</v>
      </c>
      <c r="AI1952" t="s">
        <v>29738</v>
      </c>
      <c t="s">
        <v>39321</v>
      </c>
      <c r="AL1952" t="s">
        <v>1121</v>
      </c>
      <c r="AN1952" t="s">
        <v>39289</v>
      </c>
      <c t="s">
        <v>51250</v>
      </c>
      <c t="s">
        <v>636</v>
      </c>
      <c t="s">
        <v>3093</v>
      </c>
      <c t="s">
        <v>47172</v>
      </c>
    </row>
    <row>
      <c t="s">
        <v>17594</v>
      </c>
      <c t="s">
        <v>41716</v>
      </c>
      <c t="s">
        <v>65768</v>
      </c>
      <c t="s">
        <v>32088</v>
      </c>
      <c t="s">
        <v>6620</v>
      </c>
      <c s="3">
        <v>31592</v>
      </c>
      <c s="3">
        <v>31592</v>
      </c>
      <c s="3">
        <v>11858</v>
      </c>
      <c>
        <v>0</v>
      </c>
      <c s="3">
        <v>0</v>
      </c>
      <c s="3">
        <v>2791.79</v>
      </c>
      <c s="3">
        <v>31592</v>
      </c>
      <c r="O1953" s="1" t="str">
        <f ca="1">HYPERLINK("https://web.datatree.com/?/property?propertyId=32688561", "https://web.datatree.com/?/property?propertyId=32688561")</f>
        <v>https://web.datatree.com/?/property?propertyId=32688561</v>
      </c>
      <c r="Q1953" t="s">
        <v>316</v>
      </c>
      <c>
        <v>0.23</v>
      </c>
      <c t="s">
        <v>22490</v>
      </c>
      <c t="s">
        <v>44541</v>
      </c>
      <c t="s">
        <v>42890</v>
      </c>
      <c t="s">
        <v>773</v>
      </c>
      <c t="s">
        <v>42890</v>
      </c>
      <c t="s">
        <v>1215</v>
      </c>
      <c t="s">
        <v>25017</v>
      </c>
      <c t="s">
        <v>2517</v>
      </c>
      <c t="s">
        <v>39289</v>
      </c>
      <c>
        <v>33909</v>
      </c>
      <c t="s">
        <v>44469</v>
      </c>
      <c t="s">
        <v>48794</v>
      </c>
      <c t="s">
        <v>60166</v>
      </c>
      <c>
        <v>1587</v>
      </c>
      <c r="AI1953" t="s">
        <v>31302</v>
      </c>
      <c t="s">
        <v>45393</v>
      </c>
      <c r="AL1953" t="s">
        <v>18674</v>
      </c>
      <c t="s">
        <v>18674</v>
      </c>
      <c t="s">
        <v>65451</v>
      </c>
      <c t="s">
        <v>23217</v>
      </c>
      <c t="s">
        <v>51100</v>
      </c>
      <c t="s">
        <v>3093</v>
      </c>
      <c t="s">
        <v>59710</v>
      </c>
    </row>
    <row>
      <c t="s">
        <v>17594</v>
      </c>
      <c t="s">
        <v>7737</v>
      </c>
      <c t="s">
        <v>64919</v>
      </c>
      <c t="s">
        <v>19665</v>
      </c>
      <c t="s">
        <v>2962</v>
      </c>
      <c s="3">
        <v>49402</v>
      </c>
      <c s="3">
        <v>49402</v>
      </c>
      <c s="3">
        <v>24074</v>
      </c>
      <c>
        <v>0</v>
      </c>
      <c s="3">
        <v>0</v>
      </c>
      <c s="3">
        <v>895.49</v>
      </c>
      <c s="3">
        <v>49402</v>
      </c>
      <c r="O1954" s="1" t="str">
        <f ca="1">HYPERLINK("https://web.datatree.com/?/property?propertyId=32688679", "https://web.datatree.com/?/property?propertyId=32688679")</f>
        <v>https://web.datatree.com/?/property?propertyId=32688679</v>
      </c>
      <c r="Q1954" t="s">
        <v>316</v>
      </c>
      <c>
        <v>0.23</v>
      </c>
      <c t="s">
        <v>14479</v>
      </c>
      <c t="s">
        <v>42212</v>
      </c>
      <c t="s">
        <v>28069</v>
      </c>
      <c t="s">
        <v>1611</v>
      </c>
      <c t="s">
        <v>28069</v>
      </c>
      <c t="s">
        <v>17737</v>
      </c>
      <c t="s">
        <v>39082</v>
      </c>
      <c t="s">
        <v>2517</v>
      </c>
      <c t="s">
        <v>39289</v>
      </c>
      <c>
        <v>33909</v>
      </c>
      <c>
        <v>33909</v>
      </c>
      <c t="s">
        <v>48794</v>
      </c>
      <c t="s">
        <v>35399</v>
      </c>
      <c>
        <v>3702</v>
      </c>
      <c r="AI1954" t="s">
        <v>9169</v>
      </c>
      <c t="s">
        <v>835</v>
      </c>
      <c r="AL1954" t="s">
        <v>15963</v>
      </c>
      <c r="AN1954" t="s">
        <v>39289</v>
      </c>
      <c t="s">
        <v>8568</v>
      </c>
      <c t="s">
        <v>51249</v>
      </c>
      <c t="s">
        <v>3093</v>
      </c>
      <c t="s">
        <v>49630</v>
      </c>
    </row>
    <row>
      <c t="s">
        <v>17594</v>
      </c>
      <c t="s">
        <v>59250</v>
      </c>
      <c t="s">
        <v>36677</v>
      </c>
      <c t="s">
        <v>6872</v>
      </c>
      <c t="s">
        <v>50185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1955" s="1" t="str">
        <f ca="1">HYPERLINK("https://web.datatree.com/?/property?propertyId=32688902", "https://web.datatree.com/?/property?propertyId=32688902")</f>
        <v>https://web.datatree.com/?/property?propertyId=32688902</v>
      </c>
      <c r="Q1955" t="s">
        <v>316</v>
      </c>
      <c>
        <v>0.23</v>
      </c>
      <c t="s">
        <v>54449</v>
      </c>
      <c t="s">
        <v>43943</v>
      </c>
      <c t="s">
        <v>28001</v>
      </c>
      <c r="X1955" t="s">
        <v>43264</v>
      </c>
      <c t="s">
        <v>38550</v>
      </c>
      <c t="s">
        <v>2517</v>
      </c>
      <c t="s">
        <v>39289</v>
      </c>
      <c>
        <v>33909</v>
      </c>
      <c t="s">
        <v>2544</v>
      </c>
      <c t="s">
        <v>48794</v>
      </c>
      <c t="s">
        <v>5934</v>
      </c>
      <c>
        <v>22</v>
      </c>
      <c r="AI1955" t="s">
        <v>64568</v>
      </c>
      <c t="s">
        <v>45620</v>
      </c>
      <c r="AL1955" t="s">
        <v>53790</v>
      </c>
      <c r="AN1955" t="s">
        <v>27747</v>
      </c>
      <c t="s">
        <v>3983</v>
      </c>
      <c t="s">
        <v>60333</v>
      </c>
      <c t="s">
        <v>3093</v>
      </c>
      <c t="s">
        <v>22817</v>
      </c>
    </row>
    <row>
      <c t="s">
        <v>17594</v>
      </c>
      <c t="s">
        <v>13987</v>
      </c>
      <c t="s">
        <v>31391</v>
      </c>
      <c t="s">
        <v>46962</v>
      </c>
      <c t="s">
        <v>54446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1956" s="1" t="str">
        <f ca="1">HYPERLINK("https://web.datatree.com/?/property?propertyId=32688907", "https://web.datatree.com/?/property?propertyId=32688907")</f>
        <v>https://web.datatree.com/?/property?propertyId=32688907</v>
      </c>
      <c r="Q1956" t="s">
        <v>316</v>
      </c>
      <c>
        <v>0.23</v>
      </c>
      <c t="s">
        <v>22490</v>
      </c>
      <c t="s">
        <v>26367</v>
      </c>
      <c t="s">
        <v>30933</v>
      </c>
      <c r="X1956" t="s">
        <v>52164</v>
      </c>
      <c t="s">
        <v>25017</v>
      </c>
      <c t="s">
        <v>2517</v>
      </c>
      <c t="s">
        <v>39289</v>
      </c>
      <c>
        <v>33909</v>
      </c>
      <c t="s">
        <v>58007</v>
      </c>
      <c t="s">
        <v>48794</v>
      </c>
      <c t="s">
        <v>20783</v>
      </c>
      <c>
        <v>13339</v>
      </c>
      <c r="AI1956" t="s">
        <v>65230</v>
      </c>
      <c t="s">
        <v>55842</v>
      </c>
      <c r="AL1956" t="s">
        <v>27398</v>
      </c>
      <c t="s">
        <v>45881</v>
      </c>
      <c t="s">
        <v>39289</v>
      </c>
      <c t="s">
        <v>48423</v>
      </c>
      <c t="s">
        <v>14713</v>
      </c>
      <c t="s">
        <v>3093</v>
      </c>
      <c t="s">
        <v>57808</v>
      </c>
    </row>
    <row>
      <c t="s">
        <v>17594</v>
      </c>
      <c t="s">
        <v>34231</v>
      </c>
      <c t="s">
        <v>15908</v>
      </c>
      <c t="s">
        <v>63312</v>
      </c>
      <c t="s">
        <v>64799</v>
      </c>
      <c s="3">
        <v>8544</v>
      </c>
      <c s="3">
        <v>8544</v>
      </c>
      <c s="3">
        <v>4952</v>
      </c>
      <c>
        <v>0</v>
      </c>
      <c s="3">
        <v>0</v>
      </c>
      <c s="3">
        <v>315.22</v>
      </c>
      <c s="3">
        <v>8544</v>
      </c>
      <c r="O1957" s="1" t="str">
        <f ca="1">HYPERLINK("https://web.datatree.com/?/property?propertyId=32688979", "https://web.datatree.com/?/property?propertyId=32688979")</f>
        <v>https://web.datatree.com/?/property?propertyId=32688979</v>
      </c>
      <c r="Q1957" t="s">
        <v>316</v>
      </c>
      <c>
        <v>0.225</v>
      </c>
      <c t="s">
        <v>5471</v>
      </c>
      <c t="s">
        <v>23659</v>
      </c>
      <c t="s">
        <v>50454</v>
      </c>
      <c r="X1957" t="s">
        <v>50940</v>
      </c>
      <c t="s">
        <v>19394</v>
      </c>
      <c t="s">
        <v>65059</v>
      </c>
      <c t="s">
        <v>39289</v>
      </c>
      <c>
        <v>33905</v>
      </c>
      <c t="s">
        <v>602</v>
      </c>
      <c t="s">
        <v>48794</v>
      </c>
      <c t="s">
        <v>54800</v>
      </c>
      <c>
        <v>7545</v>
      </c>
      <c r="AI1957" t="s">
        <v>50753</v>
      </c>
      <c t="s">
        <v>31192</v>
      </c>
      <c r="AL1957" t="s">
        <v>22820</v>
      </c>
      <c r="AN1957" t="s">
        <v>39289</v>
      </c>
      <c t="s">
        <v>21102</v>
      </c>
      <c t="s">
        <v>34171</v>
      </c>
      <c t="s">
        <v>3093</v>
      </c>
      <c t="s">
        <v>33106</v>
      </c>
    </row>
    <row>
      <c t="s">
        <v>17594</v>
      </c>
      <c t="s">
        <v>39838</v>
      </c>
      <c t="s">
        <v>22202</v>
      </c>
      <c t="s">
        <v>39025</v>
      </c>
      <c t="s">
        <v>22984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1958" s="1" t="str">
        <f ca="1">HYPERLINK("https://web.datatree.com/?/property?propertyId=32688987", "https://web.datatree.com/?/property?propertyId=32688987")</f>
        <v>https://web.datatree.com/?/property?propertyId=32688987</v>
      </c>
      <c r="Q1958" t="s">
        <v>316</v>
      </c>
      <c>
        <v>0.23</v>
      </c>
      <c t="s">
        <v>16350</v>
      </c>
      <c t="s">
        <v>4348</v>
      </c>
      <c t="s">
        <v>15328</v>
      </c>
      <c t="s">
        <v>20358</v>
      </c>
      <c t="s">
        <v>15328</v>
      </c>
      <c t="s">
        <v>47535</v>
      </c>
      <c t="s">
        <v>38550</v>
      </c>
      <c t="s">
        <v>2517</v>
      </c>
      <c t="s">
        <v>39289</v>
      </c>
      <c>
        <v>33909</v>
      </c>
      <c t="s">
        <v>26916</v>
      </c>
      <c t="s">
        <v>48794</v>
      </c>
      <c t="s">
        <v>8103</v>
      </c>
      <c>
        <v>2885</v>
      </c>
      <c r="AI1958" t="s">
        <v>16497</v>
      </c>
      <c t="s">
        <v>45620</v>
      </c>
      <c r="AL1958" t="s">
        <v>5276</v>
      </c>
      <c r="AN1958" t="s">
        <v>48152</v>
      </c>
      <c t="s">
        <v>20720</v>
      </c>
      <c t="s">
        <v>44428</v>
      </c>
      <c t="s">
        <v>3093</v>
      </c>
      <c t="s">
        <v>18280</v>
      </c>
    </row>
    <row>
      <c t="s">
        <v>17594</v>
      </c>
      <c t="s">
        <v>54560</v>
      </c>
      <c t="s">
        <v>61504</v>
      </c>
      <c t="s">
        <v>31179</v>
      </c>
      <c t="s">
        <v>64906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1959" s="1" t="str">
        <f ca="1">HYPERLINK("https://web.datatree.com/?/property?propertyId=32689407", "https://web.datatree.com/?/property?propertyId=32689407")</f>
        <v>https://web.datatree.com/?/property?propertyId=32689407</v>
      </c>
      <c r="Q1959" t="s">
        <v>316</v>
      </c>
      <c>
        <v>0.23</v>
      </c>
      <c t="s">
        <v>6175</v>
      </c>
      <c t="s">
        <v>52701</v>
      </c>
      <c t="s">
        <v>67196</v>
      </c>
      <c r="X1959" t="s">
        <v>12317</v>
      </c>
      <c t="s">
        <v>22731</v>
      </c>
      <c t="s">
        <v>2517</v>
      </c>
      <c t="s">
        <v>39289</v>
      </c>
      <c>
        <v>33909</v>
      </c>
      <c t="s">
        <v>57910</v>
      </c>
      <c t="s">
        <v>48794</v>
      </c>
      <c t="s">
        <v>24478</v>
      </c>
      <c>
        <v>15</v>
      </c>
      <c r="AI1959" t="s">
        <v>21197</v>
      </c>
      <c t="s">
        <v>63235</v>
      </c>
      <c r="AL1959" t="s">
        <v>44071</v>
      </c>
      <c t="s">
        <v>273</v>
      </c>
      <c t="s">
        <v>50917</v>
      </c>
      <c t="s">
        <v>42300</v>
      </c>
      <c t="s">
        <v>39331</v>
      </c>
      <c t="s">
        <v>3093</v>
      </c>
      <c t="s">
        <v>21005</v>
      </c>
    </row>
    <row>
      <c t="s">
        <v>17594</v>
      </c>
      <c t="s">
        <v>13662</v>
      </c>
      <c t="s">
        <v>14257</v>
      </c>
      <c t="s">
        <v>1693</v>
      </c>
      <c t="s">
        <v>58807</v>
      </c>
      <c s="3">
        <v>71402</v>
      </c>
      <c s="3">
        <v>63500</v>
      </c>
      <c s="3">
        <v>71402</v>
      </c>
      <c>
        <v>0</v>
      </c>
      <c s="3">
        <v>0</v>
      </c>
      <c s="3">
        <v>1073.9</v>
      </c>
      <c s="3">
        <v>71402</v>
      </c>
      <c r="O1960" s="1" t="str">
        <f ca="1">HYPERLINK("https://web.datatree.com/?/property?propertyId=32690297", "https://web.datatree.com/?/property?propertyId=32690297")</f>
        <v>https://web.datatree.com/?/property?propertyId=32690297</v>
      </c>
      <c r="Q1960" t="s">
        <v>316</v>
      </c>
      <c>
        <v>0.103</v>
      </c>
      <c t="s">
        <v>26492</v>
      </c>
      <c t="s">
        <v>63182</v>
      </c>
      <c t="s">
        <v>18387</v>
      </c>
      <c t="s">
        <v>54873</v>
      </c>
      <c t="s">
        <v>18387</v>
      </c>
      <c t="s">
        <v>63929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9928</v>
      </c>
      <c>
        <v>1407</v>
      </c>
      <c r="AH1960" t="s">
        <v>6851</v>
      </c>
      <c t="s">
        <v>11996</v>
      </c>
      <c t="s">
        <v>40123</v>
      </c>
      <c r="AL1960" t="s">
        <v>30355</v>
      </c>
      <c t="s">
        <v>30355</v>
      </c>
      <c t="s">
        <v>50829</v>
      </c>
      <c>
        <v>56071</v>
      </c>
      <c t="s">
        <v>60160</v>
      </c>
      <c t="s">
        <v>3093</v>
      </c>
      <c t="s">
        <v>23351</v>
      </c>
    </row>
    <row>
      <c t="s">
        <v>17594</v>
      </c>
      <c t="s">
        <v>65728</v>
      </c>
      <c t="s">
        <v>18378</v>
      </c>
      <c t="s">
        <v>56628</v>
      </c>
      <c t="s">
        <v>63675</v>
      </c>
      <c s="3">
        <v>21600</v>
      </c>
      <c s="3">
        <v>21600</v>
      </c>
      <c s="3">
        <v>9599</v>
      </c>
      <c>
        <v>0</v>
      </c>
      <c s="3">
        <v>0</v>
      </c>
      <c s="3">
        <v>687.13</v>
      </c>
      <c s="3">
        <v>21600</v>
      </c>
      <c r="O1961" s="1" t="str">
        <f ca="1">HYPERLINK("https://web.datatree.com/?/property?propertyId=32690303", "https://web.datatree.com/?/property?propertyId=32690303")</f>
        <v>https://web.datatree.com/?/property?propertyId=32690303</v>
      </c>
      <c r="Q1961" t="s">
        <v>316</v>
      </c>
      <c>
        <v>0.344</v>
      </c>
      <c t="s">
        <v>6175</v>
      </c>
      <c t="s">
        <v>3267</v>
      </c>
      <c t="s">
        <v>58563</v>
      </c>
      <c t="s">
        <v>24179</v>
      </c>
      <c t="s">
        <v>58563</v>
      </c>
      <c t="s">
        <v>57685</v>
      </c>
      <c t="s">
        <v>34731</v>
      </c>
      <c t="s">
        <v>2517</v>
      </c>
      <c t="s">
        <v>39289</v>
      </c>
      <c>
        <v>33909</v>
      </c>
      <c t="s">
        <v>55294</v>
      </c>
      <c t="s">
        <v>48794</v>
      </c>
      <c t="s">
        <v>32783</v>
      </c>
      <c>
        <v>13650</v>
      </c>
      <c r="AI1961" t="s">
        <v>38550</v>
      </c>
      <c t="s">
        <v>39321</v>
      </c>
      <c r="AL1961" t="s">
        <v>55393</v>
      </c>
      <c r="AN1961" t="s">
        <v>39289</v>
      </c>
      <c t="s">
        <v>40301</v>
      </c>
      <c t="s">
        <v>40826</v>
      </c>
      <c t="s">
        <v>3093</v>
      </c>
      <c t="s">
        <v>21683</v>
      </c>
    </row>
    <row>
      <c t="s">
        <v>17594</v>
      </c>
      <c t="s">
        <v>7120</v>
      </c>
      <c t="s">
        <v>27678</v>
      </c>
      <c t="s">
        <v>61845</v>
      </c>
      <c t="s">
        <v>17728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1962" s="1" t="str">
        <f ca="1">HYPERLINK("https://web.datatree.com/?/property?propertyId=32690395", "https://web.datatree.com/?/property?propertyId=32690395")</f>
        <v>https://web.datatree.com/?/property?propertyId=32690395</v>
      </c>
      <c r="Q1962" t="s">
        <v>316</v>
      </c>
      <c>
        <v>0.241</v>
      </c>
      <c t="s">
        <v>6175</v>
      </c>
      <c t="s">
        <v>64043</v>
      </c>
      <c t="s">
        <v>44523</v>
      </c>
      <c r="X1962" t="s">
        <v>39689</v>
      </c>
      <c t="s">
        <v>38550</v>
      </c>
      <c t="s">
        <v>2517</v>
      </c>
      <c t="s">
        <v>39289</v>
      </c>
      <c>
        <v>33909</v>
      </c>
      <c t="s">
        <v>47433</v>
      </c>
      <c t="s">
        <v>48794</v>
      </c>
      <c t="s">
        <v>15413</v>
      </c>
      <c>
        <v>713</v>
      </c>
      <c r="AI1962" t="s">
        <v>39082</v>
      </c>
      <c t="s">
        <v>45393</v>
      </c>
      <c r="AL1962" t="s">
        <v>46158</v>
      </c>
      <c r="AN1962" t="s">
        <v>22275</v>
      </c>
      <c t="s">
        <v>46009</v>
      </c>
      <c t="s">
        <v>13610</v>
      </c>
      <c t="s">
        <v>3093</v>
      </c>
      <c t="s">
        <v>12739</v>
      </c>
    </row>
    <row>
      <c t="s">
        <v>17594</v>
      </c>
      <c t="s">
        <v>9857</v>
      </c>
      <c t="s">
        <v>13664</v>
      </c>
      <c t="s">
        <v>64982</v>
      </c>
      <c t="s">
        <v>6937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963" s="1" t="str">
        <f ca="1">HYPERLINK("https://web.datatree.com/?/property?propertyId=32691730", "https://web.datatree.com/?/property?propertyId=32691730")</f>
        <v>https://web.datatree.com/?/property?propertyId=32691730</v>
      </c>
      <c r="Q1963" t="s">
        <v>316</v>
      </c>
      <c>
        <v>0.23</v>
      </c>
      <c t="s">
        <v>22490</v>
      </c>
      <c t="s">
        <v>50666</v>
      </c>
      <c t="s">
        <v>34217</v>
      </c>
      <c t="s">
        <v>46916</v>
      </c>
      <c t="s">
        <v>45794</v>
      </c>
      <c t="s">
        <v>6705</v>
      </c>
      <c t="s">
        <v>29190</v>
      </c>
      <c t="s">
        <v>2517</v>
      </c>
      <c t="s">
        <v>39289</v>
      </c>
      <c>
        <v>33909</v>
      </c>
      <c t="s">
        <v>56020</v>
      </c>
      <c t="s">
        <v>48794</v>
      </c>
      <c t="s">
        <v>16033</v>
      </c>
      <c>
        <v>4525</v>
      </c>
      <c r="AI1963" t="s">
        <v>32116</v>
      </c>
      <c t="s">
        <v>40123</v>
      </c>
      <c r="AL1963" t="s">
        <v>26592</v>
      </c>
      <c r="AN1963" t="s">
        <v>39289</v>
      </c>
      <c t="s">
        <v>10</v>
      </c>
      <c t="s">
        <v>27553</v>
      </c>
      <c t="s">
        <v>3093</v>
      </c>
      <c t="s">
        <v>17808</v>
      </c>
    </row>
    <row>
      <c t="s">
        <v>17594</v>
      </c>
      <c t="s">
        <v>27868</v>
      </c>
      <c t="s">
        <v>7217</v>
      </c>
      <c t="s">
        <v>3596</v>
      </c>
      <c t="s">
        <v>931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1964" s="1" t="str">
        <f ca="1">HYPERLINK("https://web.datatree.com/?/property?propertyId=32691735", "https://web.datatree.com/?/property?propertyId=32691735")</f>
        <v>https://web.datatree.com/?/property?propertyId=32691735</v>
      </c>
      <c r="Q1964" t="s">
        <v>316</v>
      </c>
      <c>
        <v>0.23</v>
      </c>
      <c t="s">
        <v>22490</v>
      </c>
      <c t="s">
        <v>24692</v>
      </c>
      <c t="s">
        <v>8643</v>
      </c>
      <c t="s">
        <v>47656</v>
      </c>
      <c t="s">
        <v>8643</v>
      </c>
      <c t="s">
        <v>49388</v>
      </c>
      <c t="s">
        <v>46469</v>
      </c>
      <c t="s">
        <v>2517</v>
      </c>
      <c t="s">
        <v>39289</v>
      </c>
      <c>
        <v>33909</v>
      </c>
      <c t="s">
        <v>17215</v>
      </c>
      <c t="s">
        <v>48794</v>
      </c>
      <c t="s">
        <v>2832</v>
      </c>
      <c>
        <v>111</v>
      </c>
      <c r="AI1964" t="s">
        <v>43329</v>
      </c>
      <c t="s">
        <v>31192</v>
      </c>
      <c r="AL1964" t="s">
        <v>12829</v>
      </c>
      <c r="AN1964" t="s">
        <v>50917</v>
      </c>
      <c t="s">
        <v>20489</v>
      </c>
      <c t="s">
        <v>39566</v>
      </c>
      <c t="s">
        <v>3093</v>
      </c>
      <c t="s">
        <v>15709</v>
      </c>
    </row>
    <row>
      <c t="s">
        <v>17594</v>
      </c>
      <c t="s">
        <v>43783</v>
      </c>
      <c t="s">
        <v>20481</v>
      </c>
      <c t="s">
        <v>5001</v>
      </c>
      <c t="s">
        <v>13736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>
        <v>2021</v>
      </c>
      <c>
        <v>504.02</v>
      </c>
      <c s="1" t="str">
        <f ca="1">HYPERLINK("https://web.datatree.com/?/property?propertyId=32693536", "https://web.datatree.com/?/property?propertyId=32693536")</f>
        <v>https://web.datatree.com/?/property?propertyId=32693536</v>
      </c>
      <c r="Q1965" t="s">
        <v>316</v>
      </c>
      <c>
        <v>0.23</v>
      </c>
      <c t="s">
        <v>6175</v>
      </c>
      <c t="s">
        <v>50666</v>
      </c>
      <c t="s">
        <v>51438</v>
      </c>
      <c r="X1965" t="s">
        <v>32017</v>
      </c>
      <c t="s">
        <v>49122</v>
      </c>
      <c t="s">
        <v>2517</v>
      </c>
      <c t="s">
        <v>39289</v>
      </c>
      <c>
        <v>33909</v>
      </c>
      <c t="s">
        <v>65338</v>
      </c>
      <c t="s">
        <v>48794</v>
      </c>
      <c t="s">
        <v>61206</v>
      </c>
      <c>
        <v>519</v>
      </c>
      <c r="AI1965" t="s">
        <v>3265</v>
      </c>
      <c t="s">
        <v>24900</v>
      </c>
      <c r="AL1965" t="s">
        <v>29213</v>
      </c>
      <c r="AN1965" t="s">
        <v>14509</v>
      </c>
      <c t="s">
        <v>33744</v>
      </c>
      <c t="s">
        <v>52393</v>
      </c>
      <c t="s">
        <v>3093</v>
      </c>
      <c t="s">
        <v>59013</v>
      </c>
    </row>
    <row>
      <c t="s">
        <v>17594</v>
      </c>
      <c t="s">
        <v>52257</v>
      </c>
      <c s="7" t="s">
        <v>36701</v>
      </c>
      <c t="s">
        <v>32482</v>
      </c>
      <c t="s">
        <v>29428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>
        <v>2021</v>
      </c>
      <c>
        <v>544.98</v>
      </c>
      <c s="1" t="str">
        <f ca="1">HYPERLINK("https://web.datatree.com/?/property?propertyId=32694145", "https://web.datatree.com/?/property?propertyId=32694145")</f>
        <v>https://web.datatree.com/?/property?propertyId=32694145</v>
      </c>
      <c r="Q1966" t="s">
        <v>316</v>
      </c>
      <c>
        <v>0.23</v>
      </c>
      <c t="s">
        <v>22490</v>
      </c>
      <c t="s">
        <v>21668</v>
      </c>
      <c t="s">
        <v>21337</v>
      </c>
      <c r="X1966" t="s">
        <v>60209</v>
      </c>
      <c t="s">
        <v>5115</v>
      </c>
      <c t="s">
        <v>2517</v>
      </c>
      <c t="s">
        <v>39289</v>
      </c>
      <c>
        <v>33909</v>
      </c>
      <c t="s">
        <v>48283</v>
      </c>
      <c t="s">
        <v>48794</v>
      </c>
      <c t="s">
        <v>38974</v>
      </c>
      <c>
        <v>9</v>
      </c>
      <c r="AI1966" t="s">
        <v>30192</v>
      </c>
      <c r="AL1966" t="s">
        <v>57301</v>
      </c>
      <c r="AN1966" t="s">
        <v>50917</v>
      </c>
      <c>
        <v>13620</v>
      </c>
      <c r="AR1966" s="7" t="s">
        <v>24968</v>
      </c>
    </row>
    <row>
      <c t="s">
        <v>17594</v>
      </c>
      <c t="s">
        <v>16615</v>
      </c>
      <c t="s">
        <v>44618</v>
      </c>
      <c t="s">
        <v>6905</v>
      </c>
      <c t="s">
        <v>6282</v>
      </c>
      <c s="3">
        <v>21563</v>
      </c>
      <c s="3">
        <v>21563</v>
      </c>
      <c s="3">
        <v>9900</v>
      </c>
      <c>
        <v>0</v>
      </c>
      <c s="3">
        <v>0</v>
      </c>
      <c s="3">
        <v>613.14</v>
      </c>
      <c s="3">
        <v>21563</v>
      </c>
      <c r="O1967" s="1" t="str">
        <f ca="1">HYPERLINK("https://web.datatree.com/?/property?propertyId=32695598", "https://web.datatree.com/?/property?propertyId=32695598")</f>
        <v>https://web.datatree.com/?/property?propertyId=32695598</v>
      </c>
      <c r="Q1967" t="s">
        <v>316</v>
      </c>
      <c>
        <v>0.23</v>
      </c>
      <c t="s">
        <v>22490</v>
      </c>
      <c t="s">
        <v>25450</v>
      </c>
      <c t="s">
        <v>28992</v>
      </c>
      <c r="X1967" t="s">
        <v>33433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55296</v>
      </c>
      <c>
        <v>7442</v>
      </c>
      <c r="AI1967" t="s">
        <v>35113</v>
      </c>
      <c t="s">
        <v>31192</v>
      </c>
      <c r="AL1967" t="s">
        <v>48125</v>
      </c>
      <c r="AN1967" t="s">
        <v>51137</v>
      </c>
      <c t="s">
        <v>39661</v>
      </c>
      <c t="s">
        <v>35354</v>
      </c>
      <c t="s">
        <v>3093</v>
      </c>
      <c t="s">
        <v>2701</v>
      </c>
    </row>
    <row>
      <c t="s">
        <v>17594</v>
      </c>
      <c t="s">
        <v>59293</v>
      </c>
      <c t="s">
        <v>17610</v>
      </c>
      <c t="s">
        <v>16771</v>
      </c>
      <c t="s">
        <v>56265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1968" s="1" t="str">
        <f ca="1">HYPERLINK("https://web.datatree.com/?/property?propertyId=32696027", "https://web.datatree.com/?/property?propertyId=32696027")</f>
        <v>https://web.datatree.com/?/property?propertyId=32696027</v>
      </c>
      <c r="Q1968" t="s">
        <v>316</v>
      </c>
      <c>
        <v>0.23</v>
      </c>
      <c t="s">
        <v>22490</v>
      </c>
      <c r="U1968" t="s">
        <v>21419</v>
      </c>
      <c t="s">
        <v>3293</v>
      </c>
      <c t="s">
        <v>50304</v>
      </c>
      <c t="s">
        <v>38332</v>
      </c>
      <c t="s">
        <v>49674</v>
      </c>
      <c t="s">
        <v>2517</v>
      </c>
      <c t="s">
        <v>39289</v>
      </c>
      <c>
        <v>33909</v>
      </c>
      <c t="s">
        <v>5644</v>
      </c>
      <c t="s">
        <v>48794</v>
      </c>
      <c t="s">
        <v>35293</v>
      </c>
      <c>
        <v>200</v>
      </c>
      <c r="AI1968" t="s">
        <v>43694</v>
      </c>
      <c r="AL1968" t="s">
        <v>2939</v>
      </c>
      <c t="s">
        <v>2939</v>
      </c>
      <c t="s">
        <v>39289</v>
      </c>
      <c t="s">
        <v>11350</v>
      </c>
      <c t="s">
        <v>25140</v>
      </c>
      <c t="s">
        <v>3093</v>
      </c>
      <c t="s">
        <v>23918</v>
      </c>
    </row>
    <row>
      <c t="s">
        <v>17594</v>
      </c>
      <c t="s">
        <v>10445</v>
      </c>
      <c t="s">
        <v>10500</v>
      </c>
      <c t="s">
        <v>15415</v>
      </c>
      <c t="s">
        <v>46371</v>
      </c>
      <c s="3">
        <v>113928</v>
      </c>
      <c s="3">
        <v>100000</v>
      </c>
      <c s="3">
        <v>113928</v>
      </c>
      <c>
        <v>0</v>
      </c>
      <c s="3">
        <v>0</v>
      </c>
      <c s="3">
        <v>1710.6</v>
      </c>
      <c s="3">
        <v>113928</v>
      </c>
      <c r="O1969" s="1" t="str">
        <f ca="1">HYPERLINK("https://web.datatree.com/?/property?propertyId=32696061", "https://web.datatree.com/?/property?propertyId=32696061")</f>
        <v>https://web.datatree.com/?/property?propertyId=32696061</v>
      </c>
      <c r="Q1969" t="s">
        <v>316</v>
      </c>
      <c>
        <v>0.129</v>
      </c>
      <c t="s">
        <v>26492</v>
      </c>
      <c r="U1969" t="s">
        <v>37417</v>
      </c>
      <c t="s">
        <v>58113</v>
      </c>
      <c t="s">
        <v>63573</v>
      </c>
      <c t="s">
        <v>15230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61971</v>
      </c>
      <c>
        <v>1577</v>
      </c>
      <c r="AI1969" t="s">
        <v>464</v>
      </c>
      <c t="s">
        <v>63316</v>
      </c>
      <c r="AL1969" t="s">
        <v>44447</v>
      </c>
      <c t="s">
        <v>40227</v>
      </c>
      <c t="s">
        <v>18236</v>
      </c>
      <c t="s">
        <v>46880</v>
      </c>
      <c t="s">
        <v>14695</v>
      </c>
      <c t="s">
        <v>3093</v>
      </c>
      <c t="s">
        <v>44538</v>
      </c>
    </row>
    <row>
      <c t="s">
        <v>42103</v>
      </c>
      <c t="s">
        <v>47823</v>
      </c>
      <c t="s">
        <v>30962</v>
      </c>
      <c t="s">
        <v>2480</v>
      </c>
      <c t="s">
        <v>13072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1970" s="1" t="str">
        <f ca="1">HYPERLINK("https://web.datatree.com/?/property?propertyId=32696389", "https://web.datatree.com/?/property?propertyId=32696389")</f>
        <v>https://web.datatree.com/?/property?propertyId=32696389</v>
      </c>
      <c r="Q1970" t="s">
        <v>316</v>
      </c>
      <c>
        <v>0.23</v>
      </c>
      <c t="s">
        <v>58725</v>
      </c>
      <c t="s">
        <v>64583</v>
      </c>
      <c t="s">
        <v>7871</v>
      </c>
      <c r="X1970" t="s">
        <v>51303</v>
      </c>
      <c t="s">
        <v>57064</v>
      </c>
      <c t="s">
        <v>2517</v>
      </c>
      <c t="s">
        <v>39289</v>
      </c>
      <c>
        <v>33909</v>
      </c>
      <c t="s">
        <v>11423</v>
      </c>
      <c t="s">
        <v>48794</v>
      </c>
      <c t="s">
        <v>13807</v>
      </c>
      <c r="AI1970" t="s">
        <v>42364</v>
      </c>
      <c r="AL1970" t="s">
        <v>21991</v>
      </c>
      <c r="AN1970" t="s">
        <v>36633</v>
      </c>
      <c>
        <v>25653</v>
      </c>
      <c t="s">
        <v>15796</v>
      </c>
      <c t="s">
        <v>3093</v>
      </c>
      <c t="s">
        <v>42981</v>
      </c>
    </row>
    <row>
      <c t="s">
        <v>17594</v>
      </c>
      <c t="s">
        <v>54642</v>
      </c>
      <c s="7" t="s">
        <v>964</v>
      </c>
      <c t="s">
        <v>38640</v>
      </c>
      <c t="s">
        <v>55097</v>
      </c>
      <c s="3">
        <v>20312</v>
      </c>
      <c s="3">
        <v>20312</v>
      </c>
      <c s="3">
        <v>9240</v>
      </c>
      <c>
        <v>0</v>
      </c>
      <c s="3">
        <v>0</v>
      </c>
      <c s="3">
        <v>584.18</v>
      </c>
      <c s="3">
        <v>20312</v>
      </c>
      <c>
        <v>2018</v>
      </c>
      <c>
        <v>5517.02</v>
      </c>
      <c s="1" t="str">
        <f ca="1">HYPERLINK("https://web.datatree.com/?/property?propertyId=32696601", "https://web.datatree.com/?/property?propertyId=32696601")</f>
        <v>https://web.datatree.com/?/property?propertyId=32696601</v>
      </c>
      <c r="Q1971" t="s">
        <v>316</v>
      </c>
      <c>
        <v>0.241</v>
      </c>
      <c t="s">
        <v>22490</v>
      </c>
      <c t="s">
        <v>37194</v>
      </c>
      <c t="s">
        <v>44670</v>
      </c>
      <c r="X1971" t="s">
        <v>61218</v>
      </c>
      <c t="s">
        <v>34136</v>
      </c>
      <c t="s">
        <v>2517</v>
      </c>
      <c t="s">
        <v>39289</v>
      </c>
      <c>
        <v>33909</v>
      </c>
      <c t="s">
        <v>65013</v>
      </c>
      <c t="s">
        <v>48794</v>
      </c>
      <c t="s">
        <v>51024</v>
      </c>
      <c>
        <v>3</v>
      </c>
      <c r="AI1971" t="s">
        <v>60705</v>
      </c>
      <c t="s">
        <v>55842</v>
      </c>
      <c r="AL1971" t="s">
        <v>29974</v>
      </c>
      <c r="AN1971" t="s">
        <v>50917</v>
      </c>
      <c t="s">
        <v>55661</v>
      </c>
      <c t="s">
        <v>11289</v>
      </c>
      <c t="s">
        <v>3093</v>
      </c>
      <c s="7" t="s">
        <v>31937</v>
      </c>
    </row>
    <row>
      <c t="s">
        <v>17594</v>
      </c>
      <c t="s">
        <v>39643</v>
      </c>
      <c t="s">
        <v>34117</v>
      </c>
      <c t="s">
        <v>53595</v>
      </c>
      <c t="s">
        <v>7384</v>
      </c>
      <c s="3">
        <v>12544</v>
      </c>
      <c s="3">
        <v>12544</v>
      </c>
      <c s="3">
        <v>6389</v>
      </c>
      <c>
        <v>0</v>
      </c>
      <c s="3">
        <v>0</v>
      </c>
      <c s="3">
        <v>327.06</v>
      </c>
      <c s="3">
        <v>12544</v>
      </c>
      <c r="O1972" s="1" t="str">
        <f ca="1">HYPERLINK("https://web.datatree.com/?/property?propertyId=32696770", "https://web.datatree.com/?/property?propertyId=32696770")</f>
        <v>https://web.datatree.com/?/property?propertyId=32696770</v>
      </c>
      <c r="Q1972" t="s">
        <v>316</v>
      </c>
      <c>
        <v>0.247</v>
      </c>
      <c t="s">
        <v>5471</v>
      </c>
      <c t="s">
        <v>27743</v>
      </c>
      <c t="s">
        <v>60759</v>
      </c>
      <c r="X1972" t="s">
        <v>22797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5043</v>
      </c>
      <c>
        <v>7712</v>
      </c>
      <c r="AI1972" t="s">
        <v>28385</v>
      </c>
      <c t="s">
        <v>31192</v>
      </c>
      <c r="AL1972" t="s">
        <v>51808</v>
      </c>
      <c r="AN1972" t="s">
        <v>3034</v>
      </c>
      <c t="s">
        <v>54794</v>
      </c>
      <c t="s">
        <v>57513</v>
      </c>
      <c t="s">
        <v>3093</v>
      </c>
      <c t="s">
        <v>61928</v>
      </c>
    </row>
    <row>
      <c t="s">
        <v>17594</v>
      </c>
      <c t="s">
        <v>3734</v>
      </c>
      <c t="s">
        <v>21280</v>
      </c>
      <c t="s">
        <v>63540</v>
      </c>
      <c t="s">
        <v>18431</v>
      </c>
      <c s="3">
        <v>27992</v>
      </c>
      <c s="3">
        <v>27992</v>
      </c>
      <c s="3">
        <v>11484</v>
      </c>
      <c>
        <v>0</v>
      </c>
      <c s="3">
        <v>0</v>
      </c>
      <c s="3">
        <v>744.28</v>
      </c>
      <c s="3">
        <v>27992</v>
      </c>
      <c r="O1973" s="1" t="str">
        <f ca="1">HYPERLINK("https://web.datatree.com/?/property?propertyId=32696998", "https://web.datatree.com/?/property?propertyId=32696998")</f>
        <v>https://web.datatree.com/?/property?propertyId=32696998</v>
      </c>
      <c r="Q1973" t="s">
        <v>316</v>
      </c>
      <c>
        <v>0.344</v>
      </c>
      <c t="s">
        <v>22490</v>
      </c>
      <c t="s">
        <v>1129</v>
      </c>
      <c t="s">
        <v>45794</v>
      </c>
      <c r="X1973" t="s">
        <v>29498</v>
      </c>
      <c t="s">
        <v>22731</v>
      </c>
      <c t="s">
        <v>2517</v>
      </c>
      <c t="s">
        <v>39289</v>
      </c>
      <c>
        <v>33909</v>
      </c>
      <c t="s">
        <v>53581</v>
      </c>
      <c t="s">
        <v>48794</v>
      </c>
      <c t="s">
        <v>66321</v>
      </c>
      <c>
        <v>6239</v>
      </c>
      <c r="AI1973" t="s">
        <v>43713</v>
      </c>
      <c t="s">
        <v>40345</v>
      </c>
      <c r="AL1973" t="s">
        <v>2602</v>
      </c>
      <c r="AN1973" t="s">
        <v>10909</v>
      </c>
      <c t="s">
        <v>36084</v>
      </c>
      <c r="AQ1973" t="s">
        <v>27814</v>
      </c>
      <c t="s">
        <v>56488</v>
      </c>
    </row>
    <row>
      <c t="s">
        <v>17594</v>
      </c>
      <c t="s">
        <v>19400</v>
      </c>
      <c t="s">
        <v>49834</v>
      </c>
      <c t="s">
        <v>47537</v>
      </c>
      <c t="s">
        <v>54018</v>
      </c>
      <c s="3">
        <v>36210</v>
      </c>
      <c s="3">
        <v>36210</v>
      </c>
      <c s="3">
        <v>9339</v>
      </c>
      <c>
        <v>0</v>
      </c>
      <c s="3">
        <v>0</v>
      </c>
      <c s="3">
        <v>671.29</v>
      </c>
      <c s="3">
        <v>36210</v>
      </c>
      <c r="O1974" s="1" t="str">
        <f ca="1">HYPERLINK("https://web.datatree.com/?/property?propertyId=32697382", "https://web.datatree.com/?/property?propertyId=32697382")</f>
        <v>https://web.datatree.com/?/property?propertyId=32697382</v>
      </c>
      <c r="Q1974" t="s">
        <v>316</v>
      </c>
      <c>
        <v>0.23</v>
      </c>
      <c t="s">
        <v>65422</v>
      </c>
      <c t="s">
        <v>2140</v>
      </c>
      <c t="s">
        <v>30261</v>
      </c>
      <c t="s">
        <v>10451</v>
      </c>
      <c t="s">
        <v>30261</v>
      </c>
      <c t="s">
        <v>62905</v>
      </c>
      <c t="s">
        <v>8669</v>
      </c>
      <c t="s">
        <v>2517</v>
      </c>
      <c t="s">
        <v>39289</v>
      </c>
      <c>
        <v>33909</v>
      </c>
      <c t="s">
        <v>7679</v>
      </c>
      <c t="s">
        <v>48794</v>
      </c>
      <c t="s">
        <v>31076</v>
      </c>
      <c>
        <v>2132</v>
      </c>
      <c r="AI1974" t="s">
        <v>14016</v>
      </c>
      <c t="s">
        <v>55842</v>
      </c>
      <c r="AL1974" t="s">
        <v>16198</v>
      </c>
      <c r="AN1974" t="s">
        <v>10804</v>
      </c>
      <c t="s">
        <v>61312</v>
      </c>
      <c t="s">
        <v>13315</v>
      </c>
      <c t="s">
        <v>3093</v>
      </c>
      <c t="s">
        <v>27528</v>
      </c>
    </row>
    <row>
      <c t="s">
        <v>17594</v>
      </c>
      <c t="s">
        <v>6138</v>
      </c>
      <c t="s">
        <v>3189</v>
      </c>
      <c t="s">
        <v>44397</v>
      </c>
      <c t="s">
        <v>34723</v>
      </c>
      <c s="3">
        <v>18026</v>
      </c>
      <c s="3">
        <v>18026</v>
      </c>
      <c s="3">
        <v>7865</v>
      </c>
      <c>
        <v>0</v>
      </c>
      <c s="3">
        <v>0</v>
      </c>
      <c s="3">
        <v>407.38</v>
      </c>
      <c s="3">
        <v>18026</v>
      </c>
      <c r="O1975" s="1" t="str">
        <f ca="1">HYPERLINK("https://web.datatree.com/?/property?propertyId=32697641", "https://web.datatree.com/?/property?propertyId=32697641")</f>
        <v>https://web.datatree.com/?/property?propertyId=32697641</v>
      </c>
      <c r="Q1975" t="s">
        <v>316</v>
      </c>
      <c>
        <v>0.241</v>
      </c>
      <c t="s">
        <v>6175</v>
      </c>
      <c t="s">
        <v>33151</v>
      </c>
      <c t="s">
        <v>46872</v>
      </c>
      <c r="X1975" t="s">
        <v>29209</v>
      </c>
      <c t="s">
        <v>18679</v>
      </c>
      <c t="s">
        <v>2517</v>
      </c>
      <c t="s">
        <v>39289</v>
      </c>
      <c>
        <v>33909</v>
      </c>
      <c t="s">
        <v>43593</v>
      </c>
      <c t="s">
        <v>48794</v>
      </c>
      <c t="s">
        <v>27822</v>
      </c>
      <c>
        <v>1076</v>
      </c>
      <c r="AI1975" t="s">
        <v>18288</v>
      </c>
      <c t="s">
        <v>24900</v>
      </c>
      <c r="AL1975" t="s">
        <v>8109</v>
      </c>
      <c r="AN1975" t="s">
        <v>50917</v>
      </c>
      <c t="s">
        <v>44788</v>
      </c>
      <c t="s">
        <v>22302</v>
      </c>
      <c t="s">
        <v>3093</v>
      </c>
      <c t="s">
        <v>54682</v>
      </c>
    </row>
    <row>
      <c t="s">
        <v>42103</v>
      </c>
      <c t="s">
        <v>4596</v>
      </c>
      <c t="s">
        <v>18519</v>
      </c>
      <c t="s">
        <v>6686</v>
      </c>
      <c t="s">
        <v>16591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976" s="1" t="str">
        <f ca="1">HYPERLINK("https://web.datatree.com/?/property?propertyId=32698011", "https://web.datatree.com/?/property?propertyId=32698011")</f>
        <v>https://web.datatree.com/?/property?propertyId=32698011</v>
      </c>
      <c r="Q1976" t="s">
        <v>316</v>
      </c>
      <c>
        <v>0.23</v>
      </c>
      <c t="s">
        <v>6175</v>
      </c>
      <c t="s">
        <v>11974</v>
      </c>
      <c t="s">
        <v>62526</v>
      </c>
      <c r="X1976" t="s">
        <v>18817</v>
      </c>
      <c t="s">
        <v>13829</v>
      </c>
      <c t="s">
        <v>2517</v>
      </c>
      <c t="s">
        <v>39289</v>
      </c>
      <c>
        <v>33909</v>
      </c>
      <c t="s">
        <v>66196</v>
      </c>
      <c t="s">
        <v>48794</v>
      </c>
      <c t="s">
        <v>58098</v>
      </c>
      <c r="AI1976" t="s">
        <v>54829</v>
      </c>
      <c r="AL1976" t="s">
        <v>11706</v>
      </c>
      <c t="s">
        <v>11706</v>
      </c>
      <c t="s">
        <v>48152</v>
      </c>
      <c t="s">
        <v>64467</v>
      </c>
      <c t="s">
        <v>55988</v>
      </c>
      <c t="s">
        <v>3093</v>
      </c>
      <c t="s">
        <v>13385</v>
      </c>
    </row>
    <row>
      <c t="s">
        <v>17594</v>
      </c>
      <c t="s">
        <v>38545</v>
      </c>
      <c t="s">
        <v>56015</v>
      </c>
      <c t="s">
        <v>62516</v>
      </c>
      <c t="s">
        <v>12692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1977" s="1" t="str">
        <f ca="1">HYPERLINK("https://web.datatree.com/?/property?propertyId=32698524", "https://web.datatree.com/?/property?propertyId=32698524")</f>
        <v>https://web.datatree.com/?/property?propertyId=32698524</v>
      </c>
      <c r="Q1977" t="s">
        <v>316</v>
      </c>
      <c>
        <v>0.24</v>
      </c>
      <c t="s">
        <v>5471</v>
      </c>
      <c t="s">
        <v>16200</v>
      </c>
      <c t="s">
        <v>30083</v>
      </c>
      <c t="s">
        <v>21379</v>
      </c>
      <c t="s">
        <v>30083</v>
      </c>
      <c t="s">
        <v>8431</v>
      </c>
      <c t="s">
        <v>43060</v>
      </c>
      <c t="s">
        <v>65059</v>
      </c>
      <c t="s">
        <v>39289</v>
      </c>
      <c>
        <v>33905</v>
      </c>
      <c t="s">
        <v>43998</v>
      </c>
      <c t="s">
        <v>48794</v>
      </c>
      <c t="s">
        <v>44241</v>
      </c>
      <c>
        <v>24</v>
      </c>
      <c r="AI1977" t="s">
        <v>10510</v>
      </c>
      <c t="s">
        <v>31192</v>
      </c>
      <c r="AL1977" t="s">
        <v>48387</v>
      </c>
      <c r="AN1977" t="s">
        <v>10909</v>
      </c>
      <c t="s">
        <v>16588</v>
      </c>
      <c r="AQ1977" t="s">
        <v>27814</v>
      </c>
      <c t="s">
        <v>25408</v>
      </c>
    </row>
    <row>
      <c t="s">
        <v>17594</v>
      </c>
      <c t="s">
        <v>18824</v>
      </c>
      <c t="s">
        <v>27668</v>
      </c>
      <c t="s">
        <v>47516</v>
      </c>
      <c t="s">
        <v>16668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1978" s="1" t="str">
        <f ca="1">HYPERLINK("https://web.datatree.com/?/property?propertyId=32698745", "https://web.datatree.com/?/property?propertyId=32698745")</f>
        <v>https://web.datatree.com/?/property?propertyId=32698745</v>
      </c>
      <c r="Q1978" t="s">
        <v>316</v>
      </c>
      <c>
        <v>0.23</v>
      </c>
      <c t="s">
        <v>22490</v>
      </c>
      <c t="s">
        <v>19357</v>
      </c>
      <c t="s">
        <v>49083</v>
      </c>
      <c t="s">
        <v>63182</v>
      </c>
      <c t="s">
        <v>49083</v>
      </c>
      <c t="s">
        <v>15902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36235</v>
      </c>
      <c>
        <v>608</v>
      </c>
      <c r="AI1978" t="s">
        <v>41926</v>
      </c>
      <c t="s">
        <v>45393</v>
      </c>
      <c r="AL1978" t="s">
        <v>21534</v>
      </c>
      <c r="AN1978" t="s">
        <v>50917</v>
      </c>
      <c t="s">
        <v>52589</v>
      </c>
      <c t="s">
        <v>61719</v>
      </c>
      <c t="s">
        <v>3093</v>
      </c>
      <c t="s">
        <v>3900</v>
      </c>
    </row>
    <row>
      <c t="s">
        <v>17594</v>
      </c>
      <c t="s">
        <v>56670</v>
      </c>
      <c t="s">
        <v>1626</v>
      </c>
      <c t="s">
        <v>30585</v>
      </c>
      <c t="s">
        <v>12095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1979" s="1" t="str">
        <f ca="1">HYPERLINK("https://web.datatree.com/?/property?propertyId=32699319", "https://web.datatree.com/?/property?propertyId=32699319")</f>
        <v>https://web.datatree.com/?/property?propertyId=32699319</v>
      </c>
      <c r="Q1979" t="s">
        <v>316</v>
      </c>
      <c>
        <v>0.23</v>
      </c>
      <c t="s">
        <v>6175</v>
      </c>
      <c t="s">
        <v>8574</v>
      </c>
      <c t="s">
        <v>7107</v>
      </c>
      <c t="s">
        <v>552</v>
      </c>
      <c t="s">
        <v>7107</v>
      </c>
      <c t="s">
        <v>18186</v>
      </c>
      <c t="s">
        <v>14917</v>
      </c>
      <c t="s">
        <v>2517</v>
      </c>
      <c t="s">
        <v>39289</v>
      </c>
      <c>
        <v>33909</v>
      </c>
      <c t="s">
        <v>20646</v>
      </c>
      <c t="s">
        <v>48794</v>
      </c>
      <c t="s">
        <v>3940</v>
      </c>
      <c>
        <v>141</v>
      </c>
      <c r="AI1979" t="s">
        <v>12501</v>
      </c>
      <c t="s">
        <v>45620</v>
      </c>
      <c t="s">
        <v>12161</v>
      </c>
      <c t="s">
        <v>8109</v>
      </c>
      <c r="AN1979" t="s">
        <v>50917</v>
      </c>
      <c t="s">
        <v>26562</v>
      </c>
      <c t="s">
        <v>60333</v>
      </c>
      <c t="s">
        <v>3093</v>
      </c>
      <c t="s">
        <v>12105</v>
      </c>
    </row>
    <row>
      <c t="s">
        <v>17594</v>
      </c>
      <c t="s">
        <v>21199</v>
      </c>
      <c t="s">
        <v>46390</v>
      </c>
      <c t="s">
        <v>57213</v>
      </c>
      <c t="s">
        <v>1609</v>
      </c>
      <c s="3">
        <v>23623</v>
      </c>
      <c s="3">
        <v>23623</v>
      </c>
      <c s="3">
        <v>23623</v>
      </c>
      <c>
        <v>0</v>
      </c>
      <c s="3">
        <v>0</v>
      </c>
      <c s="3">
        <v>760.68</v>
      </c>
      <c s="3">
        <v>23623</v>
      </c>
      <c r="O1980" s="1" t="str">
        <f ca="1">HYPERLINK("https://web.datatree.com/?/property?propertyId=32699323", "https://web.datatree.com/?/property?propertyId=32699323")</f>
        <v>https://web.datatree.com/?/property?propertyId=32699323</v>
      </c>
      <c r="Q1980" t="s">
        <v>316</v>
      </c>
      <c>
        <v>0.23</v>
      </c>
      <c t="s">
        <v>22490</v>
      </c>
      <c t="s">
        <v>18654</v>
      </c>
      <c t="s">
        <v>27337</v>
      </c>
      <c t="s">
        <v>58137</v>
      </c>
      <c t="s">
        <v>50802</v>
      </c>
      <c t="s">
        <v>23460</v>
      </c>
      <c t="s">
        <v>25017</v>
      </c>
      <c t="s">
        <v>2517</v>
      </c>
      <c t="s">
        <v>39289</v>
      </c>
      <c>
        <v>33909</v>
      </c>
      <c t="s">
        <v>54655</v>
      </c>
      <c t="s">
        <v>48794</v>
      </c>
      <c t="s">
        <v>23671</v>
      </c>
      <c>
        <v>1911</v>
      </c>
      <c r="AI1980" t="s">
        <v>42943</v>
      </c>
      <c t="s">
        <v>24900</v>
      </c>
      <c r="AL1980" t="s">
        <v>37890</v>
      </c>
      <c t="s">
        <v>37890</v>
      </c>
      <c t="s">
        <v>9387</v>
      </c>
      <c t="s">
        <v>18054</v>
      </c>
      <c t="s">
        <v>62830</v>
      </c>
      <c t="s">
        <v>3093</v>
      </c>
      <c t="s">
        <v>62412</v>
      </c>
    </row>
    <row>
      <c t="s">
        <v>17594</v>
      </c>
      <c t="s">
        <v>32694</v>
      </c>
      <c t="s">
        <v>9694</v>
      </c>
      <c t="s">
        <v>37126</v>
      </c>
      <c t="s">
        <v>56122</v>
      </c>
      <c s="3">
        <v>38645</v>
      </c>
      <c s="3">
        <v>38645</v>
      </c>
      <c s="3">
        <v>15044</v>
      </c>
      <c>
        <v>0</v>
      </c>
      <c s="3">
        <v>0</v>
      </c>
      <c s="3">
        <v>794.88</v>
      </c>
      <c s="3">
        <v>38645</v>
      </c>
      <c r="O1981" s="1" t="str">
        <f ca="1">HYPERLINK("https://web.datatree.com/?/property?propertyId=32699641", "https://web.datatree.com/?/property?propertyId=32699641")</f>
        <v>https://web.datatree.com/?/property?propertyId=32699641</v>
      </c>
      <c r="Q1981" t="s">
        <v>316</v>
      </c>
      <c>
        <v>0.23</v>
      </c>
      <c t="s">
        <v>6175</v>
      </c>
      <c t="s">
        <v>34601</v>
      </c>
      <c t="s">
        <v>38373</v>
      </c>
      <c t="s">
        <v>5588</v>
      </c>
      <c t="s">
        <v>38373</v>
      </c>
      <c t="s">
        <v>54508</v>
      </c>
      <c t="s">
        <v>22731</v>
      </c>
      <c t="s">
        <v>2517</v>
      </c>
      <c t="s">
        <v>39289</v>
      </c>
      <c>
        <v>33909</v>
      </c>
      <c t="s">
        <v>18875</v>
      </c>
      <c t="s">
        <v>48794</v>
      </c>
      <c t="s">
        <v>22262</v>
      </c>
      <c>
        <v>8</v>
      </c>
      <c r="AI1981" t="s">
        <v>11577</v>
      </c>
      <c t="s">
        <v>55842</v>
      </c>
      <c r="AL1981" t="s">
        <v>37890</v>
      </c>
      <c r="AN1981" t="s">
        <v>50917</v>
      </c>
      <c t="s">
        <v>2442</v>
      </c>
      <c t="s">
        <v>26242</v>
      </c>
      <c t="s">
        <v>3093</v>
      </c>
      <c t="s">
        <v>41990</v>
      </c>
    </row>
    <row>
      <c t="s">
        <v>17594</v>
      </c>
      <c t="s">
        <v>28957</v>
      </c>
      <c t="s">
        <v>51927</v>
      </c>
      <c t="s">
        <v>40522</v>
      </c>
      <c t="s">
        <v>51027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1982" s="1" t="str">
        <f ca="1">HYPERLINK("https://web.datatree.com/?/property?propertyId=32700183", "https://web.datatree.com/?/property?propertyId=32700183")</f>
        <v>https://web.datatree.com/?/property?propertyId=32700183</v>
      </c>
      <c r="Q1982" t="s">
        <v>316</v>
      </c>
      <c>
        <v>0.23</v>
      </c>
      <c t="s">
        <v>22490</v>
      </c>
      <c t="s">
        <v>60638</v>
      </c>
      <c t="s">
        <v>41554</v>
      </c>
      <c t="s">
        <v>34071</v>
      </c>
      <c t="s">
        <v>52473</v>
      </c>
      <c t="s">
        <v>61729</v>
      </c>
      <c t="s">
        <v>66701</v>
      </c>
      <c t="s">
        <v>2517</v>
      </c>
      <c t="s">
        <v>39289</v>
      </c>
      <c>
        <v>33909</v>
      </c>
      <c t="s">
        <v>48620</v>
      </c>
      <c t="s">
        <v>48794</v>
      </c>
      <c t="s">
        <v>36489</v>
      </c>
      <c r="AI1982" t="s">
        <v>45853</v>
      </c>
      <c r="AL1982" t="s">
        <v>8000</v>
      </c>
      <c t="s">
        <v>8000</v>
      </c>
      <c t="s">
        <v>9533</v>
      </c>
      <c>
        <v>976</v>
      </c>
      <c r="AQ1982" t="s">
        <v>3093</v>
      </c>
      <c t="s">
        <v>30465</v>
      </c>
    </row>
    <row>
      <c t="s">
        <v>17594</v>
      </c>
      <c t="s">
        <v>38350</v>
      </c>
      <c t="s">
        <v>30517</v>
      </c>
      <c t="s">
        <v>48107</v>
      </c>
      <c t="s">
        <v>65595</v>
      </c>
      <c s="3">
        <v>58000</v>
      </c>
      <c s="3">
        <v>58000</v>
      </c>
      <c s="3">
        <v>9599</v>
      </c>
      <c>
        <v>0</v>
      </c>
      <c s="3">
        <v>0</v>
      </c>
      <c s="3">
        <v>889.4</v>
      </c>
      <c s="3">
        <v>58000</v>
      </c>
      <c r="O1983" s="1" t="str">
        <f ca="1">HYPERLINK("https://web.datatree.com/?/property?propertyId=32700189", "https://web.datatree.com/?/property?propertyId=32700189")</f>
        <v>https://web.datatree.com/?/property?propertyId=32700189</v>
      </c>
      <c r="Q1983" t="s">
        <v>316</v>
      </c>
      <c>
        <v>0.344</v>
      </c>
      <c t="s">
        <v>65422</v>
      </c>
      <c t="s">
        <v>32587</v>
      </c>
      <c t="s">
        <v>52206</v>
      </c>
      <c t="s">
        <v>51698</v>
      </c>
      <c t="s">
        <v>51418</v>
      </c>
      <c t="s">
        <v>16960</v>
      </c>
      <c t="s">
        <v>39082</v>
      </c>
      <c t="s">
        <v>2517</v>
      </c>
      <c t="s">
        <v>39289</v>
      </c>
      <c>
        <v>33909</v>
      </c>
      <c t="s">
        <v>33524</v>
      </c>
      <c t="s">
        <v>48794</v>
      </c>
      <c t="s">
        <v>43115</v>
      </c>
      <c>
        <v>223</v>
      </c>
      <c r="AI1983" t="s">
        <v>25071</v>
      </c>
      <c t="s">
        <v>45393</v>
      </c>
      <c r="AL1983" t="s">
        <v>29515</v>
      </c>
      <c t="s">
        <v>29515</v>
      </c>
      <c t="s">
        <v>39289</v>
      </c>
      <c>
        <v>33010</v>
      </c>
      <c r="AQ1983" t="s">
        <v>3093</v>
      </c>
      <c t="s">
        <v>38380</v>
      </c>
    </row>
    <row>
      <c t="s">
        <v>17594</v>
      </c>
      <c t="s">
        <v>65643</v>
      </c>
      <c t="s">
        <v>46995</v>
      </c>
      <c t="s">
        <v>43698</v>
      </c>
      <c t="s">
        <v>37817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1984" s="1" t="str">
        <f ca="1">HYPERLINK("https://web.datatree.com/?/property?propertyId=32701191", "https://web.datatree.com/?/property?propertyId=32701191")</f>
        <v>https://web.datatree.com/?/property?propertyId=32701191</v>
      </c>
      <c r="Q1984" t="s">
        <v>316</v>
      </c>
      <c>
        <v>0.23</v>
      </c>
      <c t="s">
        <v>22490</v>
      </c>
      <c t="s">
        <v>33321</v>
      </c>
      <c t="s">
        <v>55416</v>
      </c>
      <c r="X1984" t="s">
        <v>31874</v>
      </c>
      <c t="s">
        <v>22731</v>
      </c>
      <c t="s">
        <v>2517</v>
      </c>
      <c t="s">
        <v>39289</v>
      </c>
      <c>
        <v>33909</v>
      </c>
      <c t="s">
        <v>31465</v>
      </c>
      <c t="s">
        <v>48794</v>
      </c>
      <c t="s">
        <v>34544</v>
      </c>
      <c>
        <v>68</v>
      </c>
      <c r="AI1984" t="s">
        <v>1182</v>
      </c>
      <c r="AL1984" t="s">
        <v>42963</v>
      </c>
      <c t="s">
        <v>42963</v>
      </c>
      <c t="s">
        <v>18236</v>
      </c>
      <c>
        <v>78860</v>
      </c>
      <c r="AR1984" t="s">
        <v>38213</v>
      </c>
    </row>
    <row>
      <c t="s">
        <v>17594</v>
      </c>
      <c t="s">
        <v>23980</v>
      </c>
      <c t="s">
        <v>43078</v>
      </c>
      <c t="s">
        <v>38224</v>
      </c>
      <c t="s">
        <v>13475</v>
      </c>
      <c s="3">
        <v>8600</v>
      </c>
      <c s="3">
        <v>8600</v>
      </c>
      <c s="3">
        <v>8600</v>
      </c>
      <c>
        <v>0</v>
      </c>
      <c s="3">
        <v>0</v>
      </c>
      <c s="3">
        <v>2849.74</v>
      </c>
      <c s="3">
        <v>8600</v>
      </c>
      <c r="O1985" s="1" t="str">
        <f ca="1">HYPERLINK("https://web.datatree.com/?/property?propertyId=32701798", "https://web.datatree.com/?/property?propertyId=32701798")</f>
        <v>https://web.datatree.com/?/property?propertyId=32701798</v>
      </c>
      <c r="Q1985" t="s">
        <v>316</v>
      </c>
      <c>
        <v>0.23</v>
      </c>
      <c t="s">
        <v>6175</v>
      </c>
      <c t="s">
        <v>43222</v>
      </c>
      <c t="s">
        <v>19839</v>
      </c>
      <c t="s">
        <v>56516</v>
      </c>
      <c t="s">
        <v>59113</v>
      </c>
      <c t="s">
        <v>3834</v>
      </c>
      <c t="s">
        <v>25017</v>
      </c>
      <c t="s">
        <v>2517</v>
      </c>
      <c t="s">
        <v>39289</v>
      </c>
      <c>
        <v>33909</v>
      </c>
      <c t="s">
        <v>46480</v>
      </c>
      <c t="s">
        <v>48794</v>
      </c>
      <c t="s">
        <v>1851</v>
      </c>
      <c>
        <v>17051</v>
      </c>
      <c r="AI1985" t="s">
        <v>44464</v>
      </c>
      <c t="s">
        <v>45620</v>
      </c>
      <c>
        <v>502</v>
      </c>
      <c t="s">
        <v>34557</v>
      </c>
      <c r="AN1985" t="s">
        <v>65451</v>
      </c>
      <c t="s">
        <v>29207</v>
      </c>
      <c t="s">
        <v>22311</v>
      </c>
      <c t="s">
        <v>3093</v>
      </c>
      <c t="s">
        <v>27917</v>
      </c>
    </row>
    <row>
      <c t="s">
        <v>17594</v>
      </c>
      <c t="s">
        <v>39052</v>
      </c>
      <c t="s">
        <v>27409</v>
      </c>
      <c t="s">
        <v>59816</v>
      </c>
      <c t="s">
        <v>44485</v>
      </c>
      <c s="3">
        <v>8500</v>
      </c>
      <c s="3">
        <v>8500</v>
      </c>
      <c s="3">
        <v>8500</v>
      </c>
      <c>
        <v>0</v>
      </c>
      <c s="3">
        <v>0</v>
      </c>
      <c s="3">
        <v>580.14</v>
      </c>
      <c s="3">
        <v>8500</v>
      </c>
      <c r="O1986" s="1" t="str">
        <f ca="1">HYPERLINK("https://web.datatree.com/?/property?propertyId=32702075", "https://web.datatree.com/?/property?propertyId=32702075")</f>
        <v>https://web.datatree.com/?/property?propertyId=32702075</v>
      </c>
      <c r="Q1986" t="s">
        <v>316</v>
      </c>
      <c>
        <v>0.244</v>
      </c>
      <c t="s">
        <v>6175</v>
      </c>
      <c t="s">
        <v>30152</v>
      </c>
      <c t="s">
        <v>14736</v>
      </c>
      <c r="X1986" t="s">
        <v>45391</v>
      </c>
      <c t="s">
        <v>39082</v>
      </c>
      <c t="s">
        <v>2517</v>
      </c>
      <c t="s">
        <v>39289</v>
      </c>
      <c>
        <v>33909</v>
      </c>
      <c t="s">
        <v>35005</v>
      </c>
      <c t="s">
        <v>48794</v>
      </c>
      <c t="s">
        <v>15221</v>
      </c>
      <c>
        <v>9827</v>
      </c>
      <c r="AI1986" t="s">
        <v>5409</v>
      </c>
      <c t="s">
        <v>835</v>
      </c>
      <c r="AL1986" t="s">
        <v>62474</v>
      </c>
      <c t="s">
        <v>58680</v>
      </c>
      <c t="s">
        <v>18236</v>
      </c>
      <c t="s">
        <v>54830</v>
      </c>
      <c t="s">
        <v>13175</v>
      </c>
      <c t="s">
        <v>3093</v>
      </c>
      <c t="s">
        <v>759</v>
      </c>
    </row>
    <row>
      <c t="s">
        <v>17594</v>
      </c>
      <c t="s">
        <v>15492</v>
      </c>
      <c t="s">
        <v>16013</v>
      </c>
      <c t="s">
        <v>24278</v>
      </c>
      <c t="s">
        <v>8616</v>
      </c>
      <c s="3">
        <v>41000</v>
      </c>
      <c s="3">
        <v>41000</v>
      </c>
      <c s="3">
        <v>41000</v>
      </c>
      <c>
        <v>0</v>
      </c>
      <c s="3">
        <v>0</v>
      </c>
      <c s="3">
        <v>1022.16</v>
      </c>
      <c s="3">
        <v>41000</v>
      </c>
      <c r="O1987" s="1" t="str">
        <f ca="1">HYPERLINK("https://web.datatree.com/?/property?propertyId=32702452", "https://web.datatree.com/?/property?propertyId=32702452")</f>
        <v>https://web.datatree.com/?/property?propertyId=32702452</v>
      </c>
      <c r="Q1987" t="s">
        <v>316</v>
      </c>
      <c>
        <v>0.23</v>
      </c>
      <c t="s">
        <v>14479</v>
      </c>
      <c t="s">
        <v>16397</v>
      </c>
      <c t="s">
        <v>27594</v>
      </c>
      <c r="X1987" t="s">
        <v>41905</v>
      </c>
      <c t="s">
        <v>39082</v>
      </c>
      <c t="s">
        <v>2517</v>
      </c>
      <c t="s">
        <v>39289</v>
      </c>
      <c>
        <v>33909</v>
      </c>
      <c t="s">
        <v>31566</v>
      </c>
      <c t="s">
        <v>48794</v>
      </c>
      <c t="s">
        <v>1338</v>
      </c>
      <c>
        <v>3458</v>
      </c>
      <c r="AI1987" t="s">
        <v>52908</v>
      </c>
      <c t="s">
        <v>4985</v>
      </c>
      <c r="AL1987" t="s">
        <v>51808</v>
      </c>
      <c t="s">
        <v>51808</v>
      </c>
      <c t="s">
        <v>3034</v>
      </c>
      <c t="s">
        <v>51488</v>
      </c>
      <c t="s">
        <v>29069</v>
      </c>
      <c t="s">
        <v>3093</v>
      </c>
      <c t="s">
        <v>13444</v>
      </c>
    </row>
    <row>
      <c t="s">
        <v>17594</v>
      </c>
      <c t="s">
        <v>18267</v>
      </c>
      <c t="s">
        <v>15501</v>
      </c>
      <c t="s">
        <v>44791</v>
      </c>
      <c t="s">
        <v>27468</v>
      </c>
      <c s="3">
        <v>17833</v>
      </c>
      <c s="3">
        <v>17833</v>
      </c>
      <c s="3">
        <v>9075</v>
      </c>
      <c>
        <v>0</v>
      </c>
      <c s="3">
        <v>0</v>
      </c>
      <c s="3">
        <v>579.52</v>
      </c>
      <c s="3">
        <v>17833</v>
      </c>
      <c>
        <v>2017</v>
      </c>
      <c>
        <v>5096.4</v>
      </c>
      <c s="1" t="str">
        <f ca="1">HYPERLINK("https://web.datatree.com/?/property?propertyId=32702751", "https://web.datatree.com/?/property?propertyId=32702751")</f>
        <v>https://web.datatree.com/?/property?propertyId=32702751</v>
      </c>
      <c r="Q1988" t="s">
        <v>316</v>
      </c>
      <c>
        <v>0.261</v>
      </c>
      <c t="s">
        <v>6175</v>
      </c>
      <c t="s">
        <v>62098</v>
      </c>
      <c t="s">
        <v>37577</v>
      </c>
      <c t="s">
        <v>44541</v>
      </c>
      <c t="s">
        <v>44878</v>
      </c>
      <c t="s">
        <v>28934</v>
      </c>
      <c t="s">
        <v>33179</v>
      </c>
      <c t="s">
        <v>2517</v>
      </c>
      <c t="s">
        <v>39289</v>
      </c>
      <c>
        <v>33909</v>
      </c>
      <c t="s">
        <v>59890</v>
      </c>
      <c t="s">
        <v>48794</v>
      </c>
      <c t="s">
        <v>12683</v>
      </c>
      <c>
        <v>11919</v>
      </c>
      <c r="AI1988" t="s">
        <v>53663</v>
      </c>
      <c t="s">
        <v>24900</v>
      </c>
      <c r="AL1988" t="s">
        <v>28018</v>
      </c>
      <c r="AN1988" t="s">
        <v>50917</v>
      </c>
      <c t="s">
        <v>25751</v>
      </c>
      <c t="s">
        <v>4797</v>
      </c>
      <c t="s">
        <v>3093</v>
      </c>
      <c t="s">
        <v>59670</v>
      </c>
    </row>
    <row>
      <c t="s">
        <v>17594</v>
      </c>
      <c t="s">
        <v>27561</v>
      </c>
      <c t="s">
        <v>65280</v>
      </c>
      <c t="s">
        <v>58748</v>
      </c>
      <c t="s">
        <v>48543</v>
      </c>
      <c s="3">
        <v>41740</v>
      </c>
      <c s="3">
        <v>41667</v>
      </c>
      <c s="3">
        <v>41740</v>
      </c>
      <c>
        <v>0</v>
      </c>
      <c s="3">
        <v>0</v>
      </c>
      <c s="3">
        <v>583.18</v>
      </c>
      <c s="3">
        <v>41740</v>
      </c>
      <c r="O1989" s="1" t="str">
        <f ca="1">HYPERLINK("https://web.datatree.com/?/property?propertyId=32702937", "https://web.datatree.com/?/property?propertyId=32702937")</f>
        <v>https://web.datatree.com/?/property?propertyId=32702937</v>
      </c>
      <c>
        <v>948</v>
      </c>
      <c t="s">
        <v>316</v>
      </c>
      <c>
        <v>0.092</v>
      </c>
      <c t="s">
        <v>54329</v>
      </c>
      <c t="s">
        <v>50666</v>
      </c>
      <c t="s">
        <v>20144</v>
      </c>
      <c r="X1989" t="s">
        <v>21994</v>
      </c>
      <c t="s">
        <v>5284</v>
      </c>
      <c t="s">
        <v>65059</v>
      </c>
      <c t="s">
        <v>39289</v>
      </c>
      <c>
        <v>33908</v>
      </c>
      <c>
        <v>33908</v>
      </c>
      <c t="s">
        <v>48794</v>
      </c>
      <c t="s">
        <v>64600</v>
      </c>
      <c>
        <v>1050</v>
      </c>
      <c r="AI1989" t="s">
        <v>1563</v>
      </c>
      <c t="s">
        <v>45620</v>
      </c>
      <c r="AL1989" t="s">
        <v>49381</v>
      </c>
      <c r="AN1989" t="s">
        <v>22275</v>
      </c>
      <c t="s">
        <v>5603</v>
      </c>
      <c t="s">
        <v>30106</v>
      </c>
      <c t="s">
        <v>3093</v>
      </c>
      <c t="s">
        <v>58063</v>
      </c>
      <c>
        <v>1983</v>
      </c>
    </row>
    <row>
      <c t="s">
        <v>17594</v>
      </c>
      <c t="s">
        <v>54178</v>
      </c>
      <c t="s">
        <v>42214</v>
      </c>
      <c t="s">
        <v>4523</v>
      </c>
      <c t="s">
        <v>50986</v>
      </c>
      <c s="3">
        <v>47000</v>
      </c>
      <c s="3">
        <v>47000</v>
      </c>
      <c s="3">
        <v>47000</v>
      </c>
      <c>
        <v>0</v>
      </c>
      <c s="3">
        <v>0</v>
      </c>
      <c s="3">
        <v>1116.95</v>
      </c>
      <c s="3">
        <v>47000</v>
      </c>
      <c r="O1990" s="1" t="str">
        <f ca="1">HYPERLINK("https://web.datatree.com/?/property?propertyId=32703002", "https://web.datatree.com/?/property?propertyId=32703002")</f>
        <v>https://web.datatree.com/?/property?propertyId=32703002</v>
      </c>
      <c r="Q1990" t="s">
        <v>316</v>
      </c>
      <c>
        <v>0.23</v>
      </c>
      <c t="s">
        <v>65422</v>
      </c>
      <c t="s">
        <v>31811</v>
      </c>
      <c t="s">
        <v>2816</v>
      </c>
      <c t="s">
        <v>47263</v>
      </c>
      <c t="s">
        <v>44893</v>
      </c>
      <c t="s">
        <v>34285</v>
      </c>
      <c t="s">
        <v>39082</v>
      </c>
      <c t="s">
        <v>2517</v>
      </c>
      <c t="s">
        <v>39289</v>
      </c>
      <c>
        <v>33909</v>
      </c>
      <c t="s">
        <v>62770</v>
      </c>
      <c t="s">
        <v>48794</v>
      </c>
      <c t="s">
        <v>48001</v>
      </c>
      <c>
        <v>26</v>
      </c>
      <c r="AI1990" t="s">
        <v>5105</v>
      </c>
      <c t="s">
        <v>45393</v>
      </c>
      <c>
        <v>6</v>
      </c>
      <c t="s">
        <v>21152</v>
      </c>
      <c r="AN1990" t="s">
        <v>27747</v>
      </c>
      <c t="s">
        <v>5835</v>
      </c>
      <c t="s">
        <v>7207</v>
      </c>
      <c t="s">
        <v>3093</v>
      </c>
      <c t="s">
        <v>37757</v>
      </c>
    </row>
    <row>
      <c t="s">
        <v>17594</v>
      </c>
      <c t="s">
        <v>21351</v>
      </c>
      <c t="s">
        <v>52847</v>
      </c>
      <c t="s">
        <v>7601</v>
      </c>
      <c t="s">
        <v>31341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991" s="1" t="str">
        <f ca="1">HYPERLINK("https://web.datatree.com/?/property?propertyId=32703044", "https://web.datatree.com/?/property?propertyId=32703044")</f>
        <v>https://web.datatree.com/?/property?propertyId=32703044</v>
      </c>
      <c r="Q1991" t="s">
        <v>316</v>
      </c>
      <c>
        <v>0.234</v>
      </c>
      <c t="s">
        <v>6175</v>
      </c>
      <c t="s">
        <v>66812</v>
      </c>
      <c t="s">
        <v>1859</v>
      </c>
      <c t="s">
        <v>9877</v>
      </c>
      <c t="s">
        <v>1859</v>
      </c>
      <c t="s">
        <v>23143</v>
      </c>
      <c t="s">
        <v>29190</v>
      </c>
      <c t="s">
        <v>2517</v>
      </c>
      <c t="s">
        <v>39289</v>
      </c>
      <c>
        <v>33909</v>
      </c>
      <c t="s">
        <v>50468</v>
      </c>
      <c t="s">
        <v>48794</v>
      </c>
      <c t="s">
        <v>14457</v>
      </c>
      <c>
        <v>169</v>
      </c>
      <c r="AI1991" t="s">
        <v>41331</v>
      </c>
      <c r="AL1991" t="s">
        <v>6703</v>
      </c>
      <c r="AN1991" t="s">
        <v>513</v>
      </c>
      <c r="AR1991" t="s">
        <v>16443</v>
      </c>
    </row>
    <row>
      <c t="s">
        <v>17594</v>
      </c>
      <c t="s">
        <v>46666</v>
      </c>
      <c t="s">
        <v>60818</v>
      </c>
      <c t="s">
        <v>56144</v>
      </c>
      <c t="s">
        <v>4433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1992" s="1" t="str">
        <f ca="1">HYPERLINK("https://web.datatree.com/?/property?propertyId=32704247", "https://web.datatree.com/?/property?propertyId=32704247")</f>
        <v>https://web.datatree.com/?/property?propertyId=32704247</v>
      </c>
      <c r="Q1992" t="s">
        <v>316</v>
      </c>
      <c>
        <v>0.232</v>
      </c>
      <c t="s">
        <v>6175</v>
      </c>
      <c r="U1992" t="s">
        <v>35847</v>
      </c>
      <c t="s">
        <v>33213</v>
      </c>
      <c t="s">
        <v>7586</v>
      </c>
      <c t="s">
        <v>25046</v>
      </c>
      <c t="s">
        <v>5115</v>
      </c>
      <c t="s">
        <v>2517</v>
      </c>
      <c t="s">
        <v>39289</v>
      </c>
      <c>
        <v>33909</v>
      </c>
      <c t="s">
        <v>55825</v>
      </c>
      <c t="s">
        <v>48794</v>
      </c>
      <c t="s">
        <v>38565</v>
      </c>
      <c>
        <v>2568</v>
      </c>
      <c r="AI1992" t="s">
        <v>24472</v>
      </c>
      <c t="s">
        <v>45393</v>
      </c>
      <c r="AL1992" t="s">
        <v>29515</v>
      </c>
      <c t="s">
        <v>29515</v>
      </c>
      <c t="s">
        <v>39289</v>
      </c>
      <c t="s">
        <v>31171</v>
      </c>
      <c t="s">
        <v>66797</v>
      </c>
      <c t="s">
        <v>3093</v>
      </c>
      <c t="s">
        <v>32049</v>
      </c>
    </row>
    <row>
      <c t="s">
        <v>17594</v>
      </c>
      <c t="s">
        <v>61320</v>
      </c>
      <c t="s">
        <v>40630</v>
      </c>
      <c t="s">
        <v>8922</v>
      </c>
      <c t="s">
        <v>36694</v>
      </c>
      <c s="3">
        <v>28000</v>
      </c>
      <c s="3">
        <v>28000</v>
      </c>
      <c s="3">
        <v>28000</v>
      </c>
      <c>
        <v>0</v>
      </c>
      <c s="3">
        <v>0</v>
      </c>
      <c s="3">
        <v>3000.24</v>
      </c>
      <c s="3">
        <v>28000</v>
      </c>
      <c r="O1993" s="1" t="str">
        <f ca="1">HYPERLINK("https://web.datatree.com/?/property?propertyId=32704703", "https://web.datatree.com/?/property?propertyId=32704703")</f>
        <v>https://web.datatree.com/?/property?propertyId=32704703</v>
      </c>
      <c r="Q1993" t="s">
        <v>316</v>
      </c>
      <c>
        <v>0.23</v>
      </c>
      <c t="s">
        <v>45031</v>
      </c>
      <c t="s">
        <v>5759</v>
      </c>
      <c t="s">
        <v>9321</v>
      </c>
      <c r="X1993" t="s">
        <v>33100</v>
      </c>
      <c t="s">
        <v>55273</v>
      </c>
      <c t="s">
        <v>2517</v>
      </c>
      <c t="s">
        <v>39289</v>
      </c>
      <c>
        <v>33909</v>
      </c>
      <c t="s">
        <v>5473</v>
      </c>
      <c t="s">
        <v>48794</v>
      </c>
      <c t="s">
        <v>39159</v>
      </c>
      <c>
        <v>580</v>
      </c>
      <c r="AI1993" t="s">
        <v>38860</v>
      </c>
      <c t="s">
        <v>45393</v>
      </c>
      <c t="s">
        <v>384</v>
      </c>
      <c t="s">
        <v>41017</v>
      </c>
      <c t="s">
        <v>41017</v>
      </c>
      <c t="s">
        <v>14798</v>
      </c>
      <c t="s">
        <v>42792</v>
      </c>
      <c t="s">
        <v>12399</v>
      </c>
      <c t="s">
        <v>3093</v>
      </c>
      <c t="s">
        <v>32580</v>
      </c>
    </row>
    <row>
      <c t="s">
        <v>17594</v>
      </c>
      <c t="s">
        <v>56872</v>
      </c>
      <c t="s">
        <v>67203</v>
      </c>
      <c t="s">
        <v>37026</v>
      </c>
      <c t="s">
        <v>317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1994" s="1" t="str">
        <f ca="1">HYPERLINK("https://web.datatree.com/?/property?propertyId=32704903", "https://web.datatree.com/?/property?propertyId=32704903")</f>
        <v>https://web.datatree.com/?/property?propertyId=32704903</v>
      </c>
      <c r="Q1994" t="s">
        <v>316</v>
      </c>
      <c>
        <v>0.23</v>
      </c>
      <c t="s">
        <v>6175</v>
      </c>
      <c t="s">
        <v>19947</v>
      </c>
      <c t="s">
        <v>17026</v>
      </c>
      <c r="X1994" t="s">
        <v>10546</v>
      </c>
      <c t="s">
        <v>47150</v>
      </c>
      <c t="s">
        <v>2517</v>
      </c>
      <c t="s">
        <v>39289</v>
      </c>
      <c>
        <v>33909</v>
      </c>
      <c t="s">
        <v>37378</v>
      </c>
      <c t="s">
        <v>48794</v>
      </c>
      <c t="s">
        <v>5042</v>
      </c>
      <c>
        <v>51</v>
      </c>
      <c r="AI1994" t="s">
        <v>50331</v>
      </c>
      <c t="s">
        <v>45393</v>
      </c>
      <c r="AL1994" t="s">
        <v>4336</v>
      </c>
      <c r="AN1994" t="s">
        <v>22275</v>
      </c>
      <c t="s">
        <v>23579</v>
      </c>
      <c t="s">
        <v>3364</v>
      </c>
      <c t="s">
        <v>3093</v>
      </c>
      <c t="s">
        <v>12789</v>
      </c>
    </row>
    <row>
      <c t="s">
        <v>17594</v>
      </c>
      <c t="s">
        <v>45828</v>
      </c>
      <c t="s">
        <v>26173</v>
      </c>
      <c t="s">
        <v>19455</v>
      </c>
      <c t="s">
        <v>47316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>
        <v>2021</v>
      </c>
      <c>
        <v>542.5</v>
      </c>
      <c s="1" t="str">
        <f ca="1">HYPERLINK("https://web.datatree.com/?/property?propertyId=32706602", "https://web.datatree.com/?/property?propertyId=32706602")</f>
        <v>https://web.datatree.com/?/property?propertyId=32706602</v>
      </c>
      <c r="Q1995" t="s">
        <v>316</v>
      </c>
      <c>
        <v>0.226</v>
      </c>
      <c t="s">
        <v>54449</v>
      </c>
      <c t="s">
        <v>15107</v>
      </c>
      <c t="s">
        <v>9640</v>
      </c>
      <c r="X1995" t="s">
        <v>62121</v>
      </c>
      <c t="s">
        <v>38550</v>
      </c>
      <c t="s">
        <v>2517</v>
      </c>
      <c t="s">
        <v>39289</v>
      </c>
      <c>
        <v>33909</v>
      </c>
      <c t="s">
        <v>34695</v>
      </c>
      <c t="s">
        <v>48794</v>
      </c>
      <c t="s">
        <v>18333</v>
      </c>
      <c>
        <v>3161</v>
      </c>
      <c r="AI1995" t="s">
        <v>30928</v>
      </c>
      <c t="s">
        <v>45393</v>
      </c>
      <c r="AL1995" t="s">
        <v>46989</v>
      </c>
      <c t="s">
        <v>46989</v>
      </c>
      <c t="s">
        <v>39289</v>
      </c>
      <c t="s">
        <v>28159</v>
      </c>
      <c t="s">
        <v>7207</v>
      </c>
      <c t="s">
        <v>3093</v>
      </c>
      <c t="s">
        <v>46627</v>
      </c>
    </row>
    <row>
      <c t="s">
        <v>17594</v>
      </c>
      <c t="s">
        <v>26414</v>
      </c>
      <c t="s">
        <v>1812</v>
      </c>
      <c t="s">
        <v>3310</v>
      </c>
      <c t="s">
        <v>54386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1996" s="1" t="str">
        <f ca="1">HYPERLINK("https://web.datatree.com/?/property?propertyId=32707693", "https://web.datatree.com/?/property?propertyId=32707693")</f>
        <v>https://web.datatree.com/?/property?propertyId=32707693</v>
      </c>
      <c r="Q1996" t="s">
        <v>316</v>
      </c>
      <c>
        <v>0.254</v>
      </c>
      <c t="s">
        <v>6175</v>
      </c>
      <c t="s">
        <v>4190</v>
      </c>
      <c t="s">
        <v>9592</v>
      </c>
      <c t="s">
        <v>4190</v>
      </c>
      <c t="s">
        <v>9592</v>
      </c>
      <c t="s">
        <v>4046</v>
      </c>
      <c t="s">
        <v>25017</v>
      </c>
      <c t="s">
        <v>2517</v>
      </c>
      <c t="s">
        <v>39289</v>
      </c>
      <c>
        <v>33909</v>
      </c>
      <c t="s">
        <v>47131</v>
      </c>
      <c t="s">
        <v>48794</v>
      </c>
      <c t="s">
        <v>34677</v>
      </c>
      <c t="str">
        <f>"53-46"</f>
        <v>53-46</v>
      </c>
      <c r="AI1996" t="s">
        <v>63198</v>
      </c>
      <c r="AK1996">
        <v>14</v>
      </c>
      <c t="s">
        <v>60998</v>
      </c>
      <c r="AN1996" t="s">
        <v>14798</v>
      </c>
      <c r="AR1996" t="s">
        <v>21751</v>
      </c>
    </row>
    <row>
      <c t="s">
        <v>17594</v>
      </c>
      <c t="s">
        <v>6314</v>
      </c>
      <c t="s">
        <v>6415</v>
      </c>
      <c t="s">
        <v>47663</v>
      </c>
      <c t="s">
        <v>6116</v>
      </c>
      <c s="3">
        <v>17887</v>
      </c>
      <c s="3">
        <v>17887</v>
      </c>
      <c s="3">
        <v>8470</v>
      </c>
      <c>
        <v>0</v>
      </c>
      <c s="3">
        <v>0</v>
      </c>
      <c s="3">
        <v>593.83</v>
      </c>
      <c s="3">
        <v>17887</v>
      </c>
      <c>
        <v>2021</v>
      </c>
      <c>
        <v>609.82</v>
      </c>
      <c s="1" t="str">
        <f ca="1">HYPERLINK("https://web.datatree.com/?/property?propertyId=32708320", "https://web.datatree.com/?/property?propertyId=32708320")</f>
        <v>https://web.datatree.com/?/property?propertyId=32708320</v>
      </c>
      <c r="Q1997" t="s">
        <v>316</v>
      </c>
      <c>
        <v>0.253</v>
      </c>
      <c t="s">
        <v>6175</v>
      </c>
      <c t="s">
        <v>54569</v>
      </c>
      <c t="s">
        <v>37481</v>
      </c>
      <c r="X1997" t="s">
        <v>28070</v>
      </c>
      <c t="s">
        <v>30928</v>
      </c>
      <c t="s">
        <v>2517</v>
      </c>
      <c t="s">
        <v>39289</v>
      </c>
      <c>
        <v>33909</v>
      </c>
      <c t="s">
        <v>39056</v>
      </c>
      <c t="s">
        <v>48794</v>
      </c>
      <c t="s">
        <v>50391</v>
      </c>
      <c>
        <v>9300</v>
      </c>
      <c r="AI1997" t="s">
        <v>20559</v>
      </c>
      <c t="s">
        <v>45393</v>
      </c>
      <c>
        <v>224</v>
      </c>
      <c t="s">
        <v>55393</v>
      </c>
      <c r="AN1997" t="s">
        <v>39289</v>
      </c>
      <c t="s">
        <v>22079</v>
      </c>
      <c t="s">
        <v>66797</v>
      </c>
      <c t="s">
        <v>3093</v>
      </c>
      <c t="s">
        <v>27350</v>
      </c>
    </row>
    <row>
      <c t="s">
        <v>17594</v>
      </c>
      <c t="s">
        <v>30436</v>
      </c>
      <c t="s">
        <v>64223</v>
      </c>
      <c t="s">
        <v>4782</v>
      </c>
      <c t="s">
        <v>24993</v>
      </c>
      <c s="3">
        <v>54000</v>
      </c>
      <c s="3">
        <v>54000</v>
      </c>
      <c s="3">
        <v>54000</v>
      </c>
      <c>
        <v>0</v>
      </c>
      <c s="3">
        <v>0</v>
      </c>
      <c s="3">
        <v>957.17</v>
      </c>
      <c s="3">
        <v>54000</v>
      </c>
      <c r="O1998" s="1" t="str">
        <f ca="1">HYPERLINK("https://web.datatree.com/?/property?propertyId=32708474", "https://web.datatree.com/?/property?propertyId=32708474")</f>
        <v>https://web.datatree.com/?/property?propertyId=32708474</v>
      </c>
      <c r="Q1998" t="s">
        <v>316</v>
      </c>
      <c>
        <v>0.236</v>
      </c>
      <c t="s">
        <v>6175</v>
      </c>
      <c t="s">
        <v>44091</v>
      </c>
      <c t="s">
        <v>44893</v>
      </c>
      <c r="X1998" t="s">
        <v>34395</v>
      </c>
      <c t="s">
        <v>25017</v>
      </c>
      <c t="s">
        <v>2517</v>
      </c>
      <c t="s">
        <v>39289</v>
      </c>
      <c>
        <v>33909</v>
      </c>
      <c t="s">
        <v>19256</v>
      </c>
      <c t="s">
        <v>48794</v>
      </c>
      <c t="s">
        <v>66672</v>
      </c>
      <c>
        <v>315</v>
      </c>
      <c r="AI1998" t="s">
        <v>16783</v>
      </c>
      <c t="s">
        <v>45393</v>
      </c>
      <c r="AL1998" t="s">
        <v>59767</v>
      </c>
      <c t="s">
        <v>59767</v>
      </c>
      <c t="s">
        <v>40451</v>
      </c>
      <c t="s">
        <v>8348</v>
      </c>
      <c t="s">
        <v>19978</v>
      </c>
      <c t="s">
        <v>3093</v>
      </c>
      <c t="s">
        <v>32879</v>
      </c>
    </row>
    <row>
      <c t="s">
        <v>17594</v>
      </c>
      <c t="s">
        <v>26468</v>
      </c>
      <c t="s">
        <v>55486</v>
      </c>
      <c t="s">
        <v>43366</v>
      </c>
      <c t="s">
        <v>23161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1999" s="1" t="str">
        <f ca="1">HYPERLINK("https://web.datatree.com/?/property?propertyId=32709282", "https://web.datatree.com/?/property?propertyId=32709282")</f>
        <v>https://web.datatree.com/?/property?propertyId=32709282</v>
      </c>
      <c r="Q1999" t="s">
        <v>316</v>
      </c>
      <c>
        <v>0.23</v>
      </c>
      <c t="s">
        <v>22490</v>
      </c>
      <c t="s">
        <v>16893</v>
      </c>
      <c t="s">
        <v>43620</v>
      </c>
      <c t="s">
        <v>25238</v>
      </c>
      <c t="s">
        <v>43620</v>
      </c>
      <c t="s">
        <v>44563</v>
      </c>
      <c t="s">
        <v>59763</v>
      </c>
      <c t="s">
        <v>2517</v>
      </c>
      <c t="s">
        <v>39289</v>
      </c>
      <c>
        <v>33909</v>
      </c>
      <c>
        <v>33909</v>
      </c>
      <c t="s">
        <v>48794</v>
      </c>
      <c t="s">
        <v>19525</v>
      </c>
      <c>
        <v>2495</v>
      </c>
      <c r="AI1999" t="s">
        <v>58797</v>
      </c>
      <c t="s">
        <v>45393</v>
      </c>
      <c r="AL1999" t="s">
        <v>8109</v>
      </c>
      <c r="AN1999" t="s">
        <v>50917</v>
      </c>
      <c t="s">
        <v>8740</v>
      </c>
      <c t="s">
        <v>15968</v>
      </c>
      <c t="s">
        <v>3093</v>
      </c>
      <c t="s">
        <v>15927</v>
      </c>
    </row>
    <row>
      <c t="s">
        <v>17594</v>
      </c>
      <c t="s">
        <v>4518</v>
      </c>
      <c t="s">
        <v>66805</v>
      </c>
      <c t="s">
        <v>27953</v>
      </c>
      <c t="s">
        <v>19507</v>
      </c>
      <c s="3">
        <v>23352</v>
      </c>
      <c s="3">
        <v>23352</v>
      </c>
      <c s="3">
        <v>8800</v>
      </c>
      <c>
        <v>0</v>
      </c>
      <c s="3">
        <v>0</v>
      </c>
      <c s="3">
        <v>598.34</v>
      </c>
      <c s="3">
        <v>23352</v>
      </c>
      <c r="O2000" s="1" t="str">
        <f ca="1">HYPERLINK("https://web.datatree.com/?/property?propertyId=32709819", "https://web.datatree.com/?/property?propertyId=32709819")</f>
        <v>https://web.datatree.com/?/property?propertyId=32709819</v>
      </c>
      <c r="Q2000" t="s">
        <v>316</v>
      </c>
      <c>
        <v>0.244</v>
      </c>
      <c t="s">
        <v>22490</v>
      </c>
      <c t="s">
        <v>30421</v>
      </c>
      <c t="s">
        <v>31589</v>
      </c>
      <c r="X2000" t="s">
        <v>59397</v>
      </c>
      <c t="s">
        <v>46469</v>
      </c>
      <c t="s">
        <v>2517</v>
      </c>
      <c t="s">
        <v>39289</v>
      </c>
      <c>
        <v>33909</v>
      </c>
      <c t="s">
        <v>23015</v>
      </c>
      <c t="s">
        <v>48794</v>
      </c>
      <c t="s">
        <v>26006</v>
      </c>
      <c>
        <v>45</v>
      </c>
      <c r="AI2000" t="s">
        <v>62263</v>
      </c>
      <c t="s">
        <v>24900</v>
      </c>
      <c r="AL2000" t="s">
        <v>64737</v>
      </c>
      <c r="AN2000" t="s">
        <v>10909</v>
      </c>
      <c t="s">
        <v>25820</v>
      </c>
      <c r="AQ2000" t="s">
        <v>27814</v>
      </c>
      <c t="s">
        <v>46092</v>
      </c>
    </row>
    <row>
      <c t="s">
        <v>17594</v>
      </c>
      <c t="s">
        <v>62235</v>
      </c>
      <c t="s">
        <v>41072</v>
      </c>
      <c t="s">
        <v>64541</v>
      </c>
      <c t="s">
        <v>54525</v>
      </c>
      <c s="3">
        <v>18472</v>
      </c>
      <c s="3">
        <v>18472</v>
      </c>
      <c s="3">
        <v>9900</v>
      </c>
      <c>
        <v>0</v>
      </c>
      <c s="3">
        <v>0</v>
      </c>
      <c s="3">
        <v>690.24</v>
      </c>
      <c s="3">
        <v>18472</v>
      </c>
      <c r="O2001" s="1" t="str">
        <f ca="1">HYPERLINK("https://web.datatree.com/?/property?propertyId=32709887", "https://web.datatree.com/?/property?propertyId=32709887")</f>
        <v>https://web.datatree.com/?/property?propertyId=32709887</v>
      </c>
      <c r="Q2001" t="s">
        <v>316</v>
      </c>
      <c>
        <v>0.344</v>
      </c>
      <c t="s">
        <v>6175</v>
      </c>
      <c t="s">
        <v>44033</v>
      </c>
      <c t="s">
        <v>24432</v>
      </c>
      <c r="X2001" t="s">
        <v>11060</v>
      </c>
      <c t="s">
        <v>53675</v>
      </c>
      <c t="s">
        <v>2517</v>
      </c>
      <c t="s">
        <v>39289</v>
      </c>
      <c>
        <v>33909</v>
      </c>
      <c t="s">
        <v>32309</v>
      </c>
      <c t="s">
        <v>48794</v>
      </c>
      <c t="s">
        <v>24003</v>
      </c>
      <c>
        <v>19513</v>
      </c>
      <c r="AI2001" t="s">
        <v>48337</v>
      </c>
      <c t="s">
        <v>41372</v>
      </c>
      <c r="AL2001" t="s">
        <v>55393</v>
      </c>
      <c t="s">
        <v>31831</v>
      </c>
      <c t="s">
        <v>39289</v>
      </c>
      <c t="s">
        <v>61812</v>
      </c>
      <c t="s">
        <v>43446</v>
      </c>
      <c t="s">
        <v>3093</v>
      </c>
      <c t="s">
        <v>41579</v>
      </c>
    </row>
    <row>
      <c t="s">
        <v>17594</v>
      </c>
      <c t="s">
        <v>63560</v>
      </c>
      <c t="s">
        <v>40551</v>
      </c>
      <c t="s">
        <v>26239</v>
      </c>
      <c t="s">
        <v>7613</v>
      </c>
      <c s="3">
        <v>9242</v>
      </c>
      <c s="3">
        <v>9242</v>
      </c>
      <c s="3">
        <v>6615</v>
      </c>
      <c>
        <v>0</v>
      </c>
      <c s="3">
        <v>0</v>
      </c>
      <c s="3">
        <v>113.66</v>
      </c>
      <c s="3">
        <v>9242</v>
      </c>
      <c r="O2002" s="1" t="str">
        <f ca="1">HYPERLINK("https://web.datatree.com/?/property?propertyId=32710180", "https://web.datatree.com/?/property?propertyId=32710180")</f>
        <v>https://web.datatree.com/?/property?propertyId=32710180</v>
      </c>
      <c r="Q2002" t="s">
        <v>316</v>
      </c>
      <c>
        <v>0.125</v>
      </c>
      <c t="s">
        <v>5471</v>
      </c>
      <c t="s">
        <v>33044</v>
      </c>
      <c t="s">
        <v>32964</v>
      </c>
      <c r="X2002" t="s">
        <v>35015</v>
      </c>
      <c t="s">
        <v>5630</v>
      </c>
      <c t="s">
        <v>65059</v>
      </c>
      <c t="s">
        <v>39289</v>
      </c>
      <c>
        <v>33905</v>
      </c>
      <c>
        <v>33905</v>
      </c>
      <c t="s">
        <v>48794</v>
      </c>
      <c t="s">
        <v>57337</v>
      </c>
      <c>
        <v>632</v>
      </c>
      <c r="AH2002" t="s">
        <v>26580</v>
      </c>
      <c>
        <v>200</v>
      </c>
      <c r="AL2002" t="s">
        <v>34512</v>
      </c>
      <c t="s">
        <v>34512</v>
      </c>
      <c t="s">
        <v>47028</v>
      </c>
      <c t="s">
        <v>36212</v>
      </c>
      <c t="s">
        <v>12241</v>
      </c>
      <c t="s">
        <v>3093</v>
      </c>
      <c t="s">
        <v>2710</v>
      </c>
    </row>
    <row>
      <c t="s">
        <v>17594</v>
      </c>
      <c t="s">
        <v>61045</v>
      </c>
      <c t="s">
        <v>34426</v>
      </c>
      <c t="s">
        <v>4644</v>
      </c>
      <c t="s">
        <v>24290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2003" s="1" t="str">
        <f ca="1">HYPERLINK("https://web.datatree.com/?/property?propertyId=32711008", "https://web.datatree.com/?/property?propertyId=32711008")</f>
        <v>https://web.datatree.com/?/property?propertyId=32711008</v>
      </c>
      <c r="Q2003" t="s">
        <v>316</v>
      </c>
      <c>
        <v>0.23</v>
      </c>
      <c t="s">
        <v>6175</v>
      </c>
      <c t="s">
        <v>21379</v>
      </c>
      <c t="s">
        <v>30224</v>
      </c>
      <c r="X2003" t="s">
        <v>16478</v>
      </c>
      <c t="s">
        <v>29190</v>
      </c>
      <c t="s">
        <v>2517</v>
      </c>
      <c t="s">
        <v>39289</v>
      </c>
      <c>
        <v>33909</v>
      </c>
      <c t="s">
        <v>32541</v>
      </c>
      <c t="s">
        <v>48794</v>
      </c>
      <c t="s">
        <v>59652</v>
      </c>
      <c>
        <v>912</v>
      </c>
      <c r="AI2003" t="s">
        <v>46084</v>
      </c>
      <c t="s">
        <v>1671</v>
      </c>
      <c r="AL2003" t="s">
        <v>33692</v>
      </c>
      <c r="AN2003" t="s">
        <v>66651</v>
      </c>
      <c t="s">
        <v>25553</v>
      </c>
      <c t="s">
        <v>35354</v>
      </c>
      <c t="s">
        <v>3093</v>
      </c>
      <c t="s">
        <v>25188</v>
      </c>
    </row>
    <row>
      <c t="s">
        <v>17594</v>
      </c>
      <c t="s">
        <v>8440</v>
      </c>
      <c t="s">
        <v>4896</v>
      </c>
      <c t="s">
        <v>63337</v>
      </c>
      <c t="s">
        <v>26134</v>
      </c>
      <c s="3">
        <v>138000</v>
      </c>
      <c s="3">
        <v>138000</v>
      </c>
      <c s="3">
        <v>138000</v>
      </c>
      <c>
        <v>0</v>
      </c>
      <c s="3">
        <v>0</v>
      </c>
      <c s="3">
        <v>2473.82</v>
      </c>
      <c s="3">
        <v>138000</v>
      </c>
      <c r="O2004" s="1" t="str">
        <f ca="1">HYPERLINK("https://web.datatree.com/?/property?propertyId=32711388", "https://web.datatree.com/?/property?propertyId=32711388")</f>
        <v>https://web.datatree.com/?/property?propertyId=32711388</v>
      </c>
      <c r="Q2004" t="s">
        <v>316</v>
      </c>
      <c>
        <v>0.23</v>
      </c>
      <c t="s">
        <v>22490</v>
      </c>
      <c t="s">
        <v>2140</v>
      </c>
      <c t="s">
        <v>60791</v>
      </c>
      <c r="X2004" t="s">
        <v>37038</v>
      </c>
      <c t="s">
        <v>66701</v>
      </c>
      <c t="s">
        <v>2517</v>
      </c>
      <c t="s">
        <v>39289</v>
      </c>
      <c>
        <v>33904</v>
      </c>
      <c t="s">
        <v>2314</v>
      </c>
      <c t="s">
        <v>48794</v>
      </c>
      <c t="s">
        <v>5056</v>
      </c>
      <c>
        <v>1303</v>
      </c>
      <c r="AI2004" t="s">
        <v>35083</v>
      </c>
      <c t="s">
        <v>31192</v>
      </c>
      <c t="s">
        <v>17594</v>
      </c>
      <c t="s">
        <v>24594</v>
      </c>
      <c t="s">
        <v>24594</v>
      </c>
      <c t="s">
        <v>19878</v>
      </c>
      <c t="s">
        <v>22436</v>
      </c>
      <c t="s">
        <v>40645</v>
      </c>
      <c t="s">
        <v>3093</v>
      </c>
      <c t="s">
        <v>61043</v>
      </c>
    </row>
    <row>
      <c t="s">
        <v>17594</v>
      </c>
      <c t="s">
        <v>57928</v>
      </c>
      <c t="s">
        <v>63152</v>
      </c>
      <c t="s">
        <v>48791</v>
      </c>
      <c t="s">
        <v>37436</v>
      </c>
      <c s="3">
        <v>17276</v>
      </c>
      <c s="3">
        <v>17276</v>
      </c>
      <c s="3">
        <v>8470</v>
      </c>
      <c>
        <v>0</v>
      </c>
      <c s="3">
        <v>0</v>
      </c>
      <c s="3">
        <v>576.29</v>
      </c>
      <c s="3">
        <v>17276</v>
      </c>
      <c r="O2005" s="1" t="str">
        <f ca="1">HYPERLINK("https://web.datatree.com/?/property?propertyId=32713274", "https://web.datatree.com/?/property?propertyId=32713274")</f>
        <v>https://web.datatree.com/?/property?propertyId=32713274</v>
      </c>
      <c r="Q2005" t="s">
        <v>316</v>
      </c>
      <c>
        <v>0.241</v>
      </c>
      <c t="s">
        <v>6175</v>
      </c>
      <c t="s">
        <v>26059</v>
      </c>
      <c t="s">
        <v>64021</v>
      </c>
      <c r="X2005" t="s">
        <v>58368</v>
      </c>
      <c t="s">
        <v>14534</v>
      </c>
      <c t="s">
        <v>2517</v>
      </c>
      <c t="s">
        <v>39289</v>
      </c>
      <c>
        <v>33909</v>
      </c>
      <c t="s">
        <v>36392</v>
      </c>
      <c t="s">
        <v>48794</v>
      </c>
      <c t="s">
        <v>10915</v>
      </c>
      <c>
        <v>226</v>
      </c>
      <c r="AI2005" t="s">
        <v>46553</v>
      </c>
      <c t="s">
        <v>45620</v>
      </c>
      <c r="AL2005" t="s">
        <v>53105</v>
      </c>
      <c r="AN2005" t="s">
        <v>22275</v>
      </c>
      <c t="s">
        <v>52187</v>
      </c>
      <c t="s">
        <v>27553</v>
      </c>
      <c t="s">
        <v>3093</v>
      </c>
      <c t="s">
        <v>50251</v>
      </c>
    </row>
    <row>
      <c t="s">
        <v>17594</v>
      </c>
      <c t="s">
        <v>19082</v>
      </c>
      <c t="s">
        <v>3779</v>
      </c>
      <c t="s">
        <v>8833</v>
      </c>
      <c t="s">
        <v>57166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006" s="1" t="str">
        <f ca="1">HYPERLINK("https://web.datatree.com/?/property?propertyId=32713645", "https://web.datatree.com/?/property?propertyId=32713645")</f>
        <v>https://web.datatree.com/?/property?propertyId=32713645</v>
      </c>
      <c r="Q2006" t="s">
        <v>316</v>
      </c>
      <c>
        <v>0.23</v>
      </c>
      <c t="s">
        <v>22490</v>
      </c>
      <c t="s">
        <v>1599</v>
      </c>
      <c t="s">
        <v>40993</v>
      </c>
      <c t="s">
        <v>26326</v>
      </c>
      <c t="s">
        <v>15485</v>
      </c>
      <c t="s">
        <v>25301</v>
      </c>
      <c t="s">
        <v>29190</v>
      </c>
      <c t="s">
        <v>2517</v>
      </c>
      <c t="s">
        <v>39289</v>
      </c>
      <c>
        <v>33909</v>
      </c>
      <c t="s">
        <v>66884</v>
      </c>
      <c t="s">
        <v>48794</v>
      </c>
      <c t="s">
        <v>5091</v>
      </c>
      <c>
        <v>109</v>
      </c>
      <c r="AI2006" t="s">
        <v>13593</v>
      </c>
      <c t="s">
        <v>24900</v>
      </c>
      <c r="AL2006" t="s">
        <v>24202</v>
      </c>
      <c t="s">
        <v>24202</v>
      </c>
      <c t="s">
        <v>9387</v>
      </c>
      <c t="s">
        <v>18047</v>
      </c>
      <c t="s">
        <v>34162</v>
      </c>
      <c t="s">
        <v>3093</v>
      </c>
      <c t="s">
        <v>10724</v>
      </c>
    </row>
    <row>
      <c t="s">
        <v>17594</v>
      </c>
      <c t="s">
        <v>1284</v>
      </c>
      <c t="s">
        <v>34199</v>
      </c>
      <c t="s">
        <v>64883</v>
      </c>
      <c t="s">
        <v>10502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007" s="1" t="str">
        <f ca="1">HYPERLINK("https://web.datatree.com/?/property?propertyId=32715717", "https://web.datatree.com/?/property?propertyId=32715717")</f>
        <v>https://web.datatree.com/?/property?propertyId=32715717</v>
      </c>
      <c r="Q2007" t="s">
        <v>316</v>
      </c>
      <c>
        <v>0.23</v>
      </c>
      <c t="s">
        <v>42044</v>
      </c>
      <c t="s">
        <v>58703</v>
      </c>
      <c t="s">
        <v>31</v>
      </c>
      <c r="X2007" t="s">
        <v>11793</v>
      </c>
      <c t="s">
        <v>61144</v>
      </c>
      <c t="s">
        <v>2517</v>
      </c>
      <c t="s">
        <v>39289</v>
      </c>
      <c>
        <v>33909</v>
      </c>
      <c t="s">
        <v>56696</v>
      </c>
      <c t="s">
        <v>48794</v>
      </c>
      <c t="s">
        <v>48848</v>
      </c>
      <c>
        <v>2832</v>
      </c>
      <c r="AI2007" t="s">
        <v>6294</v>
      </c>
      <c t="s">
        <v>24900</v>
      </c>
      <c r="AL2007" t="s">
        <v>10315</v>
      </c>
      <c t="s">
        <v>56962</v>
      </c>
      <c t="s">
        <v>27481</v>
      </c>
      <c t="s">
        <v>7410</v>
      </c>
      <c t="s">
        <v>39073</v>
      </c>
      <c t="s">
        <v>3093</v>
      </c>
      <c t="s">
        <v>49604</v>
      </c>
    </row>
    <row>
      <c t="s">
        <v>17594</v>
      </c>
      <c t="s">
        <v>62628</v>
      </c>
      <c t="s">
        <v>1906</v>
      </c>
      <c t="s">
        <v>16831</v>
      </c>
      <c t="s">
        <v>15657</v>
      </c>
      <c s="3">
        <v>26290</v>
      </c>
      <c s="3">
        <v>26290</v>
      </c>
      <c s="3">
        <v>12650</v>
      </c>
      <c>
        <v>0</v>
      </c>
      <c s="3">
        <v>0</v>
      </c>
      <c s="3">
        <v>654.09</v>
      </c>
      <c s="3">
        <v>26290</v>
      </c>
      <c r="O2008" s="1" t="str">
        <f ca="1">HYPERLINK("https://web.datatree.com/?/property?propertyId=32715905", "https://web.datatree.com/?/property?propertyId=32715905")</f>
        <v>https://web.datatree.com/?/property?propertyId=32715905</v>
      </c>
      <c r="Q2008" t="s">
        <v>316</v>
      </c>
      <c>
        <v>0.244</v>
      </c>
      <c t="s">
        <v>22490</v>
      </c>
      <c t="s">
        <v>7145</v>
      </c>
      <c t="s">
        <v>33925</v>
      </c>
      <c r="X2008" t="s">
        <v>65933</v>
      </c>
      <c t="s">
        <v>53675</v>
      </c>
      <c t="s">
        <v>2517</v>
      </c>
      <c t="s">
        <v>39289</v>
      </c>
      <c>
        <v>33909</v>
      </c>
      <c>
        <v>33909</v>
      </c>
      <c t="s">
        <v>48794</v>
      </c>
      <c t="s">
        <v>13811</v>
      </c>
      <c>
        <v>4</v>
      </c>
      <c r="AI2008" t="s">
        <v>31715</v>
      </c>
      <c t="s">
        <v>45393</v>
      </c>
      <c r="AL2008" t="s">
        <v>10735</v>
      </c>
      <c r="AN2008" t="s">
        <v>53599</v>
      </c>
      <c>
        <v>106</v>
      </c>
      <c r="AR2008" t="s">
        <v>50362</v>
      </c>
    </row>
    <row>
      <c t="s">
        <v>17594</v>
      </c>
      <c t="s">
        <v>26487</v>
      </c>
      <c t="s">
        <v>18936</v>
      </c>
      <c t="s">
        <v>31666</v>
      </c>
      <c t="s">
        <v>37135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 r="O2009" s="1" t="str">
        <f ca="1">HYPERLINK("https://web.datatree.com/?/property?propertyId=32715983", "https://web.datatree.com/?/property?propertyId=32715983")</f>
        <v>https://web.datatree.com/?/property?propertyId=32715983</v>
      </c>
      <c r="Q2009" t="s">
        <v>316</v>
      </c>
      <c>
        <v>0.23</v>
      </c>
      <c t="s">
        <v>6175</v>
      </c>
      <c t="s">
        <v>33269</v>
      </c>
      <c t="s">
        <v>22247</v>
      </c>
      <c t="s">
        <v>49307</v>
      </c>
      <c t="s">
        <v>22247</v>
      </c>
      <c t="s">
        <v>37861</v>
      </c>
      <c t="s">
        <v>49122</v>
      </c>
      <c t="s">
        <v>2517</v>
      </c>
      <c t="s">
        <v>39289</v>
      </c>
      <c>
        <v>33909</v>
      </c>
      <c t="s">
        <v>46023</v>
      </c>
      <c t="s">
        <v>48794</v>
      </c>
      <c t="s">
        <v>39725</v>
      </c>
      <c>
        <v>129</v>
      </c>
      <c r="AI2009" t="s">
        <v>64591</v>
      </c>
      <c t="s">
        <v>31192</v>
      </c>
      <c r="AL2009" t="s">
        <v>6350</v>
      </c>
      <c t="s">
        <v>6350</v>
      </c>
      <c t="s">
        <v>39289</v>
      </c>
      <c t="s">
        <v>67224</v>
      </c>
      <c t="s">
        <v>25140</v>
      </c>
      <c t="s">
        <v>3093</v>
      </c>
      <c t="s">
        <v>41834</v>
      </c>
    </row>
    <row>
      <c t="s">
        <v>17594</v>
      </c>
      <c t="s">
        <v>49449</v>
      </c>
      <c t="s">
        <v>19066</v>
      </c>
      <c t="s">
        <v>64151</v>
      </c>
      <c t="s">
        <v>56365</v>
      </c>
      <c s="3">
        <v>29000</v>
      </c>
      <c s="3">
        <v>29000</v>
      </c>
      <c s="3">
        <v>29000</v>
      </c>
      <c>
        <v>0</v>
      </c>
      <c s="3">
        <v>0</v>
      </c>
      <c s="3">
        <v>805.79</v>
      </c>
      <c s="3">
        <v>29000</v>
      </c>
      <c r="O2010" s="1" t="str">
        <f ca="1">HYPERLINK("https://web.datatree.com/?/property?propertyId=32716338", "https://web.datatree.com/?/property?propertyId=32716338")</f>
        <v>https://web.datatree.com/?/property?propertyId=32716338</v>
      </c>
      <c r="Q2010" t="s">
        <v>316</v>
      </c>
      <c>
        <v>0.344</v>
      </c>
      <c t="s">
        <v>6175</v>
      </c>
      <c r="U2010" t="s">
        <v>20403</v>
      </c>
      <c t="s">
        <v>6361</v>
      </c>
      <c t="s">
        <v>41243</v>
      </c>
      <c t="s">
        <v>56079</v>
      </c>
      <c t="s">
        <v>53675</v>
      </c>
      <c t="s">
        <v>2517</v>
      </c>
      <c t="s">
        <v>39289</v>
      </c>
      <c>
        <v>33909</v>
      </c>
      <c t="s">
        <v>60259</v>
      </c>
      <c t="s">
        <v>48794</v>
      </c>
      <c t="s">
        <v>66324</v>
      </c>
      <c>
        <v>2</v>
      </c>
      <c r="AI2010" t="s">
        <v>64341</v>
      </c>
      <c t="s">
        <v>45620</v>
      </c>
      <c r="AL2010" t="s">
        <v>45974</v>
      </c>
      <c r="AN2010" t="s">
        <v>64022</v>
      </c>
      <c t="s">
        <v>49675</v>
      </c>
      <c t="s">
        <v>42945</v>
      </c>
      <c t="s">
        <v>3093</v>
      </c>
      <c t="s">
        <v>24234</v>
      </c>
    </row>
    <row>
      <c t="s">
        <v>17594</v>
      </c>
      <c t="s">
        <v>55862</v>
      </c>
      <c t="s">
        <v>21542</v>
      </c>
      <c t="s">
        <v>38205</v>
      </c>
      <c t="s">
        <v>48773</v>
      </c>
      <c s="3">
        <v>24937</v>
      </c>
      <c s="3">
        <v>24937</v>
      </c>
      <c s="3">
        <v>9079</v>
      </c>
      <c>
        <v>0</v>
      </c>
      <c s="3">
        <v>0</v>
      </c>
      <c s="3">
        <v>2990.73</v>
      </c>
      <c s="3">
        <v>24937</v>
      </c>
      <c r="O2011" s="1" t="str">
        <f ca="1">HYPERLINK("https://web.datatree.com/?/property?propertyId=32718057", "https://web.datatree.com/?/property?propertyId=32718057")</f>
        <v>https://web.datatree.com/?/property?propertyId=32718057</v>
      </c>
      <c r="Q2011" t="s">
        <v>316</v>
      </c>
      <c>
        <v>0.249</v>
      </c>
      <c t="s">
        <v>37741</v>
      </c>
      <c t="s">
        <v>10361</v>
      </c>
      <c t="s">
        <v>13824</v>
      </c>
      <c r="X2011" t="s">
        <v>46078</v>
      </c>
      <c t="s">
        <v>25017</v>
      </c>
      <c t="s">
        <v>2517</v>
      </c>
      <c t="s">
        <v>39289</v>
      </c>
      <c>
        <v>33909</v>
      </c>
      <c t="s">
        <v>20563</v>
      </c>
      <c t="s">
        <v>48794</v>
      </c>
      <c t="s">
        <v>23927</v>
      </c>
      <c>
        <v>1719</v>
      </c>
      <c r="AI2011" t="s">
        <v>37591</v>
      </c>
      <c t="s">
        <v>45393</v>
      </c>
      <c r="AL2011" t="s">
        <v>23828</v>
      </c>
      <c t="s">
        <v>23828</v>
      </c>
      <c t="s">
        <v>39289</v>
      </c>
      <c t="s">
        <v>4276</v>
      </c>
      <c t="s">
        <v>34162</v>
      </c>
      <c t="s">
        <v>3093</v>
      </c>
      <c t="s">
        <v>63704</v>
      </c>
    </row>
    <row>
      <c t="s">
        <v>17594</v>
      </c>
      <c t="s">
        <v>43316</v>
      </c>
      <c t="s">
        <v>56524</v>
      </c>
      <c t="s">
        <v>10092</v>
      </c>
      <c t="s">
        <v>57726</v>
      </c>
      <c s="3">
        <v>24856</v>
      </c>
      <c s="3">
        <v>24856</v>
      </c>
      <c s="3">
        <v>10049</v>
      </c>
      <c>
        <v>0</v>
      </c>
      <c s="3">
        <v>0</v>
      </c>
      <c s="3">
        <v>688.28</v>
      </c>
      <c s="3">
        <v>24856</v>
      </c>
      <c r="O2012" s="1" t="str">
        <f ca="1">HYPERLINK("https://web.datatree.com/?/property?propertyId=32718319", "https://web.datatree.com/?/property?propertyId=32718319")</f>
        <v>https://web.datatree.com/?/property?propertyId=32718319</v>
      </c>
      <c r="Q2012" t="s">
        <v>316</v>
      </c>
      <c>
        <v>0.327</v>
      </c>
      <c t="s">
        <v>22490</v>
      </c>
      <c t="s">
        <v>25757</v>
      </c>
      <c t="s">
        <v>26409</v>
      </c>
      <c t="s">
        <v>46161</v>
      </c>
      <c t="s">
        <v>26409</v>
      </c>
      <c t="s">
        <v>26446</v>
      </c>
      <c t="s">
        <v>22731</v>
      </c>
      <c t="s">
        <v>2517</v>
      </c>
      <c t="s">
        <v>39289</v>
      </c>
      <c>
        <v>33909</v>
      </c>
      <c t="s">
        <v>34024</v>
      </c>
      <c t="s">
        <v>48794</v>
      </c>
      <c t="s">
        <v>54616</v>
      </c>
      <c>
        <v>16</v>
      </c>
      <c r="AI2012" t="s">
        <v>2132</v>
      </c>
      <c r="AL2012" t="s">
        <v>37722</v>
      </c>
      <c r="AN2012" t="s">
        <v>58733</v>
      </c>
      <c>
        <v>65239</v>
      </c>
      <c r="AR2012" t="s">
        <v>13217</v>
      </c>
    </row>
    <row>
      <c t="s">
        <v>17594</v>
      </c>
      <c t="s">
        <v>10398</v>
      </c>
      <c t="s">
        <v>26323</v>
      </c>
      <c t="s">
        <v>32544</v>
      </c>
      <c t="s">
        <v>48875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013" s="1" t="str">
        <f ca="1">HYPERLINK("https://web.datatree.com/?/property?propertyId=32718527", "https://web.datatree.com/?/property?propertyId=32718527")</f>
        <v>https://web.datatree.com/?/property?propertyId=32718527</v>
      </c>
      <c r="Q2013" t="s">
        <v>316</v>
      </c>
      <c>
        <v>0.23</v>
      </c>
      <c t="s">
        <v>6175</v>
      </c>
      <c r="U2013" t="s">
        <v>14996</v>
      </c>
      <c r="W2013" t="s">
        <v>18522</v>
      </c>
      <c t="s">
        <v>45732</v>
      </c>
      <c t="s">
        <v>33179</v>
      </c>
      <c t="s">
        <v>2517</v>
      </c>
      <c t="s">
        <v>39289</v>
      </c>
      <c>
        <v>33909</v>
      </c>
      <c t="s">
        <v>57146</v>
      </c>
      <c t="s">
        <v>48794</v>
      </c>
      <c t="s">
        <v>20594</v>
      </c>
      <c>
        <v>3113</v>
      </c>
      <c r="AI2013" t="s">
        <v>59039</v>
      </c>
      <c t="s">
        <v>56275</v>
      </c>
      <c r="AL2013" t="s">
        <v>47465</v>
      </c>
      <c t="s">
        <v>47465</v>
      </c>
      <c t="s">
        <v>39289</v>
      </c>
      <c t="s">
        <v>14184</v>
      </c>
      <c t="s">
        <v>3068</v>
      </c>
      <c t="s">
        <v>3093</v>
      </c>
      <c t="s">
        <v>33560</v>
      </c>
    </row>
    <row>
      <c t="s">
        <v>17594</v>
      </c>
      <c t="s">
        <v>63778</v>
      </c>
      <c t="s">
        <v>63818</v>
      </c>
      <c t="s">
        <v>38525</v>
      </c>
      <c t="s">
        <v>11645</v>
      </c>
      <c s="3">
        <v>83232</v>
      </c>
      <c s="3">
        <v>83232</v>
      </c>
      <c s="3">
        <v>74800</v>
      </c>
      <c>
        <v>0</v>
      </c>
      <c s="3">
        <v>0</v>
      </c>
      <c s="3">
        <v>1169.36</v>
      </c>
      <c s="3">
        <v>83232</v>
      </c>
      <c r="O2014" s="1" t="str">
        <f ca="1">HYPERLINK("https://web.datatree.com/?/property?propertyId=32718687", "https://web.datatree.com/?/property?propertyId=32718687")</f>
        <v>https://web.datatree.com/?/property?propertyId=32718687</v>
      </c>
      <c r="Q2014" t="s">
        <v>316</v>
      </c>
      <c>
        <v>0.176</v>
      </c>
      <c t="s">
        <v>5471</v>
      </c>
      <c t="s">
        <v>33321</v>
      </c>
      <c t="s">
        <v>55220</v>
      </c>
      <c t="s">
        <v>47859</v>
      </c>
      <c t="s">
        <v>11867</v>
      </c>
      <c t="s">
        <v>58923</v>
      </c>
      <c t="s">
        <v>33688</v>
      </c>
      <c t="s">
        <v>54524</v>
      </c>
      <c t="s">
        <v>39289</v>
      </c>
      <c>
        <v>33903</v>
      </c>
      <c t="s">
        <v>13806</v>
      </c>
      <c t="s">
        <v>48794</v>
      </c>
      <c t="s">
        <v>55785</v>
      </c>
      <c>
        <v>3</v>
      </c>
      <c r="AI2014" t="s">
        <v>29271</v>
      </c>
      <c t="s">
        <v>45620</v>
      </c>
      <c r="AL2014" t="s">
        <v>32447</v>
      </c>
      <c r="AN2014" t="s">
        <v>64022</v>
      </c>
      <c t="s">
        <v>40028</v>
      </c>
      <c t="s">
        <v>33856</v>
      </c>
      <c t="s">
        <v>3093</v>
      </c>
      <c t="s">
        <v>6909</v>
      </c>
    </row>
    <row>
      <c t="s">
        <v>17594</v>
      </c>
      <c t="s">
        <v>6955</v>
      </c>
      <c t="s">
        <v>21962</v>
      </c>
      <c t="s">
        <v>55025</v>
      </c>
      <c t="s">
        <v>40860</v>
      </c>
      <c s="3">
        <v>75184</v>
      </c>
      <c s="3">
        <v>67250</v>
      </c>
      <c s="3">
        <v>71700</v>
      </c>
      <c>
        <v>0</v>
      </c>
      <c s="3">
        <v>0</v>
      </c>
      <c s="3">
        <v>1097.71</v>
      </c>
      <c s="3">
        <v>75184</v>
      </c>
      <c r="O2015" s="1" t="str">
        <f ca="1">HYPERLINK("https://web.datatree.com/?/property?propertyId=32719446", "https://web.datatree.com/?/property?propertyId=32719446")</f>
        <v>https://web.datatree.com/?/property?propertyId=32719446</v>
      </c>
      <c r="Q2015" t="s">
        <v>316</v>
      </c>
      <c>
        <v>0.097</v>
      </c>
      <c t="s">
        <v>26492</v>
      </c>
      <c t="s">
        <v>46872</v>
      </c>
      <c t="s">
        <v>25290</v>
      </c>
      <c t="s">
        <v>50865</v>
      </c>
      <c t="s">
        <v>25290</v>
      </c>
      <c t="s">
        <v>17974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11526</v>
      </c>
      <c>
        <v>4435</v>
      </c>
      <c r="AH2015" t="s">
        <v>26580</v>
      </c>
      <c t="s">
        <v>43935</v>
      </c>
      <c r="AL2015" t="s">
        <v>21494</v>
      </c>
      <c t="s">
        <v>40227</v>
      </c>
      <c t="s">
        <v>49572</v>
      </c>
      <c t="s">
        <v>22119</v>
      </c>
      <c t="s">
        <v>18415</v>
      </c>
      <c t="s">
        <v>3093</v>
      </c>
      <c t="s">
        <v>22848</v>
      </c>
    </row>
    <row>
      <c t="s">
        <v>17594</v>
      </c>
      <c t="s">
        <v>38745</v>
      </c>
      <c t="s">
        <v>56941</v>
      </c>
      <c t="s">
        <v>49755</v>
      </c>
      <c t="s">
        <v>65535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2016" s="1" t="str">
        <f ca="1">HYPERLINK("https://web.datatree.com/?/property?propertyId=32719581", "https://web.datatree.com/?/property?propertyId=32719581")</f>
        <v>https://web.datatree.com/?/property?propertyId=32719581</v>
      </c>
      <c r="Q2016" t="s">
        <v>316</v>
      </c>
      <c>
        <v>0.23</v>
      </c>
      <c t="s">
        <v>6175</v>
      </c>
      <c t="s">
        <v>56272</v>
      </c>
      <c t="s">
        <v>3860</v>
      </c>
      <c r="X2016" t="s">
        <v>13343</v>
      </c>
      <c t="s">
        <v>14534</v>
      </c>
      <c t="s">
        <v>2517</v>
      </c>
      <c t="s">
        <v>39289</v>
      </c>
      <c>
        <v>33909</v>
      </c>
      <c t="s">
        <v>61067</v>
      </c>
      <c t="s">
        <v>48794</v>
      </c>
      <c t="s">
        <v>44761</v>
      </c>
      <c>
        <v>1049</v>
      </c>
      <c r="AI2016" t="s">
        <v>44419</v>
      </c>
      <c t="s">
        <v>31192</v>
      </c>
      <c r="AL2016" t="s">
        <v>18649</v>
      </c>
      <c t="s">
        <v>18649</v>
      </c>
      <c t="s">
        <v>19878</v>
      </c>
      <c t="s">
        <v>34846</v>
      </c>
      <c t="s">
        <v>51100</v>
      </c>
      <c t="s">
        <v>3093</v>
      </c>
      <c t="s">
        <v>38580</v>
      </c>
    </row>
    <row>
      <c t="s">
        <v>42103</v>
      </c>
      <c t="s">
        <v>718</v>
      </c>
      <c t="s">
        <v>45932</v>
      </c>
      <c t="s">
        <v>33663</v>
      </c>
      <c t="s">
        <v>4349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2017" s="1" t="str">
        <f ca="1">HYPERLINK("https://web.datatree.com/?/property?propertyId=32719602", "https://web.datatree.com/?/property?propertyId=32719602")</f>
        <v>https://web.datatree.com/?/property?propertyId=32719602</v>
      </c>
      <c r="Q2017" t="s">
        <v>316</v>
      </c>
      <c>
        <v>0.23</v>
      </c>
      <c t="s">
        <v>6175</v>
      </c>
      <c t="s">
        <v>15243</v>
      </c>
      <c t="s">
        <v>58109</v>
      </c>
      <c r="X2017" t="s">
        <v>4693</v>
      </c>
      <c t="s">
        <v>22731</v>
      </c>
      <c t="s">
        <v>2517</v>
      </c>
      <c t="s">
        <v>39289</v>
      </c>
      <c>
        <v>33909</v>
      </c>
      <c t="s">
        <v>55947</v>
      </c>
      <c t="s">
        <v>48794</v>
      </c>
      <c t="s">
        <v>14600</v>
      </c>
      <c r="AI2017" t="s">
        <v>30847</v>
      </c>
      <c r="AL2017" t="s">
        <v>8109</v>
      </c>
      <c r="AN2017" t="s">
        <v>50917</v>
      </c>
      <c>
        <v>11238</v>
      </c>
      <c t="s">
        <v>31451</v>
      </c>
      <c t="s">
        <v>3093</v>
      </c>
      <c t="s">
        <v>14821</v>
      </c>
    </row>
    <row>
      <c t="s">
        <v>17594</v>
      </c>
      <c t="s">
        <v>37479</v>
      </c>
      <c t="s">
        <v>19218</v>
      </c>
      <c t="s">
        <v>17743</v>
      </c>
      <c t="s">
        <v>27771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018" s="1" t="str">
        <f ca="1">HYPERLINK("https://web.datatree.com/?/property?propertyId=32720364", "https://web.datatree.com/?/property?propertyId=32720364")</f>
        <v>https://web.datatree.com/?/property?propertyId=32720364</v>
      </c>
      <c r="Q2018" t="s">
        <v>316</v>
      </c>
      <c>
        <v>0.23</v>
      </c>
      <c t="s">
        <v>22490</v>
      </c>
      <c t="s">
        <v>56143</v>
      </c>
      <c t="s">
        <v>2811</v>
      </c>
      <c t="s">
        <v>36243</v>
      </c>
      <c t="s">
        <v>2811</v>
      </c>
      <c t="s">
        <v>62928</v>
      </c>
      <c t="s">
        <v>49674</v>
      </c>
      <c t="s">
        <v>2517</v>
      </c>
      <c t="s">
        <v>39289</v>
      </c>
      <c>
        <v>33909</v>
      </c>
      <c t="s">
        <v>28565</v>
      </c>
      <c t="s">
        <v>48794</v>
      </c>
      <c t="s">
        <v>50963</v>
      </c>
      <c>
        <v>4111</v>
      </c>
      <c r="AH2018" t="s">
        <v>12549</v>
      </c>
      <c t="s">
        <v>17669</v>
      </c>
      <c r="AL2018" t="s">
        <v>8109</v>
      </c>
      <c r="AN2018" t="s">
        <v>50917</v>
      </c>
      <c t="s">
        <v>24177</v>
      </c>
      <c t="s">
        <v>22302</v>
      </c>
      <c t="s">
        <v>3093</v>
      </c>
      <c t="s">
        <v>39422</v>
      </c>
    </row>
    <row>
      <c t="s">
        <v>17594</v>
      </c>
      <c t="s">
        <v>38347</v>
      </c>
      <c t="s">
        <v>27708</v>
      </c>
      <c t="s">
        <v>4837</v>
      </c>
      <c t="s">
        <v>33251</v>
      </c>
      <c s="3">
        <v>13160</v>
      </c>
      <c s="3">
        <v>13160</v>
      </c>
      <c s="3">
        <v>9560</v>
      </c>
      <c>
        <v>0</v>
      </c>
      <c s="3">
        <v>0</v>
      </c>
      <c s="3">
        <v>157.22</v>
      </c>
      <c s="3">
        <v>13160</v>
      </c>
      <c r="O2019" s="1" t="str">
        <f ca="1">HYPERLINK("https://web.datatree.com/?/property?propertyId=32720580", "https://web.datatree.com/?/property?propertyId=32720580")</f>
        <v>https://web.datatree.com/?/property?propertyId=32720580</v>
      </c>
      <c r="Q2019" t="s">
        <v>316</v>
      </c>
      <c>
        <v>0.114</v>
      </c>
      <c r="T2019" t="s">
        <v>36133</v>
      </c>
      <c t="s">
        <v>30230</v>
      </c>
      <c r="X2019" t="s">
        <v>51606</v>
      </c>
      <c t="s">
        <v>12808</v>
      </c>
      <c t="s">
        <v>65059</v>
      </c>
      <c t="s">
        <v>39289</v>
      </c>
      <c>
        <v>33908</v>
      </c>
      <c t="s">
        <v>43355</v>
      </c>
      <c t="s">
        <v>48794</v>
      </c>
      <c t="s">
        <v>38736</v>
      </c>
      <c>
        <v>21200</v>
      </c>
      <c r="AI2019" t="s">
        <v>10653</v>
      </c>
      <c t="s">
        <v>40123</v>
      </c>
      <c r="AL2019" t="s">
        <v>55393</v>
      </c>
      <c t="s">
        <v>46784</v>
      </c>
      <c t="s">
        <v>39289</v>
      </c>
      <c t="s">
        <v>5967</v>
      </c>
      <c t="s">
        <v>17246</v>
      </c>
      <c t="s">
        <v>3093</v>
      </c>
      <c t="s">
        <v>35287</v>
      </c>
    </row>
    <row>
      <c t="s">
        <v>17594</v>
      </c>
      <c t="s">
        <v>66537</v>
      </c>
      <c t="s">
        <v>30596</v>
      </c>
      <c t="s">
        <v>29650</v>
      </c>
      <c t="s">
        <v>34913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>
        <v>2014</v>
      </c>
      <c>
        <v>2800.67</v>
      </c>
      <c s="1" t="str">
        <f ca="1">HYPERLINK("https://web.datatree.com/?/property?propertyId=32720899", "https://web.datatree.com/?/property?propertyId=32720899")</f>
        <v>https://web.datatree.com/?/property?propertyId=32720899</v>
      </c>
      <c r="Q2020" t="s">
        <v>316</v>
      </c>
      <c>
        <v>0.262</v>
      </c>
      <c t="s">
        <v>5471</v>
      </c>
      <c t="s">
        <v>1949</v>
      </c>
      <c t="s">
        <v>56812</v>
      </c>
      <c t="s">
        <v>27351</v>
      </c>
      <c r="X2020" t="s">
        <v>50412</v>
      </c>
      <c t="s">
        <v>39583</v>
      </c>
      <c t="s">
        <v>65059</v>
      </c>
      <c t="s">
        <v>39289</v>
      </c>
      <c>
        <v>33905</v>
      </c>
      <c t="s">
        <v>17212</v>
      </c>
      <c t="s">
        <v>48794</v>
      </c>
      <c t="s">
        <v>42258</v>
      </c>
      <c>
        <v>1810</v>
      </c>
      <c r="AI2020" t="s">
        <v>2626</v>
      </c>
      <c t="s">
        <v>24900</v>
      </c>
      <c>
        <v>208</v>
      </c>
      <c t="s">
        <v>55393</v>
      </c>
      <c t="s">
        <v>55393</v>
      </c>
      <c t="s">
        <v>39289</v>
      </c>
      <c t="s">
        <v>36630</v>
      </c>
      <c t="s">
        <v>32746</v>
      </c>
      <c t="s">
        <v>3093</v>
      </c>
      <c t="s">
        <v>59628</v>
      </c>
    </row>
    <row>
      <c t="s">
        <v>42103</v>
      </c>
      <c t="s">
        <v>8468</v>
      </c>
      <c t="s">
        <v>49208</v>
      </c>
      <c t="s">
        <v>24621</v>
      </c>
      <c t="s">
        <v>12813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2021" s="1" t="str">
        <f ca="1">HYPERLINK("https://web.datatree.com/?/property?propertyId=32721369", "https://web.datatree.com/?/property?propertyId=32721369")</f>
        <v>https://web.datatree.com/?/property?propertyId=32721369</v>
      </c>
      <c r="Q2021" t="s">
        <v>316</v>
      </c>
      <c>
        <v>0.244</v>
      </c>
      <c t="s">
        <v>6175</v>
      </c>
      <c t="s">
        <v>6528</v>
      </c>
      <c t="s">
        <v>42884</v>
      </c>
      <c r="X2021" t="s">
        <v>40462</v>
      </c>
      <c t="s">
        <v>34731</v>
      </c>
      <c t="s">
        <v>2517</v>
      </c>
      <c t="s">
        <v>39289</v>
      </c>
      <c>
        <v>33909</v>
      </c>
      <c t="s">
        <v>31639</v>
      </c>
      <c t="s">
        <v>48794</v>
      </c>
      <c t="s">
        <v>15131</v>
      </c>
      <c r="AI2021" t="s">
        <v>39121</v>
      </c>
      <c r="AL2021" t="s">
        <v>12652</v>
      </c>
      <c r="AN2021" t="s">
        <v>65451</v>
      </c>
      <c>
        <v>94539</v>
      </c>
      <c t="s">
        <v>61509</v>
      </c>
      <c t="s">
        <v>3093</v>
      </c>
      <c t="s">
        <v>65108</v>
      </c>
    </row>
    <row>
      <c t="s">
        <v>17594</v>
      </c>
      <c t="s">
        <v>17210</v>
      </c>
      <c t="s">
        <v>27345</v>
      </c>
      <c t="s">
        <v>25270</v>
      </c>
      <c t="s">
        <v>1909</v>
      </c>
      <c s="3">
        <v>40708</v>
      </c>
      <c s="3">
        <v>40708</v>
      </c>
      <c s="3">
        <v>29645</v>
      </c>
      <c>
        <v>0</v>
      </c>
      <c s="3">
        <v>0</v>
      </c>
      <c s="3">
        <v>473.13</v>
      </c>
      <c s="3">
        <v>40708</v>
      </c>
      <c r="O2022" s="1" t="str">
        <f ca="1">HYPERLINK("https://web.datatree.com/?/property?propertyId=32721526", "https://web.datatree.com/?/property?propertyId=32721526")</f>
        <v>https://web.datatree.com/?/property?propertyId=32721526</v>
      </c>
      <c r="Q2022" t="s">
        <v>316</v>
      </c>
      <c>
        <v>0.043</v>
      </c>
      <c t="s">
        <v>45526</v>
      </c>
      <c t="s">
        <v>1859</v>
      </c>
      <c t="s">
        <v>39006</v>
      </c>
      <c t="s">
        <v>16893</v>
      </c>
      <c t="s">
        <v>39006</v>
      </c>
      <c t="s">
        <v>6999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54593</v>
      </c>
      <c>
        <v>611</v>
      </c>
      <c r="AI2022" t="s">
        <v>16631</v>
      </c>
      <c t="s">
        <v>45393</v>
      </c>
      <c r="AL2022" t="s">
        <v>10942</v>
      </c>
      <c t="s">
        <v>38202</v>
      </c>
      <c t="s">
        <v>19878</v>
      </c>
      <c t="s">
        <v>44078</v>
      </c>
      <c t="s">
        <v>22152</v>
      </c>
      <c t="s">
        <v>3093</v>
      </c>
      <c t="s">
        <v>6221</v>
      </c>
    </row>
    <row>
      <c t="s">
        <v>17594</v>
      </c>
      <c t="s">
        <v>11938</v>
      </c>
      <c t="s">
        <v>19259</v>
      </c>
      <c t="s">
        <v>2431</v>
      </c>
      <c t="s">
        <v>9606</v>
      </c>
      <c s="3">
        <v>119952</v>
      </c>
      <c s="3">
        <v>119952</v>
      </c>
      <c s="3">
        <v>79860</v>
      </c>
      <c>
        <v>0</v>
      </c>
      <c s="3">
        <v>0</v>
      </c>
      <c s="3">
        <v>1398.48</v>
      </c>
      <c s="3">
        <v>119952</v>
      </c>
      <c r="O2023" s="1" t="str">
        <f ca="1">HYPERLINK("https://web.datatree.com/?/property?propertyId=32721676", "https://web.datatree.com/?/property?propertyId=32721676")</f>
        <v>https://web.datatree.com/?/property?propertyId=32721676</v>
      </c>
      <c r="Q2023" t="s">
        <v>316</v>
      </c>
      <c>
        <v>1.024</v>
      </c>
      <c t="s">
        <v>30497</v>
      </c>
      <c t="s">
        <v>58426</v>
      </c>
      <c t="s">
        <v>8028</v>
      </c>
      <c r="X2023" t="s">
        <v>24616</v>
      </c>
      <c t="s">
        <v>4959</v>
      </c>
      <c t="s">
        <v>54524</v>
      </c>
      <c t="s">
        <v>39289</v>
      </c>
      <c>
        <v>33903</v>
      </c>
      <c t="s">
        <v>19293</v>
      </c>
      <c t="s">
        <v>48794</v>
      </c>
      <c t="s">
        <v>59711</v>
      </c>
      <c>
        <v>6640</v>
      </c>
      <c r="AI2023" t="s">
        <v>16631</v>
      </c>
      <c t="s">
        <v>835</v>
      </c>
      <c r="AL2023" t="s">
        <v>14095</v>
      </c>
      <c t="s">
        <v>14095</v>
      </c>
      <c t="s">
        <v>51087</v>
      </c>
      <c t="s">
        <v>21308</v>
      </c>
      <c t="s">
        <v>33029</v>
      </c>
      <c t="s">
        <v>3093</v>
      </c>
      <c t="s">
        <v>41535</v>
      </c>
    </row>
    <row>
      <c t="s">
        <v>42103</v>
      </c>
      <c t="s">
        <v>1439</v>
      </c>
      <c t="s">
        <v>23456</v>
      </c>
      <c t="s">
        <v>25706</v>
      </c>
      <c t="s">
        <v>11848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2024" s="1" t="str">
        <f ca="1">HYPERLINK("https://web.datatree.com/?/property?propertyId=32721873", "https://web.datatree.com/?/property?propertyId=32721873")</f>
        <v>https://web.datatree.com/?/property?propertyId=32721873</v>
      </c>
      <c r="Q2024" t="s">
        <v>316</v>
      </c>
      <c>
        <v>0.23</v>
      </c>
      <c t="s">
        <v>6175</v>
      </c>
      <c t="s">
        <v>59645</v>
      </c>
      <c t="s">
        <v>45163</v>
      </c>
      <c r="X2024" t="s">
        <v>28351</v>
      </c>
      <c t="s">
        <v>14534</v>
      </c>
      <c t="s">
        <v>2517</v>
      </c>
      <c t="s">
        <v>39289</v>
      </c>
      <c>
        <v>33909</v>
      </c>
      <c t="s">
        <v>40888</v>
      </c>
      <c t="s">
        <v>48794</v>
      </c>
      <c t="s">
        <v>34309</v>
      </c>
      <c r="AI2024" t="s">
        <v>58724</v>
      </c>
      <c r="AL2024" t="s">
        <v>25041</v>
      </c>
      <c r="AN2024" t="s">
        <v>65451</v>
      </c>
      <c t="s">
        <v>39498</v>
      </c>
      <c t="s">
        <v>22417</v>
      </c>
      <c t="s">
        <v>3093</v>
      </c>
      <c t="s">
        <v>37064</v>
      </c>
    </row>
    <row>
      <c t="s">
        <v>17594</v>
      </c>
      <c t="s">
        <v>32996</v>
      </c>
      <c t="s">
        <v>29608</v>
      </c>
      <c t="s">
        <v>38324</v>
      </c>
      <c t="s">
        <v>31995</v>
      </c>
      <c s="3">
        <v>41798</v>
      </c>
      <c s="3">
        <v>41798</v>
      </c>
      <c s="3">
        <v>31241</v>
      </c>
      <c>
        <v>0</v>
      </c>
      <c s="3">
        <v>0</v>
      </c>
      <c s="3">
        <v>492.24</v>
      </c>
      <c s="3">
        <v>41798</v>
      </c>
      <c r="O2025" s="1" t="str">
        <f ca="1">HYPERLINK("https://web.datatree.com/?/property?propertyId=32722829", "https://web.datatree.com/?/property?propertyId=32722829")</f>
        <v>https://web.datatree.com/?/property?propertyId=32722829</v>
      </c>
      <c r="Q2025" t="s">
        <v>316</v>
      </c>
      <c>
        <v>0.043</v>
      </c>
      <c t="s">
        <v>45526</v>
      </c>
      <c t="s">
        <v>39139</v>
      </c>
      <c t="s">
        <v>6587</v>
      </c>
      <c t="s">
        <v>20358</v>
      </c>
      <c t="s">
        <v>6587</v>
      </c>
      <c t="s">
        <v>9182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30514</v>
      </c>
      <c>
        <v>134</v>
      </c>
      <c r="AI2025" t="s">
        <v>34136</v>
      </c>
      <c t="s">
        <v>45620</v>
      </c>
      <c r="AL2025" t="s">
        <v>4661</v>
      </c>
      <c r="AN2025" t="s">
        <v>19878</v>
      </c>
      <c t="s">
        <v>31975</v>
      </c>
      <c t="s">
        <v>14695</v>
      </c>
      <c t="s">
        <v>3093</v>
      </c>
      <c t="s">
        <v>22705</v>
      </c>
    </row>
    <row>
      <c t="s">
        <v>17594</v>
      </c>
      <c t="s">
        <v>56161</v>
      </c>
      <c t="s">
        <v>66423</v>
      </c>
      <c t="s">
        <v>364</v>
      </c>
      <c t="s">
        <v>35330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2026" s="1" t="str">
        <f ca="1">HYPERLINK("https://web.datatree.com/?/property?propertyId=32723054", "https://web.datatree.com/?/property?propertyId=32723054")</f>
        <v>https://web.datatree.com/?/property?propertyId=32723054</v>
      </c>
      <c r="Q2026" t="s">
        <v>316</v>
      </c>
      <c>
        <v>0.261</v>
      </c>
      <c t="s">
        <v>5471</v>
      </c>
      <c t="s">
        <v>56173</v>
      </c>
      <c t="s">
        <v>57315</v>
      </c>
      <c r="X2026" t="s">
        <v>33130</v>
      </c>
      <c t="s">
        <v>65695</v>
      </c>
      <c t="s">
        <v>65059</v>
      </c>
      <c t="s">
        <v>39289</v>
      </c>
      <c>
        <v>33905</v>
      </c>
      <c t="s">
        <v>33993</v>
      </c>
      <c t="s">
        <v>48794</v>
      </c>
      <c t="s">
        <v>2106</v>
      </c>
      <c>
        <v>6167</v>
      </c>
      <c r="AI2026" t="s">
        <v>8956</v>
      </c>
      <c t="s">
        <v>4985</v>
      </c>
      <c r="AL2026" t="s">
        <v>2578</v>
      </c>
      <c r="AN2026" t="s">
        <v>17134</v>
      </c>
      <c t="s">
        <v>49267</v>
      </c>
      <c t="s">
        <v>52393</v>
      </c>
      <c t="s">
        <v>3093</v>
      </c>
      <c t="s">
        <v>29381</v>
      </c>
    </row>
    <row>
      <c t="s">
        <v>17594</v>
      </c>
      <c t="s">
        <v>47503</v>
      </c>
      <c t="s">
        <v>7733</v>
      </c>
      <c t="s">
        <v>26266</v>
      </c>
      <c t="s">
        <v>53236</v>
      </c>
      <c s="3">
        <v>17210</v>
      </c>
      <c s="3">
        <v>17210</v>
      </c>
      <c s="3">
        <v>9075</v>
      </c>
      <c>
        <v>0</v>
      </c>
      <c s="3">
        <v>0</v>
      </c>
      <c s="3">
        <v>557.94</v>
      </c>
      <c s="3">
        <v>17210</v>
      </c>
      <c r="O2027" s="1" t="str">
        <f ca="1">HYPERLINK("https://web.datatree.com/?/property?propertyId=32723086", "https://web.datatree.com/?/property?propertyId=32723086")</f>
        <v>https://web.datatree.com/?/property?propertyId=32723086</v>
      </c>
      <c r="Q2027" t="s">
        <v>316</v>
      </c>
      <c>
        <v>0.244</v>
      </c>
      <c t="s">
        <v>6175</v>
      </c>
      <c t="s">
        <v>1859</v>
      </c>
      <c t="s">
        <v>49868</v>
      </c>
      <c r="X2027" t="s">
        <v>46535</v>
      </c>
      <c t="s">
        <v>61865</v>
      </c>
      <c t="s">
        <v>2517</v>
      </c>
      <c t="s">
        <v>39289</v>
      </c>
      <c>
        <v>33909</v>
      </c>
      <c t="s">
        <v>38126</v>
      </c>
      <c t="s">
        <v>48794</v>
      </c>
      <c t="s">
        <v>30617</v>
      </c>
      <c>
        <v>7812</v>
      </c>
      <c r="AI2027" t="s">
        <v>9317</v>
      </c>
      <c t="s">
        <v>24900</v>
      </c>
      <c r="AL2027" t="s">
        <v>40928</v>
      </c>
      <c r="AN2027" t="s">
        <v>26016</v>
      </c>
      <c t="s">
        <v>28363</v>
      </c>
      <c t="s">
        <v>53800</v>
      </c>
      <c t="s">
        <v>3093</v>
      </c>
      <c t="s">
        <v>48628</v>
      </c>
    </row>
    <row>
      <c t="s">
        <v>17594</v>
      </c>
      <c t="s">
        <v>19999</v>
      </c>
      <c t="s">
        <v>55651</v>
      </c>
      <c t="s">
        <v>20803</v>
      </c>
      <c t="s">
        <v>4014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028" s="1" t="str">
        <f ca="1">HYPERLINK("https://web.datatree.com/?/property?propertyId=32723134", "https://web.datatree.com/?/property?propertyId=32723134")</f>
        <v>https://web.datatree.com/?/property?propertyId=32723134</v>
      </c>
      <c r="Q2028" t="s">
        <v>316</v>
      </c>
      <c>
        <v>0.23</v>
      </c>
      <c t="s">
        <v>6175</v>
      </c>
      <c t="s">
        <v>33269</v>
      </c>
      <c t="s">
        <v>58050</v>
      </c>
      <c t="s">
        <v>47715</v>
      </c>
      <c t="s">
        <v>58050</v>
      </c>
      <c t="s">
        <v>18209</v>
      </c>
      <c t="s">
        <v>13065</v>
      </c>
      <c t="s">
        <v>2517</v>
      </c>
      <c t="s">
        <v>39289</v>
      </c>
      <c>
        <v>33909</v>
      </c>
      <c t="s">
        <v>39190</v>
      </c>
      <c t="s">
        <v>48794</v>
      </c>
      <c t="s">
        <v>40090</v>
      </c>
      <c>
        <v>25</v>
      </c>
      <c r="AI2028" t="s">
        <v>65381</v>
      </c>
      <c t="s">
        <v>55842</v>
      </c>
      <c r="AL2028" t="s">
        <v>57023</v>
      </c>
      <c r="AN2028" t="s">
        <v>26016</v>
      </c>
      <c t="s">
        <v>58983</v>
      </c>
      <c t="s">
        <v>4480</v>
      </c>
      <c t="s">
        <v>3093</v>
      </c>
      <c t="s">
        <v>65290</v>
      </c>
    </row>
    <row>
      <c t="s">
        <v>17594</v>
      </c>
      <c t="s">
        <v>36279</v>
      </c>
      <c t="s">
        <v>22793</v>
      </c>
      <c t="s">
        <v>27279</v>
      </c>
      <c t="s">
        <v>55335</v>
      </c>
      <c s="3">
        <v>47864</v>
      </c>
      <c s="3">
        <v>47864</v>
      </c>
      <c s="3">
        <v>17448</v>
      </c>
      <c>
        <v>0</v>
      </c>
      <c s="3">
        <v>0</v>
      </c>
      <c s="3">
        <v>869.56</v>
      </c>
      <c s="3">
        <v>47864</v>
      </c>
      <c r="O2029" s="1" t="str">
        <f ca="1">HYPERLINK("https://web.datatree.com/?/property?propertyId=32723486", "https://web.datatree.com/?/property?propertyId=32723486")</f>
        <v>https://web.datatree.com/?/property?propertyId=32723486</v>
      </c>
      <c r="Q2029" t="s">
        <v>316</v>
      </c>
      <c>
        <v>0.247</v>
      </c>
      <c t="s">
        <v>6175</v>
      </c>
      <c t="s">
        <v>51259</v>
      </c>
      <c t="s">
        <v>45530</v>
      </c>
      <c t="s">
        <v>66704</v>
      </c>
      <c t="s">
        <v>45530</v>
      </c>
      <c t="s">
        <v>39678</v>
      </c>
      <c t="s">
        <v>7959</v>
      </c>
      <c t="s">
        <v>2517</v>
      </c>
      <c t="s">
        <v>39289</v>
      </c>
      <c>
        <v>33904</v>
      </c>
      <c t="s">
        <v>3271</v>
      </c>
      <c t="s">
        <v>48794</v>
      </c>
      <c t="s">
        <v>40223</v>
      </c>
      <c>
        <v>1216</v>
      </c>
      <c r="AH2029" t="s">
        <v>26580</v>
      </c>
      <c t="s">
        <v>27402</v>
      </c>
      <c t="s">
        <v>45620</v>
      </c>
      <c r="AL2029" t="s">
        <v>20938</v>
      </c>
      <c r="AN2029" t="s">
        <v>14509</v>
      </c>
      <c t="s">
        <v>12930</v>
      </c>
      <c t="s">
        <v>22455</v>
      </c>
      <c t="s">
        <v>3093</v>
      </c>
      <c t="s">
        <v>12963</v>
      </c>
    </row>
    <row>
      <c t="s">
        <v>17594</v>
      </c>
      <c t="s">
        <v>3611</v>
      </c>
      <c t="s">
        <v>1980</v>
      </c>
      <c t="s">
        <v>16257</v>
      </c>
      <c t="s">
        <v>62175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2030" s="1" t="str">
        <f ca="1">HYPERLINK("https://web.datatree.com/?/property?propertyId=32723586", "https://web.datatree.com/?/property?propertyId=32723586")</f>
        <v>https://web.datatree.com/?/property?propertyId=32723586</v>
      </c>
      <c r="Q2030" t="s">
        <v>316</v>
      </c>
      <c>
        <v>0.23</v>
      </c>
      <c t="s">
        <v>6175</v>
      </c>
      <c t="s">
        <v>60589</v>
      </c>
      <c t="s">
        <v>29699</v>
      </c>
      <c t="s">
        <v>20657</v>
      </c>
      <c t="s">
        <v>29699</v>
      </c>
      <c t="s">
        <v>10275</v>
      </c>
      <c t="s">
        <v>34731</v>
      </c>
      <c t="s">
        <v>2517</v>
      </c>
      <c t="s">
        <v>39289</v>
      </c>
      <c>
        <v>33909</v>
      </c>
      <c t="s">
        <v>41553</v>
      </c>
      <c t="s">
        <v>48794</v>
      </c>
      <c t="s">
        <v>29625</v>
      </c>
      <c>
        <v>6</v>
      </c>
      <c r="AI2030" t="s">
        <v>15811</v>
      </c>
      <c t="s">
        <v>24900</v>
      </c>
      <c r="AL2030" t="s">
        <v>26964</v>
      </c>
      <c t="s">
        <v>26964</v>
      </c>
      <c t="s">
        <v>50917</v>
      </c>
      <c t="s">
        <v>39062</v>
      </c>
      <c t="s">
        <v>40645</v>
      </c>
      <c t="s">
        <v>3093</v>
      </c>
      <c t="s">
        <v>52430</v>
      </c>
    </row>
    <row>
      <c t="s">
        <v>17594</v>
      </c>
      <c t="s">
        <v>61116</v>
      </c>
      <c t="s">
        <v>45055</v>
      </c>
      <c t="s">
        <v>51789</v>
      </c>
      <c t="s">
        <v>537</v>
      </c>
      <c s="3">
        <v>9976</v>
      </c>
      <c s="3">
        <v>9976</v>
      </c>
      <c s="3">
        <v>4972</v>
      </c>
      <c>
        <v>0</v>
      </c>
      <c s="3">
        <v>0</v>
      </c>
      <c s="3">
        <v>323.16</v>
      </c>
      <c s="3">
        <v>9976</v>
      </c>
      <c r="O2031" s="1" t="str">
        <f ca="1">HYPERLINK("https://web.datatree.com/?/property?propertyId=32723607", "https://web.datatree.com/?/property?propertyId=32723607")</f>
        <v>https://web.datatree.com/?/property?propertyId=32723607</v>
      </c>
      <c r="Q2031" t="s">
        <v>316</v>
      </c>
      <c>
        <v>0.294</v>
      </c>
      <c t="s">
        <v>37489</v>
      </c>
      <c t="s">
        <v>56822</v>
      </c>
      <c t="s">
        <v>28989</v>
      </c>
      <c r="X2031" t="s">
        <v>57446</v>
      </c>
      <c t="s">
        <v>65695</v>
      </c>
      <c t="s">
        <v>65059</v>
      </c>
      <c t="s">
        <v>39289</v>
      </c>
      <c>
        <v>33905</v>
      </c>
      <c t="s">
        <v>55836</v>
      </c>
      <c t="s">
        <v>48794</v>
      </c>
      <c t="s">
        <v>50774</v>
      </c>
      <c>
        <v>3450</v>
      </c>
      <c r="AI2031" t="s">
        <v>46128</v>
      </c>
      <c t="s">
        <v>24900</v>
      </c>
      <c>
        <v>7</v>
      </c>
      <c t="s">
        <v>21676</v>
      </c>
      <c t="s">
        <v>21676</v>
      </c>
      <c t="s">
        <v>39289</v>
      </c>
      <c t="s">
        <v>38569</v>
      </c>
      <c t="s">
        <v>44726</v>
      </c>
      <c t="s">
        <v>3093</v>
      </c>
      <c t="s">
        <v>3905</v>
      </c>
    </row>
    <row>
      <c t="s">
        <v>42103</v>
      </c>
      <c t="s">
        <v>61127</v>
      </c>
      <c t="s">
        <v>40175</v>
      </c>
      <c t="s">
        <v>34293</v>
      </c>
      <c t="s">
        <v>35415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>
        <v>2021</v>
      </c>
      <c>
        <v>582.14</v>
      </c>
      <c s="1" t="str">
        <f ca="1">HYPERLINK("https://web.datatree.com/?/property?propertyId=32723889", "https://web.datatree.com/?/property?propertyId=32723889")</f>
        <v>https://web.datatree.com/?/property?propertyId=32723889</v>
      </c>
      <c r="Q2032" t="s">
        <v>316</v>
      </c>
      <c>
        <v>0.23</v>
      </c>
      <c t="s">
        <v>6175</v>
      </c>
      <c t="s">
        <v>10419</v>
      </c>
      <c t="s">
        <v>36737</v>
      </c>
      <c r="X2032" t="s">
        <v>19024</v>
      </c>
      <c t="s">
        <v>34731</v>
      </c>
      <c t="s">
        <v>2517</v>
      </c>
      <c t="s">
        <v>39289</v>
      </c>
      <c>
        <v>33909</v>
      </c>
      <c t="s">
        <v>20905</v>
      </c>
      <c t="s">
        <v>48794</v>
      </c>
      <c t="s">
        <v>48383</v>
      </c>
      <c r="AI2032" t="s">
        <v>44005</v>
      </c>
      <c r="AL2032" t="s">
        <v>2407</v>
      </c>
      <c r="AN2032" t="s">
        <v>14798</v>
      </c>
      <c t="s">
        <v>24075</v>
      </c>
      <c t="s">
        <v>43243</v>
      </c>
      <c t="s">
        <v>3093</v>
      </c>
      <c t="s">
        <v>12033</v>
      </c>
    </row>
    <row>
      <c t="s">
        <v>17594</v>
      </c>
      <c t="s">
        <v>10339</v>
      </c>
      <c t="s">
        <v>38204</v>
      </c>
      <c t="s">
        <v>5006</v>
      </c>
      <c t="s">
        <v>37063</v>
      </c>
      <c s="3">
        <v>304734</v>
      </c>
      <c s="3">
        <v>304734</v>
      </c>
      <c s="3">
        <v>264783</v>
      </c>
      <c>
        <v>0</v>
      </c>
      <c s="3">
        <v>0</v>
      </c>
      <c s="3">
        <v>4758.48</v>
      </c>
      <c s="3">
        <v>304734</v>
      </c>
      <c r="O2033" s="1" t="str">
        <f ca="1">HYPERLINK("https://web.datatree.com/?/property?propertyId=32724136", "https://web.datatree.com/?/property?propertyId=32724136")</f>
        <v>https://web.datatree.com/?/property?propertyId=32724136</v>
      </c>
      <c r="Q2033" t="s">
        <v>316</v>
      </c>
      <c>
        <v>0.23</v>
      </c>
      <c t="s">
        <v>22490</v>
      </c>
      <c t="s">
        <v>24692</v>
      </c>
      <c t="s">
        <v>27559</v>
      </c>
      <c t="s">
        <v>24692</v>
      </c>
      <c r="X2033" t="s">
        <v>50721</v>
      </c>
      <c t="s">
        <v>21676</v>
      </c>
      <c t="s">
        <v>2517</v>
      </c>
      <c t="s">
        <v>39289</v>
      </c>
      <c>
        <v>33904</v>
      </c>
      <c>
        <v>33904</v>
      </c>
      <c t="s">
        <v>48794</v>
      </c>
      <c t="s">
        <v>55916</v>
      </c>
      <c>
        <v>3215</v>
      </c>
      <c r="AI2033" t="s">
        <v>15692</v>
      </c>
      <c t="s">
        <v>31192</v>
      </c>
      <c>
        <v>301</v>
      </c>
      <c t="s">
        <v>11713</v>
      </c>
      <c r="AN2033" t="s">
        <v>39289</v>
      </c>
      <c t="s">
        <v>48734</v>
      </c>
      <c t="s">
        <v>10032</v>
      </c>
      <c t="s">
        <v>3093</v>
      </c>
      <c t="s">
        <v>31597</v>
      </c>
    </row>
    <row>
      <c t="s">
        <v>17594</v>
      </c>
      <c t="s">
        <v>24351</v>
      </c>
      <c t="s">
        <v>30143</v>
      </c>
      <c t="s">
        <v>65049</v>
      </c>
      <c t="s">
        <v>18853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034" s="1" t="str">
        <f ca="1">HYPERLINK("https://web.datatree.com/?/property?propertyId=32724423", "https://web.datatree.com/?/property?propertyId=32724423")</f>
        <v>https://web.datatree.com/?/property?propertyId=32724423</v>
      </c>
      <c r="Q2034" t="s">
        <v>316</v>
      </c>
      <c>
        <v>0.23</v>
      </c>
      <c t="s">
        <v>22490</v>
      </c>
      <c t="s">
        <v>10361</v>
      </c>
      <c t="s">
        <v>38940</v>
      </c>
      <c t="s">
        <v>30894</v>
      </c>
      <c t="s">
        <v>38940</v>
      </c>
      <c t="s">
        <v>65400</v>
      </c>
      <c t="s">
        <v>60363</v>
      </c>
      <c t="s">
        <v>2517</v>
      </c>
      <c t="s">
        <v>39289</v>
      </c>
      <c>
        <v>33909</v>
      </c>
      <c t="s">
        <v>18620</v>
      </c>
      <c t="s">
        <v>48794</v>
      </c>
      <c t="s">
        <v>16236</v>
      </c>
      <c>
        <v>1028</v>
      </c>
      <c r="AI2034" t="s">
        <v>59412</v>
      </c>
      <c t="s">
        <v>45393</v>
      </c>
      <c r="AL2034" t="s">
        <v>26467</v>
      </c>
      <c r="AN2034" t="s">
        <v>19878</v>
      </c>
      <c t="s">
        <v>35026</v>
      </c>
      <c t="s">
        <v>66620</v>
      </c>
      <c t="s">
        <v>3093</v>
      </c>
      <c t="s">
        <v>26694</v>
      </c>
    </row>
    <row>
      <c t="s">
        <v>17594</v>
      </c>
      <c t="s">
        <v>2030</v>
      </c>
      <c t="s">
        <v>16032</v>
      </c>
      <c t="s">
        <v>22796</v>
      </c>
      <c t="s">
        <v>49978</v>
      </c>
      <c s="3">
        <v>24856</v>
      </c>
      <c s="3">
        <v>24856</v>
      </c>
      <c s="3">
        <v>10049</v>
      </c>
      <c>
        <v>0</v>
      </c>
      <c s="3">
        <v>0</v>
      </c>
      <c s="3">
        <v>666.7</v>
      </c>
      <c s="3">
        <v>24856</v>
      </c>
      <c r="O2035" s="1" t="str">
        <f ca="1">HYPERLINK("https://web.datatree.com/?/property?propertyId=32724453", "https://web.datatree.com/?/property?propertyId=32724453")</f>
        <v>https://web.datatree.com/?/property?propertyId=32724453</v>
      </c>
      <c r="Q2035" t="s">
        <v>316</v>
      </c>
      <c>
        <v>0.293</v>
      </c>
      <c t="s">
        <v>22490</v>
      </c>
      <c t="s">
        <v>35571</v>
      </c>
      <c t="s">
        <v>15437</v>
      </c>
      <c r="X2035" t="s">
        <v>58170</v>
      </c>
      <c t="s">
        <v>29190</v>
      </c>
      <c t="s">
        <v>2517</v>
      </c>
      <c t="s">
        <v>39289</v>
      </c>
      <c>
        <v>33909</v>
      </c>
      <c t="s">
        <v>25955</v>
      </c>
      <c t="s">
        <v>48794</v>
      </c>
      <c t="s">
        <v>19729</v>
      </c>
      <c>
        <v>24</v>
      </c>
      <c r="AI2035" t="s">
        <v>28907</v>
      </c>
      <c r="AL2035" t="s">
        <v>9706</v>
      </c>
      <c r="AN2035" t="s">
        <v>63985</v>
      </c>
      <c>
        <v>83080</v>
      </c>
      <c r="AR2035" t="s">
        <v>9971</v>
      </c>
    </row>
    <row>
      <c t="s">
        <v>17594</v>
      </c>
      <c t="s">
        <v>33705</v>
      </c>
      <c t="s">
        <v>65516</v>
      </c>
      <c t="s">
        <v>869</v>
      </c>
      <c t="s">
        <v>1476</v>
      </c>
      <c s="3">
        <v>22874</v>
      </c>
      <c s="3">
        <v>22874</v>
      </c>
      <c s="3">
        <v>9433</v>
      </c>
      <c>
        <v>0</v>
      </c>
      <c s="3">
        <v>0</v>
      </c>
      <c s="3">
        <v>413.07</v>
      </c>
      <c s="3">
        <v>22874</v>
      </c>
      <c r="O2036" s="1" t="str">
        <f ca="1">HYPERLINK("https://web.datatree.com/?/property?propertyId=32724783", "https://web.datatree.com/?/property?propertyId=32724783")</f>
        <v>https://web.datatree.com/?/property?propertyId=32724783</v>
      </c>
      <c r="Q2036" t="s">
        <v>316</v>
      </c>
      <c>
        <v>0.225</v>
      </c>
      <c t="s">
        <v>5471</v>
      </c>
      <c t="s">
        <v>37562</v>
      </c>
      <c t="s">
        <v>10970</v>
      </c>
      <c r="X2036" t="s">
        <v>62454</v>
      </c>
      <c t="s">
        <v>6696</v>
      </c>
      <c t="s">
        <v>65059</v>
      </c>
      <c t="s">
        <v>39289</v>
      </c>
      <c>
        <v>33905</v>
      </c>
      <c t="s">
        <v>54328</v>
      </c>
      <c t="s">
        <v>48794</v>
      </c>
      <c t="s">
        <v>44674</v>
      </c>
      <c>
        <v>10956</v>
      </c>
      <c r="AI2036" t="s">
        <v>16610</v>
      </c>
      <c t="s">
        <v>40123</v>
      </c>
      <c r="AL2036" t="s">
        <v>60853</v>
      </c>
      <c r="AN2036" t="s">
        <v>65467</v>
      </c>
      <c t="s">
        <v>30576</v>
      </c>
      <c t="s">
        <v>55071</v>
      </c>
      <c t="s">
        <v>3093</v>
      </c>
      <c t="s">
        <v>23782</v>
      </c>
    </row>
    <row>
      <c t="s">
        <v>17594</v>
      </c>
      <c t="s">
        <v>51456</v>
      </c>
      <c t="s">
        <v>35120</v>
      </c>
      <c t="s">
        <v>15355</v>
      </c>
      <c t="s">
        <v>24835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037" s="1" t="str">
        <f ca="1">HYPERLINK("https://web.datatree.com/?/property?propertyId=32724940", "https://web.datatree.com/?/property?propertyId=32724940")</f>
        <v>https://web.datatree.com/?/property?propertyId=32724940</v>
      </c>
      <c r="Q2037" t="s">
        <v>316</v>
      </c>
      <c>
        <v>0.23</v>
      </c>
      <c t="s">
        <v>45031</v>
      </c>
      <c t="s">
        <v>66293</v>
      </c>
      <c t="s">
        <v>51287</v>
      </c>
      <c t="s">
        <v>30548</v>
      </c>
      <c t="s">
        <v>6118</v>
      </c>
      <c t="s">
        <v>10602</v>
      </c>
      <c t="s">
        <v>46469</v>
      </c>
      <c t="s">
        <v>2517</v>
      </c>
      <c t="s">
        <v>39289</v>
      </c>
      <c>
        <v>33909</v>
      </c>
      <c t="s">
        <v>66872</v>
      </c>
      <c t="s">
        <v>48794</v>
      </c>
      <c t="s">
        <v>18559</v>
      </c>
      <c>
        <v>11890</v>
      </c>
      <c r="AI2037" t="s">
        <v>17022</v>
      </c>
      <c t="s">
        <v>45393</v>
      </c>
      <c>
        <v>503</v>
      </c>
      <c t="s">
        <v>55393</v>
      </c>
      <c t="s">
        <v>51647</v>
      </c>
      <c t="s">
        <v>39289</v>
      </c>
      <c t="s">
        <v>40693</v>
      </c>
      <c t="s">
        <v>13610</v>
      </c>
      <c t="s">
        <v>3093</v>
      </c>
      <c t="s">
        <v>22007</v>
      </c>
    </row>
    <row>
      <c t="s">
        <v>17594</v>
      </c>
      <c t="s">
        <v>23677</v>
      </c>
      <c t="s">
        <v>20369</v>
      </c>
      <c t="s">
        <v>18213</v>
      </c>
      <c t="s">
        <v>57634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2038" s="1" t="str">
        <f ca="1">HYPERLINK("https://web.datatree.com/?/property?propertyId=32725450", "https://web.datatree.com/?/property?propertyId=32725450")</f>
        <v>https://web.datatree.com/?/property?propertyId=32725450</v>
      </c>
      <c r="Q2038" t="s">
        <v>316</v>
      </c>
      <c>
        <v>0.23</v>
      </c>
      <c t="s">
        <v>22490</v>
      </c>
      <c t="s">
        <v>8762</v>
      </c>
      <c t="s">
        <v>38797</v>
      </c>
      <c r="X2038" t="s">
        <v>42339</v>
      </c>
      <c t="s">
        <v>49122</v>
      </c>
      <c t="s">
        <v>2517</v>
      </c>
      <c t="s">
        <v>39289</v>
      </c>
      <c>
        <v>33909</v>
      </c>
      <c t="s">
        <v>33662</v>
      </c>
      <c t="s">
        <v>48794</v>
      </c>
      <c t="s">
        <v>6730</v>
      </c>
      <c>
        <v>20549</v>
      </c>
      <c r="AI2038" t="s">
        <v>48388</v>
      </c>
      <c t="s">
        <v>4985</v>
      </c>
      <c t="s">
        <v>25384</v>
      </c>
      <c t="s">
        <v>5723</v>
      </c>
      <c r="AN2038" t="s">
        <v>50917</v>
      </c>
      <c t="s">
        <v>7786</v>
      </c>
      <c t="s">
        <v>41946</v>
      </c>
      <c t="s">
        <v>3093</v>
      </c>
      <c t="s">
        <v>24013</v>
      </c>
    </row>
    <row>
      <c t="s">
        <v>17594</v>
      </c>
      <c t="s">
        <v>63349</v>
      </c>
      <c t="s">
        <v>45963</v>
      </c>
      <c t="s">
        <v>1665</v>
      </c>
      <c t="s">
        <v>12627</v>
      </c>
      <c s="3">
        <v>9238</v>
      </c>
      <c s="3">
        <v>9238</v>
      </c>
      <c s="3">
        <v>4972</v>
      </c>
      <c>
        <v>0</v>
      </c>
      <c s="3">
        <v>0</v>
      </c>
      <c s="3">
        <v>321.86</v>
      </c>
      <c s="3">
        <v>9238</v>
      </c>
      <c r="O2039" s="1" t="str">
        <f ca="1">HYPERLINK("https://web.datatree.com/?/property?propertyId=32725718", "https://web.datatree.com/?/property?propertyId=32725718")</f>
        <v>https://web.datatree.com/?/property?propertyId=32725718</v>
      </c>
      <c r="Q2039" t="s">
        <v>316</v>
      </c>
      <c>
        <v>0.276</v>
      </c>
      <c t="s">
        <v>5471</v>
      </c>
      <c t="s">
        <v>29063</v>
      </c>
      <c t="s">
        <v>9617</v>
      </c>
      <c r="X2039" t="s">
        <v>14395</v>
      </c>
      <c t="s">
        <v>18225</v>
      </c>
      <c t="s">
        <v>65059</v>
      </c>
      <c t="s">
        <v>39289</v>
      </c>
      <c>
        <v>33905</v>
      </c>
      <c t="s">
        <v>61148</v>
      </c>
      <c t="s">
        <v>48794</v>
      </c>
      <c t="s">
        <v>52903</v>
      </c>
      <c>
        <v>2922</v>
      </c>
      <c r="AH2039" t="s">
        <v>60953</v>
      </c>
      <c t="s">
        <v>55517</v>
      </c>
      <c t="s">
        <v>1671</v>
      </c>
      <c r="AL2039" t="s">
        <v>52434</v>
      </c>
      <c r="AN2039" t="s">
        <v>39289</v>
      </c>
      <c t="s">
        <v>19290</v>
      </c>
      <c t="s">
        <v>22302</v>
      </c>
      <c t="s">
        <v>3093</v>
      </c>
      <c t="s">
        <v>17261</v>
      </c>
    </row>
    <row>
      <c t="s">
        <v>17594</v>
      </c>
      <c t="s">
        <v>4496</v>
      </c>
      <c t="s">
        <v>44868</v>
      </c>
      <c t="s">
        <v>20941</v>
      </c>
      <c t="s">
        <v>9432</v>
      </c>
      <c s="3">
        <v>22152</v>
      </c>
      <c s="3">
        <v>22152</v>
      </c>
      <c s="3">
        <v>22152</v>
      </c>
      <c>
        <v>0</v>
      </c>
      <c s="3">
        <v>0</v>
      </c>
      <c s="3">
        <v>718.12</v>
      </c>
      <c s="3">
        <v>22152</v>
      </c>
      <c r="O2040" s="1" t="str">
        <f ca="1">HYPERLINK("https://web.datatree.com/?/property?propertyId=32726113", "https://web.datatree.com/?/property?propertyId=32726113")</f>
        <v>https://web.datatree.com/?/property?propertyId=32726113</v>
      </c>
      <c r="Q2040" t="s">
        <v>316</v>
      </c>
      <c>
        <v>0.244</v>
      </c>
      <c t="s">
        <v>22490</v>
      </c>
      <c t="s">
        <v>2474</v>
      </c>
      <c t="s">
        <v>59658</v>
      </c>
      <c t="s">
        <v>20835</v>
      </c>
      <c r="X2040" t="s">
        <v>1292</v>
      </c>
      <c t="s">
        <v>2626</v>
      </c>
      <c t="s">
        <v>2517</v>
      </c>
      <c t="s">
        <v>39289</v>
      </c>
      <c>
        <v>33909</v>
      </c>
      <c t="s">
        <v>58671</v>
      </c>
      <c t="s">
        <v>48794</v>
      </c>
      <c t="s">
        <v>43261</v>
      </c>
      <c>
        <v>741</v>
      </c>
      <c r="AI2040" t="s">
        <v>17574</v>
      </c>
      <c t="s">
        <v>45620</v>
      </c>
      <c r="AL2040" t="s">
        <v>20319</v>
      </c>
      <c r="AN2040" t="s">
        <v>50917</v>
      </c>
      <c t="s">
        <v>38702</v>
      </c>
      <c t="s">
        <v>22455</v>
      </c>
      <c t="s">
        <v>3093</v>
      </c>
      <c t="s">
        <v>20247</v>
      </c>
    </row>
    <row>
      <c t="s">
        <v>17594</v>
      </c>
      <c t="s">
        <v>20273</v>
      </c>
      <c t="s">
        <v>23239</v>
      </c>
      <c t="s">
        <v>40427</v>
      </c>
      <c t="s">
        <v>44750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2041" s="1" t="str">
        <f ca="1">HYPERLINK("https://web.datatree.com/?/property?propertyId=32726114", "https://web.datatree.com/?/property?propertyId=32726114")</f>
        <v>https://web.datatree.com/?/property?propertyId=32726114</v>
      </c>
      <c r="Q2041" t="s">
        <v>316</v>
      </c>
      <c>
        <v>0.23</v>
      </c>
      <c t="s">
        <v>6175</v>
      </c>
      <c t="s">
        <v>59288</v>
      </c>
      <c t="s">
        <v>18120</v>
      </c>
      <c r="X2041" t="s">
        <v>29887</v>
      </c>
      <c t="s">
        <v>49674</v>
      </c>
      <c t="s">
        <v>2517</v>
      </c>
      <c t="s">
        <v>39289</v>
      </c>
      <c>
        <v>33909</v>
      </c>
      <c t="s">
        <v>49599</v>
      </c>
      <c t="s">
        <v>48794</v>
      </c>
      <c t="s">
        <v>14860</v>
      </c>
      <c>
        <v>3073</v>
      </c>
      <c r="AI2041" t="s">
        <v>64289</v>
      </c>
      <c t="s">
        <v>24900</v>
      </c>
      <c r="AL2041" t="s">
        <v>21764</v>
      </c>
      <c r="AN2041" t="s">
        <v>65451</v>
      </c>
      <c t="s">
        <v>41003</v>
      </c>
      <c t="s">
        <v>48436</v>
      </c>
      <c t="s">
        <v>3093</v>
      </c>
      <c t="s">
        <v>37081</v>
      </c>
    </row>
    <row>
      <c t="s">
        <v>17594</v>
      </c>
      <c t="s">
        <v>29569</v>
      </c>
      <c t="s">
        <v>29118</v>
      </c>
      <c t="s">
        <v>48055</v>
      </c>
      <c t="s">
        <v>1542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2042" s="1" t="str">
        <f ca="1">HYPERLINK("https://web.datatree.com/?/property?propertyId=32726675", "https://web.datatree.com/?/property?propertyId=32726675")</f>
        <v>https://web.datatree.com/?/property?propertyId=32726675</v>
      </c>
      <c r="Q2042" t="s">
        <v>316</v>
      </c>
      <c>
        <v>0.23</v>
      </c>
      <c t="s">
        <v>6175</v>
      </c>
      <c t="s">
        <v>61108</v>
      </c>
      <c t="s">
        <v>22571</v>
      </c>
      <c t="s">
        <v>26097</v>
      </c>
      <c t="s">
        <v>1207</v>
      </c>
      <c t="s">
        <v>16112</v>
      </c>
      <c t="s">
        <v>17022</v>
      </c>
      <c t="s">
        <v>2517</v>
      </c>
      <c t="s">
        <v>39289</v>
      </c>
      <c>
        <v>33909</v>
      </c>
      <c t="s">
        <v>31635</v>
      </c>
      <c t="s">
        <v>48794</v>
      </c>
      <c t="s">
        <v>55867</v>
      </c>
      <c>
        <v>13451</v>
      </c>
      <c r="AI2042" t="s">
        <v>9079</v>
      </c>
      <c t="s">
        <v>55842</v>
      </c>
      <c r="AL2042" t="s">
        <v>27398</v>
      </c>
      <c r="AN2042" t="s">
        <v>39289</v>
      </c>
      <c t="s">
        <v>1845</v>
      </c>
      <c t="s">
        <v>42945</v>
      </c>
      <c t="s">
        <v>3093</v>
      </c>
      <c t="s">
        <v>9718</v>
      </c>
    </row>
    <row>
      <c t="s">
        <v>17594</v>
      </c>
      <c t="s">
        <v>30833</v>
      </c>
      <c t="s">
        <v>17709</v>
      </c>
      <c t="s">
        <v>58939</v>
      </c>
      <c t="s">
        <v>18338</v>
      </c>
      <c s="3">
        <v>12544</v>
      </c>
      <c s="3">
        <v>12544</v>
      </c>
      <c s="3">
        <v>4972</v>
      </c>
      <c>
        <v>0</v>
      </c>
      <c s="3">
        <v>0</v>
      </c>
      <c s="3">
        <v>330.97</v>
      </c>
      <c s="3">
        <v>12544</v>
      </c>
      <c r="O2043" s="1" t="str">
        <f ca="1">HYPERLINK("https://web.datatree.com/?/property?propertyId=32726968", "https://web.datatree.com/?/property?propertyId=32726968")</f>
        <v>https://web.datatree.com/?/property?propertyId=32726968</v>
      </c>
      <c r="Q2043" t="s">
        <v>316</v>
      </c>
      <c>
        <v>0.354</v>
      </c>
      <c t="s">
        <v>37489</v>
      </c>
      <c t="s">
        <v>45758</v>
      </c>
      <c t="s">
        <v>36500</v>
      </c>
      <c t="s">
        <v>52701</v>
      </c>
      <c t="s">
        <v>64165</v>
      </c>
      <c t="s">
        <v>10184</v>
      </c>
      <c t="s">
        <v>65695</v>
      </c>
      <c t="s">
        <v>65059</v>
      </c>
      <c t="s">
        <v>39289</v>
      </c>
      <c>
        <v>33905</v>
      </c>
      <c t="s">
        <v>5780</v>
      </c>
      <c t="s">
        <v>48794</v>
      </c>
      <c t="s">
        <v>25785</v>
      </c>
      <c>
        <v>10461</v>
      </c>
      <c r="AI2043" t="s">
        <v>5048</v>
      </c>
      <c t="s">
        <v>39321</v>
      </c>
      <c r="AL2043" t="s">
        <v>51148</v>
      </c>
      <c t="s">
        <v>51148</v>
      </c>
      <c t="s">
        <v>39289</v>
      </c>
      <c t="s">
        <v>4200</v>
      </c>
      <c t="s">
        <v>14845</v>
      </c>
      <c t="s">
        <v>3093</v>
      </c>
      <c t="s">
        <v>15159</v>
      </c>
    </row>
    <row>
      <c t="s">
        <v>17594</v>
      </c>
      <c t="s">
        <v>1085</v>
      </c>
      <c t="s">
        <v>33088</v>
      </c>
      <c t="s">
        <v>23333</v>
      </c>
      <c t="s">
        <v>32062</v>
      </c>
      <c s="3">
        <v>102933</v>
      </c>
      <c s="3">
        <v>93500</v>
      </c>
      <c s="3">
        <v>102933</v>
      </c>
      <c>
        <v>0</v>
      </c>
      <c s="3">
        <v>0</v>
      </c>
      <c s="3">
        <v>1545.97</v>
      </c>
      <c s="3">
        <v>102933</v>
      </c>
      <c r="O2044" s="1" t="str">
        <f ca="1">HYPERLINK("https://web.datatree.com/?/property?propertyId=32727100", "https://web.datatree.com/?/property?propertyId=32727100")</f>
        <v>https://web.datatree.com/?/property?propertyId=32727100</v>
      </c>
      <c r="Q2044" t="s">
        <v>316</v>
      </c>
      <c>
        <v>0.095</v>
      </c>
      <c t="s">
        <v>26492</v>
      </c>
      <c r="U2044" t="s">
        <v>20330</v>
      </c>
      <c r="W2044" t="s">
        <v>31819</v>
      </c>
      <c t="s">
        <v>13529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30751</v>
      </c>
      <c>
        <v>6301</v>
      </c>
      <c r="AI2044" t="s">
        <v>61951</v>
      </c>
      <c t="s">
        <v>45620</v>
      </c>
      <c r="AL2044" t="s">
        <v>5578</v>
      </c>
      <c t="s">
        <v>5578</v>
      </c>
      <c t="s">
        <v>51137</v>
      </c>
      <c t="s">
        <v>58011</v>
      </c>
      <c t="s">
        <v>36802</v>
      </c>
      <c t="s">
        <v>3093</v>
      </c>
      <c t="s">
        <v>43233</v>
      </c>
      <c>
        <v>2005</v>
      </c>
    </row>
    <row>
      <c t="s">
        <v>42103</v>
      </c>
      <c t="s">
        <v>16667</v>
      </c>
      <c t="s">
        <v>64623</v>
      </c>
      <c t="s">
        <v>5523</v>
      </c>
      <c t="s">
        <v>61473</v>
      </c>
      <c s="3">
        <v>814171</v>
      </c>
      <c s="3">
        <v>814171</v>
      </c>
      <c s="3">
        <v>668800</v>
      </c>
      <c>
        <v>0</v>
      </c>
      <c s="3">
        <v>0</v>
      </c>
      <c s="3">
        <v>11232</v>
      </c>
      <c s="3">
        <v>814171</v>
      </c>
      <c r="O2045" s="1" t="str">
        <f ca="1">HYPERLINK("https://web.datatree.com/?/property?propertyId=32727577", "https://web.datatree.com/?/property?propertyId=32727577")</f>
        <v>https://web.datatree.com/?/property?propertyId=32727577</v>
      </c>
      <c r="Q2045" t="s">
        <v>316</v>
      </c>
      <c>
        <v>0.329</v>
      </c>
      <c t="s">
        <v>22490</v>
      </c>
      <c t="s">
        <v>32355</v>
      </c>
      <c t="s">
        <v>41224</v>
      </c>
      <c t="s">
        <v>65533</v>
      </c>
      <c t="s">
        <v>41224</v>
      </c>
      <c t="s">
        <v>19267</v>
      </c>
      <c t="s">
        <v>45617</v>
      </c>
      <c t="s">
        <v>2517</v>
      </c>
      <c t="s">
        <v>39289</v>
      </c>
      <c>
        <v>33904</v>
      </c>
      <c t="s">
        <v>32176</v>
      </c>
      <c t="s">
        <v>48794</v>
      </c>
      <c t="s">
        <v>50726</v>
      </c>
      <c r="AI2045" t="s">
        <v>14369</v>
      </c>
      <c r="AL2045" t="s">
        <v>14316</v>
      </c>
      <c r="AN2045" t="s">
        <v>14509</v>
      </c>
      <c>
        <v>6045</v>
      </c>
      <c r="AQ2045" t="s">
        <v>3093</v>
      </c>
      <c t="s">
        <v>61875</v>
      </c>
    </row>
    <row>
      <c t="s">
        <v>17594</v>
      </c>
      <c t="s">
        <v>64465</v>
      </c>
      <c t="s">
        <v>2776</v>
      </c>
      <c t="s">
        <v>26540</v>
      </c>
      <c t="s">
        <v>13901</v>
      </c>
      <c s="3">
        <v>31592</v>
      </c>
      <c s="3">
        <v>31592</v>
      </c>
      <c s="3">
        <v>11858</v>
      </c>
      <c>
        <v>0</v>
      </c>
      <c s="3">
        <v>0</v>
      </c>
      <c s="3">
        <v>671.42</v>
      </c>
      <c s="3">
        <v>31592</v>
      </c>
      <c r="O2046" s="1" t="str">
        <f ca="1">HYPERLINK("https://web.datatree.com/?/property?propertyId=32728108", "https://web.datatree.com/?/property?propertyId=32728108")</f>
        <v>https://web.datatree.com/?/property?propertyId=32728108</v>
      </c>
      <c r="Q2046" t="s">
        <v>316</v>
      </c>
      <c>
        <v>0.23</v>
      </c>
      <c t="s">
        <v>22490</v>
      </c>
      <c t="s">
        <v>27351</v>
      </c>
      <c t="s">
        <v>24467</v>
      </c>
      <c r="X2046" t="s">
        <v>12012</v>
      </c>
      <c t="s">
        <v>2626</v>
      </c>
      <c t="s">
        <v>2517</v>
      </c>
      <c t="s">
        <v>39289</v>
      </c>
      <c>
        <v>33909</v>
      </c>
      <c t="s">
        <v>28709</v>
      </c>
      <c t="s">
        <v>48794</v>
      </c>
      <c t="s">
        <v>48324</v>
      </c>
      <c>
        <v>509</v>
      </c>
      <c r="AI2046" t="s">
        <v>53507</v>
      </c>
      <c t="s">
        <v>45393</v>
      </c>
      <c r="AL2046" t="s">
        <v>30296</v>
      </c>
      <c r="AN2046" t="s">
        <v>9387</v>
      </c>
      <c t="s">
        <v>32103</v>
      </c>
      <c t="s">
        <v>4797</v>
      </c>
      <c t="s">
        <v>3093</v>
      </c>
      <c t="s">
        <v>15263</v>
      </c>
    </row>
    <row>
      <c t="s">
        <v>17594</v>
      </c>
      <c t="s">
        <v>6289</v>
      </c>
      <c t="s">
        <v>46272</v>
      </c>
      <c t="s">
        <v>54076</v>
      </c>
      <c t="s">
        <v>52499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047" s="1" t="str">
        <f ca="1">HYPERLINK("https://web.datatree.com/?/property?propertyId=32728115", "https://web.datatree.com/?/property?propertyId=32728115")</f>
        <v>https://web.datatree.com/?/property?propertyId=32728115</v>
      </c>
      <c r="Q2047" t="s">
        <v>316</v>
      </c>
      <c>
        <v>0.23</v>
      </c>
      <c t="s">
        <v>45031</v>
      </c>
      <c t="s">
        <v>40988</v>
      </c>
      <c t="s">
        <v>56691</v>
      </c>
      <c r="X2047" t="s">
        <v>35528</v>
      </c>
      <c t="s">
        <v>18679</v>
      </c>
      <c t="s">
        <v>2517</v>
      </c>
      <c t="s">
        <v>39289</v>
      </c>
      <c>
        <v>33909</v>
      </c>
      <c t="s">
        <v>29149</v>
      </c>
      <c t="s">
        <v>48794</v>
      </c>
      <c t="s">
        <v>62570</v>
      </c>
      <c>
        <v>59</v>
      </c>
      <c r="AI2047" t="s">
        <v>48921</v>
      </c>
      <c r="AL2047" t="s">
        <v>43595</v>
      </c>
      <c t="s">
        <v>43595</v>
      </c>
      <c t="s">
        <v>14798</v>
      </c>
      <c>
        <v>80639</v>
      </c>
      <c r="AR2047" t="s">
        <v>3451</v>
      </c>
    </row>
    <row>
      <c t="s">
        <v>17594</v>
      </c>
      <c t="s">
        <v>12631</v>
      </c>
      <c t="s">
        <v>53344</v>
      </c>
      <c t="s">
        <v>24230</v>
      </c>
      <c t="s">
        <v>65109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048" s="1" t="str">
        <f ca="1">HYPERLINK("https://web.datatree.com/?/property?propertyId=32729061", "https://web.datatree.com/?/property?propertyId=32729061")</f>
        <v>https://web.datatree.com/?/property?propertyId=32729061</v>
      </c>
      <c r="Q2048" t="s">
        <v>316</v>
      </c>
      <c>
        <v>0.23</v>
      </c>
      <c t="s">
        <v>22490</v>
      </c>
      <c t="s">
        <v>3293</v>
      </c>
      <c t="s">
        <v>43110</v>
      </c>
      <c r="X2048" t="s">
        <v>35501</v>
      </c>
      <c t="s">
        <v>53675</v>
      </c>
      <c t="s">
        <v>2517</v>
      </c>
      <c t="s">
        <v>39289</v>
      </c>
      <c>
        <v>33909</v>
      </c>
      <c t="s">
        <v>44506</v>
      </c>
      <c t="s">
        <v>48794</v>
      </c>
      <c t="s">
        <v>17053</v>
      </c>
      <c>
        <v>50</v>
      </c>
      <c r="AI2048" t="s">
        <v>67074</v>
      </c>
      <c t="s">
        <v>45620</v>
      </c>
      <c r="AL2048" t="s">
        <v>24283</v>
      </c>
      <c t="s">
        <v>24283</v>
      </c>
      <c t="s">
        <v>27747</v>
      </c>
      <c t="s">
        <v>82</v>
      </c>
      <c t="s">
        <v>49977</v>
      </c>
      <c t="s">
        <v>3093</v>
      </c>
      <c t="s">
        <v>49618</v>
      </c>
    </row>
    <row>
      <c t="s">
        <v>17594</v>
      </c>
      <c t="s">
        <v>58915</v>
      </c>
      <c t="s">
        <v>58232</v>
      </c>
      <c t="s">
        <v>15945</v>
      </c>
      <c t="s">
        <v>33451</v>
      </c>
      <c s="3">
        <v>7600</v>
      </c>
      <c s="3">
        <v>7600</v>
      </c>
      <c s="3">
        <v>7600</v>
      </c>
      <c>
        <v>0</v>
      </c>
      <c s="3">
        <v>0</v>
      </c>
      <c s="3">
        <v>573.63</v>
      </c>
      <c s="3">
        <v>7600</v>
      </c>
      <c r="O2049" s="1" t="str">
        <f ca="1">HYPERLINK("https://web.datatree.com/?/property?propertyId=32729207", "https://web.datatree.com/?/property?propertyId=32729207")</f>
        <v>https://web.datatree.com/?/property?propertyId=32729207</v>
      </c>
      <c r="Q2049" t="s">
        <v>316</v>
      </c>
      <c>
        <v>0.255</v>
      </c>
      <c t="s">
        <v>6175</v>
      </c>
      <c t="s">
        <v>57851</v>
      </c>
      <c t="s">
        <v>54691</v>
      </c>
      <c t="s">
        <v>63182</v>
      </c>
      <c t="s">
        <v>54691</v>
      </c>
      <c t="s">
        <v>31090</v>
      </c>
      <c t="s">
        <v>15510</v>
      </c>
      <c t="s">
        <v>2517</v>
      </c>
      <c t="s">
        <v>39289</v>
      </c>
      <c>
        <v>33909</v>
      </c>
      <c t="s">
        <v>2696</v>
      </c>
      <c t="s">
        <v>48794</v>
      </c>
      <c t="s">
        <v>66955</v>
      </c>
      <c>
        <v>51</v>
      </c>
      <c r="AI2049" t="s">
        <v>22780</v>
      </c>
      <c t="s">
        <v>24900</v>
      </c>
      <c r="AL2049" t="s">
        <v>24866</v>
      </c>
      <c r="AN2049" t="s">
        <v>50917</v>
      </c>
      <c t="s">
        <v>63040</v>
      </c>
      <c t="s">
        <v>44843</v>
      </c>
      <c t="s">
        <v>3093</v>
      </c>
      <c t="s">
        <v>22527</v>
      </c>
    </row>
    <row>
      <c t="s">
        <v>17594</v>
      </c>
      <c t="s">
        <v>56852</v>
      </c>
      <c t="s">
        <v>3365</v>
      </c>
      <c t="s">
        <v>63891</v>
      </c>
      <c t="s">
        <v>59733</v>
      </c>
      <c s="3">
        <v>20900</v>
      </c>
      <c s="3">
        <v>20900</v>
      </c>
      <c s="3">
        <v>20900</v>
      </c>
      <c>
        <v>0</v>
      </c>
      <c s="3">
        <v>0</v>
      </c>
      <c s="3">
        <v>704.58</v>
      </c>
      <c s="3">
        <v>20900</v>
      </c>
      <c r="O2050" s="1" t="str">
        <f ca="1">HYPERLINK("https://web.datatree.com/?/property?propertyId=32729600", "https://web.datatree.com/?/property?propertyId=32729600")</f>
        <v>https://web.datatree.com/?/property?propertyId=32729600</v>
      </c>
      <c r="Q2050" t="s">
        <v>316</v>
      </c>
      <c>
        <v>0.23</v>
      </c>
      <c t="s">
        <v>22490</v>
      </c>
      <c t="s">
        <v>58276</v>
      </c>
      <c t="s">
        <v>2181</v>
      </c>
      <c t="s">
        <v>4868</v>
      </c>
      <c t="s">
        <v>2181</v>
      </c>
      <c t="s">
        <v>31724</v>
      </c>
      <c t="s">
        <v>44061</v>
      </c>
      <c t="s">
        <v>2517</v>
      </c>
      <c t="s">
        <v>39289</v>
      </c>
      <c>
        <v>33909</v>
      </c>
      <c t="s">
        <v>57704</v>
      </c>
      <c t="s">
        <v>48794</v>
      </c>
      <c t="s">
        <v>20882</v>
      </c>
      <c>
        <v>220</v>
      </c>
      <c r="AI2050" t="s">
        <v>26153</v>
      </c>
      <c t="s">
        <v>31192</v>
      </c>
      <c r="AL2050" t="s">
        <v>29206</v>
      </c>
      <c r="AN2050" t="s">
        <v>22275</v>
      </c>
      <c t="s">
        <v>3073</v>
      </c>
      <c t="s">
        <v>44428</v>
      </c>
      <c t="s">
        <v>3093</v>
      </c>
      <c t="s">
        <v>31426</v>
      </c>
    </row>
    <row>
      <c t="s">
        <v>17594</v>
      </c>
      <c t="s">
        <v>15440</v>
      </c>
      <c t="s">
        <v>63695</v>
      </c>
      <c t="s">
        <v>56657</v>
      </c>
      <c t="s">
        <v>50914</v>
      </c>
      <c s="3">
        <v>181260</v>
      </c>
      <c s="3">
        <v>181260</v>
      </c>
      <c s="3">
        <v>181260</v>
      </c>
      <c>
        <v>0</v>
      </c>
      <c s="3">
        <v>0</v>
      </c>
      <c s="3">
        <v>2787.45</v>
      </c>
      <c s="3">
        <v>181260</v>
      </c>
      <c r="O2051" s="1" t="str">
        <f ca="1">HYPERLINK("https://web.datatree.com/?/property?propertyId=32729938", "https://web.datatree.com/?/property?propertyId=32729938")</f>
        <v>https://web.datatree.com/?/property?propertyId=32729938</v>
      </c>
      <c r="Q2051" t="s">
        <v>316</v>
      </c>
      <c>
        <v>0.332</v>
      </c>
      <c t="s">
        <v>5471</v>
      </c>
      <c t="s">
        <v>19520</v>
      </c>
      <c t="s">
        <v>61714</v>
      </c>
      <c r="X2051" t="s">
        <v>51725</v>
      </c>
      <c t="s">
        <v>18468</v>
      </c>
      <c t="s">
        <v>65059</v>
      </c>
      <c t="s">
        <v>39289</v>
      </c>
      <c>
        <v>33905</v>
      </c>
      <c t="s">
        <v>56454</v>
      </c>
      <c t="s">
        <v>48794</v>
      </c>
      <c t="s">
        <v>17905</v>
      </c>
      <c>
        <v>8903</v>
      </c>
      <c r="AI2051" t="s">
        <v>66056</v>
      </c>
      <c t="s">
        <v>41372</v>
      </c>
      <c r="AL2051" t="s">
        <v>25249</v>
      </c>
      <c t="s">
        <v>25249</v>
      </c>
      <c t="s">
        <v>4477</v>
      </c>
      <c t="s">
        <v>27510</v>
      </c>
      <c t="s">
        <v>3364</v>
      </c>
      <c t="s">
        <v>3093</v>
      </c>
      <c t="s">
        <v>63507</v>
      </c>
    </row>
    <row>
      <c t="s">
        <v>17594</v>
      </c>
      <c t="s">
        <v>56134</v>
      </c>
      <c t="s">
        <v>53280</v>
      </c>
      <c t="s">
        <v>51101</v>
      </c>
      <c t="s">
        <v>18785</v>
      </c>
      <c s="3">
        <v>77575</v>
      </c>
      <c s="3">
        <v>77575</v>
      </c>
      <c s="3">
        <v>60088</v>
      </c>
      <c>
        <v>0</v>
      </c>
      <c s="3">
        <v>0</v>
      </c>
      <c s="3">
        <v>996.81</v>
      </c>
      <c s="3">
        <v>77575</v>
      </c>
      <c r="O2052" s="1" t="str">
        <f ca="1">HYPERLINK("https://web.datatree.com/?/property?propertyId=32730072", "https://web.datatree.com/?/property?propertyId=32730072")</f>
        <v>https://web.datatree.com/?/property?propertyId=32730072</v>
      </c>
      <c r="Q2052" t="s">
        <v>316</v>
      </c>
      <c>
        <v>1.11</v>
      </c>
      <c t="s">
        <v>30497</v>
      </c>
      <c t="s">
        <v>552</v>
      </c>
      <c t="s">
        <v>43377</v>
      </c>
      <c t="s">
        <v>66761</v>
      </c>
      <c t="s">
        <v>20170</v>
      </c>
      <c t="s">
        <v>28137</v>
      </c>
      <c t="s">
        <v>12613</v>
      </c>
      <c t="s">
        <v>65059</v>
      </c>
      <c t="s">
        <v>39289</v>
      </c>
      <c>
        <v>33905</v>
      </c>
      <c t="s">
        <v>10516</v>
      </c>
      <c t="s">
        <v>48794</v>
      </c>
      <c t="s">
        <v>28521</v>
      </c>
      <c>
        <v>11028</v>
      </c>
      <c r="AI2052" t="s">
        <v>35727</v>
      </c>
      <c t="s">
        <v>64789</v>
      </c>
      <c r="AL2052" t="s">
        <v>2565</v>
      </c>
      <c t="s">
        <v>52716</v>
      </c>
      <c t="s">
        <v>51137</v>
      </c>
      <c t="s">
        <v>35481</v>
      </c>
      <c t="s">
        <v>37774</v>
      </c>
      <c t="s">
        <v>3093</v>
      </c>
      <c t="s">
        <v>62278</v>
      </c>
    </row>
    <row>
      <c t="s">
        <v>17594</v>
      </c>
      <c t="s">
        <v>42164</v>
      </c>
      <c t="s">
        <v>10962</v>
      </c>
      <c t="s">
        <v>2841</v>
      </c>
      <c t="s">
        <v>8933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2053" s="1" t="str">
        <f ca="1">HYPERLINK("https://web.datatree.com/?/property?propertyId=32731245", "https://web.datatree.com/?/property?propertyId=32731245")</f>
        <v>https://web.datatree.com/?/property?propertyId=32731245</v>
      </c>
      <c r="Q2053" t="s">
        <v>316</v>
      </c>
      <c>
        <v>0.23</v>
      </c>
      <c t="s">
        <v>6175</v>
      </c>
      <c t="s">
        <v>13709</v>
      </c>
      <c t="s">
        <v>842</v>
      </c>
      <c r="X2053" t="s">
        <v>64534</v>
      </c>
      <c t="s">
        <v>23517</v>
      </c>
      <c t="s">
        <v>2517</v>
      </c>
      <c t="s">
        <v>39289</v>
      </c>
      <c>
        <v>33909</v>
      </c>
      <c t="s">
        <v>18397</v>
      </c>
      <c t="s">
        <v>48794</v>
      </c>
      <c t="s">
        <v>18004</v>
      </c>
      <c>
        <v>2540</v>
      </c>
      <c r="AI2053" t="s">
        <v>59389</v>
      </c>
      <c t="s">
        <v>39321</v>
      </c>
      <c r="AL2053" t="s">
        <v>55393</v>
      </c>
      <c r="AN2053" t="s">
        <v>39289</v>
      </c>
      <c t="s">
        <v>46000</v>
      </c>
      <c t="s">
        <v>5948</v>
      </c>
      <c t="s">
        <v>3093</v>
      </c>
      <c t="s">
        <v>60287</v>
      </c>
    </row>
    <row>
      <c t="s">
        <v>17594</v>
      </c>
      <c t="s">
        <v>23769</v>
      </c>
      <c t="s">
        <v>11815</v>
      </c>
      <c t="s">
        <v>65082</v>
      </c>
      <c t="s">
        <v>50953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2054" s="1" t="str">
        <f ca="1">HYPERLINK("https://web.datatree.com/?/property?propertyId=32731490", "https://web.datatree.com/?/property?propertyId=32731490")</f>
        <v>https://web.datatree.com/?/property?propertyId=32731490</v>
      </c>
      <c r="Q2054" t="s">
        <v>316</v>
      </c>
      <c>
        <v>0.23</v>
      </c>
      <c t="s">
        <v>22490</v>
      </c>
      <c t="s">
        <v>1859</v>
      </c>
      <c t="s">
        <v>61790</v>
      </c>
      <c r="X2054" t="s">
        <v>7333</v>
      </c>
      <c t="s">
        <v>47150</v>
      </c>
      <c t="s">
        <v>2517</v>
      </c>
      <c t="s">
        <v>39289</v>
      </c>
      <c>
        <v>33909</v>
      </c>
      <c t="s">
        <v>64184</v>
      </c>
      <c t="s">
        <v>48794</v>
      </c>
      <c t="s">
        <v>38559</v>
      </c>
      <c>
        <v>3500</v>
      </c>
      <c r="AI2054" t="s">
        <v>54509</v>
      </c>
      <c t="s">
        <v>45620</v>
      </c>
      <c r="AL2054" t="s">
        <v>8036</v>
      </c>
      <c t="s">
        <v>8036</v>
      </c>
      <c t="s">
        <v>50917</v>
      </c>
      <c t="s">
        <v>65219</v>
      </c>
      <c t="s">
        <v>46906</v>
      </c>
      <c t="s">
        <v>3093</v>
      </c>
      <c t="s">
        <v>15557</v>
      </c>
    </row>
    <row>
      <c t="s">
        <v>17594</v>
      </c>
      <c t="s">
        <v>57147</v>
      </c>
      <c t="s">
        <v>4907</v>
      </c>
      <c t="s">
        <v>21153</v>
      </c>
      <c t="s">
        <v>16589</v>
      </c>
      <c s="3">
        <v>25675</v>
      </c>
      <c s="3">
        <v>25675</v>
      </c>
      <c s="3">
        <v>10077</v>
      </c>
      <c>
        <v>0</v>
      </c>
      <c s="3">
        <v>0</v>
      </c>
      <c s="3">
        <v>777.62</v>
      </c>
      <c s="3">
        <v>25675</v>
      </c>
      <c r="O2055" s="1" t="str">
        <f ca="1">HYPERLINK("https://web.datatree.com/?/property?propertyId=32731659", "https://web.datatree.com/?/property?propertyId=32731659")</f>
        <v>https://web.datatree.com/?/property?propertyId=32731659</v>
      </c>
      <c r="Q2055" t="s">
        <v>316</v>
      </c>
      <c>
        <v>0.344</v>
      </c>
      <c t="s">
        <v>65422</v>
      </c>
      <c t="s">
        <v>16558</v>
      </c>
      <c t="s">
        <v>60804</v>
      </c>
      <c r="X2055" t="s">
        <v>41315</v>
      </c>
      <c t="s">
        <v>8669</v>
      </c>
      <c t="s">
        <v>2517</v>
      </c>
      <c t="s">
        <v>39289</v>
      </c>
      <c>
        <v>33909</v>
      </c>
      <c t="s">
        <v>17515</v>
      </c>
      <c t="s">
        <v>48794</v>
      </c>
      <c t="s">
        <v>47721</v>
      </c>
      <c>
        <v>5415</v>
      </c>
      <c r="AI2055" t="s">
        <v>30842</v>
      </c>
      <c t="s">
        <v>24900</v>
      </c>
      <c r="AL2055" t="s">
        <v>56937</v>
      </c>
      <c r="AN2055" t="s">
        <v>50917</v>
      </c>
      <c t="s">
        <v>1500</v>
      </c>
      <c t="s">
        <v>26242</v>
      </c>
      <c t="s">
        <v>3093</v>
      </c>
      <c t="s">
        <v>5277</v>
      </c>
    </row>
    <row>
      <c t="s">
        <v>17594</v>
      </c>
      <c t="s">
        <v>27670</v>
      </c>
      <c t="s">
        <v>54956</v>
      </c>
      <c t="s">
        <v>46785</v>
      </c>
      <c t="s">
        <v>29914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>
        <v>2021</v>
      </c>
      <c>
        <v>568.2</v>
      </c>
      <c s="1" t="str">
        <f ca="1">HYPERLINK("https://web.datatree.com/?/property?propertyId=32731983", "https://web.datatree.com/?/property?propertyId=32731983")</f>
        <v>https://web.datatree.com/?/property?propertyId=32731983</v>
      </c>
      <c r="Q2056" t="s">
        <v>316</v>
      </c>
      <c>
        <v>0.23</v>
      </c>
      <c t="s">
        <v>22490</v>
      </c>
      <c t="s">
        <v>6689</v>
      </c>
      <c t="s">
        <v>32648</v>
      </c>
      <c r="X2056" t="s">
        <v>22584</v>
      </c>
      <c t="s">
        <v>22731</v>
      </c>
      <c t="s">
        <v>2517</v>
      </c>
      <c t="s">
        <v>39289</v>
      </c>
      <c>
        <v>33909</v>
      </c>
      <c t="s">
        <v>49798</v>
      </c>
      <c t="s">
        <v>48794</v>
      </c>
      <c t="s">
        <v>41438</v>
      </c>
      <c>
        <v>13</v>
      </c>
      <c r="AI2056" t="s">
        <v>133</v>
      </c>
      <c r="AL2056" t="s">
        <v>46021</v>
      </c>
      <c r="AN2056" t="s">
        <v>460</v>
      </c>
      <c>
        <v>5070</v>
      </c>
      <c r="AR2056" t="s">
        <v>9744</v>
      </c>
    </row>
    <row>
      <c t="s">
        <v>17594</v>
      </c>
      <c t="s">
        <v>47591</v>
      </c>
      <c t="s">
        <v>50605</v>
      </c>
      <c t="s">
        <v>15380</v>
      </c>
      <c t="s">
        <v>17</v>
      </c>
      <c s="3">
        <v>62016</v>
      </c>
      <c s="3">
        <v>62016</v>
      </c>
      <c s="3">
        <v>62016</v>
      </c>
      <c>
        <v>0</v>
      </c>
      <c s="3">
        <v>0</v>
      </c>
      <c s="3">
        <v>1273.38</v>
      </c>
      <c s="3">
        <v>62016</v>
      </c>
      <c r="O2057" s="1" t="str">
        <f ca="1">HYPERLINK("https://web.datatree.com/?/property?propertyId=32732110", "https://web.datatree.com/?/property?propertyId=32732110")</f>
        <v>https://web.datatree.com/?/property?propertyId=32732110</v>
      </c>
      <c r="Q2057" t="s">
        <v>316</v>
      </c>
      <c>
        <v>0.23</v>
      </c>
      <c t="s">
        <v>65422</v>
      </c>
      <c t="s">
        <v>48615</v>
      </c>
      <c t="s">
        <v>29132</v>
      </c>
      <c t="s">
        <v>60886</v>
      </c>
      <c t="s">
        <v>29132</v>
      </c>
      <c t="s">
        <v>907</v>
      </c>
      <c t="s">
        <v>47449</v>
      </c>
      <c t="s">
        <v>2517</v>
      </c>
      <c t="s">
        <v>39289</v>
      </c>
      <c>
        <v>33904</v>
      </c>
      <c>
        <v>33904</v>
      </c>
      <c t="s">
        <v>48794</v>
      </c>
      <c t="s">
        <v>14603</v>
      </c>
      <c>
        <v>405</v>
      </c>
      <c r="AI2057" t="s">
        <v>7953</v>
      </c>
      <c t="s">
        <v>45393</v>
      </c>
      <c r="AL2057" t="s">
        <v>62575</v>
      </c>
      <c t="s">
        <v>62575</v>
      </c>
      <c t="s">
        <v>58733</v>
      </c>
      <c>
        <v>64050</v>
      </c>
      <c r="AQ2057" t="s">
        <v>3093</v>
      </c>
      <c t="s">
        <v>50505</v>
      </c>
    </row>
    <row>
      <c t="s">
        <v>17594</v>
      </c>
      <c t="s">
        <v>34842</v>
      </c>
      <c t="s">
        <v>20106</v>
      </c>
      <c t="s">
        <v>11945</v>
      </c>
      <c t="s">
        <v>60620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058" s="1" t="str">
        <f ca="1">HYPERLINK("https://web.datatree.com/?/property?propertyId=32732722", "https://web.datatree.com/?/property?propertyId=32732722")</f>
        <v>https://web.datatree.com/?/property?propertyId=32732722</v>
      </c>
      <c r="Q2058" t="s">
        <v>316</v>
      </c>
      <c>
        <v>0.23</v>
      </c>
      <c t="s">
        <v>22490</v>
      </c>
      <c t="s">
        <v>56222</v>
      </c>
      <c t="s">
        <v>19973</v>
      </c>
      <c t="s">
        <v>66104</v>
      </c>
      <c t="s">
        <v>19973</v>
      </c>
      <c t="s">
        <v>29944</v>
      </c>
      <c t="s">
        <v>53675</v>
      </c>
      <c t="s">
        <v>2517</v>
      </c>
      <c t="s">
        <v>39289</v>
      </c>
      <c>
        <v>33909</v>
      </c>
      <c t="s">
        <v>12391</v>
      </c>
      <c t="s">
        <v>48794</v>
      </c>
      <c t="s">
        <v>6751</v>
      </c>
      <c>
        <v>2213</v>
      </c>
      <c r="AI2058" t="s">
        <v>6427</v>
      </c>
      <c t="s">
        <v>24900</v>
      </c>
      <c r="AL2058" t="s">
        <v>60516</v>
      </c>
      <c r="AN2058" t="s">
        <v>18236</v>
      </c>
      <c t="s">
        <v>8404</v>
      </c>
      <c t="s">
        <v>56028</v>
      </c>
      <c t="s">
        <v>3093</v>
      </c>
      <c t="s">
        <v>3339</v>
      </c>
    </row>
    <row>
      <c t="s">
        <v>17594</v>
      </c>
      <c t="s">
        <v>55456</v>
      </c>
      <c t="s">
        <v>29349</v>
      </c>
      <c t="s">
        <v>50990</v>
      </c>
      <c t="s">
        <v>38621</v>
      </c>
      <c s="3">
        <v>14183</v>
      </c>
      <c s="3">
        <v>14183</v>
      </c>
      <c s="3">
        <v>12915</v>
      </c>
      <c>
        <v>0</v>
      </c>
      <c s="3">
        <v>0</v>
      </c>
      <c s="3">
        <v>200.41</v>
      </c>
      <c s="3">
        <v>14183</v>
      </c>
      <c r="O2059" s="1" t="str">
        <f ca="1">HYPERLINK("https://web.datatree.com/?/property?propertyId=32733455", "https://web.datatree.com/?/property?propertyId=32733455")</f>
        <v>https://web.datatree.com/?/property?propertyId=32733455</v>
      </c>
      <c r="Q2059" t="s">
        <v>316</v>
      </c>
      <c>
        <v>0.107</v>
      </c>
      <c t="s">
        <v>23582</v>
      </c>
      <c t="s">
        <v>2140</v>
      </c>
      <c t="s">
        <v>45782</v>
      </c>
      <c t="s">
        <v>64043</v>
      </c>
      <c t="s">
        <v>45782</v>
      </c>
      <c t="s">
        <v>16152</v>
      </c>
      <c t="s">
        <v>53438</v>
      </c>
      <c t="s">
        <v>65059</v>
      </c>
      <c t="s">
        <v>39289</v>
      </c>
      <c>
        <v>33905</v>
      </c>
      <c t="s">
        <v>22824</v>
      </c>
      <c t="s">
        <v>48794</v>
      </c>
      <c t="s">
        <v>43585</v>
      </c>
      <c>
        <v>71331</v>
      </c>
      <c r="AI2059" t="s">
        <v>50729</v>
      </c>
      <c t="s">
        <v>45620</v>
      </c>
      <c r="AL2059" t="s">
        <v>30742</v>
      </c>
      <c r="AN2059" t="s">
        <v>51137</v>
      </c>
      <c t="s">
        <v>3321</v>
      </c>
      <c t="s">
        <v>52247</v>
      </c>
      <c t="s">
        <v>3093</v>
      </c>
      <c t="s">
        <v>60308</v>
      </c>
    </row>
    <row>
      <c t="s">
        <v>17594</v>
      </c>
      <c t="s">
        <v>37716</v>
      </c>
      <c t="s">
        <v>23742</v>
      </c>
      <c t="s">
        <v>10512</v>
      </c>
      <c t="s">
        <v>52352</v>
      </c>
      <c s="3">
        <v>73204</v>
      </c>
      <c s="3">
        <v>63500</v>
      </c>
      <c s="3">
        <v>73204</v>
      </c>
      <c>
        <v>0</v>
      </c>
      <c s="3">
        <v>0</v>
      </c>
      <c s="3">
        <v>1100.88</v>
      </c>
      <c s="3">
        <v>73204</v>
      </c>
      <c r="O2060" s="1" t="str">
        <f ca="1">HYPERLINK("https://web.datatree.com/?/property?propertyId=32734220", "https://web.datatree.com/?/property?propertyId=32734220")</f>
        <v>https://web.datatree.com/?/property?propertyId=32734220</v>
      </c>
      <c r="Q2060" t="s">
        <v>316</v>
      </c>
      <c>
        <v>0.095</v>
      </c>
      <c t="s">
        <v>26492</v>
      </c>
      <c t="s">
        <v>44541</v>
      </c>
      <c t="s">
        <v>48923</v>
      </c>
      <c t="s">
        <v>44117</v>
      </c>
      <c t="s">
        <v>48923</v>
      </c>
      <c t="s">
        <v>34885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23985</v>
      </c>
      <c>
        <v>1573</v>
      </c>
      <c r="AI2060" t="s">
        <v>9566</v>
      </c>
      <c t="s">
        <v>31192</v>
      </c>
      <c r="AL2060" t="s">
        <v>16652</v>
      </c>
      <c t="s">
        <v>16652</v>
      </c>
      <c t="s">
        <v>22275</v>
      </c>
      <c t="s">
        <v>18858</v>
      </c>
      <c t="s">
        <v>14695</v>
      </c>
      <c t="s">
        <v>3093</v>
      </c>
      <c t="s">
        <v>11293</v>
      </c>
    </row>
    <row>
      <c t="s">
        <v>17594</v>
      </c>
      <c t="s">
        <v>37120</v>
      </c>
      <c t="s">
        <v>42116</v>
      </c>
      <c t="s">
        <v>47474</v>
      </c>
      <c t="s">
        <v>48487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061" s="1" t="str">
        <f ca="1">HYPERLINK("https://web.datatree.com/?/property?propertyId=32734726", "https://web.datatree.com/?/property?propertyId=32734726")</f>
        <v>https://web.datatree.com/?/property?propertyId=32734726</v>
      </c>
      <c r="Q2061" t="s">
        <v>316</v>
      </c>
      <c>
        <v>0.23</v>
      </c>
      <c t="s">
        <v>45031</v>
      </c>
      <c t="s">
        <v>10361</v>
      </c>
      <c t="s">
        <v>20249</v>
      </c>
      <c t="s">
        <v>9877</v>
      </c>
      <c t="s">
        <v>20249</v>
      </c>
      <c t="s">
        <v>28345</v>
      </c>
      <c t="s">
        <v>22731</v>
      </c>
      <c t="s">
        <v>2517</v>
      </c>
      <c t="s">
        <v>39289</v>
      </c>
      <c>
        <v>33909</v>
      </c>
      <c>
        <v>33909</v>
      </c>
      <c t="s">
        <v>48794</v>
      </c>
      <c t="s">
        <v>31035</v>
      </c>
      <c>
        <v>5071</v>
      </c>
      <c r="AI2061" t="s">
        <v>49612</v>
      </c>
      <c t="s">
        <v>31192</v>
      </c>
      <c r="AL2061" t="s">
        <v>41342</v>
      </c>
      <c r="AN2061" t="s">
        <v>66651</v>
      </c>
      <c t="s">
        <v>53293</v>
      </c>
      <c t="s">
        <v>21054</v>
      </c>
      <c t="s">
        <v>3093</v>
      </c>
      <c t="s">
        <v>3711</v>
      </c>
    </row>
    <row>
      <c t="s">
        <v>17594</v>
      </c>
      <c t="s">
        <v>61266</v>
      </c>
      <c t="s">
        <v>57143</v>
      </c>
      <c t="s">
        <v>14010</v>
      </c>
      <c t="s">
        <v>27972</v>
      </c>
      <c s="3">
        <v>107550</v>
      </c>
      <c s="3">
        <v>93500</v>
      </c>
      <c s="3">
        <v>107550</v>
      </c>
      <c>
        <v>0</v>
      </c>
      <c s="3">
        <v>0</v>
      </c>
      <c s="3">
        <v>1615.1</v>
      </c>
      <c s="3">
        <v>107550</v>
      </c>
      <c r="O2062" s="1" t="str">
        <f ca="1">HYPERLINK("https://web.datatree.com/?/property?propertyId=32734760", "https://web.datatree.com/?/property?propertyId=32734760")</f>
        <v>https://web.datatree.com/?/property?propertyId=32734760</v>
      </c>
      <c r="Q2062" t="s">
        <v>316</v>
      </c>
      <c>
        <v>0.096</v>
      </c>
      <c t="s">
        <v>26492</v>
      </c>
      <c t="s">
        <v>66846</v>
      </c>
      <c t="s">
        <v>6728</v>
      </c>
      <c t="s">
        <v>27743</v>
      </c>
      <c t="s">
        <v>6728</v>
      </c>
      <c t="s">
        <v>29343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57624</v>
      </c>
      <c>
        <v>345</v>
      </c>
      <c r="AI2062" t="s">
        <v>54815</v>
      </c>
      <c t="s">
        <v>45620</v>
      </c>
      <c r="AL2062" t="s">
        <v>50598</v>
      </c>
      <c t="s">
        <v>40227</v>
      </c>
      <c t="s">
        <v>32657</v>
      </c>
      <c t="s">
        <v>35228</v>
      </c>
      <c t="s">
        <v>43294</v>
      </c>
      <c t="s">
        <v>3093</v>
      </c>
      <c t="s">
        <v>10003</v>
      </c>
    </row>
    <row>
      <c t="s">
        <v>42103</v>
      </c>
      <c t="s">
        <v>17264</v>
      </c>
      <c t="s">
        <v>8495</v>
      </c>
      <c t="s">
        <v>32283</v>
      </c>
      <c t="s">
        <v>60355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063" s="1" t="str">
        <f ca="1">HYPERLINK("https://web.datatree.com/?/property?propertyId=32735763", "https://web.datatree.com/?/property?propertyId=32735763")</f>
        <v>https://web.datatree.com/?/property?propertyId=32735763</v>
      </c>
      <c r="Q2063" t="s">
        <v>316</v>
      </c>
      <c>
        <v>0.23</v>
      </c>
      <c t="s">
        <v>6175</v>
      </c>
      <c t="s">
        <v>25273</v>
      </c>
      <c t="s">
        <v>8664</v>
      </c>
      <c r="X2063" t="s">
        <v>24070</v>
      </c>
      <c t="s">
        <v>47150</v>
      </c>
      <c t="s">
        <v>2517</v>
      </c>
      <c t="s">
        <v>39289</v>
      </c>
      <c>
        <v>33909</v>
      </c>
      <c t="s">
        <v>35250</v>
      </c>
      <c t="s">
        <v>48794</v>
      </c>
      <c t="s">
        <v>39421</v>
      </c>
      <c r="AI2063" t="s">
        <v>23592</v>
      </c>
      <c r="AL2063" t="s">
        <v>47339</v>
      </c>
      <c r="AN2063" t="s">
        <v>36633</v>
      </c>
      <c>
        <v>26547</v>
      </c>
      <c t="s">
        <v>15796</v>
      </c>
      <c t="s">
        <v>3093</v>
      </c>
      <c t="s">
        <v>56290</v>
      </c>
    </row>
    <row>
      <c t="s">
        <v>17594</v>
      </c>
      <c t="s">
        <v>25822</v>
      </c>
      <c t="s">
        <v>30065</v>
      </c>
      <c t="s">
        <v>35817</v>
      </c>
      <c t="s">
        <v>32306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064" s="1" t="str">
        <f ca="1">HYPERLINK("https://web.datatree.com/?/property?propertyId=32736577", "https://web.datatree.com/?/property?propertyId=32736577")</f>
        <v>https://web.datatree.com/?/property?propertyId=32736577</v>
      </c>
      <c r="Q2064" t="s">
        <v>316</v>
      </c>
      <c>
        <v>0.23</v>
      </c>
      <c t="s">
        <v>22490</v>
      </c>
      <c t="s">
        <v>47355</v>
      </c>
      <c t="s">
        <v>25788</v>
      </c>
      <c r="X2064" t="s">
        <v>47627</v>
      </c>
      <c t="s">
        <v>52171</v>
      </c>
      <c t="s">
        <v>2517</v>
      </c>
      <c t="s">
        <v>39289</v>
      </c>
      <c>
        <v>33909</v>
      </c>
      <c>
        <v>33909</v>
      </c>
      <c t="s">
        <v>48794</v>
      </c>
      <c t="s">
        <v>20937</v>
      </c>
      <c>
        <v>3740</v>
      </c>
      <c r="AH2064" t="s">
        <v>63047</v>
      </c>
      <c t="s">
        <v>40506</v>
      </c>
      <c t="s">
        <v>1671</v>
      </c>
      <c>
        <v>101</v>
      </c>
      <c t="s">
        <v>48150</v>
      </c>
      <c r="AN2064" t="s">
        <v>39289</v>
      </c>
      <c t="s">
        <v>37996</v>
      </c>
      <c t="s">
        <v>4491</v>
      </c>
      <c t="s">
        <v>3093</v>
      </c>
      <c t="s">
        <v>46518</v>
      </c>
    </row>
    <row>
      <c t="s">
        <v>17594</v>
      </c>
      <c t="s">
        <v>54232</v>
      </c>
      <c t="s">
        <v>8697</v>
      </c>
      <c t="s">
        <v>15684</v>
      </c>
      <c t="s">
        <v>18447</v>
      </c>
      <c s="3">
        <v>88063</v>
      </c>
      <c s="3">
        <v>79500</v>
      </c>
      <c s="3">
        <v>83029</v>
      </c>
      <c>
        <v>0</v>
      </c>
      <c s="3">
        <v>0</v>
      </c>
      <c s="3">
        <v>1275.96</v>
      </c>
      <c s="3">
        <v>88063</v>
      </c>
      <c r="O2065" s="1" t="str">
        <f ca="1">HYPERLINK("https://web.datatree.com/?/property?propertyId=32736609", "https://web.datatree.com/?/property?propertyId=32736609")</f>
        <v>https://web.datatree.com/?/property?propertyId=32736609</v>
      </c>
      <c r="Q2065" t="s">
        <v>316</v>
      </c>
      <c>
        <v>0.095</v>
      </c>
      <c t="s">
        <v>26492</v>
      </c>
      <c t="s">
        <v>35571</v>
      </c>
      <c t="s">
        <v>17262</v>
      </c>
      <c t="s">
        <v>9183</v>
      </c>
      <c t="s">
        <v>17262</v>
      </c>
      <c t="s">
        <v>32876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34527</v>
      </c>
      <c>
        <v>1148</v>
      </c>
      <c r="AI2065" t="s">
        <v>16976</v>
      </c>
      <c t="s">
        <v>1289</v>
      </c>
      <c t="str">
        <f>"107-31"</f>
        <v>107-31</v>
      </c>
      <c t="s">
        <v>63802</v>
      </c>
      <c t="s">
        <v>63802</v>
      </c>
      <c t="s">
        <v>63985</v>
      </c>
      <c t="s">
        <v>24471</v>
      </c>
      <c t="s">
        <v>24842</v>
      </c>
      <c t="s">
        <v>3093</v>
      </c>
      <c t="s">
        <v>10645</v>
      </c>
      <c>
        <v>2005</v>
      </c>
    </row>
    <row>
      <c t="s">
        <v>17594</v>
      </c>
      <c t="s">
        <v>17766</v>
      </c>
      <c t="s">
        <v>26520</v>
      </c>
      <c t="s">
        <v>13047</v>
      </c>
      <c t="s">
        <v>19809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>
        <v>2021</v>
      </c>
      <c>
        <v>532.49</v>
      </c>
      <c s="1" t="str">
        <f ca="1">HYPERLINK("https://web.datatree.com/?/property?propertyId=32736627", "https://web.datatree.com/?/property?propertyId=32736627")</f>
        <v>https://web.datatree.com/?/property?propertyId=32736627</v>
      </c>
      <c r="Q2066" t="s">
        <v>316</v>
      </c>
      <c>
        <v>0.23</v>
      </c>
      <c t="s">
        <v>22490</v>
      </c>
      <c t="s">
        <v>32675</v>
      </c>
      <c t="s">
        <v>37991</v>
      </c>
      <c t="s">
        <v>44457</v>
      </c>
      <c t="s">
        <v>64686</v>
      </c>
      <c t="s">
        <v>49142</v>
      </c>
      <c t="s">
        <v>25017</v>
      </c>
      <c t="s">
        <v>2517</v>
      </c>
      <c t="s">
        <v>39289</v>
      </c>
      <c>
        <v>33909</v>
      </c>
      <c t="s">
        <v>13933</v>
      </c>
      <c t="s">
        <v>48794</v>
      </c>
      <c t="s">
        <v>14086</v>
      </c>
      <c>
        <v>4265</v>
      </c>
      <c r="AI2066" t="s">
        <v>25268</v>
      </c>
      <c t="s">
        <v>45393</v>
      </c>
      <c t="s">
        <v>43186</v>
      </c>
      <c t="s">
        <v>23788</v>
      </c>
      <c r="AN2066" t="s">
        <v>50917</v>
      </c>
      <c t="s">
        <v>27253</v>
      </c>
      <c t="s">
        <v>864</v>
      </c>
      <c t="s">
        <v>3093</v>
      </c>
      <c t="s">
        <v>56363</v>
      </c>
    </row>
    <row>
      <c t="s">
        <v>17594</v>
      </c>
      <c t="s">
        <v>59145</v>
      </c>
      <c t="s">
        <v>8185</v>
      </c>
      <c t="s">
        <v>54742</v>
      </c>
      <c t="s">
        <v>38996</v>
      </c>
      <c s="3">
        <v>17910</v>
      </c>
      <c s="3">
        <v>17910</v>
      </c>
      <c s="3">
        <v>8360</v>
      </c>
      <c>
        <v>0</v>
      </c>
      <c s="3">
        <v>0</v>
      </c>
      <c s="3">
        <v>573.63</v>
      </c>
      <c s="3">
        <v>17910</v>
      </c>
      <c r="O2067" s="1" t="str">
        <f ca="1">HYPERLINK("https://web.datatree.com/?/property?propertyId=32736951", "https://web.datatree.com/?/property?propertyId=32736951")</f>
        <v>https://web.datatree.com/?/property?propertyId=32736951</v>
      </c>
      <c r="Q2067" t="s">
        <v>316</v>
      </c>
      <c>
        <v>0.258</v>
      </c>
      <c t="s">
        <v>6175</v>
      </c>
      <c r="U2067" t="s">
        <v>20566</v>
      </c>
      <c r="W2067" t="s">
        <v>31828</v>
      </c>
      <c t="s">
        <v>63715</v>
      </c>
      <c t="s">
        <v>46469</v>
      </c>
      <c t="s">
        <v>2517</v>
      </c>
      <c t="s">
        <v>39289</v>
      </c>
      <c>
        <v>33909</v>
      </c>
      <c t="s">
        <v>314</v>
      </c>
      <c t="s">
        <v>48794</v>
      </c>
      <c t="s">
        <v>30970</v>
      </c>
      <c>
        <v>11023</v>
      </c>
      <c r="AI2067" t="s">
        <v>34771</v>
      </c>
      <c t="s">
        <v>31192</v>
      </c>
      <c r="AL2067" t="s">
        <v>34557</v>
      </c>
      <c r="AN2067" t="s">
        <v>65451</v>
      </c>
      <c t="s">
        <v>65884</v>
      </c>
      <c t="s">
        <v>15968</v>
      </c>
      <c t="s">
        <v>3093</v>
      </c>
      <c t="s">
        <v>2488</v>
      </c>
    </row>
    <row>
      <c t="s">
        <v>17594</v>
      </c>
      <c t="s">
        <v>59544</v>
      </c>
      <c t="s">
        <v>64446</v>
      </c>
      <c t="s">
        <v>16079</v>
      </c>
      <c t="s">
        <v>52694</v>
      </c>
      <c s="3">
        <v>23310</v>
      </c>
      <c s="3">
        <v>23310</v>
      </c>
      <c s="3">
        <v>10467</v>
      </c>
      <c>
        <v>0</v>
      </c>
      <c s="3">
        <v>0</v>
      </c>
      <c s="3">
        <v>705.52</v>
      </c>
      <c s="3">
        <v>23310</v>
      </c>
      <c>
        <v>2020</v>
      </c>
      <c>
        <v>2092</v>
      </c>
      <c s="1" t="str">
        <f ca="1">HYPERLINK("https://web.datatree.com/?/property?propertyId=32737223", "https://web.datatree.com/?/property?propertyId=32737223")</f>
        <v>https://web.datatree.com/?/property?propertyId=32737223</v>
      </c>
      <c r="Q2068" t="s">
        <v>316</v>
      </c>
      <c>
        <v>0.344</v>
      </c>
      <c t="s">
        <v>42044</v>
      </c>
      <c t="s">
        <v>44368</v>
      </c>
      <c t="s">
        <v>44337</v>
      </c>
      <c r="W2068" t="s">
        <v>27758</v>
      </c>
      <c t="s">
        <v>35492</v>
      </c>
      <c t="s">
        <v>13478</v>
      </c>
      <c t="s">
        <v>2517</v>
      </c>
      <c t="s">
        <v>39289</v>
      </c>
      <c>
        <v>33909</v>
      </c>
      <c t="s">
        <v>62488</v>
      </c>
      <c t="s">
        <v>48794</v>
      </c>
      <c t="s">
        <v>13274</v>
      </c>
      <c>
        <v>10600</v>
      </c>
      <c r="AH2068" t="s">
        <v>52165</v>
      </c>
      <c t="s">
        <v>10716</v>
      </c>
      <c t="s">
        <v>4985</v>
      </c>
      <c r="AL2068" t="s">
        <v>8879</v>
      </c>
      <c t="s">
        <v>8879</v>
      </c>
      <c t="s">
        <v>49730</v>
      </c>
      <c t="s">
        <v>10696</v>
      </c>
      <c t="s">
        <v>43446</v>
      </c>
      <c t="s">
        <v>3093</v>
      </c>
      <c t="s">
        <v>9325</v>
      </c>
    </row>
    <row>
      <c t="s">
        <v>17594</v>
      </c>
      <c t="s">
        <v>28725</v>
      </c>
      <c t="s">
        <v>60257</v>
      </c>
      <c t="s">
        <v>21029</v>
      </c>
      <c t="s">
        <v>45612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069" s="1" t="str">
        <f ca="1">HYPERLINK("https://web.datatree.com/?/property?propertyId=32737303", "https://web.datatree.com/?/property?propertyId=32737303")</f>
        <v>https://web.datatree.com/?/property?propertyId=32737303</v>
      </c>
      <c r="Q2069" t="s">
        <v>316</v>
      </c>
      <c>
        <v>0.23</v>
      </c>
      <c t="s">
        <v>22490</v>
      </c>
      <c t="s">
        <v>64581</v>
      </c>
      <c t="s">
        <v>50920</v>
      </c>
      <c r="X2069" t="s">
        <v>45284</v>
      </c>
      <c t="s">
        <v>39082</v>
      </c>
      <c t="s">
        <v>2517</v>
      </c>
      <c t="s">
        <v>39289</v>
      </c>
      <c>
        <v>33909</v>
      </c>
      <c t="s">
        <v>11037</v>
      </c>
      <c t="s">
        <v>48794</v>
      </c>
      <c t="s">
        <v>28341</v>
      </c>
      <c>
        <v>3766</v>
      </c>
      <c r="AH2069" t="s">
        <v>52165</v>
      </c>
      <c t="s">
        <v>14534</v>
      </c>
      <c t="s">
        <v>24900</v>
      </c>
      <c r="AL2069" t="s">
        <v>11713</v>
      </c>
      <c r="AN2069" t="s">
        <v>39289</v>
      </c>
      <c t="s">
        <v>38270</v>
      </c>
      <c t="s">
        <v>59537</v>
      </c>
      <c t="s">
        <v>3093</v>
      </c>
      <c t="s">
        <v>40802</v>
      </c>
    </row>
    <row>
      <c t="s">
        <v>17594</v>
      </c>
      <c t="s">
        <v>15337</v>
      </c>
      <c t="s">
        <v>5330</v>
      </c>
      <c t="s">
        <v>57345</v>
      </c>
      <c t="s">
        <v>28572</v>
      </c>
      <c s="3">
        <v>24937</v>
      </c>
      <c s="3">
        <v>24937</v>
      </c>
      <c s="3">
        <v>9079</v>
      </c>
      <c>
        <v>0</v>
      </c>
      <c s="3">
        <v>0</v>
      </c>
      <c s="3">
        <v>667.36</v>
      </c>
      <c s="3">
        <v>24937</v>
      </c>
      <c r="O2070" s="1" t="str">
        <f ca="1">HYPERLINK("https://web.datatree.com/?/property?propertyId=32738018", "https://web.datatree.com/?/property?propertyId=32738018")</f>
        <v>https://web.datatree.com/?/property?propertyId=32738018</v>
      </c>
      <c r="Q2070" t="s">
        <v>316</v>
      </c>
      <c>
        <v>0.257</v>
      </c>
      <c t="s">
        <v>37741</v>
      </c>
      <c t="s">
        <v>33321</v>
      </c>
      <c t="s">
        <v>37318</v>
      </c>
      <c r="X2070" t="s">
        <v>446</v>
      </c>
      <c t="s">
        <v>25017</v>
      </c>
      <c t="s">
        <v>2517</v>
      </c>
      <c t="s">
        <v>39289</v>
      </c>
      <c>
        <v>33909</v>
      </c>
      <c t="s">
        <v>55752</v>
      </c>
      <c t="s">
        <v>48794</v>
      </c>
      <c t="s">
        <v>60038</v>
      </c>
      <c>
        <v>7</v>
      </c>
      <c r="AI2070" t="s">
        <v>28918</v>
      </c>
      <c r="AL2070" t="s">
        <v>50284</v>
      </c>
      <c r="AN2070" t="s">
        <v>32840</v>
      </c>
      <c r="AR2070" t="s">
        <v>15241</v>
      </c>
    </row>
    <row>
      <c t="s">
        <v>17594</v>
      </c>
      <c t="s">
        <v>21514</v>
      </c>
      <c t="s">
        <v>24885</v>
      </c>
      <c t="s">
        <v>13814</v>
      </c>
      <c t="s">
        <v>16888</v>
      </c>
      <c s="3">
        <v>7200</v>
      </c>
      <c s="3">
        <v>7200</v>
      </c>
      <c s="3">
        <v>7200</v>
      </c>
      <c>
        <v>0</v>
      </c>
      <c s="3">
        <v>0</v>
      </c>
      <c s="3">
        <v>531.32</v>
      </c>
      <c s="3">
        <v>7200</v>
      </c>
      <c r="O2071" s="1" t="str">
        <f ca="1">HYPERLINK("https://web.datatree.com/?/property?propertyId=32738318", "https://web.datatree.com/?/property?propertyId=32738318")</f>
        <v>https://web.datatree.com/?/property?propertyId=32738318</v>
      </c>
      <c r="Q2071" t="s">
        <v>316</v>
      </c>
      <c>
        <v>0.279</v>
      </c>
      <c t="s">
        <v>6175</v>
      </c>
      <c t="s">
        <v>9900</v>
      </c>
      <c t="s">
        <v>61808</v>
      </c>
      <c t="s">
        <v>64318</v>
      </c>
      <c t="s">
        <v>61808</v>
      </c>
      <c t="s">
        <v>8758</v>
      </c>
      <c t="s">
        <v>13829</v>
      </c>
      <c t="s">
        <v>2517</v>
      </c>
      <c t="s">
        <v>39289</v>
      </c>
      <c>
        <v>33909</v>
      </c>
      <c t="s">
        <v>898</v>
      </c>
      <c t="s">
        <v>48794</v>
      </c>
      <c t="s">
        <v>44669</v>
      </c>
      <c>
        <v>960</v>
      </c>
      <c r="AI2071" t="s">
        <v>19095</v>
      </c>
      <c t="s">
        <v>56275</v>
      </c>
      <c r="AL2071" t="s">
        <v>36379</v>
      </c>
      <c r="AN2071" t="s">
        <v>65467</v>
      </c>
      <c t="s">
        <v>59856</v>
      </c>
      <c t="s">
        <v>43114</v>
      </c>
      <c t="s">
        <v>3093</v>
      </c>
      <c t="s">
        <v>35737</v>
      </c>
    </row>
    <row>
      <c t="s">
        <v>17594</v>
      </c>
      <c t="s">
        <v>13985</v>
      </c>
      <c t="s">
        <v>36180</v>
      </c>
      <c t="s">
        <v>22658</v>
      </c>
      <c t="s">
        <v>55994</v>
      </c>
      <c s="3">
        <v>31592</v>
      </c>
      <c s="3">
        <v>31592</v>
      </c>
      <c s="3">
        <v>12650</v>
      </c>
      <c>
        <v>0</v>
      </c>
      <c s="3">
        <v>0</v>
      </c>
      <c s="3">
        <v>650.05</v>
      </c>
      <c s="3">
        <v>31592</v>
      </c>
      <c r="O2072" s="1" t="str">
        <f ca="1">HYPERLINK("https://web.datatree.com/?/property?propertyId=32739801", "https://web.datatree.com/?/property?propertyId=32739801")</f>
        <v>https://web.datatree.com/?/property?propertyId=32739801</v>
      </c>
      <c r="Q2072" t="s">
        <v>316</v>
      </c>
      <c>
        <v>0.23</v>
      </c>
      <c t="s">
        <v>22490</v>
      </c>
      <c t="s">
        <v>38202</v>
      </c>
      <c t="s">
        <v>5361</v>
      </c>
      <c r="X2072" t="s">
        <v>29002</v>
      </c>
      <c t="s">
        <v>61865</v>
      </c>
      <c t="s">
        <v>2517</v>
      </c>
      <c t="s">
        <v>39289</v>
      </c>
      <c>
        <v>33909</v>
      </c>
      <c t="s">
        <v>53199</v>
      </c>
      <c t="s">
        <v>48794</v>
      </c>
      <c t="s">
        <v>41104</v>
      </c>
      <c>
        <v>170</v>
      </c>
      <c r="AI2072" t="s">
        <v>10373</v>
      </c>
      <c t="s">
        <v>24900</v>
      </c>
      <c r="AL2072" t="s">
        <v>18490</v>
      </c>
      <c r="AN2072" t="s">
        <v>5859</v>
      </c>
      <c t="s">
        <v>61598</v>
      </c>
      <c t="s">
        <v>49977</v>
      </c>
      <c t="s">
        <v>3093</v>
      </c>
      <c t="s">
        <v>52807</v>
      </c>
    </row>
    <row>
      <c t="s">
        <v>17594</v>
      </c>
      <c t="s">
        <v>38776</v>
      </c>
      <c t="s">
        <v>15719</v>
      </c>
      <c t="s">
        <v>1471</v>
      </c>
      <c t="s">
        <v>35996</v>
      </c>
      <c s="3">
        <v>26249</v>
      </c>
      <c s="3">
        <v>26249</v>
      </c>
      <c s="3">
        <v>12100</v>
      </c>
      <c>
        <v>0</v>
      </c>
      <c s="3">
        <v>0</v>
      </c>
      <c s="3">
        <v>653.92</v>
      </c>
      <c s="3">
        <v>26249</v>
      </c>
      <c r="O2073" s="1" t="str">
        <f ca="1">HYPERLINK("https://web.datatree.com/?/property?propertyId=32739922", "https://web.datatree.com/?/property?propertyId=32739922")</f>
        <v>https://web.datatree.com/?/property?propertyId=32739922</v>
      </c>
      <c r="Q2073" t="s">
        <v>316</v>
      </c>
      <c>
        <v>0.23</v>
      </c>
      <c t="s">
        <v>22490</v>
      </c>
      <c t="s">
        <v>62456</v>
      </c>
      <c t="s">
        <v>15828</v>
      </c>
      <c r="X2073" t="s">
        <v>35380</v>
      </c>
      <c t="s">
        <v>47150</v>
      </c>
      <c t="s">
        <v>2517</v>
      </c>
      <c t="s">
        <v>39289</v>
      </c>
      <c>
        <v>33909</v>
      </c>
      <c t="s">
        <v>57876</v>
      </c>
      <c t="s">
        <v>48794</v>
      </c>
      <c t="s">
        <v>18285</v>
      </c>
      <c>
        <v>1425</v>
      </c>
      <c r="AI2073" t="s">
        <v>37239</v>
      </c>
      <c t="s">
        <v>55842</v>
      </c>
      <c r="AL2073" t="s">
        <v>66690</v>
      </c>
      <c r="AN2073" t="s">
        <v>63985</v>
      </c>
      <c t="s">
        <v>14420</v>
      </c>
      <c t="s">
        <v>44428</v>
      </c>
      <c t="s">
        <v>3093</v>
      </c>
      <c t="s">
        <v>313</v>
      </c>
    </row>
    <row>
      <c t="s">
        <v>42103</v>
      </c>
      <c t="s">
        <v>35796</v>
      </c>
      <c t="s">
        <v>52440</v>
      </c>
      <c t="s">
        <v>38317</v>
      </c>
      <c t="s">
        <v>46842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2074" s="1" t="str">
        <f ca="1">HYPERLINK("https://web.datatree.com/?/property?propertyId=32740660", "https://web.datatree.com/?/property?propertyId=32740660")</f>
        <v>https://web.datatree.com/?/property?propertyId=32740660</v>
      </c>
      <c r="Q2074" t="s">
        <v>316</v>
      </c>
      <c>
        <v>0.241</v>
      </c>
      <c t="s">
        <v>6175</v>
      </c>
      <c t="s">
        <v>10419</v>
      </c>
      <c t="s">
        <v>19282</v>
      </c>
      <c t="s">
        <v>60665</v>
      </c>
      <c t="s">
        <v>19282</v>
      </c>
      <c t="s">
        <v>53709</v>
      </c>
      <c t="s">
        <v>39777</v>
      </c>
      <c t="s">
        <v>2517</v>
      </c>
      <c t="s">
        <v>39289</v>
      </c>
      <c>
        <v>33909</v>
      </c>
      <c t="s">
        <v>24591</v>
      </c>
      <c t="s">
        <v>48794</v>
      </c>
      <c t="s">
        <v>32731</v>
      </c>
      <c r="AI2074" t="s">
        <v>12435</v>
      </c>
      <c r="AL2074" t="s">
        <v>35412</v>
      </c>
      <c r="AN2074" t="s">
        <v>9636</v>
      </c>
      <c t="s">
        <v>12900</v>
      </c>
      <c t="s">
        <v>61380</v>
      </c>
      <c t="s">
        <v>3093</v>
      </c>
      <c t="s">
        <v>38257</v>
      </c>
    </row>
    <row>
      <c t="s">
        <v>17594</v>
      </c>
      <c t="s">
        <v>12244</v>
      </c>
      <c t="s">
        <v>52384</v>
      </c>
      <c t="s">
        <v>59476</v>
      </c>
      <c t="s">
        <v>12488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2075" s="1" t="str">
        <f ca="1">HYPERLINK("https://web.datatree.com/?/property?propertyId=32740852", "https://web.datatree.com/?/property?propertyId=32740852")</f>
        <v>https://web.datatree.com/?/property?propertyId=32740852</v>
      </c>
      <c r="Q2075" t="s">
        <v>316</v>
      </c>
      <c>
        <v>0.23</v>
      </c>
      <c t="s">
        <v>5471</v>
      </c>
      <c t="s">
        <v>552</v>
      </c>
      <c t="s">
        <v>53369</v>
      </c>
      <c r="W2075" t="s">
        <v>64753</v>
      </c>
      <c t="s">
        <v>38457</v>
      </c>
      <c t="s">
        <v>20086</v>
      </c>
      <c t="s">
        <v>65059</v>
      </c>
      <c t="s">
        <v>39289</v>
      </c>
      <c>
        <v>33905</v>
      </c>
      <c t="s">
        <v>18534</v>
      </c>
      <c t="s">
        <v>48794</v>
      </c>
      <c t="s">
        <v>27509</v>
      </c>
      <c>
        <v>2800</v>
      </c>
      <c r="AI2075" t="s">
        <v>46289</v>
      </c>
      <c t="s">
        <v>41372</v>
      </c>
      <c r="AL2075" t="s">
        <v>7295</v>
      </c>
      <c r="AN2075" t="s">
        <v>65451</v>
      </c>
      <c>
        <v>91761</v>
      </c>
      <c t="s">
        <v>32621</v>
      </c>
      <c t="s">
        <v>3093</v>
      </c>
      <c t="s">
        <v>13506</v>
      </c>
    </row>
    <row>
      <c t="s">
        <v>17594</v>
      </c>
      <c t="s">
        <v>32566</v>
      </c>
      <c t="s">
        <v>5815</v>
      </c>
      <c t="s">
        <v>32109</v>
      </c>
      <c t="s">
        <v>9062</v>
      </c>
      <c s="3">
        <v>8792</v>
      </c>
      <c s="3">
        <v>8792</v>
      </c>
      <c s="3">
        <v>4972</v>
      </c>
      <c>
        <v>0</v>
      </c>
      <c s="3">
        <v>0</v>
      </c>
      <c s="3">
        <v>316.66</v>
      </c>
      <c s="3">
        <v>8792</v>
      </c>
      <c r="O2076" s="1" t="str">
        <f ca="1">HYPERLINK("https://web.datatree.com/?/property?propertyId=32741638", "https://web.datatree.com/?/property?propertyId=32741638")</f>
        <v>https://web.datatree.com/?/property?propertyId=32741638</v>
      </c>
      <c r="Q2076" t="s">
        <v>316</v>
      </c>
      <c>
        <v>0.244</v>
      </c>
      <c t="s">
        <v>5471</v>
      </c>
      <c t="s">
        <v>52684</v>
      </c>
      <c t="s">
        <v>30623</v>
      </c>
      <c r="X2076" t="s">
        <v>13606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45420</v>
      </c>
      <c>
        <v>1750</v>
      </c>
      <c r="AI2076" t="s">
        <v>52171</v>
      </c>
      <c t="s">
        <v>24900</v>
      </c>
      <c r="AL2076" t="s">
        <v>30396</v>
      </c>
      <c r="AN2076" t="s">
        <v>39289</v>
      </c>
      <c t="s">
        <v>29572</v>
      </c>
      <c t="s">
        <v>12251</v>
      </c>
      <c t="s">
        <v>3093</v>
      </c>
      <c t="s">
        <v>12848</v>
      </c>
    </row>
    <row>
      <c t="s">
        <v>17594</v>
      </c>
      <c t="s">
        <v>54119</v>
      </c>
      <c t="s">
        <v>53334</v>
      </c>
      <c t="s">
        <v>62640</v>
      </c>
      <c t="s">
        <v>46720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2077" s="1" t="str">
        <f ca="1">HYPERLINK("https://web.datatree.com/?/property?propertyId=32741995", "https://web.datatree.com/?/property?propertyId=32741995")</f>
        <v>https://web.datatree.com/?/property?propertyId=32741995</v>
      </c>
      <c r="Q2077" t="s">
        <v>316</v>
      </c>
      <c>
        <v>0.241</v>
      </c>
      <c t="s">
        <v>6175</v>
      </c>
      <c t="s">
        <v>22555</v>
      </c>
      <c t="s">
        <v>42992</v>
      </c>
      <c t="s">
        <v>18439</v>
      </c>
      <c t="s">
        <v>42992</v>
      </c>
      <c t="s">
        <v>46099</v>
      </c>
      <c t="s">
        <v>49122</v>
      </c>
      <c t="s">
        <v>2517</v>
      </c>
      <c t="s">
        <v>39289</v>
      </c>
      <c>
        <v>33909</v>
      </c>
      <c t="s">
        <v>23055</v>
      </c>
      <c t="s">
        <v>48794</v>
      </c>
      <c t="s">
        <v>64436</v>
      </c>
      <c>
        <v>528</v>
      </c>
      <c r="AI2077" t="s">
        <v>28744</v>
      </c>
      <c t="s">
        <v>24900</v>
      </c>
      <c r="AL2077" t="s">
        <v>35589</v>
      </c>
      <c r="AN2077" t="s">
        <v>26016</v>
      </c>
      <c t="s">
        <v>51809</v>
      </c>
      <c t="s">
        <v>34162</v>
      </c>
      <c t="s">
        <v>3093</v>
      </c>
      <c t="s">
        <v>62935</v>
      </c>
    </row>
    <row>
      <c t="s">
        <v>17594</v>
      </c>
      <c t="s">
        <v>7894</v>
      </c>
      <c t="s">
        <v>63387</v>
      </c>
      <c t="s">
        <v>29042</v>
      </c>
      <c t="s">
        <v>60626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2078" s="1" t="str">
        <f ca="1">HYPERLINK("https://web.datatree.com/?/property?propertyId=32742942", "https://web.datatree.com/?/property?propertyId=32742942")</f>
        <v>https://web.datatree.com/?/property?propertyId=32742942</v>
      </c>
      <c r="Q2078" t="s">
        <v>316</v>
      </c>
      <c>
        <v>0.23</v>
      </c>
      <c t="s">
        <v>22490</v>
      </c>
      <c t="s">
        <v>26827</v>
      </c>
      <c t="s">
        <v>1521</v>
      </c>
      <c r="X2078" t="s">
        <v>27283</v>
      </c>
      <c t="s">
        <v>39082</v>
      </c>
      <c t="s">
        <v>2517</v>
      </c>
      <c t="s">
        <v>39289</v>
      </c>
      <c>
        <v>33909</v>
      </c>
      <c t="s">
        <v>16023</v>
      </c>
      <c t="s">
        <v>48794</v>
      </c>
      <c t="s">
        <v>60485</v>
      </c>
      <c>
        <v>1261</v>
      </c>
      <c r="AH2078" t="s">
        <v>12549</v>
      </c>
      <c>
        <v>12500</v>
      </c>
      <c r="AL2078" t="s">
        <v>23581</v>
      </c>
      <c t="s">
        <v>23581</v>
      </c>
      <c t="s">
        <v>47028</v>
      </c>
      <c t="s">
        <v>53395</v>
      </c>
      <c t="s">
        <v>56198</v>
      </c>
      <c t="s">
        <v>3093</v>
      </c>
      <c t="s">
        <v>28208</v>
      </c>
    </row>
    <row>
      <c t="s">
        <v>17594</v>
      </c>
      <c t="s">
        <v>45564</v>
      </c>
      <c t="s">
        <v>40068</v>
      </c>
      <c t="s">
        <v>59597</v>
      </c>
      <c t="s">
        <v>43166</v>
      </c>
      <c s="3">
        <v>8100</v>
      </c>
      <c s="3">
        <v>8100</v>
      </c>
      <c s="3">
        <v>8100</v>
      </c>
      <c>
        <v>0</v>
      </c>
      <c s="3">
        <v>0</v>
      </c>
      <c s="3">
        <v>649.01</v>
      </c>
      <c s="3">
        <v>8100</v>
      </c>
      <c>
        <v>2021</v>
      </c>
      <c>
        <v>534.29</v>
      </c>
      <c s="1" t="str">
        <f ca="1">HYPERLINK("https://web.datatree.com/?/property?propertyId=32743218", "https://web.datatree.com/?/property?propertyId=32743218")</f>
        <v>https://web.datatree.com/?/property?propertyId=32743218</v>
      </c>
      <c r="Q2079" t="s">
        <v>316</v>
      </c>
      <c>
        <v>0.23</v>
      </c>
      <c t="s">
        <v>6175</v>
      </c>
      <c t="s">
        <v>53935</v>
      </c>
      <c t="s">
        <v>12293</v>
      </c>
      <c r="X2079" t="s">
        <v>35836</v>
      </c>
      <c t="s">
        <v>8669</v>
      </c>
      <c t="s">
        <v>2517</v>
      </c>
      <c t="s">
        <v>39289</v>
      </c>
      <c>
        <v>33909</v>
      </c>
      <c t="s">
        <v>58520</v>
      </c>
      <c t="s">
        <v>48794</v>
      </c>
      <c t="s">
        <v>27970</v>
      </c>
      <c>
        <v>21335</v>
      </c>
      <c r="AI2079" t="s">
        <v>22731</v>
      </c>
      <c t="s">
        <v>40123</v>
      </c>
      <c r="AL2079" t="s">
        <v>55393</v>
      </c>
      <c t="s">
        <v>19855</v>
      </c>
      <c t="s">
        <v>39289</v>
      </c>
      <c t="s">
        <v>49616</v>
      </c>
      <c t="s">
        <v>13449</v>
      </c>
      <c t="s">
        <v>3093</v>
      </c>
      <c t="s">
        <v>3961</v>
      </c>
    </row>
    <row>
      <c t="s">
        <v>17594</v>
      </c>
      <c t="s">
        <v>24830</v>
      </c>
      <c t="s">
        <v>14447</v>
      </c>
      <c t="s">
        <v>16104</v>
      </c>
      <c t="s">
        <v>57538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>
        <v>2021</v>
      </c>
      <c>
        <v>578.21</v>
      </c>
      <c s="1" t="str">
        <f ca="1">HYPERLINK("https://web.datatree.com/?/property?propertyId=32744153", "https://web.datatree.com/?/property?propertyId=32744153")</f>
        <v>https://web.datatree.com/?/property?propertyId=32744153</v>
      </c>
      <c r="Q2080" t="s">
        <v>316</v>
      </c>
      <c>
        <v>0.23</v>
      </c>
      <c t="s">
        <v>22490</v>
      </c>
      <c t="s">
        <v>39601</v>
      </c>
      <c t="s">
        <v>65924</v>
      </c>
      <c r="X2080" t="s">
        <v>21801</v>
      </c>
      <c t="s">
        <v>39082</v>
      </c>
      <c t="s">
        <v>2517</v>
      </c>
      <c t="s">
        <v>39289</v>
      </c>
      <c>
        <v>33909</v>
      </c>
      <c t="s">
        <v>42754</v>
      </c>
      <c t="s">
        <v>48794</v>
      </c>
      <c t="s">
        <v>10376</v>
      </c>
      <c>
        <v>25</v>
      </c>
      <c r="AI2080" t="s">
        <v>18739</v>
      </c>
      <c r="AL2080" t="s">
        <v>161</v>
      </c>
      <c r="AN2080" t="s">
        <v>63985</v>
      </c>
      <c>
        <v>23562</v>
      </c>
      <c r="AR2080" t="s">
        <v>29241</v>
      </c>
    </row>
    <row>
      <c t="s">
        <v>17594</v>
      </c>
      <c t="s">
        <v>38975</v>
      </c>
      <c t="s">
        <v>59370</v>
      </c>
      <c t="s">
        <v>49005</v>
      </c>
      <c t="s">
        <v>32464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081" s="1" t="str">
        <f ca="1">HYPERLINK("https://web.datatree.com/?/property?propertyId=32744483", "https://web.datatree.com/?/property?propertyId=32744483")</f>
        <v>https://web.datatree.com/?/property?propertyId=32744483</v>
      </c>
      <c r="Q2081" t="s">
        <v>316</v>
      </c>
      <c>
        <v>0.23</v>
      </c>
      <c t="s">
        <v>6175</v>
      </c>
      <c r="U2081" t="s">
        <v>39409</v>
      </c>
      <c r="X2081" t="s">
        <v>60700</v>
      </c>
      <c t="s">
        <v>61865</v>
      </c>
      <c t="s">
        <v>2517</v>
      </c>
      <c t="s">
        <v>39289</v>
      </c>
      <c>
        <v>33909</v>
      </c>
      <c t="s">
        <v>9670</v>
      </c>
      <c t="s">
        <v>48794</v>
      </c>
      <c t="s">
        <v>6536</v>
      </c>
      <c>
        <v>800</v>
      </c>
      <c r="AI2081" t="s">
        <v>33854</v>
      </c>
      <c t="s">
        <v>45393</v>
      </c>
      <c>
        <v>402</v>
      </c>
      <c t="s">
        <v>25263</v>
      </c>
      <c t="s">
        <v>25263</v>
      </c>
      <c t="s">
        <v>63985</v>
      </c>
      <c t="s">
        <v>45981</v>
      </c>
      <c t="s">
        <v>54916</v>
      </c>
      <c t="s">
        <v>3093</v>
      </c>
      <c t="s">
        <v>52003</v>
      </c>
    </row>
    <row>
      <c t="s">
        <v>17594</v>
      </c>
      <c t="s">
        <v>16942</v>
      </c>
      <c t="s">
        <v>14064</v>
      </c>
      <c t="s">
        <v>15106</v>
      </c>
      <c t="s">
        <v>42387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>
        <v>2020</v>
      </c>
      <c>
        <v>1102.63</v>
      </c>
      <c s="1" t="str">
        <f ca="1">HYPERLINK("https://web.datatree.com/?/property?propertyId=32744568", "https://web.datatree.com/?/property?propertyId=32744568")</f>
        <v>https://web.datatree.com/?/property?propertyId=32744568</v>
      </c>
      <c r="Q2082" t="s">
        <v>316</v>
      </c>
      <c>
        <v>0.23</v>
      </c>
      <c t="s">
        <v>6175</v>
      </c>
      <c t="s">
        <v>57485</v>
      </c>
      <c t="s">
        <v>67081</v>
      </c>
      <c r="W2082" t="s">
        <v>21555</v>
      </c>
      <c t="s">
        <v>27946</v>
      </c>
      <c t="s">
        <v>13829</v>
      </c>
      <c t="s">
        <v>2517</v>
      </c>
      <c t="s">
        <v>39289</v>
      </c>
      <c>
        <v>33909</v>
      </c>
      <c t="s">
        <v>53933</v>
      </c>
      <c t="s">
        <v>48794</v>
      </c>
      <c t="s">
        <v>6046</v>
      </c>
      <c>
        <v>1105</v>
      </c>
      <c r="AH2082" t="s">
        <v>26580</v>
      </c>
      <c t="s">
        <v>56489</v>
      </c>
      <c r="AK2082" t="s">
        <v>25384</v>
      </c>
      <c t="s">
        <v>17648</v>
      </c>
      <c r="AN2082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60965</v>
      </c>
      <c t="s">
        <v>24719</v>
      </c>
      <c t="s">
        <v>38168</v>
      </c>
      <c t="s">
        <v>31644</v>
      </c>
      <c s="3">
        <v>61194</v>
      </c>
      <c s="3">
        <v>61194</v>
      </c>
      <c s="3">
        <v>35840</v>
      </c>
      <c>
        <v>0</v>
      </c>
      <c s="3">
        <v>0</v>
      </c>
      <c s="3">
        <v>1213.46</v>
      </c>
      <c s="3">
        <v>61194</v>
      </c>
      <c r="O2083" s="1" t="str">
        <f ca="1">HYPERLINK("https://web.datatree.com/?/property?propertyId=32744904", "https://web.datatree.com/?/property?propertyId=32744904")</f>
        <v>https://web.datatree.com/?/property?propertyId=32744904</v>
      </c>
      <c r="Q2083" t="s">
        <v>316</v>
      </c>
      <c>
        <v>0.23</v>
      </c>
      <c t="s">
        <v>22490</v>
      </c>
      <c r="U2083" t="s">
        <v>66793</v>
      </c>
      <c r="W2083" t="s">
        <v>20101</v>
      </c>
      <c t="s">
        <v>66793</v>
      </c>
      <c t="s">
        <v>2542</v>
      </c>
      <c t="s">
        <v>2517</v>
      </c>
      <c t="s">
        <v>39289</v>
      </c>
      <c>
        <v>33904</v>
      </c>
      <c t="s">
        <v>3972</v>
      </c>
      <c t="s">
        <v>48794</v>
      </c>
      <c t="s">
        <v>2844</v>
      </c>
      <c>
        <v>8604</v>
      </c>
      <c r="AI2083" t="s">
        <v>4629</v>
      </c>
      <c t="s">
        <v>55842</v>
      </c>
      <c r="AL2083" t="s">
        <v>21625</v>
      </c>
      <c t="s">
        <v>21625</v>
      </c>
      <c t="s">
        <v>18236</v>
      </c>
      <c t="s">
        <v>22673</v>
      </c>
      <c t="s">
        <v>4491</v>
      </c>
      <c t="s">
        <v>3093</v>
      </c>
      <c t="s">
        <v>40738</v>
      </c>
    </row>
    <row>
      <c t="s">
        <v>17594</v>
      </c>
      <c t="s">
        <v>39401</v>
      </c>
      <c t="s">
        <v>16339</v>
      </c>
      <c t="s">
        <v>31890</v>
      </c>
      <c t="s">
        <v>58300</v>
      </c>
      <c s="3">
        <v>25687</v>
      </c>
      <c s="3">
        <v>25687</v>
      </c>
      <c s="3">
        <v>9680</v>
      </c>
      <c>
        <v>0</v>
      </c>
      <c s="3">
        <v>0</v>
      </c>
      <c s="3">
        <v>641.92</v>
      </c>
      <c s="3">
        <v>25687</v>
      </c>
      <c r="O2084" s="1" t="str">
        <f ca="1">HYPERLINK("https://web.datatree.com/?/property?propertyId=32745298", "https://web.datatree.com/?/property?propertyId=32745298")</f>
        <v>https://web.datatree.com/?/property?propertyId=32745298</v>
      </c>
      <c r="Q2084" t="s">
        <v>316</v>
      </c>
      <c>
        <v>0.263</v>
      </c>
      <c t="s">
        <v>22490</v>
      </c>
      <c t="s">
        <v>13250</v>
      </c>
      <c t="s">
        <v>40099</v>
      </c>
      <c t="s">
        <v>552</v>
      </c>
      <c t="s">
        <v>40099</v>
      </c>
      <c t="s">
        <v>8965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37440</v>
      </c>
      <c r="AI2084" t="s">
        <v>13528</v>
      </c>
      <c r="AK2084">
        <v>8</v>
      </c>
      <c t="s">
        <v>56829</v>
      </c>
      <c r="AN2084" t="s">
        <v>66651</v>
      </c>
      <c>
        <v>31303</v>
      </c>
      <c r="AR2084" t="s">
        <v>14302</v>
      </c>
    </row>
    <row>
      <c t="s">
        <v>17594</v>
      </c>
      <c t="s">
        <v>62491</v>
      </c>
      <c t="s">
        <v>5706</v>
      </c>
      <c t="s">
        <v>27859</v>
      </c>
      <c t="s">
        <v>12081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2085" s="1" t="str">
        <f ca="1">HYPERLINK("https://web.datatree.com/?/property?propertyId=32746484", "https://web.datatree.com/?/property?propertyId=32746484")</f>
        <v>https://web.datatree.com/?/property?propertyId=32746484</v>
      </c>
      <c r="Q2085" t="s">
        <v>316</v>
      </c>
      <c>
        <v>0.244</v>
      </c>
      <c t="s">
        <v>22490</v>
      </c>
      <c t="s">
        <v>64568</v>
      </c>
      <c t="s">
        <v>1087</v>
      </c>
      <c t="s">
        <v>41454</v>
      </c>
      <c t="s">
        <v>1087</v>
      </c>
      <c t="s">
        <v>54751</v>
      </c>
      <c t="s">
        <v>10653</v>
      </c>
      <c t="s">
        <v>2517</v>
      </c>
      <c t="s">
        <v>39289</v>
      </c>
      <c>
        <v>33909</v>
      </c>
      <c t="s">
        <v>30438</v>
      </c>
      <c t="s">
        <v>48794</v>
      </c>
      <c t="s">
        <v>12329</v>
      </c>
      <c>
        <v>45</v>
      </c>
      <c r="AI2085" t="s">
        <v>2920</v>
      </c>
      <c t="s">
        <v>1671</v>
      </c>
      <c>
        <v>1202</v>
      </c>
      <c t="s">
        <v>2602</v>
      </c>
      <c r="AN2085" t="s">
        <v>10909</v>
      </c>
      <c t="s">
        <v>57662</v>
      </c>
      <c r="AQ2085" t="s">
        <v>27814</v>
      </c>
      <c t="s">
        <v>28105</v>
      </c>
    </row>
    <row>
      <c t="s">
        <v>17594</v>
      </c>
      <c t="s">
        <v>33824</v>
      </c>
      <c t="s">
        <v>13834</v>
      </c>
      <c t="s">
        <v>49972</v>
      </c>
      <c t="s">
        <v>52245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2086" s="1" t="str">
        <f ca="1">HYPERLINK("https://web.datatree.com/?/property?propertyId=32746801", "https://web.datatree.com/?/property?propertyId=32746801")</f>
        <v>https://web.datatree.com/?/property?propertyId=32746801</v>
      </c>
      <c r="Q2086" t="s">
        <v>316</v>
      </c>
      <c>
        <v>0.23</v>
      </c>
      <c t="s">
        <v>45031</v>
      </c>
      <c t="s">
        <v>49741</v>
      </c>
      <c t="s">
        <v>37460</v>
      </c>
      <c r="X2086" t="s">
        <v>57362</v>
      </c>
      <c t="s">
        <v>30928</v>
      </c>
      <c t="s">
        <v>2517</v>
      </c>
      <c t="s">
        <v>39289</v>
      </c>
      <c>
        <v>33909</v>
      </c>
      <c t="s">
        <v>45135</v>
      </c>
      <c t="s">
        <v>48794</v>
      </c>
      <c t="s">
        <v>58036</v>
      </c>
      <c>
        <v>1516</v>
      </c>
      <c r="AH2086" t="s">
        <v>52165</v>
      </c>
      <c t="s">
        <v>19832</v>
      </c>
      <c t="s">
        <v>45620</v>
      </c>
      <c r="AL2086" t="s">
        <v>66776</v>
      </c>
      <c t="s">
        <v>66776</v>
      </c>
      <c t="s">
        <v>49730</v>
      </c>
      <c t="s">
        <v>41075</v>
      </c>
      <c t="s">
        <v>23435</v>
      </c>
      <c t="s">
        <v>3093</v>
      </c>
      <c t="s">
        <v>4361</v>
      </c>
    </row>
    <row>
      <c t="s">
        <v>17594</v>
      </c>
      <c t="s">
        <v>11283</v>
      </c>
      <c t="s">
        <v>45715</v>
      </c>
      <c t="s">
        <v>7664</v>
      </c>
      <c t="s">
        <v>16272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2087" s="1" t="str">
        <f ca="1">HYPERLINK("https://web.datatree.com/?/property?propertyId=32747100", "https://web.datatree.com/?/property?propertyId=32747100")</f>
        <v>https://web.datatree.com/?/property?propertyId=32747100</v>
      </c>
      <c r="Q2087" t="s">
        <v>316</v>
      </c>
      <c>
        <v>0.23</v>
      </c>
      <c t="s">
        <v>22490</v>
      </c>
      <c t="s">
        <v>48369</v>
      </c>
      <c t="s">
        <v>45166</v>
      </c>
      <c r="X2087" t="s">
        <v>27661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22617</v>
      </c>
      <c>
        <v>2530</v>
      </c>
      <c r="AI2087" t="s">
        <v>9888</v>
      </c>
      <c t="s">
        <v>45393</v>
      </c>
      <c r="AL2087" t="s">
        <v>41017</v>
      </c>
      <c t="s">
        <v>41017</v>
      </c>
      <c t="s">
        <v>14798</v>
      </c>
      <c t="s">
        <v>41630</v>
      </c>
      <c t="s">
        <v>26242</v>
      </c>
      <c t="s">
        <v>3093</v>
      </c>
      <c t="s">
        <v>8687</v>
      </c>
    </row>
    <row>
      <c t="s">
        <v>17594</v>
      </c>
      <c t="s">
        <v>51440</v>
      </c>
      <c t="s">
        <v>26117</v>
      </c>
      <c t="s">
        <v>29412</v>
      </c>
      <c t="s">
        <v>31993</v>
      </c>
      <c s="3">
        <v>23352</v>
      </c>
      <c s="3">
        <v>23352</v>
      </c>
      <c s="3">
        <v>8800</v>
      </c>
      <c>
        <v>0</v>
      </c>
      <c s="3">
        <v>0</v>
      </c>
      <c s="3">
        <v>598.34</v>
      </c>
      <c s="3">
        <v>23352</v>
      </c>
      <c r="O2088" s="1" t="str">
        <f ca="1">HYPERLINK("https://web.datatree.com/?/property?propertyId=32747321", "https://web.datatree.com/?/property?propertyId=32747321")</f>
        <v>https://web.datatree.com/?/property?propertyId=32747321</v>
      </c>
      <c r="Q2088" t="s">
        <v>316</v>
      </c>
      <c>
        <v>0.244</v>
      </c>
      <c t="s">
        <v>22490</v>
      </c>
      <c t="s">
        <v>40990</v>
      </c>
      <c t="s">
        <v>29856</v>
      </c>
      <c r="X2088" t="s">
        <v>12206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57497</v>
      </c>
      <c>
        <v>6</v>
      </c>
      <c r="AI2088" t="s">
        <v>6333</v>
      </c>
      <c r="AL2088" t="s">
        <v>4867</v>
      </c>
      <c r="AN2088" t="s">
        <v>63985</v>
      </c>
      <c>
        <v>40822</v>
      </c>
      <c r="AR2088" t="s">
        <v>388</v>
      </c>
    </row>
    <row>
      <c t="s">
        <v>17594</v>
      </c>
      <c t="s">
        <v>61278</v>
      </c>
      <c t="s">
        <v>55885</v>
      </c>
      <c t="s">
        <v>64261</v>
      </c>
      <c t="s">
        <v>53672</v>
      </c>
      <c s="3">
        <v>20900</v>
      </c>
      <c s="3">
        <v>20900</v>
      </c>
      <c s="3">
        <v>10450</v>
      </c>
      <c>
        <v>0</v>
      </c>
      <c s="3">
        <v>0</v>
      </c>
      <c s="3">
        <v>597.57</v>
      </c>
      <c s="3">
        <v>20900</v>
      </c>
      <c r="O2089" s="1" t="str">
        <f ca="1">HYPERLINK("https://web.datatree.com/?/property?propertyId=32747633", "https://web.datatree.com/?/property?propertyId=32747633")</f>
        <v>https://web.datatree.com/?/property?propertyId=32747633</v>
      </c>
      <c r="Q2089" t="s">
        <v>316</v>
      </c>
      <c>
        <v>0.23</v>
      </c>
      <c t="s">
        <v>22490</v>
      </c>
      <c t="s">
        <v>16069</v>
      </c>
      <c t="s">
        <v>59673</v>
      </c>
      <c t="s">
        <v>64736</v>
      </c>
      <c t="s">
        <v>59673</v>
      </c>
      <c t="s">
        <v>9715</v>
      </c>
      <c t="s">
        <v>23050</v>
      </c>
      <c t="s">
        <v>2517</v>
      </c>
      <c t="s">
        <v>39289</v>
      </c>
      <c>
        <v>33909</v>
      </c>
      <c t="s">
        <v>42248</v>
      </c>
      <c t="s">
        <v>48794</v>
      </c>
      <c t="s">
        <v>63005</v>
      </c>
      <c>
        <v>9</v>
      </c>
      <c r="AI2089" t="s">
        <v>26002</v>
      </c>
      <c r="AL2089" t="s">
        <v>56829</v>
      </c>
      <c r="AN2089" t="s">
        <v>66651</v>
      </c>
      <c>
        <v>31303</v>
      </c>
      <c r="AR2089" t="s">
        <v>38604</v>
      </c>
    </row>
    <row>
      <c t="s">
        <v>17594</v>
      </c>
      <c t="s">
        <v>63202</v>
      </c>
      <c t="s">
        <v>15589</v>
      </c>
      <c t="s">
        <v>52659</v>
      </c>
      <c t="s">
        <v>31242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090" s="1" t="str">
        <f ca="1">HYPERLINK("https://web.datatree.com/?/property?propertyId=32747708", "https://web.datatree.com/?/property?propertyId=32747708")</f>
        <v>https://web.datatree.com/?/property?propertyId=32747708</v>
      </c>
      <c r="Q2090" t="s">
        <v>316</v>
      </c>
      <c>
        <v>0.23</v>
      </c>
      <c t="s">
        <v>22490</v>
      </c>
      <c t="s">
        <v>37773</v>
      </c>
      <c t="s">
        <v>61920</v>
      </c>
      <c t="s">
        <v>26023</v>
      </c>
      <c t="s">
        <v>61920</v>
      </c>
      <c t="s">
        <v>9502</v>
      </c>
      <c t="s">
        <v>25017</v>
      </c>
      <c t="s">
        <v>2517</v>
      </c>
      <c t="s">
        <v>39289</v>
      </c>
      <c>
        <v>33909</v>
      </c>
      <c t="s">
        <v>56847</v>
      </c>
      <c t="s">
        <v>48794</v>
      </c>
      <c t="s">
        <v>65531</v>
      </c>
      <c>
        <v>271</v>
      </c>
      <c r="AI2090" t="s">
        <v>32442</v>
      </c>
      <c r="AL2090" t="s">
        <v>22171</v>
      </c>
      <c r="AN2090" t="s">
        <v>7157</v>
      </c>
      <c>
        <v>11193</v>
      </c>
      <c r="AR2090" t="s">
        <v>666</v>
      </c>
    </row>
    <row>
      <c t="s">
        <v>17594</v>
      </c>
      <c t="s">
        <v>65274</v>
      </c>
      <c t="s">
        <v>33936</v>
      </c>
      <c t="s">
        <v>30141</v>
      </c>
      <c t="s">
        <v>51803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2091" s="1" t="str">
        <f ca="1">HYPERLINK("https://web.datatree.com/?/property?propertyId=32748373", "https://web.datatree.com/?/property?propertyId=32748373")</f>
        <v>https://web.datatree.com/?/property?propertyId=32748373</v>
      </c>
      <c r="Q2091" t="s">
        <v>316</v>
      </c>
      <c>
        <v>0.23</v>
      </c>
      <c t="s">
        <v>6175</v>
      </c>
      <c r="U2091" t="s">
        <v>855</v>
      </c>
      <c t="s">
        <v>2527</v>
      </c>
      <c t="s">
        <v>14424</v>
      </c>
      <c t="s">
        <v>67219</v>
      </c>
      <c t="s">
        <v>371</v>
      </c>
      <c t="s">
        <v>2517</v>
      </c>
      <c t="s">
        <v>39289</v>
      </c>
      <c>
        <v>33909</v>
      </c>
      <c t="s">
        <v>14699</v>
      </c>
      <c t="s">
        <v>48794</v>
      </c>
      <c t="s">
        <v>13073</v>
      </c>
      <c>
        <v>2726</v>
      </c>
      <c r="AI2091" t="s">
        <v>32616</v>
      </c>
      <c t="s">
        <v>40123</v>
      </c>
      <c r="AL2091" t="s">
        <v>50455</v>
      </c>
      <c r="AN2091" t="s">
        <v>27222</v>
      </c>
      <c t="s">
        <v>66405</v>
      </c>
      <c t="s">
        <v>42945</v>
      </c>
      <c t="s">
        <v>3093</v>
      </c>
      <c t="s">
        <v>49911</v>
      </c>
    </row>
    <row>
      <c t="s">
        <v>17594</v>
      </c>
      <c t="s">
        <v>57105</v>
      </c>
      <c t="s">
        <v>51567</v>
      </c>
      <c t="s">
        <v>17345</v>
      </c>
      <c t="s">
        <v>14385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092" s="1" t="str">
        <f ca="1">HYPERLINK("https://web.datatree.com/?/property?propertyId=32748815", "https://web.datatree.com/?/property?propertyId=32748815")</f>
        <v>https://web.datatree.com/?/property?propertyId=32748815</v>
      </c>
      <c r="Q2092" t="s">
        <v>316</v>
      </c>
      <c>
        <v>0.23</v>
      </c>
      <c t="s">
        <v>45031</v>
      </c>
      <c t="s">
        <v>5124</v>
      </c>
      <c t="s">
        <v>6904</v>
      </c>
      <c r="X2092" t="s">
        <v>21643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63396</v>
      </c>
      <c>
        <v>610</v>
      </c>
      <c r="AI2092" t="s">
        <v>43881</v>
      </c>
      <c t="s">
        <v>40123</v>
      </c>
      <c r="AL2092" t="s">
        <v>38206</v>
      </c>
      <c t="s">
        <v>38206</v>
      </c>
      <c t="s">
        <v>39289</v>
      </c>
      <c t="s">
        <v>34765</v>
      </c>
      <c t="s">
        <v>57614</v>
      </c>
      <c t="s">
        <v>3093</v>
      </c>
      <c t="s">
        <v>39047</v>
      </c>
    </row>
    <row>
      <c t="s">
        <v>17594</v>
      </c>
      <c t="s">
        <v>44766</v>
      </c>
      <c s="4" t="s">
        <v>6594</v>
      </c>
      <c t="s">
        <v>41829</v>
      </c>
      <c t="s">
        <v>42259</v>
      </c>
      <c s="3">
        <v>20472</v>
      </c>
      <c s="3">
        <v>20472</v>
      </c>
      <c s="3">
        <v>9130</v>
      </c>
      <c>
        <v>0</v>
      </c>
      <c s="3">
        <v>0</v>
      </c>
      <c s="3">
        <v>585.72</v>
      </c>
      <c s="3">
        <v>20472</v>
      </c>
      <c r="O2093" s="1" t="str">
        <f ca="1">HYPERLINK("https://web.datatree.com/?/property?propertyId=32749490", "https://web.datatree.com/?/property?propertyId=32749490")</f>
        <v>https://web.datatree.com/?/property?propertyId=32749490</v>
      </c>
      <c r="Q2093" t="s">
        <v>316</v>
      </c>
      <c>
        <v>0.244</v>
      </c>
      <c t="s">
        <v>45031</v>
      </c>
      <c t="s">
        <v>9592</v>
      </c>
      <c t="s">
        <v>45606</v>
      </c>
      <c t="s">
        <v>52508</v>
      </c>
      <c t="s">
        <v>46290</v>
      </c>
      <c t="s">
        <v>47038</v>
      </c>
      <c t="s">
        <v>22731</v>
      </c>
      <c t="s">
        <v>2517</v>
      </c>
      <c t="s">
        <v>39289</v>
      </c>
      <c>
        <v>33909</v>
      </c>
      <c t="s">
        <v>6235</v>
      </c>
      <c t="s">
        <v>48794</v>
      </c>
      <c t="s">
        <v>58349</v>
      </c>
      <c t="str">
        <f>"9-24"</f>
        <v>9-24</v>
      </c>
      <c r="AI2093" t="s">
        <v>61839</v>
      </c>
      <c r="AK2093">
        <v>703</v>
      </c>
      <c t="s">
        <v>51565</v>
      </c>
      <c r="AN2093" t="s">
        <v>14798</v>
      </c>
      <c r="AR2093" s="4" t="s">
        <v>56958</v>
      </c>
    </row>
    <row>
      <c t="s">
        <v>17594</v>
      </c>
      <c t="s">
        <v>17865</v>
      </c>
      <c t="s">
        <v>47371</v>
      </c>
      <c t="s">
        <v>14850</v>
      </c>
      <c t="s">
        <v>29454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2094" s="1" t="str">
        <f ca="1">HYPERLINK("https://web.datatree.com/?/property?propertyId=32749496", "https://web.datatree.com/?/property?propertyId=32749496")</f>
        <v>https://web.datatree.com/?/property?propertyId=32749496</v>
      </c>
      <c r="Q2094" t="s">
        <v>316</v>
      </c>
      <c>
        <v>0.258</v>
      </c>
      <c t="s">
        <v>5471</v>
      </c>
      <c t="s">
        <v>18227</v>
      </c>
      <c t="s">
        <v>61273</v>
      </c>
      <c t="s">
        <v>47656</v>
      </c>
      <c t="s">
        <v>61273</v>
      </c>
      <c t="s">
        <v>6473</v>
      </c>
      <c t="s">
        <v>39583</v>
      </c>
      <c t="s">
        <v>65059</v>
      </c>
      <c t="s">
        <v>39289</v>
      </c>
      <c>
        <v>33905</v>
      </c>
      <c t="s">
        <v>17212</v>
      </c>
      <c t="s">
        <v>48794</v>
      </c>
      <c t="s">
        <v>1190</v>
      </c>
      <c>
        <v>16579</v>
      </c>
      <c r="AI2094" t="s">
        <v>62388</v>
      </c>
      <c t="s">
        <v>31192</v>
      </c>
      <c r="AL2094" t="s">
        <v>27398</v>
      </c>
      <c t="s">
        <v>45881</v>
      </c>
      <c t="s">
        <v>39289</v>
      </c>
      <c t="s">
        <v>22169</v>
      </c>
      <c t="s">
        <v>32860</v>
      </c>
      <c t="s">
        <v>3093</v>
      </c>
      <c t="s">
        <v>28108</v>
      </c>
    </row>
    <row>
      <c t="s">
        <v>17594</v>
      </c>
      <c t="s">
        <v>5111</v>
      </c>
      <c t="s">
        <v>11595</v>
      </c>
      <c t="s">
        <v>25032</v>
      </c>
      <c t="s">
        <v>66525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095" s="1" t="str">
        <f ca="1">HYPERLINK("https://web.datatree.com/?/property?propertyId=32749528", "https://web.datatree.com/?/property?propertyId=32749528")</f>
        <v>https://web.datatree.com/?/property?propertyId=32749528</v>
      </c>
      <c r="Q2095" t="s">
        <v>316</v>
      </c>
      <c>
        <v>0.23</v>
      </c>
      <c t="s">
        <v>6175</v>
      </c>
      <c t="s">
        <v>18074</v>
      </c>
      <c t="s">
        <v>59668</v>
      </c>
      <c r="X2095" t="s">
        <v>23153</v>
      </c>
      <c t="s">
        <v>2626</v>
      </c>
      <c t="s">
        <v>2517</v>
      </c>
      <c t="s">
        <v>39289</v>
      </c>
      <c>
        <v>33909</v>
      </c>
      <c t="s">
        <v>2758</v>
      </c>
      <c t="s">
        <v>48794</v>
      </c>
      <c t="s">
        <v>1902</v>
      </c>
      <c>
        <v>50</v>
      </c>
      <c r="AI2095" t="s">
        <v>55623</v>
      </c>
      <c t="s">
        <v>24900</v>
      </c>
      <c>
        <v>10</v>
      </c>
      <c t="s">
        <v>11428</v>
      </c>
      <c t="s">
        <v>11428</v>
      </c>
      <c t="s">
        <v>65451</v>
      </c>
      <c t="s">
        <v>466</v>
      </c>
      <c t="s">
        <v>32746</v>
      </c>
      <c t="s">
        <v>3093</v>
      </c>
      <c t="s">
        <v>25260</v>
      </c>
    </row>
    <row>
      <c t="s">
        <v>17594</v>
      </c>
      <c t="s">
        <v>59792</v>
      </c>
      <c t="s">
        <v>56635</v>
      </c>
      <c t="s">
        <v>36691</v>
      </c>
      <c t="s">
        <v>59272</v>
      </c>
      <c s="3">
        <v>9281</v>
      </c>
      <c s="3">
        <v>9281</v>
      </c>
      <c s="3">
        <v>4972</v>
      </c>
      <c>
        <v>0</v>
      </c>
      <c s="3">
        <v>0</v>
      </c>
      <c s="3">
        <v>321.86</v>
      </c>
      <c s="3">
        <v>9281</v>
      </c>
      <c r="O2096" s="1" t="str">
        <f ca="1">HYPERLINK("https://web.datatree.com/?/property?propertyId=32750066", "https://web.datatree.com/?/property?propertyId=32750066")</f>
        <v>https://web.datatree.com/?/property?propertyId=32750066</v>
      </c>
      <c r="Q2096" t="s">
        <v>316</v>
      </c>
      <c>
        <v>0.283</v>
      </c>
      <c t="s">
        <v>5471</v>
      </c>
      <c t="s">
        <v>47922</v>
      </c>
      <c t="s">
        <v>63776</v>
      </c>
      <c r="X2096" t="s">
        <v>11545</v>
      </c>
      <c t="s">
        <v>19394</v>
      </c>
      <c t="s">
        <v>65059</v>
      </c>
      <c t="s">
        <v>39289</v>
      </c>
      <c>
        <v>33905</v>
      </c>
      <c t="s">
        <v>22045</v>
      </c>
      <c t="s">
        <v>48794</v>
      </c>
      <c t="s">
        <v>28697</v>
      </c>
      <c>
        <v>826</v>
      </c>
      <c r="AI2096" t="s">
        <v>60665</v>
      </c>
      <c t="s">
        <v>45393</v>
      </c>
      <c r="AL2096" t="s">
        <v>2657</v>
      </c>
      <c r="AN2096" t="s">
        <v>22275</v>
      </c>
      <c t="s">
        <v>42079</v>
      </c>
      <c t="s">
        <v>12399</v>
      </c>
      <c t="s">
        <v>3093</v>
      </c>
      <c t="s">
        <v>2335</v>
      </c>
    </row>
    <row>
      <c t="s">
        <v>17594</v>
      </c>
      <c t="s">
        <v>48307</v>
      </c>
      <c t="s">
        <v>28727</v>
      </c>
      <c t="s">
        <v>14277</v>
      </c>
      <c t="s">
        <v>19607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2097" s="1" t="str">
        <f ca="1">HYPERLINK("https://web.datatree.com/?/property?propertyId=32750812", "https://web.datatree.com/?/property?propertyId=32750812")</f>
        <v>https://web.datatree.com/?/property?propertyId=32750812</v>
      </c>
      <c r="Q2097" t="s">
        <v>316</v>
      </c>
      <c>
        <v>0.241</v>
      </c>
      <c t="s">
        <v>6175</v>
      </c>
      <c t="s">
        <v>55144</v>
      </c>
      <c t="s">
        <v>35276</v>
      </c>
      <c t="s">
        <v>48754</v>
      </c>
      <c t="s">
        <v>35276</v>
      </c>
      <c t="s">
        <v>54879</v>
      </c>
      <c t="s">
        <v>30928</v>
      </c>
      <c t="s">
        <v>2517</v>
      </c>
      <c t="s">
        <v>39289</v>
      </c>
      <c>
        <v>33909</v>
      </c>
      <c t="s">
        <v>53041</v>
      </c>
      <c t="s">
        <v>48794</v>
      </c>
      <c t="s">
        <v>46382</v>
      </c>
      <c>
        <v>10119</v>
      </c>
      <c r="AI2097" t="s">
        <v>971</v>
      </c>
      <c t="s">
        <v>55842</v>
      </c>
      <c r="AL2097" t="s">
        <v>40340</v>
      </c>
      <c r="AN2097" t="s">
        <v>65467</v>
      </c>
      <c t="s">
        <v>59555</v>
      </c>
      <c t="s">
        <v>61719</v>
      </c>
      <c t="s">
        <v>3093</v>
      </c>
      <c t="s">
        <v>61853</v>
      </c>
    </row>
    <row>
      <c t="s">
        <v>17594</v>
      </c>
      <c t="s">
        <v>20701</v>
      </c>
      <c t="s">
        <v>49703</v>
      </c>
      <c t="s">
        <v>26525</v>
      </c>
      <c t="s">
        <v>61574</v>
      </c>
      <c s="3">
        <v>17800</v>
      </c>
      <c s="3">
        <v>17800</v>
      </c>
      <c s="3">
        <v>8360</v>
      </c>
      <c>
        <v>0</v>
      </c>
      <c s="3">
        <v>0</v>
      </c>
      <c s="3">
        <v>573.63</v>
      </c>
      <c s="3">
        <v>17800</v>
      </c>
      <c>
        <v>2021</v>
      </c>
      <c>
        <v>546.9</v>
      </c>
      <c s="1" t="str">
        <f ca="1">HYPERLINK("https://web.datatree.com/?/property?propertyId=32751006", "https://web.datatree.com/?/property?propertyId=32751006")</f>
        <v>https://web.datatree.com/?/property?propertyId=32751006</v>
      </c>
      <c r="Q2098" t="s">
        <v>316</v>
      </c>
      <c>
        <v>0.255</v>
      </c>
      <c t="s">
        <v>6175</v>
      </c>
      <c t="s">
        <v>66846</v>
      </c>
      <c t="s">
        <v>38825</v>
      </c>
      <c r="X2098" t="s">
        <v>32484</v>
      </c>
      <c t="s">
        <v>23517</v>
      </c>
      <c t="s">
        <v>2517</v>
      </c>
      <c t="s">
        <v>39289</v>
      </c>
      <c>
        <v>33909</v>
      </c>
      <c t="s">
        <v>1293</v>
      </c>
      <c t="s">
        <v>48794</v>
      </c>
      <c t="s">
        <v>34535</v>
      </c>
      <c>
        <v>4666</v>
      </c>
      <c r="AI2098" t="s">
        <v>23405</v>
      </c>
      <c t="s">
        <v>45620</v>
      </c>
      <c r="AL2098" t="s">
        <v>29086</v>
      </c>
      <c r="AN2098" t="s">
        <v>17134</v>
      </c>
      <c t="s">
        <v>15155</v>
      </c>
      <c t="s">
        <v>23744</v>
      </c>
      <c t="s">
        <v>3093</v>
      </c>
      <c t="s">
        <v>38522</v>
      </c>
    </row>
    <row>
      <c t="s">
        <v>42103</v>
      </c>
      <c t="s">
        <v>59913</v>
      </c>
      <c t="s">
        <v>53729</v>
      </c>
      <c t="s">
        <v>40972</v>
      </c>
      <c t="s">
        <v>53951</v>
      </c>
      <c s="3">
        <v>26249</v>
      </c>
      <c s="3">
        <v>26249</v>
      </c>
      <c s="3">
        <v>9680</v>
      </c>
      <c>
        <v>0</v>
      </c>
      <c s="3">
        <v>0</v>
      </c>
      <c s="3">
        <v>619.43</v>
      </c>
      <c s="3">
        <v>26249</v>
      </c>
      <c r="O2099" s="1" t="str">
        <f ca="1">HYPERLINK("https://web.datatree.com/?/property?propertyId=32751040", "https://web.datatree.com/?/property?propertyId=32751040")</f>
        <v>https://web.datatree.com/?/property?propertyId=32751040</v>
      </c>
      <c r="Q2099" t="s">
        <v>316</v>
      </c>
      <c>
        <v>0.23</v>
      </c>
      <c t="s">
        <v>6175</v>
      </c>
      <c t="s">
        <v>3238</v>
      </c>
      <c t="s">
        <v>25404</v>
      </c>
      <c r="X2099" t="s">
        <v>66821</v>
      </c>
      <c t="s">
        <v>53675</v>
      </c>
      <c t="s">
        <v>2517</v>
      </c>
      <c t="s">
        <v>39289</v>
      </c>
      <c>
        <v>33909</v>
      </c>
      <c t="s">
        <v>1730</v>
      </c>
      <c t="s">
        <v>48794</v>
      </c>
      <c t="s">
        <v>58040</v>
      </c>
      <c r="AI2099" t="s">
        <v>16212</v>
      </c>
      <c r="AL2099" t="s">
        <v>60998</v>
      </c>
      <c r="AN2099" t="s">
        <v>14798</v>
      </c>
      <c r="AQ2099" t="s">
        <v>3093</v>
      </c>
      <c t="s">
        <v>15553</v>
      </c>
    </row>
    <row>
      <c t="s">
        <v>17594</v>
      </c>
      <c t="s">
        <v>46318</v>
      </c>
      <c t="s">
        <v>38514</v>
      </c>
      <c t="s">
        <v>31259</v>
      </c>
      <c t="s">
        <v>62031</v>
      </c>
      <c s="3">
        <v>7300</v>
      </c>
      <c s="3">
        <v>7300</v>
      </c>
      <c s="3">
        <v>7300</v>
      </c>
      <c>
        <v>0</v>
      </c>
      <c s="3">
        <v>0</v>
      </c>
      <c s="3">
        <v>586.61</v>
      </c>
      <c s="3">
        <v>7300</v>
      </c>
      <c r="O2100" s="1" t="str">
        <f ca="1">HYPERLINK("https://web.datatree.com/?/property?propertyId=32751155", "https://web.datatree.com/?/property?propertyId=32751155")</f>
        <v>https://web.datatree.com/?/property?propertyId=32751155</v>
      </c>
      <c r="Q2100" t="s">
        <v>316</v>
      </c>
      <c>
        <v>0.256</v>
      </c>
      <c t="s">
        <v>22490</v>
      </c>
      <c t="s">
        <v>26349</v>
      </c>
      <c t="s">
        <v>3700</v>
      </c>
      <c t="s">
        <v>64372</v>
      </c>
      <c t="s">
        <v>3700</v>
      </c>
      <c t="s">
        <v>62333</v>
      </c>
      <c t="s">
        <v>47150</v>
      </c>
      <c t="s">
        <v>2517</v>
      </c>
      <c t="s">
        <v>39289</v>
      </c>
      <c>
        <v>33909</v>
      </c>
      <c t="s">
        <v>64184</v>
      </c>
      <c t="s">
        <v>48794</v>
      </c>
      <c t="s">
        <v>11109</v>
      </c>
      <c>
        <v>1528</v>
      </c>
      <c r="AI2100" t="s">
        <v>17949</v>
      </c>
      <c t="s">
        <v>24900</v>
      </c>
      <c>
        <v>210</v>
      </c>
      <c t="s">
        <v>55393</v>
      </c>
      <c r="AN2100" t="s">
        <v>39289</v>
      </c>
      <c t="s">
        <v>36942</v>
      </c>
      <c t="s">
        <v>33029</v>
      </c>
      <c t="s">
        <v>3093</v>
      </c>
      <c t="s">
        <v>35575</v>
      </c>
    </row>
    <row>
      <c t="s">
        <v>17594</v>
      </c>
      <c t="s">
        <v>61436</v>
      </c>
      <c t="s">
        <v>7401</v>
      </c>
      <c t="s">
        <v>2674</v>
      </c>
      <c t="s">
        <v>13577</v>
      </c>
      <c s="3">
        <v>15788</v>
      </c>
      <c s="3">
        <v>15788</v>
      </c>
      <c s="3">
        <v>8250</v>
      </c>
      <c>
        <v>0</v>
      </c>
      <c s="3">
        <v>0</v>
      </c>
      <c s="3">
        <v>676.07</v>
      </c>
      <c s="3">
        <v>15788</v>
      </c>
      <c>
        <v>2018</v>
      </c>
      <c>
        <v>4833.35</v>
      </c>
      <c s="1" t="str">
        <f ca="1">HYPERLINK("https://web.datatree.com/?/property?propertyId=32751413", "https://web.datatree.com/?/property?propertyId=32751413")</f>
        <v>https://web.datatree.com/?/property?propertyId=32751413</v>
      </c>
      <c r="Q2101" t="s">
        <v>316</v>
      </c>
      <c>
        <v>0.23</v>
      </c>
      <c t="s">
        <v>6175</v>
      </c>
      <c t="s">
        <v>17715</v>
      </c>
      <c t="s">
        <v>9733</v>
      </c>
      <c r="X2101" t="s">
        <v>66305</v>
      </c>
      <c t="s">
        <v>39777</v>
      </c>
      <c t="s">
        <v>2517</v>
      </c>
      <c t="s">
        <v>39289</v>
      </c>
      <c>
        <v>33909</v>
      </c>
      <c t="s">
        <v>57602</v>
      </c>
      <c t="s">
        <v>48794</v>
      </c>
      <c t="s">
        <v>35565</v>
      </c>
      <c>
        <v>1026</v>
      </c>
      <c r="AI2101" t="s">
        <v>48199</v>
      </c>
      <c t="s">
        <v>31192</v>
      </c>
      <c r="AL2101" t="s">
        <v>64339</v>
      </c>
      <c r="AN2101" t="s">
        <v>39289</v>
      </c>
      <c t="s">
        <v>25662</v>
      </c>
      <c t="s">
        <v>7207</v>
      </c>
      <c t="s">
        <v>3093</v>
      </c>
      <c t="s">
        <v>51406</v>
      </c>
    </row>
    <row>
      <c t="s">
        <v>17594</v>
      </c>
      <c t="s">
        <v>23225</v>
      </c>
      <c t="s">
        <v>46163</v>
      </c>
      <c t="s">
        <v>52855</v>
      </c>
      <c t="s">
        <v>24129</v>
      </c>
      <c s="3">
        <v>17210</v>
      </c>
      <c s="3">
        <v>17210</v>
      </c>
      <c s="3">
        <v>9075</v>
      </c>
      <c>
        <v>0</v>
      </c>
      <c s="3">
        <v>0</v>
      </c>
      <c s="3">
        <v>557.94</v>
      </c>
      <c s="3">
        <v>17210</v>
      </c>
      <c r="O2102" s="1" t="str">
        <f ca="1">HYPERLINK("https://web.datatree.com/?/property?propertyId=32751562", "https://web.datatree.com/?/property?propertyId=32751562")</f>
        <v>https://web.datatree.com/?/property?propertyId=32751562</v>
      </c>
      <c r="Q2102" t="s">
        <v>316</v>
      </c>
      <c>
        <v>0.244</v>
      </c>
      <c t="s">
        <v>6175</v>
      </c>
      <c t="s">
        <v>45883</v>
      </c>
      <c t="s">
        <v>32018</v>
      </c>
      <c r="X2102" t="s">
        <v>62113</v>
      </c>
      <c t="s">
        <v>33179</v>
      </c>
      <c t="s">
        <v>2517</v>
      </c>
      <c t="s">
        <v>39289</v>
      </c>
      <c>
        <v>33909</v>
      </c>
      <c t="s">
        <v>58802</v>
      </c>
      <c t="s">
        <v>48794</v>
      </c>
      <c t="s">
        <v>60298</v>
      </c>
      <c>
        <v>125</v>
      </c>
      <c r="AI2102" t="s">
        <v>25545</v>
      </c>
      <c t="s">
        <v>31192</v>
      </c>
      <c r="AL2102" t="s">
        <v>51776</v>
      </c>
      <c r="AN2102" t="s">
        <v>39289</v>
      </c>
      <c t="s">
        <v>38992</v>
      </c>
      <c t="s">
        <v>6081</v>
      </c>
      <c t="s">
        <v>3093</v>
      </c>
      <c t="s">
        <v>38099</v>
      </c>
    </row>
    <row>
      <c t="s">
        <v>17594</v>
      </c>
      <c t="s">
        <v>5904</v>
      </c>
      <c t="s">
        <v>2309</v>
      </c>
      <c t="s">
        <v>50102</v>
      </c>
      <c t="s">
        <v>11383</v>
      </c>
      <c s="3">
        <v>41248</v>
      </c>
      <c s="3">
        <v>41248</v>
      </c>
      <c s="3">
        <v>29476</v>
      </c>
      <c>
        <v>0</v>
      </c>
      <c s="3">
        <v>0</v>
      </c>
      <c s="3">
        <v>846.67</v>
      </c>
      <c s="3">
        <v>41248</v>
      </c>
      <c r="O2103" s="1" t="str">
        <f ca="1">HYPERLINK("https://web.datatree.com/?/property?propertyId=32751702", "https://web.datatree.com/?/property?propertyId=32751702")</f>
        <v>https://web.datatree.com/?/property?propertyId=32751702</v>
      </c>
      <c r="Q2103" t="s">
        <v>316</v>
      </c>
      <c>
        <v>0.23</v>
      </c>
      <c t="s">
        <v>22490</v>
      </c>
      <c t="s">
        <v>32886</v>
      </c>
      <c t="s">
        <v>61221</v>
      </c>
      <c t="s">
        <v>19092</v>
      </c>
      <c t="s">
        <v>45794</v>
      </c>
      <c t="s">
        <v>59223</v>
      </c>
      <c t="s">
        <v>2626</v>
      </c>
      <c t="s">
        <v>2517</v>
      </c>
      <c t="s">
        <v>39289</v>
      </c>
      <c>
        <v>33909</v>
      </c>
      <c t="s">
        <v>11255</v>
      </c>
      <c t="s">
        <v>48794</v>
      </c>
      <c t="s">
        <v>58148</v>
      </c>
      <c>
        <v>15132</v>
      </c>
      <c r="AI2103" t="s">
        <v>64137</v>
      </c>
      <c t="s">
        <v>31192</v>
      </c>
      <c r="AL2103" t="s">
        <v>52197</v>
      </c>
      <c t="s">
        <v>52197</v>
      </c>
      <c t="s">
        <v>56163</v>
      </c>
      <c t="s">
        <v>32119</v>
      </c>
      <c t="s">
        <v>49454</v>
      </c>
      <c t="s">
        <v>3093</v>
      </c>
      <c t="s">
        <v>57101</v>
      </c>
    </row>
    <row>
      <c t="s">
        <v>17594</v>
      </c>
      <c t="s">
        <v>959</v>
      </c>
      <c t="s">
        <v>27040</v>
      </c>
      <c t="s">
        <v>30059</v>
      </c>
      <c t="s">
        <v>7215</v>
      </c>
      <c s="3">
        <v>24937</v>
      </c>
      <c s="3">
        <v>24937</v>
      </c>
      <c s="3">
        <v>9079</v>
      </c>
      <c>
        <v>0</v>
      </c>
      <c s="3">
        <v>0</v>
      </c>
      <c s="3">
        <v>2990.73</v>
      </c>
      <c s="3">
        <v>24937</v>
      </c>
      <c r="O2104" s="1" t="str">
        <f ca="1">HYPERLINK("https://web.datatree.com/?/property?propertyId=32752049", "https://web.datatree.com/?/property?propertyId=32752049")</f>
        <v>https://web.datatree.com/?/property?propertyId=32752049</v>
      </c>
      <c r="Q2104" t="s">
        <v>316</v>
      </c>
      <c>
        <v>0.249</v>
      </c>
      <c t="s">
        <v>37741</v>
      </c>
      <c t="s">
        <v>4047</v>
      </c>
      <c t="s">
        <v>49941</v>
      </c>
      <c t="s">
        <v>15645</v>
      </c>
      <c t="s">
        <v>19150</v>
      </c>
      <c t="s">
        <v>61524</v>
      </c>
      <c t="s">
        <v>61865</v>
      </c>
      <c t="s">
        <v>2517</v>
      </c>
      <c t="s">
        <v>39289</v>
      </c>
      <c>
        <v>33909</v>
      </c>
      <c t="s">
        <v>5365</v>
      </c>
      <c t="s">
        <v>48794</v>
      </c>
      <c t="s">
        <v>65309</v>
      </c>
      <c>
        <v>280</v>
      </c>
      <c r="AI2104" t="s">
        <v>21803</v>
      </c>
      <c t="s">
        <v>4985</v>
      </c>
      <c r="AL2104" t="s">
        <v>47547</v>
      </c>
      <c r="AN2104" t="s">
        <v>50917</v>
      </c>
      <c t="s">
        <v>48318</v>
      </c>
      <c t="s">
        <v>32746</v>
      </c>
      <c t="s">
        <v>3093</v>
      </c>
      <c t="s">
        <v>21893</v>
      </c>
    </row>
    <row>
      <c t="s">
        <v>17594</v>
      </c>
      <c t="s">
        <v>1473</v>
      </c>
      <c t="s">
        <v>44474</v>
      </c>
      <c t="s">
        <v>51156</v>
      </c>
      <c t="s">
        <v>18869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105" s="1" t="str">
        <f ca="1">HYPERLINK("https://web.datatree.com/?/property?propertyId=32752707", "https://web.datatree.com/?/property?propertyId=32752707")</f>
        <v>https://web.datatree.com/?/property?propertyId=32752707</v>
      </c>
      <c r="Q2105" t="s">
        <v>316</v>
      </c>
      <c>
        <v>0.23</v>
      </c>
      <c t="s">
        <v>22490</v>
      </c>
      <c t="s">
        <v>35512</v>
      </c>
      <c t="s">
        <v>24595</v>
      </c>
      <c t="s">
        <v>58737</v>
      </c>
      <c t="s">
        <v>24595</v>
      </c>
      <c t="s">
        <v>27542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49623</v>
      </c>
      <c>
        <v>1309</v>
      </c>
      <c r="AI2105" t="s">
        <v>39437</v>
      </c>
      <c t="s">
        <v>45620</v>
      </c>
      <c r="AL2105" t="s">
        <v>3443</v>
      </c>
      <c r="AN2105" t="s">
        <v>3034</v>
      </c>
      <c t="s">
        <v>14520</v>
      </c>
      <c t="s">
        <v>43294</v>
      </c>
      <c t="s">
        <v>3093</v>
      </c>
      <c t="s">
        <v>25031</v>
      </c>
    </row>
    <row>
      <c t="s">
        <v>17594</v>
      </c>
      <c t="s">
        <v>12008</v>
      </c>
      <c t="s">
        <v>43879</v>
      </c>
      <c t="s">
        <v>33630</v>
      </c>
      <c t="s">
        <v>37656</v>
      </c>
      <c s="3">
        <v>67000</v>
      </c>
      <c s="3">
        <v>67000</v>
      </c>
      <c s="3">
        <v>67000</v>
      </c>
      <c>
        <v>0</v>
      </c>
      <c s="3">
        <v>0</v>
      </c>
      <c s="3">
        <v>914.66</v>
      </c>
      <c s="3">
        <v>67000</v>
      </c>
      <c r="O2106" s="1" t="str">
        <f ca="1">HYPERLINK("https://web.datatree.com/?/property?propertyId=32753083", "https://web.datatree.com/?/property?propertyId=32753083")</f>
        <v>https://web.datatree.com/?/property?propertyId=32753083</v>
      </c>
      <c r="Q2106" t="s">
        <v>316</v>
      </c>
      <c>
        <v>0.207</v>
      </c>
      <c t="s">
        <v>5471</v>
      </c>
      <c t="s">
        <v>56429</v>
      </c>
      <c t="s">
        <v>27591</v>
      </c>
      <c t="s">
        <v>36693</v>
      </c>
      <c t="s">
        <v>27591</v>
      </c>
      <c t="s">
        <v>6084</v>
      </c>
      <c t="s">
        <v>45219</v>
      </c>
      <c t="s">
        <v>65059</v>
      </c>
      <c t="s">
        <v>39289</v>
      </c>
      <c>
        <v>33905</v>
      </c>
      <c t="s">
        <v>50536</v>
      </c>
      <c t="s">
        <v>48794</v>
      </c>
      <c t="s">
        <v>63008</v>
      </c>
      <c>
        <v>803</v>
      </c>
      <c r="AI2106" t="s">
        <v>42355</v>
      </c>
      <c t="s">
        <v>45393</v>
      </c>
      <c r="AL2106" t="s">
        <v>62575</v>
      </c>
      <c t="s">
        <v>62575</v>
      </c>
      <c t="s">
        <v>56163</v>
      </c>
      <c t="s">
        <v>55078</v>
      </c>
      <c t="s">
        <v>22455</v>
      </c>
      <c t="s">
        <v>3093</v>
      </c>
      <c t="s">
        <v>25228</v>
      </c>
    </row>
    <row>
      <c t="s">
        <v>17594</v>
      </c>
      <c t="s">
        <v>7102</v>
      </c>
      <c t="s">
        <v>37836</v>
      </c>
      <c t="s">
        <v>3676</v>
      </c>
      <c t="s">
        <v>61879</v>
      </c>
      <c s="3">
        <v>10600</v>
      </c>
      <c s="3">
        <v>10600</v>
      </c>
      <c s="3">
        <v>9339</v>
      </c>
      <c>
        <v>0</v>
      </c>
      <c s="3">
        <v>0</v>
      </c>
      <c s="3">
        <v>619.98</v>
      </c>
      <c s="3">
        <v>10600</v>
      </c>
      <c>
        <v>2019</v>
      </c>
      <c>
        <v>2717.37</v>
      </c>
      <c s="1" t="str">
        <f ca="1">HYPERLINK("https://web.datatree.com/?/property?propertyId=32753176", "https://web.datatree.com/?/property?propertyId=32753176")</f>
        <v>https://web.datatree.com/?/property?propertyId=32753176</v>
      </c>
      <c r="Q2107" t="s">
        <v>316</v>
      </c>
      <c>
        <v>0.241</v>
      </c>
      <c t="s">
        <v>6175</v>
      </c>
      <c t="s">
        <v>35237</v>
      </c>
      <c t="s">
        <v>51372</v>
      </c>
      <c t="s">
        <v>48615</v>
      </c>
      <c t="s">
        <v>51372</v>
      </c>
      <c t="s">
        <v>49444</v>
      </c>
      <c t="s">
        <v>2619</v>
      </c>
      <c t="s">
        <v>2517</v>
      </c>
      <c t="s">
        <v>39289</v>
      </c>
      <c>
        <v>33909</v>
      </c>
      <c t="s">
        <v>38643</v>
      </c>
      <c t="s">
        <v>48794</v>
      </c>
      <c t="s">
        <v>38741</v>
      </c>
      <c>
        <v>437</v>
      </c>
      <c r="AI2107" t="s">
        <v>25116</v>
      </c>
      <c t="s">
        <v>45620</v>
      </c>
      <c r="AL2107" t="s">
        <v>55351</v>
      </c>
      <c r="AN2107" t="s">
        <v>50917</v>
      </c>
      <c t="s">
        <v>36271</v>
      </c>
      <c t="s">
        <v>19978</v>
      </c>
      <c t="s">
        <v>3093</v>
      </c>
      <c t="s">
        <v>26793</v>
      </c>
    </row>
    <row>
      <c t="s">
        <v>17594</v>
      </c>
      <c t="s">
        <v>48078</v>
      </c>
      <c t="s">
        <v>7363</v>
      </c>
      <c t="s">
        <v>18149</v>
      </c>
      <c t="s">
        <v>28254</v>
      </c>
      <c s="3">
        <v>49760</v>
      </c>
      <c s="3">
        <v>49760</v>
      </c>
      <c s="3">
        <v>29476</v>
      </c>
      <c>
        <v>0</v>
      </c>
      <c s="3">
        <v>0</v>
      </c>
      <c s="3">
        <v>966.01</v>
      </c>
      <c s="3">
        <v>49760</v>
      </c>
      <c r="O2108" s="1" t="str">
        <f ca="1">HYPERLINK("https://web.datatree.com/?/property?propertyId=32753240", "https://web.datatree.com/?/property?propertyId=32753240")</f>
        <v>https://web.datatree.com/?/property?propertyId=32753240</v>
      </c>
      <c r="Q2108" t="s">
        <v>316</v>
      </c>
      <c>
        <v>0.23</v>
      </c>
      <c t="s">
        <v>22490</v>
      </c>
      <c t="s">
        <v>552</v>
      </c>
      <c t="s">
        <v>2423</v>
      </c>
      <c r="X2108" t="s">
        <v>52828</v>
      </c>
      <c t="s">
        <v>34731</v>
      </c>
      <c t="s">
        <v>2517</v>
      </c>
      <c t="s">
        <v>39289</v>
      </c>
      <c>
        <v>33909</v>
      </c>
      <c t="s">
        <v>54515</v>
      </c>
      <c t="s">
        <v>48794</v>
      </c>
      <c t="s">
        <v>50016</v>
      </c>
      <c>
        <v>54089</v>
      </c>
      <c r="AI2108" t="s">
        <v>50966</v>
      </c>
      <c t="s">
        <v>55842</v>
      </c>
      <c r="AL2108" t="s">
        <v>23346</v>
      </c>
      <c r="AN2108" t="s">
        <v>51137</v>
      </c>
      <c t="s">
        <v>26853</v>
      </c>
      <c t="s">
        <v>4480</v>
      </c>
      <c t="s">
        <v>3093</v>
      </c>
      <c t="s">
        <v>4398</v>
      </c>
    </row>
    <row>
      <c t="s">
        <v>17594</v>
      </c>
      <c t="s">
        <v>35052</v>
      </c>
      <c t="s">
        <v>59610</v>
      </c>
      <c t="s">
        <v>35509</v>
      </c>
      <c t="s">
        <v>29534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109" s="1" t="str">
        <f ca="1">HYPERLINK("https://web.datatree.com/?/property?propertyId=32754082", "https://web.datatree.com/?/property?propertyId=32754082")</f>
        <v>https://web.datatree.com/?/property?propertyId=32754082</v>
      </c>
      <c r="Q2109" t="s">
        <v>316</v>
      </c>
      <c>
        <v>0.23</v>
      </c>
      <c t="s">
        <v>22490</v>
      </c>
      <c t="s">
        <v>947</v>
      </c>
      <c t="s">
        <v>47356</v>
      </c>
      <c t="s">
        <v>46444</v>
      </c>
      <c t="s">
        <v>47356</v>
      </c>
      <c t="s">
        <v>13717</v>
      </c>
      <c t="s">
        <v>23517</v>
      </c>
      <c t="s">
        <v>2517</v>
      </c>
      <c t="s">
        <v>39289</v>
      </c>
      <c>
        <v>33909</v>
      </c>
      <c t="s">
        <v>61307</v>
      </c>
      <c t="s">
        <v>48794</v>
      </c>
      <c t="s">
        <v>5475</v>
      </c>
      <c>
        <v>166</v>
      </c>
      <c r="AI2109" t="s">
        <v>61350</v>
      </c>
      <c t="s">
        <v>45620</v>
      </c>
      <c r="AL2109" t="s">
        <v>11150</v>
      </c>
      <c r="AN2109" t="s">
        <v>26016</v>
      </c>
      <c t="s">
        <v>48946</v>
      </c>
      <c t="s">
        <v>43446</v>
      </c>
      <c t="s">
        <v>3093</v>
      </c>
      <c t="s">
        <v>27017</v>
      </c>
    </row>
    <row>
      <c t="s">
        <v>17594</v>
      </c>
      <c t="s">
        <v>4339</v>
      </c>
      <c t="s">
        <v>21162</v>
      </c>
      <c t="s">
        <v>33592</v>
      </c>
      <c t="s">
        <v>14305</v>
      </c>
      <c s="3">
        <v>23310</v>
      </c>
      <c s="3">
        <v>23310</v>
      </c>
      <c s="3">
        <v>10467</v>
      </c>
      <c>
        <v>0</v>
      </c>
      <c s="3">
        <v>0</v>
      </c>
      <c s="3">
        <v>705.52</v>
      </c>
      <c s="3">
        <v>23310</v>
      </c>
      <c r="O2110" s="1" t="str">
        <f ca="1">HYPERLINK("https://web.datatree.com/?/property?propertyId=32755330", "https://web.datatree.com/?/property?propertyId=32755330")</f>
        <v>https://web.datatree.com/?/property?propertyId=32755330</v>
      </c>
      <c r="Q2110" t="s">
        <v>316</v>
      </c>
      <c>
        <v>0.344</v>
      </c>
      <c t="s">
        <v>6175</v>
      </c>
      <c t="s">
        <v>31808</v>
      </c>
      <c t="s">
        <v>61905</v>
      </c>
      <c t="s">
        <v>11962</v>
      </c>
      <c t="s">
        <v>25083</v>
      </c>
      <c t="s">
        <v>4255</v>
      </c>
      <c t="s">
        <v>29190</v>
      </c>
      <c t="s">
        <v>2517</v>
      </c>
      <c t="s">
        <v>39289</v>
      </c>
      <c>
        <v>33909</v>
      </c>
      <c t="s">
        <v>64211</v>
      </c>
      <c t="s">
        <v>48794</v>
      </c>
      <c t="s">
        <v>42051</v>
      </c>
      <c>
        <v>7946</v>
      </c>
      <c r="AH2110" t="s">
        <v>57851</v>
      </c>
      <c>
        <v>7110</v>
      </c>
      <c r="AL2110" t="s">
        <v>42704</v>
      </c>
      <c t="s">
        <v>42704</v>
      </c>
      <c t="s">
        <v>47028</v>
      </c>
      <c t="s">
        <v>4934</v>
      </c>
      <c t="s">
        <v>21054</v>
      </c>
      <c t="s">
        <v>3093</v>
      </c>
      <c t="s">
        <v>23679</v>
      </c>
    </row>
    <row>
      <c t="s">
        <v>17594</v>
      </c>
      <c t="s">
        <v>7347</v>
      </c>
      <c t="s">
        <v>45252</v>
      </c>
      <c t="s">
        <v>33687</v>
      </c>
      <c t="s">
        <v>54757</v>
      </c>
      <c s="3">
        <v>84157</v>
      </c>
      <c s="3">
        <v>82306</v>
      </c>
      <c s="3">
        <v>80550</v>
      </c>
      <c>
        <v>0</v>
      </c>
      <c s="3">
        <v>0</v>
      </c>
      <c s="3">
        <v>1230.89</v>
      </c>
      <c s="3">
        <v>84157</v>
      </c>
      <c r="O2111" s="1" t="str">
        <f ca="1">HYPERLINK("https://web.datatree.com/?/property?propertyId=32755636", "https://web.datatree.com/?/property?propertyId=32755636")</f>
        <v>https://web.datatree.com/?/property?propertyId=32755636</v>
      </c>
      <c r="Q2111" t="s">
        <v>316</v>
      </c>
      <c>
        <v>0.095</v>
      </c>
      <c t="s">
        <v>26492</v>
      </c>
      <c t="s">
        <v>51210</v>
      </c>
      <c t="s">
        <v>66088</v>
      </c>
      <c t="s">
        <v>13478</v>
      </c>
      <c t="s">
        <v>66088</v>
      </c>
      <c t="s">
        <v>37452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34578</v>
      </c>
      <c>
        <v>567</v>
      </c>
      <c r="AI2111" t="s">
        <v>38959</v>
      </c>
      <c t="s">
        <v>45620</v>
      </c>
      <c r="AL2111" t="s">
        <v>32552</v>
      </c>
      <c t="s">
        <v>40227</v>
      </c>
      <c t="s">
        <v>3034</v>
      </c>
      <c t="s">
        <v>22399</v>
      </c>
      <c t="s">
        <v>27410</v>
      </c>
      <c t="s">
        <v>3093</v>
      </c>
      <c t="s">
        <v>36016</v>
      </c>
    </row>
    <row>
      <c t="s">
        <v>17594</v>
      </c>
      <c t="s">
        <v>65609</v>
      </c>
      <c t="s">
        <v>9189</v>
      </c>
      <c t="s">
        <v>22280</v>
      </c>
      <c t="s">
        <v>2276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2112" s="1" t="str">
        <f ca="1">HYPERLINK("https://web.datatree.com/?/property?propertyId=32756695", "https://web.datatree.com/?/property?propertyId=32756695")</f>
        <v>https://web.datatree.com/?/property?propertyId=32756695</v>
      </c>
      <c r="Q2112" t="s">
        <v>316</v>
      </c>
      <c>
        <v>0.23</v>
      </c>
      <c t="s">
        <v>6175</v>
      </c>
      <c t="s">
        <v>26314</v>
      </c>
      <c t="s">
        <v>48935</v>
      </c>
      <c r="X2112" t="s">
        <v>18146</v>
      </c>
      <c t="s">
        <v>53663</v>
      </c>
      <c t="s">
        <v>2517</v>
      </c>
      <c t="s">
        <v>39289</v>
      </c>
      <c>
        <v>33909</v>
      </c>
      <c t="s">
        <v>27241</v>
      </c>
      <c t="s">
        <v>48794</v>
      </c>
      <c t="s">
        <v>32341</v>
      </c>
      <c>
        <v>3141</v>
      </c>
      <c r="AI2112" t="s">
        <v>7231</v>
      </c>
      <c t="s">
        <v>4985</v>
      </c>
      <c r="AL2112" t="s">
        <v>66317</v>
      </c>
      <c r="AN2112" t="s">
        <v>50917</v>
      </c>
      <c t="s">
        <v>18506</v>
      </c>
      <c t="s">
        <v>7207</v>
      </c>
      <c t="s">
        <v>3093</v>
      </c>
      <c t="s">
        <v>18840</v>
      </c>
    </row>
    <row>
      <c t="s">
        <v>17594</v>
      </c>
      <c t="s">
        <v>28631</v>
      </c>
      <c t="s">
        <v>16872</v>
      </c>
      <c t="s">
        <v>8977</v>
      </c>
      <c t="s">
        <v>15290</v>
      </c>
      <c s="3">
        <v>8400</v>
      </c>
      <c s="3">
        <v>8400</v>
      </c>
      <c s="3">
        <v>8400</v>
      </c>
      <c>
        <v>0</v>
      </c>
      <c s="3">
        <v>0</v>
      </c>
      <c s="3">
        <v>715.85</v>
      </c>
      <c s="3">
        <v>8400</v>
      </c>
      <c r="O2113" s="1" t="str">
        <f ca="1">HYPERLINK("https://web.datatree.com/?/property?propertyId=32756986", "https://web.datatree.com/?/property?propertyId=32756986")</f>
        <v>https://web.datatree.com/?/property?propertyId=32756986</v>
      </c>
      <c r="Q2113" t="s">
        <v>316</v>
      </c>
      <c>
        <v>0.263</v>
      </c>
      <c t="s">
        <v>22490</v>
      </c>
      <c t="s">
        <v>64119</v>
      </c>
      <c t="s">
        <v>4848</v>
      </c>
      <c t="s">
        <v>12915</v>
      </c>
      <c t="s">
        <v>4848</v>
      </c>
      <c t="s">
        <v>60150</v>
      </c>
      <c t="s">
        <v>52171</v>
      </c>
      <c t="s">
        <v>2517</v>
      </c>
      <c t="s">
        <v>39289</v>
      </c>
      <c>
        <v>33909</v>
      </c>
      <c t="s">
        <v>33914</v>
      </c>
      <c t="s">
        <v>48794</v>
      </c>
      <c t="s">
        <v>16570</v>
      </c>
      <c>
        <v>11844</v>
      </c>
      <c r="AI2113" t="s">
        <v>64488</v>
      </c>
      <c t="s">
        <v>45393</v>
      </c>
      <c r="AL2113" t="s">
        <v>55393</v>
      </c>
      <c t="s">
        <v>31831</v>
      </c>
      <c t="s">
        <v>39289</v>
      </c>
      <c t="s">
        <v>20545</v>
      </c>
      <c t="s">
        <v>61410</v>
      </c>
      <c t="s">
        <v>3093</v>
      </c>
      <c t="s">
        <v>49493</v>
      </c>
    </row>
    <row>
      <c t="s">
        <v>17594</v>
      </c>
      <c t="s">
        <v>567</v>
      </c>
      <c t="s">
        <v>23471</v>
      </c>
      <c t="s">
        <v>39741</v>
      </c>
      <c t="s">
        <v>6759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2114" s="1" t="str">
        <f ca="1">HYPERLINK("https://web.datatree.com/?/property?propertyId=32757000", "https://web.datatree.com/?/property?propertyId=32757000")</f>
        <v>https://web.datatree.com/?/property?propertyId=32757000</v>
      </c>
      <c r="Q2114" t="s">
        <v>316</v>
      </c>
      <c>
        <v>0.244</v>
      </c>
      <c t="s">
        <v>6175</v>
      </c>
      <c t="s">
        <v>19923</v>
      </c>
      <c t="s">
        <v>56000</v>
      </c>
      <c r="X2114" t="s">
        <v>22454</v>
      </c>
      <c t="s">
        <v>34136</v>
      </c>
      <c t="s">
        <v>2517</v>
      </c>
      <c t="s">
        <v>39289</v>
      </c>
      <c>
        <v>33909</v>
      </c>
      <c t="s">
        <v>35247</v>
      </c>
      <c t="s">
        <v>48794</v>
      </c>
      <c t="s">
        <v>28355</v>
      </c>
      <c>
        <v>1709</v>
      </c>
      <c r="AI2114" t="s">
        <v>48031</v>
      </c>
      <c t="s">
        <v>55842</v>
      </c>
      <c r="AL2114" t="s">
        <v>58775</v>
      </c>
      <c r="AN2114" t="s">
        <v>26443</v>
      </c>
      <c t="s">
        <v>44940</v>
      </c>
      <c t="s">
        <v>43446</v>
      </c>
      <c t="s">
        <v>3093</v>
      </c>
      <c t="s">
        <v>27259</v>
      </c>
    </row>
    <row>
      <c t="s">
        <v>17594</v>
      </c>
      <c t="s">
        <v>21863</v>
      </c>
      <c t="s">
        <v>32037</v>
      </c>
      <c t="s">
        <v>12079</v>
      </c>
      <c t="s">
        <v>5565</v>
      </c>
      <c s="3">
        <v>12544</v>
      </c>
      <c s="3">
        <v>12544</v>
      </c>
      <c s="3">
        <v>4972</v>
      </c>
      <c>
        <v>0</v>
      </c>
      <c s="3">
        <v>0</v>
      </c>
      <c s="3">
        <v>325.77</v>
      </c>
      <c s="3">
        <v>12544</v>
      </c>
      <c r="O2115" s="1" t="str">
        <f ca="1">HYPERLINK("https://web.datatree.com/?/property?propertyId=32757113", "https://web.datatree.com/?/property?propertyId=32757113")</f>
        <v>https://web.datatree.com/?/property?propertyId=32757113</v>
      </c>
      <c r="Q2115" t="s">
        <v>316</v>
      </c>
      <c>
        <v>0.313</v>
      </c>
      <c t="s">
        <v>5471</v>
      </c>
      <c r="U2115" t="s">
        <v>22933</v>
      </c>
      <c r="W2115" t="s">
        <v>14567</v>
      </c>
      <c t="s">
        <v>5245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39760</v>
      </c>
      <c>
        <v>13154</v>
      </c>
      <c r="AI2115" t="s">
        <v>49674</v>
      </c>
      <c t="s">
        <v>41372</v>
      </c>
      <c r="AL2115" t="s">
        <v>18092</v>
      </c>
      <c t="s">
        <v>18092</v>
      </c>
      <c t="s">
        <v>39289</v>
      </c>
      <c t="s">
        <v>50581</v>
      </c>
      <c t="s">
        <v>48506</v>
      </c>
      <c t="s">
        <v>3093</v>
      </c>
      <c t="s">
        <v>51997</v>
      </c>
    </row>
    <row>
      <c t="s">
        <v>17594</v>
      </c>
      <c t="s">
        <v>21460</v>
      </c>
      <c t="s">
        <v>53015</v>
      </c>
      <c t="s">
        <v>60571</v>
      </c>
      <c t="s">
        <v>37971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582.14</v>
      </c>
      <c s="1" t="str">
        <f ca="1">HYPERLINK("https://web.datatree.com/?/property?propertyId=32757417", "https://web.datatree.com/?/property?propertyId=32757417")</f>
        <v>https://web.datatree.com/?/property?propertyId=32757417</v>
      </c>
      <c r="Q2116" t="s">
        <v>316</v>
      </c>
      <c>
        <v>0.23</v>
      </c>
      <c t="s">
        <v>6175</v>
      </c>
      <c t="s">
        <v>49241</v>
      </c>
      <c t="s">
        <v>44907</v>
      </c>
      <c t="s">
        <v>21379</v>
      </c>
      <c t="s">
        <v>44907</v>
      </c>
      <c t="s">
        <v>66707</v>
      </c>
      <c t="s">
        <v>25017</v>
      </c>
      <c t="s">
        <v>2517</v>
      </c>
      <c t="s">
        <v>39289</v>
      </c>
      <c>
        <v>33909</v>
      </c>
      <c t="s">
        <v>25265</v>
      </c>
      <c t="s">
        <v>48794</v>
      </c>
      <c t="s">
        <v>57090</v>
      </c>
      <c>
        <v>2432</v>
      </c>
      <c r="AI2116" t="s">
        <v>25319</v>
      </c>
      <c t="s">
        <v>45620</v>
      </c>
      <c r="AL2116" t="s">
        <v>9952</v>
      </c>
      <c r="AN2116" t="s">
        <v>65467</v>
      </c>
      <c t="s">
        <v>59795</v>
      </c>
      <c t="s">
        <v>62845</v>
      </c>
      <c t="s">
        <v>3093</v>
      </c>
      <c t="s">
        <v>7677</v>
      </c>
    </row>
    <row>
      <c t="s">
        <v>17594</v>
      </c>
      <c t="s">
        <v>64032</v>
      </c>
      <c t="s">
        <v>54874</v>
      </c>
      <c t="s">
        <v>33194</v>
      </c>
      <c t="s">
        <v>21094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2117" s="1" t="str">
        <f ca="1">HYPERLINK("https://web.datatree.com/?/property?propertyId=32758023", "https://web.datatree.com/?/property?propertyId=32758023")</f>
        <v>https://web.datatree.com/?/property?propertyId=32758023</v>
      </c>
      <c r="Q2117" t="s">
        <v>316</v>
      </c>
      <c>
        <v>0.23</v>
      </c>
      <c t="s">
        <v>6175</v>
      </c>
      <c t="s">
        <v>49864</v>
      </c>
      <c t="s">
        <v>28528</v>
      </c>
      <c r="X2117" t="s">
        <v>46608</v>
      </c>
      <c t="s">
        <v>33179</v>
      </c>
      <c t="s">
        <v>2517</v>
      </c>
      <c t="s">
        <v>39289</v>
      </c>
      <c>
        <v>33909</v>
      </c>
      <c t="s">
        <v>57146</v>
      </c>
      <c t="s">
        <v>48794</v>
      </c>
      <c t="s">
        <v>38885</v>
      </c>
      <c t="s">
        <v>32671</v>
      </c>
      <c r="AI2117" t="s">
        <v>55551</v>
      </c>
      <c r="AL2117" t="s">
        <v>35973</v>
      </c>
      <c r="AN2117" t="s">
        <v>27481</v>
      </c>
      <c t="s">
        <v>41029</v>
      </c>
      <c t="s">
        <v>60160</v>
      </c>
      <c t="s">
        <v>3093</v>
      </c>
      <c t="s">
        <v>38010</v>
      </c>
    </row>
    <row>
      <c t="s">
        <v>17594</v>
      </c>
      <c t="s">
        <v>12696</v>
      </c>
      <c t="s">
        <v>60760</v>
      </c>
      <c t="s">
        <v>46938</v>
      </c>
      <c t="s">
        <v>50540</v>
      </c>
      <c s="3">
        <v>82701</v>
      </c>
      <c s="3">
        <v>80882</v>
      </c>
      <c s="3">
        <v>82701</v>
      </c>
      <c>
        <v>0</v>
      </c>
      <c s="3">
        <v>0</v>
      </c>
      <c s="3">
        <v>1243.07</v>
      </c>
      <c s="3">
        <v>82701</v>
      </c>
      <c r="O2118" s="1" t="str">
        <f ca="1">HYPERLINK("https://web.datatree.com/?/property?propertyId=32758102", "https://web.datatree.com/?/property?propertyId=32758102")</f>
        <v>https://web.datatree.com/?/property?propertyId=32758102</v>
      </c>
      <c r="Q2118" t="s">
        <v>316</v>
      </c>
      <c>
        <v>0.103</v>
      </c>
      <c t="s">
        <v>26492</v>
      </c>
      <c t="s">
        <v>36673</v>
      </c>
      <c t="s">
        <v>4621</v>
      </c>
      <c t="s">
        <v>27049</v>
      </c>
      <c t="s">
        <v>4621</v>
      </c>
      <c t="s">
        <v>33067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67103</v>
      </c>
      <c>
        <v>117</v>
      </c>
      <c r="AI2118" t="s">
        <v>66631</v>
      </c>
      <c t="s">
        <v>31192</v>
      </c>
      <c r="AL2118" t="s">
        <v>36026</v>
      </c>
      <c t="s">
        <v>40227</v>
      </c>
      <c t="s">
        <v>10909</v>
      </c>
      <c t="s">
        <v>37719</v>
      </c>
      <c r="AQ2118" t="s">
        <v>27814</v>
      </c>
      <c t="s">
        <v>35255</v>
      </c>
    </row>
    <row>
      <c t="s">
        <v>42103</v>
      </c>
      <c t="s">
        <v>33548</v>
      </c>
      <c t="s">
        <v>6004</v>
      </c>
      <c t="s">
        <v>33257</v>
      </c>
      <c t="s">
        <v>40969</v>
      </c>
      <c s="3">
        <v>71014</v>
      </c>
      <c s="3">
        <v>63500</v>
      </c>
      <c s="3">
        <v>67726</v>
      </c>
      <c>
        <v>0</v>
      </c>
      <c s="3">
        <v>0</v>
      </c>
      <c s="3">
        <v>1037.14</v>
      </c>
      <c s="3">
        <v>71014</v>
      </c>
      <c r="O2119" s="1" t="str">
        <f ca="1">HYPERLINK("https://web.datatree.com/?/property?propertyId=32758349", "https://web.datatree.com/?/property?propertyId=32758349")</f>
        <v>https://web.datatree.com/?/property?propertyId=32758349</v>
      </c>
      <c r="Q2119" t="s">
        <v>316</v>
      </c>
      <c>
        <v>0.096</v>
      </c>
      <c t="s">
        <v>26492</v>
      </c>
      <c t="s">
        <v>44541</v>
      </c>
      <c t="s">
        <v>46201</v>
      </c>
      <c t="s">
        <v>42532</v>
      </c>
      <c t="s">
        <v>46201</v>
      </c>
      <c t="s">
        <v>4588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38737</v>
      </c>
      <c r="AI2119" t="s">
        <v>64539</v>
      </c>
      <c r="AL2119" t="s">
        <v>63061</v>
      </c>
      <c t="s">
        <v>63061</v>
      </c>
      <c t="s">
        <v>49572</v>
      </c>
      <c>
        <v>46058</v>
      </c>
      <c t="s">
        <v>15796</v>
      </c>
      <c t="s">
        <v>3093</v>
      </c>
      <c t="s">
        <v>41647</v>
      </c>
    </row>
    <row>
      <c t="s">
        <v>17594</v>
      </c>
      <c t="s">
        <v>27104</v>
      </c>
      <c t="s">
        <v>3066</v>
      </c>
      <c t="s">
        <v>40435</v>
      </c>
      <c t="s">
        <v>43581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120" s="1" t="str">
        <f ca="1">HYPERLINK("https://web.datatree.com/?/property?propertyId=32758770", "https://web.datatree.com/?/property?propertyId=32758770")</f>
        <v>https://web.datatree.com/?/property?propertyId=32758770</v>
      </c>
      <c r="Q2120" t="s">
        <v>316</v>
      </c>
      <c>
        <v>0.23</v>
      </c>
      <c t="s">
        <v>6175</v>
      </c>
      <c t="s">
        <v>13301</v>
      </c>
      <c t="s">
        <v>48794</v>
      </c>
      <c t="s">
        <v>36467</v>
      </c>
      <c t="s">
        <v>48794</v>
      </c>
      <c t="s">
        <v>16122</v>
      </c>
      <c t="s">
        <v>49122</v>
      </c>
      <c t="s">
        <v>2517</v>
      </c>
      <c t="s">
        <v>39289</v>
      </c>
      <c>
        <v>33909</v>
      </c>
      <c t="s">
        <v>44625</v>
      </c>
      <c t="s">
        <v>48794</v>
      </c>
      <c t="s">
        <v>11656</v>
      </c>
      <c>
        <v>561</v>
      </c>
      <c r="AI2120" t="s">
        <v>55818</v>
      </c>
      <c r="AL2120" t="s">
        <v>17407</v>
      </c>
      <c t="s">
        <v>43116</v>
      </c>
      <c t="s">
        <v>54888</v>
      </c>
      <c>
        <v>446</v>
      </c>
      <c r="AR2120" t="s">
        <v>6438</v>
      </c>
    </row>
    <row>
      <c t="s">
        <v>17594</v>
      </c>
      <c t="s">
        <v>20691</v>
      </c>
      <c t="s">
        <v>57129</v>
      </c>
      <c t="s">
        <v>26861</v>
      </c>
      <c t="s">
        <v>65465</v>
      </c>
      <c s="3">
        <v>55793</v>
      </c>
      <c s="3">
        <v>55793</v>
      </c>
      <c s="3">
        <v>22824</v>
      </c>
      <c>
        <v>0</v>
      </c>
      <c s="3">
        <v>0</v>
      </c>
      <c s="3">
        <v>911.15</v>
      </c>
      <c s="3">
        <v>55793</v>
      </c>
      <c r="O2121" s="1" t="str">
        <f ca="1">HYPERLINK("https://web.datatree.com/?/property?propertyId=32759512", "https://web.datatree.com/?/property?propertyId=32759512")</f>
        <v>https://web.datatree.com/?/property?propertyId=32759512</v>
      </c>
      <c r="Q2121" t="s">
        <v>316</v>
      </c>
      <c>
        <v>0.23</v>
      </c>
      <c t="s">
        <v>6175</v>
      </c>
      <c r="U2121" t="s">
        <v>26301</v>
      </c>
      <c r="W2121" t="s">
        <v>55612</v>
      </c>
      <c t="s">
        <v>46127</v>
      </c>
      <c t="s">
        <v>57064</v>
      </c>
      <c t="s">
        <v>2517</v>
      </c>
      <c t="s">
        <v>39289</v>
      </c>
      <c>
        <v>33904</v>
      </c>
      <c t="s">
        <v>12854</v>
      </c>
      <c t="s">
        <v>48794</v>
      </c>
      <c t="s">
        <v>4273</v>
      </c>
      <c>
        <v>4628</v>
      </c>
      <c r="AI2121" t="s">
        <v>27919</v>
      </c>
      <c t="s">
        <v>31192</v>
      </c>
      <c r="AL2121" t="s">
        <v>37196</v>
      </c>
      <c r="AN2121" t="s">
        <v>39289</v>
      </c>
      <c t="s">
        <v>8128</v>
      </c>
      <c t="s">
        <v>41776</v>
      </c>
      <c t="s">
        <v>3093</v>
      </c>
      <c t="s">
        <v>41207</v>
      </c>
    </row>
    <row>
      <c t="s">
        <v>17594</v>
      </c>
      <c t="s">
        <v>61579</v>
      </c>
      <c t="s">
        <v>33077</v>
      </c>
      <c t="s">
        <v>39690</v>
      </c>
      <c t="s">
        <v>38721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2122" s="1" t="str">
        <f ca="1">HYPERLINK("https://web.datatree.com/?/property?propertyId=32759711", "https://web.datatree.com/?/property?propertyId=32759711")</f>
        <v>https://web.datatree.com/?/property?propertyId=32759711</v>
      </c>
      <c r="Q2122" t="s">
        <v>316</v>
      </c>
      <c>
        <v>0.23</v>
      </c>
      <c t="s">
        <v>22490</v>
      </c>
      <c t="s">
        <v>11570</v>
      </c>
      <c t="s">
        <v>34217</v>
      </c>
      <c r="X2122" t="s">
        <v>18110</v>
      </c>
      <c t="s">
        <v>55273</v>
      </c>
      <c t="s">
        <v>2517</v>
      </c>
      <c t="s">
        <v>39289</v>
      </c>
      <c>
        <v>33909</v>
      </c>
      <c>
        <v>33909</v>
      </c>
      <c t="s">
        <v>48794</v>
      </c>
      <c t="s">
        <v>1369</v>
      </c>
      <c>
        <v>445</v>
      </c>
      <c r="AI2122" t="s">
        <v>65932</v>
      </c>
      <c t="s">
        <v>31192</v>
      </c>
      <c r="AL2122" t="s">
        <v>36703</v>
      </c>
      <c r="AN2122" t="s">
        <v>39289</v>
      </c>
      <c>
        <v>32024</v>
      </c>
      <c t="s">
        <v>12251</v>
      </c>
      <c t="s">
        <v>3093</v>
      </c>
      <c t="s">
        <v>58517</v>
      </c>
    </row>
    <row>
      <c t="s">
        <v>42103</v>
      </c>
      <c t="s">
        <v>41312</v>
      </c>
      <c t="s">
        <v>48317</v>
      </c>
      <c t="s">
        <v>13403</v>
      </c>
      <c t="s">
        <v>43477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2123" s="1" t="str">
        <f ca="1">HYPERLINK("https://web.datatree.com/?/property?propertyId=32759732", "https://web.datatree.com/?/property?propertyId=32759732")</f>
        <v>https://web.datatree.com/?/property?propertyId=32759732</v>
      </c>
      <c r="Q2123" t="s">
        <v>316</v>
      </c>
      <c>
        <v>0.241</v>
      </c>
      <c t="s">
        <v>6175</v>
      </c>
      <c t="s">
        <v>20506</v>
      </c>
      <c t="s">
        <v>53578</v>
      </c>
      <c t="s">
        <v>49272</v>
      </c>
      <c t="s">
        <v>19042</v>
      </c>
      <c t="s">
        <v>64741</v>
      </c>
      <c t="s">
        <v>13829</v>
      </c>
      <c t="s">
        <v>2517</v>
      </c>
      <c t="s">
        <v>39289</v>
      </c>
      <c>
        <v>33909</v>
      </c>
      <c t="s">
        <v>19558</v>
      </c>
      <c t="s">
        <v>48794</v>
      </c>
      <c t="s">
        <v>59860</v>
      </c>
      <c r="AI2123" t="s">
        <v>11643</v>
      </c>
      <c r="AL2123" t="s">
        <v>15650</v>
      </c>
      <c t="s">
        <v>15650</v>
      </c>
      <c t="s">
        <v>39289</v>
      </c>
      <c t="s">
        <v>56905</v>
      </c>
      <c t="s">
        <v>22417</v>
      </c>
      <c t="s">
        <v>3093</v>
      </c>
      <c t="s">
        <v>12463</v>
      </c>
    </row>
    <row>
      <c t="s">
        <v>17594</v>
      </c>
      <c t="s">
        <v>59493</v>
      </c>
      <c t="s">
        <v>51670</v>
      </c>
      <c t="s">
        <v>38864</v>
      </c>
      <c t="s">
        <v>217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124" s="1" t="str">
        <f ca="1">HYPERLINK("https://web.datatree.com/?/property?propertyId=32759817", "https://web.datatree.com/?/property?propertyId=32759817")</f>
        <v>https://web.datatree.com/?/property?propertyId=32759817</v>
      </c>
      <c r="Q2124" t="s">
        <v>316</v>
      </c>
      <c>
        <v>0.23</v>
      </c>
      <c t="s">
        <v>6175</v>
      </c>
      <c t="s">
        <v>3174</v>
      </c>
      <c t="s">
        <v>36951</v>
      </c>
      <c r="X2124" t="s">
        <v>9977</v>
      </c>
      <c t="s">
        <v>47150</v>
      </c>
      <c t="s">
        <v>2517</v>
      </c>
      <c t="s">
        <v>39289</v>
      </c>
      <c>
        <v>33909</v>
      </c>
      <c t="s">
        <v>45907</v>
      </c>
      <c t="s">
        <v>48794</v>
      </c>
      <c t="s">
        <v>27925</v>
      </c>
      <c>
        <v>1349</v>
      </c>
      <c r="AI2124" t="s">
        <v>60790</v>
      </c>
      <c t="s">
        <v>24900</v>
      </c>
      <c t="s">
        <v>46958</v>
      </c>
      <c t="s">
        <v>13397</v>
      </c>
      <c r="AN2124" t="s">
        <v>50917</v>
      </c>
      <c t="s">
        <v>44944</v>
      </c>
      <c t="s">
        <v>36159</v>
      </c>
      <c t="s">
        <v>3093</v>
      </c>
      <c t="s">
        <v>44199</v>
      </c>
    </row>
    <row>
      <c t="s">
        <v>17594</v>
      </c>
      <c t="s">
        <v>38111</v>
      </c>
      <c t="s">
        <v>8865</v>
      </c>
      <c t="s">
        <v>8911</v>
      </c>
      <c t="s">
        <v>29528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2125" s="1" t="str">
        <f ca="1">HYPERLINK("https://web.datatree.com/?/property?propertyId=32760406", "https://web.datatree.com/?/property?propertyId=32760406")</f>
        <v>https://web.datatree.com/?/property?propertyId=32760406</v>
      </c>
      <c r="Q2125" t="s">
        <v>316</v>
      </c>
      <c>
        <v>0.23</v>
      </c>
      <c t="s">
        <v>6175</v>
      </c>
      <c t="s">
        <v>209</v>
      </c>
      <c t="s">
        <v>16605</v>
      </c>
      <c t="s">
        <v>27440</v>
      </c>
      <c t="s">
        <v>30658</v>
      </c>
      <c t="s">
        <v>19612</v>
      </c>
      <c t="s">
        <v>8669</v>
      </c>
      <c t="s">
        <v>2517</v>
      </c>
      <c t="s">
        <v>39289</v>
      </c>
      <c>
        <v>33909</v>
      </c>
      <c t="s">
        <v>13215</v>
      </c>
      <c t="s">
        <v>48794</v>
      </c>
      <c t="s">
        <v>23836</v>
      </c>
      <c>
        <v>771</v>
      </c>
      <c r="AI2125" t="s">
        <v>43330</v>
      </c>
      <c t="s">
        <v>45620</v>
      </c>
      <c r="AL2125" t="s">
        <v>50515</v>
      </c>
      <c r="AN2125" t="s">
        <v>10909</v>
      </c>
      <c t="s">
        <v>57777</v>
      </c>
      <c r="AQ2125" t="s">
        <v>27814</v>
      </c>
      <c t="s">
        <v>42911</v>
      </c>
    </row>
    <row>
      <c t="s">
        <v>17594</v>
      </c>
      <c t="s">
        <v>13881</v>
      </c>
      <c t="s">
        <v>10515</v>
      </c>
      <c t="s">
        <v>65455</v>
      </c>
      <c t="s">
        <v>35601</v>
      </c>
      <c s="3">
        <v>25675</v>
      </c>
      <c s="3">
        <v>25675</v>
      </c>
      <c s="3">
        <v>25675</v>
      </c>
      <c>
        <v>0</v>
      </c>
      <c s="3">
        <v>0</v>
      </c>
      <c s="3">
        <v>753.26</v>
      </c>
      <c s="3">
        <v>25675</v>
      </c>
      <c r="O2126" s="1" t="str">
        <f ca="1">HYPERLINK("https://web.datatree.com/?/property?propertyId=32760427", "https://web.datatree.com/?/property?propertyId=32760427")</f>
        <v>https://web.datatree.com/?/property?propertyId=32760427</v>
      </c>
      <c r="Q2126" t="s">
        <v>316</v>
      </c>
      <c>
        <v>0.344</v>
      </c>
      <c t="s">
        <v>6175</v>
      </c>
      <c t="s">
        <v>8031</v>
      </c>
      <c t="s">
        <v>15955</v>
      </c>
      <c t="s">
        <v>66560</v>
      </c>
      <c t="s">
        <v>39982</v>
      </c>
      <c t="s">
        <v>52528</v>
      </c>
      <c t="s">
        <v>2619</v>
      </c>
      <c t="s">
        <v>2517</v>
      </c>
      <c t="s">
        <v>39289</v>
      </c>
      <c>
        <v>33909</v>
      </c>
      <c t="s">
        <v>41127</v>
      </c>
      <c t="s">
        <v>48794</v>
      </c>
      <c t="s">
        <v>12097</v>
      </c>
      <c>
        <v>14714</v>
      </c>
      <c r="AI2126" t="s">
        <v>36366</v>
      </c>
      <c t="s">
        <v>63316</v>
      </c>
      <c r="AL2126" t="s">
        <v>59550</v>
      </c>
      <c t="s">
        <v>59550</v>
      </c>
      <c t="s">
        <v>51087</v>
      </c>
      <c t="s">
        <v>7344</v>
      </c>
      <c t="s">
        <v>44428</v>
      </c>
      <c t="s">
        <v>3093</v>
      </c>
      <c t="s">
        <v>53796</v>
      </c>
    </row>
    <row>
      <c t="s">
        <v>17594</v>
      </c>
      <c t="s">
        <v>24329</v>
      </c>
      <c t="s">
        <v>32285</v>
      </c>
      <c t="s">
        <v>27750</v>
      </c>
      <c t="s">
        <v>66443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127" s="1" t="str">
        <f ca="1">HYPERLINK("https://web.datatree.com/?/property?propertyId=32760875", "https://web.datatree.com/?/property?propertyId=32760875")</f>
        <v>https://web.datatree.com/?/property?propertyId=32760875</v>
      </c>
      <c r="Q2127" t="s">
        <v>316</v>
      </c>
      <c>
        <v>0.23</v>
      </c>
      <c t="s">
        <v>22490</v>
      </c>
      <c t="s">
        <v>52701</v>
      </c>
      <c t="s">
        <v>33760</v>
      </c>
      <c t="s">
        <v>54854</v>
      </c>
      <c t="s">
        <v>33760</v>
      </c>
      <c t="s">
        <v>10026</v>
      </c>
      <c t="s">
        <v>47150</v>
      </c>
      <c t="s">
        <v>2517</v>
      </c>
      <c t="s">
        <v>39289</v>
      </c>
      <c>
        <v>33909</v>
      </c>
      <c t="s">
        <v>34864</v>
      </c>
      <c t="s">
        <v>48794</v>
      </c>
      <c t="s">
        <v>14318</v>
      </c>
      <c>
        <v>5225</v>
      </c>
      <c r="AI2127" t="s">
        <v>47186</v>
      </c>
      <c t="s">
        <v>835</v>
      </c>
      <c r="AL2127" t="s">
        <v>4679</v>
      </c>
      <c r="AN2127" t="s">
        <v>51087</v>
      </c>
      <c t="s">
        <v>37997</v>
      </c>
      <c t="s">
        <v>52247</v>
      </c>
      <c t="s">
        <v>3093</v>
      </c>
      <c t="s">
        <v>16245</v>
      </c>
    </row>
    <row>
      <c t="s">
        <v>17594</v>
      </c>
      <c t="s">
        <v>19327</v>
      </c>
      <c t="s">
        <v>27045</v>
      </c>
      <c t="s">
        <v>534</v>
      </c>
      <c t="s">
        <v>37534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2128" s="1" t="str">
        <f ca="1">HYPERLINK("https://web.datatree.com/?/property?propertyId=32761892", "https://web.datatree.com/?/property?propertyId=32761892")</f>
        <v>https://web.datatree.com/?/property?propertyId=32761892</v>
      </c>
      <c r="Q2128" t="s">
        <v>316</v>
      </c>
      <c>
        <v>0.241</v>
      </c>
      <c t="s">
        <v>6175</v>
      </c>
      <c t="s">
        <v>39139</v>
      </c>
      <c t="s">
        <v>19394</v>
      </c>
      <c r="X2128" t="s">
        <v>8011</v>
      </c>
      <c t="s">
        <v>14534</v>
      </c>
      <c t="s">
        <v>2517</v>
      </c>
      <c t="s">
        <v>39289</v>
      </c>
      <c>
        <v>33909</v>
      </c>
      <c t="s">
        <v>14188</v>
      </c>
      <c t="s">
        <v>48794</v>
      </c>
      <c t="s">
        <v>25984</v>
      </c>
      <c>
        <v>407</v>
      </c>
      <c r="AI2128" t="s">
        <v>20645</v>
      </c>
      <c t="s">
        <v>55842</v>
      </c>
      <c r="AL2128" t="s">
        <v>11713</v>
      </c>
      <c r="AN2128" t="s">
        <v>39289</v>
      </c>
      <c t="s">
        <v>37197</v>
      </c>
      <c t="s">
        <v>66341</v>
      </c>
      <c t="s">
        <v>3093</v>
      </c>
      <c t="s">
        <v>62926</v>
      </c>
    </row>
    <row>
      <c t="s">
        <v>17594</v>
      </c>
      <c t="s">
        <v>29968</v>
      </c>
      <c t="s">
        <v>37384</v>
      </c>
      <c t="s">
        <v>61591</v>
      </c>
      <c t="s">
        <v>45139</v>
      </c>
      <c s="3">
        <v>97865</v>
      </c>
      <c s="3">
        <v>86250</v>
      </c>
      <c s="3">
        <v>97865</v>
      </c>
      <c>
        <v>0</v>
      </c>
      <c s="3">
        <v>0</v>
      </c>
      <c s="3">
        <v>1470.1</v>
      </c>
      <c s="3">
        <v>97865</v>
      </c>
      <c r="O2129" s="1" t="str">
        <f ca="1">HYPERLINK("https://web.datatree.com/?/property?propertyId=32762817", "https://web.datatree.com/?/property?propertyId=32762817")</f>
        <v>https://web.datatree.com/?/property?propertyId=32762817</v>
      </c>
      <c r="Q2129" t="s">
        <v>316</v>
      </c>
      <c>
        <v>0.118</v>
      </c>
      <c t="s">
        <v>26492</v>
      </c>
      <c t="s">
        <v>11199</v>
      </c>
      <c t="s">
        <v>24863</v>
      </c>
      <c t="s">
        <v>4868</v>
      </c>
      <c t="s">
        <v>24863</v>
      </c>
      <c t="s">
        <v>4068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22071</v>
      </c>
      <c>
        <v>114</v>
      </c>
      <c r="AI2129" t="s">
        <v>22464</v>
      </c>
      <c t="s">
        <v>45393</v>
      </c>
      <c>
        <v>14019</v>
      </c>
      <c t="s">
        <v>61590</v>
      </c>
      <c t="s">
        <v>61590</v>
      </c>
      <c t="s">
        <v>39289</v>
      </c>
      <c t="s">
        <v>34529</v>
      </c>
      <c t="s">
        <v>4797</v>
      </c>
      <c t="s">
        <v>3093</v>
      </c>
      <c t="s">
        <v>10123</v>
      </c>
    </row>
    <row>
      <c t="s">
        <v>17594</v>
      </c>
      <c t="s">
        <v>40962</v>
      </c>
      <c t="s">
        <v>36645</v>
      </c>
      <c t="s">
        <v>35004</v>
      </c>
      <c t="s">
        <v>5720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130" s="1" t="str">
        <f ca="1">HYPERLINK("https://web.datatree.com/?/property?propertyId=32763026", "https://web.datatree.com/?/property?propertyId=32763026")</f>
        <v>https://web.datatree.com/?/property?propertyId=32763026</v>
      </c>
      <c r="Q2130" t="s">
        <v>316</v>
      </c>
      <c>
        <v>0.23</v>
      </c>
      <c t="s">
        <v>6175</v>
      </c>
      <c r="U2130" t="s">
        <v>33731</v>
      </c>
      <c r="W2130" t="s">
        <v>21687</v>
      </c>
      <c t="s">
        <v>33498</v>
      </c>
      <c t="s">
        <v>41506</v>
      </c>
      <c t="s">
        <v>2517</v>
      </c>
      <c t="s">
        <v>39289</v>
      </c>
      <c>
        <v>33909</v>
      </c>
      <c t="s">
        <v>27393</v>
      </c>
      <c t="s">
        <v>48794</v>
      </c>
      <c t="s">
        <v>44556</v>
      </c>
      <c>
        <v>560</v>
      </c>
      <c r="AI2130" t="s">
        <v>31083</v>
      </c>
      <c t="s">
        <v>31192</v>
      </c>
      <c r="AL2130" t="s">
        <v>40653</v>
      </c>
      <c r="AN2130" t="s">
        <v>19878</v>
      </c>
      <c t="s">
        <v>62722</v>
      </c>
      <c t="s">
        <v>21201</v>
      </c>
      <c t="s">
        <v>3093</v>
      </c>
      <c t="s">
        <v>1192</v>
      </c>
    </row>
    <row>
      <c t="s">
        <v>17594</v>
      </c>
      <c s="2" t="s">
        <v>5020</v>
      </c>
      <c t="s">
        <v>36201</v>
      </c>
      <c t="s">
        <v>62111</v>
      </c>
      <c t="s">
        <v>41434</v>
      </c>
      <c s="3">
        <v>22874</v>
      </c>
      <c s="3">
        <v>22874</v>
      </c>
      <c s="3">
        <v>9433</v>
      </c>
      <c>
        <v>0</v>
      </c>
      <c s="3">
        <v>0</v>
      </c>
      <c s="3">
        <v>411.77</v>
      </c>
      <c s="3">
        <v>22874</v>
      </c>
      <c r="O2131" s="1" t="str">
        <f ca="1">HYPERLINK("https://web.datatree.com/?/property?propertyId=32763104", "https://web.datatree.com/?/property?propertyId=32763104")</f>
        <v>https://web.datatree.com/?/property?propertyId=32763104</v>
      </c>
      <c r="Q2131" t="s">
        <v>316</v>
      </c>
      <c>
        <v>0.218</v>
      </c>
      <c t="s">
        <v>5471</v>
      </c>
      <c t="s">
        <v>35618</v>
      </c>
      <c t="s">
        <v>50150</v>
      </c>
      <c r="X2131" t="s">
        <v>52639</v>
      </c>
      <c t="s">
        <v>10601</v>
      </c>
      <c t="s">
        <v>65059</v>
      </c>
      <c t="s">
        <v>39289</v>
      </c>
      <c>
        <v>33905</v>
      </c>
      <c t="s">
        <v>46633</v>
      </c>
      <c t="s">
        <v>48794</v>
      </c>
      <c s="2" t="s">
        <v>53850</v>
      </c>
      <c>
        <v>44</v>
      </c>
      <c r="AI2131" t="s">
        <v>66862</v>
      </c>
      <c t="s">
        <v>24900</v>
      </c>
      <c r="AL2131" t="s">
        <v>66862</v>
      </c>
      <c r="AN2131" t="s">
        <v>50917</v>
      </c>
      <c t="s">
        <v>4702</v>
      </c>
      <c t="s">
        <v>3364</v>
      </c>
      <c t="s">
        <v>3093</v>
      </c>
      <c t="s">
        <v>24635</v>
      </c>
    </row>
    <row>
      <c t="s">
        <v>17594</v>
      </c>
      <c t="s">
        <v>61788</v>
      </c>
      <c t="s">
        <v>19297</v>
      </c>
      <c t="s">
        <v>43211</v>
      </c>
      <c t="s">
        <v>2125</v>
      </c>
      <c s="3">
        <v>8570</v>
      </c>
      <c s="3">
        <v>8570</v>
      </c>
      <c s="3">
        <v>4972</v>
      </c>
      <c>
        <v>0</v>
      </c>
      <c s="3">
        <v>0</v>
      </c>
      <c s="3">
        <v>315.35</v>
      </c>
      <c s="3">
        <v>8570</v>
      </c>
      <c r="O2132" s="1" t="str">
        <f ca="1">HYPERLINK("https://web.datatree.com/?/property?propertyId=32763338", "https://web.datatree.com/?/property?propertyId=32763338")</f>
        <v>https://web.datatree.com/?/property?propertyId=32763338</v>
      </c>
      <c r="Q2132" t="s">
        <v>316</v>
      </c>
      <c>
        <v>0.233</v>
      </c>
      <c t="s">
        <v>5471</v>
      </c>
      <c t="s">
        <v>1013</v>
      </c>
      <c t="s">
        <v>66113</v>
      </c>
      <c r="X2132" t="s">
        <v>16966</v>
      </c>
      <c t="s">
        <v>20307</v>
      </c>
      <c t="s">
        <v>65059</v>
      </c>
      <c t="s">
        <v>39289</v>
      </c>
      <c>
        <v>33905</v>
      </c>
      <c t="s">
        <v>9129</v>
      </c>
      <c t="s">
        <v>48794</v>
      </c>
      <c t="s">
        <v>50961</v>
      </c>
      <c>
        <v>342</v>
      </c>
      <c r="AI2132" t="s">
        <v>10648</v>
      </c>
      <c t="s">
        <v>40123</v>
      </c>
      <c r="AL2132" t="s">
        <v>5983</v>
      </c>
      <c r="AN2132" t="s">
        <v>10804</v>
      </c>
      <c t="s">
        <v>28985</v>
      </c>
      <c t="s">
        <v>13315</v>
      </c>
      <c t="s">
        <v>3093</v>
      </c>
      <c t="s">
        <v>52584</v>
      </c>
    </row>
    <row>
      <c t="s">
        <v>17594</v>
      </c>
      <c t="s">
        <v>48461</v>
      </c>
      <c t="s">
        <v>23204</v>
      </c>
      <c t="s">
        <v>43536</v>
      </c>
      <c t="s">
        <v>64080</v>
      </c>
      <c s="3">
        <v>18000</v>
      </c>
      <c s="3">
        <v>18000</v>
      </c>
      <c s="3">
        <v>7028</v>
      </c>
      <c>
        <v>0</v>
      </c>
      <c s="3">
        <v>0</v>
      </c>
      <c s="3">
        <v>171.54</v>
      </c>
      <c s="3">
        <v>18000</v>
      </c>
      <c>
        <v>2021</v>
      </c>
      <c>
        <v>204.95</v>
      </c>
      <c s="1" t="str">
        <f ca="1">HYPERLINK("https://web.datatree.com/?/property?propertyId=32763717", "https://web.datatree.com/?/property?propertyId=32763717")</f>
        <v>https://web.datatree.com/?/property?propertyId=32763717</v>
      </c>
      <c r="Q2133" t="s">
        <v>316</v>
      </c>
      <c>
        <v>0.313</v>
      </c>
      <c t="s">
        <v>66399</v>
      </c>
      <c t="s">
        <v>8762</v>
      </c>
      <c t="s">
        <v>53721</v>
      </c>
      <c r="X2133" t="s">
        <v>43465</v>
      </c>
      <c t="s">
        <v>61227</v>
      </c>
      <c t="s">
        <v>65059</v>
      </c>
      <c t="s">
        <v>39289</v>
      </c>
      <c>
        <v>33905</v>
      </c>
      <c>
        <v>33905</v>
      </c>
      <c t="s">
        <v>48794</v>
      </c>
      <c t="s">
        <v>57042</v>
      </c>
      <c>
        <v>1805</v>
      </c>
      <c r="AI2133" t="s">
        <v>51836</v>
      </c>
      <c t="s">
        <v>24900</v>
      </c>
      <c>
        <v>205</v>
      </c>
      <c t="s">
        <v>19286</v>
      </c>
      <c t="s">
        <v>40227</v>
      </c>
      <c t="s">
        <v>39289</v>
      </c>
      <c t="s">
        <v>47019</v>
      </c>
      <c t="s">
        <v>23744</v>
      </c>
      <c t="s">
        <v>3093</v>
      </c>
      <c t="s">
        <v>43982</v>
      </c>
    </row>
    <row>
      <c t="s">
        <v>17594</v>
      </c>
      <c t="s">
        <v>25496</v>
      </c>
      <c s="2" t="s">
        <v>17666</v>
      </c>
      <c t="s">
        <v>35887</v>
      </c>
      <c t="s">
        <v>7722</v>
      </c>
      <c s="3">
        <v>8568</v>
      </c>
      <c s="3">
        <v>8568</v>
      </c>
      <c s="3">
        <v>7700</v>
      </c>
      <c>
        <v>0</v>
      </c>
      <c s="3">
        <v>0</v>
      </c>
      <c s="3">
        <v>127.8</v>
      </c>
      <c s="3">
        <v>8568</v>
      </c>
      <c>
        <v>2019</v>
      </c>
      <c>
        <v>611.98</v>
      </c>
      <c s="1" t="str">
        <f ca="1">HYPERLINK("https://web.datatree.com/?/property?propertyId=32763799", "https://web.datatree.com/?/property?propertyId=32763799")</f>
        <v>https://web.datatree.com/?/property?propertyId=32763799</v>
      </c>
      <c r="Q2134" t="s">
        <v>316</v>
      </c>
      <c>
        <v>0.117</v>
      </c>
      <c t="s">
        <v>36917</v>
      </c>
      <c t="s">
        <v>1859</v>
      </c>
      <c t="s">
        <v>4926</v>
      </c>
      <c r="X2134" t="s">
        <v>29045</v>
      </c>
      <c t="s">
        <v>13255</v>
      </c>
      <c t="s">
        <v>54524</v>
      </c>
      <c t="s">
        <v>39289</v>
      </c>
      <c>
        <v>33903</v>
      </c>
      <c t="s">
        <v>7749</v>
      </c>
      <c t="s">
        <v>48794</v>
      </c>
      <c t="s">
        <v>59364</v>
      </c>
      <c>
        <v>4816</v>
      </c>
      <c r="AI2134" t="s">
        <v>18685</v>
      </c>
      <c t="s">
        <v>31192</v>
      </c>
      <c>
        <v>4</v>
      </c>
      <c t="s">
        <v>2517</v>
      </c>
      <c r="AN2134" t="s">
        <v>39289</v>
      </c>
      <c t="s">
        <v>30462</v>
      </c>
      <c t="s">
        <v>22613</v>
      </c>
      <c t="s">
        <v>3093</v>
      </c>
      <c s="2" t="s">
        <v>16202</v>
      </c>
    </row>
    <row>
      <c t="s">
        <v>17594</v>
      </c>
      <c t="s">
        <v>47512</v>
      </c>
      <c t="s">
        <v>54649</v>
      </c>
      <c t="s">
        <v>17761</v>
      </c>
      <c t="s">
        <v>3368</v>
      </c>
      <c s="3">
        <v>12544</v>
      </c>
      <c s="3">
        <v>12544</v>
      </c>
      <c s="3">
        <v>12544</v>
      </c>
      <c>
        <v>0</v>
      </c>
      <c s="3">
        <v>0</v>
      </c>
      <c s="3">
        <v>365.2</v>
      </c>
      <c s="3">
        <v>12544</v>
      </c>
      <c>
        <v>2020</v>
      </c>
      <c>
        <v>688.34</v>
      </c>
      <c s="1" t="str">
        <f ca="1">HYPERLINK("https://web.datatree.com/?/property?propertyId=32764091", "https://web.datatree.com/?/property?propertyId=32764091")</f>
        <v>https://web.datatree.com/?/property?propertyId=32764091</v>
      </c>
      <c r="Q2135" t="s">
        <v>316</v>
      </c>
      <c>
        <v>0.235</v>
      </c>
      <c t="s">
        <v>5471</v>
      </c>
      <c t="s">
        <v>58276</v>
      </c>
      <c t="s">
        <v>64686</v>
      </c>
      <c t="s">
        <v>23774</v>
      </c>
      <c r="X2135" t="s">
        <v>4169</v>
      </c>
      <c t="s">
        <v>3747</v>
      </c>
      <c t="s">
        <v>65059</v>
      </c>
      <c t="s">
        <v>39289</v>
      </c>
      <c>
        <v>33905</v>
      </c>
      <c t="s">
        <v>10948</v>
      </c>
      <c t="s">
        <v>48794</v>
      </c>
      <c t="s">
        <v>58580</v>
      </c>
      <c>
        <v>12596</v>
      </c>
      <c r="AI2135" t="s">
        <v>59758</v>
      </c>
      <c t="s">
        <v>4985</v>
      </c>
      <c r="AL2135" t="s">
        <v>12112</v>
      </c>
      <c r="AN2135" t="s">
        <v>39289</v>
      </c>
      <c t="s">
        <v>5635</v>
      </c>
      <c t="s">
        <v>21054</v>
      </c>
      <c t="s">
        <v>3093</v>
      </c>
      <c t="s">
        <v>12122</v>
      </c>
    </row>
    <row>
      <c t="s">
        <v>17594</v>
      </c>
      <c t="s">
        <v>24186</v>
      </c>
      <c t="s">
        <v>47774</v>
      </c>
      <c t="s">
        <v>54171</v>
      </c>
      <c t="s">
        <v>9310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2136" s="1" t="str">
        <f ca="1">HYPERLINK("https://web.datatree.com/?/property?propertyId=32764453", "https://web.datatree.com/?/property?propertyId=32764453")</f>
        <v>https://web.datatree.com/?/property?propertyId=32764453</v>
      </c>
      <c r="Q2136" t="s">
        <v>316</v>
      </c>
      <c>
        <v>0.23</v>
      </c>
      <c t="s">
        <v>22490</v>
      </c>
      <c t="s">
        <v>44541</v>
      </c>
      <c t="s">
        <v>13275</v>
      </c>
      <c t="s">
        <v>34344</v>
      </c>
      <c t="s">
        <v>13275</v>
      </c>
      <c t="s">
        <v>61051</v>
      </c>
      <c t="s">
        <v>38550</v>
      </c>
      <c t="s">
        <v>2517</v>
      </c>
      <c t="s">
        <v>39289</v>
      </c>
      <c>
        <v>33909</v>
      </c>
      <c t="s">
        <v>32369</v>
      </c>
      <c t="s">
        <v>48794</v>
      </c>
      <c t="s">
        <v>17622</v>
      </c>
      <c>
        <v>90</v>
      </c>
      <c r="AI2136" t="s">
        <v>48220</v>
      </c>
      <c t="s">
        <v>45393</v>
      </c>
      <c r="AL2136" t="s">
        <v>21446</v>
      </c>
      <c r="AN2136" t="s">
        <v>26016</v>
      </c>
      <c t="s">
        <v>45270</v>
      </c>
      <c t="s">
        <v>53800</v>
      </c>
      <c t="s">
        <v>3093</v>
      </c>
      <c t="s">
        <v>21435</v>
      </c>
    </row>
    <row>
      <c t="s">
        <v>17594</v>
      </c>
      <c t="s">
        <v>15934</v>
      </c>
      <c t="s">
        <v>42610</v>
      </c>
      <c t="s">
        <v>26436</v>
      </c>
      <c t="s">
        <v>12253</v>
      </c>
      <c s="3">
        <v>17242</v>
      </c>
      <c s="3">
        <v>17242</v>
      </c>
      <c s="3">
        <v>8360</v>
      </c>
      <c>
        <v>0</v>
      </c>
      <c s="3">
        <v>0</v>
      </c>
      <c s="3">
        <v>556.09</v>
      </c>
      <c s="3">
        <v>17242</v>
      </c>
      <c r="O2137" s="1" t="str">
        <f ca="1">HYPERLINK("https://web.datatree.com/?/property?propertyId=32764458", "https://web.datatree.com/?/property?propertyId=32764458")</f>
        <v>https://web.datatree.com/?/property?propertyId=32764458</v>
      </c>
      <c r="Q2137" t="s">
        <v>316</v>
      </c>
      <c>
        <v>0.244</v>
      </c>
      <c t="s">
        <v>6175</v>
      </c>
      <c t="s">
        <v>65544</v>
      </c>
      <c t="s">
        <v>416</v>
      </c>
      <c r="X2137" t="s">
        <v>48073</v>
      </c>
      <c t="s">
        <v>13829</v>
      </c>
      <c t="s">
        <v>2517</v>
      </c>
      <c t="s">
        <v>39289</v>
      </c>
      <c>
        <v>33909</v>
      </c>
      <c t="s">
        <v>10513</v>
      </c>
      <c t="s">
        <v>48794</v>
      </c>
      <c t="s">
        <v>47044</v>
      </c>
      <c>
        <v>7007</v>
      </c>
      <c r="AI2137" t="s">
        <v>60119</v>
      </c>
      <c t="s">
        <v>24900</v>
      </c>
      <c>
        <v>1040</v>
      </c>
      <c t="s">
        <v>35370</v>
      </c>
      <c r="AN2137" t="s">
        <v>48152</v>
      </c>
      <c t="s">
        <v>62337</v>
      </c>
      <c t="s">
        <v>29069</v>
      </c>
      <c t="s">
        <v>3093</v>
      </c>
      <c t="s">
        <v>60969</v>
      </c>
    </row>
    <row>
      <c t="s">
        <v>17594</v>
      </c>
      <c t="s">
        <v>63714</v>
      </c>
      <c t="s">
        <v>31957</v>
      </c>
      <c t="s">
        <v>17382</v>
      </c>
      <c t="s">
        <v>15029</v>
      </c>
      <c s="3">
        <v>74028</v>
      </c>
      <c s="3">
        <v>63500</v>
      </c>
      <c s="3">
        <v>74028</v>
      </c>
      <c>
        <v>0</v>
      </c>
      <c s="3">
        <v>0</v>
      </c>
      <c s="3">
        <v>1113.24</v>
      </c>
      <c s="3">
        <v>74028</v>
      </c>
      <c r="O2138" s="1" t="str">
        <f ca="1">HYPERLINK("https://web.datatree.com/?/property?propertyId=32764777", "https://web.datatree.com/?/property?propertyId=32764777")</f>
        <v>https://web.datatree.com/?/property?propertyId=32764777</v>
      </c>
      <c r="Q2138" t="s">
        <v>316</v>
      </c>
      <c>
        <v>0.108</v>
      </c>
      <c t="s">
        <v>26492</v>
      </c>
      <c t="s">
        <v>50331</v>
      </c>
      <c t="s">
        <v>3471</v>
      </c>
      <c t="s">
        <v>23659</v>
      </c>
      <c t="s">
        <v>3471</v>
      </c>
      <c t="s">
        <v>38759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49299</v>
      </c>
      <c>
        <v>101</v>
      </c>
      <c r="AI2138" t="s">
        <v>14084</v>
      </c>
      <c t="s">
        <v>55842</v>
      </c>
      <c r="AL2138" t="s">
        <v>24373</v>
      </c>
      <c t="s">
        <v>40227</v>
      </c>
      <c t="s">
        <v>22275</v>
      </c>
      <c t="s">
        <v>60167</v>
      </c>
      <c t="s">
        <v>36802</v>
      </c>
      <c t="s">
        <v>3093</v>
      </c>
      <c t="s">
        <v>64554</v>
      </c>
    </row>
    <row>
      <c t="s">
        <v>17594</v>
      </c>
      <c t="s">
        <v>41191</v>
      </c>
      <c t="s">
        <v>4069</v>
      </c>
      <c t="s">
        <v>29919</v>
      </c>
      <c t="s">
        <v>12265</v>
      </c>
      <c s="3">
        <v>10600</v>
      </c>
      <c s="3">
        <v>10600</v>
      </c>
      <c s="3">
        <v>9339</v>
      </c>
      <c>
        <v>0</v>
      </c>
      <c s="3">
        <v>0</v>
      </c>
      <c s="3">
        <v>2880.21</v>
      </c>
      <c s="3">
        <v>10600</v>
      </c>
      <c>
        <v>2021</v>
      </c>
      <c>
        <v>3158.11</v>
      </c>
      <c s="1" t="str">
        <f ca="1">HYPERLINK("https://web.datatree.com/?/property?propertyId=32766963", "https://web.datatree.com/?/property?propertyId=32766963")</f>
        <v>https://web.datatree.com/?/property?propertyId=32766963</v>
      </c>
      <c r="Q2139" t="s">
        <v>316</v>
      </c>
      <c>
        <v>0.23</v>
      </c>
      <c t="s">
        <v>6175</v>
      </c>
      <c t="s">
        <v>55572</v>
      </c>
      <c t="s">
        <v>39730</v>
      </c>
      <c t="s">
        <v>17039</v>
      </c>
      <c t="s">
        <v>39730</v>
      </c>
      <c t="s">
        <v>7902</v>
      </c>
      <c t="s">
        <v>47150</v>
      </c>
      <c t="s">
        <v>2517</v>
      </c>
      <c t="s">
        <v>39289</v>
      </c>
      <c>
        <v>33909</v>
      </c>
      <c t="s">
        <v>37054</v>
      </c>
      <c t="s">
        <v>48794</v>
      </c>
      <c t="s">
        <v>9424</v>
      </c>
      <c>
        <v>4691</v>
      </c>
      <c r="AI2139" t="s">
        <v>4336</v>
      </c>
      <c t="s">
        <v>45620</v>
      </c>
      <c>
        <v>49</v>
      </c>
      <c t="s">
        <v>64737</v>
      </c>
      <c r="AN2139" t="s">
        <v>10909</v>
      </c>
      <c t="s">
        <v>57521</v>
      </c>
      <c r="AQ2139" t="s">
        <v>27814</v>
      </c>
      <c t="s">
        <v>35173</v>
      </c>
    </row>
    <row>
      <c t="s">
        <v>17594</v>
      </c>
      <c t="s">
        <v>8180</v>
      </c>
      <c t="s">
        <v>58790</v>
      </c>
      <c t="s">
        <v>62656</v>
      </c>
      <c t="s">
        <v>6673</v>
      </c>
      <c s="3">
        <v>10080</v>
      </c>
      <c s="3">
        <v>10080</v>
      </c>
      <c s="3">
        <v>10080</v>
      </c>
      <c>
        <v>0</v>
      </c>
      <c s="3">
        <v>0</v>
      </c>
      <c s="3">
        <v>731.42</v>
      </c>
      <c s="3">
        <v>10080</v>
      </c>
      <c>
        <v>2021</v>
      </c>
      <c>
        <v>679.59</v>
      </c>
      <c s="1" t="str">
        <f ca="1">HYPERLINK("https://web.datatree.com/?/property?propertyId=32767252", "https://web.datatree.com/?/property?propertyId=32767252")</f>
        <v>https://web.datatree.com/?/property?propertyId=32767252</v>
      </c>
      <c r="Q2140" t="s">
        <v>316</v>
      </c>
      <c>
        <v>0.359</v>
      </c>
      <c t="s">
        <v>22490</v>
      </c>
      <c t="s">
        <v>1067</v>
      </c>
      <c t="s">
        <v>35571</v>
      </c>
      <c t="s">
        <v>63467</v>
      </c>
      <c t="s">
        <v>1067</v>
      </c>
      <c t="s">
        <v>56442</v>
      </c>
      <c t="s">
        <v>53675</v>
      </c>
      <c t="s">
        <v>2517</v>
      </c>
      <c t="s">
        <v>39289</v>
      </c>
      <c>
        <v>33909</v>
      </c>
      <c t="s">
        <v>2114</v>
      </c>
      <c t="s">
        <v>48794</v>
      </c>
      <c t="s">
        <v>63988</v>
      </c>
      <c>
        <v>10</v>
      </c>
      <c r="AI2140" t="s">
        <v>18051</v>
      </c>
      <c t="s">
        <v>40123</v>
      </c>
      <c r="AL2140" t="s">
        <v>2651</v>
      </c>
      <c r="AN2140" t="s">
        <v>50917</v>
      </c>
      <c t="s">
        <v>6752</v>
      </c>
      <c t="s">
        <v>12241</v>
      </c>
      <c t="s">
        <v>3093</v>
      </c>
      <c t="s">
        <v>7243</v>
      </c>
    </row>
    <row>
      <c t="s">
        <v>17594</v>
      </c>
      <c t="s">
        <v>8501</v>
      </c>
      <c t="s">
        <v>52555</v>
      </c>
      <c t="s">
        <v>785</v>
      </c>
      <c t="s">
        <v>48413</v>
      </c>
      <c s="3">
        <v>131946</v>
      </c>
      <c s="3">
        <v>131946</v>
      </c>
      <c s="3">
        <v>131946</v>
      </c>
      <c>
        <v>0</v>
      </c>
      <c s="3">
        <v>0</v>
      </c>
      <c s="3">
        <v>2528.91</v>
      </c>
      <c s="3">
        <v>131946</v>
      </c>
      <c r="O2141" s="1" t="str">
        <f ca="1">HYPERLINK("https://web.datatree.com/?/property?propertyId=32767452", "https://web.datatree.com/?/property?propertyId=32767452")</f>
        <v>https://web.datatree.com/?/property?propertyId=32767452</v>
      </c>
      <c r="Q2141" t="s">
        <v>316</v>
      </c>
      <c>
        <v>0.266</v>
      </c>
      <c t="s">
        <v>22490</v>
      </c>
      <c t="s">
        <v>52431</v>
      </c>
      <c t="s">
        <v>38644</v>
      </c>
      <c r="X2141" t="s">
        <v>66526</v>
      </c>
      <c t="s">
        <v>33335</v>
      </c>
      <c t="s">
        <v>2517</v>
      </c>
      <c t="s">
        <v>39289</v>
      </c>
      <c>
        <v>33904</v>
      </c>
      <c t="s">
        <v>22473</v>
      </c>
      <c t="s">
        <v>48794</v>
      </c>
      <c t="s">
        <v>16695</v>
      </c>
      <c>
        <v>9195</v>
      </c>
      <c r="AI2141" t="s">
        <v>3567</v>
      </c>
      <c t="s">
        <v>45393</v>
      </c>
      <c r="AL2141" t="s">
        <v>65608</v>
      </c>
      <c t="s">
        <v>65608</v>
      </c>
      <c t="s">
        <v>39289</v>
      </c>
      <c t="s">
        <v>6085</v>
      </c>
      <c t="s">
        <v>42082</v>
      </c>
      <c t="s">
        <v>3093</v>
      </c>
      <c t="s">
        <v>6277</v>
      </c>
    </row>
    <row>
      <c t="s">
        <v>17594</v>
      </c>
      <c t="s">
        <v>46323</v>
      </c>
      <c t="s">
        <v>17199</v>
      </c>
      <c t="s">
        <v>60201</v>
      </c>
      <c t="s">
        <v>17900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2142" s="1" t="str">
        <f ca="1">HYPERLINK("https://web.datatree.com/?/property?propertyId=32767753", "https://web.datatree.com/?/property?propertyId=32767753")</f>
        <v>https://web.datatree.com/?/property?propertyId=32767753</v>
      </c>
      <c r="Q2142" t="s">
        <v>316</v>
      </c>
      <c>
        <v>0.23</v>
      </c>
      <c t="s">
        <v>6175</v>
      </c>
      <c t="s">
        <v>64030</v>
      </c>
      <c t="s">
        <v>14637</v>
      </c>
      <c r="X2142" t="s">
        <v>8945</v>
      </c>
      <c t="s">
        <v>53663</v>
      </c>
      <c t="s">
        <v>2517</v>
      </c>
      <c t="s">
        <v>39289</v>
      </c>
      <c>
        <v>33909</v>
      </c>
      <c t="s">
        <v>15013</v>
      </c>
      <c t="s">
        <v>48794</v>
      </c>
      <c t="s">
        <v>12476</v>
      </c>
      <c>
        <v>40541</v>
      </c>
      <c r="AI2142" t="s">
        <v>28676</v>
      </c>
      <c t="s">
        <v>45620</v>
      </c>
      <c r="AL2142" t="s">
        <v>32381</v>
      </c>
      <c r="AN2142" t="s">
        <v>39289</v>
      </c>
      <c t="s">
        <v>15767</v>
      </c>
      <c t="s">
        <v>48436</v>
      </c>
      <c t="s">
        <v>3093</v>
      </c>
      <c t="s">
        <v>29552</v>
      </c>
    </row>
    <row>
      <c t="s">
        <v>17594</v>
      </c>
      <c t="s">
        <v>57055</v>
      </c>
      <c t="s">
        <v>33541</v>
      </c>
      <c t="s">
        <v>56276</v>
      </c>
      <c t="s">
        <v>9884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>
        <v>2014</v>
      </c>
      <c>
        <v>2586.53</v>
      </c>
      <c s="1" t="str">
        <f ca="1">HYPERLINK("https://web.datatree.com/?/property?propertyId=32767977", "https://web.datatree.com/?/property?propertyId=32767977")</f>
        <v>https://web.datatree.com/?/property?propertyId=32767977</v>
      </c>
      <c r="Q2143" t="s">
        <v>316</v>
      </c>
      <c>
        <v>0.253</v>
      </c>
      <c t="s">
        <v>5471</v>
      </c>
      <c t="s">
        <v>26023</v>
      </c>
      <c t="s">
        <v>34860</v>
      </c>
      <c t="s">
        <v>58384</v>
      </c>
      <c r="X2143" t="s">
        <v>59549</v>
      </c>
      <c t="s">
        <v>23113</v>
      </c>
      <c t="s">
        <v>65059</v>
      </c>
      <c t="s">
        <v>39289</v>
      </c>
      <c>
        <v>33905</v>
      </c>
      <c t="s">
        <v>44733</v>
      </c>
      <c t="s">
        <v>48794</v>
      </c>
      <c t="s">
        <v>54194</v>
      </c>
      <c>
        <v>605</v>
      </c>
      <c r="AI2143" t="s">
        <v>60104</v>
      </c>
      <c t="s">
        <v>24900</v>
      </c>
      <c>
        <v>1313</v>
      </c>
      <c t="s">
        <v>41691</v>
      </c>
      <c t="s">
        <v>41691</v>
      </c>
      <c t="s">
        <v>39289</v>
      </c>
      <c t="s">
        <v>41347</v>
      </c>
      <c t="s">
        <v>34162</v>
      </c>
      <c t="s">
        <v>3093</v>
      </c>
      <c t="s">
        <v>60800</v>
      </c>
    </row>
    <row>
      <c t="s">
        <v>17594</v>
      </c>
      <c t="s">
        <v>56775</v>
      </c>
      <c t="s">
        <v>1321</v>
      </c>
      <c t="s">
        <v>13651</v>
      </c>
      <c t="s">
        <v>1290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2144" s="1" t="str">
        <f ca="1">HYPERLINK("https://web.datatree.com/?/property?propertyId=32768113", "https://web.datatree.com/?/property?propertyId=32768113")</f>
        <v>https://web.datatree.com/?/property?propertyId=32768113</v>
      </c>
      <c r="Q2144" t="s">
        <v>316</v>
      </c>
      <c>
        <v>0.23</v>
      </c>
      <c t="s">
        <v>42044</v>
      </c>
      <c r="U2144" t="s">
        <v>855</v>
      </c>
      <c t="s">
        <v>37820</v>
      </c>
      <c t="s">
        <v>41160</v>
      </c>
      <c t="s">
        <v>37191</v>
      </c>
      <c t="s">
        <v>39082</v>
      </c>
      <c t="s">
        <v>2517</v>
      </c>
      <c t="s">
        <v>39289</v>
      </c>
      <c>
        <v>33909</v>
      </c>
      <c t="s">
        <v>34469</v>
      </c>
      <c t="s">
        <v>48794</v>
      </c>
      <c t="s">
        <v>596</v>
      </c>
      <c>
        <v>6900</v>
      </c>
      <c r="AI2144" t="s">
        <v>42233</v>
      </c>
      <c t="s">
        <v>31192</v>
      </c>
      <c>
        <v>603</v>
      </c>
      <c t="s">
        <v>38297</v>
      </c>
      <c r="AN2144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45382</v>
      </c>
      <c t="s">
        <v>1777</v>
      </c>
      <c t="s">
        <v>23269</v>
      </c>
      <c t="s">
        <v>36442</v>
      </c>
      <c s="3">
        <v>36210</v>
      </c>
      <c s="3">
        <v>36210</v>
      </c>
      <c s="3">
        <v>16517</v>
      </c>
      <c>
        <v>0</v>
      </c>
      <c s="3">
        <v>0</v>
      </c>
      <c s="3">
        <v>744.79</v>
      </c>
      <c s="3">
        <v>36210</v>
      </c>
      <c r="O2145" s="1" t="str">
        <f ca="1">HYPERLINK("https://web.datatree.com/?/property?propertyId=32768247", "https://web.datatree.com/?/property?propertyId=32768247")</f>
        <v>https://web.datatree.com/?/property?propertyId=32768247</v>
      </c>
      <c r="Q2145" t="s">
        <v>316</v>
      </c>
      <c>
        <v>0.23</v>
      </c>
      <c t="s">
        <v>65422</v>
      </c>
      <c t="s">
        <v>50343</v>
      </c>
      <c t="s">
        <v>43994</v>
      </c>
      <c r="X2145" t="s">
        <v>7285</v>
      </c>
      <c t="s">
        <v>8669</v>
      </c>
      <c t="s">
        <v>2517</v>
      </c>
      <c t="s">
        <v>39289</v>
      </c>
      <c>
        <v>33909</v>
      </c>
      <c>
        <v>33909</v>
      </c>
      <c t="s">
        <v>48794</v>
      </c>
      <c t="s">
        <v>13019</v>
      </c>
      <c>
        <v>9435</v>
      </c>
      <c r="AI2145" t="s">
        <v>27328</v>
      </c>
      <c t="s">
        <v>45620</v>
      </c>
      <c r="AL2145" t="s">
        <v>25853</v>
      </c>
      <c r="AN2145" t="s">
        <v>17331</v>
      </c>
      <c t="s">
        <v>30317</v>
      </c>
      <c t="s">
        <v>44428</v>
      </c>
      <c t="s">
        <v>3093</v>
      </c>
      <c t="s">
        <v>55903</v>
      </c>
    </row>
    <row>
      <c t="s">
        <v>17594</v>
      </c>
      <c t="s">
        <v>6305</v>
      </c>
      <c t="s">
        <v>33683</v>
      </c>
      <c t="s">
        <v>59254</v>
      </c>
      <c t="s">
        <v>22726</v>
      </c>
      <c s="3">
        <v>7200</v>
      </c>
      <c s="3">
        <v>7200</v>
      </c>
      <c s="3">
        <v>7200</v>
      </c>
      <c>
        <v>0</v>
      </c>
      <c s="3">
        <v>0</v>
      </c>
      <c s="3">
        <v>531.32</v>
      </c>
      <c s="3">
        <v>7200</v>
      </c>
      <c r="O2146" s="1" t="str">
        <f ca="1">HYPERLINK("https://web.datatree.com/?/property?propertyId=32769982", "https://web.datatree.com/?/property?propertyId=32769982")</f>
        <v>https://web.datatree.com/?/property?propertyId=32769982</v>
      </c>
      <c r="Q2146" t="s">
        <v>316</v>
      </c>
      <c>
        <v>0.281</v>
      </c>
      <c t="s">
        <v>6175</v>
      </c>
      <c t="s">
        <v>60638</v>
      </c>
      <c t="s">
        <v>21026</v>
      </c>
      <c t="s">
        <v>23816</v>
      </c>
      <c t="s">
        <v>21026</v>
      </c>
      <c t="s">
        <v>48412</v>
      </c>
      <c t="s">
        <v>39082</v>
      </c>
      <c t="s">
        <v>2517</v>
      </c>
      <c t="s">
        <v>39289</v>
      </c>
      <c>
        <v>33909</v>
      </c>
      <c t="s">
        <v>15007</v>
      </c>
      <c t="s">
        <v>48794</v>
      </c>
      <c t="s">
        <v>28837</v>
      </c>
      <c>
        <v>274</v>
      </c>
      <c r="AI2146" t="s">
        <v>25988</v>
      </c>
      <c t="s">
        <v>45393</v>
      </c>
      <c r="AL2146" t="s">
        <v>29515</v>
      </c>
      <c r="AN2146" t="s">
        <v>39289</v>
      </c>
      <c t="s">
        <v>167</v>
      </c>
      <c t="s">
        <v>14845</v>
      </c>
      <c t="s">
        <v>3093</v>
      </c>
      <c t="s">
        <v>21930</v>
      </c>
    </row>
    <row>
      <c t="s">
        <v>17594</v>
      </c>
      <c t="s">
        <v>28795</v>
      </c>
      <c t="s">
        <v>13760</v>
      </c>
      <c t="s">
        <v>48697</v>
      </c>
      <c t="s">
        <v>54651</v>
      </c>
      <c s="3">
        <v>7560</v>
      </c>
      <c s="3">
        <v>7560</v>
      </c>
      <c s="3">
        <v>7560</v>
      </c>
      <c>
        <v>0</v>
      </c>
      <c s="3">
        <v>0</v>
      </c>
      <c s="3">
        <v>515.43</v>
      </c>
      <c s="3">
        <v>7560</v>
      </c>
      <c>
        <v>2021</v>
      </c>
      <c>
        <v>545.57</v>
      </c>
      <c s="1" t="str">
        <f ca="1">HYPERLINK("https://web.datatree.com/?/property?propertyId=32770276", "https://web.datatree.com/?/property?propertyId=32770276")</f>
        <v>https://web.datatree.com/?/property?propertyId=32770276</v>
      </c>
      <c r="Q2147" t="s">
        <v>316</v>
      </c>
      <c>
        <v>0.253</v>
      </c>
      <c t="s">
        <v>6175</v>
      </c>
      <c t="s">
        <v>62098</v>
      </c>
      <c t="s">
        <v>16258</v>
      </c>
      <c r="X2147" t="s">
        <v>51918</v>
      </c>
      <c t="s">
        <v>59763</v>
      </c>
      <c t="s">
        <v>2517</v>
      </c>
      <c t="s">
        <v>39289</v>
      </c>
      <c>
        <v>33909</v>
      </c>
      <c t="s">
        <v>62477</v>
      </c>
      <c t="s">
        <v>48794</v>
      </c>
      <c t="s">
        <v>4869</v>
      </c>
      <c>
        <v>6</v>
      </c>
      <c r="AI2147" t="s">
        <v>45486</v>
      </c>
      <c t="s">
        <v>45393</v>
      </c>
      <c t="s">
        <v>17594</v>
      </c>
      <c t="s">
        <v>45249</v>
      </c>
      <c r="AN2147" t="s">
        <v>64022</v>
      </c>
      <c t="s">
        <v>41848</v>
      </c>
      <c t="s">
        <v>52247</v>
      </c>
      <c t="s">
        <v>3093</v>
      </c>
      <c t="s">
        <v>25678</v>
      </c>
    </row>
    <row>
      <c t="s">
        <v>17594</v>
      </c>
      <c t="s">
        <v>30371</v>
      </c>
      <c t="s">
        <v>59265</v>
      </c>
      <c t="s">
        <v>29601</v>
      </c>
      <c t="s">
        <v>17862</v>
      </c>
      <c s="3">
        <v>41248</v>
      </c>
      <c s="3">
        <v>41248</v>
      </c>
      <c s="3">
        <v>35200</v>
      </c>
      <c>
        <v>0</v>
      </c>
      <c s="3">
        <v>0</v>
      </c>
      <c s="3">
        <v>1024.65</v>
      </c>
      <c s="3">
        <v>41248</v>
      </c>
      <c r="O2148" s="1" t="str">
        <f ca="1">HYPERLINK("https://web.datatree.com/?/property?propertyId=32770571", "https://web.datatree.com/?/property?propertyId=32770571")</f>
        <v>https://web.datatree.com/?/property?propertyId=32770571</v>
      </c>
      <c r="Q2148" t="s">
        <v>316</v>
      </c>
      <c>
        <v>0.23</v>
      </c>
      <c t="s">
        <v>22490</v>
      </c>
      <c t="s">
        <v>62125</v>
      </c>
      <c t="s">
        <v>16455</v>
      </c>
      <c t="s">
        <v>63182</v>
      </c>
      <c t="s">
        <v>16455</v>
      </c>
      <c t="s">
        <v>714</v>
      </c>
      <c t="s">
        <v>22731</v>
      </c>
      <c t="s">
        <v>2517</v>
      </c>
      <c t="s">
        <v>39289</v>
      </c>
      <c>
        <v>33909</v>
      </c>
      <c t="s">
        <v>31753</v>
      </c>
      <c t="s">
        <v>48794</v>
      </c>
      <c t="s">
        <v>21548</v>
      </c>
      <c>
        <v>714</v>
      </c>
      <c r="AI2148" t="s">
        <v>37180</v>
      </c>
      <c t="s">
        <v>24900</v>
      </c>
      <c r="AL2148" t="s">
        <v>36576</v>
      </c>
      <c t="s">
        <v>36576</v>
      </c>
      <c t="s">
        <v>65467</v>
      </c>
      <c t="s">
        <v>9700</v>
      </c>
      <c t="s">
        <v>44428</v>
      </c>
      <c t="s">
        <v>3093</v>
      </c>
      <c t="s">
        <v>39860</v>
      </c>
    </row>
    <row>
      <c t="s">
        <v>17594</v>
      </c>
      <c t="s">
        <v>31969</v>
      </c>
      <c t="s">
        <v>43730</v>
      </c>
      <c t="s">
        <v>35135</v>
      </c>
      <c t="s">
        <v>58210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2149" s="1" t="str">
        <f ca="1">HYPERLINK("https://web.datatree.com/?/property?propertyId=32770658", "https://web.datatree.com/?/property?propertyId=32770658")</f>
        <v>https://web.datatree.com/?/property?propertyId=32770658</v>
      </c>
      <c r="Q2149" t="s">
        <v>316</v>
      </c>
      <c>
        <v>0.244</v>
      </c>
      <c t="s">
        <v>6175</v>
      </c>
      <c t="s">
        <v>58412</v>
      </c>
      <c t="s">
        <v>34693</v>
      </c>
      <c t="s">
        <v>3965</v>
      </c>
      <c t="s">
        <v>34693</v>
      </c>
      <c t="s">
        <v>50965</v>
      </c>
      <c t="s">
        <v>50440</v>
      </c>
      <c t="s">
        <v>2517</v>
      </c>
      <c t="s">
        <v>39289</v>
      </c>
      <c>
        <v>33909</v>
      </c>
      <c t="s">
        <v>3511</v>
      </c>
      <c t="s">
        <v>48794</v>
      </c>
      <c t="s">
        <v>29074</v>
      </c>
      <c>
        <v>27</v>
      </c>
      <c r="AI2149" t="s">
        <v>56500</v>
      </c>
      <c t="s">
        <v>41372</v>
      </c>
      <c r="AL2149" t="s">
        <v>39187</v>
      </c>
      <c r="AN2149" t="s">
        <v>26016</v>
      </c>
      <c t="s">
        <v>42744</v>
      </c>
      <c t="s">
        <v>19978</v>
      </c>
      <c t="s">
        <v>3093</v>
      </c>
      <c t="s">
        <v>49478</v>
      </c>
    </row>
    <row>
      <c t="s">
        <v>17594</v>
      </c>
      <c t="s">
        <v>31043</v>
      </c>
      <c t="s">
        <v>18169</v>
      </c>
      <c t="s">
        <v>28756</v>
      </c>
      <c t="s">
        <v>50220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>
        <v>2021</v>
      </c>
      <c>
        <v>593.96</v>
      </c>
      <c s="1" t="str">
        <f ca="1">HYPERLINK("https://web.datatree.com/?/property?propertyId=32770781", "https://web.datatree.com/?/property?propertyId=32770781")</f>
        <v>https://web.datatree.com/?/property?propertyId=32770781</v>
      </c>
      <c r="Q2150" t="s">
        <v>316</v>
      </c>
      <c>
        <v>0.23</v>
      </c>
      <c t="s">
        <v>6175</v>
      </c>
      <c t="s">
        <v>58697</v>
      </c>
      <c t="s">
        <v>13824</v>
      </c>
      <c r="X2150" t="s">
        <v>65610</v>
      </c>
      <c t="s">
        <v>49122</v>
      </c>
      <c t="s">
        <v>2517</v>
      </c>
      <c t="s">
        <v>39289</v>
      </c>
      <c>
        <v>33909</v>
      </c>
      <c t="s">
        <v>515</v>
      </c>
      <c t="s">
        <v>48794</v>
      </c>
      <c t="s">
        <v>11957</v>
      </c>
      <c>
        <v>15400</v>
      </c>
      <c r="AI2150" t="s">
        <v>4333</v>
      </c>
      <c t="s">
        <v>55842</v>
      </c>
      <c>
        <v>102</v>
      </c>
      <c t="s">
        <v>55393</v>
      </c>
      <c r="AN2150" t="s">
        <v>39289</v>
      </c>
      <c t="s">
        <v>2275</v>
      </c>
      <c t="s">
        <v>35679</v>
      </c>
      <c t="s">
        <v>3093</v>
      </c>
      <c t="s">
        <v>43219</v>
      </c>
    </row>
    <row>
      <c t="s">
        <v>17594</v>
      </c>
      <c t="s">
        <v>16335</v>
      </c>
      <c t="s">
        <v>28055</v>
      </c>
      <c t="s">
        <v>38134</v>
      </c>
      <c t="s">
        <v>27216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151" s="1" t="str">
        <f ca="1">HYPERLINK("https://web.datatree.com/?/property?propertyId=32771559", "https://web.datatree.com/?/property?propertyId=32771559")</f>
        <v>https://web.datatree.com/?/property?propertyId=32771559</v>
      </c>
      <c r="Q2151" t="s">
        <v>316</v>
      </c>
      <c>
        <v>0.23</v>
      </c>
      <c t="s">
        <v>6175</v>
      </c>
      <c t="s">
        <v>33213</v>
      </c>
      <c t="s">
        <v>41561</v>
      </c>
      <c t="s">
        <v>52701</v>
      </c>
      <c t="s">
        <v>41561</v>
      </c>
      <c t="s">
        <v>33976</v>
      </c>
      <c t="s">
        <v>13829</v>
      </c>
      <c t="s">
        <v>2517</v>
      </c>
      <c t="s">
        <v>39289</v>
      </c>
      <c>
        <v>33909</v>
      </c>
      <c t="s">
        <v>53933</v>
      </c>
      <c t="s">
        <v>48794</v>
      </c>
      <c t="s">
        <v>44200</v>
      </c>
      <c>
        <v>311</v>
      </c>
      <c r="AI2151" t="s">
        <v>64265</v>
      </c>
      <c t="s">
        <v>24900</v>
      </c>
      <c>
        <v>1217</v>
      </c>
      <c t="s">
        <v>55393</v>
      </c>
      <c r="AN2151" t="s">
        <v>39289</v>
      </c>
      <c t="s">
        <v>51979</v>
      </c>
      <c t="s">
        <v>4660</v>
      </c>
      <c t="s">
        <v>3093</v>
      </c>
      <c t="s">
        <v>63120</v>
      </c>
    </row>
    <row>
      <c t="s">
        <v>17594</v>
      </c>
      <c t="s">
        <v>10210</v>
      </c>
      <c t="s">
        <v>37751</v>
      </c>
      <c t="s">
        <v>12257</v>
      </c>
      <c t="s">
        <v>57461</v>
      </c>
      <c s="3">
        <v>27750</v>
      </c>
      <c s="3">
        <v>27750</v>
      </c>
      <c s="3">
        <v>19488</v>
      </c>
      <c>
        <v>0</v>
      </c>
      <c s="3">
        <v>0</v>
      </c>
      <c s="3">
        <v>313.33</v>
      </c>
      <c s="3">
        <v>27750</v>
      </c>
      <c r="O2152" s="1" t="str">
        <f ca="1">HYPERLINK("https://web.datatree.com/?/property?propertyId=32771874", "https://web.datatree.com/?/property?propertyId=32771874")</f>
        <v>https://web.datatree.com/?/property?propertyId=32771874</v>
      </c>
      <c r="Q2152" t="s">
        <v>316</v>
      </c>
      <c>
        <v>0.17</v>
      </c>
      <c t="s">
        <v>23582</v>
      </c>
      <c t="s">
        <v>65525</v>
      </c>
      <c t="s">
        <v>11220</v>
      </c>
      <c t="s">
        <v>50865</v>
      </c>
      <c t="s">
        <v>11220</v>
      </c>
      <c t="s">
        <v>1379</v>
      </c>
      <c t="s">
        <v>2044</v>
      </c>
      <c t="s">
        <v>65059</v>
      </c>
      <c t="s">
        <v>39289</v>
      </c>
      <c>
        <v>33908</v>
      </c>
      <c t="s">
        <v>30528</v>
      </c>
      <c t="s">
        <v>48794</v>
      </c>
      <c t="s">
        <v>53183</v>
      </c>
      <c>
        <v>61775</v>
      </c>
      <c r="AI2152" t="s">
        <v>51013</v>
      </c>
      <c t="s">
        <v>56275</v>
      </c>
      <c r="AL2152" t="s">
        <v>29275</v>
      </c>
      <c r="AN2152" t="s">
        <v>51137</v>
      </c>
      <c t="s">
        <v>34875</v>
      </c>
      <c t="s">
        <v>52247</v>
      </c>
      <c t="s">
        <v>3093</v>
      </c>
      <c t="s">
        <v>47675</v>
      </c>
    </row>
    <row>
      <c t="s">
        <v>17594</v>
      </c>
      <c t="s">
        <v>1210</v>
      </c>
      <c t="s">
        <v>56748</v>
      </c>
      <c t="s">
        <v>38480</v>
      </c>
      <c t="s">
        <v>3462</v>
      </c>
      <c s="3">
        <v>7600</v>
      </c>
      <c s="3">
        <v>7600</v>
      </c>
      <c s="3">
        <v>7600</v>
      </c>
      <c>
        <v>0</v>
      </c>
      <c s="3">
        <v>0</v>
      </c>
      <c s="3">
        <v>573.63</v>
      </c>
      <c s="3">
        <v>7600</v>
      </c>
      <c r="O2153" s="1" t="str">
        <f ca="1">HYPERLINK("https://web.datatree.com/?/property?propertyId=32771884", "https://web.datatree.com/?/property?propertyId=32771884")</f>
        <v>https://web.datatree.com/?/property?propertyId=32771884</v>
      </c>
      <c r="Q2153" t="s">
        <v>316</v>
      </c>
      <c>
        <v>0.255</v>
      </c>
      <c t="s">
        <v>6175</v>
      </c>
      <c t="s">
        <v>16200</v>
      </c>
      <c t="s">
        <v>1167</v>
      </c>
      <c t="s">
        <v>4050</v>
      </c>
      <c t="s">
        <v>1167</v>
      </c>
      <c t="s">
        <v>2363</v>
      </c>
      <c t="s">
        <v>49122</v>
      </c>
      <c t="s">
        <v>2517</v>
      </c>
      <c t="s">
        <v>39289</v>
      </c>
      <c>
        <v>33909</v>
      </c>
      <c t="s">
        <v>50675</v>
      </c>
      <c t="s">
        <v>48794</v>
      </c>
      <c t="s">
        <v>589</v>
      </c>
      <c r="AI2153" t="s">
        <v>15737</v>
      </c>
      <c r="AL2153" t="s">
        <v>35329</v>
      </c>
      <c r="AN2153" t="s">
        <v>62780</v>
      </c>
      <c>
        <v>96206</v>
      </c>
      <c t="s">
        <v>4797</v>
      </c>
      <c t="s">
        <v>3093</v>
      </c>
      <c t="s">
        <v>13071</v>
      </c>
    </row>
    <row>
      <c t="s">
        <v>17594</v>
      </c>
      <c t="s">
        <v>36925</v>
      </c>
      <c t="s">
        <v>37574</v>
      </c>
      <c t="s">
        <v>12593</v>
      </c>
      <c t="s">
        <v>8457</v>
      </c>
      <c s="3">
        <v>15788</v>
      </c>
      <c s="3">
        <v>15788</v>
      </c>
      <c s="3">
        <v>15788</v>
      </c>
      <c>
        <v>0</v>
      </c>
      <c s="3">
        <v>0</v>
      </c>
      <c s="3">
        <v>576.49</v>
      </c>
      <c s="3">
        <v>15788</v>
      </c>
      <c r="O2154" s="1" t="str">
        <f ca="1">HYPERLINK("https://web.datatree.com/?/property?propertyId=32772118", "https://web.datatree.com/?/property?propertyId=32772118")</f>
        <v>https://web.datatree.com/?/property?propertyId=32772118</v>
      </c>
      <c r="Q2154" t="s">
        <v>316</v>
      </c>
      <c>
        <v>0.23</v>
      </c>
      <c t="s">
        <v>6175</v>
      </c>
      <c t="s">
        <v>33213</v>
      </c>
      <c t="s">
        <v>15107</v>
      </c>
      <c t="s">
        <v>22433</v>
      </c>
      <c t="s">
        <v>15107</v>
      </c>
      <c t="s">
        <v>52009</v>
      </c>
      <c t="s">
        <v>25017</v>
      </c>
      <c t="s">
        <v>2517</v>
      </c>
      <c t="s">
        <v>39289</v>
      </c>
      <c>
        <v>33909</v>
      </c>
      <c t="s">
        <v>4057</v>
      </c>
      <c t="s">
        <v>48794</v>
      </c>
      <c t="s">
        <v>1852</v>
      </c>
      <c>
        <v>132</v>
      </c>
      <c r="AI2154" t="s">
        <v>45305</v>
      </c>
      <c t="s">
        <v>45393</v>
      </c>
      <c r="AL2154" t="s">
        <v>50198</v>
      </c>
      <c t="s">
        <v>50198</v>
      </c>
      <c t="s">
        <v>26016</v>
      </c>
      <c t="s">
        <v>31177</v>
      </c>
      <c t="s">
        <v>19978</v>
      </c>
      <c t="s">
        <v>3093</v>
      </c>
      <c t="s">
        <v>6629</v>
      </c>
    </row>
    <row>
      <c t="s">
        <v>17594</v>
      </c>
      <c t="s">
        <v>36566</v>
      </c>
      <c t="s">
        <v>18116</v>
      </c>
      <c t="s">
        <v>21871</v>
      </c>
      <c t="s">
        <v>18204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2155" s="1" t="str">
        <f ca="1">HYPERLINK("https://web.datatree.com/?/property?propertyId=32772352", "https://web.datatree.com/?/property?propertyId=32772352")</f>
        <v>https://web.datatree.com/?/property?propertyId=32772352</v>
      </c>
      <c r="Q2155" t="s">
        <v>316</v>
      </c>
      <c>
        <v>0.243</v>
      </c>
      <c t="s">
        <v>5471</v>
      </c>
      <c t="s">
        <v>18917</v>
      </c>
      <c t="s">
        <v>24692</v>
      </c>
      <c t="s">
        <v>67208</v>
      </c>
      <c t="s">
        <v>24692</v>
      </c>
      <c t="s">
        <v>2571</v>
      </c>
      <c t="s">
        <v>6874</v>
      </c>
      <c t="s">
        <v>65059</v>
      </c>
      <c t="s">
        <v>39289</v>
      </c>
      <c>
        <v>33905</v>
      </c>
      <c t="s">
        <v>67191</v>
      </c>
      <c t="s">
        <v>48794</v>
      </c>
      <c t="s">
        <v>44014</v>
      </c>
      <c>
        <v>7517</v>
      </c>
      <c r="AI2155" t="s">
        <v>9935</v>
      </c>
      <c t="s">
        <v>835</v>
      </c>
      <c r="AL2155" t="s">
        <v>20033</v>
      </c>
      <c r="AN2155" t="s">
        <v>66651</v>
      </c>
      <c t="s">
        <v>45404</v>
      </c>
      <c t="s">
        <v>42945</v>
      </c>
      <c t="s">
        <v>3093</v>
      </c>
      <c t="s">
        <v>22200</v>
      </c>
    </row>
    <row>
      <c t="s">
        <v>17594</v>
      </c>
      <c t="s">
        <v>26961</v>
      </c>
      <c t="s">
        <v>25027</v>
      </c>
      <c t="s">
        <v>25118</v>
      </c>
      <c t="s">
        <v>3423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2156" s="1" t="str">
        <f ca="1">HYPERLINK("https://web.datatree.com/?/property?propertyId=32772528", "https://web.datatree.com/?/property?propertyId=32772528")</f>
        <v>https://web.datatree.com/?/property?propertyId=32772528</v>
      </c>
      <c r="Q2156" t="s">
        <v>316</v>
      </c>
      <c>
        <v>0.23</v>
      </c>
      <c t="s">
        <v>22490</v>
      </c>
      <c t="s">
        <v>31756</v>
      </c>
      <c t="s">
        <v>42218</v>
      </c>
      <c t="s">
        <v>47411</v>
      </c>
      <c r="X2156" t="s">
        <v>58035</v>
      </c>
      <c t="s">
        <v>53675</v>
      </c>
      <c t="s">
        <v>2517</v>
      </c>
      <c t="s">
        <v>39289</v>
      </c>
      <c>
        <v>33909</v>
      </c>
      <c t="s">
        <v>60473</v>
      </c>
      <c t="s">
        <v>48794</v>
      </c>
      <c t="s">
        <v>30577</v>
      </c>
      <c>
        <v>12455</v>
      </c>
      <c r="AI2156" t="s">
        <v>17524</v>
      </c>
      <c t="s">
        <v>40123</v>
      </c>
      <c r="AL2156" t="s">
        <v>52434</v>
      </c>
      <c r="AN2156" t="s">
        <v>39289</v>
      </c>
      <c t="s">
        <v>24981</v>
      </c>
      <c t="s">
        <v>636</v>
      </c>
      <c t="s">
        <v>3093</v>
      </c>
      <c t="s">
        <v>41907</v>
      </c>
    </row>
    <row>
      <c t="s">
        <v>17594</v>
      </c>
      <c t="s">
        <v>16224</v>
      </c>
      <c t="s">
        <v>4925</v>
      </c>
      <c t="s">
        <v>7985</v>
      </c>
      <c t="s">
        <v>27198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2157" s="1" t="str">
        <f ca="1">HYPERLINK("https://web.datatree.com/?/property?propertyId=32772681", "https://web.datatree.com/?/property?propertyId=32772681")</f>
        <v>https://web.datatree.com/?/property?propertyId=32772681</v>
      </c>
      <c r="Q2157" t="s">
        <v>316</v>
      </c>
      <c>
        <v>0.23</v>
      </c>
      <c t="s">
        <v>6175</v>
      </c>
      <c t="s">
        <v>42987</v>
      </c>
      <c t="s">
        <v>39982</v>
      </c>
      <c t="s">
        <v>42987</v>
      </c>
      <c r="X2157" t="s">
        <v>7635</v>
      </c>
      <c t="s">
        <v>33179</v>
      </c>
      <c t="s">
        <v>2517</v>
      </c>
      <c t="s">
        <v>39289</v>
      </c>
      <c>
        <v>33909</v>
      </c>
      <c t="s">
        <v>19174</v>
      </c>
      <c t="s">
        <v>48794</v>
      </c>
      <c t="s">
        <v>28010</v>
      </c>
      <c>
        <v>14812</v>
      </c>
      <c r="AI2157" t="s">
        <v>54587</v>
      </c>
      <c t="s">
        <v>24900</v>
      </c>
      <c>
        <v>32</v>
      </c>
      <c t="s">
        <v>63101</v>
      </c>
      <c t="s">
        <v>63101</v>
      </c>
      <c t="s">
        <v>18236</v>
      </c>
      <c t="s">
        <v>48036</v>
      </c>
      <c t="s">
        <v>42996</v>
      </c>
      <c t="s">
        <v>3093</v>
      </c>
      <c t="s">
        <v>13560</v>
      </c>
    </row>
    <row>
      <c t="s">
        <v>17594</v>
      </c>
      <c t="s">
        <v>22161</v>
      </c>
      <c t="s">
        <v>64787</v>
      </c>
      <c t="s">
        <v>46753</v>
      </c>
      <c t="s">
        <v>64728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>
        <v>2021</v>
      </c>
      <c>
        <v>539.63</v>
      </c>
      <c s="1" t="str">
        <f ca="1">HYPERLINK("https://web.datatree.com/?/property?propertyId=32773208", "https://web.datatree.com/?/property?propertyId=32773208")</f>
        <v>https://web.datatree.com/?/property?propertyId=32773208</v>
      </c>
      <c r="Q2158" t="s">
        <v>316</v>
      </c>
      <c>
        <v>0.23</v>
      </c>
      <c t="s">
        <v>22490</v>
      </c>
      <c t="s">
        <v>8762</v>
      </c>
      <c t="s">
        <v>16441</v>
      </c>
      <c r="X2158" t="s">
        <v>7122</v>
      </c>
      <c t="s">
        <v>53675</v>
      </c>
      <c t="s">
        <v>2517</v>
      </c>
      <c t="s">
        <v>39289</v>
      </c>
      <c>
        <v>33909</v>
      </c>
      <c t="s">
        <v>5939</v>
      </c>
      <c t="s">
        <v>48794</v>
      </c>
      <c t="s">
        <v>6556</v>
      </c>
      <c>
        <v>26</v>
      </c>
      <c r="AI2158" t="s">
        <v>17058</v>
      </c>
      <c t="s">
        <v>45620</v>
      </c>
      <c r="AL2158" t="s">
        <v>58129</v>
      </c>
      <c r="AN2158" t="s">
        <v>27747</v>
      </c>
      <c t="s">
        <v>14943</v>
      </c>
      <c t="s">
        <v>22479</v>
      </c>
      <c t="s">
        <v>3093</v>
      </c>
      <c t="s">
        <v>4161</v>
      </c>
    </row>
    <row>
      <c t="s">
        <v>17594</v>
      </c>
      <c t="s">
        <v>65945</v>
      </c>
      <c t="s">
        <v>16586</v>
      </c>
      <c t="s">
        <v>60478</v>
      </c>
      <c t="s">
        <v>37932</v>
      </c>
      <c s="3">
        <v>23352</v>
      </c>
      <c s="3">
        <v>23352</v>
      </c>
      <c s="3">
        <v>8800</v>
      </c>
      <c>
        <v>0</v>
      </c>
      <c s="3">
        <v>0</v>
      </c>
      <c s="3">
        <v>598.34</v>
      </c>
      <c s="3">
        <v>23352</v>
      </c>
      <c>
        <v>2020</v>
      </c>
      <c>
        <v>1742.79</v>
      </c>
      <c s="1" t="str">
        <f ca="1">HYPERLINK("https://web.datatree.com/?/property?propertyId=32773431", "https://web.datatree.com/?/property?propertyId=32773431")</f>
        <v>https://web.datatree.com/?/property?propertyId=32773431</v>
      </c>
      <c r="Q2159" t="s">
        <v>316</v>
      </c>
      <c>
        <v>0.244</v>
      </c>
      <c t="s">
        <v>22490</v>
      </c>
      <c t="s">
        <v>64470</v>
      </c>
      <c t="s">
        <v>48568</v>
      </c>
      <c t="s">
        <v>27351</v>
      </c>
      <c t="s">
        <v>5838</v>
      </c>
      <c t="s">
        <v>3762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34554</v>
      </c>
      <c>
        <v>1014</v>
      </c>
      <c r="AI2159" t="s">
        <v>61916</v>
      </c>
      <c t="s">
        <v>45620</v>
      </c>
      <c t="s">
        <v>65930</v>
      </c>
      <c t="s">
        <v>33526</v>
      </c>
      <c r="AN2159" t="s">
        <v>26016</v>
      </c>
      <c t="s">
        <v>24980</v>
      </c>
      <c t="s">
        <v>4797</v>
      </c>
      <c t="s">
        <v>3093</v>
      </c>
      <c t="s">
        <v>36926</v>
      </c>
    </row>
    <row>
      <c t="s">
        <v>17594</v>
      </c>
      <c t="s">
        <v>61510</v>
      </c>
      <c t="s">
        <v>60643</v>
      </c>
      <c t="s">
        <v>45264</v>
      </c>
      <c t="s">
        <v>44903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>
        <v>2020</v>
      </c>
      <c>
        <v>1922.86</v>
      </c>
      <c s="1" t="str">
        <f ca="1">HYPERLINK("https://web.datatree.com/?/property?propertyId=32774178", "https://web.datatree.com/?/property?propertyId=32774178")</f>
        <v>https://web.datatree.com/?/property?propertyId=32774178</v>
      </c>
      <c r="Q2160" t="s">
        <v>316</v>
      </c>
      <c>
        <v>0.23</v>
      </c>
      <c t="s">
        <v>22490</v>
      </c>
      <c t="s">
        <v>19071</v>
      </c>
      <c t="s">
        <v>25795</v>
      </c>
      <c t="s">
        <v>8453</v>
      </c>
      <c t="s">
        <v>25795</v>
      </c>
      <c t="s">
        <v>47794</v>
      </c>
      <c t="s">
        <v>2626</v>
      </c>
      <c t="s">
        <v>2517</v>
      </c>
      <c t="s">
        <v>39289</v>
      </c>
      <c>
        <v>33909</v>
      </c>
      <c t="s">
        <v>8921</v>
      </c>
      <c t="s">
        <v>48794</v>
      </c>
      <c t="s">
        <v>47083</v>
      </c>
      <c r="AI2160" t="s">
        <v>59442</v>
      </c>
      <c r="AK2160">
        <v>504</v>
      </c>
      <c t="s">
        <v>16381</v>
      </c>
      <c r="AN2160" t="s">
        <v>18507</v>
      </c>
      <c>
        <v>150</v>
      </c>
      <c r="AR2160" t="s">
        <v>63641</v>
      </c>
    </row>
    <row>
      <c t="s">
        <v>17594</v>
      </c>
      <c t="s">
        <v>64661</v>
      </c>
      <c t="s">
        <v>60776</v>
      </c>
      <c t="s">
        <v>21083</v>
      </c>
      <c t="s">
        <v>17801</v>
      </c>
      <c s="3">
        <v>8870</v>
      </c>
      <c s="3">
        <v>8870</v>
      </c>
      <c s="3">
        <v>4972</v>
      </c>
      <c>
        <v>0</v>
      </c>
      <c s="3">
        <v>0</v>
      </c>
      <c s="3">
        <v>316.66</v>
      </c>
      <c s="3">
        <v>8870</v>
      </c>
      <c r="O2161" s="1" t="str">
        <f ca="1">HYPERLINK("https://web.datatree.com/?/property?propertyId=32774506", "https://web.datatree.com/?/property?propertyId=32774506")</f>
        <v>https://web.datatree.com/?/property?propertyId=32774506</v>
      </c>
      <c r="Q2161" t="s">
        <v>316</v>
      </c>
      <c>
        <v>0.243</v>
      </c>
      <c t="s">
        <v>5471</v>
      </c>
      <c r="U2161" t="s">
        <v>49648</v>
      </c>
      <c r="W2161" t="s">
        <v>19316</v>
      </c>
      <c t="s">
        <v>43365</v>
      </c>
      <c t="s">
        <v>26561</v>
      </c>
      <c t="s">
        <v>65059</v>
      </c>
      <c t="s">
        <v>39289</v>
      </c>
      <c>
        <v>33905</v>
      </c>
      <c t="s">
        <v>19615</v>
      </c>
      <c t="s">
        <v>48794</v>
      </c>
      <c t="s">
        <v>27304</v>
      </c>
      <c>
        <v>12082</v>
      </c>
      <c r="AI2161" t="s">
        <v>13065</v>
      </c>
      <c t="s">
        <v>45393</v>
      </c>
      <c r="AL2161" t="s">
        <v>4859</v>
      </c>
      <c r="AN2161" t="s">
        <v>39289</v>
      </c>
      <c t="s">
        <v>3846</v>
      </c>
      <c t="s">
        <v>15968</v>
      </c>
      <c t="s">
        <v>3093</v>
      </c>
      <c t="s">
        <v>44128</v>
      </c>
    </row>
    <row>
      <c t="s">
        <v>17594</v>
      </c>
      <c t="s">
        <v>34768</v>
      </c>
      <c t="s">
        <v>6529</v>
      </c>
      <c t="s">
        <v>37236</v>
      </c>
      <c t="s">
        <v>25216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2162" s="1" t="str">
        <f ca="1">HYPERLINK("https://web.datatree.com/?/property?propertyId=32775101", "https://web.datatree.com/?/property?propertyId=32775101")</f>
        <v>https://web.datatree.com/?/property?propertyId=32775101</v>
      </c>
      <c r="Q2162" t="s">
        <v>316</v>
      </c>
      <c>
        <v>0.241</v>
      </c>
      <c t="s">
        <v>6175</v>
      </c>
      <c t="s">
        <v>56333</v>
      </c>
      <c t="s">
        <v>50123</v>
      </c>
      <c t="s">
        <v>22788</v>
      </c>
      <c t="s">
        <v>50123</v>
      </c>
      <c t="s">
        <v>12641</v>
      </c>
      <c t="s">
        <v>50440</v>
      </c>
      <c t="s">
        <v>2517</v>
      </c>
      <c t="s">
        <v>39289</v>
      </c>
      <c>
        <v>33909</v>
      </c>
      <c>
        <v>33909</v>
      </c>
      <c t="s">
        <v>48794</v>
      </c>
      <c t="s">
        <v>37797</v>
      </c>
      <c>
        <v>376</v>
      </c>
      <c r="AI2162" t="s">
        <v>51195</v>
      </c>
      <c t="s">
        <v>31192</v>
      </c>
      <c r="AL2162" t="s">
        <v>26641</v>
      </c>
      <c r="AN2162" t="s">
        <v>39289</v>
      </c>
      <c t="s">
        <v>25664</v>
      </c>
      <c t="s">
        <v>4797</v>
      </c>
      <c t="s">
        <v>3093</v>
      </c>
      <c t="s">
        <v>41180</v>
      </c>
    </row>
    <row>
      <c t="s">
        <v>17594</v>
      </c>
      <c t="s">
        <v>4981</v>
      </c>
      <c t="s">
        <v>37620</v>
      </c>
      <c t="s">
        <v>25943</v>
      </c>
      <c t="s">
        <v>544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2163" s="1" t="str">
        <f ca="1">HYPERLINK("https://web.datatree.com/?/property?propertyId=32775204", "https://web.datatree.com/?/property?propertyId=32775204")</f>
        <v>https://web.datatree.com/?/property?propertyId=32775204</v>
      </c>
      <c r="Q2163" t="s">
        <v>316</v>
      </c>
      <c>
        <v>0.232</v>
      </c>
      <c t="s">
        <v>5471</v>
      </c>
      <c t="s">
        <v>22946</v>
      </c>
      <c t="s">
        <v>8106</v>
      </c>
      <c t="s">
        <v>51891</v>
      </c>
      <c t="s">
        <v>64656</v>
      </c>
      <c t="s">
        <v>60503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53882</v>
      </c>
      <c>
        <v>1407</v>
      </c>
      <c r="AI2163" t="s">
        <v>27056</v>
      </c>
      <c t="s">
        <v>45393</v>
      </c>
      <c r="AL2163" t="s">
        <v>23127</v>
      </c>
      <c r="AN2163" t="s">
        <v>10909</v>
      </c>
      <c t="s">
        <v>32855</v>
      </c>
      <c r="AQ2163" t="s">
        <v>27814</v>
      </c>
      <c t="s">
        <v>43734</v>
      </c>
    </row>
    <row>
      <c t="s">
        <v>17594</v>
      </c>
      <c t="s">
        <v>31624</v>
      </c>
      <c t="s">
        <v>14758</v>
      </c>
      <c t="s">
        <v>40445</v>
      </c>
      <c t="s">
        <v>37071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164" s="1" t="str">
        <f ca="1">HYPERLINK("https://web.datatree.com/?/property?propertyId=32775647", "https://web.datatree.com/?/property?propertyId=32775647")</f>
        <v>https://web.datatree.com/?/property?propertyId=32775647</v>
      </c>
      <c r="Q2164" t="s">
        <v>316</v>
      </c>
      <c>
        <v>0.23</v>
      </c>
      <c t="s">
        <v>22490</v>
      </c>
      <c t="s">
        <v>1129</v>
      </c>
      <c t="s">
        <v>57715</v>
      </c>
      <c t="s">
        <v>1125</v>
      </c>
      <c r="X2164" t="s">
        <v>13359</v>
      </c>
      <c t="s">
        <v>2626</v>
      </c>
      <c t="s">
        <v>2517</v>
      </c>
      <c t="s">
        <v>39289</v>
      </c>
      <c>
        <v>33909</v>
      </c>
      <c t="s">
        <v>62247</v>
      </c>
      <c t="s">
        <v>48794</v>
      </c>
      <c t="s">
        <v>33236</v>
      </c>
      <c>
        <v>1400</v>
      </c>
      <c r="AI2164" t="s">
        <v>64265</v>
      </c>
      <c t="s">
        <v>24900</v>
      </c>
      <c>
        <v>42</v>
      </c>
      <c t="s">
        <v>53029</v>
      </c>
      <c t="s">
        <v>53029</v>
      </c>
      <c t="s">
        <v>39289</v>
      </c>
      <c t="s">
        <v>23761</v>
      </c>
      <c t="s">
        <v>4797</v>
      </c>
      <c t="s">
        <v>3093</v>
      </c>
      <c t="s">
        <v>36345</v>
      </c>
    </row>
    <row>
      <c t="s">
        <v>17594</v>
      </c>
      <c t="s">
        <v>19772</v>
      </c>
      <c t="s">
        <v>23806</v>
      </c>
      <c t="s">
        <v>53842</v>
      </c>
      <c t="s">
        <v>24371</v>
      </c>
      <c s="3">
        <v>8505</v>
      </c>
      <c s="3">
        <v>8505</v>
      </c>
      <c s="3">
        <v>8505</v>
      </c>
      <c>
        <v>0</v>
      </c>
      <c s="3">
        <v>0</v>
      </c>
      <c s="3">
        <v>734.82</v>
      </c>
      <c s="3">
        <v>8505</v>
      </c>
      <c r="O2165" s="1" t="str">
        <f ca="1">HYPERLINK("https://web.datatree.com/?/property?propertyId=32775967", "https://web.datatree.com/?/property?propertyId=32775967")</f>
        <v>https://web.datatree.com/?/property?propertyId=32775967</v>
      </c>
      <c r="Q2165" t="s">
        <v>316</v>
      </c>
      <c>
        <v>0.425</v>
      </c>
      <c t="s">
        <v>6175</v>
      </c>
      <c t="s">
        <v>33813</v>
      </c>
      <c t="s">
        <v>66715</v>
      </c>
      <c r="X2165" t="s">
        <v>20843</v>
      </c>
      <c t="s">
        <v>10653</v>
      </c>
      <c t="s">
        <v>2517</v>
      </c>
      <c t="s">
        <v>39289</v>
      </c>
      <c>
        <v>33909</v>
      </c>
      <c t="s">
        <v>4507</v>
      </c>
      <c t="s">
        <v>48794</v>
      </c>
      <c t="s">
        <v>34213</v>
      </c>
      <c>
        <v>20</v>
      </c>
      <c r="AI2165" t="s">
        <v>48890</v>
      </c>
      <c r="AL2165" t="s">
        <v>1193</v>
      </c>
      <c r="AN2165" t="s">
        <v>63985</v>
      </c>
      <c>
        <v>53797</v>
      </c>
      <c r="AR2165" t="s">
        <v>35862</v>
      </c>
    </row>
    <row>
      <c t="s">
        <v>17594</v>
      </c>
      <c t="s">
        <v>46378</v>
      </c>
      <c t="s">
        <v>31165</v>
      </c>
      <c t="s">
        <v>62771</v>
      </c>
      <c t="s">
        <v>35758</v>
      </c>
      <c s="3">
        <v>8395</v>
      </c>
      <c s="3">
        <v>8395</v>
      </c>
      <c s="3">
        <v>8395</v>
      </c>
      <c>
        <v>0</v>
      </c>
      <c s="3">
        <v>0</v>
      </c>
      <c s="3">
        <v>640.79</v>
      </c>
      <c s="3">
        <v>8395</v>
      </c>
      <c r="O2166" s="1" t="str">
        <f ca="1">HYPERLINK("https://web.datatree.com/?/property?propertyId=32776072", "https://web.datatree.com/?/property?propertyId=32776072")</f>
        <v>https://web.datatree.com/?/property?propertyId=32776072</v>
      </c>
      <c r="Q2166" t="s">
        <v>316</v>
      </c>
      <c>
        <v>0.282</v>
      </c>
      <c t="s">
        <v>22490</v>
      </c>
      <c t="s">
        <v>64201</v>
      </c>
      <c t="s">
        <v>12180</v>
      </c>
      <c r="X2166" t="s">
        <v>30649</v>
      </c>
      <c t="s">
        <v>47150</v>
      </c>
      <c t="s">
        <v>2517</v>
      </c>
      <c t="s">
        <v>39289</v>
      </c>
      <c>
        <v>33909</v>
      </c>
      <c t="s">
        <v>40453</v>
      </c>
      <c t="s">
        <v>48794</v>
      </c>
      <c t="s">
        <v>32637</v>
      </c>
      <c>
        <v>13691</v>
      </c>
      <c r="AI2166" t="s">
        <v>64121</v>
      </c>
      <c t="s">
        <v>24900</v>
      </c>
      <c>
        <v>508</v>
      </c>
      <c t="s">
        <v>62976</v>
      </c>
      <c t="s">
        <v>22539</v>
      </c>
      <c t="s">
        <v>65451</v>
      </c>
      <c t="s">
        <v>25832</v>
      </c>
      <c t="s">
        <v>22302</v>
      </c>
      <c t="s">
        <v>3093</v>
      </c>
      <c t="s">
        <v>5963</v>
      </c>
    </row>
    <row>
      <c t="s">
        <v>17594</v>
      </c>
      <c t="s">
        <v>28235</v>
      </c>
      <c t="s">
        <v>45548</v>
      </c>
      <c t="s">
        <v>33313</v>
      </c>
      <c t="s">
        <v>32475</v>
      </c>
      <c s="3">
        <v>32426</v>
      </c>
      <c s="3">
        <v>32426</v>
      </c>
      <c s="3">
        <v>32426</v>
      </c>
      <c>
        <v>0</v>
      </c>
      <c s="3">
        <v>0</v>
      </c>
      <c s="3">
        <v>444.96</v>
      </c>
      <c s="3">
        <v>32426</v>
      </c>
      <c r="O2167" s="1" t="str">
        <f ca="1">HYPERLINK("https://web.datatree.com/?/property?propertyId=32776351", "https://web.datatree.com/?/property?propertyId=32776351")</f>
        <v>https://web.datatree.com/?/property?propertyId=32776351</v>
      </c>
      <c r="Q2167" t="s">
        <v>316</v>
      </c>
      <c>
        <v>0.19</v>
      </c>
      <c t="s">
        <v>37489</v>
      </c>
      <c t="s">
        <v>40487</v>
      </c>
      <c t="s">
        <v>12232</v>
      </c>
      <c r="X2167" t="s">
        <v>48711</v>
      </c>
      <c t="s">
        <v>40437</v>
      </c>
      <c t="s">
        <v>65059</v>
      </c>
      <c t="s">
        <v>39289</v>
      </c>
      <c>
        <v>33908</v>
      </c>
      <c t="s">
        <v>21034</v>
      </c>
      <c t="s">
        <v>48794</v>
      </c>
      <c t="s">
        <v>29703</v>
      </c>
      <c>
        <v>3336</v>
      </c>
      <c r="AI2167" t="s">
        <v>54473</v>
      </c>
      <c t="s">
        <v>24900</v>
      </c>
      <c r="AL2167" t="s">
        <v>46931</v>
      </c>
      <c t="s">
        <v>46931</v>
      </c>
      <c t="s">
        <v>19878</v>
      </c>
      <c t="s">
        <v>57811</v>
      </c>
      <c t="s">
        <v>32895</v>
      </c>
      <c t="s">
        <v>3093</v>
      </c>
      <c t="s">
        <v>46514</v>
      </c>
    </row>
    <row>
      <c t="s">
        <v>17594</v>
      </c>
      <c t="s">
        <v>50575</v>
      </c>
      <c s="7" t="s">
        <v>38482</v>
      </c>
      <c t="s">
        <v>8883</v>
      </c>
      <c t="s">
        <v>33653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2168" s="1" t="str">
        <f ca="1">HYPERLINK("https://web.datatree.com/?/property?propertyId=32776833", "https://web.datatree.com/?/property?propertyId=32776833")</f>
        <v>https://web.datatree.com/?/property?propertyId=32776833</v>
      </c>
      <c r="Q2168" t="s">
        <v>316</v>
      </c>
      <c>
        <v>0.23</v>
      </c>
      <c t="s">
        <v>22490</v>
      </c>
      <c t="s">
        <v>19357</v>
      </c>
      <c t="s">
        <v>31148</v>
      </c>
      <c r="X2168" t="s">
        <v>10680</v>
      </c>
      <c t="s">
        <v>52171</v>
      </c>
      <c t="s">
        <v>2517</v>
      </c>
      <c t="s">
        <v>39289</v>
      </c>
      <c>
        <v>33909</v>
      </c>
      <c t="s">
        <v>24609</v>
      </c>
      <c t="s">
        <v>48794</v>
      </c>
      <c t="s">
        <v>54179</v>
      </c>
      <c>
        <v>11</v>
      </c>
      <c r="AI2168" t="s">
        <v>50902</v>
      </c>
      <c t="s">
        <v>31192</v>
      </c>
      <c r="AL2168" t="s">
        <v>29196</v>
      </c>
      <c r="AN2168" t="s">
        <v>27747</v>
      </c>
      <c t="s">
        <v>27908</v>
      </c>
      <c t="s">
        <v>42082</v>
      </c>
      <c t="s">
        <v>3093</v>
      </c>
      <c s="7" t="s">
        <v>52985</v>
      </c>
    </row>
    <row>
      <c t="s">
        <v>17594</v>
      </c>
      <c t="s">
        <v>18304</v>
      </c>
      <c t="s">
        <v>65848</v>
      </c>
      <c t="s">
        <v>39780</v>
      </c>
      <c t="s">
        <v>23267</v>
      </c>
      <c s="3">
        <v>7700</v>
      </c>
      <c s="3">
        <v>7700</v>
      </c>
      <c s="3">
        <v>7700</v>
      </c>
      <c>
        <v>0</v>
      </c>
      <c s="3">
        <v>0</v>
      </c>
      <c s="3">
        <v>600.59</v>
      </c>
      <c s="3">
        <v>7700</v>
      </c>
      <c r="O2169" s="1" t="str">
        <f ca="1">HYPERLINK("https://web.datatree.com/?/property?propertyId=32777150", "https://web.datatree.com/?/property?propertyId=32777150")</f>
        <v>https://web.datatree.com/?/property?propertyId=32777150</v>
      </c>
      <c r="Q2169" t="s">
        <v>316</v>
      </c>
      <c>
        <v>0.287</v>
      </c>
      <c t="s">
        <v>6175</v>
      </c>
      <c t="s">
        <v>62518</v>
      </c>
      <c t="s">
        <v>62157</v>
      </c>
      <c r="X2169" t="s">
        <v>10679</v>
      </c>
      <c t="s">
        <v>29190</v>
      </c>
      <c t="s">
        <v>2517</v>
      </c>
      <c t="s">
        <v>39289</v>
      </c>
      <c>
        <v>33909</v>
      </c>
      <c t="s">
        <v>10534</v>
      </c>
      <c t="s">
        <v>48794</v>
      </c>
      <c t="s">
        <v>58090</v>
      </c>
      <c>
        <v>1309</v>
      </c>
      <c r="AI2169" t="s">
        <v>62504</v>
      </c>
      <c t="s">
        <v>56275</v>
      </c>
      <c r="AL2169" t="s">
        <v>38084</v>
      </c>
      <c t="s">
        <v>38084</v>
      </c>
      <c t="s">
        <v>65467</v>
      </c>
      <c t="s">
        <v>45576</v>
      </c>
      <c t="s">
        <v>50779</v>
      </c>
      <c t="s">
        <v>3093</v>
      </c>
      <c t="s">
        <v>15926</v>
      </c>
    </row>
    <row>
      <c t="s">
        <v>17594</v>
      </c>
      <c t="s">
        <v>34628</v>
      </c>
      <c t="s">
        <v>13951</v>
      </c>
      <c t="s">
        <v>41916</v>
      </c>
      <c t="s">
        <v>41908</v>
      </c>
      <c s="3">
        <v>30279</v>
      </c>
      <c s="3">
        <v>28860</v>
      </c>
      <c s="3">
        <v>30161</v>
      </c>
      <c>
        <v>0</v>
      </c>
      <c s="3">
        <v>0</v>
      </c>
      <c s="3">
        <v>419.4</v>
      </c>
      <c s="3">
        <v>30279</v>
      </c>
      <c r="O2170" s="1" t="str">
        <f ca="1">HYPERLINK("https://web.datatree.com/?/property?propertyId=32777426", "https://web.datatree.com/?/property?propertyId=32777426")</f>
        <v>https://web.datatree.com/?/property?propertyId=32777426</v>
      </c>
      <c r="Q2170" t="s">
        <v>316</v>
      </c>
      <c>
        <v>0.049</v>
      </c>
      <c t="s">
        <v>54329</v>
      </c>
      <c t="s">
        <v>10361</v>
      </c>
      <c t="s">
        <v>36452</v>
      </c>
      <c t="s">
        <v>65261</v>
      </c>
      <c t="s">
        <v>36452</v>
      </c>
      <c t="s">
        <v>14047</v>
      </c>
      <c t="s">
        <v>22654</v>
      </c>
      <c t="s">
        <v>65059</v>
      </c>
      <c t="s">
        <v>39289</v>
      </c>
      <c>
        <v>33908</v>
      </c>
      <c t="s">
        <v>47989</v>
      </c>
      <c t="s">
        <v>48794</v>
      </c>
      <c t="s">
        <v>3675</v>
      </c>
      <c>
        <v>1373</v>
      </c>
      <c r="AH2170" t="s">
        <v>26580</v>
      </c>
      <c>
        <v>850</v>
      </c>
      <c r="AL2170" t="s">
        <v>11464</v>
      </c>
      <c t="s">
        <v>53482</v>
      </c>
      <c t="s">
        <v>49572</v>
      </c>
      <c t="s">
        <v>23767</v>
      </c>
      <c t="s">
        <v>44428</v>
      </c>
      <c t="s">
        <v>3093</v>
      </c>
      <c t="s">
        <v>17293</v>
      </c>
    </row>
    <row>
      <c t="s">
        <v>17594</v>
      </c>
      <c t="s">
        <v>32129</v>
      </c>
      <c t="s">
        <v>15836</v>
      </c>
      <c t="s">
        <v>3478</v>
      </c>
      <c t="s">
        <v>2205</v>
      </c>
      <c s="3">
        <v>100518</v>
      </c>
      <c s="3">
        <v>86250</v>
      </c>
      <c s="3">
        <v>87661</v>
      </c>
      <c>
        <v>0</v>
      </c>
      <c s="3">
        <v>0</v>
      </c>
      <c s="3">
        <v>1388.75</v>
      </c>
      <c s="3">
        <v>100518</v>
      </c>
      <c r="O2171" s="1" t="str">
        <f ca="1">HYPERLINK("https://web.datatree.com/?/property?propertyId=32777715", "https://web.datatree.com/?/property?propertyId=32777715")</f>
        <v>https://web.datatree.com/?/property?propertyId=32777715</v>
      </c>
      <c r="Q2171" t="s">
        <v>316</v>
      </c>
      <c>
        <v>0.117</v>
      </c>
      <c t="s">
        <v>26492</v>
      </c>
      <c t="s">
        <v>44541</v>
      </c>
      <c t="s">
        <v>12532</v>
      </c>
      <c t="s">
        <v>23659</v>
      </c>
      <c t="s">
        <v>12532</v>
      </c>
      <c t="s">
        <v>5133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64033</v>
      </c>
      <c>
        <v>1600</v>
      </c>
      <c r="AI2171" t="s">
        <v>3681</v>
      </c>
      <c t="s">
        <v>24900</v>
      </c>
      <c r="AL2171" t="s">
        <v>60261</v>
      </c>
      <c t="s">
        <v>60261</v>
      </c>
      <c t="s">
        <v>65467</v>
      </c>
      <c t="s">
        <v>693</v>
      </c>
      <c t="s">
        <v>26242</v>
      </c>
      <c t="s">
        <v>3093</v>
      </c>
      <c t="s">
        <v>50620</v>
      </c>
    </row>
    <row>
      <c t="s">
        <v>17594</v>
      </c>
      <c t="s">
        <v>47745</v>
      </c>
      <c t="s">
        <v>21592</v>
      </c>
      <c t="s">
        <v>60408</v>
      </c>
      <c t="s">
        <v>6953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172" s="1" t="str">
        <f ca="1">HYPERLINK("https://web.datatree.com/?/property?propertyId=32778179", "https://web.datatree.com/?/property?propertyId=32778179")</f>
        <v>https://web.datatree.com/?/property?propertyId=32778179</v>
      </c>
      <c r="Q2172" t="s">
        <v>316</v>
      </c>
      <c>
        <v>0.23</v>
      </c>
      <c t="s">
        <v>22490</v>
      </c>
      <c r="U2172" t="s">
        <v>43394</v>
      </c>
      <c r="W2172" t="s">
        <v>6581</v>
      </c>
      <c t="s">
        <v>38147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14745</v>
      </c>
      <c>
        <v>28</v>
      </c>
      <c r="AI2172" t="s">
        <v>19891</v>
      </c>
      <c t="s">
        <v>31192</v>
      </c>
      <c r="AL2172" t="s">
        <v>64263</v>
      </c>
      <c r="AN2172" t="s">
        <v>27747</v>
      </c>
      <c t="s">
        <v>56754</v>
      </c>
      <c t="s">
        <v>14695</v>
      </c>
      <c t="s">
        <v>3093</v>
      </c>
      <c t="s">
        <v>11441</v>
      </c>
    </row>
    <row>
      <c t="s">
        <v>17594</v>
      </c>
      <c t="s">
        <v>26856</v>
      </c>
      <c t="s">
        <v>63241</v>
      </c>
      <c t="s">
        <v>17321</v>
      </c>
      <c t="s">
        <v>52554</v>
      </c>
      <c s="3">
        <v>22874</v>
      </c>
      <c s="3">
        <v>22874</v>
      </c>
      <c s="3">
        <v>9433</v>
      </c>
      <c>
        <v>0</v>
      </c>
      <c s="3">
        <v>0</v>
      </c>
      <c s="3">
        <v>413.07</v>
      </c>
      <c s="3">
        <v>22874</v>
      </c>
      <c r="O2173" s="1" t="str">
        <f ca="1">HYPERLINK("https://web.datatree.com/?/property?propertyId=32778556", "https://web.datatree.com/?/property?propertyId=32778556")</f>
        <v>https://web.datatree.com/?/property?propertyId=32778556</v>
      </c>
      <c r="Q2173" t="s">
        <v>316</v>
      </c>
      <c>
        <v>0.233</v>
      </c>
      <c t="s">
        <v>5471</v>
      </c>
      <c t="s">
        <v>48389</v>
      </c>
      <c t="s">
        <v>61419</v>
      </c>
      <c r="X2173" t="s">
        <v>54180</v>
      </c>
      <c t="s">
        <v>12246</v>
      </c>
      <c t="s">
        <v>65059</v>
      </c>
      <c t="s">
        <v>39289</v>
      </c>
      <c>
        <v>33905</v>
      </c>
      <c t="s">
        <v>56830</v>
      </c>
      <c t="s">
        <v>48794</v>
      </c>
      <c t="s">
        <v>37800</v>
      </c>
      <c>
        <v>14442</v>
      </c>
      <c r="AI2173" t="s">
        <v>8519</v>
      </c>
      <c t="s">
        <v>45620</v>
      </c>
      <c r="AL2173" t="s">
        <v>1121</v>
      </c>
      <c r="AN2173" t="s">
        <v>39289</v>
      </c>
      <c t="s">
        <v>22165</v>
      </c>
      <c t="s">
        <v>24994</v>
      </c>
      <c t="s">
        <v>3093</v>
      </c>
      <c t="s">
        <v>5686</v>
      </c>
    </row>
    <row>
      <c t="s">
        <v>42103</v>
      </c>
      <c t="s">
        <v>5106</v>
      </c>
      <c t="s">
        <v>4974</v>
      </c>
      <c t="s">
        <v>14018</v>
      </c>
      <c t="s">
        <v>21113</v>
      </c>
      <c s="3">
        <v>51624</v>
      </c>
      <c s="3">
        <v>51624</v>
      </c>
      <c s="3">
        <v>26400</v>
      </c>
      <c>
        <v>0</v>
      </c>
      <c s="3">
        <v>0</v>
      </c>
      <c s="3">
        <v>957.25</v>
      </c>
      <c s="3">
        <v>51624</v>
      </c>
      <c r="O2174" s="1" t="str">
        <f ca="1">HYPERLINK("https://web.datatree.com/?/property?propertyId=32779215", "https://web.datatree.com/?/property?propertyId=32779215")</f>
        <v>https://web.datatree.com/?/property?propertyId=32779215</v>
      </c>
      <c r="Q2174" t="s">
        <v>316</v>
      </c>
      <c>
        <v>0.264</v>
      </c>
      <c t="s">
        <v>22490</v>
      </c>
      <c t="s">
        <v>57655</v>
      </c>
      <c t="s">
        <v>37977</v>
      </c>
      <c r="X2174" t="s">
        <v>65367</v>
      </c>
      <c t="s">
        <v>47150</v>
      </c>
      <c t="s">
        <v>2517</v>
      </c>
      <c t="s">
        <v>39289</v>
      </c>
      <c>
        <v>33909</v>
      </c>
      <c t="s">
        <v>9954</v>
      </c>
      <c t="s">
        <v>48794</v>
      </c>
      <c t="s">
        <v>65196</v>
      </c>
      <c r="AI2174" t="s">
        <v>64252</v>
      </c>
      <c r="AN2174" t="s">
        <v>19878</v>
      </c>
      <c>
        <v>60836</v>
      </c>
      <c r="AR2174" t="s">
        <v>9639</v>
      </c>
    </row>
    <row>
      <c t="s">
        <v>17594</v>
      </c>
      <c t="s">
        <v>57378</v>
      </c>
      <c t="s">
        <v>41242</v>
      </c>
      <c t="s">
        <v>18045</v>
      </c>
      <c t="s">
        <v>12212</v>
      </c>
      <c s="3">
        <v>40660</v>
      </c>
      <c s="3">
        <v>38839</v>
      </c>
      <c s="3">
        <v>40660</v>
      </c>
      <c>
        <v>0</v>
      </c>
      <c s="3">
        <v>0</v>
      </c>
      <c s="3">
        <v>562.8</v>
      </c>
      <c s="3">
        <v>40660</v>
      </c>
      <c r="O2175" s="1" t="str">
        <f ca="1">HYPERLINK("https://web.datatree.com/?/property?propertyId=32779657", "https://web.datatree.com/?/property?propertyId=32779657")</f>
        <v>https://web.datatree.com/?/property?propertyId=32779657</v>
      </c>
      <c r="Q2175" t="s">
        <v>316</v>
      </c>
      <c>
        <v>0.051</v>
      </c>
      <c t="s">
        <v>54329</v>
      </c>
      <c t="s">
        <v>38895</v>
      </c>
      <c t="s">
        <v>34829</v>
      </c>
      <c t="s">
        <v>18053</v>
      </c>
      <c t="s">
        <v>34829</v>
      </c>
      <c t="s">
        <v>40765</v>
      </c>
      <c t="s">
        <v>45355</v>
      </c>
      <c t="s">
        <v>65059</v>
      </c>
      <c t="s">
        <v>39289</v>
      </c>
      <c>
        <v>33908</v>
      </c>
      <c>
        <v>33908</v>
      </c>
      <c t="s">
        <v>48794</v>
      </c>
      <c t="s">
        <v>20830</v>
      </c>
      <c>
        <v>766</v>
      </c>
      <c r="AI2175" t="s">
        <v>29031</v>
      </c>
      <c t="s">
        <v>45620</v>
      </c>
      <c r="AL2175" t="s">
        <v>21142</v>
      </c>
      <c r="AN2175" t="s">
        <v>17134</v>
      </c>
      <c t="s">
        <v>9280</v>
      </c>
      <c t="s">
        <v>29069</v>
      </c>
      <c t="s">
        <v>3093</v>
      </c>
      <c t="s">
        <v>67161</v>
      </c>
    </row>
    <row>
      <c t="s">
        <v>17594</v>
      </c>
      <c t="s">
        <v>49029</v>
      </c>
      <c t="s">
        <v>54975</v>
      </c>
      <c t="s">
        <v>61368</v>
      </c>
      <c t="s">
        <v>48359</v>
      </c>
      <c s="3">
        <v>20312</v>
      </c>
      <c s="3">
        <v>20312</v>
      </c>
      <c s="3">
        <v>9240</v>
      </c>
      <c>
        <v>0</v>
      </c>
      <c s="3">
        <v>0</v>
      </c>
      <c s="3">
        <v>584.18</v>
      </c>
      <c s="3">
        <v>20312</v>
      </c>
      <c r="O2176" s="1" t="str">
        <f ca="1">HYPERLINK("https://web.datatree.com/?/property?propertyId=32779746", "https://web.datatree.com/?/property?propertyId=32779746")</f>
        <v>https://web.datatree.com/?/property?propertyId=32779746</v>
      </c>
      <c r="Q2176" t="s">
        <v>316</v>
      </c>
      <c>
        <v>0.241</v>
      </c>
      <c t="s">
        <v>22490</v>
      </c>
      <c t="s">
        <v>56498</v>
      </c>
      <c t="s">
        <v>30779</v>
      </c>
      <c r="X2176" t="s">
        <v>32554</v>
      </c>
      <c t="s">
        <v>53675</v>
      </c>
      <c t="s">
        <v>2517</v>
      </c>
      <c t="s">
        <v>39289</v>
      </c>
      <c>
        <v>33909</v>
      </c>
      <c t="s">
        <v>3381</v>
      </c>
      <c t="s">
        <v>48794</v>
      </c>
      <c t="s">
        <v>41929</v>
      </c>
      <c>
        <v>569</v>
      </c>
      <c r="AI2176" t="s">
        <v>14254</v>
      </c>
      <c t="s">
        <v>24900</v>
      </c>
      <c r="AL2176" t="s">
        <v>43624</v>
      </c>
      <c r="AN2176" t="s">
        <v>50917</v>
      </c>
      <c t="s">
        <v>28312</v>
      </c>
      <c t="s">
        <v>61719</v>
      </c>
      <c t="s">
        <v>3093</v>
      </c>
      <c t="s">
        <v>66112</v>
      </c>
    </row>
    <row>
      <c t="s">
        <v>17594</v>
      </c>
      <c t="s">
        <v>4117</v>
      </c>
      <c t="s">
        <v>46900</v>
      </c>
      <c t="s">
        <v>27148</v>
      </c>
      <c t="s">
        <v>11626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2177" s="1" t="str">
        <f ca="1">HYPERLINK("https://web.datatree.com/?/property?propertyId=32780072", "https://web.datatree.com/?/property?propertyId=32780072")</f>
        <v>https://web.datatree.com/?/property?propertyId=32780072</v>
      </c>
      <c r="Q2177" t="s">
        <v>316</v>
      </c>
      <c>
        <v>0.255</v>
      </c>
      <c t="s">
        <v>6175</v>
      </c>
      <c t="s">
        <v>2140</v>
      </c>
      <c t="s">
        <v>36452</v>
      </c>
      <c t="s">
        <v>6161</v>
      </c>
      <c t="s">
        <v>36452</v>
      </c>
      <c t="s">
        <v>15939</v>
      </c>
      <c t="s">
        <v>25017</v>
      </c>
      <c t="s">
        <v>2517</v>
      </c>
      <c t="s">
        <v>39289</v>
      </c>
      <c>
        <v>33909</v>
      </c>
      <c t="s">
        <v>65512</v>
      </c>
      <c t="s">
        <v>48794</v>
      </c>
      <c t="s">
        <v>60463</v>
      </c>
      <c>
        <v>12</v>
      </c>
      <c r="AI2177" t="s">
        <v>62456</v>
      </c>
      <c t="s">
        <v>31192</v>
      </c>
      <c r="AL2177" t="s">
        <v>43162</v>
      </c>
      <c r="AN2177" t="s">
        <v>50917</v>
      </c>
      <c t="s">
        <v>15879</v>
      </c>
      <c t="s">
        <v>53800</v>
      </c>
      <c t="s">
        <v>3093</v>
      </c>
      <c t="s">
        <v>14466</v>
      </c>
    </row>
    <row>
      <c t="s">
        <v>17594</v>
      </c>
      <c t="s">
        <v>34021</v>
      </c>
      <c t="s">
        <v>40495</v>
      </c>
      <c t="s">
        <v>33593</v>
      </c>
      <c t="s">
        <v>43976</v>
      </c>
      <c s="3">
        <v>95509</v>
      </c>
      <c s="3">
        <v>86250</v>
      </c>
      <c s="3">
        <v>81325</v>
      </c>
      <c>
        <v>0</v>
      </c>
      <c s="3">
        <v>0</v>
      </c>
      <c s="3">
        <v>1301.28</v>
      </c>
      <c s="3">
        <v>95509</v>
      </c>
      <c r="O2178" s="1" t="str">
        <f ca="1">HYPERLINK("https://web.datatree.com/?/property?propertyId=32781041", "https://web.datatree.com/?/property?propertyId=32781041")</f>
        <v>https://web.datatree.com/?/property?propertyId=32781041</v>
      </c>
      <c r="Q2178" t="s">
        <v>316</v>
      </c>
      <c>
        <v>0.095</v>
      </c>
      <c t="s">
        <v>26492</v>
      </c>
      <c t="s">
        <v>58113</v>
      </c>
      <c t="s">
        <v>38334</v>
      </c>
      <c r="X2178" t="s">
        <v>566</v>
      </c>
      <c t="s">
        <v>43388</v>
      </c>
      <c t="s">
        <v>65059</v>
      </c>
      <c t="s">
        <v>39289</v>
      </c>
      <c>
        <v>33905</v>
      </c>
      <c>
        <v>33905</v>
      </c>
      <c t="s">
        <v>48794</v>
      </c>
      <c t="s">
        <v>21869</v>
      </c>
      <c>
        <v>51</v>
      </c>
      <c r="AI2178" t="s">
        <v>9180</v>
      </c>
      <c t="s">
        <v>45620</v>
      </c>
      <c r="AL2178" t="s">
        <v>54021</v>
      </c>
      <c t="s">
        <v>40227</v>
      </c>
      <c t="s">
        <v>58733</v>
      </c>
      <c t="s">
        <v>28271</v>
      </c>
      <c t="s">
        <v>27515</v>
      </c>
      <c t="s">
        <v>3093</v>
      </c>
      <c t="s">
        <v>44393</v>
      </c>
      <c>
        <v>2005</v>
      </c>
    </row>
    <row>
      <c t="s">
        <v>17594</v>
      </c>
      <c t="s">
        <v>33479</v>
      </c>
      <c t="s">
        <v>14064</v>
      </c>
      <c t="s">
        <v>24353</v>
      </c>
      <c t="s">
        <v>10608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2179" s="1" t="str">
        <f ca="1">HYPERLINK("https://web.datatree.com/?/property?propertyId=32781049", "https://web.datatree.com/?/property?propertyId=32781049")</f>
        <v>https://web.datatree.com/?/property?propertyId=32781049</v>
      </c>
      <c r="Q2179" t="s">
        <v>316</v>
      </c>
      <c>
        <v>0.23</v>
      </c>
      <c t="s">
        <v>6175</v>
      </c>
      <c t="s">
        <v>64649</v>
      </c>
      <c t="s">
        <v>39353</v>
      </c>
      <c r="W2179" t="s">
        <v>49409</v>
      </c>
      <c t="s">
        <v>35185</v>
      </c>
      <c t="s">
        <v>39082</v>
      </c>
      <c t="s">
        <v>2517</v>
      </c>
      <c t="s">
        <v>39289</v>
      </c>
      <c>
        <v>33909</v>
      </c>
      <c t="s">
        <v>34635</v>
      </c>
      <c t="s">
        <v>48794</v>
      </c>
      <c t="s">
        <v>2698</v>
      </c>
      <c>
        <v>1105</v>
      </c>
      <c r="AH2179" t="s">
        <v>26580</v>
      </c>
      <c t="s">
        <v>56489</v>
      </c>
      <c r="AK2179" t="s">
        <v>25384</v>
      </c>
      <c t="s">
        <v>17648</v>
      </c>
      <c r="AN2179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2737</v>
      </c>
      <c t="s">
        <v>15298</v>
      </c>
      <c t="s">
        <v>22411</v>
      </c>
      <c t="s">
        <v>8391</v>
      </c>
      <c s="3">
        <v>19712</v>
      </c>
      <c s="3">
        <v>19712</v>
      </c>
      <c s="3">
        <v>6839</v>
      </c>
      <c>
        <v>0</v>
      </c>
      <c s="3">
        <v>0</v>
      </c>
      <c s="3">
        <v>390.56</v>
      </c>
      <c s="3">
        <v>19712</v>
      </c>
      <c r="O2180" s="1" t="str">
        <f ca="1">HYPERLINK("https://web.datatree.com/?/property?propertyId=32781711", "https://web.datatree.com/?/property?propertyId=32781711")</f>
        <v>https://web.datatree.com/?/property?propertyId=32781711</v>
      </c>
      <c r="Q2180" t="s">
        <v>316</v>
      </c>
      <c>
        <v>0.405</v>
      </c>
      <c t="s">
        <v>37489</v>
      </c>
      <c t="s">
        <v>55786</v>
      </c>
      <c t="s">
        <v>46492</v>
      </c>
      <c t="s">
        <v>44988</v>
      </c>
      <c t="s">
        <v>46492</v>
      </c>
      <c t="s">
        <v>10221</v>
      </c>
      <c t="s">
        <v>18019</v>
      </c>
      <c t="s">
        <v>65059</v>
      </c>
      <c t="s">
        <v>39289</v>
      </c>
      <c>
        <v>33905</v>
      </c>
      <c t="s">
        <v>47111</v>
      </c>
      <c t="s">
        <v>48794</v>
      </c>
      <c t="s">
        <v>49507</v>
      </c>
      <c>
        <v>31</v>
      </c>
      <c r="AI2180" t="s">
        <v>28327</v>
      </c>
      <c t="s">
        <v>24900</v>
      </c>
      <c r="AL2180" t="s">
        <v>60679</v>
      </c>
      <c r="AN2180" t="s">
        <v>40221</v>
      </c>
      <c r="AR2180" t="s">
        <v>36140</v>
      </c>
    </row>
    <row>
      <c t="s">
        <v>17594</v>
      </c>
      <c t="s">
        <v>24248</v>
      </c>
      <c t="s">
        <v>51522</v>
      </c>
      <c t="s">
        <v>37</v>
      </c>
      <c t="s">
        <v>21457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181" s="1" t="str">
        <f ca="1">HYPERLINK("https://web.datatree.com/?/property?propertyId=32781848", "https://web.datatree.com/?/property?propertyId=32781848")</f>
        <v>https://web.datatree.com/?/property?propertyId=32781848</v>
      </c>
      <c r="Q2181" t="s">
        <v>316</v>
      </c>
      <c>
        <v>0.23</v>
      </c>
      <c t="s">
        <v>6175</v>
      </c>
      <c t="s">
        <v>23659</v>
      </c>
      <c t="s">
        <v>21690</v>
      </c>
      <c r="X2181" t="s">
        <v>30418</v>
      </c>
      <c t="s">
        <v>15510</v>
      </c>
      <c t="s">
        <v>2517</v>
      </c>
      <c t="s">
        <v>39289</v>
      </c>
      <c>
        <v>33909</v>
      </c>
      <c t="s">
        <v>2400</v>
      </c>
      <c t="s">
        <v>48794</v>
      </c>
      <c t="s">
        <v>57452</v>
      </c>
      <c>
        <v>2650</v>
      </c>
      <c r="AI2181" t="s">
        <v>58441</v>
      </c>
      <c t="s">
        <v>55842</v>
      </c>
      <c r="AL2181" t="s">
        <v>34722</v>
      </c>
      <c r="AN2181" t="s">
        <v>39289</v>
      </c>
      <c t="s">
        <v>44652</v>
      </c>
      <c t="s">
        <v>44585</v>
      </c>
      <c t="s">
        <v>3093</v>
      </c>
      <c t="s">
        <v>43710</v>
      </c>
    </row>
    <row>
      <c t="s">
        <v>42103</v>
      </c>
      <c t="s">
        <v>13953</v>
      </c>
      <c t="s">
        <v>50756</v>
      </c>
      <c t="s">
        <v>28404</v>
      </c>
      <c t="s">
        <v>50161</v>
      </c>
      <c s="3">
        <v>28210</v>
      </c>
      <c s="3">
        <v>28210</v>
      </c>
      <c s="3">
        <v>9079</v>
      </c>
      <c>
        <v>0</v>
      </c>
      <c s="3">
        <v>0</v>
      </c>
      <c s="3">
        <v>645.78</v>
      </c>
      <c s="3">
        <v>28210</v>
      </c>
      <c r="O2182" s="1" t="str">
        <f ca="1">HYPERLINK("https://web.datatree.com/?/property?propertyId=32781954", "https://web.datatree.com/?/property?propertyId=32781954")</f>
        <v>https://web.datatree.com/?/property?propertyId=32781954</v>
      </c>
      <c r="Q2182" t="s">
        <v>316</v>
      </c>
      <c>
        <v>0.23</v>
      </c>
      <c t="s">
        <v>6175</v>
      </c>
      <c t="s">
        <v>51297</v>
      </c>
      <c t="s">
        <v>13824</v>
      </c>
      <c r="X2182" t="s">
        <v>5710</v>
      </c>
      <c t="s">
        <v>61865</v>
      </c>
      <c t="s">
        <v>2517</v>
      </c>
      <c t="s">
        <v>39289</v>
      </c>
      <c>
        <v>33909</v>
      </c>
      <c t="s">
        <v>49653</v>
      </c>
      <c t="s">
        <v>48794</v>
      </c>
      <c t="s">
        <v>30593</v>
      </c>
      <c r="AI2182" t="s">
        <v>4262</v>
      </c>
      <c r="AL2182" t="s">
        <v>41918</v>
      </c>
      <c r="AN2182" t="s">
        <v>26016</v>
      </c>
      <c>
        <v>7093</v>
      </c>
      <c t="s">
        <v>9590</v>
      </c>
      <c t="s">
        <v>3093</v>
      </c>
      <c t="s">
        <v>9708</v>
      </c>
    </row>
    <row>
      <c t="s">
        <v>17594</v>
      </c>
      <c t="s">
        <v>60216</v>
      </c>
      <c t="s">
        <v>57985</v>
      </c>
      <c t="s">
        <v>20599</v>
      </c>
      <c t="s">
        <v>17807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2183" s="1" t="str">
        <f ca="1">HYPERLINK("https://web.datatree.com/?/property?propertyId=32781963", "https://web.datatree.com/?/property?propertyId=32781963")</f>
        <v>https://web.datatree.com/?/property?propertyId=32781963</v>
      </c>
      <c r="Q2183" t="s">
        <v>316</v>
      </c>
      <c>
        <v>0.23</v>
      </c>
      <c t="s">
        <v>22490</v>
      </c>
      <c r="U2183" t="s">
        <v>39568</v>
      </c>
      <c r="W2183" t="s">
        <v>1431</v>
      </c>
      <c t="s">
        <v>54855</v>
      </c>
      <c t="s">
        <v>15510</v>
      </c>
      <c t="s">
        <v>2517</v>
      </c>
      <c t="s">
        <v>39289</v>
      </c>
      <c>
        <v>33909</v>
      </c>
      <c t="s">
        <v>8780</v>
      </c>
      <c t="s">
        <v>48794</v>
      </c>
      <c t="s">
        <v>46441</v>
      </c>
      <c>
        <v>11321</v>
      </c>
      <c r="AI2183" t="s">
        <v>39522</v>
      </c>
      <c t="s">
        <v>55842</v>
      </c>
      <c r="AL2183" t="s">
        <v>34557</v>
      </c>
      <c r="AN2183" t="s">
        <v>65451</v>
      </c>
      <c t="s">
        <v>47222</v>
      </c>
      <c t="s">
        <v>31626</v>
      </c>
      <c t="s">
        <v>3093</v>
      </c>
      <c t="s">
        <v>21875</v>
      </c>
    </row>
    <row>
      <c t="s">
        <v>17594</v>
      </c>
      <c t="s">
        <v>4029</v>
      </c>
      <c t="s">
        <v>30797</v>
      </c>
      <c t="s">
        <v>2042</v>
      </c>
      <c t="s">
        <v>47429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2184" s="1" t="str">
        <f ca="1">HYPERLINK("https://web.datatree.com/?/property?propertyId=32782145", "https://web.datatree.com/?/property?propertyId=32782145")</f>
        <v>https://web.datatree.com/?/property?propertyId=32782145</v>
      </c>
      <c r="Q2184" t="s">
        <v>316</v>
      </c>
      <c>
        <v>0.23</v>
      </c>
      <c t="s">
        <v>6175</v>
      </c>
      <c t="s">
        <v>2140</v>
      </c>
      <c t="s">
        <v>37541</v>
      </c>
      <c r="X2184" t="s">
        <v>27649</v>
      </c>
      <c t="s">
        <v>50440</v>
      </c>
      <c t="s">
        <v>2517</v>
      </c>
      <c t="s">
        <v>39289</v>
      </c>
      <c>
        <v>33909</v>
      </c>
      <c t="s">
        <v>26261</v>
      </c>
      <c t="s">
        <v>48794</v>
      </c>
      <c t="s">
        <v>40989</v>
      </c>
      <c>
        <v>56</v>
      </c>
      <c r="AI2184" t="s">
        <v>55039</v>
      </c>
      <c t="s">
        <v>31192</v>
      </c>
      <c r="AL2184" t="s">
        <v>2578</v>
      </c>
      <c r="AN2184" t="s">
        <v>64022</v>
      </c>
      <c t="s">
        <v>30339</v>
      </c>
      <c t="s">
        <v>61410</v>
      </c>
      <c t="s">
        <v>3093</v>
      </c>
      <c t="s">
        <v>8307</v>
      </c>
    </row>
    <row>
      <c t="s">
        <v>17594</v>
      </c>
      <c t="s">
        <v>49895</v>
      </c>
      <c t="s">
        <v>16088</v>
      </c>
      <c t="s">
        <v>38727</v>
      </c>
      <c t="s">
        <v>43651</v>
      </c>
      <c s="3">
        <v>20482</v>
      </c>
      <c s="3">
        <v>20482</v>
      </c>
      <c s="3">
        <v>9599</v>
      </c>
      <c>
        <v>0</v>
      </c>
      <c s="3">
        <v>0</v>
      </c>
      <c s="3">
        <v>684.95</v>
      </c>
      <c s="3">
        <v>20482</v>
      </c>
      <c r="O2185" s="1" t="str">
        <f ca="1">HYPERLINK("https://web.datatree.com/?/property?propertyId=32782498", "https://web.datatree.com/?/property?propertyId=32782498")</f>
        <v>https://web.datatree.com/?/property?propertyId=32782498</v>
      </c>
      <c r="Q2185" t="s">
        <v>316</v>
      </c>
      <c>
        <v>0.356</v>
      </c>
      <c t="s">
        <v>6175</v>
      </c>
      <c t="s">
        <v>3293</v>
      </c>
      <c t="s">
        <v>13897</v>
      </c>
      <c t="s">
        <v>63182</v>
      </c>
      <c t="s">
        <v>13897</v>
      </c>
      <c t="s">
        <v>56961</v>
      </c>
      <c t="s">
        <v>23517</v>
      </c>
      <c t="s">
        <v>2517</v>
      </c>
      <c t="s">
        <v>39289</v>
      </c>
      <c>
        <v>33909</v>
      </c>
      <c t="s">
        <v>37760</v>
      </c>
      <c t="s">
        <v>48794</v>
      </c>
      <c t="s">
        <v>18537</v>
      </c>
      <c>
        <v>11</v>
      </c>
      <c r="AI2185" t="s">
        <v>56617</v>
      </c>
      <c t="s">
        <v>45620</v>
      </c>
      <c r="AL2185" t="s">
        <v>29213</v>
      </c>
      <c r="AN2185" t="s">
        <v>14509</v>
      </c>
      <c t="s">
        <v>20224</v>
      </c>
      <c t="s">
        <v>40645</v>
      </c>
      <c t="s">
        <v>3093</v>
      </c>
      <c t="s">
        <v>65048</v>
      </c>
    </row>
    <row>
      <c t="s">
        <v>17594</v>
      </c>
      <c t="s">
        <v>39398</v>
      </c>
      <c t="s">
        <v>51326</v>
      </c>
      <c t="s">
        <v>16484</v>
      </c>
      <c t="s">
        <v>41618</v>
      </c>
      <c s="3">
        <v>28210</v>
      </c>
      <c s="3">
        <v>28210</v>
      </c>
      <c s="3">
        <v>9079</v>
      </c>
      <c>
        <v>0</v>
      </c>
      <c s="3">
        <v>0</v>
      </c>
      <c s="3">
        <v>2910.05</v>
      </c>
      <c s="3">
        <v>28210</v>
      </c>
      <c r="O2186" s="1" t="str">
        <f ca="1">HYPERLINK("https://web.datatree.com/?/property?propertyId=32782806", "https://web.datatree.com/?/property?propertyId=32782806")</f>
        <v>https://web.datatree.com/?/property?propertyId=32782806</v>
      </c>
      <c r="Q2186" t="s">
        <v>316</v>
      </c>
      <c>
        <v>0.23</v>
      </c>
      <c t="s">
        <v>45620</v>
      </c>
      <c t="s">
        <v>33168</v>
      </c>
      <c t="s">
        <v>40709</v>
      </c>
      <c r="X2186" t="s">
        <v>9400</v>
      </c>
      <c t="s">
        <v>2626</v>
      </c>
      <c t="s">
        <v>2517</v>
      </c>
      <c t="s">
        <v>39289</v>
      </c>
      <c>
        <v>33909</v>
      </c>
      <c t="s">
        <v>47790</v>
      </c>
      <c t="s">
        <v>48794</v>
      </c>
      <c t="s">
        <v>42004</v>
      </c>
      <c>
        <v>808</v>
      </c>
      <c r="AI2186" t="s">
        <v>2977</v>
      </c>
      <c t="s">
        <v>55842</v>
      </c>
      <c r="AL2186" t="s">
        <v>18908</v>
      </c>
      <c r="AN2186" t="s">
        <v>58733</v>
      </c>
      <c t="s">
        <v>7279</v>
      </c>
      <c t="s">
        <v>66620</v>
      </c>
      <c t="s">
        <v>3093</v>
      </c>
      <c t="s">
        <v>27964</v>
      </c>
    </row>
    <row>
      <c t="s">
        <v>17594</v>
      </c>
      <c t="s">
        <v>40952</v>
      </c>
      <c t="s">
        <v>5237</v>
      </c>
      <c t="s">
        <v>29054</v>
      </c>
      <c t="s">
        <v>51173</v>
      </c>
      <c s="3">
        <v>8689</v>
      </c>
      <c s="3">
        <v>8689</v>
      </c>
      <c s="3">
        <v>4972</v>
      </c>
      <c>
        <v>0</v>
      </c>
      <c s="3">
        <v>0</v>
      </c>
      <c s="3">
        <v>316.66</v>
      </c>
      <c s="3">
        <v>8689</v>
      </c>
      <c r="O2187" s="1" t="str">
        <f ca="1">HYPERLINK("https://web.datatree.com/?/property?propertyId=32783017", "https://web.datatree.com/?/property?propertyId=32783017")</f>
        <v>https://web.datatree.com/?/property?propertyId=32783017</v>
      </c>
      <c r="Q2187" t="s">
        <v>316</v>
      </c>
      <c>
        <v>0.244</v>
      </c>
      <c t="s">
        <v>5471</v>
      </c>
      <c t="s">
        <v>39139</v>
      </c>
      <c t="s">
        <v>18395</v>
      </c>
      <c r="W2187" t="s">
        <v>32135</v>
      </c>
      <c t="s">
        <v>55632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54984</v>
      </c>
      <c>
        <v>652</v>
      </c>
      <c r="AI2187" t="s">
        <v>66203</v>
      </c>
      <c t="s">
        <v>45393</v>
      </c>
      <c r="AL2187" t="s">
        <v>52912</v>
      </c>
      <c r="AN2187" t="s">
        <v>51087</v>
      </c>
      <c t="s">
        <v>43683</v>
      </c>
      <c t="s">
        <v>31373</v>
      </c>
      <c t="s">
        <v>3093</v>
      </c>
      <c t="s">
        <v>26507</v>
      </c>
    </row>
    <row>
      <c t="s">
        <v>17594</v>
      </c>
      <c t="s">
        <v>323</v>
      </c>
      <c t="s">
        <v>30863</v>
      </c>
      <c t="s">
        <v>28974</v>
      </c>
      <c t="s">
        <v>2185</v>
      </c>
      <c s="3">
        <v>41000</v>
      </c>
      <c s="3">
        <v>41000</v>
      </c>
      <c s="3">
        <v>41000</v>
      </c>
      <c>
        <v>0</v>
      </c>
      <c s="3">
        <v>0</v>
      </c>
      <c s="3">
        <v>1116.55</v>
      </c>
      <c s="3">
        <v>41000</v>
      </c>
      <c r="O2188" s="1" t="str">
        <f ca="1">HYPERLINK("https://web.datatree.com/?/property?propertyId=32783020", "https://web.datatree.com/?/property?propertyId=32783020")</f>
        <v>https://web.datatree.com/?/property?propertyId=32783020</v>
      </c>
      <c r="Q2188" t="s">
        <v>316</v>
      </c>
      <c>
        <v>0.344</v>
      </c>
      <c t="s">
        <v>14479</v>
      </c>
      <c t="s">
        <v>16200</v>
      </c>
      <c t="s">
        <v>27094</v>
      </c>
      <c t="s">
        <v>35812</v>
      </c>
      <c t="s">
        <v>27094</v>
      </c>
      <c t="s">
        <v>52503</v>
      </c>
      <c t="s">
        <v>39082</v>
      </c>
      <c t="s">
        <v>2517</v>
      </c>
      <c t="s">
        <v>39289</v>
      </c>
      <c>
        <v>33909</v>
      </c>
      <c t="s">
        <v>64059</v>
      </c>
      <c t="s">
        <v>48794</v>
      </c>
      <c t="s">
        <v>50844</v>
      </c>
      <c>
        <v>9622</v>
      </c>
      <c r="AI2188" t="s">
        <v>47927</v>
      </c>
      <c t="s">
        <v>31192</v>
      </c>
      <c r="AL2188" t="s">
        <v>28867</v>
      </c>
      <c t="s">
        <v>47683</v>
      </c>
      <c t="s">
        <v>51087</v>
      </c>
      <c t="s">
        <v>46833</v>
      </c>
      <c t="s">
        <v>34171</v>
      </c>
      <c t="s">
        <v>3093</v>
      </c>
      <c t="s">
        <v>39279</v>
      </c>
    </row>
    <row>
      <c t="s">
        <v>17594</v>
      </c>
      <c t="s">
        <v>32472</v>
      </c>
      <c t="s">
        <v>46067</v>
      </c>
      <c t="s">
        <v>25387</v>
      </c>
      <c t="s">
        <v>22693</v>
      </c>
      <c s="3">
        <v>9566</v>
      </c>
      <c s="3">
        <v>9566</v>
      </c>
      <c s="3">
        <v>8798</v>
      </c>
      <c>
        <v>0</v>
      </c>
      <c s="3">
        <v>0</v>
      </c>
      <c s="3">
        <v>144.78</v>
      </c>
      <c s="3">
        <v>9566</v>
      </c>
      <c r="O2189" s="1" t="str">
        <f ca="1">HYPERLINK("https://web.datatree.com/?/property?propertyId=32783035", "https://web.datatree.com/?/property?propertyId=32783035")</f>
        <v>https://web.datatree.com/?/property?propertyId=32783035</v>
      </c>
      <c r="Q2189" t="s">
        <v>316</v>
      </c>
      <c>
        <v>0.112</v>
      </c>
      <c t="s">
        <v>36917</v>
      </c>
      <c t="s">
        <v>16200</v>
      </c>
      <c t="s">
        <v>45340</v>
      </c>
      <c t="s">
        <v>51891</v>
      </c>
      <c t="s">
        <v>51287</v>
      </c>
      <c t="s">
        <v>9048</v>
      </c>
      <c t="s">
        <v>52071</v>
      </c>
      <c t="s">
        <v>54524</v>
      </c>
      <c t="s">
        <v>39289</v>
      </c>
      <c>
        <v>33903</v>
      </c>
      <c t="s">
        <v>7910</v>
      </c>
      <c t="s">
        <v>48794</v>
      </c>
      <c t="s">
        <v>14449</v>
      </c>
      <c>
        <v>5401</v>
      </c>
      <c r="AH2189" t="s">
        <v>15376</v>
      </c>
      <c t="s">
        <v>5115</v>
      </c>
      <c t="s">
        <v>41372</v>
      </c>
      <c r="AL2189" t="s">
        <v>11713</v>
      </c>
      <c t="s">
        <v>21507</v>
      </c>
      <c t="s">
        <v>39289</v>
      </c>
      <c t="s">
        <v>18820</v>
      </c>
      <c t="s">
        <v>14845</v>
      </c>
      <c t="s">
        <v>3093</v>
      </c>
      <c t="s">
        <v>56033</v>
      </c>
    </row>
    <row>
      <c t="s">
        <v>17594</v>
      </c>
      <c t="s">
        <v>28372</v>
      </c>
      <c t="s">
        <v>12052</v>
      </c>
      <c t="s">
        <v>7397</v>
      </c>
      <c t="s">
        <v>4684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2190" s="1" t="str">
        <f ca="1">HYPERLINK("https://web.datatree.com/?/property?propertyId=32784212", "https://web.datatree.com/?/property?propertyId=32784212")</f>
        <v>https://web.datatree.com/?/property?propertyId=32784212</v>
      </c>
      <c r="Q2190" t="s">
        <v>316</v>
      </c>
      <c>
        <v>0.241</v>
      </c>
      <c t="s">
        <v>6175</v>
      </c>
      <c t="s">
        <v>44457</v>
      </c>
      <c t="s">
        <v>4190</v>
      </c>
      <c r="X2190" t="s">
        <v>37273</v>
      </c>
      <c t="s">
        <v>30928</v>
      </c>
      <c t="s">
        <v>2517</v>
      </c>
      <c t="s">
        <v>39289</v>
      </c>
      <c>
        <v>33909</v>
      </c>
      <c t="s">
        <v>29591</v>
      </c>
      <c t="s">
        <v>48794</v>
      </c>
      <c t="s">
        <v>47661</v>
      </c>
      <c>
        <v>1205</v>
      </c>
      <c r="AI2190" t="s">
        <v>1831</v>
      </c>
      <c t="s">
        <v>45620</v>
      </c>
      <c r="AL2190" t="s">
        <v>66622</v>
      </c>
      <c r="AN2190" t="s">
        <v>39289</v>
      </c>
      <c t="s">
        <v>11930</v>
      </c>
      <c t="s">
        <v>11138</v>
      </c>
      <c t="s">
        <v>3093</v>
      </c>
      <c t="s">
        <v>46754</v>
      </c>
    </row>
    <row>
      <c t="s">
        <v>17594</v>
      </c>
      <c t="s">
        <v>21956</v>
      </c>
      <c t="s">
        <v>56040</v>
      </c>
      <c t="s">
        <v>16170</v>
      </c>
      <c t="s">
        <v>36135</v>
      </c>
      <c s="3">
        <v>8835</v>
      </c>
      <c s="3">
        <v>8835</v>
      </c>
      <c s="3">
        <v>4972</v>
      </c>
      <c>
        <v>0</v>
      </c>
      <c s="3">
        <v>0</v>
      </c>
      <c s="3">
        <v>319.26</v>
      </c>
      <c s="3">
        <v>8835</v>
      </c>
      <c r="O2191" s="1" t="str">
        <f ca="1">HYPERLINK("https://web.datatree.com/?/property?propertyId=32786114", "https://web.datatree.com/?/property?propertyId=32786114")</f>
        <v>https://web.datatree.com/?/property?propertyId=32786114</v>
      </c>
      <c r="Q2191" t="s">
        <v>316</v>
      </c>
      <c>
        <v>0.261</v>
      </c>
      <c t="s">
        <v>5471</v>
      </c>
      <c t="s">
        <v>14104</v>
      </c>
      <c t="s">
        <v>54899</v>
      </c>
      <c r="X2191" t="s">
        <v>52034</v>
      </c>
      <c t="s">
        <v>5280</v>
      </c>
      <c t="s">
        <v>65059</v>
      </c>
      <c t="s">
        <v>39289</v>
      </c>
      <c>
        <v>33905</v>
      </c>
      <c t="s">
        <v>14638</v>
      </c>
      <c t="s">
        <v>48794</v>
      </c>
      <c t="s">
        <v>45175</v>
      </c>
      <c>
        <v>12059</v>
      </c>
      <c r="AI2191" t="s">
        <v>39203</v>
      </c>
      <c t="s">
        <v>31192</v>
      </c>
      <c r="AL2191" t="s">
        <v>17625</v>
      </c>
      <c r="AN2191" t="s">
        <v>51137</v>
      </c>
      <c t="s">
        <v>61544</v>
      </c>
      <c t="s">
        <v>43294</v>
      </c>
      <c t="s">
        <v>3093</v>
      </c>
      <c t="s">
        <v>46073</v>
      </c>
    </row>
    <row>
      <c t="s">
        <v>17594</v>
      </c>
      <c t="s">
        <v>49625</v>
      </c>
      <c t="s">
        <v>9134</v>
      </c>
      <c t="s">
        <v>5739</v>
      </c>
      <c t="s">
        <v>22049</v>
      </c>
      <c s="3">
        <v>20580</v>
      </c>
      <c s="3">
        <v>20580</v>
      </c>
      <c s="3">
        <v>9599</v>
      </c>
      <c>
        <v>0</v>
      </c>
      <c s="3">
        <v>0</v>
      </c>
      <c s="3">
        <v>681.46</v>
      </c>
      <c s="3">
        <v>20580</v>
      </c>
      <c r="O2192" s="1" t="str">
        <f ca="1">HYPERLINK("https://web.datatree.com/?/property?propertyId=32786175", "https://web.datatree.com/?/property?propertyId=32786175")</f>
        <v>https://web.datatree.com/?/property?propertyId=32786175</v>
      </c>
      <c r="Q2192" t="s">
        <v>316</v>
      </c>
      <c>
        <v>0.344</v>
      </c>
      <c t="s">
        <v>6175</v>
      </c>
      <c t="s">
        <v>37194</v>
      </c>
      <c t="s">
        <v>2899</v>
      </c>
      <c r="X2192" t="s">
        <v>15322</v>
      </c>
      <c t="s">
        <v>47150</v>
      </c>
      <c t="s">
        <v>2517</v>
      </c>
      <c t="s">
        <v>39289</v>
      </c>
      <c>
        <v>33909</v>
      </c>
      <c t="s">
        <v>994</v>
      </c>
      <c t="s">
        <v>48794</v>
      </c>
      <c t="s">
        <v>11502</v>
      </c>
      <c>
        <v>14249</v>
      </c>
      <c r="AI2192" t="s">
        <v>47330</v>
      </c>
      <c t="s">
        <v>31192</v>
      </c>
      <c r="AL2192" t="s">
        <v>1837</v>
      </c>
      <c t="s">
        <v>215</v>
      </c>
      <c t="s">
        <v>39289</v>
      </c>
      <c t="s">
        <v>60715</v>
      </c>
      <c t="s">
        <v>44428</v>
      </c>
      <c t="s">
        <v>3093</v>
      </c>
      <c t="s">
        <v>62076</v>
      </c>
    </row>
    <row>
      <c t="s">
        <v>17594</v>
      </c>
      <c t="s">
        <v>28779</v>
      </c>
      <c t="s">
        <v>4132</v>
      </c>
      <c t="s">
        <v>1022</v>
      </c>
      <c t="s">
        <v>23520</v>
      </c>
      <c s="3">
        <v>12544</v>
      </c>
      <c s="3">
        <v>12544</v>
      </c>
      <c s="3">
        <v>6389</v>
      </c>
      <c>
        <v>0</v>
      </c>
      <c s="3">
        <v>0</v>
      </c>
      <c s="3">
        <v>333.57</v>
      </c>
      <c s="3">
        <v>12544</v>
      </c>
      <c r="O2193" s="1" t="str">
        <f ca="1">HYPERLINK("https://web.datatree.com/?/property?propertyId=32786371", "https://web.datatree.com/?/property?propertyId=32786371")</f>
        <v>https://web.datatree.com/?/property?propertyId=32786371</v>
      </c>
      <c r="Q2193" t="s">
        <v>316</v>
      </c>
      <c>
        <v>0.297</v>
      </c>
      <c t="s">
        <v>37489</v>
      </c>
      <c t="s">
        <v>28421</v>
      </c>
      <c t="s">
        <v>60044</v>
      </c>
      <c t="s">
        <v>64649</v>
      </c>
      <c t="s">
        <v>15015</v>
      </c>
      <c t="s">
        <v>40061</v>
      </c>
      <c t="s">
        <v>19611</v>
      </c>
      <c t="s">
        <v>65059</v>
      </c>
      <c t="s">
        <v>39289</v>
      </c>
      <c>
        <v>33905</v>
      </c>
      <c>
        <v>33905</v>
      </c>
      <c t="s">
        <v>48794</v>
      </c>
      <c t="s">
        <v>66747</v>
      </c>
      <c>
        <v>12040</v>
      </c>
      <c r="AI2193" t="s">
        <v>61850</v>
      </c>
      <c t="s">
        <v>24900</v>
      </c>
      <c>
        <v>212</v>
      </c>
      <c t="s">
        <v>55393</v>
      </c>
      <c t="s">
        <v>40227</v>
      </c>
      <c t="s">
        <v>39289</v>
      </c>
      <c t="s">
        <v>54519</v>
      </c>
      <c t="s">
        <v>27553</v>
      </c>
      <c t="s">
        <v>3093</v>
      </c>
      <c t="s">
        <v>22677</v>
      </c>
    </row>
    <row>
      <c t="s">
        <v>17594</v>
      </c>
      <c t="s">
        <v>29682</v>
      </c>
      <c t="s">
        <v>51655</v>
      </c>
      <c t="s">
        <v>57332</v>
      </c>
      <c t="s">
        <v>9362</v>
      </c>
      <c s="3">
        <v>37248</v>
      </c>
      <c s="3">
        <v>37248</v>
      </c>
      <c s="3">
        <v>10848</v>
      </c>
      <c>
        <v>0</v>
      </c>
      <c s="3">
        <v>0</v>
      </c>
      <c s="3">
        <v>763.43</v>
      </c>
      <c s="3">
        <v>37248</v>
      </c>
      <c r="O2194" s="1" t="str">
        <f ca="1">HYPERLINK("https://web.datatree.com/?/property?propertyId=32787060", "https://web.datatree.com/?/property?propertyId=32787060")</f>
        <v>https://web.datatree.com/?/property?propertyId=32787060</v>
      </c>
      <c r="Q2194" t="s">
        <v>316</v>
      </c>
      <c>
        <v>0.244</v>
      </c>
      <c t="s">
        <v>6175</v>
      </c>
      <c t="s">
        <v>40487</v>
      </c>
      <c t="s">
        <v>9592</v>
      </c>
      <c r="X2194" t="s">
        <v>36777</v>
      </c>
      <c t="s">
        <v>53675</v>
      </c>
      <c t="s">
        <v>2517</v>
      </c>
      <c t="s">
        <v>39289</v>
      </c>
      <c>
        <v>33909</v>
      </c>
      <c t="s">
        <v>62715</v>
      </c>
      <c t="s">
        <v>48794</v>
      </c>
      <c t="s">
        <v>50566</v>
      </c>
      <c>
        <v>14225</v>
      </c>
      <c r="AI2194" t="s">
        <v>52171</v>
      </c>
      <c t="s">
        <v>45393</v>
      </c>
      <c r="AL2194" t="s">
        <v>55393</v>
      </c>
      <c r="AN2194" t="s">
        <v>39289</v>
      </c>
      <c t="s">
        <v>47677</v>
      </c>
      <c t="s">
        <v>61564</v>
      </c>
      <c t="s">
        <v>3093</v>
      </c>
      <c t="s">
        <v>50386</v>
      </c>
    </row>
    <row>
      <c t="s">
        <v>17594</v>
      </c>
      <c t="s">
        <v>43670</v>
      </c>
      <c t="s">
        <v>17630</v>
      </c>
      <c t="s">
        <v>58685</v>
      </c>
      <c t="s">
        <v>57436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2195" s="1" t="str">
        <f ca="1">HYPERLINK("https://web.datatree.com/?/property?propertyId=32787320", "https://web.datatree.com/?/property?propertyId=32787320")</f>
        <v>https://web.datatree.com/?/property?propertyId=32787320</v>
      </c>
      <c r="Q2195" t="s">
        <v>316</v>
      </c>
      <c>
        <v>0.244</v>
      </c>
      <c t="s">
        <v>6175</v>
      </c>
      <c t="s">
        <v>35993</v>
      </c>
      <c t="s">
        <v>60066</v>
      </c>
      <c r="X2195" t="s">
        <v>9309</v>
      </c>
      <c t="s">
        <v>66701</v>
      </c>
      <c t="s">
        <v>2517</v>
      </c>
      <c t="s">
        <v>39289</v>
      </c>
      <c>
        <v>33909</v>
      </c>
      <c t="s">
        <v>33788</v>
      </c>
      <c t="s">
        <v>48794</v>
      </c>
      <c t="s">
        <v>9905</v>
      </c>
      <c>
        <v>1705</v>
      </c>
      <c r="AI2195" t="s">
        <v>15547</v>
      </c>
      <c t="s">
        <v>1671</v>
      </c>
      <c r="AL2195" t="s">
        <v>36080</v>
      </c>
      <c r="AN2195" t="s">
        <v>39289</v>
      </c>
      <c t="s">
        <v>56572</v>
      </c>
      <c t="s">
        <v>12241</v>
      </c>
      <c t="s">
        <v>3093</v>
      </c>
      <c t="s">
        <v>22109</v>
      </c>
    </row>
    <row>
      <c t="s">
        <v>17594</v>
      </c>
      <c t="s">
        <v>38225</v>
      </c>
      <c t="s">
        <v>24970</v>
      </c>
      <c t="s">
        <v>36272</v>
      </c>
      <c t="s">
        <v>18299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196" s="1" t="str">
        <f ca="1">HYPERLINK("https://web.datatree.com/?/property?propertyId=32787420", "https://web.datatree.com/?/property?propertyId=32787420")</f>
        <v>https://web.datatree.com/?/property?propertyId=32787420</v>
      </c>
      <c r="Q2196" t="s">
        <v>316</v>
      </c>
      <c>
        <v>0.23</v>
      </c>
      <c t="s">
        <v>22490</v>
      </c>
      <c t="s">
        <v>10665</v>
      </c>
      <c t="s">
        <v>33378</v>
      </c>
      <c r="X2196" t="s">
        <v>34471</v>
      </c>
      <c t="s">
        <v>49122</v>
      </c>
      <c t="s">
        <v>2517</v>
      </c>
      <c t="s">
        <v>39289</v>
      </c>
      <c>
        <v>33909</v>
      </c>
      <c t="s">
        <v>50675</v>
      </c>
      <c t="s">
        <v>48794</v>
      </c>
      <c t="s">
        <v>12667</v>
      </c>
      <c>
        <v>10</v>
      </c>
      <c r="AI2196" t="s">
        <v>12655</v>
      </c>
      <c t="s">
        <v>45393</v>
      </c>
      <c r="AL2196" t="s">
        <v>54350</v>
      </c>
      <c r="AN2196" t="s">
        <v>66651</v>
      </c>
      <c>
        <v>30625</v>
      </c>
      <c r="AR2196" t="s">
        <v>1467</v>
      </c>
    </row>
    <row>
      <c t="s">
        <v>17594</v>
      </c>
      <c t="s">
        <v>51618</v>
      </c>
      <c t="s">
        <v>43368</v>
      </c>
      <c t="s">
        <v>34505</v>
      </c>
      <c t="s">
        <v>23518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197" s="1" t="str">
        <f ca="1">HYPERLINK("https://web.datatree.com/?/property?propertyId=32787501", "https://web.datatree.com/?/property?propertyId=32787501")</f>
        <v>https://web.datatree.com/?/property?propertyId=32787501</v>
      </c>
      <c r="Q2197" t="s">
        <v>316</v>
      </c>
      <c>
        <v>0.23</v>
      </c>
      <c t="s">
        <v>22490</v>
      </c>
      <c t="s">
        <v>61517</v>
      </c>
      <c t="s">
        <v>55683</v>
      </c>
      <c r="X2197" t="s">
        <v>42624</v>
      </c>
      <c t="s">
        <v>30928</v>
      </c>
      <c t="s">
        <v>2517</v>
      </c>
      <c t="s">
        <v>39289</v>
      </c>
      <c>
        <v>33909</v>
      </c>
      <c t="s">
        <v>40424</v>
      </c>
      <c t="s">
        <v>48794</v>
      </c>
      <c t="s">
        <v>25994</v>
      </c>
      <c>
        <v>5322</v>
      </c>
      <c r="AI2197" t="s">
        <v>37261</v>
      </c>
      <c t="s">
        <v>45620</v>
      </c>
      <c r="AL2197" t="s">
        <v>65597</v>
      </c>
      <c t="s">
        <v>65597</v>
      </c>
      <c t="s">
        <v>51087</v>
      </c>
      <c t="s">
        <v>13999</v>
      </c>
      <c t="s">
        <v>27780</v>
      </c>
      <c t="s">
        <v>3093</v>
      </c>
      <c t="s">
        <v>37746</v>
      </c>
    </row>
    <row>
      <c t="s">
        <v>17594</v>
      </c>
      <c t="s">
        <v>45261</v>
      </c>
      <c t="s">
        <v>49557</v>
      </c>
      <c t="s">
        <v>7400</v>
      </c>
      <c t="s">
        <v>34753</v>
      </c>
      <c s="3">
        <v>20867</v>
      </c>
      <c s="3">
        <v>20867</v>
      </c>
      <c s="3">
        <v>10450</v>
      </c>
      <c>
        <v>0</v>
      </c>
      <c s="3">
        <v>0</v>
      </c>
      <c s="3">
        <v>623.19</v>
      </c>
      <c s="3">
        <v>20867</v>
      </c>
      <c r="O2198" s="1" t="str">
        <f ca="1">HYPERLINK("https://web.datatree.com/?/property?propertyId=32787554", "https://web.datatree.com/?/property?propertyId=32787554")</f>
        <v>https://web.datatree.com/?/property?propertyId=32787554</v>
      </c>
      <c r="Q2198" t="s">
        <v>316</v>
      </c>
      <c>
        <v>0.263</v>
      </c>
      <c t="s">
        <v>22490</v>
      </c>
      <c t="s">
        <v>19068</v>
      </c>
      <c t="s">
        <v>66715</v>
      </c>
      <c r="X2198" t="s">
        <v>4270</v>
      </c>
      <c t="s">
        <v>39082</v>
      </c>
      <c t="s">
        <v>2517</v>
      </c>
      <c t="s">
        <v>39289</v>
      </c>
      <c>
        <v>33909</v>
      </c>
      <c t="s">
        <v>16023</v>
      </c>
      <c t="s">
        <v>48794</v>
      </c>
      <c t="s">
        <v>29168</v>
      </c>
      <c>
        <v>20</v>
      </c>
      <c r="AI2198" t="s">
        <v>30966</v>
      </c>
      <c r="AL2198" t="s">
        <v>39871</v>
      </c>
      <c r="AN2198" t="s">
        <v>63985</v>
      </c>
      <c>
        <v>53797</v>
      </c>
      <c r="AQ2198" t="s">
        <v>3093</v>
      </c>
      <c t="s">
        <v>55863</v>
      </c>
    </row>
    <row>
      <c t="s">
        <v>17594</v>
      </c>
      <c t="s">
        <v>32901</v>
      </c>
      <c t="s">
        <v>33577</v>
      </c>
      <c t="s">
        <v>35805</v>
      </c>
      <c t="s">
        <v>66048</v>
      </c>
      <c s="3">
        <v>33244</v>
      </c>
      <c s="3">
        <v>33244</v>
      </c>
      <c s="3">
        <v>14148</v>
      </c>
      <c>
        <v>0</v>
      </c>
      <c s="3">
        <v>0</v>
      </c>
      <c s="3">
        <v>712.36</v>
      </c>
      <c s="3">
        <v>33244</v>
      </c>
      <c r="O2199" s="1" t="str">
        <f ca="1">HYPERLINK("https://web.datatree.com/?/property?propertyId=32787879", "https://web.datatree.com/?/property?propertyId=32787879")</f>
        <v>https://web.datatree.com/?/property?propertyId=32787879</v>
      </c>
      <c r="Q2199" t="s">
        <v>316</v>
      </c>
      <c>
        <v>0.27</v>
      </c>
      <c t="s">
        <v>54449</v>
      </c>
      <c t="s">
        <v>4453</v>
      </c>
      <c t="s">
        <v>19005</v>
      </c>
      <c r="X2199" t="s">
        <v>14464</v>
      </c>
      <c t="s">
        <v>24999</v>
      </c>
      <c t="s">
        <v>2517</v>
      </c>
      <c t="s">
        <v>39289</v>
      </c>
      <c>
        <v>33904</v>
      </c>
      <c t="s">
        <v>11608</v>
      </c>
      <c t="s">
        <v>48794</v>
      </c>
      <c t="s">
        <v>13670</v>
      </c>
      <c>
        <v>304</v>
      </c>
      <c r="AI2199" t="s">
        <v>5558</v>
      </c>
      <c t="s">
        <v>30541</v>
      </c>
      <c>
        <v>160</v>
      </c>
      <c t="s">
        <v>26641</v>
      </c>
      <c r="AN2199" t="s">
        <v>39289</v>
      </c>
      <c t="s">
        <v>66299</v>
      </c>
      <c t="s">
        <v>62830</v>
      </c>
      <c t="s">
        <v>3093</v>
      </c>
      <c t="s">
        <v>37805</v>
      </c>
    </row>
    <row>
      <c t="s">
        <v>17594</v>
      </c>
      <c t="s">
        <v>23166</v>
      </c>
      <c t="s">
        <v>55361</v>
      </c>
      <c t="s">
        <v>33809</v>
      </c>
      <c t="s">
        <v>28342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2020</v>
      </c>
      <c>
        <v>1703.56</v>
      </c>
      <c s="1" t="str">
        <f ca="1">HYPERLINK("https://web.datatree.com/?/property?propertyId=32788762", "https://web.datatree.com/?/property?propertyId=32788762")</f>
        <v>https://web.datatree.com/?/property?propertyId=32788762</v>
      </c>
      <c r="Q2200" t="s">
        <v>316</v>
      </c>
      <c>
        <v>0.23</v>
      </c>
      <c t="s">
        <v>6175</v>
      </c>
      <c t="s">
        <v>7346</v>
      </c>
      <c t="s">
        <v>49610</v>
      </c>
      <c t="s">
        <v>32228</v>
      </c>
      <c t="s">
        <v>49610</v>
      </c>
      <c t="s">
        <v>36075</v>
      </c>
      <c t="s">
        <v>33179</v>
      </c>
      <c t="s">
        <v>2517</v>
      </c>
      <c t="s">
        <v>39289</v>
      </c>
      <c>
        <v>33909</v>
      </c>
      <c t="s">
        <v>58551</v>
      </c>
      <c t="s">
        <v>48794</v>
      </c>
      <c t="s">
        <v>50688</v>
      </c>
      <c>
        <v>729</v>
      </c>
      <c r="AI2200" t="s">
        <v>27239</v>
      </c>
      <c t="s">
        <v>45620</v>
      </c>
      <c>
        <v>4</v>
      </c>
      <c t="s">
        <v>61153</v>
      </c>
      <c r="AN2200" t="s">
        <v>50917</v>
      </c>
      <c t="s">
        <v>38882</v>
      </c>
      <c t="s">
        <v>62830</v>
      </c>
      <c t="s">
        <v>3093</v>
      </c>
      <c t="s">
        <v>14119</v>
      </c>
    </row>
    <row>
      <c t="s">
        <v>17594</v>
      </c>
      <c t="s">
        <v>28806</v>
      </c>
      <c t="s">
        <v>60577</v>
      </c>
      <c t="s">
        <v>29567</v>
      </c>
      <c t="s">
        <v>23915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2201" s="1" t="str">
        <f ca="1">HYPERLINK("https://web.datatree.com/?/property?propertyId=32789064", "https://web.datatree.com/?/property?propertyId=32789064")</f>
        <v>https://web.datatree.com/?/property?propertyId=32789064</v>
      </c>
      <c r="Q2201" t="s">
        <v>316</v>
      </c>
      <c>
        <v>0.23</v>
      </c>
      <c t="s">
        <v>6175</v>
      </c>
      <c t="s">
        <v>18053</v>
      </c>
      <c t="s">
        <v>13330</v>
      </c>
      <c r="W2201" t="s">
        <v>855</v>
      </c>
      <c t="s">
        <v>9421</v>
      </c>
      <c t="s">
        <v>13829</v>
      </c>
      <c t="s">
        <v>2517</v>
      </c>
      <c t="s">
        <v>39289</v>
      </c>
      <c>
        <v>33909</v>
      </c>
      <c t="s">
        <v>50553</v>
      </c>
      <c t="s">
        <v>48794</v>
      </c>
      <c t="s">
        <v>62074</v>
      </c>
      <c>
        <v>441</v>
      </c>
      <c r="AI2201" t="s">
        <v>11544</v>
      </c>
      <c t="s">
        <v>31192</v>
      </c>
      <c r="AL2201" t="s">
        <v>63249</v>
      </c>
      <c t="s">
        <v>63249</v>
      </c>
      <c t="s">
        <v>26443</v>
      </c>
      <c t="s">
        <v>43489</v>
      </c>
      <c t="s">
        <v>35085</v>
      </c>
      <c t="s">
        <v>3093</v>
      </c>
      <c t="s">
        <v>46692</v>
      </c>
    </row>
    <row>
      <c t="s">
        <v>42103</v>
      </c>
      <c t="s">
        <v>52011</v>
      </c>
      <c t="s">
        <v>9367</v>
      </c>
      <c t="s">
        <v>52436</v>
      </c>
      <c t="s">
        <v>26839</v>
      </c>
      <c s="3">
        <v>83302</v>
      </c>
      <c s="3">
        <v>74250</v>
      </c>
      <c s="3">
        <v>83302</v>
      </c>
      <c>
        <v>0</v>
      </c>
      <c s="3">
        <v>0</v>
      </c>
      <c s="3">
        <v>1252.06</v>
      </c>
      <c s="3">
        <v>83302</v>
      </c>
      <c r="O2202" s="1" t="str">
        <f ca="1">HYPERLINK("https://web.datatree.com/?/property?propertyId=32789534", "https://web.datatree.com/?/property?propertyId=32789534")</f>
        <v>https://web.datatree.com/?/property?propertyId=32789534</v>
      </c>
      <c r="Q2202" t="s">
        <v>316</v>
      </c>
      <c>
        <v>0.099</v>
      </c>
      <c t="s">
        <v>26492</v>
      </c>
      <c t="s">
        <v>54854</v>
      </c>
      <c t="s">
        <v>46993</v>
      </c>
      <c t="s">
        <v>43391</v>
      </c>
      <c t="s">
        <v>46993</v>
      </c>
      <c t="s">
        <v>27122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50249</v>
      </c>
      <c r="AI2202" t="s">
        <v>62793</v>
      </c>
      <c r="AL2202" t="s">
        <v>40869</v>
      </c>
      <c t="s">
        <v>40869</v>
      </c>
      <c t="s">
        <v>39289</v>
      </c>
      <c t="s">
        <v>49134</v>
      </c>
      <c t="s">
        <v>45538</v>
      </c>
      <c t="s">
        <v>3093</v>
      </c>
      <c t="s">
        <v>13712</v>
      </c>
    </row>
    <row>
      <c t="s">
        <v>17594</v>
      </c>
      <c t="s">
        <v>55747</v>
      </c>
      <c t="s">
        <v>34759</v>
      </c>
      <c t="s">
        <v>55801</v>
      </c>
      <c t="s">
        <v>11956</v>
      </c>
      <c s="3">
        <v>7600</v>
      </c>
      <c s="3">
        <v>7600</v>
      </c>
      <c s="3">
        <v>7600</v>
      </c>
      <c>
        <v>0</v>
      </c>
      <c s="3">
        <v>0</v>
      </c>
      <c s="3">
        <v>577.67</v>
      </c>
      <c s="3">
        <v>7600</v>
      </c>
      <c r="O2203" s="1" t="str">
        <f ca="1">HYPERLINK("https://web.datatree.com/?/property?propertyId=32789558", "https://web.datatree.com/?/property?propertyId=32789558")</f>
        <v>https://web.datatree.com/?/property?propertyId=32789558</v>
      </c>
      <c r="Q2203" t="s">
        <v>316</v>
      </c>
      <c>
        <v>0.264</v>
      </c>
      <c t="s">
        <v>6175</v>
      </c>
      <c t="s">
        <v>65344</v>
      </c>
      <c t="s">
        <v>24431</v>
      </c>
      <c r="X2203" t="s">
        <v>60508</v>
      </c>
      <c t="s">
        <v>60363</v>
      </c>
      <c t="s">
        <v>2517</v>
      </c>
      <c t="s">
        <v>39289</v>
      </c>
      <c>
        <v>33909</v>
      </c>
      <c t="s">
        <v>37635</v>
      </c>
      <c t="s">
        <v>48794</v>
      </c>
      <c t="s">
        <v>53052</v>
      </c>
      <c>
        <v>74</v>
      </c>
      <c r="AI2203" t="s">
        <v>812</v>
      </c>
      <c t="s">
        <v>4151</v>
      </c>
      <c r="AL2203" t="s">
        <v>17557</v>
      </c>
      <c r="AN2203" t="s">
        <v>10909</v>
      </c>
      <c t="s">
        <v>34752</v>
      </c>
      <c r="AQ2203" t="s">
        <v>27814</v>
      </c>
      <c t="s">
        <v>11246</v>
      </c>
    </row>
    <row>
      <c t="s">
        <v>17594</v>
      </c>
      <c t="s">
        <v>46787</v>
      </c>
      <c t="s">
        <v>9826</v>
      </c>
      <c t="s">
        <v>54976</v>
      </c>
      <c t="s">
        <v>17483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2204" s="1" t="str">
        <f ca="1">HYPERLINK("https://web.datatree.com/?/property?propertyId=32789620", "https://web.datatree.com/?/property?propertyId=32789620")</f>
        <v>https://web.datatree.com/?/property?propertyId=32789620</v>
      </c>
      <c r="Q2204" t="s">
        <v>316</v>
      </c>
      <c>
        <v>0.23</v>
      </c>
      <c t="s">
        <v>6175</v>
      </c>
      <c t="s">
        <v>31676</v>
      </c>
      <c t="s">
        <v>8427</v>
      </c>
      <c t="s">
        <v>19037</v>
      </c>
      <c t="s">
        <v>57227</v>
      </c>
      <c t="s">
        <v>34050</v>
      </c>
      <c t="s">
        <v>33179</v>
      </c>
      <c t="s">
        <v>2517</v>
      </c>
      <c t="s">
        <v>39289</v>
      </c>
      <c>
        <v>33909</v>
      </c>
      <c t="s">
        <v>6172</v>
      </c>
      <c t="s">
        <v>48794</v>
      </c>
      <c t="s">
        <v>35560</v>
      </c>
      <c>
        <v>8766</v>
      </c>
      <c r="AI2204" t="s">
        <v>28828</v>
      </c>
      <c t="s">
        <v>55842</v>
      </c>
      <c r="AL2204" t="s">
        <v>1121</v>
      </c>
      <c r="AN2204" t="s">
        <v>39289</v>
      </c>
      <c t="s">
        <v>49789</v>
      </c>
      <c t="s">
        <v>50779</v>
      </c>
      <c t="s">
        <v>3093</v>
      </c>
      <c t="s">
        <v>350</v>
      </c>
    </row>
    <row>
      <c t="s">
        <v>17594</v>
      </c>
      <c t="s">
        <v>58323</v>
      </c>
      <c t="s">
        <v>45717</v>
      </c>
      <c t="s">
        <v>12704</v>
      </c>
      <c t="s">
        <v>42708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2205" s="1" t="str">
        <f ca="1">HYPERLINK("https://web.datatree.com/?/property?propertyId=32789646", "https://web.datatree.com/?/property?propertyId=32789646")</f>
        <v>https://web.datatree.com/?/property?propertyId=32789646</v>
      </c>
      <c r="Q2205" t="s">
        <v>316</v>
      </c>
      <c>
        <v>0.244</v>
      </c>
      <c t="s">
        <v>22490</v>
      </c>
      <c t="s">
        <v>40759</v>
      </c>
      <c t="s">
        <v>2423</v>
      </c>
      <c t="s">
        <v>54158</v>
      </c>
      <c t="s">
        <v>2423</v>
      </c>
      <c t="s">
        <v>9773</v>
      </c>
      <c t="s">
        <v>39082</v>
      </c>
      <c t="s">
        <v>2517</v>
      </c>
      <c t="s">
        <v>39289</v>
      </c>
      <c>
        <v>33909</v>
      </c>
      <c t="s">
        <v>39109</v>
      </c>
      <c t="s">
        <v>48794</v>
      </c>
      <c t="s">
        <v>29916</v>
      </c>
      <c>
        <v>79</v>
      </c>
      <c r="AI2205" t="s">
        <v>63523</v>
      </c>
      <c t="s">
        <v>45620</v>
      </c>
      <c r="AL2205" t="s">
        <v>61943</v>
      </c>
      <c r="AN2205" t="s">
        <v>14509</v>
      </c>
      <c t="s">
        <v>51102</v>
      </c>
      <c t="s">
        <v>702</v>
      </c>
      <c t="s">
        <v>3093</v>
      </c>
      <c t="s">
        <v>36207</v>
      </c>
    </row>
    <row>
      <c t="s">
        <v>17594</v>
      </c>
      <c t="s">
        <v>8208</v>
      </c>
      <c t="s">
        <v>60398</v>
      </c>
      <c t="s">
        <v>26257</v>
      </c>
      <c t="s">
        <v>27113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206" s="1" t="str">
        <f ca="1">HYPERLINK("https://web.datatree.com/?/property?propertyId=32789975", "https://web.datatree.com/?/property?propertyId=32789975")</f>
        <v>https://web.datatree.com/?/property?propertyId=32789975</v>
      </c>
      <c r="Q2206" t="s">
        <v>316</v>
      </c>
      <c>
        <v>0.23</v>
      </c>
      <c t="s">
        <v>6175</v>
      </c>
      <c t="s">
        <v>4699</v>
      </c>
      <c t="s">
        <v>27504</v>
      </c>
      <c r="X2206" t="s">
        <v>20159</v>
      </c>
      <c t="s">
        <v>10653</v>
      </c>
      <c t="s">
        <v>2517</v>
      </c>
      <c t="s">
        <v>39289</v>
      </c>
      <c>
        <v>33909</v>
      </c>
      <c t="s">
        <v>41663</v>
      </c>
      <c t="s">
        <v>48794</v>
      </c>
      <c t="s">
        <v>7743</v>
      </c>
      <c>
        <v>240</v>
      </c>
      <c r="AI2206" t="s">
        <v>7955</v>
      </c>
      <c t="s">
        <v>55842</v>
      </c>
      <c r="AL2206" t="s">
        <v>54531</v>
      </c>
      <c r="AN2206" t="s">
        <v>66651</v>
      </c>
      <c t="s">
        <v>23038</v>
      </c>
      <c t="s">
        <v>4660</v>
      </c>
      <c t="s">
        <v>3093</v>
      </c>
      <c t="s">
        <v>59415</v>
      </c>
    </row>
    <row>
      <c t="s">
        <v>17594</v>
      </c>
      <c t="s">
        <v>3547</v>
      </c>
      <c t="s">
        <v>36921</v>
      </c>
      <c t="s">
        <v>26214</v>
      </c>
      <c t="s">
        <v>66517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2207" s="1" t="str">
        <f ca="1">HYPERLINK("https://web.datatree.com/?/property?propertyId=32790176", "https://web.datatree.com/?/property?propertyId=32790176")</f>
        <v>https://web.datatree.com/?/property?propertyId=32790176</v>
      </c>
      <c r="Q2207" t="s">
        <v>316</v>
      </c>
      <c>
        <v>0.244</v>
      </c>
      <c t="s">
        <v>6175</v>
      </c>
      <c t="s">
        <v>54090</v>
      </c>
      <c t="s">
        <v>36161</v>
      </c>
      <c t="s">
        <v>28014</v>
      </c>
      <c t="s">
        <v>36161</v>
      </c>
      <c t="s">
        <v>35403</v>
      </c>
      <c t="s">
        <v>66701</v>
      </c>
      <c t="s">
        <v>2517</v>
      </c>
      <c t="s">
        <v>39289</v>
      </c>
      <c>
        <v>33909</v>
      </c>
      <c t="s">
        <v>60135</v>
      </c>
      <c t="s">
        <v>48794</v>
      </c>
      <c t="s">
        <v>18356</v>
      </c>
      <c>
        <v>12724</v>
      </c>
      <c r="AI2207" t="s">
        <v>66807</v>
      </c>
      <c t="s">
        <v>40123</v>
      </c>
      <c r="AL2207" t="s">
        <v>39042</v>
      </c>
      <c r="AN2207" t="s">
        <v>65467</v>
      </c>
      <c t="s">
        <v>44277</v>
      </c>
      <c t="s">
        <v>22152</v>
      </c>
      <c t="s">
        <v>3093</v>
      </c>
      <c t="s">
        <v>52522</v>
      </c>
    </row>
    <row>
      <c t="s">
        <v>17594</v>
      </c>
      <c t="s">
        <v>64957</v>
      </c>
      <c t="s">
        <v>1314</v>
      </c>
      <c t="s">
        <v>26846</v>
      </c>
      <c t="s">
        <v>42323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208" s="1" t="str">
        <f ca="1">HYPERLINK("https://web.datatree.com/?/property?propertyId=32790201", "https://web.datatree.com/?/property?propertyId=32790201")</f>
        <v>https://web.datatree.com/?/property?propertyId=32790201</v>
      </c>
      <c r="Q2208" t="s">
        <v>316</v>
      </c>
      <c>
        <v>0.23</v>
      </c>
      <c t="s">
        <v>22490</v>
      </c>
      <c t="s">
        <v>11326</v>
      </c>
      <c t="s">
        <v>13075</v>
      </c>
      <c t="s">
        <v>10410</v>
      </c>
      <c t="s">
        <v>48404</v>
      </c>
      <c t="s">
        <v>23447</v>
      </c>
      <c t="s">
        <v>66701</v>
      </c>
      <c t="s">
        <v>2517</v>
      </c>
      <c t="s">
        <v>39289</v>
      </c>
      <c>
        <v>33909</v>
      </c>
      <c t="s">
        <v>63731</v>
      </c>
      <c t="s">
        <v>48794</v>
      </c>
      <c t="s">
        <v>9037</v>
      </c>
      <c>
        <v>8316</v>
      </c>
      <c r="AI2208" t="s">
        <v>62769</v>
      </c>
      <c t="s">
        <v>45393</v>
      </c>
      <c r="AL2208" t="s">
        <v>36080</v>
      </c>
      <c r="AN2208" t="s">
        <v>39289</v>
      </c>
      <c t="s">
        <v>17471</v>
      </c>
      <c t="s">
        <v>66341</v>
      </c>
      <c t="s">
        <v>3093</v>
      </c>
      <c t="s">
        <v>10656</v>
      </c>
    </row>
    <row>
      <c t="s">
        <v>17594</v>
      </c>
      <c t="s">
        <v>32026</v>
      </c>
      <c t="s">
        <v>56468</v>
      </c>
      <c t="s">
        <v>20270</v>
      </c>
      <c t="s">
        <v>38614</v>
      </c>
      <c s="3">
        <v>33600</v>
      </c>
      <c s="3">
        <v>33600</v>
      </c>
      <c s="3">
        <v>33600</v>
      </c>
      <c>
        <v>0</v>
      </c>
      <c s="3">
        <v>0</v>
      </c>
      <c s="3">
        <v>3875.1</v>
      </c>
      <c s="3">
        <v>33600</v>
      </c>
      <c r="O2209" s="1" t="str">
        <f ca="1">HYPERLINK("https://web.datatree.com/?/property?propertyId=32790512", "https://web.datatree.com/?/property?propertyId=32790512")</f>
        <v>https://web.datatree.com/?/property?propertyId=32790512</v>
      </c>
      <c r="Q2209" t="s">
        <v>316</v>
      </c>
      <c>
        <v>0.393</v>
      </c>
      <c t="s">
        <v>45031</v>
      </c>
      <c t="s">
        <v>34344</v>
      </c>
      <c t="s">
        <v>17043</v>
      </c>
      <c t="s">
        <v>16200</v>
      </c>
      <c t="s">
        <v>52079</v>
      </c>
      <c t="s">
        <v>63458</v>
      </c>
      <c t="s">
        <v>18679</v>
      </c>
      <c t="s">
        <v>2517</v>
      </c>
      <c t="s">
        <v>39289</v>
      </c>
      <c>
        <v>33909</v>
      </c>
      <c t="s">
        <v>43035</v>
      </c>
      <c t="s">
        <v>48794</v>
      </c>
      <c t="s">
        <v>50972</v>
      </c>
      <c>
        <v>22937</v>
      </c>
      <c r="AH2209" t="s">
        <v>60953</v>
      </c>
      <c t="s">
        <v>10481</v>
      </c>
      <c t="s">
        <v>45393</v>
      </c>
      <c r="AL2209" t="s">
        <v>20527</v>
      </c>
      <c r="AN2209" t="s">
        <v>50829</v>
      </c>
      <c t="s">
        <v>56291</v>
      </c>
      <c t="s">
        <v>22455</v>
      </c>
      <c t="s">
        <v>3093</v>
      </c>
      <c t="s">
        <v>3063</v>
      </c>
    </row>
    <row>
      <c t="s">
        <v>17594</v>
      </c>
      <c t="s">
        <v>63080</v>
      </c>
      <c t="s">
        <v>5114</v>
      </c>
      <c t="s">
        <v>6956</v>
      </c>
      <c t="s">
        <v>26401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2021</v>
      </c>
      <c>
        <v>535.19</v>
      </c>
      <c s="1" t="str">
        <f ca="1">HYPERLINK("https://web.datatree.com/?/property?propertyId=32790527", "https://web.datatree.com/?/property?propertyId=32790527")</f>
        <v>https://web.datatree.com/?/property?propertyId=32790527</v>
      </c>
      <c r="Q2210" t="s">
        <v>316</v>
      </c>
      <c>
        <v>0.23</v>
      </c>
      <c t="s">
        <v>6175</v>
      </c>
      <c t="s">
        <v>59107</v>
      </c>
      <c t="s">
        <v>7578</v>
      </c>
      <c r="X2210" t="s">
        <v>47702</v>
      </c>
      <c t="s">
        <v>61865</v>
      </c>
      <c t="s">
        <v>2517</v>
      </c>
      <c t="s">
        <v>39289</v>
      </c>
      <c>
        <v>33909</v>
      </c>
      <c t="s">
        <v>5161</v>
      </c>
      <c t="s">
        <v>48794</v>
      </c>
      <c t="s">
        <v>31128</v>
      </c>
      <c>
        <v>401</v>
      </c>
      <c r="AI2210" t="s">
        <v>1382</v>
      </c>
      <c t="s">
        <v>31192</v>
      </c>
      <c r="AL2210" t="s">
        <v>6911</v>
      </c>
      <c t="s">
        <v>6911</v>
      </c>
      <c t="s">
        <v>10804</v>
      </c>
      <c t="s">
        <v>41631</v>
      </c>
      <c t="s">
        <v>60333</v>
      </c>
      <c t="s">
        <v>3093</v>
      </c>
      <c t="s">
        <v>46329</v>
      </c>
    </row>
    <row>
      <c t="s">
        <v>17594</v>
      </c>
      <c t="s">
        <v>22628</v>
      </c>
      <c t="s">
        <v>51150</v>
      </c>
      <c t="s">
        <v>42324</v>
      </c>
      <c t="s">
        <v>30890</v>
      </c>
      <c s="3">
        <v>54000</v>
      </c>
      <c s="3">
        <v>54000</v>
      </c>
      <c s="3">
        <v>26620</v>
      </c>
      <c>
        <v>0</v>
      </c>
      <c s="3">
        <v>0</v>
      </c>
      <c s="3">
        <v>930.91</v>
      </c>
      <c s="3">
        <v>54000</v>
      </c>
      <c r="O2211" s="1" t="str">
        <f ca="1">HYPERLINK("https://web.datatree.com/?/property?propertyId=32790557", "https://web.datatree.com/?/property?propertyId=32790557")</f>
        <v>https://web.datatree.com/?/property?propertyId=32790557</v>
      </c>
      <c r="Q2211" t="s">
        <v>316</v>
      </c>
      <c>
        <v>0.248</v>
      </c>
      <c t="s">
        <v>65422</v>
      </c>
      <c r="U2211" t="s">
        <v>34385</v>
      </c>
      <c t="s">
        <v>55614</v>
      </c>
      <c t="s">
        <v>8869</v>
      </c>
      <c t="s">
        <v>51258</v>
      </c>
      <c t="s">
        <v>39082</v>
      </c>
      <c t="s">
        <v>2517</v>
      </c>
      <c t="s">
        <v>39289</v>
      </c>
      <c>
        <v>33909</v>
      </c>
      <c>
        <v>33909</v>
      </c>
      <c t="s">
        <v>48794</v>
      </c>
      <c t="s">
        <v>31934</v>
      </c>
      <c r="AI2211" t="s">
        <v>23008</v>
      </c>
      <c r="AL2211" t="s">
        <v>9407</v>
      </c>
      <c t="s">
        <v>9407</v>
      </c>
      <c t="s">
        <v>50829</v>
      </c>
      <c>
        <v>56288</v>
      </c>
      <c r="AR2211" t="s">
        <v>4399</v>
      </c>
    </row>
    <row>
      <c t="s">
        <v>17594</v>
      </c>
      <c t="s">
        <v>45786</v>
      </c>
      <c t="s">
        <v>14682</v>
      </c>
      <c t="s">
        <v>4577</v>
      </c>
      <c t="s">
        <v>58573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2212" s="1" t="str">
        <f ca="1">HYPERLINK("https://web.datatree.com/?/property?propertyId=32790627", "https://web.datatree.com/?/property?propertyId=32790627")</f>
        <v>https://web.datatree.com/?/property?propertyId=32790627</v>
      </c>
      <c r="Q2212" t="s">
        <v>316</v>
      </c>
      <c>
        <v>0.242</v>
      </c>
      <c t="s">
        <v>22490</v>
      </c>
      <c t="s">
        <v>34124</v>
      </c>
      <c t="s">
        <v>31579</v>
      </c>
      <c r="X2212" t="s">
        <v>6582</v>
      </c>
      <c t="s">
        <v>53675</v>
      </c>
      <c t="s">
        <v>2517</v>
      </c>
      <c t="s">
        <v>39289</v>
      </c>
      <c>
        <v>33909</v>
      </c>
      <c>
        <v>33909</v>
      </c>
      <c t="s">
        <v>48794</v>
      </c>
      <c t="s">
        <v>38706</v>
      </c>
      <c>
        <v>1615</v>
      </c>
      <c r="AI2212" t="s">
        <v>39082</v>
      </c>
      <c t="s">
        <v>39321</v>
      </c>
      <c r="AL2212" t="s">
        <v>46989</v>
      </c>
      <c t="s">
        <v>46989</v>
      </c>
      <c t="s">
        <v>39289</v>
      </c>
      <c t="s">
        <v>7190</v>
      </c>
      <c t="s">
        <v>26242</v>
      </c>
      <c t="s">
        <v>3093</v>
      </c>
      <c t="s">
        <v>5321</v>
      </c>
    </row>
    <row>
      <c t="s">
        <v>17594</v>
      </c>
      <c t="s">
        <v>25549</v>
      </c>
      <c t="s">
        <v>26407</v>
      </c>
      <c t="s">
        <v>29525</v>
      </c>
      <c t="s">
        <v>9528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2213" s="1" t="str">
        <f ca="1">HYPERLINK("https://web.datatree.com/?/property?propertyId=32790711", "https://web.datatree.com/?/property?propertyId=32790711")</f>
        <v>https://web.datatree.com/?/property?propertyId=32790711</v>
      </c>
      <c r="Q2213" t="s">
        <v>316</v>
      </c>
      <c>
        <v>0.23</v>
      </c>
      <c t="s">
        <v>6175</v>
      </c>
      <c t="s">
        <v>6662</v>
      </c>
      <c t="s">
        <v>62298</v>
      </c>
      <c r="X2213" t="s">
        <v>4448</v>
      </c>
      <c t="s">
        <v>2619</v>
      </c>
      <c t="s">
        <v>2517</v>
      </c>
      <c t="s">
        <v>39289</v>
      </c>
      <c>
        <v>33909</v>
      </c>
      <c t="s">
        <v>11622</v>
      </c>
      <c t="s">
        <v>48794</v>
      </c>
      <c t="s">
        <v>36295</v>
      </c>
      <c>
        <v>4908</v>
      </c>
      <c r="AI2213" t="s">
        <v>31914</v>
      </c>
      <c t="s">
        <v>31192</v>
      </c>
      <c r="AL2213" t="s">
        <v>31886</v>
      </c>
      <c r="AN2213" t="s">
        <v>19878</v>
      </c>
      <c t="s">
        <v>4767</v>
      </c>
      <c t="s">
        <v>44726</v>
      </c>
      <c t="s">
        <v>3093</v>
      </c>
      <c t="s">
        <v>58945</v>
      </c>
    </row>
    <row>
      <c t="s">
        <v>17594</v>
      </c>
      <c t="s">
        <v>8607</v>
      </c>
      <c t="s">
        <v>9401</v>
      </c>
      <c t="s">
        <v>58916</v>
      </c>
      <c t="s">
        <v>3622</v>
      </c>
      <c s="3">
        <v>406172</v>
      </c>
      <c s="3">
        <v>406172</v>
      </c>
      <c s="3">
        <v>321200</v>
      </c>
      <c>
        <v>0</v>
      </c>
      <c s="3">
        <v>0</v>
      </c>
      <c s="3">
        <v>6041.91</v>
      </c>
      <c s="3">
        <v>406172</v>
      </c>
      <c r="O2214" s="1" t="str">
        <f ca="1">HYPERLINK("https://web.datatree.com/?/property?propertyId=32791035", "https://web.datatree.com/?/property?propertyId=32791035")</f>
        <v>https://web.datatree.com/?/property?propertyId=32791035</v>
      </c>
      <c r="Q2214" t="s">
        <v>316</v>
      </c>
      <c>
        <v>0.31</v>
      </c>
      <c t="s">
        <v>22490</v>
      </c>
      <c t="s">
        <v>2140</v>
      </c>
      <c t="s">
        <v>35041</v>
      </c>
      <c t="s">
        <v>34344</v>
      </c>
      <c t="s">
        <v>35041</v>
      </c>
      <c t="s">
        <v>54419</v>
      </c>
      <c t="s">
        <v>24999</v>
      </c>
      <c t="s">
        <v>2517</v>
      </c>
      <c t="s">
        <v>39289</v>
      </c>
      <c>
        <v>33904</v>
      </c>
      <c t="s">
        <v>39893</v>
      </c>
      <c t="s">
        <v>48794</v>
      </c>
      <c t="s">
        <v>21593</v>
      </c>
      <c>
        <v>14411</v>
      </c>
      <c r="AI2214" t="s">
        <v>36931</v>
      </c>
      <c t="s">
        <v>24900</v>
      </c>
      <c r="AL2214" t="s">
        <v>23627</v>
      </c>
      <c r="AN2214" t="s">
        <v>51137</v>
      </c>
      <c t="s">
        <v>61107</v>
      </c>
      <c t="s">
        <v>22455</v>
      </c>
      <c t="s">
        <v>3093</v>
      </c>
      <c t="s">
        <v>39481</v>
      </c>
    </row>
    <row>
      <c t="s">
        <v>17594</v>
      </c>
      <c t="s">
        <v>18572</v>
      </c>
      <c t="s">
        <v>36872</v>
      </c>
      <c t="s">
        <v>16101</v>
      </c>
      <c t="s">
        <v>37140</v>
      </c>
      <c s="3">
        <v>120724</v>
      </c>
      <c s="3">
        <v>99250</v>
      </c>
      <c s="3">
        <v>120724</v>
      </c>
      <c>
        <v>0</v>
      </c>
      <c s="3">
        <v>0</v>
      </c>
      <c s="3">
        <v>1812.36</v>
      </c>
      <c s="3">
        <v>120724</v>
      </c>
      <c r="O2215" s="1" t="str">
        <f ca="1">HYPERLINK("https://web.datatree.com/?/property?propertyId=32791053", "https://web.datatree.com/?/property?propertyId=32791053")</f>
        <v>https://web.datatree.com/?/property?propertyId=32791053</v>
      </c>
      <c r="Q2215" t="s">
        <v>316</v>
      </c>
      <c>
        <v>0.127</v>
      </c>
      <c t="s">
        <v>26492</v>
      </c>
      <c t="s">
        <v>26386</v>
      </c>
      <c t="s">
        <v>46201</v>
      </c>
      <c t="s">
        <v>42757</v>
      </c>
      <c t="s">
        <v>23807</v>
      </c>
      <c t="s">
        <v>12509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61810</v>
      </c>
      <c>
        <v>17201</v>
      </c>
      <c r="AI2215" t="s">
        <v>12532</v>
      </c>
      <c t="s">
        <v>56275</v>
      </c>
      <c r="AL2215" t="s">
        <v>62104</v>
      </c>
      <c t="s">
        <v>62104</v>
      </c>
      <c t="s">
        <v>50829</v>
      </c>
      <c t="s">
        <v>61119</v>
      </c>
      <c t="s">
        <v>27410</v>
      </c>
      <c t="s">
        <v>3093</v>
      </c>
      <c t="s">
        <v>7673</v>
      </c>
    </row>
    <row>
      <c t="s">
        <v>17594</v>
      </c>
      <c t="s">
        <v>7794</v>
      </c>
      <c t="s">
        <v>12537</v>
      </c>
      <c t="s">
        <v>38814</v>
      </c>
      <c t="s">
        <v>3795</v>
      </c>
      <c s="3">
        <v>7500</v>
      </c>
      <c s="3">
        <v>7500</v>
      </c>
      <c s="3">
        <v>7500</v>
      </c>
      <c>
        <v>0</v>
      </c>
      <c s="3">
        <v>0</v>
      </c>
      <c s="3">
        <v>533.15</v>
      </c>
      <c s="3">
        <v>7500</v>
      </c>
      <c r="O2216" s="1" t="str">
        <f ca="1">HYPERLINK("https://web.datatree.com/?/property?propertyId=32791237", "https://web.datatree.com/?/property?propertyId=32791237")</f>
        <v>https://web.datatree.com/?/property?propertyId=32791237</v>
      </c>
      <c r="Q2216" t="s">
        <v>316</v>
      </c>
      <c>
        <v>0.23</v>
      </c>
      <c t="s">
        <v>42044</v>
      </c>
      <c t="s">
        <v>25238</v>
      </c>
      <c t="s">
        <v>48352</v>
      </c>
      <c r="X2216" t="s">
        <v>21793</v>
      </c>
      <c t="s">
        <v>61865</v>
      </c>
      <c t="s">
        <v>2517</v>
      </c>
      <c t="s">
        <v>39289</v>
      </c>
      <c>
        <v>33909</v>
      </c>
      <c t="s">
        <v>8520</v>
      </c>
      <c t="s">
        <v>48794</v>
      </c>
      <c t="s">
        <v>38652</v>
      </c>
      <c>
        <v>9909</v>
      </c>
      <c r="AI2216" t="s">
        <v>44525</v>
      </c>
      <c t="s">
        <v>45620</v>
      </c>
      <c r="AL2216" t="s">
        <v>8287</v>
      </c>
      <c t="s">
        <v>8287</v>
      </c>
      <c t="s">
        <v>19878</v>
      </c>
      <c t="s">
        <v>40144</v>
      </c>
      <c t="s">
        <v>38014</v>
      </c>
      <c t="s">
        <v>3093</v>
      </c>
      <c t="s">
        <v>61814</v>
      </c>
    </row>
    <row>
      <c t="s">
        <v>17594</v>
      </c>
      <c t="s">
        <v>51191</v>
      </c>
      <c t="s">
        <v>19250</v>
      </c>
      <c t="s">
        <v>41718</v>
      </c>
      <c t="s">
        <v>17067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217" s="1" t="str">
        <f ca="1">HYPERLINK("https://web.datatree.com/?/property?propertyId=32791322", "https://web.datatree.com/?/property?propertyId=32791322")</f>
        <v>https://web.datatree.com/?/property?propertyId=32791322</v>
      </c>
      <c r="Q2217" t="s">
        <v>316</v>
      </c>
      <c>
        <v>0.23</v>
      </c>
      <c t="s">
        <v>22490</v>
      </c>
      <c t="s">
        <v>39336</v>
      </c>
      <c t="s">
        <v>25754</v>
      </c>
      <c r="X2217" t="s">
        <v>67126</v>
      </c>
      <c t="s">
        <v>25017</v>
      </c>
      <c t="s">
        <v>2517</v>
      </c>
      <c t="s">
        <v>39289</v>
      </c>
      <c>
        <v>33909</v>
      </c>
      <c t="s">
        <v>33712</v>
      </c>
      <c t="s">
        <v>48794</v>
      </c>
      <c t="s">
        <v>16406</v>
      </c>
      <c>
        <v>250</v>
      </c>
      <c r="AI2217" t="s">
        <v>54030</v>
      </c>
      <c t="s">
        <v>45393</v>
      </c>
      <c>
        <v>417</v>
      </c>
      <c t="s">
        <v>13397</v>
      </c>
      <c r="AN2217" t="s">
        <v>50917</v>
      </c>
      <c t="s">
        <v>28467</v>
      </c>
      <c t="s">
        <v>43313</v>
      </c>
      <c t="s">
        <v>3093</v>
      </c>
      <c t="s">
        <v>15192</v>
      </c>
    </row>
    <row>
      <c t="s">
        <v>17594</v>
      </c>
      <c t="s">
        <v>41346</v>
      </c>
      <c t="s">
        <v>15967</v>
      </c>
      <c t="s">
        <v>61912</v>
      </c>
      <c t="s">
        <v>38238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218" s="1" t="str">
        <f ca="1">HYPERLINK("https://web.datatree.com/?/property?propertyId=32791787", "https://web.datatree.com/?/property?propertyId=32791787")</f>
        <v>https://web.datatree.com/?/property?propertyId=32791787</v>
      </c>
      <c r="Q2218" t="s">
        <v>316</v>
      </c>
      <c>
        <v>0.23</v>
      </c>
      <c t="s">
        <v>22490</v>
      </c>
      <c t="s">
        <v>52880</v>
      </c>
      <c t="s">
        <v>51619</v>
      </c>
      <c t="s">
        <v>2140</v>
      </c>
      <c t="s">
        <v>51619</v>
      </c>
      <c t="s">
        <v>48959</v>
      </c>
      <c t="s">
        <v>15510</v>
      </c>
      <c t="s">
        <v>2517</v>
      </c>
      <c t="s">
        <v>39289</v>
      </c>
      <c>
        <v>33909</v>
      </c>
      <c t="s">
        <v>40526</v>
      </c>
      <c t="s">
        <v>48794</v>
      </c>
      <c t="s">
        <v>2078</v>
      </c>
      <c>
        <v>4917</v>
      </c>
      <c r="AI2218" t="s">
        <v>532</v>
      </c>
      <c t="s">
        <v>24900</v>
      </c>
      <c r="AL2218" t="s">
        <v>23972</v>
      </c>
      <c t="s">
        <v>23972</v>
      </c>
      <c t="s">
        <v>19878</v>
      </c>
      <c t="s">
        <v>65977</v>
      </c>
      <c t="s">
        <v>60333</v>
      </c>
      <c t="s">
        <v>3093</v>
      </c>
      <c t="s">
        <v>35730</v>
      </c>
    </row>
    <row>
      <c t="s">
        <v>17594</v>
      </c>
      <c t="s">
        <v>20217</v>
      </c>
      <c t="s">
        <v>31535</v>
      </c>
      <c t="s">
        <v>26420</v>
      </c>
      <c t="s">
        <v>51460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219" s="1" t="str">
        <f ca="1">HYPERLINK("https://web.datatree.com/?/property?propertyId=32792037", "https://web.datatree.com/?/property?propertyId=32792037")</f>
        <v>https://web.datatree.com/?/property?propertyId=32792037</v>
      </c>
      <c r="Q2219" t="s">
        <v>316</v>
      </c>
      <c>
        <v>0.23</v>
      </c>
      <c t="s">
        <v>22490</v>
      </c>
      <c t="s">
        <v>34468</v>
      </c>
      <c t="s">
        <v>53009</v>
      </c>
      <c r="X2219" t="s">
        <v>22766</v>
      </c>
      <c t="s">
        <v>2626</v>
      </c>
      <c t="s">
        <v>2517</v>
      </c>
      <c t="s">
        <v>39289</v>
      </c>
      <c>
        <v>33909</v>
      </c>
      <c t="s">
        <v>40318</v>
      </c>
      <c t="s">
        <v>48794</v>
      </c>
      <c t="s">
        <v>54865</v>
      </c>
      <c>
        <v>1008</v>
      </c>
      <c r="AI2219" t="s">
        <v>51473</v>
      </c>
      <c t="s">
        <v>31192</v>
      </c>
      <c>
        <v>42</v>
      </c>
      <c t="s">
        <v>37490</v>
      </c>
      <c t="s">
        <v>37490</v>
      </c>
      <c t="s">
        <v>18236</v>
      </c>
      <c t="s">
        <v>19959</v>
      </c>
      <c t="s">
        <v>29183</v>
      </c>
      <c t="s">
        <v>3093</v>
      </c>
      <c t="s">
        <v>65956</v>
      </c>
    </row>
    <row>
      <c t="s">
        <v>17594</v>
      </c>
      <c t="s">
        <v>34953</v>
      </c>
      <c t="s">
        <v>36887</v>
      </c>
      <c t="s">
        <v>25564</v>
      </c>
      <c t="s">
        <v>25715</v>
      </c>
      <c s="3">
        <v>17097</v>
      </c>
      <c s="3">
        <v>17097</v>
      </c>
      <c s="3">
        <v>8470</v>
      </c>
      <c>
        <v>0</v>
      </c>
      <c s="3">
        <v>0</v>
      </c>
      <c s="3">
        <v>557.43</v>
      </c>
      <c s="3">
        <v>17097</v>
      </c>
      <c r="O2220" s="1" t="str">
        <f ca="1">HYPERLINK("https://web.datatree.com/?/property?propertyId=32792682", "https://web.datatree.com/?/property?propertyId=32792682")</f>
        <v>https://web.datatree.com/?/property?propertyId=32792682</v>
      </c>
      <c r="Q2220" t="s">
        <v>316</v>
      </c>
      <c>
        <v>0.243</v>
      </c>
      <c t="s">
        <v>6175</v>
      </c>
      <c t="s">
        <v>62125</v>
      </c>
      <c t="s">
        <v>31971</v>
      </c>
      <c r="X2220" t="s">
        <v>61123</v>
      </c>
      <c t="s">
        <v>29190</v>
      </c>
      <c t="s">
        <v>2517</v>
      </c>
      <c t="s">
        <v>39289</v>
      </c>
      <c>
        <v>33909</v>
      </c>
      <c t="s">
        <v>10534</v>
      </c>
      <c t="s">
        <v>48794</v>
      </c>
      <c t="s">
        <v>9173</v>
      </c>
      <c>
        <v>2848</v>
      </c>
      <c r="AI2220" t="s">
        <v>29555</v>
      </c>
      <c t="s">
        <v>31192</v>
      </c>
      <c r="AL2220" t="s">
        <v>59059</v>
      </c>
      <c r="AN2220" t="s">
        <v>50917</v>
      </c>
      <c t="s">
        <v>29971</v>
      </c>
      <c t="s">
        <v>49977</v>
      </c>
      <c t="s">
        <v>3093</v>
      </c>
      <c t="s">
        <v>16929</v>
      </c>
    </row>
    <row>
      <c t="s">
        <v>17594</v>
      </c>
      <c t="s">
        <v>2034</v>
      </c>
      <c t="s">
        <v>7744</v>
      </c>
      <c t="s">
        <v>62446</v>
      </c>
      <c t="s">
        <v>50277</v>
      </c>
      <c s="3">
        <v>18361</v>
      </c>
      <c s="3">
        <v>18361</v>
      </c>
      <c s="3">
        <v>9130</v>
      </c>
      <c>
        <v>0</v>
      </c>
      <c s="3">
        <v>0</v>
      </c>
      <c s="3">
        <v>581.68</v>
      </c>
      <c s="3">
        <v>18361</v>
      </c>
      <c r="O2221" s="1" t="str">
        <f ca="1">HYPERLINK("https://web.datatree.com/?/property?propertyId=32793916", "https://web.datatree.com/?/property?propertyId=32793916")</f>
        <v>https://web.datatree.com/?/property?propertyId=32793916</v>
      </c>
      <c r="Q2221" t="s">
        <v>316</v>
      </c>
      <c>
        <v>0.23</v>
      </c>
      <c t="s">
        <v>45031</v>
      </c>
      <c t="s">
        <v>34601</v>
      </c>
      <c t="s">
        <v>42637</v>
      </c>
      <c r="X2221" t="s">
        <v>49707</v>
      </c>
      <c t="s">
        <v>29190</v>
      </c>
      <c t="s">
        <v>2517</v>
      </c>
      <c t="s">
        <v>39289</v>
      </c>
      <c>
        <v>33909</v>
      </c>
      <c t="s">
        <v>16765</v>
      </c>
      <c t="s">
        <v>48794</v>
      </c>
      <c t="s">
        <v>29943</v>
      </c>
      <c>
        <v>719</v>
      </c>
      <c r="AI2221" t="s">
        <v>6874</v>
      </c>
      <c t="s">
        <v>24900</v>
      </c>
      <c r="AL2221" t="s">
        <v>18513</v>
      </c>
      <c r="AN2221" t="s">
        <v>50917</v>
      </c>
      <c t="s">
        <v>61274</v>
      </c>
      <c t="s">
        <v>64128</v>
      </c>
      <c t="s">
        <v>3093</v>
      </c>
      <c t="s">
        <v>56421</v>
      </c>
    </row>
    <row>
      <c t="s">
        <v>17594</v>
      </c>
      <c t="s">
        <v>63529</v>
      </c>
      <c t="s">
        <v>704</v>
      </c>
      <c t="s">
        <v>16869</v>
      </c>
      <c t="s">
        <v>38653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2222" s="1" t="str">
        <f ca="1">HYPERLINK("https://web.datatree.com/?/property?propertyId=32794493", "https://web.datatree.com/?/property?propertyId=32794493")</f>
        <v>https://web.datatree.com/?/property?propertyId=32794493</v>
      </c>
      <c r="Q2222" t="s">
        <v>316</v>
      </c>
      <c>
        <v>0.105</v>
      </c>
      <c t="s">
        <v>26492</v>
      </c>
      <c t="s">
        <v>10361</v>
      </c>
      <c t="s">
        <v>40227</v>
      </c>
      <c t="s">
        <v>1479</v>
      </c>
      <c t="s">
        <v>40227</v>
      </c>
      <c t="s">
        <v>38686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66582</v>
      </c>
      <c>
        <v>411</v>
      </c>
      <c r="AI2222" t="s">
        <v>49491</v>
      </c>
      <c t="s">
        <v>55910</v>
      </c>
      <c>
        <v>17724</v>
      </c>
      <c t="s">
        <v>61590</v>
      </c>
      <c t="s">
        <v>61590</v>
      </c>
      <c t="s">
        <v>39289</v>
      </c>
      <c>
        <v>32043</v>
      </c>
      <c t="s">
        <v>57971</v>
      </c>
      <c t="s">
        <v>3093</v>
      </c>
      <c t="s">
        <v>48672</v>
      </c>
    </row>
    <row>
      <c t="s">
        <v>17594</v>
      </c>
      <c t="s">
        <v>21439</v>
      </c>
      <c t="s">
        <v>20186</v>
      </c>
      <c t="s">
        <v>16078</v>
      </c>
      <c t="s">
        <v>58764</v>
      </c>
      <c s="3">
        <v>20389</v>
      </c>
      <c s="3">
        <v>20389</v>
      </c>
      <c s="3">
        <v>9599</v>
      </c>
      <c>
        <v>0</v>
      </c>
      <c s="3">
        <v>0</v>
      </c>
      <c s="3">
        <v>696.63</v>
      </c>
      <c s="3">
        <v>20389</v>
      </c>
      <c>
        <v>2021</v>
      </c>
      <c>
        <v>654.21</v>
      </c>
      <c s="1" t="str">
        <f ca="1">HYPERLINK("https://web.datatree.com/?/property?propertyId=32795122", "https://web.datatree.com/?/property?propertyId=32795122")</f>
        <v>https://web.datatree.com/?/property?propertyId=32795122</v>
      </c>
      <c r="Q2223" t="s">
        <v>316</v>
      </c>
      <c>
        <v>0.344</v>
      </c>
      <c t="s">
        <v>6175</v>
      </c>
      <c t="s">
        <v>769</v>
      </c>
      <c t="s">
        <v>34889</v>
      </c>
      <c t="s">
        <v>769</v>
      </c>
      <c r="X2223" t="s">
        <v>16996</v>
      </c>
      <c t="s">
        <v>61865</v>
      </c>
      <c t="s">
        <v>2517</v>
      </c>
      <c t="s">
        <v>39289</v>
      </c>
      <c>
        <v>33909</v>
      </c>
      <c t="s">
        <v>30237</v>
      </c>
      <c t="s">
        <v>48794</v>
      </c>
      <c t="s">
        <v>35807</v>
      </c>
      <c>
        <v>220</v>
      </c>
      <c r="AI2223" t="s">
        <v>18719</v>
      </c>
      <c t="s">
        <v>45393</v>
      </c>
      <c>
        <v>1607</v>
      </c>
      <c t="s">
        <v>7812</v>
      </c>
      <c t="s">
        <v>6929</v>
      </c>
      <c t="s">
        <v>49572</v>
      </c>
      <c t="s">
        <v>8939</v>
      </c>
      <c t="s">
        <v>27780</v>
      </c>
      <c t="s">
        <v>3093</v>
      </c>
      <c t="s">
        <v>34123</v>
      </c>
    </row>
    <row>
      <c t="s">
        <v>17594</v>
      </c>
      <c t="s">
        <v>47409</v>
      </c>
      <c t="s">
        <v>20082</v>
      </c>
      <c t="s">
        <v>13530</v>
      </c>
      <c t="s">
        <v>28092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224" s="1" t="str">
        <f ca="1">HYPERLINK("https://web.datatree.com/?/property?propertyId=32795677", "https://web.datatree.com/?/property?propertyId=32795677")</f>
        <v>https://web.datatree.com/?/property?propertyId=32795677</v>
      </c>
      <c r="Q2224" t="s">
        <v>316</v>
      </c>
      <c>
        <v>0.23</v>
      </c>
      <c t="s">
        <v>6175</v>
      </c>
      <c t="s">
        <v>58276</v>
      </c>
      <c t="s">
        <v>41570</v>
      </c>
      <c r="X2224" t="s">
        <v>39502</v>
      </c>
      <c t="s">
        <v>23517</v>
      </c>
      <c t="s">
        <v>2517</v>
      </c>
      <c t="s">
        <v>39289</v>
      </c>
      <c>
        <v>33909</v>
      </c>
      <c t="s">
        <v>1793</v>
      </c>
      <c t="s">
        <v>48794</v>
      </c>
      <c t="s">
        <v>1265</v>
      </c>
      <c>
        <v>8002</v>
      </c>
      <c r="AI2224" t="s">
        <v>5234</v>
      </c>
      <c t="s">
        <v>45620</v>
      </c>
      <c r="AL2224" t="s">
        <v>30190</v>
      </c>
      <c t="s">
        <v>30190</v>
      </c>
      <c t="s">
        <v>65467</v>
      </c>
      <c t="s">
        <v>57125</v>
      </c>
      <c t="s">
        <v>4797</v>
      </c>
      <c t="s">
        <v>3093</v>
      </c>
      <c t="s">
        <v>11620</v>
      </c>
    </row>
    <row>
      <c t="s">
        <v>17594</v>
      </c>
      <c t="s">
        <v>3908</v>
      </c>
      <c t="s">
        <v>42965</v>
      </c>
      <c t="s">
        <v>24295</v>
      </c>
      <c t="s">
        <v>66973</v>
      </c>
      <c s="3">
        <v>47586</v>
      </c>
      <c s="3">
        <v>47586</v>
      </c>
      <c s="3">
        <v>47586</v>
      </c>
      <c>
        <v>0</v>
      </c>
      <c s="3">
        <v>0</v>
      </c>
      <c s="3">
        <v>1341.29</v>
      </c>
      <c s="3">
        <v>47586</v>
      </c>
      <c r="O2225" s="1" t="str">
        <f ca="1">HYPERLINK("https://web.datatree.com/?/property?propertyId=32796751", "https://web.datatree.com/?/property?propertyId=32796751")</f>
        <v>https://web.datatree.com/?/property?propertyId=32796751</v>
      </c>
      <c r="Q2225" t="s">
        <v>316</v>
      </c>
      <c>
        <v>0.23</v>
      </c>
      <c t="s">
        <v>6175</v>
      </c>
      <c t="s">
        <v>40422</v>
      </c>
      <c t="s">
        <v>45794</v>
      </c>
      <c t="s">
        <v>26000</v>
      </c>
      <c t="s">
        <v>53009</v>
      </c>
      <c t="s">
        <v>41215</v>
      </c>
      <c t="s">
        <v>39832</v>
      </c>
      <c t="s">
        <v>2517</v>
      </c>
      <c t="s">
        <v>39289</v>
      </c>
      <c>
        <v>33904</v>
      </c>
      <c t="s">
        <v>24210</v>
      </c>
      <c t="s">
        <v>48794</v>
      </c>
      <c t="s">
        <v>60658</v>
      </c>
      <c>
        <v>261</v>
      </c>
      <c r="AH2225" t="s">
        <v>15376</v>
      </c>
      <c t="s">
        <v>25754</v>
      </c>
      <c t="s">
        <v>24900</v>
      </c>
      <c r="AL2225" t="s">
        <v>27902</v>
      </c>
      <c t="s">
        <v>27902</v>
      </c>
      <c t="s">
        <v>4477</v>
      </c>
      <c t="s">
        <v>56018</v>
      </c>
      <c t="s">
        <v>34162</v>
      </c>
      <c t="s">
        <v>3093</v>
      </c>
      <c t="s">
        <v>34804</v>
      </c>
    </row>
    <row>
      <c t="s">
        <v>17594</v>
      </c>
      <c t="s">
        <v>13851</v>
      </c>
      <c t="s">
        <v>10232</v>
      </c>
      <c t="s">
        <v>64479</v>
      </c>
      <c t="s">
        <v>49800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226" s="1" t="str">
        <f ca="1">HYPERLINK("https://web.datatree.com/?/property?propertyId=32797206", "https://web.datatree.com/?/property?propertyId=32797206")</f>
        <v>https://web.datatree.com/?/property?propertyId=32797206</v>
      </c>
      <c r="Q2226" t="s">
        <v>316</v>
      </c>
      <c>
        <v>0.23</v>
      </c>
      <c t="s">
        <v>22490</v>
      </c>
      <c t="s">
        <v>52880</v>
      </c>
      <c t="s">
        <v>47427</v>
      </c>
      <c t="s">
        <v>4576</v>
      </c>
      <c t="s">
        <v>47427</v>
      </c>
      <c t="s">
        <v>29450</v>
      </c>
      <c t="s">
        <v>49674</v>
      </c>
      <c t="s">
        <v>2517</v>
      </c>
      <c t="s">
        <v>39289</v>
      </c>
      <c>
        <v>33909</v>
      </c>
      <c t="s">
        <v>4274</v>
      </c>
      <c t="s">
        <v>48794</v>
      </c>
      <c t="s">
        <v>13489</v>
      </c>
      <c>
        <v>1006</v>
      </c>
      <c r="AI2226" t="s">
        <v>5115</v>
      </c>
      <c t="s">
        <v>24900</v>
      </c>
      <c r="AL2226" t="s">
        <v>36970</v>
      </c>
      <c r="AN2226" t="s">
        <v>39289</v>
      </c>
      <c t="s">
        <v>3453</v>
      </c>
      <c t="s">
        <v>39331</v>
      </c>
      <c t="s">
        <v>3093</v>
      </c>
      <c t="s">
        <v>58720</v>
      </c>
    </row>
    <row>
      <c t="s">
        <v>17594</v>
      </c>
      <c t="s">
        <v>51587</v>
      </c>
      <c t="s">
        <v>21258</v>
      </c>
      <c t="s">
        <v>37441</v>
      </c>
      <c t="s">
        <v>53500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575.6</v>
      </c>
      <c s="1" t="str">
        <f ca="1">HYPERLINK("https://web.datatree.com/?/property?propertyId=32797261", "https://web.datatree.com/?/property?propertyId=32797261")</f>
        <v>https://web.datatree.com/?/property?propertyId=32797261</v>
      </c>
      <c r="Q2227" t="s">
        <v>316</v>
      </c>
      <c>
        <v>0.23</v>
      </c>
      <c t="s">
        <v>6175</v>
      </c>
      <c t="s">
        <v>52509</v>
      </c>
      <c t="s">
        <v>24253</v>
      </c>
      <c t="s">
        <v>60671</v>
      </c>
      <c t="s">
        <v>24253</v>
      </c>
      <c t="s">
        <v>17775</v>
      </c>
      <c t="s">
        <v>17022</v>
      </c>
      <c t="s">
        <v>2517</v>
      </c>
      <c t="s">
        <v>39289</v>
      </c>
      <c>
        <v>33909</v>
      </c>
      <c t="s">
        <v>23764</v>
      </c>
      <c t="s">
        <v>48794</v>
      </c>
      <c t="s">
        <v>19875</v>
      </c>
      <c>
        <v>31</v>
      </c>
      <c r="AI2227" t="s">
        <v>42212</v>
      </c>
      <c t="s">
        <v>31192</v>
      </c>
      <c r="AL2227" t="s">
        <v>34793</v>
      </c>
      <c r="AN2227" t="s">
        <v>27747</v>
      </c>
      <c t="s">
        <v>44074</v>
      </c>
      <c t="s">
        <v>12241</v>
      </c>
      <c t="s">
        <v>3093</v>
      </c>
      <c t="s">
        <v>45785</v>
      </c>
    </row>
    <row>
      <c t="s">
        <v>17594</v>
      </c>
      <c t="s">
        <v>5876</v>
      </c>
      <c t="s">
        <v>63924</v>
      </c>
      <c t="s">
        <v>41706</v>
      </c>
      <c t="s">
        <v>26615</v>
      </c>
      <c s="3">
        <v>8700</v>
      </c>
      <c s="3">
        <v>8700</v>
      </c>
      <c s="3">
        <v>8700</v>
      </c>
      <c>
        <v>0</v>
      </c>
      <c s="3">
        <v>0</v>
      </c>
      <c s="3">
        <v>694.45</v>
      </c>
      <c s="3">
        <v>8700</v>
      </c>
      <c r="O2228" s="1" t="str">
        <f ca="1">HYPERLINK("https://web.datatree.com/?/property?propertyId=32797449", "https://web.datatree.com/?/property?propertyId=32797449")</f>
        <v>https://web.datatree.com/?/property?propertyId=32797449</v>
      </c>
      <c r="Q2228" t="s">
        <v>316</v>
      </c>
      <c>
        <v>0.241</v>
      </c>
      <c t="s">
        <v>6175</v>
      </c>
      <c t="s">
        <v>125</v>
      </c>
      <c t="s">
        <v>46201</v>
      </c>
      <c r="X2228" t="s">
        <v>52530</v>
      </c>
      <c t="s">
        <v>39082</v>
      </c>
      <c t="s">
        <v>2517</v>
      </c>
      <c t="s">
        <v>39289</v>
      </c>
      <c>
        <v>33909</v>
      </c>
      <c t="s">
        <v>4923</v>
      </c>
      <c t="s">
        <v>48794</v>
      </c>
      <c t="s">
        <v>38013</v>
      </c>
      <c>
        <v>331</v>
      </c>
      <c r="AI2228" t="s">
        <v>51697</v>
      </c>
      <c t="s">
        <v>24900</v>
      </c>
      <c r="AL2228" t="s">
        <v>26964</v>
      </c>
      <c t="s">
        <v>54769</v>
      </c>
      <c t="s">
        <v>5859</v>
      </c>
      <c t="s">
        <v>58335</v>
      </c>
      <c t="s">
        <v>22613</v>
      </c>
      <c t="s">
        <v>3093</v>
      </c>
      <c t="s">
        <v>56266</v>
      </c>
    </row>
    <row>
      <c t="s">
        <v>17594</v>
      </c>
      <c t="s">
        <v>34938</v>
      </c>
      <c t="s">
        <v>1321</v>
      </c>
      <c t="s">
        <v>57570</v>
      </c>
      <c t="s">
        <v>61070</v>
      </c>
      <c s="3">
        <v>20002</v>
      </c>
      <c s="3">
        <v>20002</v>
      </c>
      <c s="3">
        <v>9570</v>
      </c>
      <c>
        <v>0</v>
      </c>
      <c s="3">
        <v>0</v>
      </c>
      <c s="3">
        <v>583.58</v>
      </c>
      <c s="3">
        <v>20002</v>
      </c>
      <c>
        <v>2020</v>
      </c>
      <c>
        <v>1769.16</v>
      </c>
      <c s="1" t="str">
        <f ca="1">HYPERLINK("https://web.datatree.com/?/property?propertyId=32797731", "https://web.datatree.com/?/property?propertyId=32797731")</f>
        <v>https://web.datatree.com/?/property?propertyId=32797731</v>
      </c>
      <c r="Q2229" t="s">
        <v>316</v>
      </c>
      <c>
        <v>0.23</v>
      </c>
      <c t="s">
        <v>6175</v>
      </c>
      <c t="s">
        <v>33748</v>
      </c>
      <c t="s">
        <v>3145</v>
      </c>
      <c r="W2229" t="s">
        <v>855</v>
      </c>
      <c t="s">
        <v>11325</v>
      </c>
      <c t="s">
        <v>22731</v>
      </c>
      <c t="s">
        <v>2517</v>
      </c>
      <c t="s">
        <v>39289</v>
      </c>
      <c>
        <v>33909</v>
      </c>
      <c t="s">
        <v>59012</v>
      </c>
      <c t="s">
        <v>48794</v>
      </c>
      <c t="s">
        <v>27240</v>
      </c>
      <c>
        <v>6900</v>
      </c>
      <c r="AI2229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42103</v>
      </c>
      <c t="s">
        <v>33545</v>
      </c>
      <c t="s">
        <v>20449</v>
      </c>
      <c t="s">
        <v>41753</v>
      </c>
      <c t="s">
        <v>53274</v>
      </c>
      <c s="3">
        <v>47000</v>
      </c>
      <c s="3">
        <v>47000</v>
      </c>
      <c s="3">
        <v>9599</v>
      </c>
      <c>
        <v>0</v>
      </c>
      <c s="3">
        <v>0</v>
      </c>
      <c s="3">
        <v>828.28</v>
      </c>
      <c s="3">
        <v>47000</v>
      </c>
      <c r="O2230" s="1" t="str">
        <f ca="1">HYPERLINK("https://web.datatree.com/?/property?propertyId=32798555", "https://web.datatree.com/?/property?propertyId=32798555")</f>
        <v>https://web.datatree.com/?/property?propertyId=32798555</v>
      </c>
      <c r="Q2230" t="s">
        <v>316</v>
      </c>
      <c>
        <v>0.344</v>
      </c>
      <c t="s">
        <v>65422</v>
      </c>
      <c t="s">
        <v>6361</v>
      </c>
      <c t="s">
        <v>65028</v>
      </c>
      <c t="s">
        <v>21379</v>
      </c>
      <c t="s">
        <v>65028</v>
      </c>
      <c t="s">
        <v>63979</v>
      </c>
      <c t="s">
        <v>8669</v>
      </c>
      <c t="s">
        <v>2517</v>
      </c>
      <c t="s">
        <v>39289</v>
      </c>
      <c>
        <v>33909</v>
      </c>
      <c t="s">
        <v>7850</v>
      </c>
      <c t="s">
        <v>48794</v>
      </c>
      <c t="s">
        <v>52951</v>
      </c>
      <c r="AI2230" t="s">
        <v>54506</v>
      </c>
      <c r="AN2230" t="s">
        <v>53420</v>
      </c>
      <c r="AR2230" t="s">
        <v>45569</v>
      </c>
    </row>
    <row>
      <c t="s">
        <v>17594</v>
      </c>
      <c t="s">
        <v>44202</v>
      </c>
      <c t="s">
        <v>49147</v>
      </c>
      <c t="s">
        <v>15534</v>
      </c>
      <c t="s">
        <v>59626</v>
      </c>
      <c s="3">
        <v>12544</v>
      </c>
      <c s="3">
        <v>12544</v>
      </c>
      <c s="3">
        <v>7700</v>
      </c>
      <c>
        <v>0</v>
      </c>
      <c s="3">
        <v>0</v>
      </c>
      <c s="3">
        <v>341.95</v>
      </c>
      <c s="3">
        <v>12544</v>
      </c>
      <c r="O2231" s="1" t="str">
        <f ca="1">HYPERLINK("https://web.datatree.com/?/property?propertyId=32798970", "https://web.datatree.com/?/property?propertyId=32798970")</f>
        <v>https://web.datatree.com/?/property?propertyId=32798970</v>
      </c>
      <c r="Q2231" t="s">
        <v>316</v>
      </c>
      <c>
        <v>0.304</v>
      </c>
      <c t="s">
        <v>5471</v>
      </c>
      <c t="s">
        <v>56832</v>
      </c>
      <c t="s">
        <v>1278</v>
      </c>
      <c t="s">
        <v>1859</v>
      </c>
      <c t="s">
        <v>1278</v>
      </c>
      <c t="s">
        <v>52204</v>
      </c>
      <c t="s">
        <v>5280</v>
      </c>
      <c t="s">
        <v>65059</v>
      </c>
      <c t="s">
        <v>39289</v>
      </c>
      <c>
        <v>33905</v>
      </c>
      <c t="s">
        <v>14638</v>
      </c>
      <c t="s">
        <v>48794</v>
      </c>
      <c t="s">
        <v>12045</v>
      </c>
      <c>
        <v>9621</v>
      </c>
      <c r="AI2231" t="s">
        <v>64564</v>
      </c>
      <c t="s">
        <v>40123</v>
      </c>
      <c r="AL2231" t="s">
        <v>18092</v>
      </c>
      <c t="s">
        <v>18092</v>
      </c>
      <c t="s">
        <v>39289</v>
      </c>
      <c t="s">
        <v>9864</v>
      </c>
      <c t="s">
        <v>11138</v>
      </c>
      <c t="s">
        <v>3093</v>
      </c>
      <c t="s">
        <v>7916</v>
      </c>
    </row>
    <row>
      <c t="s">
        <v>17594</v>
      </c>
      <c t="s">
        <v>51374</v>
      </c>
      <c t="s">
        <v>44425</v>
      </c>
      <c t="s">
        <v>67216</v>
      </c>
      <c t="s">
        <v>16470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2232" s="1" t="str">
        <f ca="1">HYPERLINK("https://web.datatree.com/?/property?propertyId=32799077", "https://web.datatree.com/?/property?propertyId=32799077")</f>
        <v>https://web.datatree.com/?/property?propertyId=32799077</v>
      </c>
      <c r="Q2232" t="s">
        <v>316</v>
      </c>
      <c>
        <v>0.23</v>
      </c>
      <c t="s">
        <v>6175</v>
      </c>
      <c r="U2232" t="s">
        <v>17693</v>
      </c>
      <c r="W2232" t="s">
        <v>34030</v>
      </c>
      <c t="s">
        <v>2655</v>
      </c>
      <c t="s">
        <v>34136</v>
      </c>
      <c t="s">
        <v>2517</v>
      </c>
      <c t="s">
        <v>39289</v>
      </c>
      <c>
        <v>33909</v>
      </c>
      <c t="s">
        <v>58381</v>
      </c>
      <c t="s">
        <v>48794</v>
      </c>
      <c t="s">
        <v>66154</v>
      </c>
      <c>
        <v>6601</v>
      </c>
      <c r="AH2232" t="s">
        <v>15376</v>
      </c>
      <c t="s">
        <v>30098</v>
      </c>
      <c t="s">
        <v>64789</v>
      </c>
      <c r="AL2232" t="s">
        <v>7457</v>
      </c>
      <c r="AN2232" t="s">
        <v>10804</v>
      </c>
      <c t="s">
        <v>11067</v>
      </c>
      <c t="s">
        <v>33856</v>
      </c>
      <c t="s">
        <v>3093</v>
      </c>
      <c t="s">
        <v>19117</v>
      </c>
    </row>
    <row>
      <c t="s">
        <v>17594</v>
      </c>
      <c t="s">
        <v>29952</v>
      </c>
      <c t="s">
        <v>58718</v>
      </c>
      <c t="s">
        <v>27851</v>
      </c>
      <c t="s">
        <v>35612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2233" s="1" t="str">
        <f ca="1">HYPERLINK("https://web.datatree.com/?/property?propertyId=32799762", "https://web.datatree.com/?/property?propertyId=32799762")</f>
        <v>https://web.datatree.com/?/property?propertyId=32799762</v>
      </c>
      <c r="Q2233" t="s">
        <v>316</v>
      </c>
      <c>
        <v>0.23</v>
      </c>
      <c t="s">
        <v>22490</v>
      </c>
      <c t="s">
        <v>40215</v>
      </c>
      <c t="s">
        <v>64986</v>
      </c>
      <c r="X2233" t="s">
        <v>57048</v>
      </c>
      <c t="s">
        <v>39082</v>
      </c>
      <c t="s">
        <v>2517</v>
      </c>
      <c t="s">
        <v>39289</v>
      </c>
      <c>
        <v>33909</v>
      </c>
      <c t="s">
        <v>4680</v>
      </c>
      <c t="s">
        <v>48794</v>
      </c>
      <c t="s">
        <v>51566</v>
      </c>
      <c>
        <v>11032</v>
      </c>
      <c r="AI2233" t="s">
        <v>25924</v>
      </c>
      <c t="s">
        <v>1671</v>
      </c>
      <c r="AL2233" t="s">
        <v>9970</v>
      </c>
      <c r="AN2233" t="s">
        <v>65451</v>
      </c>
      <c t="s">
        <v>43095</v>
      </c>
      <c t="s">
        <v>55071</v>
      </c>
      <c t="s">
        <v>3093</v>
      </c>
      <c t="s">
        <v>66998</v>
      </c>
    </row>
    <row>
      <c t="s">
        <v>17594</v>
      </c>
      <c t="s">
        <v>65318</v>
      </c>
      <c t="s">
        <v>13465</v>
      </c>
      <c t="s">
        <v>60246</v>
      </c>
      <c t="s">
        <v>47638</v>
      </c>
      <c s="3">
        <v>18082</v>
      </c>
      <c s="3">
        <v>18082</v>
      </c>
      <c s="3">
        <v>7865</v>
      </c>
      <c>
        <v>0</v>
      </c>
      <c s="3">
        <v>0</v>
      </c>
      <c s="3">
        <v>492.2</v>
      </c>
      <c s="3">
        <v>18082</v>
      </c>
      <c r="O2234" s="1" t="str">
        <f ca="1">HYPERLINK("https://web.datatree.com/?/property?propertyId=32800212", "https://web.datatree.com/?/property?propertyId=32800212")</f>
        <v>https://web.datatree.com/?/property?propertyId=32800212</v>
      </c>
      <c r="Q2234" t="s">
        <v>316</v>
      </c>
      <c>
        <v>0.244</v>
      </c>
      <c t="s">
        <v>6175</v>
      </c>
      <c t="s">
        <v>235</v>
      </c>
      <c t="s">
        <v>9333</v>
      </c>
      <c r="X2234" t="s">
        <v>40347</v>
      </c>
      <c t="s">
        <v>39082</v>
      </c>
      <c t="s">
        <v>2517</v>
      </c>
      <c t="s">
        <v>39289</v>
      </c>
      <c>
        <v>33909</v>
      </c>
      <c t="s">
        <v>8071</v>
      </c>
      <c t="s">
        <v>48794</v>
      </c>
      <c t="s">
        <v>13241</v>
      </c>
      <c>
        <v>2202</v>
      </c>
      <c r="AI2234" t="s">
        <v>15127</v>
      </c>
      <c t="s">
        <v>45393</v>
      </c>
      <c r="AL2234" t="s">
        <v>59843</v>
      </c>
      <c r="AN2234" t="s">
        <v>36601</v>
      </c>
      <c t="s">
        <v>34514</v>
      </c>
      <c t="s">
        <v>26242</v>
      </c>
      <c t="s">
        <v>3093</v>
      </c>
      <c t="s">
        <v>27826</v>
      </c>
    </row>
    <row>
      <c t="s">
        <v>17594</v>
      </c>
      <c t="s">
        <v>48311</v>
      </c>
      <c t="s">
        <v>20775</v>
      </c>
      <c t="s">
        <v>40584</v>
      </c>
      <c t="s">
        <v>67110</v>
      </c>
      <c s="3">
        <v>20580</v>
      </c>
      <c s="3">
        <v>20580</v>
      </c>
      <c s="3">
        <v>9599</v>
      </c>
      <c>
        <v>0</v>
      </c>
      <c s="3">
        <v>0</v>
      </c>
      <c s="3">
        <v>681.46</v>
      </c>
      <c s="3">
        <v>20580</v>
      </c>
      <c>
        <v>2020</v>
      </c>
      <c>
        <v>2071.3</v>
      </c>
      <c s="1" t="str">
        <f ca="1">HYPERLINK("https://web.datatree.com/?/property?propertyId=32800373", "https://web.datatree.com/?/property?propertyId=32800373")</f>
        <v>https://web.datatree.com/?/property?propertyId=32800373</v>
      </c>
      <c r="Q2235" t="s">
        <v>316</v>
      </c>
      <c>
        <v>0.344</v>
      </c>
      <c t="s">
        <v>6175</v>
      </c>
      <c t="s">
        <v>14925</v>
      </c>
      <c t="s">
        <v>22688</v>
      </c>
      <c t="s">
        <v>61675</v>
      </c>
      <c t="s">
        <v>22688</v>
      </c>
      <c t="s">
        <v>31679</v>
      </c>
      <c t="s">
        <v>61144</v>
      </c>
      <c t="s">
        <v>2517</v>
      </c>
      <c t="s">
        <v>39289</v>
      </c>
      <c>
        <v>33909</v>
      </c>
      <c t="s">
        <v>26052</v>
      </c>
      <c t="s">
        <v>48794</v>
      </c>
      <c t="s">
        <v>38521</v>
      </c>
      <c r="AI2235" t="s">
        <v>66551</v>
      </c>
      <c r="AK2235">
        <v>11</v>
      </c>
      <c t="s">
        <v>51395</v>
      </c>
      <c r="AN2235" t="s">
        <v>22478</v>
      </c>
      <c r="AR2235" t="s">
        <v>25448</v>
      </c>
    </row>
    <row>
      <c t="s">
        <v>17594</v>
      </c>
      <c t="s">
        <v>6683</v>
      </c>
      <c t="s">
        <v>58525</v>
      </c>
      <c t="s">
        <v>7345</v>
      </c>
      <c t="s">
        <v>3518</v>
      </c>
      <c s="3">
        <v>26250</v>
      </c>
      <c s="3">
        <v>26250</v>
      </c>
      <c s="3">
        <v>18975</v>
      </c>
      <c>
        <v>0</v>
      </c>
      <c s="3">
        <v>0</v>
      </c>
      <c s="3">
        <v>467.13</v>
      </c>
      <c s="3">
        <v>26250</v>
      </c>
      <c r="O2236" s="1" t="str">
        <f ca="1">HYPERLINK("https://web.datatree.com/?/property?propertyId=32800605", "https://web.datatree.com/?/property?propertyId=32800605")</f>
        <v>https://web.datatree.com/?/property?propertyId=32800605</v>
      </c>
      <c r="Q2236" t="s">
        <v>316</v>
      </c>
      <c>
        <v>0.233</v>
      </c>
      <c t="s">
        <v>5471</v>
      </c>
      <c r="U2236" t="s">
        <v>13770</v>
      </c>
      <c t="s">
        <v>11444</v>
      </c>
      <c t="s">
        <v>47460</v>
      </c>
      <c t="s">
        <v>53975</v>
      </c>
      <c t="s">
        <v>12246</v>
      </c>
      <c t="s">
        <v>65059</v>
      </c>
      <c t="s">
        <v>39289</v>
      </c>
      <c>
        <v>33905</v>
      </c>
      <c t="s">
        <v>64746</v>
      </c>
      <c t="s">
        <v>48794</v>
      </c>
      <c t="s">
        <v>3849</v>
      </c>
      <c>
        <v>11754</v>
      </c>
      <c r="AI2236" t="s">
        <v>35476</v>
      </c>
      <c t="s">
        <v>45620</v>
      </c>
      <c r="AL2236" t="s">
        <v>28514</v>
      </c>
      <c r="AN2236" t="s">
        <v>49572</v>
      </c>
      <c t="s">
        <v>46566</v>
      </c>
      <c t="s">
        <v>10634</v>
      </c>
      <c t="s">
        <v>3093</v>
      </c>
      <c t="s">
        <v>56880</v>
      </c>
    </row>
    <row>
      <c t="s">
        <v>17594</v>
      </c>
      <c t="s">
        <v>17445</v>
      </c>
      <c t="s">
        <v>49126</v>
      </c>
      <c t="s">
        <v>63763</v>
      </c>
      <c t="s">
        <v>20372</v>
      </c>
      <c s="3">
        <v>9947</v>
      </c>
      <c s="3">
        <v>9947</v>
      </c>
      <c s="3">
        <v>3993</v>
      </c>
      <c>
        <v>0</v>
      </c>
      <c s="3">
        <v>0</v>
      </c>
      <c s="3">
        <v>102.21</v>
      </c>
      <c s="3">
        <v>9947</v>
      </c>
      <c r="O2237" s="1" t="str">
        <f ca="1">HYPERLINK("https://web.datatree.com/?/property?propertyId=32800879", "https://web.datatree.com/?/property?propertyId=32800879")</f>
        <v>https://web.datatree.com/?/property?propertyId=32800879</v>
      </c>
      <c r="Q2237" t="s">
        <v>316</v>
      </c>
      <c>
        <v>0.138</v>
      </c>
      <c t="s">
        <v>8155</v>
      </c>
      <c t="s">
        <v>64570</v>
      </c>
      <c t="s">
        <v>5094</v>
      </c>
      <c t="s">
        <v>41145</v>
      </c>
      <c t="s">
        <v>48918</v>
      </c>
      <c t="s">
        <v>48298</v>
      </c>
      <c t="s">
        <v>62357</v>
      </c>
      <c t="s">
        <v>65059</v>
      </c>
      <c t="s">
        <v>39289</v>
      </c>
      <c>
        <v>33901</v>
      </c>
      <c t="s">
        <v>66924</v>
      </c>
      <c t="s">
        <v>48794</v>
      </c>
      <c t="s">
        <v>52062</v>
      </c>
      <c>
        <v>1048</v>
      </c>
      <c r="AI2237" t="s">
        <v>48577</v>
      </c>
      <c t="s">
        <v>40123</v>
      </c>
      <c r="AL2237" t="s">
        <v>7295</v>
      </c>
      <c r="AN2237" t="s">
        <v>65451</v>
      </c>
      <c t="s">
        <v>64330</v>
      </c>
      <c t="s">
        <v>56186</v>
      </c>
      <c t="s">
        <v>3093</v>
      </c>
      <c t="s">
        <v>55478</v>
      </c>
    </row>
    <row>
      <c t="s">
        <v>17594</v>
      </c>
      <c t="s">
        <v>31136</v>
      </c>
      <c t="s">
        <v>56900</v>
      </c>
      <c t="s">
        <v>36192</v>
      </c>
      <c t="s">
        <v>1197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238" s="1" t="str">
        <f ca="1">HYPERLINK("https://web.datatree.com/?/property?propertyId=32801014", "https://web.datatree.com/?/property?propertyId=32801014")</f>
        <v>https://web.datatree.com/?/property?propertyId=32801014</v>
      </c>
      <c r="Q2238" t="s">
        <v>316</v>
      </c>
      <c>
        <v>0.23</v>
      </c>
      <c t="s">
        <v>22490</v>
      </c>
      <c t="s">
        <v>1859</v>
      </c>
      <c t="s">
        <v>4115</v>
      </c>
      <c t="s">
        <v>11577</v>
      </c>
      <c t="s">
        <v>4115</v>
      </c>
      <c t="s">
        <v>39251</v>
      </c>
      <c t="s">
        <v>53663</v>
      </c>
      <c t="s">
        <v>2517</v>
      </c>
      <c t="s">
        <v>39289</v>
      </c>
      <c>
        <v>33909</v>
      </c>
      <c t="s">
        <v>23117</v>
      </c>
      <c t="s">
        <v>48794</v>
      </c>
      <c t="s">
        <v>4820</v>
      </c>
      <c>
        <v>1224</v>
      </c>
      <c r="AI2238" t="s">
        <v>45304</v>
      </c>
      <c t="s">
        <v>45393</v>
      </c>
      <c r="AL2238" t="s">
        <v>8109</v>
      </c>
      <c r="AN2238" t="s">
        <v>50917</v>
      </c>
      <c t="s">
        <v>18585</v>
      </c>
      <c t="s">
        <v>25140</v>
      </c>
      <c t="s">
        <v>3093</v>
      </c>
      <c t="s">
        <v>9018</v>
      </c>
    </row>
    <row>
      <c t="s">
        <v>17594</v>
      </c>
      <c t="s">
        <v>33780</v>
      </c>
      <c t="s">
        <v>27541</v>
      </c>
      <c t="s">
        <v>36445</v>
      </c>
      <c t="s">
        <v>24827</v>
      </c>
      <c s="3">
        <v>19783</v>
      </c>
      <c s="3">
        <v>19783</v>
      </c>
      <c s="3">
        <v>10010</v>
      </c>
      <c>
        <v>0</v>
      </c>
      <c s="3">
        <v>0</v>
      </c>
      <c s="3">
        <v>584.1</v>
      </c>
      <c s="3">
        <v>19783</v>
      </c>
      <c>
        <v>2020</v>
      </c>
      <c>
        <v>1777.33</v>
      </c>
      <c s="1" t="str">
        <f ca="1">HYPERLINK("https://web.datatree.com/?/property?propertyId=32801156", "https://web.datatree.com/?/property?propertyId=32801156")</f>
        <v>https://web.datatree.com/?/property?propertyId=32801156</v>
      </c>
      <c r="Q2239" t="s">
        <v>316</v>
      </c>
      <c>
        <v>0.229</v>
      </c>
      <c t="s">
        <v>42044</v>
      </c>
      <c t="s">
        <v>59157</v>
      </c>
      <c t="s">
        <v>46829</v>
      </c>
      <c r="X2239" t="s">
        <v>456</v>
      </c>
      <c t="s">
        <v>57582</v>
      </c>
      <c t="s">
        <v>2517</v>
      </c>
      <c t="s">
        <v>39289</v>
      </c>
      <c>
        <v>33904</v>
      </c>
      <c t="s">
        <v>38300</v>
      </c>
      <c t="s">
        <v>48794</v>
      </c>
      <c t="s">
        <v>65041</v>
      </c>
      <c>
        <v>22</v>
      </c>
      <c r="AI2239" t="s">
        <v>1556</v>
      </c>
      <c t="s">
        <v>45620</v>
      </c>
      <c r="AL2239" t="s">
        <v>52682</v>
      </c>
      <c r="AN2239" t="s">
        <v>27747</v>
      </c>
      <c t="s">
        <v>32122</v>
      </c>
      <c t="s">
        <v>33275</v>
      </c>
      <c t="s">
        <v>3093</v>
      </c>
      <c t="s">
        <v>59559</v>
      </c>
    </row>
    <row>
      <c t="s">
        <v>17594</v>
      </c>
      <c t="s">
        <v>55582</v>
      </c>
      <c t="s">
        <v>10902</v>
      </c>
      <c t="s">
        <v>9799</v>
      </c>
      <c t="s">
        <v>67155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240" s="1" t="str">
        <f ca="1">HYPERLINK("https://web.datatree.com/?/property?propertyId=32801465", "https://web.datatree.com/?/property?propertyId=32801465")</f>
        <v>https://web.datatree.com/?/property?propertyId=32801465</v>
      </c>
      <c r="Q2240" t="s">
        <v>316</v>
      </c>
      <c>
        <v>0.23</v>
      </c>
      <c t="s">
        <v>22490</v>
      </c>
      <c t="s">
        <v>39139</v>
      </c>
      <c t="s">
        <v>58612</v>
      </c>
      <c t="s">
        <v>46605</v>
      </c>
      <c t="s">
        <v>58612</v>
      </c>
      <c t="s">
        <v>58159</v>
      </c>
      <c t="s">
        <v>29190</v>
      </c>
      <c t="s">
        <v>2517</v>
      </c>
      <c t="s">
        <v>39289</v>
      </c>
      <c>
        <v>33909</v>
      </c>
      <c t="s">
        <v>15520</v>
      </c>
      <c t="s">
        <v>48794</v>
      </c>
      <c t="s">
        <v>63455</v>
      </c>
      <c>
        <v>13731</v>
      </c>
      <c r="AI2240" t="s">
        <v>39330</v>
      </c>
      <c t="s">
        <v>9290</v>
      </c>
      <c r="AL2240" t="s">
        <v>25857</v>
      </c>
      <c t="s">
        <v>25857</v>
      </c>
      <c t="s">
        <v>39289</v>
      </c>
      <c>
        <v>33028</v>
      </c>
      <c t="s">
        <v>3364</v>
      </c>
      <c t="s">
        <v>3093</v>
      </c>
      <c t="s">
        <v>55383</v>
      </c>
    </row>
    <row>
      <c t="s">
        <v>17594</v>
      </c>
      <c t="s">
        <v>47777</v>
      </c>
      <c t="s">
        <v>37152</v>
      </c>
      <c t="s">
        <v>66125</v>
      </c>
      <c t="s">
        <v>42122</v>
      </c>
      <c s="3">
        <v>8600</v>
      </c>
      <c s="3">
        <v>8600</v>
      </c>
      <c s="3">
        <v>8600</v>
      </c>
      <c>
        <v>0</v>
      </c>
      <c s="3">
        <v>0</v>
      </c>
      <c s="3">
        <v>2830.55</v>
      </c>
      <c s="3">
        <v>8600</v>
      </c>
      <c r="O2241" s="1" t="str">
        <f ca="1">HYPERLINK("https://web.datatree.com/?/property?propertyId=32801505", "https://web.datatree.com/?/property?propertyId=32801505")</f>
        <v>https://web.datatree.com/?/property?propertyId=32801505</v>
      </c>
      <c r="Q2241" t="s">
        <v>316</v>
      </c>
      <c>
        <v>0.23</v>
      </c>
      <c t="s">
        <v>6175</v>
      </c>
      <c t="s">
        <v>55174</v>
      </c>
      <c t="s">
        <v>43620</v>
      </c>
      <c t="s">
        <v>56575</v>
      </c>
      <c t="s">
        <v>3326</v>
      </c>
      <c t="s">
        <v>63067</v>
      </c>
      <c t="s">
        <v>59356</v>
      </c>
      <c t="s">
        <v>2517</v>
      </c>
      <c t="s">
        <v>39289</v>
      </c>
      <c>
        <v>33909</v>
      </c>
      <c t="s">
        <v>59973</v>
      </c>
      <c t="s">
        <v>48794</v>
      </c>
      <c t="s">
        <v>32439</v>
      </c>
      <c>
        <v>99</v>
      </c>
      <c r="AI2241" t="s">
        <v>66853</v>
      </c>
      <c t="s">
        <v>31192</v>
      </c>
      <c r="AL2241" t="s">
        <v>51134</v>
      </c>
      <c r="AN2241" t="s">
        <v>10909</v>
      </c>
      <c t="s">
        <v>8822</v>
      </c>
      <c r="AQ2241" t="s">
        <v>27814</v>
      </c>
      <c t="s">
        <v>27788</v>
      </c>
    </row>
    <row>
      <c t="s">
        <v>17594</v>
      </c>
      <c t="s">
        <v>40647</v>
      </c>
      <c t="s">
        <v>16328</v>
      </c>
      <c t="s">
        <v>54944</v>
      </c>
      <c t="s">
        <v>16175</v>
      </c>
      <c s="3">
        <v>54688</v>
      </c>
      <c s="3">
        <v>54688</v>
      </c>
      <c s="3">
        <v>25466</v>
      </c>
      <c>
        <v>0</v>
      </c>
      <c s="3">
        <v>0</v>
      </c>
      <c s="3">
        <v>990.84</v>
      </c>
      <c s="3">
        <v>54688</v>
      </c>
      <c r="O2242" s="1" t="str">
        <f ca="1">HYPERLINK("https://web.datatree.com/?/property?propertyId=32801559", "https://web.datatree.com/?/property?propertyId=32801559")</f>
        <v>https://web.datatree.com/?/property?propertyId=32801559</v>
      </c>
      <c r="Q2242" t="s">
        <v>316</v>
      </c>
      <c>
        <v>0.344</v>
      </c>
      <c t="s">
        <v>6175</v>
      </c>
      <c t="s">
        <v>57851</v>
      </c>
      <c t="s">
        <v>28640</v>
      </c>
      <c r="X2242" t="s">
        <v>12910</v>
      </c>
      <c t="s">
        <v>5115</v>
      </c>
      <c t="s">
        <v>2517</v>
      </c>
      <c t="s">
        <v>39289</v>
      </c>
      <c>
        <v>33904</v>
      </c>
      <c t="s">
        <v>44190</v>
      </c>
      <c t="s">
        <v>48794</v>
      </c>
      <c t="s">
        <v>34661</v>
      </c>
      <c>
        <v>204</v>
      </c>
      <c r="AI2242" t="s">
        <v>29857</v>
      </c>
      <c t="s">
        <v>24900</v>
      </c>
      <c r="AL2242" t="s">
        <v>64280</v>
      </c>
      <c r="AN2242" t="s">
        <v>26016</v>
      </c>
      <c t="s">
        <v>31989</v>
      </c>
      <c t="s">
        <v>42082</v>
      </c>
      <c t="s">
        <v>3093</v>
      </c>
      <c t="s">
        <v>43440</v>
      </c>
    </row>
    <row>
      <c t="s">
        <v>17594</v>
      </c>
      <c t="s">
        <v>6624</v>
      </c>
      <c t="s">
        <v>23233</v>
      </c>
      <c t="s">
        <v>25895</v>
      </c>
      <c t="s">
        <v>56948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2243" s="1" t="str">
        <f ca="1">HYPERLINK("https://web.datatree.com/?/property?propertyId=32801611", "https://web.datatree.com/?/property?propertyId=32801611")</f>
        <v>https://web.datatree.com/?/property?propertyId=32801611</v>
      </c>
      <c r="Q2243" t="s">
        <v>316</v>
      </c>
      <c>
        <v>0.244</v>
      </c>
      <c t="s">
        <v>6175</v>
      </c>
      <c r="U2243" t="s">
        <v>50781</v>
      </c>
      <c r="X2243" t="s">
        <v>12418</v>
      </c>
      <c t="s">
        <v>38550</v>
      </c>
      <c t="s">
        <v>2517</v>
      </c>
      <c t="s">
        <v>39289</v>
      </c>
      <c>
        <v>33909</v>
      </c>
      <c t="s">
        <v>11834</v>
      </c>
      <c t="s">
        <v>48794</v>
      </c>
      <c t="s">
        <v>36151</v>
      </c>
      <c>
        <v>821</v>
      </c>
      <c r="AI2243" t="s">
        <v>2849</v>
      </c>
      <c t="s">
        <v>41372</v>
      </c>
      <c r="AL2243" t="s">
        <v>26683</v>
      </c>
      <c r="AN2243" t="s">
        <v>65467</v>
      </c>
      <c t="s">
        <v>64685</v>
      </c>
      <c t="s">
        <v>12241</v>
      </c>
      <c t="s">
        <v>3093</v>
      </c>
      <c t="s">
        <v>514</v>
      </c>
    </row>
    <row>
      <c t="s">
        <v>17594</v>
      </c>
      <c t="s">
        <v>2721</v>
      </c>
      <c t="s">
        <v>17987</v>
      </c>
      <c t="s">
        <v>45432</v>
      </c>
      <c t="s">
        <v>37514</v>
      </c>
      <c s="3">
        <v>8400</v>
      </c>
      <c s="3">
        <v>8400</v>
      </c>
      <c s="3">
        <v>8400</v>
      </c>
      <c>
        <v>0</v>
      </c>
      <c s="3">
        <v>0</v>
      </c>
      <c s="3">
        <v>539.66</v>
      </c>
      <c s="3">
        <v>8400</v>
      </c>
      <c r="O2244" s="1" t="str">
        <f ca="1">HYPERLINK("https://web.datatree.com/?/property?propertyId=32803950", "https://web.datatree.com/?/property?propertyId=32803950")</f>
        <v>https://web.datatree.com/?/property?propertyId=32803950</v>
      </c>
      <c r="Q2244" t="s">
        <v>316</v>
      </c>
      <c>
        <v>0.244</v>
      </c>
      <c t="s">
        <v>6175</v>
      </c>
      <c t="s">
        <v>54428</v>
      </c>
      <c t="s">
        <v>16498</v>
      </c>
      <c t="s">
        <v>11923</v>
      </c>
      <c t="s">
        <v>16498</v>
      </c>
      <c t="s">
        <v>25435</v>
      </c>
      <c t="s">
        <v>25017</v>
      </c>
      <c t="s">
        <v>2517</v>
      </c>
      <c t="s">
        <v>39289</v>
      </c>
      <c>
        <v>33909</v>
      </c>
      <c t="s">
        <v>13068</v>
      </c>
      <c t="s">
        <v>48794</v>
      </c>
      <c t="s">
        <v>15126</v>
      </c>
      <c>
        <v>3053</v>
      </c>
      <c r="AH2244" t="s">
        <v>15376</v>
      </c>
      <c t="s">
        <v>371</v>
      </c>
      <c t="s">
        <v>39321</v>
      </c>
      <c>
        <v>1</v>
      </c>
      <c t="s">
        <v>11713</v>
      </c>
      <c t="s">
        <v>21507</v>
      </c>
      <c t="s">
        <v>39289</v>
      </c>
      <c t="s">
        <v>65014</v>
      </c>
      <c t="s">
        <v>49977</v>
      </c>
      <c t="s">
        <v>3093</v>
      </c>
      <c t="s">
        <v>33282</v>
      </c>
    </row>
    <row>
      <c t="s">
        <v>17594</v>
      </c>
      <c t="s">
        <v>44844</v>
      </c>
      <c t="s">
        <v>58286</v>
      </c>
      <c t="s">
        <v>59536</v>
      </c>
      <c t="s">
        <v>56876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2245" s="1" t="str">
        <f ca="1">HYPERLINK("https://web.datatree.com/?/property?propertyId=32803959", "https://web.datatree.com/?/property?propertyId=32803959")</f>
        <v>https://web.datatree.com/?/property?propertyId=32803959</v>
      </c>
      <c r="Q2245" t="s">
        <v>316</v>
      </c>
      <c>
        <v>0.23</v>
      </c>
      <c t="s">
        <v>42044</v>
      </c>
      <c t="s">
        <v>1599</v>
      </c>
      <c t="s">
        <v>55884</v>
      </c>
      <c t="s">
        <v>24028</v>
      </c>
      <c t="s">
        <v>38806</v>
      </c>
      <c t="s">
        <v>51996</v>
      </c>
      <c t="s">
        <v>13478</v>
      </c>
      <c t="s">
        <v>2517</v>
      </c>
      <c t="s">
        <v>39289</v>
      </c>
      <c>
        <v>33909</v>
      </c>
      <c t="s">
        <v>4110</v>
      </c>
      <c t="s">
        <v>48794</v>
      </c>
      <c t="s">
        <v>17369</v>
      </c>
      <c>
        <v>6303</v>
      </c>
      <c r="AI2245" t="s">
        <v>26976</v>
      </c>
      <c t="s">
        <v>31192</v>
      </c>
      <c>
        <v>400</v>
      </c>
      <c t="s">
        <v>55393</v>
      </c>
      <c r="AN2245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52980</v>
      </c>
      <c t="s">
        <v>16195</v>
      </c>
      <c t="s">
        <v>20789</v>
      </c>
      <c t="s">
        <v>8974</v>
      </c>
      <c s="3">
        <v>104821</v>
      </c>
      <c s="3">
        <v>99812</v>
      </c>
      <c s="3">
        <v>104821</v>
      </c>
      <c>
        <v>0</v>
      </c>
      <c s="3">
        <v>0</v>
      </c>
      <c s="3">
        <v>1574.24</v>
      </c>
      <c s="3">
        <v>104821</v>
      </c>
      <c r="O2246" s="1" t="str">
        <f ca="1">HYPERLINK("https://web.datatree.com/?/property?propertyId=32804003", "https://web.datatree.com/?/property?propertyId=32804003")</f>
        <v>https://web.datatree.com/?/property?propertyId=32804003</v>
      </c>
      <c r="Q2246" t="s">
        <v>316</v>
      </c>
      <c>
        <v>0.101</v>
      </c>
      <c t="s">
        <v>26492</v>
      </c>
      <c t="s">
        <v>1859</v>
      </c>
      <c t="s">
        <v>4760</v>
      </c>
      <c t="s">
        <v>61273</v>
      </c>
      <c t="s">
        <v>4760</v>
      </c>
      <c t="s">
        <v>19505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1705</v>
      </c>
      <c>
        <v>1150</v>
      </c>
      <c r="AH2246" t="s">
        <v>57851</v>
      </c>
      <c t="s">
        <v>26580</v>
      </c>
      <c t="s">
        <v>63316</v>
      </c>
      <c t="str">
        <f>"108-64"</f>
        <v>108-64</v>
      </c>
      <c t="s">
        <v>14873</v>
      </c>
      <c t="s">
        <v>14873</v>
      </c>
      <c t="s">
        <v>18236</v>
      </c>
      <c>
        <v>78248</v>
      </c>
      <c r="AQ2246" t="s">
        <v>3093</v>
      </c>
      <c t="s">
        <v>46056</v>
      </c>
    </row>
    <row>
      <c t="s">
        <v>17594</v>
      </c>
      <c t="s">
        <v>20128</v>
      </c>
      <c t="s">
        <v>24937</v>
      </c>
      <c t="s">
        <v>38279</v>
      </c>
      <c t="s">
        <v>7521</v>
      </c>
      <c s="3">
        <v>11600</v>
      </c>
      <c s="3">
        <v>11600</v>
      </c>
      <c s="3">
        <v>11600</v>
      </c>
      <c>
        <v>0</v>
      </c>
      <c s="3">
        <v>0</v>
      </c>
      <c s="3">
        <v>170.77</v>
      </c>
      <c s="3">
        <v>11600</v>
      </c>
      <c r="O2247" s="1" t="str">
        <f ca="1">HYPERLINK("https://web.datatree.com/?/property?propertyId=32804050", "https://web.datatree.com/?/property?propertyId=32804050")</f>
        <v>https://web.datatree.com/?/property?propertyId=32804050</v>
      </c>
      <c r="Q2247" t="s">
        <v>316</v>
      </c>
      <c>
        <v>0.362</v>
      </c>
      <c t="s">
        <v>36917</v>
      </c>
      <c t="s">
        <v>42757</v>
      </c>
      <c t="s">
        <v>2076</v>
      </c>
      <c r="X2247" t="s">
        <v>55222</v>
      </c>
      <c t="s">
        <v>45219</v>
      </c>
      <c t="s">
        <v>54524</v>
      </c>
      <c t="s">
        <v>39289</v>
      </c>
      <c>
        <v>33903</v>
      </c>
      <c t="s">
        <v>23076</v>
      </c>
      <c t="s">
        <v>48794</v>
      </c>
      <c t="s">
        <v>52680</v>
      </c>
      <c>
        <v>3024</v>
      </c>
      <c r="AI2247" t="s">
        <v>38792</v>
      </c>
      <c t="s">
        <v>31192</v>
      </c>
      <c r="AL2247" t="s">
        <v>51404</v>
      </c>
      <c t="s">
        <v>51404</v>
      </c>
      <c t="s">
        <v>48152</v>
      </c>
      <c t="s">
        <v>43673</v>
      </c>
      <c t="s">
        <v>27264</v>
      </c>
      <c t="s">
        <v>3093</v>
      </c>
      <c t="s">
        <v>41551</v>
      </c>
    </row>
    <row>
      <c t="s">
        <v>17594</v>
      </c>
      <c t="s">
        <v>57883</v>
      </c>
      <c t="s">
        <v>60169</v>
      </c>
      <c t="s">
        <v>35544</v>
      </c>
      <c t="s">
        <v>3472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2248" s="1" t="str">
        <f ca="1">HYPERLINK("https://web.datatree.com/?/property?propertyId=32804155", "https://web.datatree.com/?/property?propertyId=32804155")</f>
        <v>https://web.datatree.com/?/property?propertyId=32804155</v>
      </c>
      <c r="Q2248" t="s">
        <v>316</v>
      </c>
      <c>
        <v>0.23</v>
      </c>
      <c t="s">
        <v>22490</v>
      </c>
      <c t="s">
        <v>63060</v>
      </c>
      <c t="s">
        <v>41809</v>
      </c>
      <c r="X2248" t="s">
        <v>57996</v>
      </c>
      <c t="s">
        <v>47150</v>
      </c>
      <c t="s">
        <v>2517</v>
      </c>
      <c t="s">
        <v>39289</v>
      </c>
      <c>
        <v>33909</v>
      </c>
      <c t="s">
        <v>14210</v>
      </c>
      <c t="s">
        <v>48794</v>
      </c>
      <c t="s">
        <v>41640</v>
      </c>
      <c>
        <v>9911</v>
      </c>
      <c r="AI2248" t="s">
        <v>54212</v>
      </c>
      <c t="s">
        <v>835</v>
      </c>
      <c r="AL2248" t="s">
        <v>31336</v>
      </c>
      <c r="AN2248" t="s">
        <v>39289</v>
      </c>
      <c t="s">
        <v>40160</v>
      </c>
      <c t="s">
        <v>21054</v>
      </c>
      <c t="s">
        <v>3093</v>
      </c>
      <c t="s">
        <v>23760</v>
      </c>
    </row>
    <row>
      <c t="s">
        <v>17594</v>
      </c>
      <c t="s">
        <v>65040</v>
      </c>
      <c t="s">
        <v>37840</v>
      </c>
      <c t="s">
        <v>44935</v>
      </c>
      <c t="s">
        <v>587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2249" s="1" t="str">
        <f ca="1">HYPERLINK("https://web.datatree.com/?/property?propertyId=32804174", "https://web.datatree.com/?/property?propertyId=32804174")</f>
        <v>https://web.datatree.com/?/property?propertyId=32804174</v>
      </c>
      <c r="Q2249" t="s">
        <v>316</v>
      </c>
      <c>
        <v>0.226</v>
      </c>
      <c t="s">
        <v>5471</v>
      </c>
      <c t="s">
        <v>39668</v>
      </c>
      <c t="s">
        <v>44480</v>
      </c>
      <c t="s">
        <v>27417</v>
      </c>
      <c t="s">
        <v>44480</v>
      </c>
      <c t="s">
        <v>61209</v>
      </c>
      <c t="s">
        <v>64631</v>
      </c>
      <c t="s">
        <v>65059</v>
      </c>
      <c t="s">
        <v>39289</v>
      </c>
      <c>
        <v>33905</v>
      </c>
      <c t="s">
        <v>53454</v>
      </c>
      <c t="s">
        <v>48794</v>
      </c>
      <c t="s">
        <v>23498</v>
      </c>
      <c>
        <v>1727</v>
      </c>
      <c r="AI2249" t="s">
        <v>5412</v>
      </c>
      <c t="s">
        <v>24900</v>
      </c>
      <c r="AL2249" t="s">
        <v>60095</v>
      </c>
      <c r="AN2249" t="s">
        <v>50917</v>
      </c>
      <c t="s">
        <v>2870</v>
      </c>
      <c t="s">
        <v>40645</v>
      </c>
      <c t="s">
        <v>3093</v>
      </c>
      <c t="s">
        <v>2352</v>
      </c>
    </row>
    <row>
      <c t="s">
        <v>17594</v>
      </c>
      <c t="s">
        <v>48880</v>
      </c>
      <c t="s">
        <v>39282</v>
      </c>
      <c t="s">
        <v>38767</v>
      </c>
      <c t="s">
        <v>19481</v>
      </c>
      <c s="3">
        <v>12596</v>
      </c>
      <c s="3">
        <v>12596</v>
      </c>
      <c s="3">
        <v>4455</v>
      </c>
      <c>
        <v>0</v>
      </c>
      <c s="3">
        <v>0</v>
      </c>
      <c s="3">
        <v>360.45</v>
      </c>
      <c s="3">
        <v>12596</v>
      </c>
      <c r="O2250" s="1" t="str">
        <f ca="1">HYPERLINK("https://web.datatree.com/?/property?propertyId=32804291", "https://web.datatree.com/?/property?propertyId=32804291")</f>
        <v>https://web.datatree.com/?/property?propertyId=32804291</v>
      </c>
      <c r="Q2250" t="s">
        <v>316</v>
      </c>
      <c>
        <v>0.115</v>
      </c>
      <c t="s">
        <v>6175</v>
      </c>
      <c t="s">
        <v>46578</v>
      </c>
      <c t="s">
        <v>25558</v>
      </c>
      <c r="X2250" t="s">
        <v>43970</v>
      </c>
      <c t="s">
        <v>13829</v>
      </c>
      <c t="s">
        <v>2517</v>
      </c>
      <c t="s">
        <v>39289</v>
      </c>
      <c>
        <v>33909</v>
      </c>
      <c t="s">
        <v>19558</v>
      </c>
      <c t="s">
        <v>48794</v>
      </c>
      <c t="s">
        <v>24099</v>
      </c>
      <c>
        <v>4</v>
      </c>
      <c r="AI2250" t="s">
        <v>28505</v>
      </c>
      <c t="s">
        <v>39321</v>
      </c>
      <c r="AL2250" t="s">
        <v>57278</v>
      </c>
      <c r="AN2250" t="s">
        <v>26016</v>
      </c>
      <c t="s">
        <v>865</v>
      </c>
      <c t="s">
        <v>44428</v>
      </c>
      <c t="s">
        <v>3093</v>
      </c>
      <c t="s">
        <v>32520</v>
      </c>
    </row>
    <row>
      <c t="s">
        <v>17594</v>
      </c>
      <c t="s">
        <v>66358</v>
      </c>
      <c t="s">
        <v>32281</v>
      </c>
      <c t="s">
        <v>31723</v>
      </c>
      <c t="s">
        <v>31343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>
        <v>2021</v>
      </c>
      <c>
        <v>539.27</v>
      </c>
      <c s="1" t="str">
        <f ca="1">HYPERLINK("https://web.datatree.com/?/property?propertyId=32805068", "https://web.datatree.com/?/property?propertyId=32805068")</f>
        <v>https://web.datatree.com/?/property?propertyId=32805068</v>
      </c>
      <c r="Q2251" t="s">
        <v>316</v>
      </c>
      <c>
        <v>0.244</v>
      </c>
      <c t="s">
        <v>6175</v>
      </c>
      <c t="s">
        <v>44457</v>
      </c>
      <c t="s">
        <v>16644</v>
      </c>
      <c t="s">
        <v>44610</v>
      </c>
      <c t="s">
        <v>16644</v>
      </c>
      <c t="s">
        <v>62127</v>
      </c>
      <c t="s">
        <v>61865</v>
      </c>
      <c t="s">
        <v>2517</v>
      </c>
      <c t="s">
        <v>39289</v>
      </c>
      <c>
        <v>33909</v>
      </c>
      <c t="s">
        <v>39961</v>
      </c>
      <c t="s">
        <v>48794</v>
      </c>
      <c t="s">
        <v>29949</v>
      </c>
      <c>
        <v>4521</v>
      </c>
      <c r="AI2251" t="s">
        <v>61508</v>
      </c>
      <c t="s">
        <v>41372</v>
      </c>
      <c r="AL2251" t="s">
        <v>55393</v>
      </c>
      <c r="AN2251" t="s">
        <v>39289</v>
      </c>
      <c t="s">
        <v>54471</v>
      </c>
      <c t="s">
        <v>17246</v>
      </c>
      <c t="s">
        <v>3093</v>
      </c>
      <c t="s">
        <v>53697</v>
      </c>
    </row>
    <row>
      <c t="s">
        <v>17594</v>
      </c>
      <c t="s">
        <v>18442</v>
      </c>
      <c t="s">
        <v>10494</v>
      </c>
      <c t="s">
        <v>30943</v>
      </c>
      <c t="s">
        <v>32382</v>
      </c>
      <c s="3">
        <v>34370</v>
      </c>
      <c s="3">
        <v>34370</v>
      </c>
      <c s="3">
        <v>11212</v>
      </c>
      <c>
        <v>0</v>
      </c>
      <c s="3">
        <v>0</v>
      </c>
      <c s="3">
        <v>299.47</v>
      </c>
      <c s="3">
        <v>34370</v>
      </c>
      <c r="O2252" s="1" t="str">
        <f ca="1">HYPERLINK("https://web.datatree.com/?/property?propertyId=32806360", "https://web.datatree.com/?/property?propertyId=32806360")</f>
        <v>https://web.datatree.com/?/property?propertyId=32806360</v>
      </c>
      <c r="Q2252" t="s">
        <v>316</v>
      </c>
      <c>
        <v>0.24</v>
      </c>
      <c t="s">
        <v>5471</v>
      </c>
      <c r="U2252" t="s">
        <v>28094</v>
      </c>
      <c r="W2252" t="s">
        <v>3839</v>
      </c>
      <c t="s">
        <v>30170</v>
      </c>
      <c t="s">
        <v>34207</v>
      </c>
      <c t="s">
        <v>54524</v>
      </c>
      <c t="s">
        <v>39289</v>
      </c>
      <c>
        <v>33903</v>
      </c>
      <c t="s">
        <v>14314</v>
      </c>
      <c t="s">
        <v>48794</v>
      </c>
      <c t="s">
        <v>15727</v>
      </c>
      <c>
        <v>6</v>
      </c>
      <c r="AI2252" t="s">
        <v>25617</v>
      </c>
      <c t="s">
        <v>835</v>
      </c>
      <c r="AL2252" t="s">
        <v>56302</v>
      </c>
      <c r="AN2252" t="s">
        <v>39289</v>
      </c>
      <c t="s">
        <v>23155</v>
      </c>
      <c t="s">
        <v>62830</v>
      </c>
      <c t="s">
        <v>3093</v>
      </c>
      <c t="s">
        <v>50796</v>
      </c>
    </row>
    <row>
      <c t="s">
        <v>17594</v>
      </c>
      <c t="s">
        <v>45584</v>
      </c>
      <c t="s">
        <v>30262</v>
      </c>
      <c t="s">
        <v>19246</v>
      </c>
      <c t="s">
        <v>44070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253" s="1" t="str">
        <f ca="1">HYPERLINK("https://web.datatree.com/?/property?propertyId=32806425", "https://web.datatree.com/?/property?propertyId=32806425")</f>
        <v>https://web.datatree.com/?/property?propertyId=32806425</v>
      </c>
      <c r="Q2253" t="s">
        <v>316</v>
      </c>
      <c>
        <v>0.23</v>
      </c>
      <c t="s">
        <v>22490</v>
      </c>
      <c t="s">
        <v>30886</v>
      </c>
      <c t="s">
        <v>55010</v>
      </c>
      <c t="s">
        <v>34733</v>
      </c>
      <c t="s">
        <v>55010</v>
      </c>
      <c t="s">
        <v>36372</v>
      </c>
      <c t="s">
        <v>53675</v>
      </c>
      <c t="s">
        <v>2517</v>
      </c>
      <c t="s">
        <v>39289</v>
      </c>
      <c>
        <v>33909</v>
      </c>
      <c t="s">
        <v>60473</v>
      </c>
      <c t="s">
        <v>48794</v>
      </c>
      <c t="s">
        <v>20197</v>
      </c>
      <c r="AI2253" t="s">
        <v>44362</v>
      </c>
      <c r="AL2253" t="s">
        <v>24</v>
      </c>
      <c r="AN2253" t="s">
        <v>63985</v>
      </c>
      <c>
        <v>89257</v>
      </c>
      <c r="AR2253" t="s">
        <v>45179</v>
      </c>
    </row>
    <row>
      <c t="s">
        <v>42103</v>
      </c>
      <c t="s">
        <v>55135</v>
      </c>
      <c t="s">
        <v>59334</v>
      </c>
      <c t="s">
        <v>55316</v>
      </c>
      <c t="s">
        <v>34746</v>
      </c>
      <c s="3">
        <v>8600</v>
      </c>
      <c s="3">
        <v>8600</v>
      </c>
      <c s="3">
        <v>8600</v>
      </c>
      <c>
        <v>0</v>
      </c>
      <c s="3">
        <v>0</v>
      </c>
      <c s="3">
        <v>2572.46</v>
      </c>
      <c s="3">
        <v>8600</v>
      </c>
      <c>
        <v>2018</v>
      </c>
      <c>
        <v>15727.61</v>
      </c>
      <c s="1" t="str">
        <f ca="1">HYPERLINK("https://web.datatree.com/?/property?propertyId=32806583", "https://web.datatree.com/?/property?propertyId=32806583")</f>
        <v>https://web.datatree.com/?/property?propertyId=32806583</v>
      </c>
      <c r="Q2254" t="s">
        <v>316</v>
      </c>
      <c>
        <v>0.269</v>
      </c>
      <c t="s">
        <v>42044</v>
      </c>
      <c t="s">
        <v>66812</v>
      </c>
      <c t="s">
        <v>54202</v>
      </c>
      <c t="s">
        <v>25174</v>
      </c>
      <c t="s">
        <v>11466</v>
      </c>
      <c t="s">
        <v>31695</v>
      </c>
      <c t="s">
        <v>61865</v>
      </c>
      <c t="s">
        <v>2517</v>
      </c>
      <c t="s">
        <v>39289</v>
      </c>
      <c>
        <v>33909</v>
      </c>
      <c t="s">
        <v>53003</v>
      </c>
      <c t="s">
        <v>48794</v>
      </c>
      <c t="s">
        <v>5636</v>
      </c>
      <c r="AI2254" t="s">
        <v>17435</v>
      </c>
      <c r="AL2254" t="s">
        <v>13397</v>
      </c>
      <c t="s">
        <v>13397</v>
      </c>
      <c t="s">
        <v>50917</v>
      </c>
      <c>
        <v>10101</v>
      </c>
      <c r="AR2254" t="s">
        <v>44779</v>
      </c>
    </row>
    <row>
      <c t="s">
        <v>17594</v>
      </c>
      <c t="s">
        <v>5031</v>
      </c>
      <c t="s">
        <v>32204</v>
      </c>
      <c t="s">
        <v>23343</v>
      </c>
      <c t="s">
        <v>49887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2255" s="1" t="str">
        <f ca="1">HYPERLINK("https://web.datatree.com/?/property?propertyId=32806619", "https://web.datatree.com/?/property?propertyId=32806619")</f>
        <v>https://web.datatree.com/?/property?propertyId=32806619</v>
      </c>
      <c r="Q2255" t="s">
        <v>316</v>
      </c>
      <c>
        <v>0.23</v>
      </c>
      <c t="s">
        <v>6175</v>
      </c>
      <c t="s">
        <v>60600</v>
      </c>
      <c t="s">
        <v>63456</v>
      </c>
      <c t="s">
        <v>44541</v>
      </c>
      <c t="s">
        <v>63456</v>
      </c>
      <c t="s">
        <v>21844</v>
      </c>
      <c t="s">
        <v>47150</v>
      </c>
      <c t="s">
        <v>2517</v>
      </c>
      <c t="s">
        <v>39289</v>
      </c>
      <c>
        <v>33909</v>
      </c>
      <c t="s">
        <v>63190</v>
      </c>
      <c t="s">
        <v>48794</v>
      </c>
      <c t="s">
        <v>5055</v>
      </c>
      <c>
        <v>94</v>
      </c>
      <c r="AI2255" t="s">
        <v>21406</v>
      </c>
      <c t="s">
        <v>45393</v>
      </c>
      <c r="AL2255" t="s">
        <v>5123</v>
      </c>
      <c r="AN2255" t="s">
        <v>27747</v>
      </c>
      <c t="s">
        <v>20118</v>
      </c>
      <c t="s">
        <v>4797</v>
      </c>
      <c t="s">
        <v>3093</v>
      </c>
      <c t="s">
        <v>30187</v>
      </c>
    </row>
    <row>
      <c t="s">
        <v>17594</v>
      </c>
      <c t="s">
        <v>30108</v>
      </c>
      <c t="s">
        <v>9761</v>
      </c>
      <c t="s">
        <v>35947</v>
      </c>
      <c t="s">
        <v>5566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2256" s="1" t="str">
        <f ca="1">HYPERLINK("https://web.datatree.com/?/property?propertyId=32806876", "https://web.datatree.com/?/property?propertyId=32806876")</f>
        <v>https://web.datatree.com/?/property?propertyId=32806876</v>
      </c>
      <c r="Q2256" t="s">
        <v>316</v>
      </c>
      <c>
        <v>0.23</v>
      </c>
      <c t="s">
        <v>22490</v>
      </c>
      <c t="s">
        <v>33321</v>
      </c>
      <c t="s">
        <v>39196</v>
      </c>
      <c t="s">
        <v>60243</v>
      </c>
      <c t="s">
        <v>39196</v>
      </c>
      <c t="s">
        <v>7458</v>
      </c>
      <c t="s">
        <v>2626</v>
      </c>
      <c t="s">
        <v>2517</v>
      </c>
      <c t="s">
        <v>39289</v>
      </c>
      <c>
        <v>33909</v>
      </c>
      <c t="s">
        <v>1668</v>
      </c>
      <c t="s">
        <v>48794</v>
      </c>
      <c t="s">
        <v>62306</v>
      </c>
      <c>
        <v>9604</v>
      </c>
      <c r="AI2256" t="s">
        <v>62297</v>
      </c>
      <c t="s">
        <v>55842</v>
      </c>
      <c r="AL2256" t="s">
        <v>26936</v>
      </c>
      <c t="s">
        <v>26936</v>
      </c>
      <c t="s">
        <v>65451</v>
      </c>
      <c t="s">
        <v>49382</v>
      </c>
      <c t="s">
        <v>26242</v>
      </c>
      <c t="s">
        <v>3093</v>
      </c>
      <c t="s">
        <v>48483</v>
      </c>
    </row>
    <row>
      <c t="s">
        <v>17594</v>
      </c>
      <c t="s">
        <v>36606</v>
      </c>
      <c t="s">
        <v>55486</v>
      </c>
      <c t="s">
        <v>40710</v>
      </c>
      <c t="s">
        <v>64988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2257" s="1" t="str">
        <f ca="1">HYPERLINK("https://web.datatree.com/?/property?propertyId=32807352", "https://web.datatree.com/?/property?propertyId=32807352")</f>
        <v>https://web.datatree.com/?/property?propertyId=32807352</v>
      </c>
      <c r="Q2257" t="s">
        <v>316</v>
      </c>
      <c>
        <v>0.23</v>
      </c>
      <c t="s">
        <v>22490</v>
      </c>
      <c t="s">
        <v>16893</v>
      </c>
      <c t="s">
        <v>43620</v>
      </c>
      <c t="s">
        <v>54943</v>
      </c>
      <c t="s">
        <v>43620</v>
      </c>
      <c t="s">
        <v>35209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32019</v>
      </c>
      <c>
        <v>2495</v>
      </c>
      <c r="AI2257" t="s">
        <v>58797</v>
      </c>
      <c t="s">
        <v>45393</v>
      </c>
      <c r="AL2257" t="s">
        <v>8109</v>
      </c>
      <c r="AN2257" t="s">
        <v>50917</v>
      </c>
      <c t="s">
        <v>8740</v>
      </c>
      <c t="s">
        <v>15968</v>
      </c>
      <c t="s">
        <v>3093</v>
      </c>
      <c t="s">
        <v>15927</v>
      </c>
    </row>
    <row>
      <c t="s">
        <v>17594</v>
      </c>
      <c t="s">
        <v>63700</v>
      </c>
      <c t="s">
        <v>52525</v>
      </c>
      <c t="s">
        <v>26542</v>
      </c>
      <c t="s">
        <v>58006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2258" s="1" t="str">
        <f ca="1">HYPERLINK("https://web.datatree.com/?/property?propertyId=32807476", "https://web.datatree.com/?/property?propertyId=32807476")</f>
        <v>https://web.datatree.com/?/property?propertyId=32807476</v>
      </c>
      <c r="Q2258" t="s">
        <v>316</v>
      </c>
      <c>
        <v>0.283</v>
      </c>
      <c t="s">
        <v>5471</v>
      </c>
      <c t="s">
        <v>45627</v>
      </c>
      <c t="s">
        <v>30129</v>
      </c>
      <c t="s">
        <v>552</v>
      </c>
      <c t="s">
        <v>38774</v>
      </c>
      <c t="s">
        <v>16531</v>
      </c>
      <c t="s">
        <v>19394</v>
      </c>
      <c t="s">
        <v>65059</v>
      </c>
      <c t="s">
        <v>39289</v>
      </c>
      <c>
        <v>33905</v>
      </c>
      <c t="s">
        <v>602</v>
      </c>
      <c t="s">
        <v>48794</v>
      </c>
      <c t="s">
        <v>56805</v>
      </c>
      <c>
        <v>1900</v>
      </c>
      <c r="AI2258" t="s">
        <v>15850</v>
      </c>
      <c t="s">
        <v>45620</v>
      </c>
      <c r="AL2258" t="s">
        <v>29231</v>
      </c>
      <c r="AN2258" t="s">
        <v>65467</v>
      </c>
      <c t="s">
        <v>44665</v>
      </c>
      <c t="s">
        <v>55071</v>
      </c>
      <c t="s">
        <v>3093</v>
      </c>
      <c t="s">
        <v>61445</v>
      </c>
    </row>
    <row>
      <c t="s">
        <v>17594</v>
      </c>
      <c t="s">
        <v>47666</v>
      </c>
      <c t="s">
        <v>11421</v>
      </c>
      <c t="s">
        <v>15491</v>
      </c>
      <c t="s">
        <v>16778</v>
      </c>
      <c s="3">
        <v>20580</v>
      </c>
      <c s="3">
        <v>20580</v>
      </c>
      <c s="3">
        <v>8591</v>
      </c>
      <c>
        <v>0</v>
      </c>
      <c s="3">
        <v>0</v>
      </c>
      <c s="3">
        <v>671.14</v>
      </c>
      <c s="3">
        <v>20580</v>
      </c>
      <c r="O2259" s="1" t="str">
        <f ca="1">HYPERLINK("https://web.datatree.com/?/property?propertyId=32809859", "https://web.datatree.com/?/property?propertyId=32809859")</f>
        <v>https://web.datatree.com/?/property?propertyId=32809859</v>
      </c>
      <c r="Q2259" t="s">
        <v>316</v>
      </c>
      <c>
        <v>0.344</v>
      </c>
      <c t="s">
        <v>6175</v>
      </c>
      <c t="s">
        <v>44177</v>
      </c>
      <c t="s">
        <v>47012</v>
      </c>
      <c r="X2259" t="s">
        <v>15679</v>
      </c>
      <c t="s">
        <v>50440</v>
      </c>
      <c t="s">
        <v>2517</v>
      </c>
      <c t="s">
        <v>39289</v>
      </c>
      <c>
        <v>33909</v>
      </c>
      <c t="s">
        <v>18774</v>
      </c>
      <c t="s">
        <v>48794</v>
      </c>
      <c t="s">
        <v>46537</v>
      </c>
      <c r="AI2259" t="s">
        <v>49837</v>
      </c>
      <c r="AK2259">
        <v>25</v>
      </c>
      <c t="s">
        <v>56751</v>
      </c>
      <c r="AN2259" t="s">
        <v>63985</v>
      </c>
      <c>
        <v>67374</v>
      </c>
      <c r="AR2259" t="s">
        <v>21063</v>
      </c>
    </row>
    <row>
      <c t="s">
        <v>17594</v>
      </c>
      <c t="s">
        <v>57336</v>
      </c>
      <c t="s">
        <v>24798</v>
      </c>
      <c t="s">
        <v>6348</v>
      </c>
      <c t="s">
        <v>39478</v>
      </c>
      <c s="3">
        <v>19990</v>
      </c>
      <c s="3">
        <v>19990</v>
      </c>
      <c s="3">
        <v>10450</v>
      </c>
      <c>
        <v>0</v>
      </c>
      <c s="3">
        <v>0</v>
      </c>
      <c s="3">
        <v>597.57</v>
      </c>
      <c s="3">
        <v>19990</v>
      </c>
      <c r="O2260" s="1" t="str">
        <f ca="1">HYPERLINK("https://web.datatree.com/?/property?propertyId=32809947", "https://web.datatree.com/?/property?propertyId=32809947")</f>
        <v>https://web.datatree.com/?/property?propertyId=32809947</v>
      </c>
      <c r="Q2260" t="s">
        <v>316</v>
      </c>
      <c>
        <v>0.23</v>
      </c>
      <c t="s">
        <v>22490</v>
      </c>
      <c t="s">
        <v>23807</v>
      </c>
      <c t="s">
        <v>2152</v>
      </c>
      <c r="X2260" t="s">
        <v>36709</v>
      </c>
      <c t="s">
        <v>23050</v>
      </c>
      <c t="s">
        <v>2517</v>
      </c>
      <c t="s">
        <v>39289</v>
      </c>
      <c>
        <v>33909</v>
      </c>
      <c t="s">
        <v>42248</v>
      </c>
      <c t="s">
        <v>48794</v>
      </c>
      <c t="s">
        <v>6002</v>
      </c>
      <c>
        <v>105</v>
      </c>
      <c r="AI2260" t="s">
        <v>6201</v>
      </c>
      <c t="s">
        <v>29535</v>
      </c>
      <c r="AL2260" t="s">
        <v>60550</v>
      </c>
      <c r="AN2260" t="s">
        <v>58811</v>
      </c>
      <c t="s">
        <v>47596</v>
      </c>
      <c r="AQ2260" t="s">
        <v>27814</v>
      </c>
      <c t="s">
        <v>28603</v>
      </c>
    </row>
    <row>
      <c t="s">
        <v>17594</v>
      </c>
      <c t="s">
        <v>45176</v>
      </c>
      <c t="s">
        <v>10189</v>
      </c>
      <c t="s">
        <v>67143</v>
      </c>
      <c t="s">
        <v>3207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2261" s="1" t="str">
        <f ca="1">HYPERLINK("https://web.datatree.com/?/property?propertyId=32810307", "https://web.datatree.com/?/property?propertyId=32810307")</f>
        <v>https://web.datatree.com/?/property?propertyId=32810307</v>
      </c>
      <c r="Q2261" t="s">
        <v>316</v>
      </c>
      <c>
        <v>0.241</v>
      </c>
      <c t="s">
        <v>42044</v>
      </c>
      <c t="s">
        <v>33621</v>
      </c>
      <c t="s">
        <v>30094</v>
      </c>
      <c r="X2261" t="s">
        <v>44681</v>
      </c>
      <c t="s">
        <v>39082</v>
      </c>
      <c t="s">
        <v>2517</v>
      </c>
      <c t="s">
        <v>39289</v>
      </c>
      <c>
        <v>33909</v>
      </c>
      <c t="s">
        <v>48870</v>
      </c>
      <c t="s">
        <v>48794</v>
      </c>
      <c t="s">
        <v>31743</v>
      </c>
      <c>
        <v>356</v>
      </c>
      <c r="AI2261" t="s">
        <v>53823</v>
      </c>
      <c t="s">
        <v>4985</v>
      </c>
      <c>
        <v>5</v>
      </c>
      <c t="s">
        <v>62877</v>
      </c>
      <c r="AN2261" t="s">
        <v>39289</v>
      </c>
      <c t="s">
        <v>31645</v>
      </c>
      <c t="s">
        <v>4480</v>
      </c>
      <c t="s">
        <v>3093</v>
      </c>
      <c t="s">
        <v>66742</v>
      </c>
    </row>
    <row>
      <c t="s">
        <v>17594</v>
      </c>
      <c t="s">
        <v>21458</v>
      </c>
      <c t="s">
        <v>67020</v>
      </c>
      <c t="s">
        <v>46198</v>
      </c>
      <c t="s">
        <v>66384</v>
      </c>
      <c s="3">
        <v>23352</v>
      </c>
      <c s="3">
        <v>23352</v>
      </c>
      <c s="3">
        <v>23352</v>
      </c>
      <c>
        <v>0</v>
      </c>
      <c s="3">
        <v>0</v>
      </c>
      <c s="3">
        <v>747.39</v>
      </c>
      <c s="3">
        <v>23352</v>
      </c>
      <c r="O2262" s="1" t="str">
        <f ca="1">HYPERLINK("https://web.datatree.com/?/property?propertyId=32810849", "https://web.datatree.com/?/property?propertyId=32810849")</f>
        <v>https://web.datatree.com/?/property?propertyId=32810849</v>
      </c>
      <c r="Q2262" t="s">
        <v>316</v>
      </c>
      <c>
        <v>0.241</v>
      </c>
      <c t="s">
        <v>22490</v>
      </c>
      <c t="s">
        <v>14111</v>
      </c>
      <c t="s">
        <v>43195</v>
      </c>
      <c r="X2262" t="s">
        <v>63683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34610</v>
      </c>
      <c>
        <v>650</v>
      </c>
      <c r="AI2262" t="s">
        <v>59695</v>
      </c>
      <c t="s">
        <v>11725</v>
      </c>
      <c r="AL2262" t="s">
        <v>30742</v>
      </c>
      <c r="AN2262" t="s">
        <v>4477</v>
      </c>
      <c>
        <v>98592</v>
      </c>
      <c t="s">
        <v>28962</v>
      </c>
      <c t="s">
        <v>3093</v>
      </c>
      <c t="s">
        <v>46941</v>
      </c>
    </row>
    <row>
      <c t="s">
        <v>17594</v>
      </c>
      <c t="s">
        <v>44960</v>
      </c>
      <c t="s">
        <v>15120</v>
      </c>
      <c t="s">
        <v>48539</v>
      </c>
      <c t="s">
        <v>17265</v>
      </c>
      <c s="3">
        <v>7500</v>
      </c>
      <c s="3">
        <v>7500</v>
      </c>
      <c s="3">
        <v>7500</v>
      </c>
      <c>
        <v>0</v>
      </c>
      <c s="3">
        <v>0</v>
      </c>
      <c s="3">
        <v>623.83</v>
      </c>
      <c s="3">
        <v>7500</v>
      </c>
      <c r="O2263" s="1" t="str">
        <f ca="1">HYPERLINK("https://web.datatree.com/?/property?propertyId=32811346", "https://web.datatree.com/?/property?propertyId=32811346")</f>
        <v>https://web.datatree.com/?/property?propertyId=32811346</v>
      </c>
      <c r="Q2263" t="s">
        <v>316</v>
      </c>
      <c>
        <v>0.23</v>
      </c>
      <c t="s">
        <v>42044</v>
      </c>
      <c r="U2263" t="s">
        <v>14067</v>
      </c>
      <c t="s">
        <v>11223</v>
      </c>
      <c t="s">
        <v>22080</v>
      </c>
      <c t="s">
        <v>9413</v>
      </c>
      <c t="s">
        <v>57064</v>
      </c>
      <c t="s">
        <v>2517</v>
      </c>
      <c t="s">
        <v>39289</v>
      </c>
      <c>
        <v>33909</v>
      </c>
      <c t="s">
        <v>65748</v>
      </c>
      <c t="s">
        <v>48794</v>
      </c>
      <c t="s">
        <v>6505</v>
      </c>
      <c>
        <v>6825</v>
      </c>
      <c r="AI2263" t="s">
        <v>16893</v>
      </c>
      <c t="s">
        <v>55842</v>
      </c>
      <c r="AL2263" t="s">
        <v>44427</v>
      </c>
      <c t="s">
        <v>44427</v>
      </c>
      <c t="s">
        <v>27481</v>
      </c>
      <c>
        <v>53012</v>
      </c>
      <c r="AQ2263" t="s">
        <v>3093</v>
      </c>
      <c t="s">
        <v>37492</v>
      </c>
    </row>
    <row>
      <c t="s">
        <v>17594</v>
      </c>
      <c t="s">
        <v>13031</v>
      </c>
      <c t="s">
        <v>35120</v>
      </c>
      <c t="s">
        <v>60939</v>
      </c>
      <c t="s">
        <v>62660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2020</v>
      </c>
      <c>
        <v>1712.44</v>
      </c>
      <c s="1" t="str">
        <f ca="1">HYPERLINK("https://web.datatree.com/?/property?propertyId=32812353", "https://web.datatree.com/?/property?propertyId=32812353")</f>
        <v>https://web.datatree.com/?/property?propertyId=32812353</v>
      </c>
      <c r="Q2264" t="s">
        <v>316</v>
      </c>
      <c>
        <v>0.23</v>
      </c>
      <c t="s">
        <v>6175</v>
      </c>
      <c t="s">
        <v>40358</v>
      </c>
      <c t="s">
        <v>16871</v>
      </c>
      <c r="X2264" t="s">
        <v>59779</v>
      </c>
      <c t="s">
        <v>14534</v>
      </c>
      <c t="s">
        <v>2517</v>
      </c>
      <c t="s">
        <v>39289</v>
      </c>
      <c>
        <v>33909</v>
      </c>
      <c t="s">
        <v>56899</v>
      </c>
      <c t="s">
        <v>48794</v>
      </c>
      <c t="s">
        <v>65852</v>
      </c>
      <c>
        <v>11890</v>
      </c>
      <c r="AI2264" t="s">
        <v>17022</v>
      </c>
      <c t="s">
        <v>45393</v>
      </c>
      <c>
        <v>503</v>
      </c>
      <c t="s">
        <v>55393</v>
      </c>
      <c t="s">
        <v>51647</v>
      </c>
      <c t="s">
        <v>39289</v>
      </c>
      <c t="s">
        <v>40693</v>
      </c>
      <c t="s">
        <v>13610</v>
      </c>
      <c t="s">
        <v>3093</v>
      </c>
      <c t="s">
        <v>22007</v>
      </c>
    </row>
    <row>
      <c t="s">
        <v>17594</v>
      </c>
      <c t="s">
        <v>64435</v>
      </c>
      <c t="s">
        <v>48872</v>
      </c>
      <c t="s">
        <v>8615</v>
      </c>
      <c t="s">
        <v>42060</v>
      </c>
      <c s="3">
        <v>41344</v>
      </c>
      <c s="3">
        <v>41344</v>
      </c>
      <c s="3">
        <v>22824</v>
      </c>
      <c>
        <v>0</v>
      </c>
      <c s="3">
        <v>0</v>
      </c>
      <c s="3">
        <v>876.47</v>
      </c>
      <c s="3">
        <v>41344</v>
      </c>
      <c r="O2265" s="1" t="str">
        <f ca="1">HYPERLINK("https://web.datatree.com/?/property?propertyId=32812964", "https://web.datatree.com/?/property?propertyId=32812964")</f>
        <v>https://web.datatree.com/?/property?propertyId=32812964</v>
      </c>
      <c r="Q2265" t="s">
        <v>316</v>
      </c>
      <c>
        <v>0.229</v>
      </c>
      <c t="s">
        <v>6175</v>
      </c>
      <c t="s">
        <v>36164</v>
      </c>
      <c t="s">
        <v>31323</v>
      </c>
      <c t="s">
        <v>26502</v>
      </c>
      <c t="s">
        <v>31323</v>
      </c>
      <c t="s">
        <v>17088</v>
      </c>
      <c t="s">
        <v>25988</v>
      </c>
      <c t="s">
        <v>2517</v>
      </c>
      <c t="s">
        <v>39289</v>
      </c>
      <c>
        <v>33904</v>
      </c>
      <c t="s">
        <v>22035</v>
      </c>
      <c t="s">
        <v>48794</v>
      </c>
      <c t="s">
        <v>34825</v>
      </c>
      <c>
        <v>123</v>
      </c>
      <c r="AI2265" t="s">
        <v>25704</v>
      </c>
      <c t="s">
        <v>31192</v>
      </c>
      <c r="AL2265" t="s">
        <v>16471</v>
      </c>
      <c r="AN2265" t="s">
        <v>65467</v>
      </c>
      <c t="s">
        <v>28095</v>
      </c>
      <c t="s">
        <v>42082</v>
      </c>
      <c t="s">
        <v>3093</v>
      </c>
      <c t="s">
        <v>4972</v>
      </c>
    </row>
    <row>
      <c t="s">
        <v>17594</v>
      </c>
      <c t="s">
        <v>20528</v>
      </c>
      <c t="s">
        <v>51098</v>
      </c>
      <c t="s">
        <v>44134</v>
      </c>
      <c t="s">
        <v>6894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266" s="1" t="str">
        <f ca="1">HYPERLINK("https://web.datatree.com/?/property?propertyId=32814017", "https://web.datatree.com/?/property?propertyId=32814017")</f>
        <v>https://web.datatree.com/?/property?propertyId=32814017</v>
      </c>
      <c r="Q2266" t="s">
        <v>316</v>
      </c>
      <c>
        <v>0.23</v>
      </c>
      <c t="s">
        <v>22490</v>
      </c>
      <c r="U2266" t="s">
        <v>59762</v>
      </c>
      <c r="W2266" t="s">
        <v>16442</v>
      </c>
      <c t="s">
        <v>54390</v>
      </c>
      <c t="s">
        <v>52171</v>
      </c>
      <c t="s">
        <v>2517</v>
      </c>
      <c t="s">
        <v>39289</v>
      </c>
      <c>
        <v>33909</v>
      </c>
      <c t="s">
        <v>24609</v>
      </c>
      <c t="s">
        <v>48794</v>
      </c>
      <c t="s">
        <v>22915</v>
      </c>
      <c>
        <v>13175</v>
      </c>
      <c r="AI2266" t="s">
        <v>54750</v>
      </c>
      <c t="s">
        <v>40123</v>
      </c>
      <c r="AL2266" t="s">
        <v>43185</v>
      </c>
      <c r="AN2266" t="s">
        <v>65451</v>
      </c>
      <c t="s">
        <v>2326</v>
      </c>
      <c t="s">
        <v>3364</v>
      </c>
      <c t="s">
        <v>3093</v>
      </c>
      <c t="s">
        <v>44477</v>
      </c>
    </row>
    <row>
      <c t="s">
        <v>17594</v>
      </c>
      <c t="s">
        <v>16830</v>
      </c>
      <c t="s">
        <v>57939</v>
      </c>
      <c t="s">
        <v>4598</v>
      </c>
      <c t="s">
        <v>12367</v>
      </c>
      <c s="3">
        <v>16256</v>
      </c>
      <c s="3">
        <v>16256</v>
      </c>
      <c s="3">
        <v>14605</v>
      </c>
      <c>
        <v>0</v>
      </c>
      <c s="3">
        <v>0</v>
      </c>
      <c s="3">
        <v>216.35</v>
      </c>
      <c s="3">
        <v>16256</v>
      </c>
      <c r="O2267" s="1" t="str">
        <f ca="1">HYPERLINK("https://web.datatree.com/?/property?propertyId=32814426", "https://web.datatree.com/?/property?propertyId=32814426")</f>
        <v>https://web.datatree.com/?/property?propertyId=32814426</v>
      </c>
      <c r="Q2267" t="s">
        <v>316</v>
      </c>
      <c>
        <v>0.672</v>
      </c>
      <c t="s">
        <v>5471</v>
      </c>
      <c t="s">
        <v>3617</v>
      </c>
      <c t="s">
        <v>29892</v>
      </c>
      <c t="s">
        <v>45539</v>
      </c>
      <c t="s">
        <v>42630</v>
      </c>
      <c t="s">
        <v>10190</v>
      </c>
      <c t="s">
        <v>20881</v>
      </c>
      <c t="s">
        <v>65059</v>
      </c>
      <c t="s">
        <v>39289</v>
      </c>
      <c>
        <v>33905</v>
      </c>
      <c>
        <v>33905</v>
      </c>
      <c t="s">
        <v>48794</v>
      </c>
      <c t="s">
        <v>57596</v>
      </c>
      <c>
        <v>3521</v>
      </c>
      <c r="AI2267" t="s">
        <v>22341</v>
      </c>
      <c t="s">
        <v>835</v>
      </c>
      <c r="AL2267" t="s">
        <v>27194</v>
      </c>
      <c t="s">
        <v>27194</v>
      </c>
      <c t="s">
        <v>65451</v>
      </c>
      <c t="s">
        <v>30935</v>
      </c>
      <c t="s">
        <v>4797</v>
      </c>
      <c t="s">
        <v>3093</v>
      </c>
      <c t="s">
        <v>50197</v>
      </c>
    </row>
    <row>
      <c t="s">
        <v>17594</v>
      </c>
      <c t="s">
        <v>58818</v>
      </c>
      <c t="s">
        <v>55377</v>
      </c>
      <c t="s">
        <v>52008</v>
      </c>
      <c t="s">
        <v>41167</v>
      </c>
      <c s="3">
        <v>13539</v>
      </c>
      <c s="3">
        <v>13539</v>
      </c>
      <c s="3">
        <v>4400</v>
      </c>
      <c>
        <v>0</v>
      </c>
      <c s="3">
        <v>0</v>
      </c>
      <c s="3">
        <v>394</v>
      </c>
      <c s="3">
        <v>13539</v>
      </c>
      <c r="O2268" s="1" t="str">
        <f ca="1">HYPERLINK("https://web.datatree.com/?/property?propertyId=32814464", "https://web.datatree.com/?/property?propertyId=32814464")</f>
        <v>https://web.datatree.com/?/property?propertyId=32814464</v>
      </c>
      <c r="Q2268" t="s">
        <v>316</v>
      </c>
      <c>
        <v>0.129</v>
      </c>
      <c t="s">
        <v>22490</v>
      </c>
      <c t="s">
        <v>49741</v>
      </c>
      <c t="s">
        <v>47024</v>
      </c>
      <c r="X2268" t="s">
        <v>66967</v>
      </c>
      <c t="s">
        <v>23517</v>
      </c>
      <c t="s">
        <v>2517</v>
      </c>
      <c t="s">
        <v>39289</v>
      </c>
      <c>
        <v>33909</v>
      </c>
      <c t="s">
        <v>23360</v>
      </c>
      <c t="s">
        <v>48794</v>
      </c>
      <c t="s">
        <v>50924</v>
      </c>
      <c>
        <v>14520</v>
      </c>
      <c r="AI2268" t="s">
        <v>17004</v>
      </c>
      <c t="s">
        <v>41372</v>
      </c>
      <c r="AL2268" t="s">
        <v>55393</v>
      </c>
      <c r="AN2268" t="s">
        <v>39289</v>
      </c>
      <c t="s">
        <v>66174</v>
      </c>
      <c t="s">
        <v>48506</v>
      </c>
      <c t="s">
        <v>3093</v>
      </c>
      <c t="s">
        <v>64510</v>
      </c>
    </row>
    <row>
      <c t="s">
        <v>17594</v>
      </c>
      <c t="s">
        <v>50221</v>
      </c>
      <c t="s">
        <v>23032</v>
      </c>
      <c t="s">
        <v>755</v>
      </c>
      <c t="s">
        <v>16428</v>
      </c>
      <c s="3">
        <v>34326</v>
      </c>
      <c s="3">
        <v>34132</v>
      </c>
      <c s="3">
        <v>34129</v>
      </c>
      <c>
        <v>0</v>
      </c>
      <c s="3">
        <v>0</v>
      </c>
      <c s="3">
        <v>474.28</v>
      </c>
      <c s="3">
        <v>34326</v>
      </c>
      <c r="O2269" s="1" t="str">
        <f ca="1">HYPERLINK("https://web.datatree.com/?/property?propertyId=32814787", "https://web.datatree.com/?/property?propertyId=32814787")</f>
        <v>https://web.datatree.com/?/property?propertyId=32814787</v>
      </c>
      <c r="Q2269" t="s">
        <v>316</v>
      </c>
      <c>
        <v>0.049</v>
      </c>
      <c t="s">
        <v>54329</v>
      </c>
      <c t="s">
        <v>14827</v>
      </c>
      <c t="s">
        <v>4823</v>
      </c>
      <c t="s">
        <v>67028</v>
      </c>
      <c t="s">
        <v>4823</v>
      </c>
      <c t="s">
        <v>58888</v>
      </c>
      <c t="s">
        <v>65979</v>
      </c>
      <c t="s">
        <v>65059</v>
      </c>
      <c t="s">
        <v>39289</v>
      </c>
      <c>
        <v>33908</v>
      </c>
      <c>
        <v>33908</v>
      </c>
      <c t="s">
        <v>48794</v>
      </c>
      <c t="s">
        <v>42811</v>
      </c>
      <c>
        <v>18401</v>
      </c>
      <c r="AI2269" t="s">
        <v>28635</v>
      </c>
      <c t="s">
        <v>31192</v>
      </c>
      <c r="AL2269" t="s">
        <v>61005</v>
      </c>
      <c r="AN2269" t="s">
        <v>51137</v>
      </c>
      <c t="s">
        <v>45190</v>
      </c>
      <c t="s">
        <v>49695</v>
      </c>
      <c t="s">
        <v>3093</v>
      </c>
      <c t="s">
        <v>53748</v>
      </c>
      <c>
        <v>1984</v>
      </c>
    </row>
    <row>
      <c t="s">
        <v>17594</v>
      </c>
      <c t="s">
        <v>50524</v>
      </c>
      <c t="s">
        <v>33045</v>
      </c>
      <c t="s">
        <v>20496</v>
      </c>
      <c t="s">
        <v>46946</v>
      </c>
      <c s="3">
        <v>21820</v>
      </c>
      <c s="3">
        <v>21820</v>
      </c>
      <c s="3">
        <v>21820</v>
      </c>
      <c>
        <v>0</v>
      </c>
      <c s="3">
        <v>0</v>
      </c>
      <c s="3">
        <v>326.68</v>
      </c>
      <c s="3">
        <v>21820</v>
      </c>
      <c r="O2270" s="1" t="str">
        <f ca="1">HYPERLINK("https://web.datatree.com/?/property?propertyId=32814917", "https://web.datatree.com/?/property?propertyId=32814917")</f>
        <v>https://web.datatree.com/?/property?propertyId=32814917</v>
      </c>
      <c r="Q2270" t="s">
        <v>316</v>
      </c>
      <c>
        <v>0.159</v>
      </c>
      <c t="s">
        <v>45526</v>
      </c>
      <c t="s">
        <v>8033</v>
      </c>
      <c t="s">
        <v>64380</v>
      </c>
      <c t="s">
        <v>21379</v>
      </c>
      <c t="s">
        <v>64380</v>
      </c>
      <c t="s">
        <v>15722</v>
      </c>
      <c t="s">
        <v>3186</v>
      </c>
      <c t="s">
        <v>65059</v>
      </c>
      <c t="s">
        <v>39289</v>
      </c>
      <c>
        <v>33905</v>
      </c>
      <c t="s">
        <v>30259</v>
      </c>
      <c t="s">
        <v>48794</v>
      </c>
      <c t="s">
        <v>58533</v>
      </c>
      <c>
        <v>270</v>
      </c>
      <c r="AH2270" t="s">
        <v>15376</v>
      </c>
      <c t="s">
        <v>9326</v>
      </c>
      <c t="s">
        <v>31192</v>
      </c>
      <c r="AL2270" t="s">
        <v>56874</v>
      </c>
      <c r="AN2270" t="s">
        <v>39289</v>
      </c>
      <c t="s">
        <v>28134</v>
      </c>
      <c t="s">
        <v>51214</v>
      </c>
      <c t="s">
        <v>3093</v>
      </c>
      <c t="s">
        <v>55270</v>
      </c>
    </row>
    <row>
      <c t="s">
        <v>17594</v>
      </c>
      <c t="s">
        <v>47714</v>
      </c>
      <c t="s">
        <v>25513</v>
      </c>
      <c t="s">
        <v>49827</v>
      </c>
      <c t="s">
        <v>38237</v>
      </c>
      <c s="3">
        <v>272646</v>
      </c>
      <c s="3">
        <v>272646</v>
      </c>
      <c s="3">
        <v>245025</v>
      </c>
      <c>
        <v>0</v>
      </c>
      <c s="3">
        <v>0</v>
      </c>
      <c s="3">
        <v>19235.52</v>
      </c>
      <c s="3">
        <v>272646</v>
      </c>
      <c r="O2271" s="1" t="str">
        <f ca="1">HYPERLINK("https://web.datatree.com/?/property?propertyId=32815151", "https://web.datatree.com/?/property?propertyId=32815151")</f>
        <v>https://web.datatree.com/?/property?propertyId=32815151</v>
      </c>
      <c r="Q2271" t="s">
        <v>316</v>
      </c>
      <c>
        <v>4.05</v>
      </c>
      <c t="s">
        <v>30497</v>
      </c>
      <c t="s">
        <v>552</v>
      </c>
      <c t="s">
        <v>27873</v>
      </c>
      <c r="X2271" t="s">
        <v>50885</v>
      </c>
      <c t="s">
        <v>18088</v>
      </c>
      <c t="s">
        <v>54524</v>
      </c>
      <c t="s">
        <v>39289</v>
      </c>
      <c>
        <v>33903</v>
      </c>
      <c t="s">
        <v>29898</v>
      </c>
      <c t="s">
        <v>48794</v>
      </c>
      <c t="s">
        <v>14493</v>
      </c>
      <c>
        <v>608</v>
      </c>
      <c r="AI2271" t="s">
        <v>28635</v>
      </c>
      <c t="s">
        <v>31192</v>
      </c>
      <c r="AL2271" t="s">
        <v>27399</v>
      </c>
      <c t="s">
        <v>27399</v>
      </c>
      <c t="s">
        <v>19878</v>
      </c>
      <c t="s">
        <v>42628</v>
      </c>
      <c t="s">
        <v>33029</v>
      </c>
      <c t="s">
        <v>3093</v>
      </c>
      <c t="s">
        <v>61021</v>
      </c>
    </row>
    <row>
      <c t="s">
        <v>17594</v>
      </c>
      <c t="s">
        <v>66708</v>
      </c>
      <c t="s">
        <v>4125</v>
      </c>
      <c t="s">
        <v>44961</v>
      </c>
      <c t="s">
        <v>37043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272" s="1" t="str">
        <f ca="1">HYPERLINK("https://web.datatree.com/?/property?propertyId=32815379", "https://web.datatree.com/?/property?propertyId=32815379")</f>
        <v>https://web.datatree.com/?/property?propertyId=32815379</v>
      </c>
      <c r="Q2272" t="s">
        <v>316</v>
      </c>
      <c>
        <v>0.23</v>
      </c>
      <c t="s">
        <v>22490</v>
      </c>
      <c r="U2272" t="s">
        <v>33221</v>
      </c>
      <c t="s">
        <v>16893</v>
      </c>
      <c t="s">
        <v>55488</v>
      </c>
      <c t="s">
        <v>38435</v>
      </c>
      <c t="s">
        <v>22731</v>
      </c>
      <c t="s">
        <v>2517</v>
      </c>
      <c t="s">
        <v>39289</v>
      </c>
      <c>
        <v>33909</v>
      </c>
      <c t="s">
        <v>23554</v>
      </c>
      <c t="s">
        <v>48794</v>
      </c>
      <c t="s">
        <v>35378</v>
      </c>
      <c>
        <v>300</v>
      </c>
      <c r="AH2272" t="s">
        <v>57851</v>
      </c>
      <c t="s">
        <v>18679</v>
      </c>
      <c t="s">
        <v>45393</v>
      </c>
      <c r="AL2272" t="s">
        <v>977</v>
      </c>
      <c t="s">
        <v>977</v>
      </c>
      <c t="s">
        <v>50829</v>
      </c>
      <c t="s">
        <v>35694</v>
      </c>
      <c t="s">
        <v>34162</v>
      </c>
      <c t="s">
        <v>3093</v>
      </c>
      <c t="s">
        <v>28817</v>
      </c>
    </row>
    <row>
      <c t="s">
        <v>17594</v>
      </c>
      <c t="s">
        <v>27820</v>
      </c>
      <c t="s">
        <v>16543</v>
      </c>
      <c t="s">
        <v>67228</v>
      </c>
      <c t="s">
        <v>67177</v>
      </c>
      <c s="3">
        <v>54979</v>
      </c>
      <c s="3">
        <v>54979</v>
      </c>
      <c s="3">
        <v>38720</v>
      </c>
      <c>
        <v>0</v>
      </c>
      <c s="3">
        <v>0</v>
      </c>
      <c s="3">
        <v>1136.68</v>
      </c>
      <c s="3">
        <v>54979</v>
      </c>
      <c r="O2273" s="1" t="str">
        <f ca="1">HYPERLINK("https://web.datatree.com/?/property?propertyId=32815388", "https://web.datatree.com/?/property?propertyId=32815388")</f>
        <v>https://web.datatree.com/?/property?propertyId=32815388</v>
      </c>
      <c r="Q2273" t="s">
        <v>316</v>
      </c>
      <c>
        <v>0.28</v>
      </c>
      <c t="s">
        <v>22490</v>
      </c>
      <c t="s">
        <v>44541</v>
      </c>
      <c t="s">
        <v>37697</v>
      </c>
      <c t="s">
        <v>2399</v>
      </c>
      <c t="s">
        <v>37697</v>
      </c>
      <c t="s">
        <v>27812</v>
      </c>
      <c t="s">
        <v>46469</v>
      </c>
      <c t="s">
        <v>2517</v>
      </c>
      <c t="s">
        <v>39289</v>
      </c>
      <c>
        <v>33909</v>
      </c>
      <c t="s">
        <v>41854</v>
      </c>
      <c t="s">
        <v>48794</v>
      </c>
      <c t="s">
        <v>15988</v>
      </c>
      <c>
        <v>4445</v>
      </c>
      <c r="AI2273" t="s">
        <v>9517</v>
      </c>
      <c t="s">
        <v>56275</v>
      </c>
      <c r="AL2273" t="s">
        <v>49235</v>
      </c>
      <c r="AN2273" t="s">
        <v>51137</v>
      </c>
      <c t="s">
        <v>63779</v>
      </c>
      <c t="s">
        <v>52247</v>
      </c>
      <c t="s">
        <v>3093</v>
      </c>
      <c t="s">
        <v>58630</v>
      </c>
    </row>
    <row>
      <c t="s">
        <v>17594</v>
      </c>
      <c t="s">
        <v>5604</v>
      </c>
      <c t="s">
        <v>19686</v>
      </c>
      <c t="s">
        <v>24651</v>
      </c>
      <c t="s">
        <v>39722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274" s="1" t="str">
        <f ca="1">HYPERLINK("https://web.datatree.com/?/property?propertyId=32816251", "https://web.datatree.com/?/property?propertyId=32816251")</f>
        <v>https://web.datatree.com/?/property?propertyId=32816251</v>
      </c>
      <c r="Q2274" t="s">
        <v>316</v>
      </c>
      <c>
        <v>0.233</v>
      </c>
      <c t="s">
        <v>22490</v>
      </c>
      <c t="s">
        <v>23721</v>
      </c>
      <c t="s">
        <v>25330</v>
      </c>
      <c r="X2274" t="s">
        <v>27768</v>
      </c>
      <c t="s">
        <v>41506</v>
      </c>
      <c t="s">
        <v>2517</v>
      </c>
      <c t="s">
        <v>39289</v>
      </c>
      <c>
        <v>33909</v>
      </c>
      <c t="s">
        <v>45688</v>
      </c>
      <c t="s">
        <v>48794</v>
      </c>
      <c t="s">
        <v>20192</v>
      </c>
      <c>
        <v>819</v>
      </c>
      <c r="AI2274" t="s">
        <v>64594</v>
      </c>
      <c t="s">
        <v>45393</v>
      </c>
      <c r="AL2274" t="s">
        <v>27398</v>
      </c>
      <c t="s">
        <v>45881</v>
      </c>
      <c t="s">
        <v>39289</v>
      </c>
      <c t="s">
        <v>45004</v>
      </c>
      <c t="s">
        <v>64089</v>
      </c>
      <c t="s">
        <v>3093</v>
      </c>
      <c t="s">
        <v>3651</v>
      </c>
    </row>
    <row>
      <c t="s">
        <v>17594</v>
      </c>
      <c t="s">
        <v>8474</v>
      </c>
      <c t="s">
        <v>1829</v>
      </c>
      <c t="s">
        <v>35555</v>
      </c>
      <c t="s">
        <v>59019</v>
      </c>
      <c s="3">
        <v>11250</v>
      </c>
      <c s="3">
        <v>11250</v>
      </c>
      <c s="3">
        <v>11250</v>
      </c>
      <c>
        <v>0</v>
      </c>
      <c s="3">
        <v>0</v>
      </c>
      <c s="3">
        <v>173.13</v>
      </c>
      <c s="3">
        <v>11250</v>
      </c>
      <c r="O2275" s="1" t="str">
        <f ca="1">HYPERLINK("https://web.datatree.com/?/property?propertyId=32816477", "https://web.datatree.com/?/property?propertyId=32816477")</f>
        <v>https://web.datatree.com/?/property?propertyId=32816477</v>
      </c>
      <c r="Q2275" t="s">
        <v>316</v>
      </c>
      <c>
        <v>0.332</v>
      </c>
      <c t="s">
        <v>66399</v>
      </c>
      <c t="s">
        <v>44457</v>
      </c>
      <c t="s">
        <v>34397</v>
      </c>
      <c r="X2275" t="s">
        <v>51103</v>
      </c>
      <c t="s">
        <v>12546</v>
      </c>
      <c t="s">
        <v>65059</v>
      </c>
      <c t="s">
        <v>39289</v>
      </c>
      <c>
        <v>33905</v>
      </c>
      <c t="s">
        <v>58399</v>
      </c>
      <c t="s">
        <v>48794</v>
      </c>
      <c t="s">
        <v>66652</v>
      </c>
      <c>
        <v>9033</v>
      </c>
      <c r="AI2275" t="s">
        <v>30721</v>
      </c>
      <c t="s">
        <v>40123</v>
      </c>
      <c r="AL2275" t="s">
        <v>11713</v>
      </c>
      <c r="AN2275" t="s">
        <v>39289</v>
      </c>
      <c t="s">
        <v>3107</v>
      </c>
      <c t="s">
        <v>4491</v>
      </c>
      <c t="s">
        <v>3093</v>
      </c>
      <c t="s">
        <v>61002</v>
      </c>
    </row>
    <row>
      <c t="s">
        <v>17594</v>
      </c>
      <c t="s">
        <v>27966</v>
      </c>
      <c t="s">
        <v>40233</v>
      </c>
      <c t="s">
        <v>12990</v>
      </c>
      <c t="s">
        <v>26232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276" s="1" t="str">
        <f ca="1">HYPERLINK("https://web.datatree.com/?/property?propertyId=32816862", "https://web.datatree.com/?/property?propertyId=32816862")</f>
        <v>https://web.datatree.com/?/property?propertyId=32816862</v>
      </c>
      <c r="Q2276" t="s">
        <v>316</v>
      </c>
      <c>
        <v>0.23</v>
      </c>
      <c t="s">
        <v>6175</v>
      </c>
      <c t="s">
        <v>32105</v>
      </c>
      <c t="s">
        <v>15107</v>
      </c>
      <c t="s">
        <v>58380</v>
      </c>
      <c t="s">
        <v>15107</v>
      </c>
      <c t="s">
        <v>10907</v>
      </c>
      <c t="s">
        <v>49122</v>
      </c>
      <c t="s">
        <v>2517</v>
      </c>
      <c t="s">
        <v>39289</v>
      </c>
      <c>
        <v>33909</v>
      </c>
      <c t="s">
        <v>44378</v>
      </c>
      <c t="s">
        <v>48794</v>
      </c>
      <c t="s">
        <v>9051</v>
      </c>
      <c>
        <v>2720</v>
      </c>
      <c r="AI2276" t="s">
        <v>41137</v>
      </c>
      <c t="s">
        <v>4985</v>
      </c>
      <c r="AL2276" t="s">
        <v>10240</v>
      </c>
      <c t="s">
        <v>10240</v>
      </c>
      <c t="s">
        <v>39289</v>
      </c>
      <c t="s">
        <v>2545</v>
      </c>
      <c t="s">
        <v>5948</v>
      </c>
      <c t="s">
        <v>3093</v>
      </c>
      <c t="s">
        <v>17534</v>
      </c>
    </row>
    <row>
      <c t="s">
        <v>17594</v>
      </c>
      <c t="s">
        <v>60350</v>
      </c>
      <c t="s">
        <v>49549</v>
      </c>
      <c t="s">
        <v>28602</v>
      </c>
      <c t="s">
        <v>49043</v>
      </c>
      <c s="3">
        <v>97453</v>
      </c>
      <c s="3">
        <v>82500</v>
      </c>
      <c s="3">
        <v>97453</v>
      </c>
      <c>
        <v>0</v>
      </c>
      <c s="3">
        <v>0</v>
      </c>
      <c s="3">
        <v>1463.92</v>
      </c>
      <c s="3">
        <v>97453</v>
      </c>
      <c r="O2277" s="1" t="str">
        <f ca="1">HYPERLINK("https://web.datatree.com/?/property?propertyId=32816896", "https://web.datatree.com/?/property?propertyId=32816896")</f>
        <v>https://web.datatree.com/?/property?propertyId=32816896</v>
      </c>
      <c r="Q2277" t="s">
        <v>316</v>
      </c>
      <c>
        <v>0.167</v>
      </c>
      <c t="s">
        <v>26492</v>
      </c>
      <c r="U2277" t="s">
        <v>8881</v>
      </c>
      <c t="s">
        <v>21379</v>
      </c>
      <c t="s">
        <v>46563</v>
      </c>
      <c t="s">
        <v>40458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26096</v>
      </c>
      <c>
        <v>26180</v>
      </c>
      <c r="AI2277" t="s">
        <v>39531</v>
      </c>
      <c t="s">
        <v>24900</v>
      </c>
      <c r="AL2277" t="s">
        <v>40821</v>
      </c>
      <c t="s">
        <v>40227</v>
      </c>
      <c t="s">
        <v>50829</v>
      </c>
      <c t="s">
        <v>64858</v>
      </c>
      <c t="s">
        <v>56028</v>
      </c>
      <c t="s">
        <v>3093</v>
      </c>
      <c t="s">
        <v>21790</v>
      </c>
    </row>
    <row>
      <c t="s">
        <v>17594</v>
      </c>
      <c t="s">
        <v>33094</v>
      </c>
      <c t="s">
        <v>29441</v>
      </c>
      <c t="s">
        <v>34449</v>
      </c>
      <c t="s">
        <v>63350</v>
      </c>
      <c s="3">
        <v>36662</v>
      </c>
      <c s="3">
        <v>36662</v>
      </c>
      <c s="3">
        <v>36662</v>
      </c>
      <c>
        <v>0</v>
      </c>
      <c s="3">
        <v>0</v>
      </c>
      <c s="3">
        <v>634.7</v>
      </c>
      <c s="3">
        <v>36662</v>
      </c>
      <c r="O2278" s="1" t="str">
        <f ca="1">HYPERLINK("https://web.datatree.com/?/property?propertyId=32817020", "https://web.datatree.com/?/property?propertyId=32817020")</f>
        <v>https://web.datatree.com/?/property?propertyId=32817020</v>
      </c>
      <c r="Q2278" t="s">
        <v>316</v>
      </c>
      <c>
        <v>0.207</v>
      </c>
      <c t="s">
        <v>11579</v>
      </c>
      <c t="s">
        <v>34124</v>
      </c>
      <c t="s">
        <v>40907</v>
      </c>
      <c r="X2278" t="s">
        <v>40747</v>
      </c>
      <c t="s">
        <v>46430</v>
      </c>
      <c t="s">
        <v>65059</v>
      </c>
      <c t="s">
        <v>39289</v>
      </c>
      <c>
        <v>33901</v>
      </c>
      <c>
        <v>33901</v>
      </c>
      <c t="s">
        <v>48794</v>
      </c>
      <c t="s">
        <v>5072</v>
      </c>
      <c>
        <v>1708</v>
      </c>
      <c r="AI2278" t="s">
        <v>5364</v>
      </c>
      <c t="s">
        <v>24900</v>
      </c>
      <c r="AL2278" t="s">
        <v>23972</v>
      </c>
      <c t="s">
        <v>23972</v>
      </c>
      <c t="s">
        <v>19878</v>
      </c>
      <c t="s">
        <v>46476</v>
      </c>
      <c t="s">
        <v>34162</v>
      </c>
      <c t="s">
        <v>3093</v>
      </c>
      <c t="s">
        <v>31530</v>
      </c>
    </row>
    <row>
      <c t="s">
        <v>17594</v>
      </c>
      <c t="s">
        <v>10099</v>
      </c>
      <c t="s">
        <v>36294</v>
      </c>
      <c t="s">
        <v>26566</v>
      </c>
      <c t="s">
        <v>8265</v>
      </c>
      <c s="3">
        <v>15788</v>
      </c>
      <c s="3">
        <v>15788</v>
      </c>
      <c s="3">
        <v>8250</v>
      </c>
      <c>
        <v>0</v>
      </c>
      <c s="3">
        <v>0</v>
      </c>
      <c s="3">
        <v>568.23</v>
      </c>
      <c s="3">
        <v>15788</v>
      </c>
      <c r="O2279" s="1" t="str">
        <f ca="1">HYPERLINK("https://web.datatree.com/?/property?propertyId=32818762", "https://web.datatree.com/?/property?propertyId=32818762")</f>
        <v>https://web.datatree.com/?/property?propertyId=32818762</v>
      </c>
      <c r="Q2279" t="s">
        <v>316</v>
      </c>
      <c>
        <v>0.254</v>
      </c>
      <c t="s">
        <v>6175</v>
      </c>
      <c t="s">
        <v>38757</v>
      </c>
      <c t="s">
        <v>7889</v>
      </c>
      <c r="X2279" t="s">
        <v>62007</v>
      </c>
      <c t="s">
        <v>49674</v>
      </c>
      <c t="s">
        <v>2517</v>
      </c>
      <c t="s">
        <v>39289</v>
      </c>
      <c>
        <v>33909</v>
      </c>
      <c t="s">
        <v>40415</v>
      </c>
      <c t="s">
        <v>48794</v>
      </c>
      <c t="s">
        <v>52960</v>
      </c>
      <c>
        <v>2784</v>
      </c>
      <c r="AH2279" t="s">
        <v>6851</v>
      </c>
      <c t="s">
        <v>30682</v>
      </c>
      <c t="s">
        <v>45620</v>
      </c>
      <c r="AL2279" t="s">
        <v>16806</v>
      </c>
      <c r="AN2279" t="s">
        <v>39289</v>
      </c>
      <c t="s">
        <v>56854</v>
      </c>
      <c t="s">
        <v>59267</v>
      </c>
      <c t="s">
        <v>3093</v>
      </c>
      <c t="s">
        <v>53991</v>
      </c>
    </row>
    <row>
      <c t="s">
        <v>17594</v>
      </c>
      <c t="s">
        <v>9713</v>
      </c>
      <c t="s">
        <v>31463</v>
      </c>
      <c t="s">
        <v>160</v>
      </c>
      <c t="s">
        <v>60320</v>
      </c>
      <c s="3">
        <v>24937</v>
      </c>
      <c s="3">
        <v>24937</v>
      </c>
      <c s="3">
        <v>9079</v>
      </c>
      <c>
        <v>0</v>
      </c>
      <c s="3">
        <v>0</v>
      </c>
      <c s="3">
        <v>2968.56</v>
      </c>
      <c s="3">
        <v>24937</v>
      </c>
      <c r="O2280" s="1" t="str">
        <f ca="1">HYPERLINK("https://web.datatree.com/?/property?propertyId=32819215", "https://web.datatree.com/?/property?propertyId=32819215")</f>
        <v>https://web.datatree.com/?/property?propertyId=32819215</v>
      </c>
      <c r="Q2280" t="s">
        <v>316</v>
      </c>
      <c>
        <v>0.244</v>
      </c>
      <c t="s">
        <v>6175</v>
      </c>
      <c t="s">
        <v>1859</v>
      </c>
      <c t="s">
        <v>15478</v>
      </c>
      <c t="s">
        <v>9762</v>
      </c>
      <c t="s">
        <v>15478</v>
      </c>
      <c t="s">
        <v>61759</v>
      </c>
      <c t="s">
        <v>61865</v>
      </c>
      <c t="s">
        <v>2517</v>
      </c>
      <c t="s">
        <v>39289</v>
      </c>
      <c>
        <v>33909</v>
      </c>
      <c t="s">
        <v>41725</v>
      </c>
      <c t="s">
        <v>48794</v>
      </c>
      <c t="s">
        <v>37006</v>
      </c>
      <c>
        <v>54</v>
      </c>
      <c r="AI2280" t="s">
        <v>7107</v>
      </c>
      <c t="s">
        <v>24900</v>
      </c>
      <c r="AL2280" t="s">
        <v>47292</v>
      </c>
      <c r="AN2280" t="s">
        <v>50917</v>
      </c>
      <c t="s">
        <v>27365</v>
      </c>
      <c t="s">
        <v>19978</v>
      </c>
      <c t="s">
        <v>3093</v>
      </c>
      <c t="s">
        <v>59209</v>
      </c>
    </row>
    <row>
      <c t="s">
        <v>17594</v>
      </c>
      <c t="s">
        <v>9260</v>
      </c>
      <c t="s">
        <v>29216</v>
      </c>
      <c t="s">
        <v>65514</v>
      </c>
      <c t="s">
        <v>63664</v>
      </c>
      <c s="3">
        <v>20002</v>
      </c>
      <c s="3">
        <v>20002</v>
      </c>
      <c s="3">
        <v>9339</v>
      </c>
      <c>
        <v>0</v>
      </c>
      <c s="3">
        <v>0</v>
      </c>
      <c s="3">
        <v>590.51</v>
      </c>
      <c s="3">
        <v>20002</v>
      </c>
      <c r="O2281" s="1" t="str">
        <f ca="1">HYPERLINK("https://web.datatree.com/?/property?propertyId=32819662", "https://web.datatree.com/?/property?propertyId=32819662")</f>
        <v>https://web.datatree.com/?/property?propertyId=32819662</v>
      </c>
      <c r="Q2281" t="s">
        <v>316</v>
      </c>
      <c>
        <v>0.23</v>
      </c>
      <c t="s">
        <v>65422</v>
      </c>
      <c t="s">
        <v>63182</v>
      </c>
      <c t="s">
        <v>4760</v>
      </c>
      <c r="X2281" t="s">
        <v>18435</v>
      </c>
      <c t="s">
        <v>17022</v>
      </c>
      <c t="s">
        <v>2517</v>
      </c>
      <c t="s">
        <v>39289</v>
      </c>
      <c>
        <v>33909</v>
      </c>
      <c>
        <v>33909</v>
      </c>
      <c t="s">
        <v>48794</v>
      </c>
      <c t="s">
        <v>16197</v>
      </c>
      <c>
        <v>607</v>
      </c>
      <c r="AI2281" t="s">
        <v>26277</v>
      </c>
      <c t="s">
        <v>24900</v>
      </c>
      <c r="AL2281" t="s">
        <v>66317</v>
      </c>
      <c r="AN2281" t="s">
        <v>50917</v>
      </c>
      <c t="s">
        <v>66352</v>
      </c>
      <c t="s">
        <v>32746</v>
      </c>
      <c t="s">
        <v>3093</v>
      </c>
      <c t="s">
        <v>3076</v>
      </c>
    </row>
    <row>
      <c t="s">
        <v>17594</v>
      </c>
      <c t="s">
        <v>46462</v>
      </c>
      <c t="s">
        <v>5661</v>
      </c>
      <c t="s">
        <v>52140</v>
      </c>
      <c t="s">
        <v>33617</v>
      </c>
      <c s="3">
        <v>12544</v>
      </c>
      <c s="3">
        <v>12544</v>
      </c>
      <c s="3">
        <v>6389</v>
      </c>
      <c>
        <v>0</v>
      </c>
      <c s="3">
        <v>0</v>
      </c>
      <c s="3">
        <v>329.66</v>
      </c>
      <c s="3">
        <v>12544</v>
      </c>
      <c r="O2282" s="1" t="str">
        <f ca="1">HYPERLINK("https://web.datatree.com/?/property?propertyId=32820475", "https://web.datatree.com/?/property?propertyId=32820475")</f>
        <v>https://web.datatree.com/?/property?propertyId=32820475</v>
      </c>
      <c r="Q2282" t="s">
        <v>316</v>
      </c>
      <c>
        <v>0.269</v>
      </c>
      <c t="s">
        <v>5471</v>
      </c>
      <c t="s">
        <v>47754</v>
      </c>
      <c t="s">
        <v>53306</v>
      </c>
      <c r="X2282" t="s">
        <v>2707</v>
      </c>
      <c t="s">
        <v>55985</v>
      </c>
      <c t="s">
        <v>65059</v>
      </c>
      <c t="s">
        <v>39289</v>
      </c>
      <c>
        <v>33905</v>
      </c>
      <c t="s">
        <v>36598</v>
      </c>
      <c t="s">
        <v>48794</v>
      </c>
      <c t="s">
        <v>20174</v>
      </c>
      <c>
        <v>5065</v>
      </c>
      <c r="AI2282" t="s">
        <v>33800</v>
      </c>
      <c t="s">
        <v>24900</v>
      </c>
      <c r="AL2282" t="s">
        <v>21676</v>
      </c>
      <c t="s">
        <v>21676</v>
      </c>
      <c t="s">
        <v>39289</v>
      </c>
      <c t="s">
        <v>21281</v>
      </c>
      <c t="s">
        <v>5948</v>
      </c>
      <c t="s">
        <v>3093</v>
      </c>
      <c t="s">
        <v>48693</v>
      </c>
    </row>
    <row>
      <c t="s">
        <v>17594</v>
      </c>
      <c t="s">
        <v>36300</v>
      </c>
      <c t="s">
        <v>24878</v>
      </c>
      <c t="s">
        <v>9455</v>
      </c>
      <c t="s">
        <v>56359</v>
      </c>
      <c s="3">
        <v>96778</v>
      </c>
      <c s="3">
        <v>86250</v>
      </c>
      <c s="3">
        <v>85724</v>
      </c>
      <c>
        <v>0</v>
      </c>
      <c s="3">
        <v>0</v>
      </c>
      <c s="3">
        <v>1349.77</v>
      </c>
      <c s="3">
        <v>96778</v>
      </c>
      <c r="O2283" s="1" t="str">
        <f ca="1">HYPERLINK("https://web.datatree.com/?/property?propertyId=32820654", "https://web.datatree.com/?/property?propertyId=32820654")</f>
        <v>https://web.datatree.com/?/property?propertyId=32820654</v>
      </c>
      <c r="Q2283" t="s">
        <v>316</v>
      </c>
      <c>
        <v>0.111</v>
      </c>
      <c t="s">
        <v>26492</v>
      </c>
      <c t="s">
        <v>40487</v>
      </c>
      <c t="s">
        <v>26269</v>
      </c>
      <c t="s">
        <v>17266</v>
      </c>
      <c t="s">
        <v>26269</v>
      </c>
      <c t="s">
        <v>15431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49212</v>
      </c>
      <c>
        <v>11</v>
      </c>
      <c r="AI2283" t="s">
        <v>44379</v>
      </c>
      <c t="s">
        <v>45393</v>
      </c>
      <c r="AL2283" t="s">
        <v>27473</v>
      </c>
      <c t="s">
        <v>40227</v>
      </c>
      <c t="s">
        <v>10909</v>
      </c>
      <c t="s">
        <v>51030</v>
      </c>
      <c r="AQ2283" t="s">
        <v>27814</v>
      </c>
      <c t="s">
        <v>10551</v>
      </c>
    </row>
    <row>
      <c t="s">
        <v>17594</v>
      </c>
      <c t="s">
        <v>63268</v>
      </c>
      <c t="s">
        <v>51190</v>
      </c>
      <c t="s">
        <v>31110</v>
      </c>
      <c t="s">
        <v>1229</v>
      </c>
      <c s="3">
        <v>8000</v>
      </c>
      <c s="3">
        <v>8000</v>
      </c>
      <c s="3">
        <v>8000</v>
      </c>
      <c>
        <v>0</v>
      </c>
      <c s="3">
        <v>0</v>
      </c>
      <c s="3">
        <v>588.39</v>
      </c>
      <c s="3">
        <v>8000</v>
      </c>
      <c r="O2284" s="1" t="str">
        <f ca="1">HYPERLINK("https://web.datatree.com/?/property?propertyId=32821055", "https://web.datatree.com/?/property?propertyId=32821055")</f>
        <v>https://web.datatree.com/?/property?propertyId=32821055</v>
      </c>
      <c r="Q2284" t="s">
        <v>316</v>
      </c>
      <c>
        <v>0.244</v>
      </c>
      <c t="s">
        <v>22490</v>
      </c>
      <c r="U2284" t="s">
        <v>51939</v>
      </c>
      <c t="s">
        <v>41856</v>
      </c>
      <c t="s">
        <v>30175</v>
      </c>
      <c t="s">
        <v>28054</v>
      </c>
      <c t="s">
        <v>52171</v>
      </c>
      <c t="s">
        <v>2517</v>
      </c>
      <c t="s">
        <v>39289</v>
      </c>
      <c>
        <v>33909</v>
      </c>
      <c>
        <v>33909</v>
      </c>
      <c t="s">
        <v>48794</v>
      </c>
      <c t="s">
        <v>1196</v>
      </c>
      <c>
        <v>225</v>
      </c>
      <c r="AI2284" t="s">
        <v>66586</v>
      </c>
      <c t="s">
        <v>45620</v>
      </c>
      <c r="AL2284" t="s">
        <v>25164</v>
      </c>
      <c r="AN2284" t="s">
        <v>17134</v>
      </c>
      <c t="s">
        <v>35174</v>
      </c>
      <c t="s">
        <v>17246</v>
      </c>
      <c t="s">
        <v>3093</v>
      </c>
      <c t="s">
        <v>34964</v>
      </c>
    </row>
    <row>
      <c t="s">
        <v>17594</v>
      </c>
      <c t="s">
        <v>14422</v>
      </c>
      <c t="s">
        <v>51428</v>
      </c>
      <c t="s">
        <v>43374</v>
      </c>
      <c t="s">
        <v>3673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2285" s="1" t="str">
        <f ca="1">HYPERLINK("https://web.datatree.com/?/property?propertyId=32821237", "https://web.datatree.com/?/property?propertyId=32821237")</f>
        <v>https://web.datatree.com/?/property?propertyId=32821237</v>
      </c>
      <c r="Q2285" t="s">
        <v>316</v>
      </c>
      <c>
        <v>0.238</v>
      </c>
      <c t="s">
        <v>5471</v>
      </c>
      <c t="s">
        <v>58113</v>
      </c>
      <c t="s">
        <v>691</v>
      </c>
      <c t="s">
        <v>21852</v>
      </c>
      <c t="s">
        <v>691</v>
      </c>
      <c t="s">
        <v>50639</v>
      </c>
      <c t="s">
        <v>9755</v>
      </c>
      <c t="s">
        <v>65059</v>
      </c>
      <c t="s">
        <v>39289</v>
      </c>
      <c>
        <v>33905</v>
      </c>
      <c t="s">
        <v>1194</v>
      </c>
      <c t="s">
        <v>48794</v>
      </c>
      <c t="s">
        <v>30825</v>
      </c>
      <c>
        <v>5</v>
      </c>
      <c r="AI2285" t="s">
        <v>45627</v>
      </c>
      <c t="s">
        <v>45620</v>
      </c>
      <c r="AL2285" t="s">
        <v>62658</v>
      </c>
      <c r="AN2285" t="s">
        <v>27747</v>
      </c>
      <c t="s">
        <v>43499</v>
      </c>
      <c t="s">
        <v>11138</v>
      </c>
      <c t="s">
        <v>3093</v>
      </c>
      <c t="s">
        <v>24928</v>
      </c>
    </row>
    <row>
      <c t="s">
        <v>17594</v>
      </c>
      <c t="s">
        <v>10920</v>
      </c>
      <c t="s">
        <v>59491</v>
      </c>
      <c t="s">
        <v>42142</v>
      </c>
      <c t="s">
        <v>12336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2286" s="1" t="str">
        <f ca="1">HYPERLINK("https://web.datatree.com/?/property?propertyId=32821375", "https://web.datatree.com/?/property?propertyId=32821375")</f>
        <v>https://web.datatree.com/?/property?propertyId=32821375</v>
      </c>
      <c r="Q2286" t="s">
        <v>316</v>
      </c>
      <c>
        <v>0.23</v>
      </c>
      <c t="s">
        <v>22490</v>
      </c>
      <c t="s">
        <v>60360</v>
      </c>
      <c t="s">
        <v>12532</v>
      </c>
      <c t="s">
        <v>9900</v>
      </c>
      <c t="s">
        <v>12532</v>
      </c>
      <c t="s">
        <v>8378</v>
      </c>
      <c t="s">
        <v>371</v>
      </c>
      <c t="s">
        <v>2517</v>
      </c>
      <c t="s">
        <v>39289</v>
      </c>
      <c>
        <v>33909</v>
      </c>
      <c t="s">
        <v>33048</v>
      </c>
      <c t="s">
        <v>48794</v>
      </c>
      <c t="s">
        <v>49809</v>
      </c>
      <c>
        <v>13714</v>
      </c>
      <c r="AI2286" t="s">
        <v>39082</v>
      </c>
      <c t="s">
        <v>45393</v>
      </c>
      <c t="s">
        <v>23790</v>
      </c>
      <c t="s">
        <v>25857</v>
      </c>
      <c t="s">
        <v>25857</v>
      </c>
      <c t="s">
        <v>39289</v>
      </c>
      <c t="s">
        <v>24266</v>
      </c>
      <c t="s">
        <v>3364</v>
      </c>
      <c t="s">
        <v>3093</v>
      </c>
      <c t="s">
        <v>37004</v>
      </c>
    </row>
    <row>
      <c t="s">
        <v>17594</v>
      </c>
      <c t="s">
        <v>40324</v>
      </c>
      <c t="s">
        <v>38193</v>
      </c>
      <c t="s">
        <v>66558</v>
      </c>
      <c t="s">
        <v>155</v>
      </c>
      <c s="3">
        <v>22041</v>
      </c>
      <c s="3">
        <v>22041</v>
      </c>
      <c s="3">
        <v>9599</v>
      </c>
      <c>
        <v>0</v>
      </c>
      <c s="3">
        <v>0</v>
      </c>
      <c s="3">
        <v>689.58</v>
      </c>
      <c s="3">
        <v>22041</v>
      </c>
      <c r="O2287" s="1" t="str">
        <f ca="1">HYPERLINK("https://web.datatree.com/?/property?propertyId=32821545", "https://web.datatree.com/?/property?propertyId=32821545")</f>
        <v>https://web.datatree.com/?/property?propertyId=32821545</v>
      </c>
      <c r="Q2287" t="s">
        <v>316</v>
      </c>
      <c>
        <v>0.344</v>
      </c>
      <c t="s">
        <v>6175</v>
      </c>
      <c t="s">
        <v>43240</v>
      </c>
      <c t="s">
        <v>61905</v>
      </c>
      <c t="s">
        <v>23436</v>
      </c>
      <c t="s">
        <v>13472</v>
      </c>
      <c t="s">
        <v>46164</v>
      </c>
      <c t="s">
        <v>39777</v>
      </c>
      <c t="s">
        <v>2517</v>
      </c>
      <c t="s">
        <v>39289</v>
      </c>
      <c>
        <v>33909</v>
      </c>
      <c t="s">
        <v>889</v>
      </c>
      <c t="s">
        <v>48794</v>
      </c>
      <c t="s">
        <v>59428</v>
      </c>
      <c>
        <v>5523</v>
      </c>
      <c r="AI2287" t="s">
        <v>43786</v>
      </c>
      <c t="s">
        <v>45393</v>
      </c>
      <c r="AL2287" t="s">
        <v>23828</v>
      </c>
      <c r="AN2287" t="s">
        <v>39289</v>
      </c>
      <c t="s">
        <v>18361</v>
      </c>
      <c t="s">
        <v>27780</v>
      </c>
      <c t="s">
        <v>3093</v>
      </c>
      <c t="s">
        <v>43338</v>
      </c>
    </row>
    <row>
      <c t="s">
        <v>17594</v>
      </c>
      <c t="s">
        <v>7405</v>
      </c>
      <c t="s">
        <v>39232</v>
      </c>
      <c t="s">
        <v>56377</v>
      </c>
      <c t="s">
        <v>64671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2288" s="1" t="str">
        <f ca="1">HYPERLINK("https://web.datatree.com/?/property?propertyId=32821644", "https://web.datatree.com/?/property?propertyId=32821644")</f>
        <v>https://web.datatree.com/?/property?propertyId=32821644</v>
      </c>
      <c r="Q2288" t="s">
        <v>316</v>
      </c>
      <c>
        <v>0.23</v>
      </c>
      <c t="s">
        <v>6175</v>
      </c>
      <c t="s">
        <v>26885</v>
      </c>
      <c t="s">
        <v>45650</v>
      </c>
      <c r="X2288" t="s">
        <v>46072</v>
      </c>
      <c t="s">
        <v>39082</v>
      </c>
      <c t="s">
        <v>2517</v>
      </c>
      <c t="s">
        <v>39289</v>
      </c>
      <c>
        <v>33909</v>
      </c>
      <c t="s">
        <v>10270</v>
      </c>
      <c t="s">
        <v>48794</v>
      </c>
      <c t="s">
        <v>66771</v>
      </c>
      <c>
        <v>2963</v>
      </c>
      <c r="AI2288" t="s">
        <v>58526</v>
      </c>
      <c t="s">
        <v>63316</v>
      </c>
      <c r="AL2288" t="s">
        <v>8228</v>
      </c>
      <c t="s">
        <v>8228</v>
      </c>
      <c t="s">
        <v>26443</v>
      </c>
      <c t="s">
        <v>32137</v>
      </c>
      <c t="s">
        <v>34171</v>
      </c>
      <c t="s">
        <v>3093</v>
      </c>
      <c t="s">
        <v>13868</v>
      </c>
    </row>
    <row>
      <c t="s">
        <v>17594</v>
      </c>
      <c t="s">
        <v>5089</v>
      </c>
      <c t="s">
        <v>39005</v>
      </c>
      <c t="s">
        <v>35154</v>
      </c>
      <c t="s">
        <v>34032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289" s="1" t="str">
        <f ca="1">HYPERLINK("https://web.datatree.com/?/property?propertyId=32822879", "https://web.datatree.com/?/property?propertyId=32822879")</f>
        <v>https://web.datatree.com/?/property?propertyId=32822879</v>
      </c>
      <c r="Q2289" t="s">
        <v>316</v>
      </c>
      <c>
        <v>0.23</v>
      </c>
      <c t="s">
        <v>6175</v>
      </c>
      <c r="U2289" t="s">
        <v>26177</v>
      </c>
      <c t="s">
        <v>64030</v>
      </c>
      <c t="s">
        <v>31419</v>
      </c>
      <c t="s">
        <v>22804</v>
      </c>
      <c t="s">
        <v>33179</v>
      </c>
      <c t="s">
        <v>2517</v>
      </c>
      <c t="s">
        <v>39289</v>
      </c>
      <c>
        <v>33909</v>
      </c>
      <c t="s">
        <v>62483</v>
      </c>
      <c t="s">
        <v>48794</v>
      </c>
      <c t="s">
        <v>57383</v>
      </c>
      <c>
        <v>12470</v>
      </c>
      <c r="AI2289" t="s">
        <v>25017</v>
      </c>
      <c t="s">
        <v>45393</v>
      </c>
      <c>
        <v>1403</v>
      </c>
      <c t="s">
        <v>55393</v>
      </c>
      <c t="s">
        <v>51647</v>
      </c>
      <c t="s">
        <v>39289</v>
      </c>
      <c t="s">
        <v>41528</v>
      </c>
      <c t="s">
        <v>7062</v>
      </c>
      <c t="s">
        <v>3093</v>
      </c>
      <c t="s">
        <v>45033</v>
      </c>
    </row>
    <row>
      <c t="s">
        <v>17594</v>
      </c>
      <c t="s">
        <v>4325</v>
      </c>
      <c t="s">
        <v>11507</v>
      </c>
      <c t="s">
        <v>43559</v>
      </c>
      <c t="s">
        <v>25413</v>
      </c>
      <c s="3">
        <v>8396</v>
      </c>
      <c s="3">
        <v>8396</v>
      </c>
      <c s="3">
        <v>4972</v>
      </c>
      <c>
        <v>0</v>
      </c>
      <c s="3">
        <v>0</v>
      </c>
      <c s="3">
        <v>316.66</v>
      </c>
      <c s="3">
        <v>8396</v>
      </c>
      <c r="O2290" s="1" t="str">
        <f ca="1">HYPERLINK("https://web.datatree.com/?/property?propertyId=32823011", "https://web.datatree.com/?/property?propertyId=32823011")</f>
        <v>https://web.datatree.com/?/property?propertyId=32823011</v>
      </c>
      <c r="Q2290" t="s">
        <v>316</v>
      </c>
      <c>
        <v>0.238</v>
      </c>
      <c t="s">
        <v>5471</v>
      </c>
      <c t="s">
        <v>10872</v>
      </c>
      <c t="s">
        <v>30162</v>
      </c>
      <c r="X2290" t="s">
        <v>52936</v>
      </c>
      <c t="s">
        <v>20199</v>
      </c>
      <c t="s">
        <v>65059</v>
      </c>
      <c t="s">
        <v>39289</v>
      </c>
      <c>
        <v>33905</v>
      </c>
      <c t="s">
        <v>59368</v>
      </c>
      <c t="s">
        <v>48794</v>
      </c>
      <c t="s">
        <v>21638</v>
      </c>
      <c>
        <v>15</v>
      </c>
      <c r="AI2290" t="s">
        <v>58329</v>
      </c>
      <c t="s">
        <v>55842</v>
      </c>
      <c r="AL2290" t="s">
        <v>54484</v>
      </c>
      <c r="AN2290" t="s">
        <v>50917</v>
      </c>
      <c t="s">
        <v>27179</v>
      </c>
      <c t="s">
        <v>34162</v>
      </c>
      <c t="s">
        <v>3093</v>
      </c>
      <c t="s">
        <v>47260</v>
      </c>
    </row>
    <row>
      <c t="s">
        <v>17594</v>
      </c>
      <c t="s">
        <v>2180</v>
      </c>
      <c t="s">
        <v>5764</v>
      </c>
      <c t="s">
        <v>4155</v>
      </c>
      <c t="s">
        <v>46465</v>
      </c>
      <c s="3">
        <v>36210</v>
      </c>
      <c s="3">
        <v>36210</v>
      </c>
      <c s="3">
        <v>9804</v>
      </c>
      <c>
        <v>0</v>
      </c>
      <c s="3">
        <v>0</v>
      </c>
      <c s="3">
        <v>705.7</v>
      </c>
      <c s="3">
        <v>36210</v>
      </c>
      <c r="O2291" s="1" t="str">
        <f ca="1">HYPERLINK("https://web.datatree.com/?/property?propertyId=32823019", "https://web.datatree.com/?/property?propertyId=32823019")</f>
        <v>https://web.datatree.com/?/property?propertyId=32823019</v>
      </c>
      <c r="Q2291" t="s">
        <v>316</v>
      </c>
      <c>
        <v>0.275</v>
      </c>
      <c t="s">
        <v>42044</v>
      </c>
      <c t="s">
        <v>24179</v>
      </c>
      <c t="s">
        <v>41809</v>
      </c>
      <c t="s">
        <v>21379</v>
      </c>
      <c t="s">
        <v>41809</v>
      </c>
      <c t="s">
        <v>62745</v>
      </c>
      <c t="s">
        <v>8669</v>
      </c>
      <c t="s">
        <v>2517</v>
      </c>
      <c t="s">
        <v>39289</v>
      </c>
      <c>
        <v>33909</v>
      </c>
      <c>
        <v>33909</v>
      </c>
      <c t="s">
        <v>48794</v>
      </c>
      <c t="s">
        <v>24198</v>
      </c>
      <c>
        <v>624</v>
      </c>
      <c r="AI2291" t="s">
        <v>2420</v>
      </c>
      <c t="s">
        <v>45393</v>
      </c>
      <c r="AL2291" t="s">
        <v>31835</v>
      </c>
      <c r="AN2291" t="s">
        <v>50917</v>
      </c>
      <c t="s">
        <v>64730</v>
      </c>
      <c t="s">
        <v>62830</v>
      </c>
      <c t="s">
        <v>3093</v>
      </c>
      <c t="s">
        <v>60114</v>
      </c>
    </row>
    <row>
      <c t="s">
        <v>17594</v>
      </c>
      <c t="s">
        <v>65151</v>
      </c>
      <c t="s">
        <v>48292</v>
      </c>
      <c t="s">
        <v>61079</v>
      </c>
      <c t="s">
        <v>58346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2292" s="1" t="str">
        <f ca="1">HYPERLINK("https://web.datatree.com/?/property?propertyId=32823406", "https://web.datatree.com/?/property?propertyId=32823406")</f>
        <v>https://web.datatree.com/?/property?propertyId=32823406</v>
      </c>
      <c r="Q2292" t="s">
        <v>316</v>
      </c>
      <c>
        <v>0.23</v>
      </c>
      <c t="s">
        <v>5471</v>
      </c>
      <c t="s">
        <v>552</v>
      </c>
      <c t="s">
        <v>2074</v>
      </c>
      <c t="s">
        <v>3429</v>
      </c>
      <c t="s">
        <v>2074</v>
      </c>
      <c t="s">
        <v>55367</v>
      </c>
      <c t="s">
        <v>13500</v>
      </c>
      <c t="s">
        <v>65059</v>
      </c>
      <c t="s">
        <v>39289</v>
      </c>
      <c>
        <v>33905</v>
      </c>
      <c t="s">
        <v>31286</v>
      </c>
      <c t="s">
        <v>48794</v>
      </c>
      <c t="s">
        <v>54195</v>
      </c>
      <c>
        <v>8</v>
      </c>
      <c r="AI2292" t="s">
        <v>41410</v>
      </c>
      <c t="s">
        <v>40345</v>
      </c>
      <c r="AL2292" t="s">
        <v>7039</v>
      </c>
      <c r="AN2292" t="s">
        <v>10909</v>
      </c>
      <c t="s">
        <v>43084</v>
      </c>
      <c r="AQ2292" t="s">
        <v>27814</v>
      </c>
      <c t="s">
        <v>20752</v>
      </c>
    </row>
    <row>
      <c t="s">
        <v>17594</v>
      </c>
      <c t="s">
        <v>17063</v>
      </c>
      <c t="s">
        <v>17699</v>
      </c>
      <c t="s">
        <v>34663</v>
      </c>
      <c t="s">
        <v>35933</v>
      </c>
      <c s="3">
        <v>114537</v>
      </c>
      <c s="3">
        <v>93500</v>
      </c>
      <c s="3">
        <v>114537</v>
      </c>
      <c>
        <v>0</v>
      </c>
      <c s="3">
        <v>0</v>
      </c>
      <c s="3">
        <v>1719.7</v>
      </c>
      <c s="3">
        <v>114537</v>
      </c>
      <c r="O2293" s="1" t="str">
        <f ca="1">HYPERLINK("https://web.datatree.com/?/property?propertyId=32823639", "https://web.datatree.com/?/property?propertyId=32823639")</f>
        <v>https://web.datatree.com/?/property?propertyId=32823639</v>
      </c>
      <c r="Q2293" t="s">
        <v>316</v>
      </c>
      <c>
        <v>0.096</v>
      </c>
      <c t="s">
        <v>26492</v>
      </c>
      <c t="s">
        <v>10419</v>
      </c>
      <c t="s">
        <v>63478</v>
      </c>
      <c t="s">
        <v>38760</v>
      </c>
      <c t="s">
        <v>63478</v>
      </c>
      <c t="s">
        <v>59789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8792</v>
      </c>
      <c>
        <v>6556</v>
      </c>
      <c r="AI2293" t="s">
        <v>40340</v>
      </c>
      <c t="s">
        <v>45620</v>
      </c>
      <c r="AL2293" t="s">
        <v>46374</v>
      </c>
      <c t="s">
        <v>40227</v>
      </c>
      <c t="s">
        <v>10909</v>
      </c>
      <c t="s">
        <v>584</v>
      </c>
      <c r="AQ2293" t="s">
        <v>27814</v>
      </c>
      <c t="s">
        <v>30473</v>
      </c>
    </row>
    <row>
      <c t="s">
        <v>17594</v>
      </c>
      <c t="s">
        <v>58850</v>
      </c>
      <c t="s">
        <v>52540</v>
      </c>
      <c t="s">
        <v>24969</v>
      </c>
      <c t="s">
        <v>10521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2294" s="1" t="str">
        <f ca="1">HYPERLINK("https://web.datatree.com/?/property?propertyId=32824165", "https://web.datatree.com/?/property?propertyId=32824165")</f>
        <v>https://web.datatree.com/?/property?propertyId=32824165</v>
      </c>
      <c r="Q2294" t="s">
        <v>316</v>
      </c>
      <c>
        <v>0.239</v>
      </c>
      <c t="s">
        <v>6175</v>
      </c>
      <c t="s">
        <v>32249</v>
      </c>
      <c t="s">
        <v>19723</v>
      </c>
      <c t="s">
        <v>1904</v>
      </c>
      <c t="s">
        <v>19723</v>
      </c>
      <c t="s">
        <v>1934</v>
      </c>
      <c t="s">
        <v>34136</v>
      </c>
      <c t="s">
        <v>2517</v>
      </c>
      <c t="s">
        <v>39289</v>
      </c>
      <c>
        <v>33909</v>
      </c>
      <c t="s">
        <v>44160</v>
      </c>
      <c t="s">
        <v>48794</v>
      </c>
      <c t="s">
        <v>9208</v>
      </c>
      <c>
        <v>8</v>
      </c>
      <c r="AI2294" t="s">
        <v>37110</v>
      </c>
      <c t="s">
        <v>24900</v>
      </c>
      <c>
        <v>1</v>
      </c>
      <c t="s">
        <v>62675</v>
      </c>
      <c r="AN2294" t="s">
        <v>27747</v>
      </c>
      <c t="s">
        <v>57946</v>
      </c>
      <c t="s">
        <v>26242</v>
      </c>
      <c t="s">
        <v>3093</v>
      </c>
      <c t="s">
        <v>24992</v>
      </c>
    </row>
    <row>
      <c t="s">
        <v>17594</v>
      </c>
      <c t="s">
        <v>24749</v>
      </c>
      <c t="s">
        <v>64408</v>
      </c>
      <c t="s">
        <v>33478</v>
      </c>
      <c t="s">
        <v>64452</v>
      </c>
      <c s="3">
        <v>613700</v>
      </c>
      <c s="3">
        <v>613700</v>
      </c>
      <c s="3">
        <v>522500</v>
      </c>
      <c>
        <v>0</v>
      </c>
      <c s="3">
        <v>0</v>
      </c>
      <c s="3">
        <v>9256.77</v>
      </c>
      <c s="3">
        <v>613700</v>
      </c>
      <c r="O2295" s="1" t="str">
        <f ca="1">HYPERLINK("https://web.datatree.com/?/property?propertyId=32824307", "https://web.datatree.com/?/property?propertyId=32824307")</f>
        <v>https://web.datatree.com/?/property?propertyId=32824307</v>
      </c>
      <c r="Q2295" t="s">
        <v>316</v>
      </c>
      <c>
        <v>0.311</v>
      </c>
      <c t="s">
        <v>22490</v>
      </c>
      <c r="U2295" t="s">
        <v>50346</v>
      </c>
      <c t="s">
        <v>6153</v>
      </c>
      <c t="s">
        <v>46598</v>
      </c>
      <c t="s">
        <v>38432</v>
      </c>
      <c t="s">
        <v>14534</v>
      </c>
      <c t="s">
        <v>2517</v>
      </c>
      <c t="s">
        <v>39289</v>
      </c>
      <c>
        <v>33904</v>
      </c>
      <c t="s">
        <v>20697</v>
      </c>
      <c t="s">
        <v>48794</v>
      </c>
      <c t="s">
        <v>45985</v>
      </c>
      <c>
        <v>314</v>
      </c>
      <c r="AI2295" t="s">
        <v>43312</v>
      </c>
      <c t="s">
        <v>45393</v>
      </c>
      <c r="AL2295" t="s">
        <v>3530</v>
      </c>
      <c r="AN2295" t="s">
        <v>27747</v>
      </c>
      <c t="s">
        <v>60848</v>
      </c>
      <c t="s">
        <v>52247</v>
      </c>
      <c t="s">
        <v>3093</v>
      </c>
      <c t="s">
        <v>30120</v>
      </c>
    </row>
    <row>
      <c t="s">
        <v>17594</v>
      </c>
      <c t="s">
        <v>8570</v>
      </c>
      <c t="s">
        <v>15590</v>
      </c>
      <c t="s">
        <v>41435</v>
      </c>
      <c t="s">
        <v>14020</v>
      </c>
      <c s="3">
        <v>20900</v>
      </c>
      <c s="3">
        <v>20900</v>
      </c>
      <c s="3">
        <v>10450</v>
      </c>
      <c>
        <v>0</v>
      </c>
      <c s="3">
        <v>0</v>
      </c>
      <c s="3">
        <v>597.57</v>
      </c>
      <c s="3">
        <v>20900</v>
      </c>
      <c r="O2296" s="1" t="str">
        <f ca="1">HYPERLINK("https://web.datatree.com/?/property?propertyId=32824313", "https://web.datatree.com/?/property?propertyId=32824313")</f>
        <v>https://web.datatree.com/?/property?propertyId=32824313</v>
      </c>
      <c r="Q2296" t="s">
        <v>316</v>
      </c>
      <c>
        <v>0.23</v>
      </c>
      <c t="s">
        <v>22490</v>
      </c>
      <c t="s">
        <v>28993</v>
      </c>
      <c t="s">
        <v>45459</v>
      </c>
      <c t="s">
        <v>49579</v>
      </c>
      <c t="s">
        <v>45459</v>
      </c>
      <c t="s">
        <v>15500</v>
      </c>
      <c t="s">
        <v>23050</v>
      </c>
      <c t="s">
        <v>2517</v>
      </c>
      <c t="s">
        <v>39289</v>
      </c>
      <c>
        <v>33909</v>
      </c>
      <c t="s">
        <v>42248</v>
      </c>
      <c t="s">
        <v>48794</v>
      </c>
      <c t="s">
        <v>118</v>
      </c>
      <c>
        <v>60</v>
      </c>
      <c r="AI2296" t="s">
        <v>23972</v>
      </c>
      <c t="s">
        <v>24900</v>
      </c>
      <c r="AL2296" t="s">
        <v>11150</v>
      </c>
      <c r="AN2296" t="s">
        <v>26016</v>
      </c>
      <c t="s">
        <v>9311</v>
      </c>
      <c t="s">
        <v>26416</v>
      </c>
      <c t="s">
        <v>3093</v>
      </c>
      <c t="s">
        <v>45070</v>
      </c>
    </row>
    <row>
      <c t="s">
        <v>17594</v>
      </c>
      <c t="s">
        <v>26013</v>
      </c>
      <c t="s">
        <v>31888</v>
      </c>
      <c t="s">
        <v>40372</v>
      </c>
      <c t="s">
        <v>10796</v>
      </c>
      <c s="3">
        <v>78313</v>
      </c>
      <c s="3">
        <v>70500</v>
      </c>
      <c s="3">
        <v>78313</v>
      </c>
      <c>
        <v>0</v>
      </c>
      <c s="3">
        <v>0</v>
      </c>
      <c s="3">
        <v>1177.37</v>
      </c>
      <c s="3">
        <v>78313</v>
      </c>
      <c r="O2297" s="1" t="str">
        <f ca="1">HYPERLINK("https://web.datatree.com/?/property?propertyId=32824415", "https://web.datatree.com/?/property?propertyId=32824415")</f>
        <v>https://web.datatree.com/?/property?propertyId=32824415</v>
      </c>
      <c r="Q2297" t="s">
        <v>316</v>
      </c>
      <c>
        <v>0.095</v>
      </c>
      <c t="s">
        <v>26492</v>
      </c>
      <c t="s">
        <v>58703</v>
      </c>
      <c t="s">
        <v>9646</v>
      </c>
      <c r="X2297" t="s">
        <v>26942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24066</v>
      </c>
      <c>
        <v>10094</v>
      </c>
      <c r="AI2297" t="s">
        <v>49930</v>
      </c>
      <c t="s">
        <v>31192</v>
      </c>
      <c r="AL2297" t="s">
        <v>57104</v>
      </c>
      <c t="s">
        <v>40227</v>
      </c>
      <c t="s">
        <v>51137</v>
      </c>
      <c t="s">
        <v>6773</v>
      </c>
      <c t="s">
        <v>38079</v>
      </c>
      <c t="s">
        <v>3093</v>
      </c>
      <c t="s">
        <v>62951</v>
      </c>
    </row>
    <row>
      <c t="s">
        <v>17594</v>
      </c>
      <c t="s">
        <v>35043</v>
      </c>
      <c t="s">
        <v>29322</v>
      </c>
      <c t="s">
        <v>45945</v>
      </c>
      <c t="s">
        <v>66167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2298" s="1" t="str">
        <f ca="1">HYPERLINK("https://web.datatree.com/?/property?propertyId=32825040", "https://web.datatree.com/?/property?propertyId=32825040")</f>
        <v>https://web.datatree.com/?/property?propertyId=32825040</v>
      </c>
      <c r="Q2298" t="s">
        <v>316</v>
      </c>
      <c>
        <v>0.229</v>
      </c>
      <c t="s">
        <v>22490</v>
      </c>
      <c t="s">
        <v>47922</v>
      </c>
      <c t="s">
        <v>66968</v>
      </c>
      <c r="X2298" t="s">
        <v>43415</v>
      </c>
      <c t="s">
        <v>29190</v>
      </c>
      <c t="s">
        <v>2517</v>
      </c>
      <c t="s">
        <v>39289</v>
      </c>
      <c>
        <v>33909</v>
      </c>
      <c t="s">
        <v>13097</v>
      </c>
      <c t="s">
        <v>48794</v>
      </c>
      <c t="s">
        <v>8815</v>
      </c>
      <c>
        <v>534</v>
      </c>
      <c r="AI2298" t="s">
        <v>46974</v>
      </c>
      <c t="s">
        <v>45393</v>
      </c>
      <c r="AL2298" t="s">
        <v>11713</v>
      </c>
      <c t="s">
        <v>803</v>
      </c>
      <c t="s">
        <v>39289</v>
      </c>
      <c>
        <v>34113</v>
      </c>
      <c t="s">
        <v>4660</v>
      </c>
      <c t="s">
        <v>3093</v>
      </c>
      <c t="s">
        <v>40875</v>
      </c>
    </row>
    <row>
      <c t="s">
        <v>17594</v>
      </c>
      <c t="s">
        <v>16713</v>
      </c>
      <c t="s">
        <v>58480</v>
      </c>
      <c t="s">
        <v>59200</v>
      </c>
      <c t="s">
        <v>1806</v>
      </c>
      <c s="3">
        <v>28407</v>
      </c>
      <c s="3">
        <v>28407</v>
      </c>
      <c s="3">
        <v>28407</v>
      </c>
      <c>
        <v>0</v>
      </c>
      <c s="3">
        <v>0</v>
      </c>
      <c s="3">
        <v>917.59</v>
      </c>
      <c s="3">
        <v>28407</v>
      </c>
      <c r="O2299" s="1" t="str">
        <f ca="1">HYPERLINK("https://web.datatree.com/?/property?propertyId=32825284", "https://web.datatree.com/?/property?propertyId=32825284")</f>
        <v>https://web.datatree.com/?/property?propertyId=32825284</v>
      </c>
      <c r="Q2299" t="s">
        <v>316</v>
      </c>
      <c>
        <v>0.344</v>
      </c>
      <c t="s">
        <v>22490</v>
      </c>
      <c t="s">
        <v>10419</v>
      </c>
      <c t="s">
        <v>45794</v>
      </c>
      <c r="X2299" t="s">
        <v>63724</v>
      </c>
      <c t="s">
        <v>38550</v>
      </c>
      <c t="s">
        <v>2517</v>
      </c>
      <c t="s">
        <v>39289</v>
      </c>
      <c>
        <v>33909</v>
      </c>
      <c t="s">
        <v>34595</v>
      </c>
      <c t="s">
        <v>48794</v>
      </c>
      <c t="s">
        <v>33203</v>
      </c>
      <c>
        <v>15215</v>
      </c>
      <c r="AI2299" t="s">
        <v>24349</v>
      </c>
      <c t="s">
        <v>31192</v>
      </c>
      <c r="AL2299" t="s">
        <v>14651</v>
      </c>
      <c r="AN2299" t="s">
        <v>18236</v>
      </c>
      <c>
        <v>75803</v>
      </c>
      <c t="s">
        <v>30106</v>
      </c>
      <c t="s">
        <v>3093</v>
      </c>
      <c t="s">
        <v>23293</v>
      </c>
    </row>
    <row>
      <c t="s">
        <v>17594</v>
      </c>
      <c t="s">
        <v>11913</v>
      </c>
      <c t="s">
        <v>19422</v>
      </c>
      <c t="s">
        <v>3814</v>
      </c>
      <c t="s">
        <v>47798</v>
      </c>
      <c s="3">
        <v>24937</v>
      </c>
      <c s="3">
        <v>24937</v>
      </c>
      <c s="3">
        <v>9438</v>
      </c>
      <c>
        <v>0</v>
      </c>
      <c s="3">
        <v>0</v>
      </c>
      <c s="3">
        <v>3035.16</v>
      </c>
      <c s="3">
        <v>24937</v>
      </c>
      <c r="O2300" s="1" t="str">
        <f ca="1">HYPERLINK("https://web.datatree.com/?/property?propertyId=32826069", "https://web.datatree.com/?/property?propertyId=32826069")</f>
        <v>https://web.datatree.com/?/property?propertyId=32826069</v>
      </c>
      <c r="Q2300" t="s">
        <v>316</v>
      </c>
      <c>
        <v>0.255</v>
      </c>
      <c t="s">
        <v>6175</v>
      </c>
      <c t="s">
        <v>11810</v>
      </c>
      <c t="s">
        <v>13075</v>
      </c>
      <c r="X2300" t="s">
        <v>40461</v>
      </c>
      <c t="s">
        <v>34731</v>
      </c>
      <c t="s">
        <v>2517</v>
      </c>
      <c t="s">
        <v>39289</v>
      </c>
      <c>
        <v>33909</v>
      </c>
      <c t="s">
        <v>39087</v>
      </c>
      <c t="s">
        <v>48794</v>
      </c>
      <c t="s">
        <v>17073</v>
      </c>
      <c>
        <v>6825</v>
      </c>
      <c r="AI2300" t="s">
        <v>55376</v>
      </c>
      <c t="s">
        <v>39321</v>
      </c>
      <c r="AL2300" t="s">
        <v>31478</v>
      </c>
      <c r="AN2300" t="s">
        <v>39289</v>
      </c>
      <c t="s">
        <v>66107</v>
      </c>
      <c t="s">
        <v>23975</v>
      </c>
      <c t="s">
        <v>3093</v>
      </c>
      <c t="s">
        <v>30270</v>
      </c>
    </row>
    <row>
      <c t="s">
        <v>17594</v>
      </c>
      <c t="s">
        <v>34139</v>
      </c>
      <c t="s">
        <v>45302</v>
      </c>
      <c t="s">
        <v>18258</v>
      </c>
      <c t="s">
        <v>7557</v>
      </c>
      <c s="3">
        <v>52000</v>
      </c>
      <c s="3">
        <v>52000</v>
      </c>
      <c s="3">
        <v>28600</v>
      </c>
      <c>
        <v>0</v>
      </c>
      <c s="3">
        <v>0</v>
      </c>
      <c s="3">
        <v>994.84</v>
      </c>
      <c s="3">
        <v>52000</v>
      </c>
      <c>
        <v>2021</v>
      </c>
      <c>
        <v>990.08</v>
      </c>
      <c s="1" t="str">
        <f ca="1">HYPERLINK("https://web.datatree.com/?/property?propertyId=32826505", "https://web.datatree.com/?/property?propertyId=32826505")</f>
        <v>https://web.datatree.com/?/property?propertyId=32826505</v>
      </c>
      <c r="Q2301" t="s">
        <v>316</v>
      </c>
      <c>
        <v>0.23</v>
      </c>
      <c t="s">
        <v>22490</v>
      </c>
      <c r="U2301" t="s">
        <v>18075</v>
      </c>
      <c r="W2301" t="s">
        <v>24645</v>
      </c>
      <c t="s">
        <v>40830</v>
      </c>
      <c t="s">
        <v>34731</v>
      </c>
      <c t="s">
        <v>2517</v>
      </c>
      <c t="s">
        <v>39289</v>
      </c>
      <c>
        <v>33909</v>
      </c>
      <c t="s">
        <v>35206</v>
      </c>
      <c t="s">
        <v>48794</v>
      </c>
      <c t="s">
        <v>26243</v>
      </c>
      <c>
        <v>621</v>
      </c>
      <c r="AI2301" t="s">
        <v>119</v>
      </c>
      <c t="s">
        <v>55842</v>
      </c>
      <c r="AL2301" t="s">
        <v>16958</v>
      </c>
      <c r="AN2301" t="s">
        <v>22275</v>
      </c>
      <c t="s">
        <v>33952</v>
      </c>
      <c t="s">
        <v>7207</v>
      </c>
      <c t="s">
        <v>3093</v>
      </c>
      <c t="s">
        <v>11977</v>
      </c>
    </row>
    <row>
      <c t="s">
        <v>17594</v>
      </c>
      <c t="s">
        <v>48892</v>
      </c>
      <c t="s">
        <v>16071</v>
      </c>
      <c t="s">
        <v>4045</v>
      </c>
      <c t="s">
        <v>60555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>
        <v>2021</v>
      </c>
      <c>
        <v>532.49</v>
      </c>
      <c s="1" t="str">
        <f ca="1">HYPERLINK("https://web.datatree.com/?/property?propertyId=32827049", "https://web.datatree.com/?/property?propertyId=32827049")</f>
        <v>https://web.datatree.com/?/property?propertyId=32827049</v>
      </c>
      <c r="Q2302" t="s">
        <v>316</v>
      </c>
      <c>
        <v>0.23</v>
      </c>
      <c t="s">
        <v>22490</v>
      </c>
      <c t="s">
        <v>55631</v>
      </c>
      <c t="s">
        <v>50666</v>
      </c>
      <c t="s">
        <v>14629</v>
      </c>
      <c t="s">
        <v>36467</v>
      </c>
      <c t="s">
        <v>12521</v>
      </c>
      <c t="s">
        <v>22731</v>
      </c>
      <c t="s">
        <v>2517</v>
      </c>
      <c t="s">
        <v>39289</v>
      </c>
      <c>
        <v>33909</v>
      </c>
      <c t="s">
        <v>55947</v>
      </c>
      <c t="s">
        <v>48794</v>
      </c>
      <c t="s">
        <v>49344</v>
      </c>
      <c>
        <v>43</v>
      </c>
      <c r="AI2302" t="s">
        <v>58347</v>
      </c>
      <c t="s">
        <v>4985</v>
      </c>
      <c r="AL2302" t="s">
        <v>63057</v>
      </c>
      <c r="AN2302" t="s">
        <v>50917</v>
      </c>
      <c t="s">
        <v>58429</v>
      </c>
      <c t="s">
        <v>27780</v>
      </c>
      <c t="s">
        <v>3093</v>
      </c>
      <c t="s">
        <v>57341</v>
      </c>
    </row>
    <row>
      <c t="s">
        <v>17594</v>
      </c>
      <c t="s">
        <v>41789</v>
      </c>
      <c t="s">
        <v>54248</v>
      </c>
      <c t="s">
        <v>39428</v>
      </c>
      <c t="s">
        <v>29339</v>
      </c>
      <c s="3">
        <v>26290</v>
      </c>
      <c s="3">
        <v>26290</v>
      </c>
      <c s="3">
        <v>12650</v>
      </c>
      <c>
        <v>0</v>
      </c>
      <c s="3">
        <v>0</v>
      </c>
      <c s="3">
        <v>654.09</v>
      </c>
      <c s="3">
        <v>26290</v>
      </c>
      <c r="O2303" s="1" t="str">
        <f ca="1">HYPERLINK("https://web.datatree.com/?/property?propertyId=32827165", "https://web.datatree.com/?/property?propertyId=32827165")</f>
        <v>https://web.datatree.com/?/property?propertyId=32827165</v>
      </c>
      <c r="Q2303" t="s">
        <v>316</v>
      </c>
      <c>
        <v>0.244</v>
      </c>
      <c t="s">
        <v>22490</v>
      </c>
      <c r="U2303" t="s">
        <v>40360</v>
      </c>
      <c t="s">
        <v>42397</v>
      </c>
      <c t="s">
        <v>7336</v>
      </c>
      <c t="s">
        <v>34522</v>
      </c>
      <c t="s">
        <v>2626</v>
      </c>
      <c t="s">
        <v>2517</v>
      </c>
      <c t="s">
        <v>39289</v>
      </c>
      <c>
        <v>33909</v>
      </c>
      <c t="s">
        <v>45229</v>
      </c>
      <c t="s">
        <v>48794</v>
      </c>
      <c t="s">
        <v>51873</v>
      </c>
      <c>
        <v>1735</v>
      </c>
      <c r="AI2303" t="s">
        <v>35727</v>
      </c>
      <c t="s">
        <v>45393</v>
      </c>
      <c r="AL2303" t="s">
        <v>808</v>
      </c>
      <c t="s">
        <v>20604</v>
      </c>
      <c t="s">
        <v>27747</v>
      </c>
      <c t="s">
        <v>43874</v>
      </c>
      <c t="s">
        <v>6081</v>
      </c>
      <c t="s">
        <v>3093</v>
      </c>
      <c t="s">
        <v>12396</v>
      </c>
    </row>
    <row>
      <c t="s">
        <v>17594</v>
      </c>
      <c t="s">
        <v>6933</v>
      </c>
      <c t="s">
        <v>40547</v>
      </c>
      <c t="s">
        <v>60603</v>
      </c>
      <c t="s">
        <v>29353</v>
      </c>
      <c s="3">
        <v>26290</v>
      </c>
      <c s="3">
        <v>26290</v>
      </c>
      <c s="3">
        <v>26290</v>
      </c>
      <c>
        <v>0</v>
      </c>
      <c s="3">
        <v>0</v>
      </c>
      <c s="3">
        <v>789.75</v>
      </c>
      <c s="3">
        <v>26290</v>
      </c>
      <c r="O2304" s="1" t="str">
        <f ca="1">HYPERLINK("https://web.datatree.com/?/property?propertyId=32827359", "https://web.datatree.com/?/property?propertyId=32827359")</f>
        <v>https://web.datatree.com/?/property?propertyId=32827359</v>
      </c>
      <c r="Q2304" t="s">
        <v>316</v>
      </c>
      <c>
        <v>0.23</v>
      </c>
      <c t="s">
        <v>22490</v>
      </c>
      <c t="s">
        <v>19092</v>
      </c>
      <c t="s">
        <v>24508</v>
      </c>
      <c t="s">
        <v>13492</v>
      </c>
      <c t="s">
        <v>24508</v>
      </c>
      <c t="s">
        <v>10436</v>
      </c>
      <c t="s">
        <v>66701</v>
      </c>
      <c t="s">
        <v>2517</v>
      </c>
      <c t="s">
        <v>39289</v>
      </c>
      <c>
        <v>33909</v>
      </c>
      <c t="s">
        <v>33676</v>
      </c>
      <c t="s">
        <v>48794</v>
      </c>
      <c t="s">
        <v>7115</v>
      </c>
      <c>
        <v>903</v>
      </c>
      <c r="AI2304" t="s">
        <v>59006</v>
      </c>
      <c t="s">
        <v>45393</v>
      </c>
      <c r="AL2304" t="s">
        <v>40475</v>
      </c>
      <c t="s">
        <v>3243</v>
      </c>
      <c t="s">
        <v>4477</v>
      </c>
      <c t="s">
        <v>39872</v>
      </c>
      <c t="s">
        <v>636</v>
      </c>
      <c t="s">
        <v>3093</v>
      </c>
      <c t="s">
        <v>56366</v>
      </c>
    </row>
    <row>
      <c t="s">
        <v>17594</v>
      </c>
      <c t="s">
        <v>6467</v>
      </c>
      <c t="s">
        <v>35080</v>
      </c>
      <c t="s">
        <v>26027</v>
      </c>
      <c t="s">
        <v>23971</v>
      </c>
      <c s="3">
        <v>93570</v>
      </c>
      <c s="3">
        <v>93570</v>
      </c>
      <c s="3">
        <v>62957</v>
      </c>
      <c>
        <v>0</v>
      </c>
      <c s="3">
        <v>0</v>
      </c>
      <c s="3">
        <v>1822.37</v>
      </c>
      <c s="3">
        <v>93570</v>
      </c>
      <c r="O2305" s="1" t="str">
        <f ca="1">HYPERLINK("https://web.datatree.com/?/property?propertyId=32827659", "https://web.datatree.com/?/property?propertyId=32827659")</f>
        <v>https://web.datatree.com/?/property?propertyId=32827659</v>
      </c>
      <c r="Q2305" t="s">
        <v>316</v>
      </c>
      <c>
        <v>0.266</v>
      </c>
      <c t="s">
        <v>22490</v>
      </c>
      <c t="s">
        <v>11199</v>
      </c>
      <c t="s">
        <v>4951</v>
      </c>
      <c r="X2305" t="s">
        <v>789</v>
      </c>
      <c t="s">
        <v>64331</v>
      </c>
      <c t="s">
        <v>2517</v>
      </c>
      <c t="s">
        <v>39289</v>
      </c>
      <c>
        <v>33904</v>
      </c>
      <c t="s">
        <v>47278</v>
      </c>
      <c t="s">
        <v>48794</v>
      </c>
      <c t="s">
        <v>42160</v>
      </c>
      <c>
        <v>323</v>
      </c>
      <c r="AI2305" t="s">
        <v>22946</v>
      </c>
      <c t="s">
        <v>24900</v>
      </c>
      <c r="AL2305" t="s">
        <v>29657</v>
      </c>
      <c r="AN2305" t="s">
        <v>26016</v>
      </c>
      <c t="s">
        <v>50128</v>
      </c>
      <c t="s">
        <v>4797</v>
      </c>
      <c t="s">
        <v>3093</v>
      </c>
      <c t="s">
        <v>40292</v>
      </c>
    </row>
    <row>
      <c t="s">
        <v>17594</v>
      </c>
      <c t="s">
        <v>37919</v>
      </c>
      <c t="s">
        <v>58286</v>
      </c>
      <c t="s">
        <v>47106</v>
      </c>
      <c t="s">
        <v>9546</v>
      </c>
      <c s="3">
        <v>54000</v>
      </c>
      <c s="3">
        <v>54000</v>
      </c>
      <c s="3">
        <v>23030</v>
      </c>
      <c>
        <v>0</v>
      </c>
      <c s="3">
        <v>0</v>
      </c>
      <c s="3">
        <v>1786.95</v>
      </c>
      <c s="3">
        <v>54000</v>
      </c>
      <c r="O2306" s="1" t="str">
        <f ca="1">HYPERLINK("https://web.datatree.com/?/property?propertyId=32827684", "https://web.datatree.com/?/property?propertyId=32827684")</f>
        <v>https://web.datatree.com/?/property?propertyId=32827684</v>
      </c>
      <c r="Q2306" t="s">
        <v>316</v>
      </c>
      <c>
        <v>0.244</v>
      </c>
      <c t="s">
        <v>6175</v>
      </c>
      <c t="s">
        <v>32675</v>
      </c>
      <c t="s">
        <v>39164</v>
      </c>
      <c t="s">
        <v>22027</v>
      </c>
      <c t="s">
        <v>39164</v>
      </c>
      <c t="s">
        <v>63270</v>
      </c>
      <c t="s">
        <v>34731</v>
      </c>
      <c t="s">
        <v>2517</v>
      </c>
      <c t="s">
        <v>39289</v>
      </c>
      <c>
        <v>33909</v>
      </c>
      <c t="s">
        <v>13179</v>
      </c>
      <c t="s">
        <v>48794</v>
      </c>
      <c t="s">
        <v>47785</v>
      </c>
      <c>
        <v>6303</v>
      </c>
      <c r="AI2306" t="s">
        <v>26976</v>
      </c>
      <c t="s">
        <v>31192</v>
      </c>
      <c>
        <v>400</v>
      </c>
      <c t="s">
        <v>55393</v>
      </c>
      <c r="AN2306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15892</v>
      </c>
      <c t="s">
        <v>66201</v>
      </c>
      <c t="s">
        <v>42548</v>
      </c>
      <c t="s">
        <v>15742</v>
      </c>
      <c s="3">
        <v>22115</v>
      </c>
      <c s="3">
        <v>22115</v>
      </c>
      <c s="3">
        <v>10450</v>
      </c>
      <c>
        <v>0</v>
      </c>
      <c s="3">
        <v>0</v>
      </c>
      <c s="3">
        <v>604.32</v>
      </c>
      <c s="3">
        <v>22115</v>
      </c>
      <c r="O2307" s="1" t="str">
        <f ca="1">HYPERLINK("https://web.datatree.com/?/property?propertyId=32827988", "https://web.datatree.com/?/property?propertyId=32827988")</f>
        <v>https://web.datatree.com/?/property?propertyId=32827988</v>
      </c>
      <c r="Q2307" t="s">
        <v>316</v>
      </c>
      <c>
        <v>0.23</v>
      </c>
      <c t="s">
        <v>22490</v>
      </c>
      <c t="s">
        <v>34140</v>
      </c>
      <c t="s">
        <v>50564</v>
      </c>
      <c t="s">
        <v>10045</v>
      </c>
      <c t="s">
        <v>50564</v>
      </c>
      <c t="s">
        <v>28239</v>
      </c>
      <c t="s">
        <v>52171</v>
      </c>
      <c t="s">
        <v>2517</v>
      </c>
      <c t="s">
        <v>39289</v>
      </c>
      <c>
        <v>33909</v>
      </c>
      <c t="s">
        <v>8662</v>
      </c>
      <c t="s">
        <v>48794</v>
      </c>
      <c t="s">
        <v>34594</v>
      </c>
      <c>
        <v>5331</v>
      </c>
      <c r="AI2307" t="s">
        <v>50585</v>
      </c>
      <c t="s">
        <v>40123</v>
      </c>
      <c r="AL2307" t="s">
        <v>55438</v>
      </c>
      <c t="s">
        <v>55438</v>
      </c>
      <c t="s">
        <v>39289</v>
      </c>
      <c t="s">
        <v>46515</v>
      </c>
      <c t="s">
        <v>63972</v>
      </c>
      <c t="s">
        <v>3093</v>
      </c>
      <c t="s">
        <v>49171</v>
      </c>
    </row>
    <row>
      <c t="s">
        <v>17594</v>
      </c>
      <c t="s">
        <v>198</v>
      </c>
      <c t="s">
        <v>55030</v>
      </c>
      <c t="s">
        <v>16156</v>
      </c>
      <c t="s">
        <v>39575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308" s="1" t="str">
        <f ca="1">HYPERLINK("https://web.datatree.com/?/property?propertyId=32828180", "https://web.datatree.com/?/property?propertyId=32828180")</f>
        <v>https://web.datatree.com/?/property?propertyId=32828180</v>
      </c>
      <c r="Q2308" t="s">
        <v>316</v>
      </c>
      <c>
        <v>0.23</v>
      </c>
      <c t="s">
        <v>22490</v>
      </c>
      <c t="s">
        <v>50296</v>
      </c>
      <c t="s">
        <v>57667</v>
      </c>
      <c r="X2308" t="s">
        <v>22576</v>
      </c>
      <c t="s">
        <v>49122</v>
      </c>
      <c t="s">
        <v>2517</v>
      </c>
      <c t="s">
        <v>39289</v>
      </c>
      <c>
        <v>33909</v>
      </c>
      <c t="s">
        <v>447</v>
      </c>
      <c t="s">
        <v>48794</v>
      </c>
      <c t="s">
        <v>44948</v>
      </c>
      <c>
        <v>30</v>
      </c>
      <c r="AI2308" t="s">
        <v>58535</v>
      </c>
      <c r="AL2308" t="s">
        <v>4867</v>
      </c>
      <c r="AN2308" t="s">
        <v>63985</v>
      </c>
      <c>
        <v>40822</v>
      </c>
      <c r="AR2308" t="s">
        <v>30947</v>
      </c>
    </row>
    <row>
      <c t="s">
        <v>17594</v>
      </c>
      <c t="s">
        <v>43623</v>
      </c>
      <c t="s">
        <v>45848</v>
      </c>
      <c t="s">
        <v>47237</v>
      </c>
      <c t="s">
        <v>45988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2309" s="1" t="str">
        <f ca="1">HYPERLINK("https://web.datatree.com/?/property?propertyId=32829575", "https://web.datatree.com/?/property?propertyId=32829575")</f>
        <v>https://web.datatree.com/?/property?propertyId=32829575</v>
      </c>
      <c r="Q2309" t="s">
        <v>316</v>
      </c>
      <c>
        <v>0.23</v>
      </c>
      <c t="s">
        <v>22490</v>
      </c>
      <c t="s">
        <v>20804</v>
      </c>
      <c t="s">
        <v>10078</v>
      </c>
      <c r="X2309" t="s">
        <v>65301</v>
      </c>
      <c t="s">
        <v>39082</v>
      </c>
      <c t="s">
        <v>2517</v>
      </c>
      <c t="s">
        <v>39289</v>
      </c>
      <c>
        <v>33909</v>
      </c>
      <c t="s">
        <v>11037</v>
      </c>
      <c t="s">
        <v>48794</v>
      </c>
      <c t="s">
        <v>32503</v>
      </c>
      <c>
        <v>30</v>
      </c>
      <c r="AI2309" t="s">
        <v>25541</v>
      </c>
      <c t="s">
        <v>45620</v>
      </c>
      <c r="AL2309" t="s">
        <v>23660</v>
      </c>
      <c r="AN2309" t="s">
        <v>50917</v>
      </c>
      <c t="s">
        <v>367</v>
      </c>
      <c t="s">
        <v>15968</v>
      </c>
      <c t="s">
        <v>3093</v>
      </c>
      <c t="s">
        <v>59375</v>
      </c>
    </row>
    <row>
      <c t="s">
        <v>17594</v>
      </c>
      <c t="s">
        <v>34215</v>
      </c>
      <c t="s">
        <v>57636</v>
      </c>
      <c t="s">
        <v>23890</v>
      </c>
      <c t="s">
        <v>1766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2310" s="1" t="str">
        <f ca="1">HYPERLINK("https://web.datatree.com/?/property?propertyId=32830090", "https://web.datatree.com/?/property?propertyId=32830090")</f>
        <v>https://web.datatree.com/?/property?propertyId=32830090</v>
      </c>
      <c r="Q2310" t="s">
        <v>316</v>
      </c>
      <c>
        <v>0.241</v>
      </c>
      <c t="s">
        <v>42044</v>
      </c>
      <c t="s">
        <v>51344</v>
      </c>
      <c t="s">
        <v>12810</v>
      </c>
      <c r="X2310" t="s">
        <v>63258</v>
      </c>
      <c t="s">
        <v>7113</v>
      </c>
      <c t="s">
        <v>2517</v>
      </c>
      <c t="s">
        <v>39289</v>
      </c>
      <c>
        <v>33909</v>
      </c>
      <c t="s">
        <v>3181</v>
      </c>
      <c t="s">
        <v>48794</v>
      </c>
      <c t="s">
        <v>487</v>
      </c>
      <c>
        <v>5122</v>
      </c>
      <c r="AI2310" t="s">
        <v>29738</v>
      </c>
      <c t="s">
        <v>40123</v>
      </c>
      <c r="AL2310" t="s">
        <v>55393</v>
      </c>
      <c r="AN2310" t="s">
        <v>39289</v>
      </c>
      <c t="s">
        <v>15844</v>
      </c>
      <c t="s">
        <v>6928</v>
      </c>
      <c t="s">
        <v>3093</v>
      </c>
      <c t="s">
        <v>32430</v>
      </c>
    </row>
    <row>
      <c t="s">
        <v>17594</v>
      </c>
      <c t="s">
        <v>37596</v>
      </c>
      <c t="s">
        <v>11099</v>
      </c>
      <c t="s">
        <v>10390</v>
      </c>
      <c t="s">
        <v>63239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311" s="1" t="str">
        <f ca="1">HYPERLINK("https://web.datatree.com/?/property?propertyId=32830968", "https://web.datatree.com/?/property?propertyId=32830968")</f>
        <v>https://web.datatree.com/?/property?propertyId=32830968</v>
      </c>
      <c r="Q2311" t="s">
        <v>316</v>
      </c>
      <c>
        <v>0.23</v>
      </c>
      <c t="s">
        <v>6175</v>
      </c>
      <c t="s">
        <v>47133</v>
      </c>
      <c t="s">
        <v>39164</v>
      </c>
      <c t="s">
        <v>49741</v>
      </c>
      <c t="s">
        <v>61721</v>
      </c>
      <c t="s">
        <v>24670</v>
      </c>
      <c t="s">
        <v>39777</v>
      </c>
      <c t="s">
        <v>2517</v>
      </c>
      <c t="s">
        <v>39289</v>
      </c>
      <c>
        <v>33909</v>
      </c>
      <c t="s">
        <v>9126</v>
      </c>
      <c t="s">
        <v>48794</v>
      </c>
      <c t="s">
        <v>17768</v>
      </c>
      <c>
        <v>7860</v>
      </c>
      <c r="AI2311" t="s">
        <v>43694</v>
      </c>
      <c r="AK2311" t="s">
        <v>3634</v>
      </c>
      <c t="s">
        <v>55393</v>
      </c>
      <c r="AN2311" t="s">
        <v>39289</v>
      </c>
      <c t="s">
        <v>16922</v>
      </c>
      <c t="s">
        <v>23744</v>
      </c>
      <c t="s">
        <v>3093</v>
      </c>
      <c t="s">
        <v>45635</v>
      </c>
    </row>
    <row>
      <c t="s">
        <v>17594</v>
      </c>
      <c t="s">
        <v>18461</v>
      </c>
      <c t="s">
        <v>59205</v>
      </c>
      <c t="s">
        <v>53705</v>
      </c>
      <c t="s">
        <v>8355</v>
      </c>
      <c s="3">
        <v>37248</v>
      </c>
      <c s="3">
        <v>37248</v>
      </c>
      <c s="3">
        <v>10848</v>
      </c>
      <c>
        <v>0</v>
      </c>
      <c s="3">
        <v>0</v>
      </c>
      <c s="3">
        <v>1613.48</v>
      </c>
      <c s="3">
        <v>37248</v>
      </c>
      <c r="O2312" s="1" t="str">
        <f ca="1">HYPERLINK("https://web.datatree.com/?/property?propertyId=32831189", "https://web.datatree.com/?/property?propertyId=32831189")</f>
        <v>https://web.datatree.com/?/property?propertyId=32831189</v>
      </c>
      <c r="Q2312" t="s">
        <v>316</v>
      </c>
      <c>
        <v>0.23</v>
      </c>
      <c t="s">
        <v>6175</v>
      </c>
      <c t="s">
        <v>23624</v>
      </c>
      <c t="s">
        <v>32366</v>
      </c>
      <c r="X2312" t="s">
        <v>49229</v>
      </c>
      <c t="s">
        <v>34731</v>
      </c>
      <c t="s">
        <v>2517</v>
      </c>
      <c t="s">
        <v>39289</v>
      </c>
      <c>
        <v>33909</v>
      </c>
      <c t="s">
        <v>60020</v>
      </c>
      <c t="s">
        <v>48794</v>
      </c>
      <c t="s">
        <v>3778</v>
      </c>
      <c>
        <v>9116</v>
      </c>
      <c r="AI2312" t="s">
        <v>24413</v>
      </c>
      <c t="s">
        <v>31192</v>
      </c>
      <c r="AL2312" t="s">
        <v>63249</v>
      </c>
      <c r="AN2312" t="s">
        <v>51087</v>
      </c>
      <c t="s">
        <v>28138</v>
      </c>
      <c t="s">
        <v>4797</v>
      </c>
      <c t="s">
        <v>3093</v>
      </c>
      <c t="s">
        <v>1009</v>
      </c>
    </row>
    <row>
      <c t="s">
        <v>17594</v>
      </c>
      <c t="s">
        <v>29747</v>
      </c>
      <c t="s">
        <v>12616</v>
      </c>
      <c t="s">
        <v>8979</v>
      </c>
      <c t="s">
        <v>58987</v>
      </c>
      <c s="3">
        <v>38760</v>
      </c>
      <c s="3">
        <v>38760</v>
      </c>
      <c s="3">
        <v>23863</v>
      </c>
      <c>
        <v>0</v>
      </c>
      <c s="3">
        <v>0</v>
      </c>
      <c s="3">
        <v>904.15</v>
      </c>
      <c s="3">
        <v>38760</v>
      </c>
      <c r="O2313" s="1" t="str">
        <f ca="1">HYPERLINK("https://web.datatree.com/?/property?propertyId=32831858", "https://web.datatree.com/?/property?propertyId=32831858")</f>
        <v>https://web.datatree.com/?/property?propertyId=32831858</v>
      </c>
      <c r="Q2313" t="s">
        <v>316</v>
      </c>
      <c>
        <v>0.267</v>
      </c>
      <c t="s">
        <v>6175</v>
      </c>
      <c t="s">
        <v>552</v>
      </c>
      <c t="s">
        <v>40378</v>
      </c>
      <c t="s">
        <v>3293</v>
      </c>
      <c t="s">
        <v>40378</v>
      </c>
      <c t="s">
        <v>45474</v>
      </c>
      <c t="s">
        <v>50440</v>
      </c>
      <c t="s">
        <v>2517</v>
      </c>
      <c t="s">
        <v>39289</v>
      </c>
      <c>
        <v>33904</v>
      </c>
      <c t="s">
        <v>35107</v>
      </c>
      <c t="s">
        <v>48794</v>
      </c>
      <c t="s">
        <v>5854</v>
      </c>
      <c>
        <v>15851</v>
      </c>
      <c r="AI2313" t="s">
        <v>5229</v>
      </c>
      <c t="s">
        <v>45393</v>
      </c>
      <c r="AL2313" t="s">
        <v>60064</v>
      </c>
      <c r="AN2313" t="s">
        <v>50917</v>
      </c>
      <c t="s">
        <v>55100</v>
      </c>
      <c t="s">
        <v>25140</v>
      </c>
      <c t="s">
        <v>3093</v>
      </c>
      <c t="s">
        <v>46512</v>
      </c>
    </row>
    <row>
      <c t="s">
        <v>17594</v>
      </c>
      <c t="s">
        <v>21450</v>
      </c>
      <c t="s">
        <v>26155</v>
      </c>
      <c t="s">
        <v>37944</v>
      </c>
      <c t="s">
        <v>1734</v>
      </c>
      <c s="3">
        <v>96814</v>
      </c>
      <c s="3">
        <v>96814</v>
      </c>
      <c s="3">
        <v>31386</v>
      </c>
      <c>
        <v>0</v>
      </c>
      <c s="3">
        <v>0</v>
      </c>
      <c s="3">
        <v>1293.53</v>
      </c>
      <c s="3">
        <v>96814</v>
      </c>
      <c r="O2314" s="1" t="str">
        <f ca="1">HYPERLINK("https://web.datatree.com/?/property?propertyId=32835058", "https://web.datatree.com/?/property?propertyId=32835058")</f>
        <v>https://web.datatree.com/?/property?propertyId=32835058</v>
      </c>
      <c r="Q2314" t="s">
        <v>316</v>
      </c>
      <c>
        <v>0.258</v>
      </c>
      <c t="s">
        <v>6175</v>
      </c>
      <c t="s">
        <v>209</v>
      </c>
      <c t="s">
        <v>25208</v>
      </c>
      <c r="X2314" t="s">
        <v>38695</v>
      </c>
      <c t="s">
        <v>29190</v>
      </c>
      <c t="s">
        <v>2517</v>
      </c>
      <c t="s">
        <v>39289</v>
      </c>
      <c>
        <v>33904</v>
      </c>
      <c>
        <v>33904</v>
      </c>
      <c t="s">
        <v>48794</v>
      </c>
      <c t="s">
        <v>54091</v>
      </c>
      <c>
        <v>359</v>
      </c>
      <c r="AI2314" t="s">
        <v>38714</v>
      </c>
      <c t="s">
        <v>24900</v>
      </c>
      <c t="s">
        <v>17594</v>
      </c>
      <c t="s">
        <v>13767</v>
      </c>
      <c r="AN2314" t="s">
        <v>65451</v>
      </c>
      <c t="s">
        <v>63707</v>
      </c>
      <c t="s">
        <v>15968</v>
      </c>
      <c t="s">
        <v>3093</v>
      </c>
      <c t="s">
        <v>35746</v>
      </c>
    </row>
    <row>
      <c t="s">
        <v>17594</v>
      </c>
      <c t="s">
        <v>7817</v>
      </c>
      <c t="s">
        <v>55977</v>
      </c>
      <c t="s">
        <v>20376</v>
      </c>
      <c t="s">
        <v>48673</v>
      </c>
      <c s="3">
        <v>97710</v>
      </c>
      <c s="3">
        <v>90000</v>
      </c>
      <c s="3">
        <v>97710</v>
      </c>
      <c>
        <v>0</v>
      </c>
      <c s="3">
        <v>0</v>
      </c>
      <c s="3">
        <v>1467.77</v>
      </c>
      <c s="3">
        <v>97710</v>
      </c>
      <c r="O2315" s="1" t="str">
        <f ca="1">HYPERLINK("https://web.datatree.com/?/property?propertyId=32835642", "https://web.datatree.com/?/property?propertyId=32835642")</f>
        <v>https://web.datatree.com/?/property?propertyId=32835642</v>
      </c>
      <c r="Q2315" t="s">
        <v>316</v>
      </c>
      <c>
        <v>0.095</v>
      </c>
      <c t="s">
        <v>26492</v>
      </c>
      <c t="s">
        <v>50343</v>
      </c>
      <c t="s">
        <v>40366</v>
      </c>
      <c t="s">
        <v>66704</v>
      </c>
      <c t="s">
        <v>40366</v>
      </c>
      <c t="s">
        <v>17917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46714</v>
      </c>
      <c>
        <v>3097</v>
      </c>
      <c r="AI2315" t="s">
        <v>64677</v>
      </c>
      <c t="s">
        <v>55842</v>
      </c>
      <c r="AL2315" t="s">
        <v>27870</v>
      </c>
      <c t="s">
        <v>27870</v>
      </c>
      <c t="s">
        <v>17134</v>
      </c>
      <c>
        <v>45052</v>
      </c>
      <c r="AQ2315" t="s">
        <v>3093</v>
      </c>
      <c t="s">
        <v>15863</v>
      </c>
    </row>
    <row>
      <c t="s">
        <v>17594</v>
      </c>
      <c t="s">
        <v>20757</v>
      </c>
      <c t="s">
        <v>45993</v>
      </c>
      <c t="s">
        <v>10997</v>
      </c>
      <c t="s">
        <v>63881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316" s="1" t="str">
        <f ca="1">HYPERLINK("https://web.datatree.com/?/property?propertyId=32835735", "https://web.datatree.com/?/property?propertyId=32835735")</f>
        <v>https://web.datatree.com/?/property?propertyId=32835735</v>
      </c>
      <c r="Q2316" t="s">
        <v>316</v>
      </c>
      <c>
        <v>0.23</v>
      </c>
      <c t="s">
        <v>22490</v>
      </c>
      <c t="s">
        <v>15051</v>
      </c>
      <c t="s">
        <v>22360</v>
      </c>
      <c t="s">
        <v>21423</v>
      </c>
      <c t="s">
        <v>22956</v>
      </c>
      <c t="s">
        <v>63341</v>
      </c>
      <c t="s">
        <v>39082</v>
      </c>
      <c t="s">
        <v>2517</v>
      </c>
      <c t="s">
        <v>39289</v>
      </c>
      <c>
        <v>33909</v>
      </c>
      <c t="s">
        <v>13353</v>
      </c>
      <c t="s">
        <v>48794</v>
      </c>
      <c t="s">
        <v>12443</v>
      </c>
      <c>
        <v>1531</v>
      </c>
      <c r="AI2316" t="s">
        <v>4065</v>
      </c>
      <c t="s">
        <v>835</v>
      </c>
      <c r="AL2316" t="s">
        <v>25857</v>
      </c>
      <c r="AN2316" t="s">
        <v>39289</v>
      </c>
      <c t="s">
        <v>37321</v>
      </c>
      <c t="s">
        <v>17380</v>
      </c>
      <c t="s">
        <v>3093</v>
      </c>
      <c t="s">
        <v>47746</v>
      </c>
    </row>
    <row>
      <c t="s">
        <v>17594</v>
      </c>
      <c t="s">
        <v>48905</v>
      </c>
      <c t="s">
        <v>23880</v>
      </c>
      <c t="s">
        <v>45542</v>
      </c>
      <c t="s">
        <v>32952</v>
      </c>
      <c s="3">
        <v>38750</v>
      </c>
      <c s="3">
        <v>38750</v>
      </c>
      <c s="3">
        <v>38750</v>
      </c>
      <c>
        <v>0</v>
      </c>
      <c s="3">
        <v>0</v>
      </c>
      <c s="3">
        <v>990.65</v>
      </c>
      <c s="3">
        <v>38750</v>
      </c>
      <c>
        <v>2021</v>
      </c>
      <c>
        <v>670.49</v>
      </c>
      <c s="1" t="str">
        <f ca="1">HYPERLINK("https://web.datatree.com/?/property?propertyId=32835779", "https://web.datatree.com/?/property?propertyId=32835779")</f>
        <v>https://web.datatree.com/?/property?propertyId=32835779</v>
      </c>
      <c r="Q2317" t="s">
        <v>316</v>
      </c>
      <c>
        <v>0.244</v>
      </c>
      <c t="s">
        <v>22490</v>
      </c>
      <c t="s">
        <v>21408</v>
      </c>
      <c t="s">
        <v>54941</v>
      </c>
      <c r="X2317" t="s">
        <v>42418</v>
      </c>
      <c t="s">
        <v>13065</v>
      </c>
      <c t="s">
        <v>2517</v>
      </c>
      <c t="s">
        <v>39289</v>
      </c>
      <c>
        <v>33909</v>
      </c>
      <c t="s">
        <v>61961</v>
      </c>
      <c t="s">
        <v>48794</v>
      </c>
      <c t="s">
        <v>28829</v>
      </c>
      <c>
        <v>12510</v>
      </c>
      <c r="AI2317" t="s">
        <v>66701</v>
      </c>
      <c t="s">
        <v>24900</v>
      </c>
      <c r="AL2317" t="s">
        <v>28490</v>
      </c>
      <c t="s">
        <v>28490</v>
      </c>
      <c t="s">
        <v>39289</v>
      </c>
      <c t="s">
        <v>61936</v>
      </c>
      <c t="s">
        <v>61410</v>
      </c>
      <c t="s">
        <v>3093</v>
      </c>
      <c t="s">
        <v>30061</v>
      </c>
    </row>
    <row>
      <c t="s">
        <v>17594</v>
      </c>
      <c t="s">
        <v>19003</v>
      </c>
      <c t="s">
        <v>19890</v>
      </c>
      <c t="s">
        <v>36661</v>
      </c>
      <c t="s">
        <v>30845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2318" s="1" t="str">
        <f ca="1">HYPERLINK("https://web.datatree.com/?/property?propertyId=32836100", "https://web.datatree.com/?/property?propertyId=32836100")</f>
        <v>https://web.datatree.com/?/property?propertyId=32836100</v>
      </c>
      <c r="Q2318" t="s">
        <v>316</v>
      </c>
      <c>
        <v>0.23</v>
      </c>
      <c t="s">
        <v>22490</v>
      </c>
      <c t="s">
        <v>64043</v>
      </c>
      <c t="s">
        <v>43341</v>
      </c>
      <c r="X2318" t="s">
        <v>38533</v>
      </c>
      <c t="s">
        <v>59763</v>
      </c>
      <c t="s">
        <v>2517</v>
      </c>
      <c t="s">
        <v>39289</v>
      </c>
      <c>
        <v>33909</v>
      </c>
      <c>
        <v>33909</v>
      </c>
      <c t="s">
        <v>48794</v>
      </c>
      <c t="s">
        <v>46721</v>
      </c>
      <c>
        <v>7043</v>
      </c>
      <c r="AI2318" t="s">
        <v>67207</v>
      </c>
      <c t="s">
        <v>41372</v>
      </c>
      <c r="AL2318" t="s">
        <v>66562</v>
      </c>
      <c r="AN2318" t="s">
        <v>17134</v>
      </c>
      <c t="s">
        <v>34108</v>
      </c>
      <c t="s">
        <v>11138</v>
      </c>
      <c t="s">
        <v>3093</v>
      </c>
      <c t="s">
        <v>936</v>
      </c>
    </row>
    <row>
      <c t="s">
        <v>17594</v>
      </c>
      <c t="s">
        <v>63356</v>
      </c>
      <c t="s">
        <v>49601</v>
      </c>
      <c t="s">
        <v>18156</v>
      </c>
      <c t="s">
        <v>31609</v>
      </c>
      <c s="3">
        <v>41625</v>
      </c>
      <c s="3">
        <v>41625</v>
      </c>
      <c s="3">
        <v>41250</v>
      </c>
      <c>
        <v>0</v>
      </c>
      <c s="3">
        <v>0</v>
      </c>
      <c s="3">
        <v>590.4</v>
      </c>
      <c s="3">
        <v>41625</v>
      </c>
      <c r="O2319" s="1" t="str">
        <f ca="1">HYPERLINK("https://web.datatree.com/?/property?propertyId=32836718", "https://web.datatree.com/?/property?propertyId=32836718")</f>
        <v>https://web.datatree.com/?/property?propertyId=32836718</v>
      </c>
      <c r="Q2319" t="s">
        <v>316</v>
      </c>
      <c>
        <v>0.244</v>
      </c>
      <c t="s">
        <v>23582</v>
      </c>
      <c r="U2319" t="s">
        <v>32867</v>
      </c>
      <c r="W2319" t="s">
        <v>47347</v>
      </c>
      <c t="s">
        <v>63438</v>
      </c>
      <c t="s">
        <v>27653</v>
      </c>
      <c t="s">
        <v>65059</v>
      </c>
      <c t="s">
        <v>39289</v>
      </c>
      <c>
        <v>33908</v>
      </c>
      <c t="s">
        <v>7456</v>
      </c>
      <c t="s">
        <v>48794</v>
      </c>
      <c t="s">
        <v>11047</v>
      </c>
      <c>
        <v>132</v>
      </c>
      <c r="AI2319" t="s">
        <v>49803</v>
      </c>
      <c t="s">
        <v>31192</v>
      </c>
      <c r="AL2319" t="s">
        <v>16561</v>
      </c>
      <c r="AN2319" t="s">
        <v>50917</v>
      </c>
      <c t="s">
        <v>48777</v>
      </c>
      <c t="s">
        <v>42082</v>
      </c>
      <c t="s">
        <v>3093</v>
      </c>
      <c t="s">
        <v>64790</v>
      </c>
    </row>
    <row>
      <c t="s">
        <v>17594</v>
      </c>
      <c t="s">
        <v>16571</v>
      </c>
      <c t="s">
        <v>62496</v>
      </c>
      <c t="s">
        <v>6968</v>
      </c>
      <c t="s">
        <v>53592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320" s="1" t="str">
        <f ca="1">HYPERLINK("https://web.datatree.com/?/property?propertyId=32836862", "https://web.datatree.com/?/property?propertyId=32836862")</f>
        <v>https://web.datatree.com/?/property?propertyId=32836862</v>
      </c>
      <c r="Q2320" t="s">
        <v>316</v>
      </c>
      <c>
        <v>0.23</v>
      </c>
      <c t="s">
        <v>22490</v>
      </c>
      <c t="s">
        <v>47299</v>
      </c>
      <c t="s">
        <v>12200</v>
      </c>
      <c t="s">
        <v>25160</v>
      </c>
      <c t="s">
        <v>12200</v>
      </c>
      <c t="s">
        <v>9846</v>
      </c>
      <c t="s">
        <v>29190</v>
      </c>
      <c t="s">
        <v>2517</v>
      </c>
      <c t="s">
        <v>39289</v>
      </c>
      <c>
        <v>33909</v>
      </c>
      <c t="s">
        <v>48542</v>
      </c>
      <c t="s">
        <v>48794</v>
      </c>
      <c t="s">
        <v>14382</v>
      </c>
      <c>
        <v>2</v>
      </c>
      <c r="AI2320" t="s">
        <v>50464</v>
      </c>
      <c r="AL2320" t="s">
        <v>59136</v>
      </c>
      <c r="AN2320" t="s">
        <v>32840</v>
      </c>
      <c r="AR2320" t="s">
        <v>503</v>
      </c>
    </row>
    <row>
      <c t="s">
        <v>17594</v>
      </c>
      <c t="s">
        <v>12412</v>
      </c>
      <c t="s">
        <v>53919</v>
      </c>
      <c t="s">
        <v>9554</v>
      </c>
      <c t="s">
        <v>39206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321" s="1" t="str">
        <f ca="1">HYPERLINK("https://web.datatree.com/?/property?propertyId=32837837", "https://web.datatree.com/?/property?propertyId=32837837")</f>
        <v>https://web.datatree.com/?/property?propertyId=32837837</v>
      </c>
      <c r="Q2321" t="s">
        <v>316</v>
      </c>
      <c>
        <v>0.23</v>
      </c>
      <c t="s">
        <v>22490</v>
      </c>
      <c t="s">
        <v>3293</v>
      </c>
      <c t="s">
        <v>6979</v>
      </c>
      <c t="s">
        <v>43826</v>
      </c>
      <c t="s">
        <v>37285</v>
      </c>
      <c t="s">
        <v>39996</v>
      </c>
      <c t="s">
        <v>7594</v>
      </c>
      <c t="s">
        <v>2517</v>
      </c>
      <c t="s">
        <v>39289</v>
      </c>
      <c>
        <v>33909</v>
      </c>
      <c t="s">
        <v>7225</v>
      </c>
      <c t="s">
        <v>48794</v>
      </c>
      <c t="s">
        <v>63315</v>
      </c>
      <c>
        <v>323</v>
      </c>
      <c r="AI2321" t="s">
        <v>46861</v>
      </c>
      <c t="s">
        <v>835</v>
      </c>
      <c>
        <v>208</v>
      </c>
      <c t="s">
        <v>37463</v>
      </c>
      <c t="s">
        <v>19597</v>
      </c>
      <c t="s">
        <v>32657</v>
      </c>
      <c t="s">
        <v>38249</v>
      </c>
      <c t="s">
        <v>8296</v>
      </c>
      <c t="s">
        <v>3093</v>
      </c>
      <c t="s">
        <v>44049</v>
      </c>
    </row>
    <row>
      <c t="s">
        <v>17594</v>
      </c>
      <c t="s">
        <v>62686</v>
      </c>
      <c t="s">
        <v>16971</v>
      </c>
      <c t="s">
        <v>64862</v>
      </c>
      <c t="s">
        <v>18240</v>
      </c>
      <c s="3">
        <v>17899</v>
      </c>
      <c s="3">
        <v>17899</v>
      </c>
      <c s="3">
        <v>9599</v>
      </c>
      <c>
        <v>0</v>
      </c>
      <c s="3">
        <v>0</v>
      </c>
      <c s="3">
        <v>882.18</v>
      </c>
      <c s="3">
        <v>17899</v>
      </c>
      <c r="O2322" s="1" t="str">
        <f ca="1">HYPERLINK("https://web.datatree.com/?/property?propertyId=32837889", "https://web.datatree.com/?/property?propertyId=32837889")</f>
        <v>https://web.datatree.com/?/property?propertyId=32837889</v>
      </c>
      <c r="Q2322" t="s">
        <v>316</v>
      </c>
      <c>
        <v>0.351</v>
      </c>
      <c t="s">
        <v>42044</v>
      </c>
      <c r="U2322" t="s">
        <v>53198</v>
      </c>
      <c r="W2322" t="s">
        <v>60984</v>
      </c>
      <c t="s">
        <v>47588</v>
      </c>
      <c t="s">
        <v>39777</v>
      </c>
      <c t="s">
        <v>2517</v>
      </c>
      <c t="s">
        <v>39289</v>
      </c>
      <c>
        <v>33909</v>
      </c>
      <c t="s">
        <v>66466</v>
      </c>
      <c t="s">
        <v>48794</v>
      </c>
      <c t="s">
        <v>42485</v>
      </c>
      <c>
        <v>2365</v>
      </c>
      <c r="AI2322" t="s">
        <v>49522</v>
      </c>
      <c t="s">
        <v>45393</v>
      </c>
      <c r="AL2322" t="s">
        <v>55393</v>
      </c>
      <c r="AN2322" t="s">
        <v>39289</v>
      </c>
      <c t="s">
        <v>65304</v>
      </c>
      <c t="s">
        <v>5948</v>
      </c>
      <c t="s">
        <v>3093</v>
      </c>
      <c t="s">
        <v>54458</v>
      </c>
    </row>
    <row>
      <c t="s">
        <v>17594</v>
      </c>
      <c t="s">
        <v>36653</v>
      </c>
      <c t="s">
        <v>40954</v>
      </c>
      <c t="s">
        <v>38144</v>
      </c>
      <c t="s">
        <v>60769</v>
      </c>
      <c s="3">
        <v>29109</v>
      </c>
      <c s="3">
        <v>29109</v>
      </c>
      <c s="3">
        <v>8712</v>
      </c>
      <c>
        <v>0</v>
      </c>
      <c s="3">
        <v>0</v>
      </c>
      <c s="3">
        <v>1799.31</v>
      </c>
      <c s="3">
        <v>29109</v>
      </c>
      <c r="O2323" s="1" t="str">
        <f ca="1">HYPERLINK("https://web.datatree.com/?/property?propertyId=32838062", "https://web.datatree.com/?/property?propertyId=32838062")</f>
        <v>https://web.datatree.com/?/property?propertyId=32838062</v>
      </c>
      <c r="Q2323" t="s">
        <v>316</v>
      </c>
      <c>
        <v>0.244</v>
      </c>
      <c t="s">
        <v>6175</v>
      </c>
      <c t="s">
        <v>8574</v>
      </c>
      <c t="s">
        <v>6938</v>
      </c>
      <c r="X2323" t="s">
        <v>31166</v>
      </c>
      <c t="s">
        <v>61865</v>
      </c>
      <c t="s">
        <v>2517</v>
      </c>
      <c t="s">
        <v>39289</v>
      </c>
      <c>
        <v>33909</v>
      </c>
      <c t="s">
        <v>47756</v>
      </c>
      <c t="s">
        <v>48794</v>
      </c>
      <c t="s">
        <v>30678</v>
      </c>
      <c>
        <v>2</v>
      </c>
      <c r="AI2323" t="s">
        <v>19976</v>
      </c>
      <c t="s">
        <v>45393</v>
      </c>
      <c r="AL2323" t="s">
        <v>38779</v>
      </c>
      <c r="AN2323" t="s">
        <v>26016</v>
      </c>
      <c t="s">
        <v>62274</v>
      </c>
      <c t="s">
        <v>12241</v>
      </c>
      <c t="s">
        <v>3093</v>
      </c>
      <c t="s">
        <v>13913</v>
      </c>
    </row>
    <row>
      <c t="s">
        <v>17594</v>
      </c>
      <c t="s">
        <v>11269</v>
      </c>
      <c t="s">
        <v>26570</v>
      </c>
      <c t="s">
        <v>8047</v>
      </c>
      <c t="s">
        <v>17889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2324" s="1" t="str">
        <f ca="1">HYPERLINK("https://web.datatree.com/?/property?propertyId=32838315", "https://web.datatree.com/?/property?propertyId=32838315")</f>
        <v>https://web.datatree.com/?/property?propertyId=32838315</v>
      </c>
      <c r="Q2324" t="s">
        <v>316</v>
      </c>
      <c>
        <v>0.244</v>
      </c>
      <c t="s">
        <v>6175</v>
      </c>
      <c r="U2324" t="s">
        <v>16091</v>
      </c>
      <c r="W2324" t="s">
        <v>21817</v>
      </c>
      <c t="s">
        <v>1926</v>
      </c>
      <c t="s">
        <v>38550</v>
      </c>
      <c t="s">
        <v>2517</v>
      </c>
      <c t="s">
        <v>39289</v>
      </c>
      <c>
        <v>33909</v>
      </c>
      <c t="s">
        <v>56267</v>
      </c>
      <c t="s">
        <v>48794</v>
      </c>
      <c t="s">
        <v>60851</v>
      </c>
      <c>
        <v>33</v>
      </c>
      <c r="AI2324" t="s">
        <v>64649</v>
      </c>
      <c t="s">
        <v>31192</v>
      </c>
      <c r="AL2324" t="s">
        <v>4336</v>
      </c>
      <c t="s">
        <v>33745</v>
      </c>
      <c t="s">
        <v>50917</v>
      </c>
      <c t="s">
        <v>11107</v>
      </c>
      <c t="s">
        <v>38085</v>
      </c>
      <c t="s">
        <v>3093</v>
      </c>
      <c t="s">
        <v>55889</v>
      </c>
    </row>
    <row>
      <c t="s">
        <v>17594</v>
      </c>
      <c t="s">
        <v>45823</v>
      </c>
      <c t="s">
        <v>30437</v>
      </c>
      <c t="s">
        <v>34946</v>
      </c>
      <c t="s">
        <v>21732</v>
      </c>
      <c s="3">
        <v>128604</v>
      </c>
      <c s="3">
        <v>114500</v>
      </c>
      <c s="3">
        <v>128604</v>
      </c>
      <c>
        <v>0</v>
      </c>
      <c s="3">
        <v>0</v>
      </c>
      <c s="3">
        <v>1930.31</v>
      </c>
      <c s="3">
        <v>128604</v>
      </c>
      <c r="O2325" s="1" t="str">
        <f ca="1">HYPERLINK("https://web.datatree.com/?/property?propertyId=32838438", "https://web.datatree.com/?/property?propertyId=32838438")</f>
        <v>https://web.datatree.com/?/property?propertyId=32838438</v>
      </c>
      <c r="Q2325" t="s">
        <v>316</v>
      </c>
      <c>
        <v>0.125</v>
      </c>
      <c t="s">
        <v>26492</v>
      </c>
      <c t="s">
        <v>60580</v>
      </c>
      <c t="s">
        <v>47667</v>
      </c>
      <c t="s">
        <v>3429</v>
      </c>
      <c t="s">
        <v>47667</v>
      </c>
      <c t="s">
        <v>23768</v>
      </c>
      <c t="s">
        <v>43388</v>
      </c>
      <c t="s">
        <v>65059</v>
      </c>
      <c t="s">
        <v>39289</v>
      </c>
      <c>
        <v>33905</v>
      </c>
      <c>
        <v>33905</v>
      </c>
      <c t="s">
        <v>48794</v>
      </c>
      <c t="s">
        <v>58074</v>
      </c>
      <c>
        <v>1846</v>
      </c>
      <c r="AI2325" t="s">
        <v>59390</v>
      </c>
      <c t="s">
        <v>31192</v>
      </c>
      <c r="AL2325" t="s">
        <v>66562</v>
      </c>
      <c t="s">
        <v>66562</v>
      </c>
      <c t="s">
        <v>17134</v>
      </c>
      <c t="s">
        <v>11123</v>
      </c>
      <c t="s">
        <v>52393</v>
      </c>
      <c t="s">
        <v>3093</v>
      </c>
      <c t="s">
        <v>5235</v>
      </c>
      <c>
        <v>2005</v>
      </c>
    </row>
    <row>
      <c t="s">
        <v>17594</v>
      </c>
      <c t="s">
        <v>61128</v>
      </c>
      <c t="s">
        <v>20868</v>
      </c>
      <c t="s">
        <v>36304</v>
      </c>
      <c t="s">
        <v>33304</v>
      </c>
      <c s="3">
        <v>156416</v>
      </c>
      <c s="3">
        <v>156416</v>
      </c>
      <c s="3">
        <v>156416</v>
      </c>
      <c>
        <v>0</v>
      </c>
      <c s="3">
        <v>0</v>
      </c>
      <c s="3">
        <v>2884.1</v>
      </c>
      <c s="3">
        <v>156416</v>
      </c>
      <c r="O2326" s="1" t="str">
        <f ca="1">HYPERLINK("https://web.datatree.com/?/property?propertyId=32839182", "https://web.datatree.com/?/property?propertyId=32839182")</f>
        <v>https://web.datatree.com/?/property?propertyId=32839182</v>
      </c>
      <c r="Q2326" t="s">
        <v>316</v>
      </c>
      <c>
        <v>0.23</v>
      </c>
      <c t="s">
        <v>22490</v>
      </c>
      <c t="s">
        <v>33321</v>
      </c>
      <c t="s">
        <v>23309</v>
      </c>
      <c r="X2326" t="s">
        <v>10888</v>
      </c>
      <c t="s">
        <v>49122</v>
      </c>
      <c t="s">
        <v>2517</v>
      </c>
      <c t="s">
        <v>39289</v>
      </c>
      <c>
        <v>33904</v>
      </c>
      <c>
        <v>33904</v>
      </c>
      <c t="s">
        <v>48794</v>
      </c>
      <c t="s">
        <v>60703</v>
      </c>
      <c>
        <v>144</v>
      </c>
      <c r="AI2326" t="s">
        <v>28469</v>
      </c>
      <c t="s">
        <v>4985</v>
      </c>
      <c r="AL2326" t="s">
        <v>11428</v>
      </c>
      <c t="s">
        <v>11428</v>
      </c>
      <c t="s">
        <v>50917</v>
      </c>
      <c t="s">
        <v>27889</v>
      </c>
      <c t="s">
        <v>40645</v>
      </c>
      <c t="s">
        <v>3093</v>
      </c>
      <c t="s">
        <v>55507</v>
      </c>
    </row>
    <row>
      <c t="s">
        <v>17594</v>
      </c>
      <c t="s">
        <v>40441</v>
      </c>
      <c t="s">
        <v>58286</v>
      </c>
      <c t="s">
        <v>3847</v>
      </c>
      <c t="s">
        <v>55382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2021</v>
      </c>
      <c>
        <v>594.94</v>
      </c>
      <c s="1" t="str">
        <f ca="1">HYPERLINK("https://web.datatree.com/?/property?propertyId=32839737", "https://web.datatree.com/?/property?propertyId=32839737")</f>
        <v>https://web.datatree.com/?/property?propertyId=32839737</v>
      </c>
      <c r="Q2327" t="s">
        <v>316</v>
      </c>
      <c>
        <v>0.23</v>
      </c>
      <c t="s">
        <v>42044</v>
      </c>
      <c t="s">
        <v>51799</v>
      </c>
      <c t="s">
        <v>49999</v>
      </c>
      <c r="X2327" t="s">
        <v>19883</v>
      </c>
      <c t="s">
        <v>39082</v>
      </c>
      <c t="s">
        <v>2517</v>
      </c>
      <c t="s">
        <v>39289</v>
      </c>
      <c>
        <v>33909</v>
      </c>
      <c t="s">
        <v>34469</v>
      </c>
      <c t="s">
        <v>48794</v>
      </c>
      <c t="s">
        <v>13297</v>
      </c>
      <c>
        <v>6303</v>
      </c>
      <c r="AI2327" t="s">
        <v>26976</v>
      </c>
      <c t="s">
        <v>31192</v>
      </c>
      <c>
        <v>400</v>
      </c>
      <c t="s">
        <v>55393</v>
      </c>
      <c r="AN2327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64905</v>
      </c>
      <c t="s">
        <v>52622</v>
      </c>
      <c t="s">
        <v>51035</v>
      </c>
      <c t="s">
        <v>33471</v>
      </c>
      <c s="3">
        <v>20472</v>
      </c>
      <c s="3">
        <v>20472</v>
      </c>
      <c s="3">
        <v>20472</v>
      </c>
      <c>
        <v>0</v>
      </c>
      <c s="3">
        <v>0</v>
      </c>
      <c s="3">
        <v>2962.1</v>
      </c>
      <c s="3">
        <v>20472</v>
      </c>
      <c>
        <v>2021</v>
      </c>
      <c>
        <v>3140.28</v>
      </c>
      <c s="1" t="str">
        <f ca="1">HYPERLINK("https://web.datatree.com/?/property?propertyId=32840095", "https://web.datatree.com/?/property?propertyId=32840095")</f>
        <v>https://web.datatree.com/?/property?propertyId=32840095</v>
      </c>
      <c r="Q2328" t="s">
        <v>316</v>
      </c>
      <c>
        <v>0.23</v>
      </c>
      <c t="s">
        <v>22490</v>
      </c>
      <c t="s">
        <v>63126</v>
      </c>
      <c t="s">
        <v>57881</v>
      </c>
      <c r="X2328" t="s">
        <v>62962</v>
      </c>
      <c t="s">
        <v>18679</v>
      </c>
      <c t="s">
        <v>2517</v>
      </c>
      <c t="s">
        <v>39289</v>
      </c>
      <c>
        <v>33909</v>
      </c>
      <c t="s">
        <v>36946</v>
      </c>
      <c t="s">
        <v>48794</v>
      </c>
      <c t="s">
        <v>32910</v>
      </c>
      <c>
        <v>2422</v>
      </c>
      <c r="AI2328" t="s">
        <v>50440</v>
      </c>
      <c t="s">
        <v>1671</v>
      </c>
      <c r="AL2328" t="s">
        <v>52434</v>
      </c>
      <c t="s">
        <v>52434</v>
      </c>
      <c t="s">
        <v>39289</v>
      </c>
      <c t="s">
        <v>11955</v>
      </c>
      <c t="s">
        <v>61719</v>
      </c>
      <c t="s">
        <v>3093</v>
      </c>
      <c t="s">
        <v>34872</v>
      </c>
    </row>
    <row>
      <c t="s">
        <v>17594</v>
      </c>
      <c t="s">
        <v>16572</v>
      </c>
      <c t="s">
        <v>24855</v>
      </c>
      <c t="s">
        <v>52790</v>
      </c>
      <c t="s">
        <v>37585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2329" s="1" t="str">
        <f ca="1">HYPERLINK("https://web.datatree.com/?/property?propertyId=32840320", "https://web.datatree.com/?/property?propertyId=32840320")</f>
        <v>https://web.datatree.com/?/property?propertyId=32840320</v>
      </c>
      <c r="Q2329" t="s">
        <v>316</v>
      </c>
      <c>
        <v>0.23</v>
      </c>
      <c t="s">
        <v>22490</v>
      </c>
      <c t="s">
        <v>8940</v>
      </c>
      <c t="s">
        <v>15107</v>
      </c>
      <c t="s">
        <v>47329</v>
      </c>
      <c t="s">
        <v>15107</v>
      </c>
      <c t="s">
        <v>16277</v>
      </c>
      <c t="s">
        <v>10653</v>
      </c>
      <c t="s">
        <v>2517</v>
      </c>
      <c t="s">
        <v>39289</v>
      </c>
      <c>
        <v>33909</v>
      </c>
      <c t="s">
        <v>28813</v>
      </c>
      <c t="s">
        <v>48794</v>
      </c>
      <c t="s">
        <v>27162</v>
      </c>
      <c>
        <v>34</v>
      </c>
      <c r="AI2329" t="s">
        <v>39977</v>
      </c>
      <c t="s">
        <v>24900</v>
      </c>
      <c r="AL2329" t="s">
        <v>61009</v>
      </c>
      <c r="AN2329" t="s">
        <v>26016</v>
      </c>
      <c t="s">
        <v>46013</v>
      </c>
      <c t="s">
        <v>23888</v>
      </c>
      <c t="s">
        <v>3093</v>
      </c>
      <c t="s">
        <v>16988</v>
      </c>
    </row>
    <row>
      <c t="s">
        <v>17594</v>
      </c>
      <c t="s">
        <v>2857</v>
      </c>
      <c t="s">
        <v>44046</v>
      </c>
      <c t="s">
        <v>56909</v>
      </c>
      <c t="s">
        <v>51263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2330" s="1" t="str">
        <f ca="1">HYPERLINK("https://web.datatree.com/?/property?propertyId=32840341", "https://web.datatree.com/?/property?propertyId=32840341")</f>
        <v>https://web.datatree.com/?/property?propertyId=32840341</v>
      </c>
      <c r="Q2330" t="s">
        <v>316</v>
      </c>
      <c>
        <v>0.23</v>
      </c>
      <c t="s">
        <v>22490</v>
      </c>
      <c t="s">
        <v>44457</v>
      </c>
      <c t="s">
        <v>43112</v>
      </c>
      <c t="s">
        <v>29363</v>
      </c>
      <c t="s">
        <v>43112</v>
      </c>
      <c t="s">
        <v>18509</v>
      </c>
      <c t="s">
        <v>46469</v>
      </c>
      <c t="s">
        <v>2517</v>
      </c>
      <c t="s">
        <v>39289</v>
      </c>
      <c>
        <v>33909</v>
      </c>
      <c t="s">
        <v>21737</v>
      </c>
      <c t="s">
        <v>48794</v>
      </c>
      <c t="s">
        <v>13705</v>
      </c>
      <c>
        <v>27</v>
      </c>
      <c r="AI2330" t="s">
        <v>48559</v>
      </c>
      <c t="s">
        <v>4151</v>
      </c>
      <c r="AL2330" t="s">
        <v>26641</v>
      </c>
      <c r="AN2330" t="s">
        <v>10909</v>
      </c>
      <c t="s">
        <v>11576</v>
      </c>
      <c r="AQ2330" t="s">
        <v>27814</v>
      </c>
      <c t="s">
        <v>59040</v>
      </c>
    </row>
    <row>
      <c t="s">
        <v>17594</v>
      </c>
      <c t="s">
        <v>64440</v>
      </c>
      <c t="s">
        <v>43092</v>
      </c>
      <c t="s">
        <v>62397</v>
      </c>
      <c t="s">
        <v>23123</v>
      </c>
      <c s="3">
        <v>53297</v>
      </c>
      <c s="3">
        <v>53297</v>
      </c>
      <c s="3">
        <v>53297</v>
      </c>
      <c>
        <v>0</v>
      </c>
      <c s="3">
        <v>0</v>
      </c>
      <c s="3">
        <v>797.94</v>
      </c>
      <c s="3">
        <v>53297</v>
      </c>
      <c r="O2331" s="1" t="str">
        <f ca="1">HYPERLINK("https://web.datatree.com/?/property?propertyId=32840535", "https://web.datatree.com/?/property?propertyId=32840535")</f>
        <v>https://web.datatree.com/?/property?propertyId=32840535</v>
      </c>
      <c r="Q2331" t="s">
        <v>316</v>
      </c>
      <c>
        <v>0.334</v>
      </c>
      <c t="s">
        <v>30497</v>
      </c>
      <c t="s">
        <v>35571</v>
      </c>
      <c t="s">
        <v>3602</v>
      </c>
      <c r="X2331" t="s">
        <v>32158</v>
      </c>
      <c t="s">
        <v>29771</v>
      </c>
      <c t="s">
        <v>65059</v>
      </c>
      <c t="s">
        <v>39289</v>
      </c>
      <c>
        <v>33905</v>
      </c>
      <c>
        <v>33905</v>
      </c>
      <c t="s">
        <v>48794</v>
      </c>
      <c t="s">
        <v>62322</v>
      </c>
      <c>
        <v>7337</v>
      </c>
      <c r="AI2331" t="s">
        <v>52041</v>
      </c>
      <c t="s">
        <v>31192</v>
      </c>
      <c r="AL2331" t="s">
        <v>47838</v>
      </c>
      <c t="s">
        <v>47838</v>
      </c>
      <c t="s">
        <v>39289</v>
      </c>
      <c t="s">
        <v>28888</v>
      </c>
      <c t="s">
        <v>38014</v>
      </c>
      <c t="s">
        <v>3093</v>
      </c>
      <c t="s">
        <v>58841</v>
      </c>
    </row>
    <row>
      <c t="s">
        <v>17594</v>
      </c>
      <c t="s">
        <v>22733</v>
      </c>
      <c t="s">
        <v>40201</v>
      </c>
      <c t="s">
        <v>41117</v>
      </c>
      <c t="s">
        <v>46957</v>
      </c>
      <c s="3">
        <v>7300</v>
      </c>
      <c s="3">
        <v>7300</v>
      </c>
      <c s="3">
        <v>7300</v>
      </c>
      <c>
        <v>0</v>
      </c>
      <c s="3">
        <v>0</v>
      </c>
      <c s="3">
        <v>612.23</v>
      </c>
      <c s="3">
        <v>7300</v>
      </c>
      <c r="O2332" s="1" t="str">
        <f ca="1">HYPERLINK("https://web.datatree.com/?/property?propertyId=32840961", "https://web.datatree.com/?/property?propertyId=32840961")</f>
        <v>https://web.datatree.com/?/property?propertyId=32840961</v>
      </c>
      <c r="Q2332" t="s">
        <v>316</v>
      </c>
      <c>
        <v>0.291</v>
      </c>
      <c t="s">
        <v>22490</v>
      </c>
      <c r="U2332" t="s">
        <v>7975</v>
      </c>
      <c r="W2332" t="s">
        <v>33898</v>
      </c>
      <c t="s">
        <v>3516</v>
      </c>
      <c t="s">
        <v>23517</v>
      </c>
      <c t="s">
        <v>2517</v>
      </c>
      <c t="s">
        <v>39289</v>
      </c>
      <c>
        <v>33909</v>
      </c>
      <c t="s">
        <v>29934</v>
      </c>
      <c t="s">
        <v>48794</v>
      </c>
      <c t="s">
        <v>60098</v>
      </c>
      <c>
        <v>1317</v>
      </c>
      <c r="AI2332" t="s">
        <v>1562</v>
      </c>
      <c t="s">
        <v>31192</v>
      </c>
      <c r="AL2332" t="s">
        <v>38297</v>
      </c>
      <c t="s">
        <v>38297</v>
      </c>
      <c t="s">
        <v>27222</v>
      </c>
      <c t="s">
        <v>18482</v>
      </c>
      <c t="s">
        <v>60333</v>
      </c>
      <c t="s">
        <v>3093</v>
      </c>
      <c t="s">
        <v>14618</v>
      </c>
    </row>
    <row>
      <c t="s">
        <v>17594</v>
      </c>
      <c t="s">
        <v>8909</v>
      </c>
      <c t="s">
        <v>41355</v>
      </c>
      <c t="s">
        <v>11389</v>
      </c>
      <c t="s">
        <v>39165</v>
      </c>
      <c s="3">
        <v>8760</v>
      </c>
      <c s="3">
        <v>8760</v>
      </c>
      <c s="3">
        <v>8760</v>
      </c>
      <c>
        <v>0</v>
      </c>
      <c s="3">
        <v>0</v>
      </c>
      <c s="3">
        <v>881.64</v>
      </c>
      <c s="3">
        <v>8760</v>
      </c>
      <c r="O2333" s="1" t="str">
        <f ca="1">HYPERLINK("https://web.datatree.com/?/property?propertyId=32840998", "https://web.datatree.com/?/property?propertyId=32840998")</f>
        <v>https://web.datatree.com/?/property?propertyId=32840998</v>
      </c>
      <c r="Q2333" t="s">
        <v>316</v>
      </c>
      <c>
        <v>0.395</v>
      </c>
      <c t="s">
        <v>22490</v>
      </c>
      <c t="s">
        <v>63880</v>
      </c>
      <c t="s">
        <v>45794</v>
      </c>
      <c r="X2333" t="s">
        <v>12259</v>
      </c>
      <c t="s">
        <v>15510</v>
      </c>
      <c t="s">
        <v>2517</v>
      </c>
      <c t="s">
        <v>39289</v>
      </c>
      <c>
        <v>33909</v>
      </c>
      <c t="s">
        <v>54661</v>
      </c>
      <c t="s">
        <v>48794</v>
      </c>
      <c t="s">
        <v>31773</v>
      </c>
      <c>
        <v>2992</v>
      </c>
      <c r="AI2333" t="s">
        <v>41213</v>
      </c>
      <c t="s">
        <v>45620</v>
      </c>
      <c r="AL2333" t="s">
        <v>18475</v>
      </c>
      <c t="s">
        <v>18475</v>
      </c>
      <c t="s">
        <v>22275</v>
      </c>
      <c t="s">
        <v>55352</v>
      </c>
      <c t="s">
        <v>21201</v>
      </c>
      <c t="s">
        <v>3093</v>
      </c>
      <c t="s">
        <v>64049</v>
      </c>
    </row>
    <row>
      <c t="s">
        <v>17594</v>
      </c>
      <c t="s">
        <v>5227</v>
      </c>
      <c t="s">
        <v>64692</v>
      </c>
      <c t="s">
        <v>9587</v>
      </c>
      <c t="s">
        <v>32305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2334" s="1" t="str">
        <f ca="1">HYPERLINK("https://web.datatree.com/?/property?propertyId=32841074", "https://web.datatree.com/?/property?propertyId=32841074")</f>
        <v>https://web.datatree.com/?/property?propertyId=32841074</v>
      </c>
      <c r="Q2334" t="s">
        <v>316</v>
      </c>
      <c>
        <v>0.23</v>
      </c>
      <c t="s">
        <v>6175</v>
      </c>
      <c t="s">
        <v>24692</v>
      </c>
      <c t="s">
        <v>56117</v>
      </c>
      <c t="s">
        <v>47656</v>
      </c>
      <c t="s">
        <v>1939</v>
      </c>
      <c t="s">
        <v>55052</v>
      </c>
      <c t="s">
        <v>10653</v>
      </c>
      <c t="s">
        <v>2517</v>
      </c>
      <c t="s">
        <v>39289</v>
      </c>
      <c>
        <v>33909</v>
      </c>
      <c t="s">
        <v>31298</v>
      </c>
      <c t="s">
        <v>48794</v>
      </c>
      <c t="s">
        <v>1269</v>
      </c>
      <c>
        <v>2115</v>
      </c>
      <c r="AI2334" t="s">
        <v>42397</v>
      </c>
      <c t="s">
        <v>40123</v>
      </c>
      <c r="AL2334" t="s">
        <v>26386</v>
      </c>
      <c r="AN2334" t="s">
        <v>65451</v>
      </c>
      <c t="s">
        <v>14547</v>
      </c>
      <c t="s">
        <v>22455</v>
      </c>
      <c t="s">
        <v>3093</v>
      </c>
      <c t="s">
        <v>20226</v>
      </c>
    </row>
    <row>
      <c t="s">
        <v>17594</v>
      </c>
      <c t="s">
        <v>39357</v>
      </c>
      <c t="s">
        <v>39551</v>
      </c>
      <c t="s">
        <v>2739</v>
      </c>
      <c t="s">
        <v>46569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>
        <v>2021</v>
      </c>
      <c>
        <v>532.49</v>
      </c>
      <c s="1" t="str">
        <f ca="1">HYPERLINK("https://web.datatree.com/?/property?propertyId=32841325", "https://web.datatree.com/?/property?propertyId=32841325")</f>
        <v>https://web.datatree.com/?/property?propertyId=32841325</v>
      </c>
      <c r="Q2335" t="s">
        <v>316</v>
      </c>
      <c>
        <v>0.23</v>
      </c>
      <c t="s">
        <v>22490</v>
      </c>
      <c t="s">
        <v>57485</v>
      </c>
      <c t="s">
        <v>43786</v>
      </c>
      <c t="s">
        <v>25363</v>
      </c>
      <c t="s">
        <v>43786</v>
      </c>
      <c t="s">
        <v>44250</v>
      </c>
      <c t="s">
        <v>2626</v>
      </c>
      <c t="s">
        <v>2517</v>
      </c>
      <c t="s">
        <v>39289</v>
      </c>
      <c>
        <v>33909</v>
      </c>
      <c t="s">
        <v>1668</v>
      </c>
      <c t="s">
        <v>48794</v>
      </c>
      <c t="s">
        <v>40384</v>
      </c>
      <c>
        <v>8289</v>
      </c>
      <c r="AH2335" t="s">
        <v>60953</v>
      </c>
      <c t="s">
        <v>45903</v>
      </c>
      <c t="s">
        <v>4985</v>
      </c>
      <c r="AL2335" t="s">
        <v>21604</v>
      </c>
      <c t="s">
        <v>13211</v>
      </c>
      <c t="s">
        <v>50829</v>
      </c>
      <c t="s">
        <v>50785</v>
      </c>
      <c t="s">
        <v>864</v>
      </c>
      <c t="s">
        <v>3093</v>
      </c>
      <c t="s">
        <v>66311</v>
      </c>
    </row>
    <row>
      <c t="s">
        <v>17594</v>
      </c>
      <c t="s">
        <v>2842</v>
      </c>
      <c t="s">
        <v>64421</v>
      </c>
      <c t="s">
        <v>36071</v>
      </c>
      <c t="s">
        <v>65866</v>
      </c>
      <c s="3">
        <v>36210</v>
      </c>
      <c s="3">
        <v>36210</v>
      </c>
      <c s="3">
        <v>9339</v>
      </c>
      <c>
        <v>0</v>
      </c>
      <c s="3">
        <v>0</v>
      </c>
      <c s="3">
        <v>700.95</v>
      </c>
      <c s="3">
        <v>36210</v>
      </c>
      <c r="O2336" s="1" t="str">
        <f ca="1">HYPERLINK("https://web.datatree.com/?/property?propertyId=32841637", "https://web.datatree.com/?/property?propertyId=32841637")</f>
        <v>https://web.datatree.com/?/property?propertyId=32841637</v>
      </c>
      <c r="Q2336" t="s">
        <v>316</v>
      </c>
      <c>
        <v>0.275</v>
      </c>
      <c t="s">
        <v>42044</v>
      </c>
      <c t="s">
        <v>22474</v>
      </c>
      <c t="s">
        <v>31813</v>
      </c>
      <c t="s">
        <v>8031</v>
      </c>
      <c r="X2336" t="s">
        <v>41874</v>
      </c>
      <c t="s">
        <v>8669</v>
      </c>
      <c t="s">
        <v>2517</v>
      </c>
      <c t="s">
        <v>39289</v>
      </c>
      <c>
        <v>33909</v>
      </c>
      <c t="s">
        <v>5156</v>
      </c>
      <c t="s">
        <v>48794</v>
      </c>
      <c t="s">
        <v>27230</v>
      </c>
      <c>
        <v>36</v>
      </c>
      <c r="AI2336" t="s">
        <v>23341</v>
      </c>
      <c r="AL2336" t="s">
        <v>13708</v>
      </c>
      <c r="AN2336" t="s">
        <v>9533</v>
      </c>
      <c t="s">
        <v>17240</v>
      </c>
      <c t="s">
        <v>34162</v>
      </c>
      <c t="s">
        <v>3093</v>
      </c>
      <c t="s">
        <v>37750</v>
      </c>
    </row>
    <row>
      <c t="s">
        <v>17594</v>
      </c>
      <c t="s">
        <v>14590</v>
      </c>
      <c t="s">
        <v>48101</v>
      </c>
      <c t="s">
        <v>62990</v>
      </c>
      <c t="s">
        <v>30950</v>
      </c>
      <c s="3">
        <v>25687</v>
      </c>
      <c s="3">
        <v>25687</v>
      </c>
      <c s="3">
        <v>25687</v>
      </c>
      <c>
        <v>0</v>
      </c>
      <c s="3">
        <v>0</v>
      </c>
      <c s="3">
        <v>726.45</v>
      </c>
      <c s="3">
        <v>25687</v>
      </c>
      <c r="O2337" s="1" t="str">
        <f ca="1">HYPERLINK("https://web.datatree.com/?/property?propertyId=32842149", "https://web.datatree.com/?/property?propertyId=32842149")</f>
        <v>https://web.datatree.com/?/property?propertyId=32842149</v>
      </c>
      <c r="Q2337" t="s">
        <v>316</v>
      </c>
      <c>
        <v>0.281</v>
      </c>
      <c t="s">
        <v>22490</v>
      </c>
      <c t="s">
        <v>65985</v>
      </c>
      <c t="s">
        <v>5567</v>
      </c>
      <c t="s">
        <v>61259</v>
      </c>
      <c t="s">
        <v>5567</v>
      </c>
      <c t="s">
        <v>51564</v>
      </c>
      <c t="s">
        <v>49122</v>
      </c>
      <c t="s">
        <v>2517</v>
      </c>
      <c t="s">
        <v>39289</v>
      </c>
      <c>
        <v>33909</v>
      </c>
      <c t="s">
        <v>56107</v>
      </c>
      <c t="s">
        <v>48794</v>
      </c>
      <c t="s">
        <v>36727</v>
      </c>
      <c>
        <v>476</v>
      </c>
      <c r="AI2337" t="s">
        <v>22424</v>
      </c>
      <c t="s">
        <v>45620</v>
      </c>
      <c r="AL2337" t="s">
        <v>2302</v>
      </c>
      <c r="AN2337" t="s">
        <v>50917</v>
      </c>
      <c t="s">
        <v>54881</v>
      </c>
      <c t="s">
        <v>14695</v>
      </c>
      <c t="s">
        <v>3093</v>
      </c>
      <c t="s">
        <v>26532</v>
      </c>
    </row>
    <row>
      <c t="s">
        <v>17594</v>
      </c>
      <c t="s">
        <v>31910</v>
      </c>
      <c t="s">
        <v>37215</v>
      </c>
      <c t="s">
        <v>64024</v>
      </c>
      <c t="s">
        <v>12775</v>
      </c>
      <c s="3">
        <v>42000</v>
      </c>
      <c s="3">
        <v>42000</v>
      </c>
      <c s="3">
        <v>20543</v>
      </c>
      <c>
        <v>0</v>
      </c>
      <c s="3">
        <v>0</v>
      </c>
      <c s="3">
        <v>856.75</v>
      </c>
      <c s="3">
        <v>42000</v>
      </c>
      <c r="O2338" s="1" t="str">
        <f ca="1">HYPERLINK("https://web.datatree.com/?/property?propertyId=32842179", "https://web.datatree.com/?/property?propertyId=32842179")</f>
        <v>https://web.datatree.com/?/property?propertyId=32842179</v>
      </c>
      <c r="Q2338" t="s">
        <v>316</v>
      </c>
      <c>
        <v>0.23</v>
      </c>
      <c t="s">
        <v>6175</v>
      </c>
      <c t="s">
        <v>16200</v>
      </c>
      <c t="s">
        <v>65553</v>
      </c>
      <c t="s">
        <v>27351</v>
      </c>
      <c t="s">
        <v>27547</v>
      </c>
      <c t="s">
        <v>3791</v>
      </c>
      <c t="s">
        <v>5115</v>
      </c>
      <c t="s">
        <v>2517</v>
      </c>
      <c t="s">
        <v>39289</v>
      </c>
      <c>
        <v>33904</v>
      </c>
      <c t="s">
        <v>51291</v>
      </c>
      <c t="s">
        <v>48794</v>
      </c>
      <c t="s">
        <v>58950</v>
      </c>
      <c>
        <v>3980</v>
      </c>
      <c r="AI2338" t="s">
        <v>46764</v>
      </c>
      <c t="s">
        <v>45620</v>
      </c>
      <c r="AL2338" t="s">
        <v>14810</v>
      </c>
      <c r="AN2338" t="s">
        <v>50917</v>
      </c>
      <c t="s">
        <v>66194</v>
      </c>
      <c t="s">
        <v>52247</v>
      </c>
      <c t="s">
        <v>3093</v>
      </c>
      <c t="s">
        <v>41384</v>
      </c>
    </row>
    <row>
      <c t="s">
        <v>17594</v>
      </c>
      <c t="s">
        <v>46120</v>
      </c>
      <c t="s">
        <v>35397</v>
      </c>
      <c t="s">
        <v>44108</v>
      </c>
      <c t="s">
        <v>29793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2339" s="1" t="str">
        <f ca="1">HYPERLINK("https://web.datatree.com/?/property?propertyId=32842306", "https://web.datatree.com/?/property?propertyId=32842306")</f>
        <v>https://web.datatree.com/?/property?propertyId=32842306</v>
      </c>
      <c r="Q2339" t="s">
        <v>316</v>
      </c>
      <c>
        <v>0.23</v>
      </c>
      <c t="s">
        <v>22490</v>
      </c>
      <c t="s">
        <v>61481</v>
      </c>
      <c t="s">
        <v>24727</v>
      </c>
      <c r="X2339" t="s">
        <v>60537</v>
      </c>
      <c t="s">
        <v>2626</v>
      </c>
      <c t="s">
        <v>2517</v>
      </c>
      <c t="s">
        <v>39289</v>
      </c>
      <c>
        <v>33909</v>
      </c>
      <c t="s">
        <v>42247</v>
      </c>
      <c t="s">
        <v>48794</v>
      </c>
      <c t="s">
        <v>47662</v>
      </c>
      <c>
        <v>18</v>
      </c>
      <c r="AI2339" t="s">
        <v>44828</v>
      </c>
      <c t="s">
        <v>24900</v>
      </c>
      <c r="AL2339" t="s">
        <v>16321</v>
      </c>
      <c r="AN2339" t="s">
        <v>64022</v>
      </c>
      <c t="s">
        <v>23519</v>
      </c>
      <c t="s">
        <v>19978</v>
      </c>
      <c t="s">
        <v>3093</v>
      </c>
      <c t="s">
        <v>46511</v>
      </c>
    </row>
    <row>
      <c t="s">
        <v>17594</v>
      </c>
      <c t="s">
        <v>24300</v>
      </c>
      <c t="s">
        <v>30631</v>
      </c>
      <c t="s">
        <v>21477</v>
      </c>
      <c t="s">
        <v>56651</v>
      </c>
      <c s="3">
        <v>7500</v>
      </c>
      <c s="3">
        <v>7500</v>
      </c>
      <c s="3">
        <v>7500</v>
      </c>
      <c>
        <v>0</v>
      </c>
      <c s="3">
        <v>0</v>
      </c>
      <c s="3">
        <v>645.41</v>
      </c>
      <c s="3">
        <v>7500</v>
      </c>
      <c r="O2340" s="1" t="str">
        <f ca="1">HYPERLINK("https://web.datatree.com/?/property?propertyId=32842403", "https://web.datatree.com/?/property?propertyId=32842403")</f>
        <v>https://web.datatree.com/?/property?propertyId=32842403</v>
      </c>
      <c r="Q2340" t="s">
        <v>316</v>
      </c>
      <c>
        <v>0.255</v>
      </c>
      <c t="s">
        <v>42044</v>
      </c>
      <c t="s">
        <v>27974</v>
      </c>
      <c t="s">
        <v>36591</v>
      </c>
      <c r="X2340" t="s">
        <v>45514</v>
      </c>
      <c t="s">
        <v>61865</v>
      </c>
      <c t="s">
        <v>2517</v>
      </c>
      <c t="s">
        <v>39289</v>
      </c>
      <c>
        <v>33909</v>
      </c>
      <c t="s">
        <v>8520</v>
      </c>
      <c t="s">
        <v>48794</v>
      </c>
      <c t="s">
        <v>63637</v>
      </c>
      <c>
        <v>9104</v>
      </c>
      <c r="AI2340" t="s">
        <v>60251</v>
      </c>
      <c t="s">
        <v>835</v>
      </c>
      <c r="AL2340" t="s">
        <v>36970</v>
      </c>
      <c r="AN2340" t="s">
        <v>39289</v>
      </c>
      <c t="s">
        <v>44929</v>
      </c>
      <c t="s">
        <v>34342</v>
      </c>
      <c t="s">
        <v>3093</v>
      </c>
      <c t="s">
        <v>12747</v>
      </c>
    </row>
    <row>
      <c t="s">
        <v>17594</v>
      </c>
      <c t="s">
        <v>38096</v>
      </c>
      <c t="s">
        <v>57198</v>
      </c>
      <c t="s">
        <v>40533</v>
      </c>
      <c t="s">
        <v>62532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2341" s="1" t="str">
        <f ca="1">HYPERLINK("https://web.datatree.com/?/property?propertyId=32842800", "https://web.datatree.com/?/property?propertyId=32842800")</f>
        <v>https://web.datatree.com/?/property?propertyId=32842800</v>
      </c>
      <c r="Q2341" t="s">
        <v>316</v>
      </c>
      <c>
        <v>0.23</v>
      </c>
      <c t="s">
        <v>22490</v>
      </c>
      <c t="s">
        <v>47977</v>
      </c>
      <c t="s">
        <v>64271</v>
      </c>
      <c r="X2341" t="s">
        <v>38531</v>
      </c>
      <c t="s">
        <v>49674</v>
      </c>
      <c t="s">
        <v>2517</v>
      </c>
      <c t="s">
        <v>39289</v>
      </c>
      <c>
        <v>33909</v>
      </c>
      <c t="s">
        <v>32532</v>
      </c>
      <c t="s">
        <v>48794</v>
      </c>
      <c t="s">
        <v>59988</v>
      </c>
      <c>
        <v>1413</v>
      </c>
      <c r="AI2341" t="s">
        <v>22327</v>
      </c>
      <c t="s">
        <v>45620</v>
      </c>
      <c r="AL2341" t="s">
        <v>23149</v>
      </c>
      <c r="AN2341" t="s">
        <v>22275</v>
      </c>
      <c t="s">
        <v>60814</v>
      </c>
      <c t="s">
        <v>35354</v>
      </c>
      <c t="s">
        <v>3093</v>
      </c>
      <c t="s">
        <v>20655</v>
      </c>
    </row>
    <row>
      <c t="s">
        <v>17594</v>
      </c>
      <c t="s">
        <v>59786</v>
      </c>
      <c t="s">
        <v>64824</v>
      </c>
      <c t="s">
        <v>18428</v>
      </c>
      <c t="s">
        <v>64486</v>
      </c>
      <c s="3">
        <v>24450</v>
      </c>
      <c s="3">
        <v>24450</v>
      </c>
      <c s="3">
        <v>24450</v>
      </c>
      <c>
        <v>0</v>
      </c>
      <c s="3">
        <v>0</v>
      </c>
      <c s="3">
        <v>679.9</v>
      </c>
      <c s="3">
        <v>24450</v>
      </c>
      <c r="O2342" s="1" t="str">
        <f ca="1">HYPERLINK("https://web.datatree.com/?/property?propertyId=32842878", "https://web.datatree.com/?/property?propertyId=32842878")</f>
        <v>https://web.datatree.com/?/property?propertyId=32842878</v>
      </c>
      <c r="Q2342" t="s">
        <v>316</v>
      </c>
      <c>
        <v>0.23</v>
      </c>
      <c t="s">
        <v>22490</v>
      </c>
      <c t="s">
        <v>552</v>
      </c>
      <c t="s">
        <v>47634</v>
      </c>
      <c r="X2342" t="s">
        <v>58620</v>
      </c>
      <c t="s">
        <v>25017</v>
      </c>
      <c t="s">
        <v>2517</v>
      </c>
      <c t="s">
        <v>39289</v>
      </c>
      <c>
        <v>33909</v>
      </c>
      <c t="s">
        <v>32510</v>
      </c>
      <c t="s">
        <v>48794</v>
      </c>
      <c t="s">
        <v>40705</v>
      </c>
      <c>
        <v>13996</v>
      </c>
      <c r="AI2342" t="s">
        <v>11500</v>
      </c>
      <c t="s">
        <v>40123</v>
      </c>
      <c r="AL2342" t="s">
        <v>2107</v>
      </c>
      <c t="s">
        <v>2107</v>
      </c>
      <c t="s">
        <v>51087</v>
      </c>
      <c t="s">
        <v>36895</v>
      </c>
      <c t="s">
        <v>53476</v>
      </c>
      <c t="s">
        <v>3093</v>
      </c>
      <c t="s">
        <v>35772</v>
      </c>
    </row>
    <row>
      <c t="s">
        <v>42103</v>
      </c>
      <c t="s">
        <v>61065</v>
      </c>
      <c t="s">
        <v>32277</v>
      </c>
      <c t="s">
        <v>55007</v>
      </c>
      <c t="s">
        <v>51883</v>
      </c>
      <c s="3">
        <v>20579</v>
      </c>
      <c s="3">
        <v>20579</v>
      </c>
      <c s="3">
        <v>9599</v>
      </c>
      <c>
        <v>0</v>
      </c>
      <c s="3">
        <v>0</v>
      </c>
      <c s="3">
        <v>696.63</v>
      </c>
      <c s="3">
        <v>20579</v>
      </c>
      <c r="O2343" s="1" t="str">
        <f ca="1">HYPERLINK("https://web.datatree.com/?/property?propertyId=32843053", "https://web.datatree.com/?/property?propertyId=32843053")</f>
        <v>https://web.datatree.com/?/property?propertyId=32843053</v>
      </c>
      <c r="Q2343" t="s">
        <v>316</v>
      </c>
      <c>
        <v>0.344</v>
      </c>
      <c t="s">
        <v>6175</v>
      </c>
      <c t="s">
        <v>44457</v>
      </c>
      <c t="s">
        <v>9640</v>
      </c>
      <c r="X2343" t="s">
        <v>15559</v>
      </c>
      <c t="s">
        <v>34731</v>
      </c>
      <c t="s">
        <v>2517</v>
      </c>
      <c t="s">
        <v>39289</v>
      </c>
      <c>
        <v>33909</v>
      </c>
      <c t="s">
        <v>54520</v>
      </c>
      <c t="s">
        <v>48794</v>
      </c>
      <c t="s">
        <v>28561</v>
      </c>
      <c r="AI2343" t="s">
        <v>12271</v>
      </c>
      <c r="AL2343" t="s">
        <v>29515</v>
      </c>
      <c r="AN2343" t="s">
        <v>39289</v>
      </c>
      <c t="s">
        <v>11999</v>
      </c>
      <c t="s">
        <v>53446</v>
      </c>
      <c t="s">
        <v>3093</v>
      </c>
      <c t="s">
        <v>44067</v>
      </c>
    </row>
    <row>
      <c t="s">
        <v>17594</v>
      </c>
      <c t="s">
        <v>38555</v>
      </c>
      <c t="s">
        <v>12454</v>
      </c>
      <c t="s">
        <v>1271</v>
      </c>
      <c t="s">
        <v>64026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2021</v>
      </c>
      <c>
        <v>348.45</v>
      </c>
      <c s="1" t="str">
        <f ca="1">HYPERLINK("https://web.datatree.com/?/property?propertyId=32843405", "https://web.datatree.com/?/property?propertyId=32843405")</f>
        <v>https://web.datatree.com/?/property?propertyId=32843405</v>
      </c>
      <c r="Q2344" t="s">
        <v>316</v>
      </c>
      <c>
        <v>0.239</v>
      </c>
      <c t="s">
        <v>5471</v>
      </c>
      <c r="U2344" t="s">
        <v>47382</v>
      </c>
      <c t="s">
        <v>50865</v>
      </c>
      <c t="s">
        <v>44606</v>
      </c>
      <c t="s">
        <v>28306</v>
      </c>
      <c t="s">
        <v>58047</v>
      </c>
      <c t="s">
        <v>65059</v>
      </c>
      <c t="s">
        <v>39289</v>
      </c>
      <c>
        <v>33905</v>
      </c>
      <c t="s">
        <v>31432</v>
      </c>
      <c t="s">
        <v>48794</v>
      </c>
      <c t="s">
        <v>29236</v>
      </c>
      <c>
        <v>3917</v>
      </c>
      <c r="AI2344" t="s">
        <v>43951</v>
      </c>
      <c t="s">
        <v>45620</v>
      </c>
      <c r="AL2344" t="s">
        <v>10351</v>
      </c>
      <c t="s">
        <v>10351</v>
      </c>
      <c t="s">
        <v>10804</v>
      </c>
      <c t="s">
        <v>29030</v>
      </c>
      <c t="s">
        <v>13315</v>
      </c>
      <c t="s">
        <v>3093</v>
      </c>
      <c t="s">
        <v>31764</v>
      </c>
    </row>
    <row>
      <c t="s">
        <v>17594</v>
      </c>
      <c t="s">
        <v>28598</v>
      </c>
      <c t="s">
        <v>43524</v>
      </c>
      <c t="s">
        <v>48093</v>
      </c>
      <c t="s">
        <v>7018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345" s="1" t="str">
        <f ca="1">HYPERLINK("https://web.datatree.com/?/property?propertyId=32843783", "https://web.datatree.com/?/property?propertyId=32843783")</f>
        <v>https://web.datatree.com/?/property?propertyId=32843783</v>
      </c>
      <c r="Q2345" t="s">
        <v>316</v>
      </c>
      <c>
        <v>0.23</v>
      </c>
      <c t="s">
        <v>22490</v>
      </c>
      <c t="s">
        <v>6645</v>
      </c>
      <c t="s">
        <v>36521</v>
      </c>
      <c t="s">
        <v>16200</v>
      </c>
      <c t="s">
        <v>36521</v>
      </c>
      <c t="s">
        <v>51217</v>
      </c>
      <c t="s">
        <v>10653</v>
      </c>
      <c t="s">
        <v>2517</v>
      </c>
      <c t="s">
        <v>39289</v>
      </c>
      <c>
        <v>33909</v>
      </c>
      <c t="s">
        <v>55553</v>
      </c>
      <c t="s">
        <v>48794</v>
      </c>
      <c t="s">
        <v>14087</v>
      </c>
      <c>
        <v>287</v>
      </c>
      <c r="AI2345" t="s">
        <v>11516</v>
      </c>
      <c r="AL2345" t="s">
        <v>65095</v>
      </c>
      <c r="AN2345" t="s">
        <v>32840</v>
      </c>
      <c r="AR2345" t="s">
        <v>56181</v>
      </c>
    </row>
    <row>
      <c t="s">
        <v>17594</v>
      </c>
      <c t="s">
        <v>559</v>
      </c>
      <c t="s">
        <v>31290</v>
      </c>
      <c t="s">
        <v>54887</v>
      </c>
      <c t="s">
        <v>28638</v>
      </c>
      <c s="3">
        <v>7888</v>
      </c>
      <c s="3">
        <v>7888</v>
      </c>
      <c s="3">
        <v>4972</v>
      </c>
      <c>
        <v>0</v>
      </c>
      <c s="3">
        <v>0</v>
      </c>
      <c s="3">
        <v>316.66</v>
      </c>
      <c s="3">
        <v>7888</v>
      </c>
      <c r="O2346" s="1" t="str">
        <f ca="1">HYPERLINK("https://web.datatree.com/?/property?propertyId=32843913", "https://web.datatree.com/?/property?propertyId=32843913")</f>
        <v>https://web.datatree.com/?/property?propertyId=32843913</v>
      </c>
      <c r="Q2346" t="s">
        <v>316</v>
      </c>
      <c>
        <v>0.244</v>
      </c>
      <c t="s">
        <v>5471</v>
      </c>
      <c t="s">
        <v>34140</v>
      </c>
      <c t="s">
        <v>22947</v>
      </c>
      <c r="X2346" t="s">
        <v>22907</v>
      </c>
      <c t="s">
        <v>54532</v>
      </c>
      <c t="s">
        <v>65059</v>
      </c>
      <c t="s">
        <v>39289</v>
      </c>
      <c>
        <v>33905</v>
      </c>
      <c t="s">
        <v>26993</v>
      </c>
      <c t="s">
        <v>48794</v>
      </c>
      <c t="s">
        <v>14243</v>
      </c>
      <c>
        <v>14215</v>
      </c>
      <c r="AI2346" t="s">
        <v>55130</v>
      </c>
      <c t="s">
        <v>24900</v>
      </c>
      <c t="s">
        <v>17013</v>
      </c>
      <c t="s">
        <v>53411</v>
      </c>
      <c r="AN2346" t="s">
        <v>50917</v>
      </c>
      <c t="s">
        <v>27261</v>
      </c>
      <c t="s">
        <v>4797</v>
      </c>
      <c t="s">
        <v>3093</v>
      </c>
      <c t="s">
        <v>28749</v>
      </c>
    </row>
    <row>
      <c t="s">
        <v>17594</v>
      </c>
      <c t="s">
        <v>27408</v>
      </c>
      <c t="s">
        <v>2336</v>
      </c>
      <c t="s">
        <v>46893</v>
      </c>
      <c t="s">
        <v>9227</v>
      </c>
      <c s="3">
        <v>201292</v>
      </c>
      <c s="3">
        <v>201292</v>
      </c>
      <c s="3">
        <v>172278</v>
      </c>
      <c>
        <v>0</v>
      </c>
      <c s="3">
        <v>0</v>
      </c>
      <c s="3">
        <v>3295.93</v>
      </c>
      <c s="3">
        <v>201292</v>
      </c>
      <c r="O2347" s="1" t="str">
        <f ca="1">HYPERLINK("https://web.datatree.com/?/property?propertyId=32845247", "https://web.datatree.com/?/property?propertyId=32845247")</f>
        <v>https://web.datatree.com/?/property?propertyId=32845247</v>
      </c>
      <c r="Q2347" t="s">
        <v>316</v>
      </c>
      <c>
        <v>0.23</v>
      </c>
      <c t="s">
        <v>22490</v>
      </c>
      <c t="s">
        <v>65395</v>
      </c>
      <c t="s">
        <v>6549</v>
      </c>
      <c r="X2347" t="s">
        <v>33941</v>
      </c>
      <c t="s">
        <v>22731</v>
      </c>
      <c t="s">
        <v>2517</v>
      </c>
      <c t="s">
        <v>39289</v>
      </c>
      <c>
        <v>33904</v>
      </c>
      <c>
        <v>33904</v>
      </c>
      <c t="s">
        <v>48794</v>
      </c>
      <c t="s">
        <v>31863</v>
      </c>
      <c>
        <v>36</v>
      </c>
      <c r="AI2347" t="s">
        <v>32146</v>
      </c>
      <c t="s">
        <v>45393</v>
      </c>
      <c r="AL2347" t="s">
        <v>4391</v>
      </c>
      <c t="s">
        <v>4391</v>
      </c>
      <c t="s">
        <v>32657</v>
      </c>
      <c>
        <v>37077</v>
      </c>
      <c r="AR2347" t="s">
        <v>60023</v>
      </c>
    </row>
    <row>
      <c t="s">
        <v>17594</v>
      </c>
      <c t="s">
        <v>26149</v>
      </c>
      <c t="s">
        <v>25008</v>
      </c>
      <c t="s">
        <v>19195</v>
      </c>
      <c t="s">
        <v>41577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2348" s="1" t="str">
        <f ca="1">HYPERLINK("https://web.datatree.com/?/property?propertyId=32845788", "https://web.datatree.com/?/property?propertyId=32845788")</f>
        <v>https://web.datatree.com/?/property?propertyId=32845788</v>
      </c>
      <c r="Q2348" t="s">
        <v>316</v>
      </c>
      <c>
        <v>0.23</v>
      </c>
      <c t="s">
        <v>54449</v>
      </c>
      <c t="s">
        <v>24864</v>
      </c>
      <c t="s">
        <v>29892</v>
      </c>
      <c r="X2348" t="s">
        <v>49926</v>
      </c>
      <c t="s">
        <v>39777</v>
      </c>
      <c t="s">
        <v>2517</v>
      </c>
      <c t="s">
        <v>39289</v>
      </c>
      <c>
        <v>33909</v>
      </c>
      <c t="s">
        <v>30283</v>
      </c>
      <c t="s">
        <v>48794</v>
      </c>
      <c t="s">
        <v>40039</v>
      </c>
      <c>
        <v>6399</v>
      </c>
      <c r="AI2348" t="s">
        <v>28838</v>
      </c>
      <c r="AL2348" t="s">
        <v>7715</v>
      </c>
      <c t="s">
        <v>7715</v>
      </c>
      <c t="s">
        <v>9533</v>
      </c>
      <c t="s">
        <v>50042</v>
      </c>
      <c t="s">
        <v>65529</v>
      </c>
      <c t="s">
        <v>3093</v>
      </c>
      <c t="s">
        <v>44315</v>
      </c>
    </row>
    <row>
      <c t="s">
        <v>17594</v>
      </c>
      <c t="s">
        <v>18779</v>
      </c>
      <c t="s">
        <v>53393</v>
      </c>
      <c t="s">
        <v>43518</v>
      </c>
      <c t="s">
        <v>50132</v>
      </c>
      <c s="3">
        <v>8866</v>
      </c>
      <c s="3">
        <v>8866</v>
      </c>
      <c s="3">
        <v>4972</v>
      </c>
      <c>
        <v>0</v>
      </c>
      <c s="3">
        <v>0</v>
      </c>
      <c s="3">
        <v>323.16</v>
      </c>
      <c s="3">
        <v>8866</v>
      </c>
      <c r="O2349" s="1" t="str">
        <f ca="1">HYPERLINK("https://web.datatree.com/?/property?propertyId=32846112", "https://web.datatree.com/?/property?propertyId=32846112")</f>
        <v>https://web.datatree.com/?/property?propertyId=32846112</v>
      </c>
      <c r="Q2349" t="s">
        <v>316</v>
      </c>
      <c>
        <v>0.287</v>
      </c>
      <c t="s">
        <v>37489</v>
      </c>
      <c t="s">
        <v>21053</v>
      </c>
      <c t="s">
        <v>65038</v>
      </c>
      <c r="X2349" t="s">
        <v>66363</v>
      </c>
      <c t="s">
        <v>10854</v>
      </c>
      <c t="s">
        <v>65059</v>
      </c>
      <c t="s">
        <v>39289</v>
      </c>
      <c>
        <v>33905</v>
      </c>
      <c>
        <v>33905</v>
      </c>
      <c t="s">
        <v>48794</v>
      </c>
      <c t="s">
        <v>43776</v>
      </c>
      <c>
        <v>106</v>
      </c>
      <c r="AI2349" t="s">
        <v>16882</v>
      </c>
      <c r="AL2349" t="s">
        <v>39413</v>
      </c>
      <c t="s">
        <v>40227</v>
      </c>
      <c t="s">
        <v>22478</v>
      </c>
      <c r="AR2349" t="s">
        <v>53992</v>
      </c>
    </row>
    <row>
      <c t="s">
        <v>17594</v>
      </c>
      <c t="s">
        <v>34086</v>
      </c>
      <c t="s">
        <v>49600</v>
      </c>
      <c t="s">
        <v>38152</v>
      </c>
      <c t="s">
        <v>30172</v>
      </c>
      <c s="3">
        <v>52640</v>
      </c>
      <c s="3">
        <v>52640</v>
      </c>
      <c s="3">
        <v>12100</v>
      </c>
      <c>
        <v>0</v>
      </c>
      <c s="3">
        <v>0</v>
      </c>
      <c s="3">
        <v>790.85</v>
      </c>
      <c s="3">
        <v>52640</v>
      </c>
      <c r="O2350" s="1" t="str">
        <f ca="1">HYPERLINK("https://web.datatree.com/?/property?propertyId=32846123", "https://web.datatree.com/?/property?propertyId=32846123")</f>
        <v>https://web.datatree.com/?/property?propertyId=32846123</v>
      </c>
      <c r="Q2350" t="s">
        <v>316</v>
      </c>
      <c>
        <v>0.23</v>
      </c>
      <c t="s">
        <v>22490</v>
      </c>
      <c t="s">
        <v>31950</v>
      </c>
      <c t="s">
        <v>39361</v>
      </c>
      <c t="s">
        <v>30291</v>
      </c>
      <c t="s">
        <v>27508</v>
      </c>
      <c t="s">
        <v>28563</v>
      </c>
      <c t="s">
        <v>49122</v>
      </c>
      <c t="s">
        <v>2517</v>
      </c>
      <c t="s">
        <v>39289</v>
      </c>
      <c>
        <v>33909</v>
      </c>
      <c t="s">
        <v>62323</v>
      </c>
      <c t="s">
        <v>48794</v>
      </c>
      <c t="s">
        <v>24239</v>
      </c>
      <c>
        <v>857</v>
      </c>
      <c r="AI2350" t="s">
        <v>65857</v>
      </c>
      <c t="s">
        <v>40123</v>
      </c>
      <c r="AL2350" t="s">
        <v>64280</v>
      </c>
      <c t="s">
        <v>64280</v>
      </c>
      <c t="s">
        <v>26016</v>
      </c>
      <c t="s">
        <v>27129</v>
      </c>
      <c t="s">
        <v>66620</v>
      </c>
      <c t="s">
        <v>3093</v>
      </c>
      <c t="s">
        <v>41708</v>
      </c>
    </row>
    <row>
      <c t="s">
        <v>17594</v>
      </c>
      <c t="s">
        <v>5916</v>
      </c>
      <c t="s">
        <v>5406</v>
      </c>
      <c t="s">
        <v>14312</v>
      </c>
      <c t="s">
        <v>22896</v>
      </c>
      <c s="3">
        <v>10015</v>
      </c>
      <c s="3">
        <v>10015</v>
      </c>
      <c s="3">
        <v>4972</v>
      </c>
      <c>
        <v>0</v>
      </c>
      <c s="3">
        <v>0</v>
      </c>
      <c s="3">
        <v>324.47</v>
      </c>
      <c s="3">
        <v>10015</v>
      </c>
      <c>
        <v>2021</v>
      </c>
      <c>
        <v>319.64</v>
      </c>
      <c s="1" t="str">
        <f ca="1">HYPERLINK("https://web.datatree.com/?/property?propertyId=32846373", "https://web.datatree.com/?/property?propertyId=32846373")</f>
        <v>https://web.datatree.com/?/property?propertyId=32846373</v>
      </c>
      <c r="Q2351" t="s">
        <v>316</v>
      </c>
      <c>
        <v>0.297</v>
      </c>
      <c t="s">
        <v>5471</v>
      </c>
      <c t="s">
        <v>13491</v>
      </c>
      <c t="s">
        <v>40102</v>
      </c>
      <c r="X2351" t="s">
        <v>24215</v>
      </c>
      <c t="s">
        <v>52508</v>
      </c>
      <c t="s">
        <v>65059</v>
      </c>
      <c t="s">
        <v>39289</v>
      </c>
      <c>
        <v>33905</v>
      </c>
      <c t="s">
        <v>50827</v>
      </c>
      <c t="s">
        <v>48794</v>
      </c>
      <c t="s">
        <v>34727</v>
      </c>
      <c>
        <v>203</v>
      </c>
      <c r="AI2351" t="s">
        <v>26884</v>
      </c>
      <c t="s">
        <v>31192</v>
      </c>
      <c r="AL2351" t="s">
        <v>31207</v>
      </c>
      <c t="s">
        <v>31207</v>
      </c>
      <c t="s">
        <v>18236</v>
      </c>
      <c t="s">
        <v>40720</v>
      </c>
      <c t="s">
        <v>34171</v>
      </c>
      <c t="s">
        <v>3093</v>
      </c>
      <c t="s">
        <v>53892</v>
      </c>
    </row>
    <row>
      <c t="s">
        <v>17594</v>
      </c>
      <c t="s">
        <v>24559</v>
      </c>
      <c t="s">
        <v>34092</v>
      </c>
      <c t="s">
        <v>11191</v>
      </c>
      <c t="s">
        <v>27722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2352" s="1" t="str">
        <f ca="1">HYPERLINK("https://web.datatree.com/?/property?propertyId=32846396", "https://web.datatree.com/?/property?propertyId=32846396")</f>
        <v>https://web.datatree.com/?/property?propertyId=32846396</v>
      </c>
      <c r="Q2352" t="s">
        <v>316</v>
      </c>
      <c>
        <v>0.23</v>
      </c>
      <c t="s">
        <v>6175</v>
      </c>
      <c t="s">
        <v>21668</v>
      </c>
      <c t="s">
        <v>22154</v>
      </c>
      <c r="X2352" t="s">
        <v>26814</v>
      </c>
      <c t="s">
        <v>61865</v>
      </c>
      <c t="s">
        <v>2517</v>
      </c>
      <c t="s">
        <v>39289</v>
      </c>
      <c>
        <v>33909</v>
      </c>
      <c t="s">
        <v>30176</v>
      </c>
      <c t="s">
        <v>48794</v>
      </c>
      <c t="s">
        <v>41292</v>
      </c>
      <c>
        <v>336</v>
      </c>
      <c r="AI2352" t="s">
        <v>30522</v>
      </c>
      <c t="s">
        <v>45620</v>
      </c>
      <c r="AL2352" t="s">
        <v>29985</v>
      </c>
      <c r="AN2352" t="s">
        <v>39289</v>
      </c>
      <c t="s">
        <v>27625</v>
      </c>
      <c t="s">
        <v>12241</v>
      </c>
      <c t="s">
        <v>3093</v>
      </c>
      <c t="s">
        <v>59665</v>
      </c>
    </row>
    <row>
      <c t="s">
        <v>17594</v>
      </c>
      <c t="s">
        <v>37727</v>
      </c>
      <c t="s">
        <v>27082</v>
      </c>
      <c t="s">
        <v>35699</v>
      </c>
      <c t="s">
        <v>45965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2353" s="1" t="str">
        <f ca="1">HYPERLINK("https://web.datatree.com/?/property?propertyId=32846528", "https://web.datatree.com/?/property?propertyId=32846528")</f>
        <v>https://web.datatree.com/?/property?propertyId=32846528</v>
      </c>
      <c r="Q2353" t="s">
        <v>316</v>
      </c>
      <c>
        <v>0.23</v>
      </c>
      <c t="s">
        <v>6175</v>
      </c>
      <c t="s">
        <v>58380</v>
      </c>
      <c t="s">
        <v>20604</v>
      </c>
      <c r="X2353" t="s">
        <v>44023</v>
      </c>
      <c t="s">
        <v>34731</v>
      </c>
      <c t="s">
        <v>2517</v>
      </c>
      <c t="s">
        <v>39289</v>
      </c>
      <c>
        <v>33909</v>
      </c>
      <c t="s">
        <v>50711</v>
      </c>
      <c t="s">
        <v>48794</v>
      </c>
      <c t="s">
        <v>30387</v>
      </c>
      <c>
        <v>4317</v>
      </c>
      <c r="AI2353" t="s">
        <v>61472</v>
      </c>
      <c t="s">
        <v>24900</v>
      </c>
      <c>
        <v>1</v>
      </c>
      <c t="s">
        <v>6144</v>
      </c>
      <c r="AN2353" t="s">
        <v>50917</v>
      </c>
      <c t="s">
        <v>41524</v>
      </c>
      <c t="s">
        <v>19978</v>
      </c>
      <c t="s">
        <v>3093</v>
      </c>
      <c t="s">
        <v>51362</v>
      </c>
    </row>
    <row>
      <c t="s">
        <v>17594</v>
      </c>
      <c t="s">
        <v>47882</v>
      </c>
      <c t="s">
        <v>62874</v>
      </c>
      <c t="s">
        <v>39874</v>
      </c>
      <c t="s">
        <v>57857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354" s="1" t="str">
        <f ca="1">HYPERLINK("https://web.datatree.com/?/property?propertyId=32847475", "https://web.datatree.com/?/property?propertyId=32847475")</f>
        <v>https://web.datatree.com/?/property?propertyId=32847475</v>
      </c>
      <c r="Q2354" t="s">
        <v>316</v>
      </c>
      <c>
        <v>0.23</v>
      </c>
      <c t="s">
        <v>22490</v>
      </c>
      <c t="s">
        <v>38361</v>
      </c>
      <c t="s">
        <v>45794</v>
      </c>
      <c r="X2354" t="s">
        <v>66433</v>
      </c>
      <c t="s">
        <v>47150</v>
      </c>
      <c t="s">
        <v>2517</v>
      </c>
      <c t="s">
        <v>39289</v>
      </c>
      <c>
        <v>33909</v>
      </c>
      <c t="s">
        <v>23670</v>
      </c>
      <c t="s">
        <v>48794</v>
      </c>
      <c t="s">
        <v>42520</v>
      </c>
      <c>
        <v>8302</v>
      </c>
      <c r="AI2354" t="s">
        <v>55393</v>
      </c>
      <c t="s">
        <v>1671</v>
      </c>
      <c r="AL2354" t="s">
        <v>59143</v>
      </c>
      <c t="s">
        <v>59143</v>
      </c>
      <c t="s">
        <v>65451</v>
      </c>
      <c t="s">
        <v>8797</v>
      </c>
      <c t="s">
        <v>1951</v>
      </c>
      <c t="s">
        <v>3093</v>
      </c>
      <c t="s">
        <v>44026</v>
      </c>
    </row>
    <row>
      <c t="s">
        <v>42103</v>
      </c>
      <c t="s">
        <v>6164</v>
      </c>
      <c t="s">
        <v>10633</v>
      </c>
      <c t="s">
        <v>38892</v>
      </c>
      <c t="s">
        <v>32856</v>
      </c>
      <c s="3">
        <v>70982</v>
      </c>
      <c s="3">
        <v>63500</v>
      </c>
      <c s="3">
        <v>70982</v>
      </c>
      <c>
        <v>0</v>
      </c>
      <c s="3">
        <v>0</v>
      </c>
      <c s="3">
        <v>1067.62</v>
      </c>
      <c s="3">
        <v>70982</v>
      </c>
      <c r="O2355" s="1" t="str">
        <f ca="1">HYPERLINK("https://web.datatree.com/?/property?propertyId=32848634", "https://web.datatree.com/?/property?propertyId=32848634")</f>
        <v>https://web.datatree.com/?/property?propertyId=32848634</v>
      </c>
      <c r="Q2355" t="s">
        <v>316</v>
      </c>
      <c>
        <v>0.095</v>
      </c>
      <c t="s">
        <v>26492</v>
      </c>
      <c t="s">
        <v>24692</v>
      </c>
      <c t="s">
        <v>26456</v>
      </c>
      <c t="s">
        <v>5011</v>
      </c>
      <c t="s">
        <v>26456</v>
      </c>
      <c t="s">
        <v>32230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33480</v>
      </c>
      <c r="AI2355" t="s">
        <v>28435</v>
      </c>
      <c r="AL2355" t="s">
        <v>20144</v>
      </c>
      <c t="s">
        <v>20144</v>
      </c>
      <c t="s">
        <v>49572</v>
      </c>
      <c>
        <v>46750</v>
      </c>
      <c t="s">
        <v>39363</v>
      </c>
      <c t="s">
        <v>3093</v>
      </c>
      <c t="s">
        <v>53137</v>
      </c>
    </row>
    <row>
      <c t="s">
        <v>17594</v>
      </c>
      <c t="s">
        <v>7245</v>
      </c>
      <c t="s">
        <v>18398</v>
      </c>
      <c t="s">
        <v>14389</v>
      </c>
      <c t="s">
        <v>31376</v>
      </c>
      <c s="3">
        <v>8700</v>
      </c>
      <c s="3">
        <v>8700</v>
      </c>
      <c s="3">
        <v>8700</v>
      </c>
      <c>
        <v>0</v>
      </c>
      <c s="3">
        <v>0</v>
      </c>
      <c s="3">
        <v>624.38</v>
      </c>
      <c s="3">
        <v>8700</v>
      </c>
      <c r="O2356" s="1" t="str">
        <f ca="1">HYPERLINK("https://web.datatree.com/?/property?propertyId=32849103", "https://web.datatree.com/?/property?propertyId=32849103")</f>
        <v>https://web.datatree.com/?/property?propertyId=32849103</v>
      </c>
      <c r="Q2356" t="s">
        <v>316</v>
      </c>
      <c>
        <v>0.281</v>
      </c>
      <c t="s">
        <v>6175</v>
      </c>
      <c t="s">
        <v>22130</v>
      </c>
      <c t="s">
        <v>47240</v>
      </c>
      <c t="s">
        <v>59767</v>
      </c>
      <c t="s">
        <v>23529</v>
      </c>
      <c t="s">
        <v>29797</v>
      </c>
      <c t="s">
        <v>53663</v>
      </c>
      <c t="s">
        <v>2517</v>
      </c>
      <c t="s">
        <v>39289</v>
      </c>
      <c>
        <v>33909</v>
      </c>
      <c t="s">
        <v>47483</v>
      </c>
      <c t="s">
        <v>48794</v>
      </c>
      <c t="s">
        <v>9254</v>
      </c>
      <c>
        <v>1791</v>
      </c>
      <c r="AI2356" t="s">
        <v>55321</v>
      </c>
      <c t="s">
        <v>45393</v>
      </c>
      <c r="AL2356" t="s">
        <v>23695</v>
      </c>
      <c r="AN2356" t="s">
        <v>39289</v>
      </c>
      <c t="s">
        <v>16438</v>
      </c>
      <c t="s">
        <v>49977</v>
      </c>
      <c t="s">
        <v>3093</v>
      </c>
      <c t="s">
        <v>66348</v>
      </c>
    </row>
    <row>
      <c t="s">
        <v>17594</v>
      </c>
      <c t="s">
        <v>4460</v>
      </c>
      <c t="s">
        <v>53154</v>
      </c>
      <c t="s">
        <v>13477</v>
      </c>
      <c t="s">
        <v>7770</v>
      </c>
      <c s="3">
        <v>92552</v>
      </c>
      <c s="3">
        <v>90733</v>
      </c>
      <c s="3">
        <v>88392</v>
      </c>
      <c>
        <v>0</v>
      </c>
      <c s="3">
        <v>0</v>
      </c>
      <c s="3">
        <v>1351.39</v>
      </c>
      <c s="3">
        <v>92552</v>
      </c>
      <c r="O2357" s="1" t="str">
        <f ca="1">HYPERLINK("https://web.datatree.com/?/property?propertyId=32849288", "https://web.datatree.com/?/property?propertyId=32849288")</f>
        <v>https://web.datatree.com/?/property?propertyId=32849288</v>
      </c>
      <c r="Q2357" t="s">
        <v>316</v>
      </c>
      <c>
        <v>0.095</v>
      </c>
      <c t="s">
        <v>26492</v>
      </c>
      <c t="s">
        <v>60985</v>
      </c>
      <c t="s">
        <v>30261</v>
      </c>
      <c t="s">
        <v>6153</v>
      </c>
      <c t="s">
        <v>30261</v>
      </c>
      <c t="s">
        <v>38675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13151</v>
      </c>
      <c>
        <v>27005</v>
      </c>
      <c r="AI2357" t="s">
        <v>64903</v>
      </c>
      <c t="s">
        <v>45620</v>
      </c>
      <c>
        <v>112</v>
      </c>
      <c t="s">
        <v>32381</v>
      </c>
      <c t="s">
        <v>40227</v>
      </c>
      <c t="s">
        <v>39289</v>
      </c>
      <c t="s">
        <v>29373</v>
      </c>
      <c t="s">
        <v>18415</v>
      </c>
      <c t="s">
        <v>3093</v>
      </c>
      <c t="s">
        <v>62441</v>
      </c>
    </row>
    <row>
      <c t="s">
        <v>17594</v>
      </c>
      <c t="s">
        <v>5329</v>
      </c>
      <c t="s">
        <v>9908</v>
      </c>
      <c t="s">
        <v>30749</v>
      </c>
      <c t="s">
        <v>65370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2358" s="1" t="str">
        <f ca="1">HYPERLINK("https://web.datatree.com/?/property?propertyId=32849606", "https://web.datatree.com/?/property?propertyId=32849606")</f>
        <v>https://web.datatree.com/?/property?propertyId=32849606</v>
      </c>
      <c r="Q2358" t="s">
        <v>316</v>
      </c>
      <c>
        <v>0.23</v>
      </c>
      <c t="s">
        <v>6175</v>
      </c>
      <c t="s">
        <v>9900</v>
      </c>
      <c t="s">
        <v>12738</v>
      </c>
      <c t="s">
        <v>41694</v>
      </c>
      <c t="s">
        <v>12738</v>
      </c>
      <c t="s">
        <v>39280</v>
      </c>
      <c t="s">
        <v>61865</v>
      </c>
      <c t="s">
        <v>2517</v>
      </c>
      <c t="s">
        <v>39289</v>
      </c>
      <c>
        <v>33909</v>
      </c>
      <c t="s">
        <v>25081</v>
      </c>
      <c t="s">
        <v>48794</v>
      </c>
      <c t="s">
        <v>40889</v>
      </c>
      <c>
        <v>3614</v>
      </c>
      <c r="AI2358" t="s">
        <v>6146</v>
      </c>
      <c t="s">
        <v>45620</v>
      </c>
      <c r="AL2358" t="s">
        <v>3217</v>
      </c>
      <c r="AN2358" t="s">
        <v>50917</v>
      </c>
      <c t="s">
        <v>46559</v>
      </c>
      <c t="s">
        <v>42451</v>
      </c>
      <c t="s">
        <v>3093</v>
      </c>
      <c t="s">
        <v>34225</v>
      </c>
    </row>
    <row>
      <c t="s">
        <v>17594</v>
      </c>
      <c t="s">
        <v>17248</v>
      </c>
      <c t="s">
        <v>26959</v>
      </c>
      <c t="s">
        <v>6287</v>
      </c>
      <c t="s">
        <v>55578</v>
      </c>
      <c s="3">
        <v>188000</v>
      </c>
      <c s="3">
        <v>188000</v>
      </c>
      <c s="3">
        <v>188000</v>
      </c>
      <c>
        <v>0</v>
      </c>
      <c s="3">
        <v>0</v>
      </c>
      <c s="3">
        <v>3886.39</v>
      </c>
      <c s="3">
        <v>188000</v>
      </c>
      <c r="O2359" s="1" t="str">
        <f ca="1">HYPERLINK("https://web.datatree.com/?/property?propertyId=32849793", "https://web.datatree.com/?/property?propertyId=32849793")</f>
        <v>https://web.datatree.com/?/property?propertyId=32849793</v>
      </c>
      <c r="Q2359" t="s">
        <v>316</v>
      </c>
      <c>
        <v>0.466</v>
      </c>
      <c t="s">
        <v>14479</v>
      </c>
      <c t="s">
        <v>25695</v>
      </c>
      <c t="s">
        <v>66205</v>
      </c>
      <c r="X2359" t="s">
        <v>51825</v>
      </c>
      <c t="s">
        <v>2626</v>
      </c>
      <c t="s">
        <v>2517</v>
      </c>
      <c t="s">
        <v>39289</v>
      </c>
      <c>
        <v>33904</v>
      </c>
      <c t="s">
        <v>1848</v>
      </c>
      <c t="s">
        <v>48794</v>
      </c>
      <c t="s">
        <v>59187</v>
      </c>
      <c>
        <v>5</v>
      </c>
      <c r="AI2359" t="s">
        <v>19108</v>
      </c>
      <c t="s">
        <v>45393</v>
      </c>
      <c r="AL2359" t="s">
        <v>60448</v>
      </c>
      <c r="AN2359" t="s">
        <v>63985</v>
      </c>
      <c>
        <v>68775</v>
      </c>
      <c r="AR2359" t="s">
        <v>8494</v>
      </c>
    </row>
    <row>
      <c t="s">
        <v>17594</v>
      </c>
      <c t="s">
        <v>56325</v>
      </c>
      <c t="s">
        <v>16706</v>
      </c>
      <c t="s">
        <v>45651</v>
      </c>
      <c t="s">
        <v>13678</v>
      </c>
      <c s="3">
        <v>76315</v>
      </c>
      <c s="3">
        <v>76315</v>
      </c>
      <c s="3">
        <v>76315</v>
      </c>
      <c>
        <v>0</v>
      </c>
      <c s="3">
        <v>0</v>
      </c>
      <c s="3">
        <v>1255.54</v>
      </c>
      <c s="3">
        <v>76315</v>
      </c>
      <c r="O2360" s="1" t="str">
        <f ca="1">HYPERLINK("https://web.datatree.com/?/property?propertyId=32850620", "https://web.datatree.com/?/property?propertyId=32850620")</f>
        <v>https://web.datatree.com/?/property?propertyId=32850620</v>
      </c>
      <c r="Q2360" t="s">
        <v>316</v>
      </c>
      <c>
        <v>0.336</v>
      </c>
      <c t="s">
        <v>5471</v>
      </c>
      <c t="s">
        <v>10361</v>
      </c>
      <c t="s">
        <v>50685</v>
      </c>
      <c r="X2360" t="s">
        <v>33020</v>
      </c>
      <c t="s">
        <v>45454</v>
      </c>
      <c t="s">
        <v>65059</v>
      </c>
      <c t="s">
        <v>39289</v>
      </c>
      <c>
        <v>33908</v>
      </c>
      <c t="s">
        <v>18208</v>
      </c>
      <c t="s">
        <v>48794</v>
      </c>
      <c t="s">
        <v>9591</v>
      </c>
      <c>
        <v>13510</v>
      </c>
      <c r="AI2360" t="s">
        <v>47165</v>
      </c>
      <c t="s">
        <v>31192</v>
      </c>
      <c r="AL2360" t="s">
        <v>40591</v>
      </c>
      <c t="s">
        <v>40591</v>
      </c>
      <c t="s">
        <v>19878</v>
      </c>
      <c t="s">
        <v>38848</v>
      </c>
      <c t="s">
        <v>62562</v>
      </c>
      <c t="s">
        <v>3093</v>
      </c>
      <c t="s">
        <v>13631</v>
      </c>
    </row>
    <row>
      <c t="s">
        <v>17594</v>
      </c>
      <c t="s">
        <v>14901</v>
      </c>
      <c t="s">
        <v>21242</v>
      </c>
      <c t="s">
        <v>37090</v>
      </c>
      <c t="s">
        <v>61432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361" s="1" t="str">
        <f ca="1">HYPERLINK("https://web.datatree.com/?/property?propertyId=32851001", "https://web.datatree.com/?/property?propertyId=32851001")</f>
        <v>https://web.datatree.com/?/property?propertyId=32851001</v>
      </c>
      <c r="Q2361" t="s">
        <v>316</v>
      </c>
      <c>
        <v>0.23</v>
      </c>
      <c t="s">
        <v>6175</v>
      </c>
      <c r="U2361" t="s">
        <v>31374</v>
      </c>
      <c r="W2361" t="s">
        <v>6347</v>
      </c>
      <c t="s">
        <v>36163</v>
      </c>
      <c t="s">
        <v>66701</v>
      </c>
      <c t="s">
        <v>2517</v>
      </c>
      <c t="s">
        <v>39289</v>
      </c>
      <c>
        <v>33909</v>
      </c>
      <c t="s">
        <v>15598</v>
      </c>
      <c t="s">
        <v>48794</v>
      </c>
      <c t="s">
        <v>31728</v>
      </c>
      <c>
        <v>907</v>
      </c>
      <c r="AI2361" t="s">
        <v>4278</v>
      </c>
      <c t="s">
        <v>31192</v>
      </c>
      <c r="AL2361" t="s">
        <v>12985</v>
      </c>
      <c r="AN2361" t="s">
        <v>18236</v>
      </c>
      <c t="s">
        <v>41033</v>
      </c>
      <c t="s">
        <v>13315</v>
      </c>
      <c t="s">
        <v>3093</v>
      </c>
      <c t="s">
        <v>61937</v>
      </c>
    </row>
    <row>
      <c t="s">
        <v>17594</v>
      </c>
      <c t="s">
        <v>59227</v>
      </c>
      <c t="s">
        <v>21747</v>
      </c>
      <c t="s">
        <v>61722</v>
      </c>
      <c t="s">
        <v>13526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362" s="1" t="str">
        <f ca="1">HYPERLINK("https://web.datatree.com/?/property?propertyId=32852388", "https://web.datatree.com/?/property?propertyId=32852388")</f>
        <v>https://web.datatree.com/?/property?propertyId=32852388</v>
      </c>
      <c r="Q2362" t="s">
        <v>316</v>
      </c>
      <c>
        <v>0.23</v>
      </c>
      <c t="s">
        <v>6175</v>
      </c>
      <c t="s">
        <v>10998</v>
      </c>
      <c t="s">
        <v>1370</v>
      </c>
      <c t="s">
        <v>13419</v>
      </c>
      <c t="s">
        <v>1370</v>
      </c>
      <c t="s">
        <v>27184</v>
      </c>
      <c t="s">
        <v>33335</v>
      </c>
      <c t="s">
        <v>2517</v>
      </c>
      <c t="s">
        <v>39289</v>
      </c>
      <c>
        <v>33909</v>
      </c>
      <c t="s">
        <v>30561</v>
      </c>
      <c t="s">
        <v>48794</v>
      </c>
      <c t="s">
        <v>51924</v>
      </c>
      <c>
        <v>9025</v>
      </c>
      <c r="AI2362" t="s">
        <v>47024</v>
      </c>
      <c t="s">
        <v>1671</v>
      </c>
      <c r="AL2362" t="s">
        <v>11713</v>
      </c>
      <c r="AN2362" t="s">
        <v>39289</v>
      </c>
      <c t="s">
        <v>25944</v>
      </c>
      <c t="s">
        <v>35679</v>
      </c>
      <c t="s">
        <v>3093</v>
      </c>
      <c t="s">
        <v>9515</v>
      </c>
    </row>
    <row>
      <c t="s">
        <v>17594</v>
      </c>
      <c t="s">
        <v>44001</v>
      </c>
      <c t="s">
        <v>52297</v>
      </c>
      <c t="s">
        <v>154</v>
      </c>
      <c t="s">
        <v>63519</v>
      </c>
      <c s="3">
        <v>35783</v>
      </c>
      <c s="3">
        <v>33300</v>
      </c>
      <c s="3">
        <v>35783</v>
      </c>
      <c>
        <v>0</v>
      </c>
      <c s="3">
        <v>0</v>
      </c>
      <c s="3">
        <v>495.9</v>
      </c>
      <c s="3">
        <v>35783</v>
      </c>
      <c r="O2363" s="1" t="str">
        <f ca="1">HYPERLINK("https://web.datatree.com/?/property?propertyId=32852994", "https://web.datatree.com/?/property?propertyId=32852994")</f>
        <v>https://web.datatree.com/?/property?propertyId=32852994</v>
      </c>
      <c>
        <v>554</v>
      </c>
      <c t="s">
        <v>316</v>
      </c>
      <c>
        <v>0.06</v>
      </c>
      <c t="s">
        <v>54329</v>
      </c>
      <c t="s">
        <v>1859</v>
      </c>
      <c t="s">
        <v>7192</v>
      </c>
      <c r="X2363" t="s">
        <v>56548</v>
      </c>
      <c t="s">
        <v>65979</v>
      </c>
      <c t="s">
        <v>65059</v>
      </c>
      <c t="s">
        <v>39289</v>
      </c>
      <c>
        <v>33908</v>
      </c>
      <c>
        <v>33908</v>
      </c>
      <c t="s">
        <v>48794</v>
      </c>
      <c t="s">
        <v>18999</v>
      </c>
      <c>
        <v>1727</v>
      </c>
      <c r="AI2363" t="s">
        <v>58045</v>
      </c>
      <c t="s">
        <v>41372</v>
      </c>
      <c r="AL2363" t="s">
        <v>32131</v>
      </c>
      <c t="s">
        <v>4450</v>
      </c>
      <c t="s">
        <v>39289</v>
      </c>
      <c t="s">
        <v>6562</v>
      </c>
      <c t="s">
        <v>12399</v>
      </c>
      <c t="s">
        <v>3093</v>
      </c>
      <c t="s">
        <v>45379</v>
      </c>
      <c>
        <v>1986</v>
      </c>
    </row>
    <row>
      <c t="s">
        <v>17594</v>
      </c>
      <c t="s">
        <v>42187</v>
      </c>
      <c t="s">
        <v>24192</v>
      </c>
      <c t="s">
        <v>25703</v>
      </c>
      <c t="s">
        <v>7922</v>
      </c>
      <c s="3">
        <v>52190</v>
      </c>
      <c s="3">
        <v>52190</v>
      </c>
      <c s="3">
        <v>22824</v>
      </c>
      <c>
        <v>0</v>
      </c>
      <c s="3">
        <v>0</v>
      </c>
      <c s="3">
        <v>948.52</v>
      </c>
      <c s="3">
        <v>52190</v>
      </c>
      <c r="O2364" s="1" t="str">
        <f ca="1">HYPERLINK("https://web.datatree.com/?/property?propertyId=32853110", "https://web.datatree.com/?/property?propertyId=32853110")</f>
        <v>https://web.datatree.com/?/property?propertyId=32853110</v>
      </c>
      <c r="Q2364" t="s">
        <v>316</v>
      </c>
      <c>
        <v>0.275</v>
      </c>
      <c t="s">
        <v>6175</v>
      </c>
      <c t="s">
        <v>54943</v>
      </c>
      <c t="s">
        <v>11826</v>
      </c>
      <c r="X2364" t="s">
        <v>58009</v>
      </c>
      <c t="s">
        <v>57064</v>
      </c>
      <c t="s">
        <v>2517</v>
      </c>
      <c t="s">
        <v>39289</v>
      </c>
      <c>
        <v>33904</v>
      </c>
      <c t="s">
        <v>35759</v>
      </c>
      <c t="s">
        <v>48794</v>
      </c>
      <c t="s">
        <v>44409</v>
      </c>
      <c>
        <v>17276</v>
      </c>
      <c r="AI2364" t="s">
        <v>31986</v>
      </c>
      <c t="s">
        <v>1671</v>
      </c>
      <c r="AL2364" t="s">
        <v>35789</v>
      </c>
      <c r="AN2364" t="s">
        <v>65451</v>
      </c>
      <c t="s">
        <v>62864</v>
      </c>
      <c t="s">
        <v>34171</v>
      </c>
      <c t="s">
        <v>3093</v>
      </c>
      <c t="s">
        <v>50096</v>
      </c>
    </row>
    <row>
      <c t="s">
        <v>17594</v>
      </c>
      <c t="s">
        <v>13262</v>
      </c>
      <c t="s">
        <v>58979</v>
      </c>
      <c t="s">
        <v>9008</v>
      </c>
      <c t="s">
        <v>61701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365" s="1" t="str">
        <f ca="1">HYPERLINK("https://web.datatree.com/?/property?propertyId=32853291", "https://web.datatree.com/?/property?propertyId=32853291")</f>
        <v>https://web.datatree.com/?/property?propertyId=32853291</v>
      </c>
      <c r="Q2365" t="s">
        <v>316</v>
      </c>
      <c>
        <v>0.23</v>
      </c>
      <c t="s">
        <v>6175</v>
      </c>
      <c t="s">
        <v>44457</v>
      </c>
      <c t="s">
        <v>60082</v>
      </c>
      <c t="s">
        <v>44610</v>
      </c>
      <c t="s">
        <v>60082</v>
      </c>
      <c t="s">
        <v>36003</v>
      </c>
      <c t="s">
        <v>17022</v>
      </c>
      <c t="s">
        <v>2517</v>
      </c>
      <c t="s">
        <v>39289</v>
      </c>
      <c>
        <v>33909</v>
      </c>
      <c t="s">
        <v>64028</v>
      </c>
      <c t="s">
        <v>48794</v>
      </c>
      <c t="s">
        <v>57579</v>
      </c>
      <c>
        <v>3525</v>
      </c>
      <c r="AI2365" t="s">
        <v>10653</v>
      </c>
      <c t="s">
        <v>39321</v>
      </c>
      <c r="AL2365" t="s">
        <v>55393</v>
      </c>
      <c r="AN2365" t="s">
        <v>39289</v>
      </c>
      <c t="s">
        <v>2807</v>
      </c>
      <c t="s">
        <v>45852</v>
      </c>
      <c t="s">
        <v>3093</v>
      </c>
      <c t="s">
        <v>58808</v>
      </c>
    </row>
    <row>
      <c t="s">
        <v>17594</v>
      </c>
      <c t="s">
        <v>65606</v>
      </c>
      <c t="s">
        <v>60187</v>
      </c>
      <c t="s">
        <v>62838</v>
      </c>
      <c t="s">
        <v>43964</v>
      </c>
      <c s="3">
        <v>134394</v>
      </c>
      <c s="3">
        <v>134394</v>
      </c>
      <c s="3">
        <v>90774</v>
      </c>
      <c>
        <v>0</v>
      </c>
      <c s="3">
        <v>0</v>
      </c>
      <c s="3">
        <v>1983.63</v>
      </c>
      <c s="3">
        <v>134394</v>
      </c>
      <c r="O2366" s="1" t="str">
        <f ca="1">HYPERLINK("https://web.datatree.com/?/property?propertyId=32853369", "https://web.datatree.com/?/property?propertyId=32853369")</f>
        <v>https://web.datatree.com/?/property?propertyId=32853369</v>
      </c>
      <c r="Q2366" t="s">
        <v>316</v>
      </c>
      <c>
        <v>0.266</v>
      </c>
      <c t="s">
        <v>22490</v>
      </c>
      <c t="s">
        <v>67064</v>
      </c>
      <c t="s">
        <v>14614</v>
      </c>
      <c r="X2366" t="s">
        <v>5579</v>
      </c>
      <c t="s">
        <v>64331</v>
      </c>
      <c t="s">
        <v>2517</v>
      </c>
      <c t="s">
        <v>39289</v>
      </c>
      <c>
        <v>33904</v>
      </c>
      <c>
        <v>33904</v>
      </c>
      <c t="s">
        <v>48794</v>
      </c>
      <c t="s">
        <v>26776</v>
      </c>
      <c>
        <v>1024</v>
      </c>
      <c r="AI2366" t="s">
        <v>40821</v>
      </c>
      <c t="s">
        <v>24900</v>
      </c>
      <c r="AL2366" t="s">
        <v>258</v>
      </c>
      <c t="s">
        <v>258</v>
      </c>
      <c t="s">
        <v>50917</v>
      </c>
      <c t="s">
        <v>16093</v>
      </c>
      <c t="s">
        <v>39331</v>
      </c>
      <c t="s">
        <v>3093</v>
      </c>
      <c t="s">
        <v>37468</v>
      </c>
    </row>
    <row>
      <c t="s">
        <v>17594</v>
      </c>
      <c t="s">
        <v>11008</v>
      </c>
      <c t="s">
        <v>43280</v>
      </c>
      <c t="s">
        <v>4813</v>
      </c>
      <c t="s">
        <v>4384</v>
      </c>
      <c s="3">
        <v>8400</v>
      </c>
      <c s="3">
        <v>8400</v>
      </c>
      <c s="3">
        <v>8400</v>
      </c>
      <c>
        <v>0</v>
      </c>
      <c s="3">
        <v>0</v>
      </c>
      <c s="3">
        <v>606.82</v>
      </c>
      <c s="3">
        <v>8400</v>
      </c>
      <c r="O2367" s="1" t="str">
        <f ca="1">HYPERLINK("https://web.datatree.com/?/property?propertyId=32853736", "https://web.datatree.com/?/property?propertyId=32853736")</f>
        <v>https://web.datatree.com/?/property?propertyId=32853736</v>
      </c>
      <c r="Q2367" t="s">
        <v>316</v>
      </c>
      <c>
        <v>0.299</v>
      </c>
      <c t="s">
        <v>6175</v>
      </c>
      <c t="s">
        <v>4754</v>
      </c>
      <c t="s">
        <v>29129</v>
      </c>
      <c r="X2367" t="s">
        <v>31421</v>
      </c>
      <c t="s">
        <v>25017</v>
      </c>
      <c t="s">
        <v>2517</v>
      </c>
      <c t="s">
        <v>39289</v>
      </c>
      <c>
        <v>33909</v>
      </c>
      <c t="s">
        <v>54365</v>
      </c>
      <c t="s">
        <v>48794</v>
      </c>
      <c t="s">
        <v>42036</v>
      </c>
      <c>
        <v>267</v>
      </c>
      <c r="AI2367" t="s">
        <v>10279</v>
      </c>
      <c t="s">
        <v>24900</v>
      </c>
      <c>
        <v>200</v>
      </c>
      <c t="s">
        <v>47510</v>
      </c>
      <c t="s">
        <v>47510</v>
      </c>
      <c t="s">
        <v>39289</v>
      </c>
      <c t="s">
        <v>13516</v>
      </c>
      <c t="s">
        <v>60333</v>
      </c>
      <c t="s">
        <v>3093</v>
      </c>
      <c t="s">
        <v>24037</v>
      </c>
    </row>
    <row>
      <c t="s">
        <v>17594</v>
      </c>
      <c t="s">
        <v>65418</v>
      </c>
      <c t="s">
        <v>14064</v>
      </c>
      <c t="s">
        <v>48767</v>
      </c>
      <c t="s">
        <v>34058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368" s="1" t="str">
        <f ca="1">HYPERLINK("https://web.datatree.com/?/property?propertyId=32854547", "https://web.datatree.com/?/property?propertyId=32854547")</f>
        <v>https://web.datatree.com/?/property?propertyId=32854547</v>
      </c>
      <c r="Q2368" t="s">
        <v>316</v>
      </c>
      <c>
        <v>0.23</v>
      </c>
      <c t="s">
        <v>22490</v>
      </c>
      <c t="s">
        <v>31209</v>
      </c>
      <c t="s">
        <v>26913</v>
      </c>
      <c r="W2368" t="s">
        <v>21555</v>
      </c>
      <c t="s">
        <v>49100</v>
      </c>
      <c t="s">
        <v>52171</v>
      </c>
      <c t="s">
        <v>2517</v>
      </c>
      <c t="s">
        <v>39289</v>
      </c>
      <c>
        <v>33909</v>
      </c>
      <c t="s">
        <v>24609</v>
      </c>
      <c t="s">
        <v>48794</v>
      </c>
      <c t="s">
        <v>4947</v>
      </c>
      <c>
        <v>1105</v>
      </c>
      <c r="AH2368" t="s">
        <v>26580</v>
      </c>
      <c t="s">
        <v>56489</v>
      </c>
      <c r="AK2368" t="s">
        <v>25384</v>
      </c>
      <c t="s">
        <v>17648</v>
      </c>
      <c r="AN2368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15499</v>
      </c>
      <c t="s">
        <v>36479</v>
      </c>
      <c t="s">
        <v>24935</v>
      </c>
      <c t="s">
        <v>27109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369" s="1" t="str">
        <f ca="1">HYPERLINK("https://web.datatree.com/?/property?propertyId=32856738", "https://web.datatree.com/?/property?propertyId=32856738")</f>
        <v>https://web.datatree.com/?/property?propertyId=32856738</v>
      </c>
      <c r="Q2369" t="s">
        <v>316</v>
      </c>
      <c>
        <v>0.23</v>
      </c>
      <c t="s">
        <v>22490</v>
      </c>
      <c t="s">
        <v>54288</v>
      </c>
      <c t="s">
        <v>45794</v>
      </c>
      <c r="X2369" t="s">
        <v>21015</v>
      </c>
      <c t="s">
        <v>25017</v>
      </c>
      <c t="s">
        <v>2517</v>
      </c>
      <c t="s">
        <v>39289</v>
      </c>
      <c>
        <v>33909</v>
      </c>
      <c t="s">
        <v>1982</v>
      </c>
      <c t="s">
        <v>48794</v>
      </c>
      <c t="s">
        <v>801</v>
      </c>
      <c>
        <v>7611</v>
      </c>
      <c r="AI2369" t="s">
        <v>30119</v>
      </c>
      <c t="s">
        <v>28412</v>
      </c>
      <c r="AL2369" t="s">
        <v>52636</v>
      </c>
      <c r="AN2369" t="s">
        <v>58811</v>
      </c>
      <c t="s">
        <v>46250</v>
      </c>
      <c r="AQ2369" t="s">
        <v>27814</v>
      </c>
      <c t="s">
        <v>27932</v>
      </c>
    </row>
    <row>
      <c t="s">
        <v>17594</v>
      </c>
      <c t="s">
        <v>14785</v>
      </c>
      <c t="s">
        <v>42209</v>
      </c>
      <c t="s">
        <v>44382</v>
      </c>
      <c t="s">
        <v>53470</v>
      </c>
      <c s="3">
        <v>24856</v>
      </c>
      <c s="3">
        <v>24856</v>
      </c>
      <c s="3">
        <v>10049</v>
      </c>
      <c>
        <v>0</v>
      </c>
      <c s="3">
        <v>0</v>
      </c>
      <c s="3">
        <v>645.13</v>
      </c>
      <c s="3">
        <v>24856</v>
      </c>
      <c r="O2370" s="1" t="str">
        <f ca="1">HYPERLINK("https://web.datatree.com/?/property?propertyId=32857003", "https://web.datatree.com/?/property?propertyId=32857003")</f>
        <v>https://web.datatree.com/?/property?propertyId=32857003</v>
      </c>
      <c r="Q2370" t="s">
        <v>316</v>
      </c>
      <c>
        <v>0.275</v>
      </c>
      <c t="s">
        <v>22490</v>
      </c>
      <c t="s">
        <v>23130</v>
      </c>
      <c t="s">
        <v>19340</v>
      </c>
      <c r="X2370" t="s">
        <v>36830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56007</v>
      </c>
      <c>
        <v>18381</v>
      </c>
      <c r="AI2370" t="s">
        <v>18906</v>
      </c>
      <c t="s">
        <v>835</v>
      </c>
      <c r="AL2370" t="s">
        <v>62104</v>
      </c>
      <c t="s">
        <v>62104</v>
      </c>
      <c t="s">
        <v>50829</v>
      </c>
      <c t="s">
        <v>40814</v>
      </c>
      <c t="s">
        <v>5652</v>
      </c>
      <c t="s">
        <v>3093</v>
      </c>
      <c t="s">
        <v>30110</v>
      </c>
    </row>
    <row>
      <c t="s">
        <v>17594</v>
      </c>
      <c t="s">
        <v>16190</v>
      </c>
      <c t="s">
        <v>48280</v>
      </c>
      <c t="s">
        <v>53719</v>
      </c>
      <c t="s">
        <v>12256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371" s="1" t="str">
        <f ca="1">HYPERLINK("https://web.datatree.com/?/property?propertyId=32857227", "https://web.datatree.com/?/property?propertyId=32857227")</f>
        <v>https://web.datatree.com/?/property?propertyId=32857227</v>
      </c>
      <c r="Q2371" t="s">
        <v>316</v>
      </c>
      <c>
        <v>0.23</v>
      </c>
      <c t="s">
        <v>6175</v>
      </c>
      <c t="s">
        <v>29966</v>
      </c>
      <c t="s">
        <v>49610</v>
      </c>
      <c t="s">
        <v>33748</v>
      </c>
      <c t="s">
        <v>37991</v>
      </c>
      <c t="s">
        <v>815</v>
      </c>
      <c t="s">
        <v>61865</v>
      </c>
      <c t="s">
        <v>2517</v>
      </c>
      <c t="s">
        <v>39289</v>
      </c>
      <c>
        <v>33909</v>
      </c>
      <c t="s">
        <v>9670</v>
      </c>
      <c t="s">
        <v>48794</v>
      </c>
      <c t="s">
        <v>2170</v>
      </c>
      <c>
        <v>502</v>
      </c>
      <c r="AI2371" t="s">
        <v>58353</v>
      </c>
      <c t="s">
        <v>24900</v>
      </c>
      <c r="AL2371" t="s">
        <v>61153</v>
      </c>
      <c r="AN2371" t="s">
        <v>50917</v>
      </c>
      <c t="s">
        <v>44047</v>
      </c>
      <c t="s">
        <v>62830</v>
      </c>
      <c t="s">
        <v>3093</v>
      </c>
      <c t="s">
        <v>20570</v>
      </c>
    </row>
    <row>
      <c t="s">
        <v>17594</v>
      </c>
      <c t="s">
        <v>63018</v>
      </c>
      <c t="s">
        <v>4757</v>
      </c>
      <c t="s">
        <v>66468</v>
      </c>
      <c t="s">
        <v>29116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372" s="1" t="str">
        <f ca="1">HYPERLINK("https://web.datatree.com/?/property?propertyId=32857511", "https://web.datatree.com/?/property?propertyId=32857511")</f>
        <v>https://web.datatree.com/?/property?propertyId=32857511</v>
      </c>
      <c r="Q2372" t="s">
        <v>316</v>
      </c>
      <c>
        <v>0.231</v>
      </c>
      <c t="s">
        <v>22490</v>
      </c>
      <c t="s">
        <v>14827</v>
      </c>
      <c t="s">
        <v>18993</v>
      </c>
      <c r="X2372" t="s">
        <v>45442</v>
      </c>
      <c t="s">
        <v>61850</v>
      </c>
      <c t="s">
        <v>2517</v>
      </c>
      <c t="s">
        <v>39289</v>
      </c>
      <c>
        <v>33909</v>
      </c>
      <c t="s">
        <v>44591</v>
      </c>
      <c t="s">
        <v>48794</v>
      </c>
      <c t="s">
        <v>1017</v>
      </c>
      <c>
        <v>25885</v>
      </c>
      <c r="AI2372" t="s">
        <v>18771</v>
      </c>
      <c t="s">
        <v>45620</v>
      </c>
      <c>
        <v>182</v>
      </c>
      <c t="s">
        <v>3599</v>
      </c>
      <c t="s">
        <v>3599</v>
      </c>
      <c t="s">
        <v>65451</v>
      </c>
      <c t="s">
        <v>5117</v>
      </c>
      <c t="s">
        <v>48506</v>
      </c>
      <c t="s">
        <v>3093</v>
      </c>
      <c t="s">
        <v>36115</v>
      </c>
    </row>
    <row>
      <c t="s">
        <v>17594</v>
      </c>
      <c t="s">
        <v>19670</v>
      </c>
      <c t="s">
        <v>51378</v>
      </c>
      <c t="s">
        <v>32293</v>
      </c>
      <c t="s">
        <v>55919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2373" s="1" t="str">
        <f ca="1">HYPERLINK("https://web.datatree.com/?/property?propertyId=32857825", "https://web.datatree.com/?/property?propertyId=32857825")</f>
        <v>https://web.datatree.com/?/property?propertyId=32857825</v>
      </c>
      <c r="Q2373" t="s">
        <v>316</v>
      </c>
      <c>
        <v>0.23</v>
      </c>
      <c t="s">
        <v>6175</v>
      </c>
      <c t="s">
        <v>54943</v>
      </c>
      <c t="s">
        <v>5180</v>
      </c>
      <c t="s">
        <v>15051</v>
      </c>
      <c t="s">
        <v>55536</v>
      </c>
      <c t="s">
        <v>18974</v>
      </c>
      <c t="s">
        <v>39082</v>
      </c>
      <c t="s">
        <v>2517</v>
      </c>
      <c t="s">
        <v>39289</v>
      </c>
      <c>
        <v>33909</v>
      </c>
      <c t="s">
        <v>8948</v>
      </c>
      <c t="s">
        <v>48794</v>
      </c>
      <c t="s">
        <v>5481</v>
      </c>
      <c>
        <v>480</v>
      </c>
      <c r="AI2373" t="s">
        <v>16633</v>
      </c>
      <c t="s">
        <v>45393</v>
      </c>
      <c r="AL2373" t="s">
        <v>34357</v>
      </c>
      <c r="AN2373" t="s">
        <v>27747</v>
      </c>
      <c t="s">
        <v>20306</v>
      </c>
      <c t="s">
        <v>14695</v>
      </c>
      <c t="s">
        <v>3093</v>
      </c>
      <c t="s">
        <v>55753</v>
      </c>
    </row>
    <row>
      <c t="s">
        <v>17594</v>
      </c>
      <c t="s">
        <v>36827</v>
      </c>
      <c t="s">
        <v>64874</v>
      </c>
      <c t="s">
        <v>58678</v>
      </c>
      <c t="s">
        <v>60250</v>
      </c>
      <c s="3">
        <v>22107</v>
      </c>
      <c s="3">
        <v>22107</v>
      </c>
      <c s="3">
        <v>8030</v>
      </c>
      <c>
        <v>0</v>
      </c>
      <c s="3">
        <v>0</v>
      </c>
      <c s="3">
        <v>616.26</v>
      </c>
      <c s="3">
        <v>22107</v>
      </c>
      <c r="O2374" s="1" t="str">
        <f ca="1">HYPERLINK("https://web.datatree.com/?/property?propertyId=32858705", "https://web.datatree.com/?/property?propertyId=32858705")</f>
        <v>https://web.datatree.com/?/property?propertyId=32858705</v>
      </c>
      <c r="Q2374" t="s">
        <v>316</v>
      </c>
      <c>
        <v>0.301</v>
      </c>
      <c t="s">
        <v>22490</v>
      </c>
      <c t="s">
        <v>50331</v>
      </c>
      <c t="s">
        <v>25522</v>
      </c>
      <c t="s">
        <v>39210</v>
      </c>
      <c t="s">
        <v>20983</v>
      </c>
      <c t="s">
        <v>22204</v>
      </c>
      <c t="s">
        <v>23517</v>
      </c>
      <c t="s">
        <v>2517</v>
      </c>
      <c t="s">
        <v>39289</v>
      </c>
      <c>
        <v>33909</v>
      </c>
      <c t="s">
        <v>29709</v>
      </c>
      <c t="s">
        <v>48794</v>
      </c>
      <c t="s">
        <v>60071</v>
      </c>
      <c>
        <v>89</v>
      </c>
      <c r="AI2374" t="s">
        <v>66479</v>
      </c>
      <c t="s">
        <v>40123</v>
      </c>
      <c r="AL2374" t="s">
        <v>21376</v>
      </c>
      <c t="s">
        <v>21376</v>
      </c>
      <c t="s">
        <v>65451</v>
      </c>
      <c t="s">
        <v>9819</v>
      </c>
      <c t="s">
        <v>33029</v>
      </c>
      <c t="s">
        <v>3093</v>
      </c>
      <c t="s">
        <v>50223</v>
      </c>
    </row>
    <row>
      <c t="s">
        <v>17594</v>
      </c>
      <c t="s">
        <v>9856</v>
      </c>
      <c t="s">
        <v>22720</v>
      </c>
      <c t="s">
        <v>17936</v>
      </c>
      <c t="s">
        <v>30677</v>
      </c>
      <c s="3">
        <v>33540</v>
      </c>
      <c s="3">
        <v>33540</v>
      </c>
      <c s="3">
        <v>33000</v>
      </c>
      <c>
        <v>0</v>
      </c>
      <c s="3">
        <v>0</v>
      </c>
      <c s="3">
        <v>459.38</v>
      </c>
      <c s="3">
        <v>33540</v>
      </c>
      <c r="O2375" s="1" t="str">
        <f ca="1">HYPERLINK("https://web.datatree.com/?/property?propertyId=32859213", "https://web.datatree.com/?/property?propertyId=32859213")</f>
        <v>https://web.datatree.com/?/property?propertyId=32859213</v>
      </c>
      <c r="Q2375" t="s">
        <v>316</v>
      </c>
      <c>
        <v>0.059</v>
      </c>
      <c t="s">
        <v>54329</v>
      </c>
      <c t="s">
        <v>35571</v>
      </c>
      <c t="s">
        <v>2861</v>
      </c>
      <c r="X2375" t="s">
        <v>5339</v>
      </c>
      <c t="s">
        <v>65979</v>
      </c>
      <c t="s">
        <v>65059</v>
      </c>
      <c t="s">
        <v>39289</v>
      </c>
      <c>
        <v>33908</v>
      </c>
      <c>
        <v>33908</v>
      </c>
      <c t="s">
        <v>48794</v>
      </c>
      <c t="s">
        <v>9150</v>
      </c>
      <c>
        <v>20846</v>
      </c>
      <c r="AI2375" t="s">
        <v>6839</v>
      </c>
      <c t="s">
        <v>56275</v>
      </c>
      <c r="AL2375" t="s">
        <v>52434</v>
      </c>
      <c r="AN2375" t="s">
        <v>39289</v>
      </c>
      <c t="s">
        <v>42336</v>
      </c>
      <c t="s">
        <v>19978</v>
      </c>
      <c t="s">
        <v>3093</v>
      </c>
      <c t="s">
        <v>1528</v>
      </c>
    </row>
    <row>
      <c t="s">
        <v>17594</v>
      </c>
      <c t="s">
        <v>44181</v>
      </c>
      <c t="s">
        <v>59827</v>
      </c>
      <c t="s">
        <v>33742</v>
      </c>
      <c t="s">
        <v>7623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 r="O2376" s="1" t="str">
        <f ca="1">HYPERLINK("https://web.datatree.com/?/property?propertyId=32859332", "https://web.datatree.com/?/property?propertyId=32859332")</f>
        <v>https://web.datatree.com/?/property?propertyId=32859332</v>
      </c>
      <c r="Q2376" t="s">
        <v>316</v>
      </c>
      <c>
        <v>0.344</v>
      </c>
      <c t="s">
        <v>6175</v>
      </c>
      <c t="s">
        <v>25477</v>
      </c>
      <c t="s">
        <v>44705</v>
      </c>
      <c r="X2376" t="s">
        <v>30920</v>
      </c>
      <c t="s">
        <v>66701</v>
      </c>
      <c t="s">
        <v>2517</v>
      </c>
      <c t="s">
        <v>39289</v>
      </c>
      <c>
        <v>33909</v>
      </c>
      <c t="s">
        <v>1603</v>
      </c>
      <c t="s">
        <v>48794</v>
      </c>
      <c t="s">
        <v>60946</v>
      </c>
      <c r="AI2376" t="s">
        <v>16658</v>
      </c>
      <c r="AL2376" t="s">
        <v>2397</v>
      </c>
      <c r="AN2376" t="s">
        <v>39039</v>
      </c>
      <c>
        <v>4150</v>
      </c>
      <c r="AR2376" t="s">
        <v>25843</v>
      </c>
    </row>
    <row>
      <c t="s">
        <v>17594</v>
      </c>
      <c t="s">
        <v>15564</v>
      </c>
      <c t="s">
        <v>24273</v>
      </c>
      <c t="s">
        <v>56595</v>
      </c>
      <c t="s">
        <v>53832</v>
      </c>
      <c s="3">
        <v>8500</v>
      </c>
      <c s="3">
        <v>8500</v>
      </c>
      <c s="3">
        <v>8500</v>
      </c>
      <c>
        <v>0</v>
      </c>
      <c s="3">
        <v>0</v>
      </c>
      <c s="3">
        <v>2930.16</v>
      </c>
      <c s="3">
        <v>8500</v>
      </c>
      <c r="O2377" s="1" t="str">
        <f ca="1">HYPERLINK("https://web.datatree.com/?/property?propertyId=32859933", "https://web.datatree.com/?/property?propertyId=32859933")</f>
        <v>https://web.datatree.com/?/property?propertyId=32859933</v>
      </c>
      <c r="Q2377" t="s">
        <v>316</v>
      </c>
      <c>
        <v>0.25</v>
      </c>
      <c t="s">
        <v>6175</v>
      </c>
      <c t="s">
        <v>36133</v>
      </c>
      <c t="s">
        <v>45336</v>
      </c>
      <c r="X2377" t="s">
        <v>51550</v>
      </c>
      <c t="s">
        <v>18679</v>
      </c>
      <c t="s">
        <v>2517</v>
      </c>
      <c t="s">
        <v>39289</v>
      </c>
      <c>
        <v>33909</v>
      </c>
      <c t="s">
        <v>65424</v>
      </c>
      <c t="s">
        <v>48794</v>
      </c>
      <c t="s">
        <v>39843</v>
      </c>
      <c>
        <v>6</v>
      </c>
      <c r="AI2377" t="s">
        <v>32833</v>
      </c>
      <c r="AL2377" t="s">
        <v>36289</v>
      </c>
      <c r="AN2377" t="s">
        <v>51137</v>
      </c>
      <c>
        <v>49774</v>
      </c>
      <c r="AQ2377" t="s">
        <v>3093</v>
      </c>
      <c t="s">
        <v>48811</v>
      </c>
    </row>
    <row>
      <c t="s">
        <v>17594</v>
      </c>
      <c t="s">
        <v>54835</v>
      </c>
      <c t="s">
        <v>60787</v>
      </c>
      <c t="s">
        <v>20375</v>
      </c>
      <c t="s">
        <v>45652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2378" s="1" t="str">
        <f ca="1">HYPERLINK("https://web.datatree.com/?/property?propertyId=32860774", "https://web.datatree.com/?/property?propertyId=32860774")</f>
        <v>https://web.datatree.com/?/property?propertyId=32860774</v>
      </c>
      <c r="Q2378" t="s">
        <v>316</v>
      </c>
      <c>
        <v>0.23</v>
      </c>
      <c t="s">
        <v>6175</v>
      </c>
      <c t="s">
        <v>51844</v>
      </c>
      <c t="s">
        <v>45189</v>
      </c>
      <c t="s">
        <v>50807</v>
      </c>
      <c t="s">
        <v>65111</v>
      </c>
      <c t="s">
        <v>29332</v>
      </c>
      <c t="s">
        <v>58797</v>
      </c>
      <c t="s">
        <v>2517</v>
      </c>
      <c t="s">
        <v>39289</v>
      </c>
      <c>
        <v>33909</v>
      </c>
      <c t="s">
        <v>21218</v>
      </c>
      <c t="s">
        <v>48794</v>
      </c>
      <c t="s">
        <v>24462</v>
      </c>
      <c>
        <v>10926</v>
      </c>
      <c r="AI2378" t="s">
        <v>48110</v>
      </c>
      <c t="s">
        <v>4985</v>
      </c>
      <c r="AL2378" t="s">
        <v>23779</v>
      </c>
      <c r="AN2378" t="s">
        <v>50917</v>
      </c>
      <c t="s">
        <v>38761</v>
      </c>
      <c t="s">
        <v>49977</v>
      </c>
      <c t="s">
        <v>3093</v>
      </c>
      <c t="s">
        <v>10681</v>
      </c>
    </row>
    <row>
      <c t="s">
        <v>17594</v>
      </c>
      <c t="s">
        <v>7089</v>
      </c>
      <c t="s">
        <v>16879</v>
      </c>
      <c t="s">
        <v>21565</v>
      </c>
      <c t="s">
        <v>56373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2379" s="1" t="str">
        <f ca="1">HYPERLINK("https://web.datatree.com/?/property?propertyId=32860848", "https://web.datatree.com/?/property?propertyId=32860848")</f>
        <v>https://web.datatree.com/?/property?propertyId=32860848</v>
      </c>
      <c r="Q2379" t="s">
        <v>316</v>
      </c>
      <c>
        <v>0.23</v>
      </c>
      <c t="s">
        <v>6175</v>
      </c>
      <c t="s">
        <v>33720</v>
      </c>
      <c t="s">
        <v>37862</v>
      </c>
      <c r="X2379" t="s">
        <v>28862</v>
      </c>
      <c t="s">
        <v>61865</v>
      </c>
      <c t="s">
        <v>2517</v>
      </c>
      <c t="s">
        <v>39289</v>
      </c>
      <c>
        <v>33909</v>
      </c>
      <c t="s">
        <v>16083</v>
      </c>
      <c t="s">
        <v>48794</v>
      </c>
      <c t="s">
        <v>47883</v>
      </c>
      <c>
        <v>246</v>
      </c>
      <c r="AI2379" t="s">
        <v>61227</v>
      </c>
      <c t="s">
        <v>24900</v>
      </c>
      <c r="AL2379" t="s">
        <v>62077</v>
      </c>
      <c r="AN2379" t="s">
        <v>50917</v>
      </c>
      <c t="s">
        <v>47091</v>
      </c>
      <c t="s">
        <v>61719</v>
      </c>
      <c t="s">
        <v>3093</v>
      </c>
      <c t="s">
        <v>15924</v>
      </c>
    </row>
    <row>
      <c t="s">
        <v>17594</v>
      </c>
      <c t="s">
        <v>39449</v>
      </c>
      <c t="s">
        <v>33845</v>
      </c>
      <c t="s">
        <v>52411</v>
      </c>
      <c t="s">
        <v>63947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380" s="1" t="str">
        <f ca="1">HYPERLINK("https://web.datatree.com/?/property?propertyId=32861520", "https://web.datatree.com/?/property?propertyId=32861520")</f>
        <v>https://web.datatree.com/?/property?propertyId=32861520</v>
      </c>
      <c r="Q2380" t="s">
        <v>316</v>
      </c>
      <c>
        <v>0.23</v>
      </c>
      <c t="s">
        <v>22490</v>
      </c>
      <c t="s">
        <v>65351</v>
      </c>
      <c t="s">
        <v>2171</v>
      </c>
      <c t="s">
        <v>63047</v>
      </c>
      <c r="X2380" t="s">
        <v>7246</v>
      </c>
      <c t="s">
        <v>39082</v>
      </c>
      <c t="s">
        <v>2517</v>
      </c>
      <c t="s">
        <v>39289</v>
      </c>
      <c>
        <v>33909</v>
      </c>
      <c t="s">
        <v>20135</v>
      </c>
      <c t="s">
        <v>48794</v>
      </c>
      <c t="s">
        <v>18969</v>
      </c>
      <c>
        <v>254</v>
      </c>
      <c r="AI2380" t="s">
        <v>39929</v>
      </c>
      <c t="s">
        <v>41372</v>
      </c>
      <c r="AL2380" t="s">
        <v>36703</v>
      </c>
      <c r="AN2380" t="s">
        <v>39289</v>
      </c>
      <c t="s">
        <v>34369</v>
      </c>
      <c t="s">
        <v>702</v>
      </c>
      <c t="s">
        <v>3093</v>
      </c>
      <c t="s">
        <v>55703</v>
      </c>
    </row>
    <row>
      <c t="s">
        <v>17594</v>
      </c>
      <c t="s">
        <v>22381</v>
      </c>
      <c t="s">
        <v>32194</v>
      </c>
      <c t="s">
        <v>51476</v>
      </c>
      <c t="s">
        <v>34503</v>
      </c>
      <c s="3">
        <v>35141</v>
      </c>
      <c s="3">
        <v>35141</v>
      </c>
      <c s="3">
        <v>35141</v>
      </c>
      <c>
        <v>0</v>
      </c>
      <c s="3">
        <v>0</v>
      </c>
      <c s="3">
        <v>538.43</v>
      </c>
      <c s="3">
        <v>35141</v>
      </c>
      <c r="O2381" s="1" t="str">
        <f ca="1">HYPERLINK("https://web.datatree.com/?/property?propertyId=32861902", "https://web.datatree.com/?/property?propertyId=32861902")</f>
        <v>https://web.datatree.com/?/property?propertyId=32861902</v>
      </c>
      <c r="Q2381" t="s">
        <v>316</v>
      </c>
      <c>
        <v>0.382</v>
      </c>
      <c t="s">
        <v>5471</v>
      </c>
      <c r="U2381" t="s">
        <v>11709</v>
      </c>
      <c t="s">
        <v>38445</v>
      </c>
      <c t="s">
        <v>1105</v>
      </c>
      <c t="s">
        <v>17739</v>
      </c>
      <c t="s">
        <v>38865</v>
      </c>
      <c t="s">
        <v>65059</v>
      </c>
      <c t="s">
        <v>39289</v>
      </c>
      <c>
        <v>33905</v>
      </c>
      <c>
        <v>33905</v>
      </c>
      <c t="s">
        <v>48794</v>
      </c>
      <c t="s">
        <v>6861</v>
      </c>
      <c>
        <v>503</v>
      </c>
      <c r="AI2381" t="s">
        <v>35485</v>
      </c>
      <c t="s">
        <v>45620</v>
      </c>
      <c r="AL2381" t="s">
        <v>2306</v>
      </c>
      <c t="s">
        <v>40227</v>
      </c>
      <c t="s">
        <v>14798</v>
      </c>
      <c t="s">
        <v>52635</v>
      </c>
      <c t="s">
        <v>52247</v>
      </c>
      <c t="s">
        <v>3093</v>
      </c>
      <c t="s">
        <v>5953</v>
      </c>
    </row>
    <row>
      <c t="s">
        <v>17594</v>
      </c>
      <c t="s">
        <v>36596</v>
      </c>
      <c t="s">
        <v>19623</v>
      </c>
      <c t="s">
        <v>24204</v>
      </c>
      <c t="s">
        <v>62221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382" s="1" t="str">
        <f ca="1">HYPERLINK("https://web.datatree.com/?/property?propertyId=32863400", "https://web.datatree.com/?/property?propertyId=32863400")</f>
        <v>https://web.datatree.com/?/property?propertyId=32863400</v>
      </c>
      <c r="Q2382" t="s">
        <v>316</v>
      </c>
      <c>
        <v>0.23</v>
      </c>
      <c t="s">
        <v>22490</v>
      </c>
      <c t="s">
        <v>47299</v>
      </c>
      <c t="s">
        <v>49936</v>
      </c>
      <c t="s">
        <v>48320</v>
      </c>
      <c t="s">
        <v>49936</v>
      </c>
      <c t="s">
        <v>28589</v>
      </c>
      <c t="s">
        <v>49674</v>
      </c>
      <c t="s">
        <v>2517</v>
      </c>
      <c t="s">
        <v>39289</v>
      </c>
      <c>
        <v>33909</v>
      </c>
      <c t="s">
        <v>4274</v>
      </c>
      <c t="s">
        <v>48794</v>
      </c>
      <c t="s">
        <v>17796</v>
      </c>
      <c>
        <v>17</v>
      </c>
      <c r="AI2382" t="s">
        <v>42810</v>
      </c>
      <c r="AL2382" t="s">
        <v>49873</v>
      </c>
      <c r="AN2382" t="s">
        <v>50917</v>
      </c>
      <c>
        <v>12510</v>
      </c>
      <c r="AR2382" t="s">
        <v>26162</v>
      </c>
    </row>
    <row>
      <c t="s">
        <v>17594</v>
      </c>
      <c t="s">
        <v>53001</v>
      </c>
      <c t="s">
        <v>4563</v>
      </c>
      <c t="s">
        <v>55188</v>
      </c>
      <c t="s">
        <v>429</v>
      </c>
      <c s="3">
        <v>20900</v>
      </c>
      <c s="3">
        <v>20900</v>
      </c>
      <c s="3">
        <v>10450</v>
      </c>
      <c>
        <v>0</v>
      </c>
      <c s="3">
        <v>0</v>
      </c>
      <c s="3">
        <v>597.57</v>
      </c>
      <c s="3">
        <v>20900</v>
      </c>
      <c r="O2383" s="1" t="str">
        <f ca="1">HYPERLINK("https://web.datatree.com/?/property?propertyId=32863458", "https://web.datatree.com/?/property?propertyId=32863458")</f>
        <v>https://web.datatree.com/?/property?propertyId=32863458</v>
      </c>
      <c r="Q2383" t="s">
        <v>316</v>
      </c>
      <c>
        <v>0.23</v>
      </c>
      <c t="s">
        <v>22490</v>
      </c>
      <c t="s">
        <v>37194</v>
      </c>
      <c t="s">
        <v>32989</v>
      </c>
      <c t="s">
        <v>50865</v>
      </c>
      <c t="s">
        <v>32989</v>
      </c>
      <c t="s">
        <v>320</v>
      </c>
      <c t="s">
        <v>23050</v>
      </c>
      <c t="s">
        <v>2517</v>
      </c>
      <c t="s">
        <v>39289</v>
      </c>
      <c>
        <v>33909</v>
      </c>
      <c>
        <v>33909</v>
      </c>
      <c t="s">
        <v>48794</v>
      </c>
      <c t="s">
        <v>16662</v>
      </c>
      <c>
        <v>2</v>
      </c>
      <c r="AI2383" t="s">
        <v>62729</v>
      </c>
      <c t="s">
        <v>40123</v>
      </c>
      <c r="AL2383" t="s">
        <v>16336</v>
      </c>
      <c r="AN2383" t="s">
        <v>26016</v>
      </c>
      <c t="s">
        <v>18516</v>
      </c>
      <c t="s">
        <v>27720</v>
      </c>
      <c t="s">
        <v>3093</v>
      </c>
      <c t="s">
        <v>28110</v>
      </c>
    </row>
    <row>
      <c t="s">
        <v>17594</v>
      </c>
      <c t="s">
        <v>15895</v>
      </c>
      <c t="s">
        <v>42111</v>
      </c>
      <c t="s">
        <v>16322</v>
      </c>
      <c t="s">
        <v>27156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2384" s="1" t="str">
        <f ca="1">HYPERLINK("https://web.datatree.com/?/property?propertyId=32864709", "https://web.datatree.com/?/property?propertyId=32864709")</f>
        <v>https://web.datatree.com/?/property?propertyId=32864709</v>
      </c>
      <c r="Q2384" t="s">
        <v>316</v>
      </c>
      <c>
        <v>0.23</v>
      </c>
      <c t="s">
        <v>22490</v>
      </c>
      <c t="s">
        <v>25948</v>
      </c>
      <c t="s">
        <v>37555</v>
      </c>
      <c t="s">
        <v>31293</v>
      </c>
      <c t="s">
        <v>29077</v>
      </c>
      <c t="s">
        <v>23966</v>
      </c>
      <c t="s">
        <v>39082</v>
      </c>
      <c t="s">
        <v>2517</v>
      </c>
      <c t="s">
        <v>39289</v>
      </c>
      <c>
        <v>33909</v>
      </c>
      <c t="s">
        <v>8345</v>
      </c>
      <c t="s">
        <v>48794</v>
      </c>
      <c t="s">
        <v>8379</v>
      </c>
      <c>
        <v>2</v>
      </c>
      <c r="AI2384" t="s">
        <v>12136</v>
      </c>
      <c t="s">
        <v>835</v>
      </c>
      <c r="AL2384" t="s">
        <v>13187</v>
      </c>
      <c r="AN2384" t="s">
        <v>50917</v>
      </c>
      <c t="s">
        <v>29239</v>
      </c>
      <c t="s">
        <v>62830</v>
      </c>
      <c t="s">
        <v>3093</v>
      </c>
      <c t="s">
        <v>12174</v>
      </c>
    </row>
    <row>
      <c t="s">
        <v>17594</v>
      </c>
      <c t="s">
        <v>14069</v>
      </c>
      <c t="s">
        <v>22867</v>
      </c>
      <c t="s">
        <v>12004</v>
      </c>
      <c t="s">
        <v>10978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2385" s="1" t="str">
        <f ca="1">HYPERLINK("https://web.datatree.com/?/property?propertyId=32865154", "https://web.datatree.com/?/property?propertyId=32865154")</f>
        <v>https://web.datatree.com/?/property?propertyId=32865154</v>
      </c>
      <c r="Q2385" t="s">
        <v>316</v>
      </c>
      <c>
        <v>0.23</v>
      </c>
      <c t="s">
        <v>6175</v>
      </c>
      <c t="s">
        <v>1859</v>
      </c>
      <c t="s">
        <v>22335</v>
      </c>
      <c t="s">
        <v>26711</v>
      </c>
      <c t="s">
        <v>63013</v>
      </c>
      <c t="s">
        <v>25340</v>
      </c>
      <c t="s">
        <v>34731</v>
      </c>
      <c t="s">
        <v>2517</v>
      </c>
      <c t="s">
        <v>39289</v>
      </c>
      <c>
        <v>33909</v>
      </c>
      <c t="s">
        <v>26665</v>
      </c>
      <c t="s">
        <v>48794</v>
      </c>
      <c t="s">
        <v>58222</v>
      </c>
      <c>
        <v>2445</v>
      </c>
      <c r="AI2385" t="s">
        <v>16447</v>
      </c>
      <c t="s">
        <v>1671</v>
      </c>
      <c r="AL2385" t="s">
        <v>40869</v>
      </c>
      <c r="AN2385" t="s">
        <v>39289</v>
      </c>
      <c t="s">
        <v>49964</v>
      </c>
      <c t="s">
        <v>14845</v>
      </c>
      <c t="s">
        <v>3093</v>
      </c>
      <c t="s">
        <v>39547</v>
      </c>
    </row>
    <row>
      <c t="s">
        <v>17594</v>
      </c>
      <c t="s">
        <v>63191</v>
      </c>
      <c t="s">
        <v>49031</v>
      </c>
      <c t="s">
        <v>25205</v>
      </c>
      <c t="s">
        <v>19362</v>
      </c>
      <c s="3">
        <v>23352</v>
      </c>
      <c s="3">
        <v>23352</v>
      </c>
      <c s="3">
        <v>8800</v>
      </c>
      <c>
        <v>0</v>
      </c>
      <c s="3">
        <v>0</v>
      </c>
      <c s="3">
        <v>645.53</v>
      </c>
      <c s="3">
        <v>23352</v>
      </c>
      <c r="O2386" s="1" t="str">
        <f ca="1">HYPERLINK("https://web.datatree.com/?/property?propertyId=32865297", "https://web.datatree.com/?/property?propertyId=32865297")</f>
        <v>https://web.datatree.com/?/property?propertyId=32865297</v>
      </c>
      <c r="Q2386" t="s">
        <v>316</v>
      </c>
      <c>
        <v>0.301</v>
      </c>
      <c t="s">
        <v>22490</v>
      </c>
      <c r="U2386" t="s">
        <v>24931</v>
      </c>
      <c r="W2386" t="s">
        <v>20003</v>
      </c>
      <c t="s">
        <v>40521</v>
      </c>
      <c t="s">
        <v>13829</v>
      </c>
      <c t="s">
        <v>2517</v>
      </c>
      <c t="s">
        <v>39289</v>
      </c>
      <c>
        <v>33909</v>
      </c>
      <c t="s">
        <v>58456</v>
      </c>
      <c t="s">
        <v>48794</v>
      </c>
      <c t="s">
        <v>31031</v>
      </c>
      <c>
        <v>12669</v>
      </c>
      <c r="AI2386" t="s">
        <v>62604</v>
      </c>
      <c t="s">
        <v>31192</v>
      </c>
      <c r="AL2386" t="s">
        <v>58657</v>
      </c>
      <c r="AN2386" t="s">
        <v>19878</v>
      </c>
      <c t="s">
        <v>27999</v>
      </c>
      <c t="s">
        <v>702</v>
      </c>
      <c t="s">
        <v>3093</v>
      </c>
      <c t="s">
        <v>25790</v>
      </c>
    </row>
    <row>
      <c t="s">
        <v>17594</v>
      </c>
      <c t="s">
        <v>63720</v>
      </c>
      <c t="s">
        <v>52489</v>
      </c>
      <c t="s">
        <v>59854</v>
      </c>
      <c t="s">
        <v>10701</v>
      </c>
      <c s="3">
        <v>14270</v>
      </c>
      <c s="3">
        <v>14270</v>
      </c>
      <c s="3">
        <v>10366</v>
      </c>
      <c>
        <v>0</v>
      </c>
      <c s="3">
        <v>0</v>
      </c>
      <c s="3">
        <v>170.47</v>
      </c>
      <c s="3">
        <v>14270</v>
      </c>
      <c r="O2387" s="1" t="str">
        <f ca="1">HYPERLINK("https://web.datatree.com/?/property?propertyId=32865388", "https://web.datatree.com/?/property?propertyId=32865388")</f>
        <v>https://web.datatree.com/?/property?propertyId=32865388</v>
      </c>
      <c r="Q2387" t="s">
        <v>316</v>
      </c>
      <c>
        <v>0.124</v>
      </c>
      <c t="s">
        <v>36917</v>
      </c>
      <c t="s">
        <v>29901</v>
      </c>
      <c t="s">
        <v>45731</v>
      </c>
      <c t="s">
        <v>47656</v>
      </c>
      <c t="s">
        <v>54428</v>
      </c>
      <c t="s">
        <v>7713</v>
      </c>
      <c t="s">
        <v>21897</v>
      </c>
      <c t="s">
        <v>65059</v>
      </c>
      <c t="s">
        <v>39289</v>
      </c>
      <c>
        <v>33908</v>
      </c>
      <c t="s">
        <v>44626</v>
      </c>
      <c t="s">
        <v>48794</v>
      </c>
      <c t="s">
        <v>62227</v>
      </c>
      <c>
        <v>3709</v>
      </c>
      <c r="AI2387" t="s">
        <v>34059</v>
      </c>
      <c t="s">
        <v>31192</v>
      </c>
      <c r="AL2387" t="s">
        <v>19458</v>
      </c>
      <c t="s">
        <v>19458</v>
      </c>
      <c t="s">
        <v>39289</v>
      </c>
      <c t="s">
        <v>35092</v>
      </c>
      <c t="s">
        <v>43294</v>
      </c>
      <c t="s">
        <v>3093</v>
      </c>
      <c t="s">
        <v>51656</v>
      </c>
    </row>
    <row>
      <c t="s">
        <v>17594</v>
      </c>
      <c t="s">
        <v>65378</v>
      </c>
      <c t="s">
        <v>25802</v>
      </c>
      <c t="s">
        <v>22836</v>
      </c>
      <c t="s">
        <v>54371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2388" s="1" t="str">
        <f ca="1">HYPERLINK("https://web.datatree.com/?/property?propertyId=32866183", "https://web.datatree.com/?/property?propertyId=32866183")</f>
        <v>https://web.datatree.com/?/property?propertyId=32866183</v>
      </c>
      <c r="Q2388" t="s">
        <v>316</v>
      </c>
      <c>
        <v>0.247</v>
      </c>
      <c t="s">
        <v>6175</v>
      </c>
      <c t="s">
        <v>32675</v>
      </c>
      <c t="s">
        <v>14637</v>
      </c>
      <c r="X2388" t="s">
        <v>54842</v>
      </c>
      <c t="s">
        <v>66701</v>
      </c>
      <c t="s">
        <v>2517</v>
      </c>
      <c t="s">
        <v>39289</v>
      </c>
      <c>
        <v>33909</v>
      </c>
      <c t="s">
        <v>19814</v>
      </c>
      <c t="s">
        <v>48794</v>
      </c>
      <c t="s">
        <v>46478</v>
      </c>
      <c>
        <v>2700</v>
      </c>
      <c r="AI2388" t="s">
        <v>15127</v>
      </c>
      <c t="s">
        <v>24900</v>
      </c>
      <c r="AL2388" t="s">
        <v>39545</v>
      </c>
      <c t="s">
        <v>39545</v>
      </c>
      <c t="s">
        <v>65451</v>
      </c>
      <c t="s">
        <v>32184</v>
      </c>
      <c t="s">
        <v>56028</v>
      </c>
      <c t="s">
        <v>3093</v>
      </c>
      <c t="s">
        <v>21527</v>
      </c>
    </row>
    <row>
      <c t="s">
        <v>17594</v>
      </c>
      <c t="s">
        <v>57468</v>
      </c>
      <c t="s">
        <v>14064</v>
      </c>
      <c t="s">
        <v>5553</v>
      </c>
      <c t="s">
        <v>53664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389" s="1" t="str">
        <f ca="1">HYPERLINK("https://web.datatree.com/?/property?propertyId=32866263", "https://web.datatree.com/?/property?propertyId=32866263")</f>
        <v>https://web.datatree.com/?/property?propertyId=32866263</v>
      </c>
      <c r="Q2389" t="s">
        <v>316</v>
      </c>
      <c>
        <v>0.23</v>
      </c>
      <c t="s">
        <v>6175</v>
      </c>
      <c t="s">
        <v>56092</v>
      </c>
      <c t="s">
        <v>59926</v>
      </c>
      <c r="W2389" t="s">
        <v>21555</v>
      </c>
      <c t="s">
        <v>32319</v>
      </c>
      <c t="s">
        <v>60363</v>
      </c>
      <c t="s">
        <v>2517</v>
      </c>
      <c t="s">
        <v>39289</v>
      </c>
      <c>
        <v>33909</v>
      </c>
      <c t="s">
        <v>31273</v>
      </c>
      <c t="s">
        <v>48794</v>
      </c>
      <c t="s">
        <v>16964</v>
      </c>
      <c>
        <v>1105</v>
      </c>
      <c r="AH2389" t="s">
        <v>26580</v>
      </c>
      <c t="s">
        <v>56489</v>
      </c>
      <c r="AK2389" t="s">
        <v>25384</v>
      </c>
      <c t="s">
        <v>17648</v>
      </c>
      <c r="AN2389" t="s">
        <v>3034</v>
      </c>
      <c t="s">
        <v>7785</v>
      </c>
      <c t="s">
        <v>27410</v>
      </c>
      <c t="s">
        <v>3093</v>
      </c>
      <c t="s">
        <v>38766</v>
      </c>
    </row>
    <row>
      <c t="s">
        <v>42103</v>
      </c>
      <c t="s">
        <v>41012</v>
      </c>
      <c t="s">
        <v>62320</v>
      </c>
      <c t="s">
        <v>25324</v>
      </c>
      <c t="s">
        <v>37147</v>
      </c>
      <c s="3">
        <v>83232</v>
      </c>
      <c s="3">
        <v>83232</v>
      </c>
      <c s="3">
        <v>74800</v>
      </c>
      <c>
        <v>0</v>
      </c>
      <c s="3">
        <v>0</v>
      </c>
      <c s="3">
        <v>1169.36</v>
      </c>
      <c s="3">
        <v>83232</v>
      </c>
      <c r="O2390" s="1" t="str">
        <f ca="1">HYPERLINK("https://web.datatree.com/?/property?propertyId=32866657", "https://web.datatree.com/?/property?propertyId=32866657")</f>
        <v>https://web.datatree.com/?/property?propertyId=32866657</v>
      </c>
      <c r="Q2390" t="s">
        <v>316</v>
      </c>
      <c>
        <v>0.179</v>
      </c>
      <c t="s">
        <v>5471</v>
      </c>
      <c t="s">
        <v>3293</v>
      </c>
      <c t="s">
        <v>36363</v>
      </c>
      <c r="X2390" t="s">
        <v>52049</v>
      </c>
      <c t="s">
        <v>40036</v>
      </c>
      <c t="s">
        <v>54524</v>
      </c>
      <c t="s">
        <v>39289</v>
      </c>
      <c>
        <v>33903</v>
      </c>
      <c t="s">
        <v>12588</v>
      </c>
      <c t="s">
        <v>48794</v>
      </c>
      <c t="s">
        <v>16348</v>
      </c>
      <c r="AI2390" t="s">
        <v>32175</v>
      </c>
      <c r="AL2390" t="s">
        <v>52434</v>
      </c>
      <c t="s">
        <v>52434</v>
      </c>
      <c t="s">
        <v>39289</v>
      </c>
      <c t="s">
        <v>20815</v>
      </c>
      <c t="s">
        <v>22417</v>
      </c>
      <c t="s">
        <v>3093</v>
      </c>
      <c t="s">
        <v>35053</v>
      </c>
    </row>
    <row>
      <c t="s">
        <v>17594</v>
      </c>
      <c t="s">
        <v>39312</v>
      </c>
      <c t="s">
        <v>18089</v>
      </c>
      <c t="s">
        <v>20079</v>
      </c>
      <c t="s">
        <v>33182</v>
      </c>
      <c s="3">
        <v>98192</v>
      </c>
      <c s="3">
        <v>98192</v>
      </c>
      <c s="3">
        <v>83600</v>
      </c>
      <c>
        <v>0</v>
      </c>
      <c s="3">
        <v>0</v>
      </c>
      <c s="3">
        <v>1814.82</v>
      </c>
      <c s="3">
        <v>98192</v>
      </c>
      <c r="O2391" s="1" t="str">
        <f ca="1">HYPERLINK("https://web.datatree.com/?/property?propertyId=32866670", "https://web.datatree.com/?/property?propertyId=32866670")</f>
        <v>https://web.datatree.com/?/property?propertyId=32866670</v>
      </c>
      <c r="Q2391" t="s">
        <v>316</v>
      </c>
      <c>
        <v>0.23</v>
      </c>
      <c t="s">
        <v>22490</v>
      </c>
      <c t="s">
        <v>48526</v>
      </c>
      <c t="s">
        <v>61773</v>
      </c>
      <c t="s">
        <v>50331</v>
      </c>
      <c t="s">
        <v>61773</v>
      </c>
      <c t="s">
        <v>45672</v>
      </c>
      <c t="s">
        <v>371</v>
      </c>
      <c t="s">
        <v>2517</v>
      </c>
      <c t="s">
        <v>39289</v>
      </c>
      <c>
        <v>33904</v>
      </c>
      <c t="s">
        <v>16711</v>
      </c>
      <c t="s">
        <v>48794</v>
      </c>
      <c t="s">
        <v>44813</v>
      </c>
      <c>
        <v>7324</v>
      </c>
      <c r="AI2391" t="s">
        <v>6073</v>
      </c>
      <c t="s">
        <v>45393</v>
      </c>
      <c r="AL2391" t="s">
        <v>50419</v>
      </c>
      <c r="AN2391" t="s">
        <v>19878</v>
      </c>
      <c t="s">
        <v>43148</v>
      </c>
      <c t="s">
        <v>26242</v>
      </c>
      <c t="s">
        <v>3093</v>
      </c>
      <c t="s">
        <v>591</v>
      </c>
    </row>
    <row>
      <c t="s">
        <v>17594</v>
      </c>
      <c t="s">
        <v>34691</v>
      </c>
      <c t="s">
        <v>53633</v>
      </c>
      <c t="s">
        <v>37074</v>
      </c>
      <c t="s">
        <v>13195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2392" s="1" t="str">
        <f ca="1">HYPERLINK("https://web.datatree.com/?/property?propertyId=32866683", "https://web.datatree.com/?/property?propertyId=32866683")</f>
        <v>https://web.datatree.com/?/property?propertyId=32866683</v>
      </c>
      <c r="Q2392" t="s">
        <v>316</v>
      </c>
      <c>
        <v>0.23</v>
      </c>
      <c t="s">
        <v>5471</v>
      </c>
      <c t="s">
        <v>10361</v>
      </c>
      <c t="s">
        <v>36463</v>
      </c>
      <c t="s">
        <v>54618</v>
      </c>
      <c t="s">
        <v>36463</v>
      </c>
      <c t="s">
        <v>57848</v>
      </c>
      <c t="s">
        <v>26386</v>
      </c>
      <c t="s">
        <v>65059</v>
      </c>
      <c t="s">
        <v>39289</v>
      </c>
      <c>
        <v>33905</v>
      </c>
      <c t="s">
        <v>7757</v>
      </c>
      <c t="s">
        <v>48794</v>
      </c>
      <c t="s">
        <v>4062</v>
      </c>
      <c>
        <v>174</v>
      </c>
      <c r="AI2392" t="s">
        <v>33325</v>
      </c>
      <c t="s">
        <v>45620</v>
      </c>
      <c r="AL2392" t="s">
        <v>24221</v>
      </c>
      <c r="AN2392" t="s">
        <v>5859</v>
      </c>
      <c t="s">
        <v>38933</v>
      </c>
      <c t="s">
        <v>14695</v>
      </c>
      <c t="s">
        <v>3093</v>
      </c>
      <c t="s">
        <v>33588</v>
      </c>
    </row>
    <row>
      <c t="s">
        <v>17594</v>
      </c>
      <c t="s">
        <v>5261</v>
      </c>
      <c t="s">
        <v>20777</v>
      </c>
      <c t="s">
        <v>36477</v>
      </c>
      <c t="s">
        <v>3280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2393" s="1" t="str">
        <f ca="1">HYPERLINK("https://web.datatree.com/?/property?propertyId=32867331", "https://web.datatree.com/?/property?propertyId=32867331")</f>
        <v>https://web.datatree.com/?/property?propertyId=32867331</v>
      </c>
      <c r="Q2393" t="s">
        <v>316</v>
      </c>
      <c>
        <v>0.23</v>
      </c>
      <c t="s">
        <v>6175</v>
      </c>
      <c t="s">
        <v>2884</v>
      </c>
      <c t="s">
        <v>400</v>
      </c>
      <c t="s">
        <v>34805</v>
      </c>
      <c t="s">
        <v>400</v>
      </c>
      <c t="s">
        <v>41274</v>
      </c>
      <c t="s">
        <v>53663</v>
      </c>
      <c t="s">
        <v>2517</v>
      </c>
      <c t="s">
        <v>39289</v>
      </c>
      <c>
        <v>33909</v>
      </c>
      <c t="s">
        <v>11712</v>
      </c>
      <c t="s">
        <v>48794</v>
      </c>
      <c t="s">
        <v>2583</v>
      </c>
      <c>
        <v>378</v>
      </c>
      <c r="AI2393" t="s">
        <v>49757</v>
      </c>
      <c t="s">
        <v>55842</v>
      </c>
      <c r="AL2393" t="s">
        <v>34949</v>
      </c>
      <c r="AN2393" t="s">
        <v>32657</v>
      </c>
      <c t="s">
        <v>146</v>
      </c>
      <c t="s">
        <v>44428</v>
      </c>
      <c t="s">
        <v>3093</v>
      </c>
      <c t="s">
        <v>15541</v>
      </c>
    </row>
    <row>
      <c t="s">
        <v>17594</v>
      </c>
      <c t="s">
        <v>40803</v>
      </c>
      <c t="s">
        <v>44408</v>
      </c>
      <c t="s">
        <v>21973</v>
      </c>
      <c t="s">
        <v>32850</v>
      </c>
      <c s="3">
        <v>8504</v>
      </c>
      <c s="3">
        <v>8504</v>
      </c>
      <c s="3">
        <v>8504</v>
      </c>
      <c>
        <v>0</v>
      </c>
      <c s="3">
        <v>0</v>
      </c>
      <c s="3">
        <v>125.2</v>
      </c>
      <c s="3">
        <v>8504</v>
      </c>
      <c>
        <v>2021</v>
      </c>
      <c>
        <v>153.15</v>
      </c>
      <c s="1" t="str">
        <f ca="1">HYPERLINK("https://web.datatree.com/?/property?propertyId=32868426", "https://web.datatree.com/?/property?propertyId=32868426")</f>
        <v>https://web.datatree.com/?/property?propertyId=32868426</v>
      </c>
      <c r="Q2394" t="s">
        <v>316</v>
      </c>
      <c>
        <v>0.164</v>
      </c>
      <c t="s">
        <v>5471</v>
      </c>
      <c t="s">
        <v>65444</v>
      </c>
      <c t="s">
        <v>45644</v>
      </c>
      <c r="X2394" t="s">
        <v>19348</v>
      </c>
      <c t="s">
        <v>57240</v>
      </c>
      <c t="s">
        <v>54524</v>
      </c>
      <c t="s">
        <v>39289</v>
      </c>
      <c>
        <v>33903</v>
      </c>
      <c t="s">
        <v>2942</v>
      </c>
      <c t="s">
        <v>48794</v>
      </c>
      <c t="s">
        <v>53708</v>
      </c>
      <c>
        <v>3715</v>
      </c>
      <c r="AH2394" t="s">
        <v>57851</v>
      </c>
      <c t="s">
        <v>2619</v>
      </c>
      <c t="s">
        <v>45393</v>
      </c>
      <c>
        <v>317</v>
      </c>
      <c t="s">
        <v>3402</v>
      </c>
      <c t="s">
        <v>1286</v>
      </c>
      <c t="s">
        <v>39289</v>
      </c>
      <c t="s">
        <v>26362</v>
      </c>
      <c t="s">
        <v>61410</v>
      </c>
      <c t="s">
        <v>3093</v>
      </c>
      <c t="s">
        <v>53686</v>
      </c>
    </row>
    <row>
      <c t="s">
        <v>17594</v>
      </c>
      <c t="s">
        <v>65302</v>
      </c>
      <c t="s">
        <v>31610</v>
      </c>
      <c t="s">
        <v>20768</v>
      </c>
      <c t="s">
        <v>45619</v>
      </c>
      <c s="3">
        <v>52640</v>
      </c>
      <c s="3">
        <v>52640</v>
      </c>
      <c s="3">
        <v>12100</v>
      </c>
      <c>
        <v>0</v>
      </c>
      <c s="3">
        <v>0</v>
      </c>
      <c s="3">
        <v>834.01</v>
      </c>
      <c s="3">
        <v>52640</v>
      </c>
      <c r="O2395" s="1" t="str">
        <f ca="1">HYPERLINK("https://web.datatree.com/?/property?propertyId=32868675", "https://web.datatree.com/?/property?propertyId=32868675")</f>
        <v>https://web.datatree.com/?/property?propertyId=32868675</v>
      </c>
      <c r="Q2395" t="s">
        <v>316</v>
      </c>
      <c>
        <v>0.281</v>
      </c>
      <c t="s">
        <v>22490</v>
      </c>
      <c t="s">
        <v>35571</v>
      </c>
      <c t="s">
        <v>36776</v>
      </c>
      <c t="s">
        <v>26502</v>
      </c>
      <c t="s">
        <v>36776</v>
      </c>
      <c t="s">
        <v>42492</v>
      </c>
      <c t="s">
        <v>53663</v>
      </c>
      <c t="s">
        <v>2517</v>
      </c>
      <c t="s">
        <v>39289</v>
      </c>
      <c>
        <v>33904</v>
      </c>
      <c t="s">
        <v>41157</v>
      </c>
      <c t="s">
        <v>48794</v>
      </c>
      <c t="s">
        <v>42870</v>
      </c>
      <c>
        <v>728</v>
      </c>
      <c r="AI2395" t="s">
        <v>30591</v>
      </c>
      <c t="s">
        <v>45393</v>
      </c>
      <c r="AL2395" t="s">
        <v>6640</v>
      </c>
      <c r="AN2395" t="s">
        <v>26016</v>
      </c>
      <c t="s">
        <v>51498</v>
      </c>
      <c t="s">
        <v>66620</v>
      </c>
      <c t="s">
        <v>3093</v>
      </c>
      <c t="s">
        <v>59667</v>
      </c>
    </row>
    <row>
      <c t="s">
        <v>42103</v>
      </c>
      <c t="s">
        <v>23253</v>
      </c>
      <c t="s">
        <v>44307</v>
      </c>
      <c t="s">
        <v>63898</v>
      </c>
      <c t="s">
        <v>9956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>
        <v>2019</v>
      </c>
      <c>
        <v>1462.57</v>
      </c>
      <c s="1" t="str">
        <f ca="1">HYPERLINK("https://web.datatree.com/?/property?propertyId=32869084", "https://web.datatree.com/?/property?propertyId=32869084")</f>
        <v>https://web.datatree.com/?/property?propertyId=32869084</v>
      </c>
      <c r="Q2396" t="s">
        <v>316</v>
      </c>
      <c>
        <v>0.295</v>
      </c>
      <c t="s">
        <v>5471</v>
      </c>
      <c t="s">
        <v>38202</v>
      </c>
      <c t="s">
        <v>56180</v>
      </c>
      <c t="s">
        <v>22923</v>
      </c>
      <c t="s">
        <v>56180</v>
      </c>
      <c t="s">
        <v>56264</v>
      </c>
      <c t="s">
        <v>20307</v>
      </c>
      <c t="s">
        <v>65059</v>
      </c>
      <c t="s">
        <v>39289</v>
      </c>
      <c>
        <v>33905</v>
      </c>
      <c t="s">
        <v>9129</v>
      </c>
      <c t="s">
        <v>48794</v>
      </c>
      <c t="s">
        <v>1561</v>
      </c>
      <c r="AI2396" t="s">
        <v>40317</v>
      </c>
      <c r="AL2396" t="s">
        <v>55248</v>
      </c>
      <c r="AN2396" t="s">
        <v>10909</v>
      </c>
      <c t="s">
        <v>61592</v>
      </c>
      <c r="AQ2396" t="s">
        <v>27814</v>
      </c>
      <c t="s">
        <v>7727</v>
      </c>
    </row>
    <row>
      <c t="s">
        <v>42103</v>
      </c>
      <c t="s">
        <v>13805</v>
      </c>
      <c t="s">
        <v>23043</v>
      </c>
      <c t="s">
        <v>56631</v>
      </c>
      <c t="s">
        <v>3529</v>
      </c>
      <c s="3">
        <v>48828</v>
      </c>
      <c s="3">
        <v>48828</v>
      </c>
      <c s="3">
        <v>15563</v>
      </c>
      <c>
        <v>0</v>
      </c>
      <c s="3">
        <v>0</v>
      </c>
      <c s="3">
        <v>975.41</v>
      </c>
      <c s="3">
        <v>48828</v>
      </c>
      <c r="O2397" s="1" t="str">
        <f ca="1">HYPERLINK("https://web.datatree.com/?/property?propertyId=32870599", "https://web.datatree.com/?/property?propertyId=32870599")</f>
        <v>https://web.datatree.com/?/property?propertyId=32870599</v>
      </c>
      <c r="Q2397" t="s">
        <v>316</v>
      </c>
      <c>
        <v>0.356</v>
      </c>
      <c t="s">
        <v>6175</v>
      </c>
      <c r="U2397" t="s">
        <v>60733</v>
      </c>
      <c r="W2397" t="s">
        <v>48102</v>
      </c>
      <c t="s">
        <v>3640</v>
      </c>
      <c t="s">
        <v>58797</v>
      </c>
      <c t="s">
        <v>2517</v>
      </c>
      <c t="s">
        <v>39289</v>
      </c>
      <c>
        <v>33909</v>
      </c>
      <c t="s">
        <v>44883</v>
      </c>
      <c t="s">
        <v>48794</v>
      </c>
      <c t="s">
        <v>19078</v>
      </c>
      <c r="AI2397" t="s">
        <v>23112</v>
      </c>
      <c r="AL2397" t="s">
        <v>59496</v>
      </c>
      <c r="AN2397" t="s">
        <v>26443</v>
      </c>
      <c>
        <v>52249</v>
      </c>
      <c t="s">
        <v>61509</v>
      </c>
      <c t="s">
        <v>3093</v>
      </c>
      <c t="s">
        <v>4302</v>
      </c>
    </row>
    <row>
      <c t="s">
        <v>17594</v>
      </c>
      <c t="s">
        <v>19546</v>
      </c>
      <c t="s">
        <v>49993</v>
      </c>
      <c t="s">
        <v>64206</v>
      </c>
      <c t="s">
        <v>12030</v>
      </c>
      <c s="3">
        <v>8515</v>
      </c>
      <c s="3">
        <v>8515</v>
      </c>
      <c s="3">
        <v>4972</v>
      </c>
      <c>
        <v>0</v>
      </c>
      <c s="3">
        <v>0</v>
      </c>
      <c s="3">
        <v>317.96</v>
      </c>
      <c s="3">
        <v>8515</v>
      </c>
      <c r="O2398" s="1" t="str">
        <f ca="1">HYPERLINK("https://web.datatree.com/?/property?propertyId=32870934", "https://web.datatree.com/?/property?propertyId=32870934")</f>
        <v>https://web.datatree.com/?/property?propertyId=32870934</v>
      </c>
      <c r="Q2398" t="s">
        <v>316</v>
      </c>
      <c>
        <v>0.249</v>
      </c>
      <c t="s">
        <v>5471</v>
      </c>
      <c t="s">
        <v>27594</v>
      </c>
      <c t="s">
        <v>28544</v>
      </c>
      <c r="X2398" t="s">
        <v>66465</v>
      </c>
      <c t="s">
        <v>7871</v>
      </c>
      <c t="s">
        <v>65059</v>
      </c>
      <c t="s">
        <v>39289</v>
      </c>
      <c>
        <v>33905</v>
      </c>
      <c t="s">
        <v>15421</v>
      </c>
      <c t="s">
        <v>48794</v>
      </c>
      <c t="s">
        <v>9223</v>
      </c>
      <c>
        <v>4231</v>
      </c>
      <c r="AI2398" t="s">
        <v>66995</v>
      </c>
      <c t="s">
        <v>45393</v>
      </c>
      <c>
        <v>163</v>
      </c>
      <c t="s">
        <v>53411</v>
      </c>
      <c r="AN2398" t="s">
        <v>50917</v>
      </c>
      <c t="s">
        <v>49505</v>
      </c>
      <c t="s">
        <v>7207</v>
      </c>
      <c t="s">
        <v>3093</v>
      </c>
      <c t="s">
        <v>41316</v>
      </c>
    </row>
    <row>
      <c t="s">
        <v>17594</v>
      </c>
      <c t="s">
        <v>11556</v>
      </c>
      <c t="s">
        <v>37755</v>
      </c>
      <c t="s">
        <v>5651</v>
      </c>
      <c t="s">
        <v>13048</v>
      </c>
      <c s="3">
        <v>195628</v>
      </c>
      <c s="3">
        <v>195628</v>
      </c>
      <c s="3">
        <v>172703</v>
      </c>
      <c>
        <v>0</v>
      </c>
      <c s="3">
        <v>0</v>
      </c>
      <c s="3">
        <v>3529.29</v>
      </c>
      <c s="3">
        <v>195628</v>
      </c>
      <c r="O2399" s="1" t="str">
        <f ca="1">HYPERLINK("https://web.datatree.com/?/property?propertyId=32871484", "https://web.datatree.com/?/property?propertyId=32871484")</f>
        <v>https://web.datatree.com/?/property?propertyId=32871484</v>
      </c>
      <c r="Q2399" t="s">
        <v>316</v>
      </c>
      <c>
        <v>0.23</v>
      </c>
      <c t="s">
        <v>22490</v>
      </c>
      <c t="s">
        <v>4847</v>
      </c>
      <c t="s">
        <v>42752</v>
      </c>
      <c t="s">
        <v>42845</v>
      </c>
      <c t="s">
        <v>42752</v>
      </c>
      <c t="s">
        <v>11836</v>
      </c>
      <c t="s">
        <v>29190</v>
      </c>
      <c t="s">
        <v>2517</v>
      </c>
      <c t="s">
        <v>39289</v>
      </c>
      <c>
        <v>33904</v>
      </c>
      <c>
        <v>33904</v>
      </c>
      <c t="s">
        <v>48794</v>
      </c>
      <c t="s">
        <v>65958</v>
      </c>
      <c>
        <v>22</v>
      </c>
      <c r="AI2399" t="s">
        <v>13397</v>
      </c>
      <c t="s">
        <v>24900</v>
      </c>
      <c r="AL2399" t="s">
        <v>54484</v>
      </c>
      <c t="s">
        <v>54484</v>
      </c>
      <c t="s">
        <v>50917</v>
      </c>
      <c t="s">
        <v>33377</v>
      </c>
      <c t="s">
        <v>3364</v>
      </c>
      <c t="s">
        <v>3093</v>
      </c>
      <c t="s">
        <v>31029</v>
      </c>
    </row>
    <row>
      <c t="s">
        <v>17594</v>
      </c>
      <c t="s">
        <v>66567</v>
      </c>
      <c t="s">
        <v>63264</v>
      </c>
      <c t="s">
        <v>59326</v>
      </c>
      <c t="s">
        <v>14848</v>
      </c>
      <c s="3">
        <v>11000</v>
      </c>
      <c s="3">
        <v>11000</v>
      </c>
      <c s="3">
        <v>11000</v>
      </c>
      <c>
        <v>0</v>
      </c>
      <c s="3">
        <v>0</v>
      </c>
      <c s="3">
        <v>453.5</v>
      </c>
      <c s="3">
        <v>11000</v>
      </c>
      <c r="O2400" s="1" t="str">
        <f ca="1">HYPERLINK("https://web.datatree.com/?/property?propertyId=32872293", "https://web.datatree.com/?/property?propertyId=32872293")</f>
        <v>https://web.datatree.com/?/property?propertyId=32872293</v>
      </c>
      <c r="Q2400" t="s">
        <v>316</v>
      </c>
      <c>
        <v>0.38</v>
      </c>
      <c t="s">
        <v>37489</v>
      </c>
      <c t="s">
        <v>46006</v>
      </c>
      <c t="s">
        <v>43840</v>
      </c>
      <c t="s">
        <v>7996</v>
      </c>
      <c t="s">
        <v>61995</v>
      </c>
      <c t="s">
        <v>11231</v>
      </c>
      <c t="s">
        <v>18019</v>
      </c>
      <c t="s">
        <v>65059</v>
      </c>
      <c t="s">
        <v>39289</v>
      </c>
      <c>
        <v>33905</v>
      </c>
      <c t="s">
        <v>1956</v>
      </c>
      <c t="s">
        <v>48794</v>
      </c>
      <c t="s">
        <v>14826</v>
      </c>
      <c>
        <v>4465</v>
      </c>
      <c r="AI2400" t="s">
        <v>11692</v>
      </c>
      <c t="s">
        <v>45620</v>
      </c>
      <c r="AL2400" t="s">
        <v>15179</v>
      </c>
      <c r="AN2400" t="s">
        <v>39289</v>
      </c>
      <c t="s">
        <v>25021</v>
      </c>
      <c t="s">
        <v>35508</v>
      </c>
      <c t="s">
        <v>3093</v>
      </c>
      <c t="s">
        <v>56745</v>
      </c>
    </row>
    <row>
      <c t="s">
        <v>17594</v>
      </c>
      <c t="s">
        <v>46904</v>
      </c>
      <c t="s">
        <v>40093</v>
      </c>
      <c t="s">
        <v>18736</v>
      </c>
      <c t="s">
        <v>50138</v>
      </c>
      <c s="3">
        <v>8395</v>
      </c>
      <c s="3">
        <v>8395</v>
      </c>
      <c s="3">
        <v>8395</v>
      </c>
      <c>
        <v>0</v>
      </c>
      <c s="3">
        <v>0</v>
      </c>
      <c s="3">
        <v>662.36</v>
      </c>
      <c s="3">
        <v>8395</v>
      </c>
      <c r="O2401" s="1" t="str">
        <f ca="1">HYPERLINK("https://web.datatree.com/?/property?propertyId=32872452", "https://web.datatree.com/?/property?propertyId=32872452")</f>
        <v>https://web.datatree.com/?/property?propertyId=32872452</v>
      </c>
      <c r="Q2401" t="s">
        <v>316</v>
      </c>
      <c>
        <v>0.306</v>
      </c>
      <c t="s">
        <v>22490</v>
      </c>
      <c t="s">
        <v>60671</v>
      </c>
      <c t="s">
        <v>10278</v>
      </c>
      <c t="s">
        <v>7182</v>
      </c>
      <c t="s">
        <v>10278</v>
      </c>
      <c t="s">
        <v>2147</v>
      </c>
      <c t="s">
        <v>49122</v>
      </c>
      <c t="s">
        <v>2517</v>
      </c>
      <c t="s">
        <v>39289</v>
      </c>
      <c>
        <v>33909</v>
      </c>
      <c t="s">
        <v>8002</v>
      </c>
      <c t="s">
        <v>48794</v>
      </c>
      <c t="s">
        <v>28264</v>
      </c>
      <c>
        <v>910</v>
      </c>
      <c r="AI2401" t="s">
        <v>2760</v>
      </c>
      <c t="s">
        <v>45620</v>
      </c>
      <c r="AL2401" t="s">
        <v>52609</v>
      </c>
      <c t="s">
        <v>52609</v>
      </c>
      <c t="s">
        <v>10804</v>
      </c>
      <c t="s">
        <v>2826</v>
      </c>
      <c t="s">
        <v>48506</v>
      </c>
      <c t="s">
        <v>3093</v>
      </c>
      <c t="s">
        <v>43362</v>
      </c>
    </row>
    <row>
      <c t="s">
        <v>17594</v>
      </c>
      <c t="s">
        <v>41519</v>
      </c>
      <c t="s">
        <v>58127</v>
      </c>
      <c t="s">
        <v>58318</v>
      </c>
      <c t="s">
        <v>3375</v>
      </c>
      <c s="3">
        <v>7700</v>
      </c>
      <c s="3">
        <v>7700</v>
      </c>
      <c s="3">
        <v>7700</v>
      </c>
      <c>
        <v>0</v>
      </c>
      <c s="3">
        <v>0</v>
      </c>
      <c s="3">
        <v>733.39</v>
      </c>
      <c s="3">
        <v>7700</v>
      </c>
      <c r="O2402" s="1" t="str">
        <f ca="1">HYPERLINK("https://web.datatree.com/?/property?propertyId=32872725", "https://web.datatree.com/?/property?propertyId=32872725")</f>
        <v>https://web.datatree.com/?/property?propertyId=32872725</v>
      </c>
      <c r="Q2402" t="s">
        <v>316</v>
      </c>
      <c>
        <v>0.279</v>
      </c>
      <c t="s">
        <v>6175</v>
      </c>
      <c t="s">
        <v>54943</v>
      </c>
      <c t="s">
        <v>9640</v>
      </c>
      <c r="X2402" t="s">
        <v>55725</v>
      </c>
      <c t="s">
        <v>50440</v>
      </c>
      <c t="s">
        <v>2517</v>
      </c>
      <c t="s">
        <v>39289</v>
      </c>
      <c>
        <v>33909</v>
      </c>
      <c t="s">
        <v>64288</v>
      </c>
      <c t="s">
        <v>48794</v>
      </c>
      <c t="s">
        <v>24704</v>
      </c>
      <c>
        <v>30</v>
      </c>
      <c r="AI2402" t="s">
        <v>65323</v>
      </c>
      <c t="s">
        <v>24900</v>
      </c>
      <c r="AL2402" t="s">
        <v>55393</v>
      </c>
      <c t="s">
        <v>55393</v>
      </c>
      <c t="s">
        <v>39289</v>
      </c>
      <c t="s">
        <v>9693</v>
      </c>
      <c t="s">
        <v>44843</v>
      </c>
      <c t="s">
        <v>3093</v>
      </c>
      <c t="s">
        <v>1737</v>
      </c>
    </row>
    <row>
      <c t="s">
        <v>17594</v>
      </c>
      <c t="s">
        <v>41018</v>
      </c>
      <c t="s">
        <v>63495</v>
      </c>
      <c t="s">
        <v>52368</v>
      </c>
      <c t="s">
        <v>15022</v>
      </c>
      <c s="3">
        <v>10500</v>
      </c>
      <c s="3">
        <v>10500</v>
      </c>
      <c s="3">
        <v>10500</v>
      </c>
      <c>
        <v>0</v>
      </c>
      <c s="3">
        <v>0</v>
      </c>
      <c s="3">
        <v>734.79</v>
      </c>
      <c s="3">
        <v>10500</v>
      </c>
      <c r="O2403" s="1" t="str">
        <f ca="1">HYPERLINK("https://web.datatree.com/?/property?propertyId=32873738", "https://web.datatree.com/?/property?propertyId=32873738")</f>
        <v>https://web.datatree.com/?/property?propertyId=32873738</v>
      </c>
      <c r="Q2403" t="s">
        <v>316</v>
      </c>
      <c>
        <v>0.344</v>
      </c>
      <c t="s">
        <v>6175</v>
      </c>
      <c t="s">
        <v>39666</v>
      </c>
      <c t="s">
        <v>57432</v>
      </c>
      <c t="s">
        <v>9589</v>
      </c>
      <c t="s">
        <v>39666</v>
      </c>
      <c t="s">
        <v>13144</v>
      </c>
      <c t="s">
        <v>29190</v>
      </c>
      <c t="s">
        <v>2517</v>
      </c>
      <c t="s">
        <v>39289</v>
      </c>
      <c>
        <v>33909</v>
      </c>
      <c t="s">
        <v>42904</v>
      </c>
      <c t="s">
        <v>48794</v>
      </c>
      <c t="s">
        <v>35385</v>
      </c>
      <c>
        <v>761</v>
      </c>
      <c r="AI2403" t="s">
        <v>61865</v>
      </c>
      <c t="s">
        <v>41372</v>
      </c>
      <c r="AL2403" t="s">
        <v>29515</v>
      </c>
      <c t="s">
        <v>29515</v>
      </c>
      <c t="s">
        <v>39289</v>
      </c>
      <c t="s">
        <v>43225</v>
      </c>
      <c t="s">
        <v>17380</v>
      </c>
      <c t="s">
        <v>3093</v>
      </c>
      <c t="s">
        <v>48033</v>
      </c>
    </row>
    <row>
      <c t="s">
        <v>17594</v>
      </c>
      <c t="s">
        <v>20046</v>
      </c>
      <c t="s">
        <v>31655</v>
      </c>
      <c t="s">
        <v>59982</v>
      </c>
      <c t="s">
        <v>55946</v>
      </c>
      <c s="3">
        <v>25672</v>
      </c>
      <c s="3">
        <v>25672</v>
      </c>
      <c s="3">
        <v>11550</v>
      </c>
      <c>
        <v>0</v>
      </c>
      <c s="3">
        <v>0</v>
      </c>
      <c s="3">
        <v>660.98</v>
      </c>
      <c s="3">
        <v>25672</v>
      </c>
      <c r="O2404" s="1" t="str">
        <f ca="1">HYPERLINK("https://web.datatree.com/?/property?propertyId=32874278", "https://web.datatree.com/?/property?propertyId=32874278")</f>
        <v>https://web.datatree.com/?/property?propertyId=32874278</v>
      </c>
      <c r="Q2404" t="s">
        <v>316</v>
      </c>
      <c>
        <v>0.268</v>
      </c>
      <c t="s">
        <v>22490</v>
      </c>
      <c r="U2404" t="s">
        <v>37221</v>
      </c>
      <c r="W2404" t="s">
        <v>738</v>
      </c>
      <c t="s">
        <v>56038</v>
      </c>
      <c t="s">
        <v>22731</v>
      </c>
      <c t="s">
        <v>2517</v>
      </c>
      <c t="s">
        <v>39289</v>
      </c>
      <c>
        <v>33909</v>
      </c>
      <c t="s">
        <v>56221</v>
      </c>
      <c t="s">
        <v>48794</v>
      </c>
      <c t="s">
        <v>59546</v>
      </c>
      <c>
        <v>107</v>
      </c>
      <c r="AI2404" t="s">
        <v>59300</v>
      </c>
      <c t="s">
        <v>45393</v>
      </c>
      <c r="AL2404" t="s">
        <v>12112</v>
      </c>
      <c t="s">
        <v>12112</v>
      </c>
      <c t="s">
        <v>64022</v>
      </c>
      <c t="s">
        <v>24986</v>
      </c>
      <c t="s">
        <v>34162</v>
      </c>
      <c t="s">
        <v>3093</v>
      </c>
      <c t="s">
        <v>4120</v>
      </c>
    </row>
    <row>
      <c t="s">
        <v>17594</v>
      </c>
      <c t="s">
        <v>65473</v>
      </c>
      <c t="s">
        <v>35591</v>
      </c>
      <c t="s">
        <v>11969</v>
      </c>
      <c t="s">
        <v>50981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405" s="1" t="str">
        <f ca="1">HYPERLINK("https://web.datatree.com/?/property?propertyId=32874537", "https://web.datatree.com/?/property?propertyId=32874537")</f>
        <v>https://web.datatree.com/?/property?propertyId=32874537</v>
      </c>
      <c r="Q2405" t="s">
        <v>316</v>
      </c>
      <c>
        <v>0.23</v>
      </c>
      <c t="s">
        <v>22490</v>
      </c>
      <c t="s">
        <v>3293</v>
      </c>
      <c t="s">
        <v>37047</v>
      </c>
      <c r="X2405" t="s">
        <v>64749</v>
      </c>
      <c t="s">
        <v>66701</v>
      </c>
      <c t="s">
        <v>2517</v>
      </c>
      <c t="s">
        <v>39289</v>
      </c>
      <c>
        <v>33909</v>
      </c>
      <c t="s">
        <v>13395</v>
      </c>
      <c t="s">
        <v>48794</v>
      </c>
      <c t="s">
        <v>33987</v>
      </c>
      <c>
        <v>49</v>
      </c>
      <c r="AI2405" t="s">
        <v>67174</v>
      </c>
      <c t="s">
        <v>45620</v>
      </c>
      <c r="AL2405" t="s">
        <v>47302</v>
      </c>
      <c r="AN2405" t="s">
        <v>50917</v>
      </c>
      <c t="s">
        <v>960</v>
      </c>
      <c t="s">
        <v>49977</v>
      </c>
      <c t="s">
        <v>3093</v>
      </c>
      <c t="s">
        <v>44764</v>
      </c>
    </row>
    <row>
      <c t="s">
        <v>17594</v>
      </c>
      <c t="s">
        <v>30267</v>
      </c>
      <c t="s">
        <v>1461</v>
      </c>
      <c t="s">
        <v>4268</v>
      </c>
      <c t="s">
        <v>67211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406" s="1" t="str">
        <f ca="1">HYPERLINK("https://web.datatree.com/?/property?propertyId=32874727", "https://web.datatree.com/?/property?propertyId=32874727")</f>
        <v>https://web.datatree.com/?/property?propertyId=32874727</v>
      </c>
      <c r="Q2406" t="s">
        <v>316</v>
      </c>
      <c>
        <v>0.23</v>
      </c>
      <c t="s">
        <v>6175</v>
      </c>
      <c t="s">
        <v>7097</v>
      </c>
      <c t="s">
        <v>16223</v>
      </c>
      <c t="s">
        <v>2636</v>
      </c>
      <c t="s">
        <v>16223</v>
      </c>
      <c t="s">
        <v>53831</v>
      </c>
      <c t="s">
        <v>5115</v>
      </c>
      <c t="s">
        <v>2517</v>
      </c>
      <c t="s">
        <v>39289</v>
      </c>
      <c>
        <v>33909</v>
      </c>
      <c t="s">
        <v>18402</v>
      </c>
      <c t="s">
        <v>48794</v>
      </c>
      <c t="s">
        <v>47994</v>
      </c>
      <c>
        <v>10</v>
      </c>
      <c r="AI2406" t="s">
        <v>1992</v>
      </c>
      <c t="s">
        <v>24900</v>
      </c>
      <c>
        <v>615</v>
      </c>
      <c t="s">
        <v>64737</v>
      </c>
      <c r="AN2406" t="s">
        <v>10909</v>
      </c>
      <c t="s">
        <v>4042</v>
      </c>
      <c r="AQ2406" t="s">
        <v>27814</v>
      </c>
      <c t="s">
        <v>19852</v>
      </c>
    </row>
    <row>
      <c t="s">
        <v>17594</v>
      </c>
      <c t="s">
        <v>35164</v>
      </c>
      <c t="s">
        <v>15120</v>
      </c>
      <c t="s">
        <v>20029</v>
      </c>
      <c t="s">
        <v>19451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407" s="1" t="str">
        <f ca="1">HYPERLINK("https://web.datatree.com/?/property?propertyId=32875277", "https://web.datatree.com/?/property?propertyId=32875277")</f>
        <v>https://web.datatree.com/?/property?propertyId=32875277</v>
      </c>
      <c r="Q2407" t="s">
        <v>316</v>
      </c>
      <c>
        <v>0.23</v>
      </c>
      <c t="s">
        <v>42044</v>
      </c>
      <c r="U2407" t="s">
        <v>59506</v>
      </c>
      <c r="W2407" t="s">
        <v>51081</v>
      </c>
      <c t="s">
        <v>59506</v>
      </c>
      <c t="s">
        <v>61144</v>
      </c>
      <c t="s">
        <v>2517</v>
      </c>
      <c t="s">
        <v>39289</v>
      </c>
      <c>
        <v>33909</v>
      </c>
      <c t="s">
        <v>56696</v>
      </c>
      <c t="s">
        <v>48794</v>
      </c>
      <c t="s">
        <v>28486</v>
      </c>
      <c>
        <v>6825</v>
      </c>
      <c r="AI2407" t="s">
        <v>16893</v>
      </c>
      <c t="s">
        <v>55842</v>
      </c>
      <c r="AL2407" t="s">
        <v>44427</v>
      </c>
      <c t="s">
        <v>44427</v>
      </c>
      <c t="s">
        <v>27481</v>
      </c>
      <c>
        <v>53012</v>
      </c>
      <c r="AQ2407" t="s">
        <v>3093</v>
      </c>
      <c t="s">
        <v>37492</v>
      </c>
    </row>
    <row>
      <c t="s">
        <v>17594</v>
      </c>
      <c t="s">
        <v>7644</v>
      </c>
      <c t="s">
        <v>9580</v>
      </c>
      <c t="s">
        <v>12129</v>
      </c>
      <c t="s">
        <v>3184</v>
      </c>
      <c s="3">
        <v>18772</v>
      </c>
      <c s="3">
        <v>18772</v>
      </c>
      <c s="3">
        <v>7427</v>
      </c>
      <c>
        <v>0</v>
      </c>
      <c s="3">
        <v>0</v>
      </c>
      <c s="3">
        <v>181.65</v>
      </c>
      <c s="3">
        <v>18772</v>
      </c>
      <c r="O2408" s="1" t="str">
        <f ca="1">HYPERLINK("https://web.datatree.com/?/property?propertyId=32875338", "https://web.datatree.com/?/property?propertyId=32875338")</f>
        <v>https://web.datatree.com/?/property?propertyId=32875338</v>
      </c>
      <c r="Q2408" t="s">
        <v>316</v>
      </c>
      <c>
        <v>0.347</v>
      </c>
      <c t="s">
        <v>5471</v>
      </c>
      <c t="s">
        <v>1994</v>
      </c>
      <c t="s">
        <v>333</v>
      </c>
      <c t="s">
        <v>49272</v>
      </c>
      <c t="s">
        <v>333</v>
      </c>
      <c t="s">
        <v>6432</v>
      </c>
      <c t="s">
        <v>33854</v>
      </c>
      <c t="s">
        <v>54524</v>
      </c>
      <c t="s">
        <v>39289</v>
      </c>
      <c>
        <v>33903</v>
      </c>
      <c>
        <v>33903</v>
      </c>
      <c t="s">
        <v>48794</v>
      </c>
      <c t="s">
        <v>63278</v>
      </c>
      <c>
        <v>60</v>
      </c>
      <c r="AI2408" t="s">
        <v>7964</v>
      </c>
      <c t="s">
        <v>24900</v>
      </c>
      <c r="AL2408" t="s">
        <v>14113</v>
      </c>
      <c t="s">
        <v>65059</v>
      </c>
      <c t="s">
        <v>26016</v>
      </c>
      <c t="s">
        <v>20454</v>
      </c>
      <c t="s">
        <v>24994</v>
      </c>
      <c t="s">
        <v>3093</v>
      </c>
      <c t="s">
        <v>16193</v>
      </c>
    </row>
    <row>
      <c t="s">
        <v>17594</v>
      </c>
      <c t="s">
        <v>10133</v>
      </c>
      <c t="s">
        <v>23202</v>
      </c>
      <c t="s">
        <v>39053</v>
      </c>
      <c t="s">
        <v>41192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2409" s="1" t="str">
        <f ca="1">HYPERLINK("https://web.datatree.com/?/property?propertyId=32876446", "https://web.datatree.com/?/property?propertyId=32876446")</f>
        <v>https://web.datatree.com/?/property?propertyId=32876446</v>
      </c>
      <c r="Q2409" t="s">
        <v>316</v>
      </c>
      <c>
        <v>0.246</v>
      </c>
      <c t="s">
        <v>5471</v>
      </c>
      <c t="s">
        <v>43826</v>
      </c>
      <c t="s">
        <v>29205</v>
      </c>
      <c r="X2409" t="s">
        <v>6222</v>
      </c>
      <c t="s">
        <v>10854</v>
      </c>
      <c t="s">
        <v>65059</v>
      </c>
      <c t="s">
        <v>39289</v>
      </c>
      <c>
        <v>33905</v>
      </c>
      <c t="s">
        <v>65255</v>
      </c>
      <c t="s">
        <v>48794</v>
      </c>
      <c t="s">
        <v>65808</v>
      </c>
      <c>
        <v>17767</v>
      </c>
      <c r="AH2409" t="s">
        <v>26580</v>
      </c>
      <c t="s">
        <v>13464</v>
      </c>
      <c t="s">
        <v>45620</v>
      </c>
      <c r="AL2409" t="s">
        <v>32628</v>
      </c>
      <c t="s">
        <v>45426</v>
      </c>
      <c t="s">
        <v>39289</v>
      </c>
      <c t="s">
        <v>32161</v>
      </c>
      <c t="s">
        <v>12251</v>
      </c>
      <c t="s">
        <v>3093</v>
      </c>
      <c t="s">
        <v>31243</v>
      </c>
    </row>
    <row>
      <c t="s">
        <v>17594</v>
      </c>
      <c t="s">
        <v>1209</v>
      </c>
      <c t="s">
        <v>15951</v>
      </c>
      <c t="s">
        <v>49340</v>
      </c>
      <c t="s">
        <v>42045</v>
      </c>
      <c s="3">
        <v>26249</v>
      </c>
      <c s="3">
        <v>26249</v>
      </c>
      <c s="3">
        <v>9339</v>
      </c>
      <c>
        <v>0</v>
      </c>
      <c s="3">
        <v>0</v>
      </c>
      <c s="3">
        <v>1224.02</v>
      </c>
      <c s="3">
        <v>26249</v>
      </c>
      <c r="O2410" s="1" t="str">
        <f ca="1">HYPERLINK("https://web.datatree.com/?/property?propertyId=32876908", "https://web.datatree.com/?/property?propertyId=32876908")</f>
        <v>https://web.datatree.com/?/property?propertyId=32876908</v>
      </c>
      <c r="Q2410" t="s">
        <v>316</v>
      </c>
      <c>
        <v>0.23</v>
      </c>
      <c t="s">
        <v>6175</v>
      </c>
      <c t="s">
        <v>5121</v>
      </c>
      <c t="s">
        <v>46201</v>
      </c>
      <c r="X2410" t="s">
        <v>24436</v>
      </c>
      <c t="s">
        <v>53675</v>
      </c>
      <c t="s">
        <v>2517</v>
      </c>
      <c t="s">
        <v>39289</v>
      </c>
      <c>
        <v>33909</v>
      </c>
      <c t="s">
        <v>59181</v>
      </c>
      <c t="s">
        <v>48794</v>
      </c>
      <c t="s">
        <v>59901</v>
      </c>
      <c>
        <v>130</v>
      </c>
      <c r="AI2410" t="s">
        <v>66379</v>
      </c>
      <c t="s">
        <v>31192</v>
      </c>
      <c r="AL2410" t="s">
        <v>29573</v>
      </c>
      <c r="AN2410" t="s">
        <v>39289</v>
      </c>
      <c t="s">
        <v>60546</v>
      </c>
      <c t="s">
        <v>51249</v>
      </c>
      <c t="s">
        <v>3093</v>
      </c>
      <c t="s">
        <v>49701</v>
      </c>
    </row>
    <row>
      <c t="s">
        <v>17594</v>
      </c>
      <c t="s">
        <v>38951</v>
      </c>
      <c t="s">
        <v>56578</v>
      </c>
      <c t="s">
        <v>41217</v>
      </c>
      <c t="s">
        <v>11408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2411" s="1" t="str">
        <f ca="1">HYPERLINK("https://web.datatree.com/?/property?propertyId=32877258", "https://web.datatree.com/?/property?propertyId=32877258")</f>
        <v>https://web.datatree.com/?/property?propertyId=32877258</v>
      </c>
      <c r="Q2411" t="s">
        <v>316</v>
      </c>
      <c>
        <v>0.24</v>
      </c>
      <c t="s">
        <v>6175</v>
      </c>
      <c t="s">
        <v>34996</v>
      </c>
      <c t="s">
        <v>17624</v>
      </c>
      <c t="s">
        <v>49988</v>
      </c>
      <c t="s">
        <v>17624</v>
      </c>
      <c t="s">
        <v>55430</v>
      </c>
      <c t="s">
        <v>14534</v>
      </c>
      <c t="s">
        <v>2517</v>
      </c>
      <c t="s">
        <v>39289</v>
      </c>
      <c>
        <v>33909</v>
      </c>
      <c t="s">
        <v>51734</v>
      </c>
      <c t="s">
        <v>48794</v>
      </c>
      <c t="s">
        <v>3179</v>
      </c>
      <c>
        <v>354</v>
      </c>
      <c r="AI2411" t="s">
        <v>22773</v>
      </c>
      <c t="s">
        <v>45620</v>
      </c>
      <c r="AL2411" t="s">
        <v>66317</v>
      </c>
      <c t="s">
        <v>13397</v>
      </c>
      <c t="s">
        <v>50917</v>
      </c>
      <c t="s">
        <v>34243</v>
      </c>
      <c t="s">
        <v>25140</v>
      </c>
      <c t="s">
        <v>3093</v>
      </c>
      <c t="s">
        <v>17283</v>
      </c>
    </row>
    <row>
      <c t="s">
        <v>17594</v>
      </c>
      <c t="s">
        <v>23724</v>
      </c>
      <c t="s">
        <v>63798</v>
      </c>
      <c t="s">
        <v>16135</v>
      </c>
      <c t="s">
        <v>50369</v>
      </c>
      <c s="3">
        <v>23310</v>
      </c>
      <c s="3">
        <v>23310</v>
      </c>
      <c s="3">
        <v>9599</v>
      </c>
      <c>
        <v>0</v>
      </c>
      <c s="3">
        <v>0</v>
      </c>
      <c s="3">
        <v>889.84</v>
      </c>
      <c s="3">
        <v>23310</v>
      </c>
      <c r="O2412" s="1" t="str">
        <f ca="1">HYPERLINK("https://web.datatree.com/?/property?propertyId=32877456", "https://web.datatree.com/?/property?propertyId=32877456")</f>
        <v>https://web.datatree.com/?/property?propertyId=32877456</v>
      </c>
      <c r="Q2412" t="s">
        <v>316</v>
      </c>
      <c>
        <v>0.344</v>
      </c>
      <c t="s">
        <v>42044</v>
      </c>
      <c t="s">
        <v>552</v>
      </c>
      <c t="s">
        <v>61623</v>
      </c>
      <c t="s">
        <v>42388</v>
      </c>
      <c t="s">
        <v>61623</v>
      </c>
      <c t="s">
        <v>3097</v>
      </c>
      <c t="s">
        <v>39777</v>
      </c>
      <c t="s">
        <v>2517</v>
      </c>
      <c t="s">
        <v>39289</v>
      </c>
      <c>
        <v>33909</v>
      </c>
      <c t="s">
        <v>66466</v>
      </c>
      <c t="s">
        <v>48794</v>
      </c>
      <c t="s">
        <v>49223</v>
      </c>
      <c>
        <v>103</v>
      </c>
      <c r="AI2412" t="s">
        <v>57865</v>
      </c>
      <c t="s">
        <v>45393</v>
      </c>
      <c r="AL2412" t="s">
        <v>40570</v>
      </c>
      <c r="AN2412" t="s">
        <v>27747</v>
      </c>
      <c t="s">
        <v>3761</v>
      </c>
      <c t="s">
        <v>27780</v>
      </c>
      <c t="s">
        <v>3093</v>
      </c>
      <c t="s">
        <v>59086</v>
      </c>
    </row>
    <row>
      <c t="s">
        <v>17594</v>
      </c>
      <c t="s">
        <v>9285</v>
      </c>
      <c t="s">
        <v>42740</v>
      </c>
      <c t="s">
        <v>58333</v>
      </c>
      <c t="s">
        <v>47810</v>
      </c>
      <c s="3">
        <v>588985</v>
      </c>
      <c s="3">
        <v>559000</v>
      </c>
      <c s="3">
        <v>582984</v>
      </c>
      <c>
        <v>0</v>
      </c>
      <c s="3">
        <v>0</v>
      </c>
      <c s="3">
        <v>8010.72</v>
      </c>
      <c s="3">
        <v>588985</v>
      </c>
      <c r="O2413" s="1" t="str">
        <f ca="1">HYPERLINK("https://web.datatree.com/?/property?propertyId=32877602", "https://web.datatree.com/?/property?propertyId=32877602")</f>
        <v>https://web.datatree.com/?/property?propertyId=32877602</v>
      </c>
      <c r="Q2413" t="s">
        <v>316</v>
      </c>
      <c>
        <v>0.437</v>
      </c>
      <c t="s">
        <v>30497</v>
      </c>
      <c t="s">
        <v>32056</v>
      </c>
      <c t="s">
        <v>45812</v>
      </c>
      <c t="s">
        <v>26628</v>
      </c>
      <c t="s">
        <v>45812</v>
      </c>
      <c t="s">
        <v>62478</v>
      </c>
      <c t="s">
        <v>42842</v>
      </c>
      <c t="s">
        <v>65059</v>
      </c>
      <c t="s">
        <v>39289</v>
      </c>
      <c>
        <v>33908</v>
      </c>
      <c t="s">
        <v>5595</v>
      </c>
      <c t="s">
        <v>48794</v>
      </c>
      <c t="s">
        <v>45948</v>
      </c>
      <c>
        <v>1535</v>
      </c>
      <c r="AI2413" t="s">
        <v>14169</v>
      </c>
      <c t="s">
        <v>40123</v>
      </c>
      <c r="AL2413" t="s">
        <v>62772</v>
      </c>
      <c t="s">
        <v>52607</v>
      </c>
      <c t="s">
        <v>14798</v>
      </c>
      <c t="s">
        <v>60712</v>
      </c>
      <c t="s">
        <v>13315</v>
      </c>
      <c t="s">
        <v>3093</v>
      </c>
      <c t="s">
        <v>29977</v>
      </c>
    </row>
    <row>
      <c t="s">
        <v>17594</v>
      </c>
      <c t="s">
        <v>43057</v>
      </c>
      <c t="s">
        <v>60577</v>
      </c>
      <c t="s">
        <v>41424</v>
      </c>
      <c t="s">
        <v>59384</v>
      </c>
      <c s="3">
        <v>8100</v>
      </c>
      <c s="3">
        <v>8100</v>
      </c>
      <c s="3">
        <v>8100</v>
      </c>
      <c>
        <v>0</v>
      </c>
      <c s="3">
        <v>0</v>
      </c>
      <c s="3">
        <v>521.85</v>
      </c>
      <c s="3">
        <v>8100</v>
      </c>
      <c r="O2414" s="1" t="str">
        <f ca="1">HYPERLINK("https://web.datatree.com/?/property?propertyId=32877927", "https://web.datatree.com/?/property?propertyId=32877927")</f>
        <v>https://web.datatree.com/?/property?propertyId=32877927</v>
      </c>
      <c r="Q2414" t="s">
        <v>316</v>
      </c>
      <c>
        <v>0.23</v>
      </c>
      <c t="s">
        <v>6175</v>
      </c>
      <c t="s">
        <v>18053</v>
      </c>
      <c t="s">
        <v>13330</v>
      </c>
      <c r="X2414" t="s">
        <v>50145</v>
      </c>
      <c t="s">
        <v>23517</v>
      </c>
      <c t="s">
        <v>2517</v>
      </c>
      <c t="s">
        <v>39289</v>
      </c>
      <c>
        <v>33909</v>
      </c>
      <c t="s">
        <v>65350</v>
      </c>
      <c t="s">
        <v>48794</v>
      </c>
      <c t="s">
        <v>36030</v>
      </c>
      <c>
        <v>441</v>
      </c>
      <c r="AI2414" t="s">
        <v>11544</v>
      </c>
      <c t="s">
        <v>31192</v>
      </c>
      <c r="AL2414" t="s">
        <v>63249</v>
      </c>
      <c t="s">
        <v>63249</v>
      </c>
      <c t="s">
        <v>26443</v>
      </c>
      <c t="s">
        <v>43489</v>
      </c>
      <c t="s">
        <v>35085</v>
      </c>
      <c t="s">
        <v>3093</v>
      </c>
      <c t="s">
        <v>46692</v>
      </c>
    </row>
    <row>
      <c t="s">
        <v>17594</v>
      </c>
      <c t="s">
        <v>34359</v>
      </c>
      <c t="s">
        <v>50789</v>
      </c>
      <c t="s">
        <v>14712</v>
      </c>
      <c t="s">
        <v>31437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2415" s="1" t="str">
        <f ca="1">HYPERLINK("https://web.datatree.com/?/property?propertyId=32878182", "https://web.datatree.com/?/property?propertyId=32878182")</f>
        <v>https://web.datatree.com/?/property?propertyId=32878182</v>
      </c>
      <c r="Q2415" t="s">
        <v>316</v>
      </c>
      <c>
        <v>0.23</v>
      </c>
      <c t="s">
        <v>6175</v>
      </c>
      <c t="s">
        <v>1494</v>
      </c>
      <c t="s">
        <v>2076</v>
      </c>
      <c t="s">
        <v>26883</v>
      </c>
      <c t="s">
        <v>2076</v>
      </c>
      <c t="s">
        <v>66982</v>
      </c>
      <c t="s">
        <v>23517</v>
      </c>
      <c t="s">
        <v>2517</v>
      </c>
      <c t="s">
        <v>39289</v>
      </c>
      <c>
        <v>33909</v>
      </c>
      <c t="s">
        <v>24896</v>
      </c>
      <c t="s">
        <v>48794</v>
      </c>
      <c t="s">
        <v>8848</v>
      </c>
      <c>
        <v>210</v>
      </c>
      <c r="AH2415" t="s">
        <v>26580</v>
      </c>
      <c t="s">
        <v>2619</v>
      </c>
      <c t="s">
        <v>24900</v>
      </c>
      <c r="AL2415" t="s">
        <v>51960</v>
      </c>
      <c r="AN2415" t="s">
        <v>39289</v>
      </c>
      <c t="s">
        <v>37209</v>
      </c>
      <c t="s">
        <v>34162</v>
      </c>
      <c t="s">
        <v>3093</v>
      </c>
      <c t="s">
        <v>58607</v>
      </c>
    </row>
    <row>
      <c t="s">
        <v>17594</v>
      </c>
      <c t="s">
        <v>5465</v>
      </c>
      <c t="s">
        <v>51451</v>
      </c>
      <c t="s">
        <v>28106</v>
      </c>
      <c t="s">
        <v>56758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416" s="1" t="str">
        <f ca="1">HYPERLINK("https://web.datatree.com/?/property?propertyId=32878536", "https://web.datatree.com/?/property?propertyId=32878536")</f>
        <v>https://web.datatree.com/?/property?propertyId=32878536</v>
      </c>
      <c r="Q2416" t="s">
        <v>316</v>
      </c>
      <c>
        <v>0.23</v>
      </c>
      <c t="s">
        <v>6175</v>
      </c>
      <c t="s">
        <v>1859</v>
      </c>
      <c t="s">
        <v>57932</v>
      </c>
      <c t="s">
        <v>51344</v>
      </c>
      <c t="s">
        <v>57932</v>
      </c>
      <c t="s">
        <v>42598</v>
      </c>
      <c t="s">
        <v>15510</v>
      </c>
      <c t="s">
        <v>2517</v>
      </c>
      <c t="s">
        <v>39289</v>
      </c>
      <c>
        <v>33909</v>
      </c>
      <c>
        <v>33909</v>
      </c>
      <c t="s">
        <v>48794</v>
      </c>
      <c t="s">
        <v>38253</v>
      </c>
      <c>
        <v>8220</v>
      </c>
      <c r="AI2416" t="s">
        <v>39944</v>
      </c>
      <c t="s">
        <v>31192</v>
      </c>
      <c r="AL2416" t="s">
        <v>27398</v>
      </c>
      <c r="AN2416" t="s">
        <v>39289</v>
      </c>
      <c t="s">
        <v>15965</v>
      </c>
      <c t="s">
        <v>45852</v>
      </c>
      <c t="s">
        <v>3093</v>
      </c>
      <c t="s">
        <v>19351</v>
      </c>
    </row>
    <row>
      <c t="s">
        <v>17594</v>
      </c>
      <c t="s">
        <v>47521</v>
      </c>
      <c t="s">
        <v>50766</v>
      </c>
      <c t="s">
        <v>13137</v>
      </c>
      <c t="s">
        <v>15624</v>
      </c>
      <c s="3">
        <v>8838</v>
      </c>
      <c s="3">
        <v>8838</v>
      </c>
      <c s="3">
        <v>4972</v>
      </c>
      <c>
        <v>0</v>
      </c>
      <c s="3">
        <v>0</v>
      </c>
      <c s="3">
        <v>316.66</v>
      </c>
      <c s="3">
        <v>8838</v>
      </c>
      <c>
        <v>2019</v>
      </c>
      <c>
        <v>688.62</v>
      </c>
      <c s="1" t="str">
        <f ca="1">HYPERLINK("https://web.datatree.com/?/property?propertyId=32878542", "https://web.datatree.com/?/property?propertyId=32878542")</f>
        <v>https://web.datatree.com/?/property?propertyId=32878542</v>
      </c>
      <c r="Q2417" t="s">
        <v>316</v>
      </c>
      <c>
        <v>0.242</v>
      </c>
      <c t="s">
        <v>5471</v>
      </c>
      <c t="s">
        <v>20939</v>
      </c>
      <c t="s">
        <v>35379</v>
      </c>
      <c r="X2417" t="s">
        <v>37383</v>
      </c>
      <c t="s">
        <v>10854</v>
      </c>
      <c t="s">
        <v>65059</v>
      </c>
      <c t="s">
        <v>39289</v>
      </c>
      <c>
        <v>33905</v>
      </c>
      <c t="s">
        <v>37738</v>
      </c>
      <c t="s">
        <v>48794</v>
      </c>
      <c t="s">
        <v>9316</v>
      </c>
      <c>
        <v>701</v>
      </c>
      <c r="AI2417" t="s">
        <v>66715</v>
      </c>
      <c t="s">
        <v>24900</v>
      </c>
      <c>
        <v>6</v>
      </c>
      <c t="s">
        <v>24866</v>
      </c>
      <c r="AN2417" t="s">
        <v>50917</v>
      </c>
      <c t="s">
        <v>63845</v>
      </c>
      <c t="s">
        <v>22613</v>
      </c>
      <c t="s">
        <v>3093</v>
      </c>
      <c t="s">
        <v>29728</v>
      </c>
    </row>
    <row>
      <c t="s">
        <v>17594</v>
      </c>
      <c t="s">
        <v>42383</v>
      </c>
      <c t="s">
        <v>14711</v>
      </c>
      <c t="s">
        <v>26962</v>
      </c>
      <c t="s">
        <v>60249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2418" s="1" t="str">
        <f ca="1">HYPERLINK("https://web.datatree.com/?/property?propertyId=32878680", "https://web.datatree.com/?/property?propertyId=32878680")</f>
        <v>https://web.datatree.com/?/property?propertyId=32878680</v>
      </c>
      <c r="Q2418" t="s">
        <v>316</v>
      </c>
      <c>
        <v>0.23</v>
      </c>
      <c t="s">
        <v>6175</v>
      </c>
      <c t="s">
        <v>31729</v>
      </c>
      <c t="s">
        <v>48463</v>
      </c>
      <c r="X2418" t="s">
        <v>64120</v>
      </c>
      <c t="s">
        <v>39082</v>
      </c>
      <c t="s">
        <v>2517</v>
      </c>
      <c t="s">
        <v>39289</v>
      </c>
      <c>
        <v>33909</v>
      </c>
      <c t="s">
        <v>35667</v>
      </c>
      <c t="s">
        <v>48794</v>
      </c>
      <c t="s">
        <v>20327</v>
      </c>
      <c>
        <v>382</v>
      </c>
      <c r="AI2418" t="s">
        <v>65399</v>
      </c>
      <c t="s">
        <v>24900</v>
      </c>
      <c r="AL2418" t="s">
        <v>46985</v>
      </c>
      <c t="s">
        <v>46985</v>
      </c>
      <c t="s">
        <v>50917</v>
      </c>
      <c t="s">
        <v>39587</v>
      </c>
      <c t="s">
        <v>33029</v>
      </c>
      <c t="s">
        <v>3093</v>
      </c>
      <c t="s">
        <v>27267</v>
      </c>
    </row>
    <row>
      <c t="s">
        <v>17594</v>
      </c>
      <c t="s">
        <v>44592</v>
      </c>
      <c t="s">
        <v>30412</v>
      </c>
      <c t="s">
        <v>40617</v>
      </c>
      <c t="s">
        <v>64097</v>
      </c>
      <c s="3">
        <v>34728</v>
      </c>
      <c s="3">
        <v>33850</v>
      </c>
      <c s="3">
        <v>34728</v>
      </c>
      <c>
        <v>0</v>
      </c>
      <c s="3">
        <v>0</v>
      </c>
      <c s="3">
        <v>481.41</v>
      </c>
      <c s="3">
        <v>34728</v>
      </c>
      <c r="O2419" s="1" t="str">
        <f ca="1">HYPERLINK("https://web.datatree.com/?/property?propertyId=32878779", "https://web.datatree.com/?/property?propertyId=32878779")</f>
        <v>https://web.datatree.com/?/property?propertyId=32878779</v>
      </c>
      <c r="Q2419" t="s">
        <v>316</v>
      </c>
      <c>
        <v>0.054</v>
      </c>
      <c t="s">
        <v>54329</v>
      </c>
      <c t="s">
        <v>30490</v>
      </c>
      <c t="s">
        <v>23964</v>
      </c>
      <c t="s">
        <v>56577</v>
      </c>
      <c t="s">
        <v>23964</v>
      </c>
      <c t="s">
        <v>11799</v>
      </c>
      <c t="s">
        <v>22654</v>
      </c>
      <c t="s">
        <v>65059</v>
      </c>
      <c t="s">
        <v>39289</v>
      </c>
      <c>
        <v>33908</v>
      </c>
      <c t="s">
        <v>47989</v>
      </c>
      <c t="s">
        <v>48794</v>
      </c>
      <c t="s">
        <v>820</v>
      </c>
      <c>
        <v>1016</v>
      </c>
      <c r="AI2419" t="s">
        <v>13911</v>
      </c>
      <c t="s">
        <v>45620</v>
      </c>
      <c r="AL2419" t="s">
        <v>21133</v>
      </c>
      <c t="s">
        <v>53482</v>
      </c>
      <c t="s">
        <v>17134</v>
      </c>
      <c t="s">
        <v>65071</v>
      </c>
      <c t="s">
        <v>14695</v>
      </c>
      <c t="s">
        <v>3093</v>
      </c>
      <c t="s">
        <v>3564</v>
      </c>
    </row>
    <row>
      <c t="s">
        <v>17594</v>
      </c>
      <c t="s">
        <v>6680</v>
      </c>
      <c t="s">
        <v>38688</v>
      </c>
      <c t="s">
        <v>46655</v>
      </c>
      <c t="s">
        <v>19200</v>
      </c>
      <c s="3">
        <v>15788</v>
      </c>
      <c s="3">
        <v>15788</v>
      </c>
      <c s="3">
        <v>8250</v>
      </c>
      <c>
        <v>0</v>
      </c>
      <c s="3">
        <v>0</v>
      </c>
      <c s="3">
        <v>692.86</v>
      </c>
      <c s="3">
        <v>15788</v>
      </c>
      <c r="O2420" s="1" t="str">
        <f ca="1">HYPERLINK("https://web.datatree.com/?/property?propertyId=32878872", "https://web.datatree.com/?/property?propertyId=32878872")</f>
        <v>https://web.datatree.com/?/property?propertyId=32878872</v>
      </c>
      <c r="Q2420" t="s">
        <v>316</v>
      </c>
      <c>
        <v>0.244</v>
      </c>
      <c t="s">
        <v>6175</v>
      </c>
      <c t="s">
        <v>20069</v>
      </c>
      <c t="s">
        <v>48449</v>
      </c>
      <c r="X2420" t="s">
        <v>33390</v>
      </c>
      <c t="s">
        <v>39777</v>
      </c>
      <c t="s">
        <v>2517</v>
      </c>
      <c t="s">
        <v>39289</v>
      </c>
      <c>
        <v>33909</v>
      </c>
      <c t="s">
        <v>23207</v>
      </c>
      <c t="s">
        <v>48794</v>
      </c>
      <c t="s">
        <v>21659</v>
      </c>
      <c>
        <v>340</v>
      </c>
      <c r="AI2420" t="s">
        <v>47599</v>
      </c>
      <c t="s">
        <v>835</v>
      </c>
      <c>
        <v>305</v>
      </c>
      <c t="s">
        <v>15320</v>
      </c>
      <c r="AN2420" t="s">
        <v>39289</v>
      </c>
      <c t="s">
        <v>18880</v>
      </c>
      <c t="s">
        <v>28048</v>
      </c>
      <c t="s">
        <v>3093</v>
      </c>
      <c t="s">
        <v>58600</v>
      </c>
    </row>
    <row>
      <c t="s">
        <v>17594</v>
      </c>
      <c t="s">
        <v>33046</v>
      </c>
      <c t="s">
        <v>15725</v>
      </c>
      <c t="s">
        <v>32589</v>
      </c>
      <c t="s">
        <v>37415</v>
      </c>
      <c s="3">
        <v>41248</v>
      </c>
      <c s="3">
        <v>41248</v>
      </c>
      <c s="3">
        <v>35200</v>
      </c>
      <c>
        <v>0</v>
      </c>
      <c s="3">
        <v>0</v>
      </c>
      <c s="3">
        <v>1030.62</v>
      </c>
      <c s="3">
        <v>41248</v>
      </c>
      <c r="O2421" s="1" t="str">
        <f ca="1">HYPERLINK("https://web.datatree.com/?/property?propertyId=32878953", "https://web.datatree.com/?/property?propertyId=32878953")</f>
        <v>https://web.datatree.com/?/property?propertyId=32878953</v>
      </c>
      <c r="Q2421" t="s">
        <v>316</v>
      </c>
      <c>
        <v>0.241</v>
      </c>
      <c t="s">
        <v>22490</v>
      </c>
      <c t="s">
        <v>13857</v>
      </c>
      <c t="s">
        <v>65321</v>
      </c>
      <c r="X2421" t="s">
        <v>30186</v>
      </c>
      <c t="s">
        <v>33179</v>
      </c>
      <c t="s">
        <v>2517</v>
      </c>
      <c t="s">
        <v>39289</v>
      </c>
      <c>
        <v>33909</v>
      </c>
      <c t="s">
        <v>37430</v>
      </c>
      <c t="s">
        <v>48794</v>
      </c>
      <c t="s">
        <v>59687</v>
      </c>
      <c>
        <v>6812</v>
      </c>
      <c r="AH2421" t="s">
        <v>6851</v>
      </c>
      <c>
        <v>14</v>
      </c>
      <c t="s">
        <v>24900</v>
      </c>
      <c r="AL2421" t="s">
        <v>41369</v>
      </c>
      <c r="AN2421" t="s">
        <v>45851</v>
      </c>
      <c t="s">
        <v>53893</v>
      </c>
      <c r="AQ2421" t="s">
        <v>27814</v>
      </c>
      <c t="s">
        <v>58936</v>
      </c>
    </row>
    <row>
      <c t="s">
        <v>17594</v>
      </c>
      <c t="s">
        <v>38444</v>
      </c>
      <c t="s">
        <v>45790</v>
      </c>
      <c t="s">
        <v>1833</v>
      </c>
      <c t="s">
        <v>30859</v>
      </c>
      <c s="3">
        <v>52000</v>
      </c>
      <c s="3">
        <v>52000</v>
      </c>
      <c s="3">
        <v>24759</v>
      </c>
      <c>
        <v>0</v>
      </c>
      <c s="3">
        <v>0</v>
      </c>
      <c s="3">
        <v>1811.54</v>
      </c>
      <c s="3">
        <v>52000</v>
      </c>
      <c r="O2422" s="1" t="str">
        <f ca="1">HYPERLINK("https://web.datatree.com/?/property?propertyId=32878964", "https://web.datatree.com/?/property?propertyId=32878964")</f>
        <v>https://web.datatree.com/?/property?propertyId=32878964</v>
      </c>
      <c r="Q2422" t="s">
        <v>316</v>
      </c>
      <c>
        <v>0.231</v>
      </c>
      <c t="s">
        <v>22490</v>
      </c>
      <c t="s">
        <v>48755</v>
      </c>
      <c t="s">
        <v>18403</v>
      </c>
      <c t="s">
        <v>50818</v>
      </c>
      <c t="s">
        <v>18403</v>
      </c>
      <c t="s">
        <v>55796</v>
      </c>
      <c t="s">
        <v>18679</v>
      </c>
      <c t="s">
        <v>2517</v>
      </c>
      <c t="s">
        <v>39289</v>
      </c>
      <c>
        <v>33909</v>
      </c>
      <c t="s">
        <v>54790</v>
      </c>
      <c t="s">
        <v>48794</v>
      </c>
      <c t="s">
        <v>48462</v>
      </c>
      <c>
        <v>20410</v>
      </c>
      <c r="AI2422" t="s">
        <v>35621</v>
      </c>
      <c t="s">
        <v>45620</v>
      </c>
      <c r="AL2422" t="s">
        <v>44586</v>
      </c>
      <c r="AN2422" t="s">
        <v>65467</v>
      </c>
      <c t="s">
        <v>51570</v>
      </c>
      <c t="s">
        <v>57614</v>
      </c>
      <c t="s">
        <v>3093</v>
      </c>
      <c t="s">
        <v>3774</v>
      </c>
    </row>
    <row>
      <c t="s">
        <v>17594</v>
      </c>
      <c t="s">
        <v>3806</v>
      </c>
      <c t="s">
        <v>9028</v>
      </c>
      <c t="s">
        <v>23740</v>
      </c>
      <c t="s">
        <v>51828</v>
      </c>
      <c s="3">
        <v>24127</v>
      </c>
      <c s="3">
        <v>24127</v>
      </c>
      <c s="3">
        <v>9570</v>
      </c>
      <c>
        <v>0</v>
      </c>
      <c s="3">
        <v>0</v>
      </c>
      <c s="3">
        <v>819.09</v>
      </c>
      <c s="3">
        <v>24127</v>
      </c>
      <c>
        <v>2021</v>
      </c>
      <c>
        <v>566.53</v>
      </c>
      <c s="1" t="str">
        <f ca="1">HYPERLINK("https://web.datatree.com/?/property?propertyId=32879696", "https://web.datatree.com/?/property?propertyId=32879696")</f>
        <v>https://web.datatree.com/?/property?propertyId=32879696</v>
      </c>
      <c r="Q2423" t="s">
        <v>316</v>
      </c>
      <c>
        <v>0.258</v>
      </c>
      <c t="s">
        <v>45031</v>
      </c>
      <c t="s">
        <v>61675</v>
      </c>
      <c t="s">
        <v>5105</v>
      </c>
      <c t="s">
        <v>36693</v>
      </c>
      <c t="s">
        <v>5105</v>
      </c>
      <c t="s">
        <v>13776</v>
      </c>
      <c t="s">
        <v>30928</v>
      </c>
      <c t="s">
        <v>2517</v>
      </c>
      <c t="s">
        <v>39289</v>
      </c>
      <c>
        <v>33909</v>
      </c>
      <c t="s">
        <v>45135</v>
      </c>
      <c t="s">
        <v>48794</v>
      </c>
      <c t="s">
        <v>48482</v>
      </c>
      <c>
        <v>3081</v>
      </c>
      <c r="AI2423" t="s">
        <v>42369</v>
      </c>
      <c t="s">
        <v>45620</v>
      </c>
      <c r="AL2423" t="s">
        <v>19705</v>
      </c>
      <c r="AN2423" t="s">
        <v>56163</v>
      </c>
      <c t="s">
        <v>59385</v>
      </c>
      <c t="s">
        <v>51100</v>
      </c>
      <c t="s">
        <v>3093</v>
      </c>
      <c t="s">
        <v>50445</v>
      </c>
    </row>
    <row>
      <c t="s">
        <v>17594</v>
      </c>
      <c t="s">
        <v>1691</v>
      </c>
      <c t="s">
        <v>13349</v>
      </c>
      <c t="s">
        <v>48011</v>
      </c>
      <c t="s">
        <v>13188</v>
      </c>
      <c s="3">
        <v>135729</v>
      </c>
      <c s="3">
        <v>135729</v>
      </c>
      <c s="3">
        <v>135729</v>
      </c>
      <c>
        <v>0</v>
      </c>
      <c s="3">
        <v>0</v>
      </c>
      <c s="3">
        <v>2451.45</v>
      </c>
      <c s="3">
        <v>135729</v>
      </c>
      <c r="O2424" s="1" t="str">
        <f ca="1">HYPERLINK("https://web.datatree.com/?/property?propertyId=32879994", "https://web.datatree.com/?/property?propertyId=32879994")</f>
        <v>https://web.datatree.com/?/property?propertyId=32879994</v>
      </c>
      <c r="Q2424" t="s">
        <v>316</v>
      </c>
      <c>
        <v>0.266</v>
      </c>
      <c t="s">
        <v>22490</v>
      </c>
      <c t="s">
        <v>34140</v>
      </c>
      <c t="s">
        <v>32018</v>
      </c>
      <c t="s">
        <v>18302</v>
      </c>
      <c t="s">
        <v>32018</v>
      </c>
      <c t="s">
        <v>6512</v>
      </c>
      <c t="s">
        <v>57064</v>
      </c>
      <c t="s">
        <v>2517</v>
      </c>
      <c t="s">
        <v>39289</v>
      </c>
      <c>
        <v>33904</v>
      </c>
      <c>
        <v>33904</v>
      </c>
      <c t="s">
        <v>48794</v>
      </c>
      <c t="s">
        <v>32211</v>
      </c>
      <c>
        <v>39</v>
      </c>
      <c r="AI2424" t="s">
        <v>35394</v>
      </c>
      <c t="s">
        <v>45620</v>
      </c>
      <c r="AL2424" t="s">
        <v>16321</v>
      </c>
      <c r="AN2424" t="s">
        <v>14509</v>
      </c>
      <c t="s">
        <v>16934</v>
      </c>
      <c t="s">
        <v>35354</v>
      </c>
      <c t="s">
        <v>3093</v>
      </c>
      <c t="s">
        <v>8690</v>
      </c>
    </row>
    <row>
      <c t="s">
        <v>17594</v>
      </c>
      <c t="s">
        <v>1416</v>
      </c>
      <c t="s">
        <v>24406</v>
      </c>
      <c t="s">
        <v>44955</v>
      </c>
      <c t="s">
        <v>52798</v>
      </c>
      <c s="3">
        <v>222000</v>
      </c>
      <c s="3">
        <v>222000</v>
      </c>
      <c s="3">
        <v>222000</v>
      </c>
      <c>
        <v>0</v>
      </c>
      <c s="3">
        <v>0</v>
      </c>
      <c s="3">
        <v>3046.26</v>
      </c>
      <c s="3">
        <v>222000</v>
      </c>
      <c r="O2425" s="1" t="str">
        <f ca="1">HYPERLINK("https://web.datatree.com/?/property?propertyId=32880160", "https://web.datatree.com/?/property?propertyId=32880160")</f>
        <v>https://web.datatree.com/?/property?propertyId=32880160</v>
      </c>
      <c r="Q2425" t="s">
        <v>316</v>
      </c>
      <c>
        <v>0.488</v>
      </c>
      <c t="s">
        <v>2</v>
      </c>
      <c t="s">
        <v>10361</v>
      </c>
      <c t="s">
        <v>17648</v>
      </c>
      <c t="s">
        <v>29544</v>
      </c>
      <c t="s">
        <v>17648</v>
      </c>
      <c t="s">
        <v>22636</v>
      </c>
      <c t="s">
        <v>8324</v>
      </c>
      <c t="s">
        <v>65059</v>
      </c>
      <c t="s">
        <v>39289</v>
      </c>
      <c>
        <v>33908</v>
      </c>
      <c t="s">
        <v>17414</v>
      </c>
      <c t="s">
        <v>48794</v>
      </c>
      <c t="s">
        <v>59097</v>
      </c>
      <c>
        <v>10705</v>
      </c>
      <c r="AI2425" t="s">
        <v>31250</v>
      </c>
      <c t="s">
        <v>31192</v>
      </c>
      <c r="AL2425" t="s">
        <v>60853</v>
      </c>
      <c t="s">
        <v>60853</v>
      </c>
      <c t="s">
        <v>65467</v>
      </c>
      <c t="s">
        <v>54265</v>
      </c>
      <c t="s">
        <v>45980</v>
      </c>
      <c t="s">
        <v>3093</v>
      </c>
      <c t="s">
        <v>4980</v>
      </c>
    </row>
    <row>
      <c t="s">
        <v>17594</v>
      </c>
      <c t="s">
        <v>32801</v>
      </c>
      <c t="s">
        <v>36589</v>
      </c>
      <c t="s">
        <v>34789</v>
      </c>
      <c t="s">
        <v>26238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426" s="1" t="str">
        <f ca="1">HYPERLINK("https://web.datatree.com/?/property?propertyId=32880792", "https://web.datatree.com/?/property?propertyId=32880792")</f>
        <v>https://web.datatree.com/?/property?propertyId=32880792</v>
      </c>
      <c r="Q2426" t="s">
        <v>316</v>
      </c>
      <c>
        <v>0.23</v>
      </c>
      <c t="s">
        <v>6175</v>
      </c>
      <c t="s">
        <v>17401</v>
      </c>
      <c t="s">
        <v>48690</v>
      </c>
      <c r="X2426" t="s">
        <v>57423</v>
      </c>
      <c t="s">
        <v>34731</v>
      </c>
      <c t="s">
        <v>2517</v>
      </c>
      <c t="s">
        <v>39289</v>
      </c>
      <c>
        <v>33909</v>
      </c>
      <c t="s">
        <v>19702</v>
      </c>
      <c t="s">
        <v>48794</v>
      </c>
      <c t="s">
        <v>12039</v>
      </c>
      <c>
        <v>216</v>
      </c>
      <c r="AI2426" t="s">
        <v>65782</v>
      </c>
      <c r="AL2426" t="s">
        <v>45126</v>
      </c>
      <c r="AN2426" t="s">
        <v>64022</v>
      </c>
      <c>
        <v>3581</v>
      </c>
      <c r="AR2426" t="s">
        <v>60922</v>
      </c>
    </row>
    <row>
      <c t="s">
        <v>17594</v>
      </c>
      <c t="s">
        <v>16459</v>
      </c>
      <c t="s">
        <v>18420</v>
      </c>
      <c t="s">
        <v>44546</v>
      </c>
      <c t="s">
        <v>53214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427" s="1" t="str">
        <f ca="1">HYPERLINK("https://web.datatree.com/?/property?propertyId=32880936", "https://web.datatree.com/?/property?propertyId=32880936")</f>
        <v>https://web.datatree.com/?/property?propertyId=32880936</v>
      </c>
      <c r="Q2427" t="s">
        <v>316</v>
      </c>
      <c>
        <v>0.23</v>
      </c>
      <c t="s">
        <v>22490</v>
      </c>
      <c t="s">
        <v>56333</v>
      </c>
      <c t="s">
        <v>25761</v>
      </c>
      <c t="s">
        <v>48526</v>
      </c>
      <c t="s">
        <v>25761</v>
      </c>
      <c t="s">
        <v>17234</v>
      </c>
      <c t="s">
        <v>66701</v>
      </c>
      <c t="s">
        <v>2517</v>
      </c>
      <c t="s">
        <v>39289</v>
      </c>
      <c>
        <v>33909</v>
      </c>
      <c t="s">
        <v>7931</v>
      </c>
      <c t="s">
        <v>48794</v>
      </c>
      <c t="s">
        <v>41567</v>
      </c>
      <c>
        <v>21</v>
      </c>
      <c r="AI2427" t="s">
        <v>18490</v>
      </c>
      <c t="s">
        <v>40123</v>
      </c>
      <c r="AL2427" t="s">
        <v>57952</v>
      </c>
      <c r="AN2427" t="s">
        <v>22275</v>
      </c>
      <c t="s">
        <v>48378</v>
      </c>
      <c t="s">
        <v>44428</v>
      </c>
      <c t="s">
        <v>3093</v>
      </c>
      <c t="s">
        <v>51115</v>
      </c>
    </row>
    <row>
      <c t="s">
        <v>17594</v>
      </c>
      <c t="s">
        <v>8136</v>
      </c>
      <c t="s">
        <v>43357</v>
      </c>
      <c t="s">
        <v>47279</v>
      </c>
      <c t="s">
        <v>50162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>
        <v>2021</v>
      </c>
      <c>
        <v>652.38</v>
      </c>
      <c s="1" t="str">
        <f ca="1">HYPERLINK("https://web.datatree.com/?/property?propertyId=32882188", "https://web.datatree.com/?/property?propertyId=32882188")</f>
        <v>https://web.datatree.com/?/property?propertyId=32882188</v>
      </c>
      <c r="Q2428" t="s">
        <v>316</v>
      </c>
      <c>
        <v>0.23</v>
      </c>
      <c t="s">
        <v>22490</v>
      </c>
      <c t="s">
        <v>41794</v>
      </c>
      <c t="s">
        <v>27101</v>
      </c>
      <c t="s">
        <v>65678</v>
      </c>
      <c t="s">
        <v>27101</v>
      </c>
      <c t="s">
        <v>9217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14779</v>
      </c>
      <c>
        <v>336</v>
      </c>
      <c r="AI2428" t="s">
        <v>25546</v>
      </c>
      <c t="s">
        <v>24900</v>
      </c>
      <c r="AL2428" t="s">
        <v>39016</v>
      </c>
      <c r="AN2428" t="s">
        <v>50917</v>
      </c>
      <c t="s">
        <v>10374</v>
      </c>
      <c t="s">
        <v>45980</v>
      </c>
      <c t="s">
        <v>3093</v>
      </c>
      <c t="s">
        <v>25876</v>
      </c>
    </row>
    <row>
      <c t="s">
        <v>17594</v>
      </c>
      <c t="s">
        <v>56898</v>
      </c>
      <c t="s">
        <v>55809</v>
      </c>
      <c t="s">
        <v>28142</v>
      </c>
      <c t="s">
        <v>55368</v>
      </c>
      <c s="3">
        <v>8100</v>
      </c>
      <c s="3">
        <v>8100</v>
      </c>
      <c s="3">
        <v>8100</v>
      </c>
      <c>
        <v>0</v>
      </c>
      <c s="3">
        <v>0</v>
      </c>
      <c s="3">
        <v>521.85</v>
      </c>
      <c s="3">
        <v>8100</v>
      </c>
      <c r="O2429" s="1" t="str">
        <f ca="1">HYPERLINK("https://web.datatree.com/?/property?propertyId=32882652", "https://web.datatree.com/?/property?propertyId=32882652")</f>
        <v>https://web.datatree.com/?/property?propertyId=32882652</v>
      </c>
      <c r="Q2429" t="s">
        <v>316</v>
      </c>
      <c>
        <v>0.23</v>
      </c>
      <c t="s">
        <v>6175</v>
      </c>
      <c t="s">
        <v>50343</v>
      </c>
      <c t="s">
        <v>8033</v>
      </c>
      <c r="X2429" t="s">
        <v>24653</v>
      </c>
      <c t="s">
        <v>15510</v>
      </c>
      <c t="s">
        <v>2517</v>
      </c>
      <c t="s">
        <v>39289</v>
      </c>
      <c>
        <v>33909</v>
      </c>
      <c t="s">
        <v>19046</v>
      </c>
      <c t="s">
        <v>48794</v>
      </c>
      <c t="s">
        <v>50088</v>
      </c>
      <c>
        <v>16789</v>
      </c>
      <c r="AI2429" t="s">
        <v>24943</v>
      </c>
      <c t="s">
        <v>45620</v>
      </c>
      <c r="AL2429" t="s">
        <v>57467</v>
      </c>
      <c r="AN2429" t="s">
        <v>56163</v>
      </c>
      <c t="s">
        <v>65929</v>
      </c>
      <c t="s">
        <v>22455</v>
      </c>
      <c t="s">
        <v>3093</v>
      </c>
      <c t="s">
        <v>36222</v>
      </c>
    </row>
    <row>
      <c t="s">
        <v>17594</v>
      </c>
      <c t="s">
        <v>28292</v>
      </c>
      <c t="s">
        <v>7903</v>
      </c>
      <c t="s">
        <v>63777</v>
      </c>
      <c t="s">
        <v>17892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2430" s="1" t="str">
        <f ca="1">HYPERLINK("https://web.datatree.com/?/property?propertyId=32882927", "https://web.datatree.com/?/property?propertyId=32882927")</f>
        <v>https://web.datatree.com/?/property?propertyId=32882927</v>
      </c>
      <c r="Q2430" t="s">
        <v>316</v>
      </c>
      <c>
        <v>0.23</v>
      </c>
      <c t="s">
        <v>6175</v>
      </c>
      <c t="s">
        <v>66812</v>
      </c>
      <c t="s">
        <v>57523</v>
      </c>
      <c r="X2430" t="s">
        <v>43354</v>
      </c>
      <c t="s">
        <v>53663</v>
      </c>
      <c t="s">
        <v>2517</v>
      </c>
      <c t="s">
        <v>39289</v>
      </c>
      <c>
        <v>33909</v>
      </c>
      <c t="s">
        <v>27241</v>
      </c>
      <c t="s">
        <v>48794</v>
      </c>
      <c t="s">
        <v>41857</v>
      </c>
      <c>
        <v>11313</v>
      </c>
      <c r="AI2430" t="s">
        <v>65323</v>
      </c>
      <c t="s">
        <v>39321</v>
      </c>
      <c r="AL2430" t="s">
        <v>46703</v>
      </c>
      <c r="AN2430" t="s">
        <v>39289</v>
      </c>
      <c t="s">
        <v>18922</v>
      </c>
      <c t="s">
        <v>45852</v>
      </c>
      <c t="s">
        <v>3093</v>
      </c>
      <c t="s">
        <v>57917</v>
      </c>
    </row>
    <row>
      <c t="s">
        <v>17594</v>
      </c>
      <c t="s">
        <v>43718</v>
      </c>
      <c t="s">
        <v>44435</v>
      </c>
      <c t="s">
        <v>61391</v>
      </c>
      <c t="s">
        <v>19012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431" s="1" t="str">
        <f ca="1">HYPERLINK("https://web.datatree.com/?/property?propertyId=32883185", "https://web.datatree.com/?/property?propertyId=32883185")</f>
        <v>https://web.datatree.com/?/property?propertyId=32883185</v>
      </c>
      <c r="Q2431" t="s">
        <v>316</v>
      </c>
      <c>
        <v>0.23</v>
      </c>
      <c t="s">
        <v>22490</v>
      </c>
      <c t="s">
        <v>29973</v>
      </c>
      <c t="s">
        <v>9469</v>
      </c>
      <c t="s">
        <v>111</v>
      </c>
      <c t="s">
        <v>9469</v>
      </c>
      <c t="s">
        <v>44243</v>
      </c>
      <c t="s">
        <v>60363</v>
      </c>
      <c t="s">
        <v>2517</v>
      </c>
      <c t="s">
        <v>39289</v>
      </c>
      <c>
        <v>33909</v>
      </c>
      <c t="s">
        <v>60735</v>
      </c>
      <c t="s">
        <v>48794</v>
      </c>
      <c t="s">
        <v>26832</v>
      </c>
      <c>
        <v>96</v>
      </c>
      <c r="AI2431" t="s">
        <v>9386</v>
      </c>
      <c t="s">
        <v>31192</v>
      </c>
      <c r="AL2431" t="s">
        <v>8941</v>
      </c>
      <c t="s">
        <v>8941</v>
      </c>
      <c t="s">
        <v>50917</v>
      </c>
      <c t="s">
        <v>1407</v>
      </c>
      <c t="s">
        <v>12241</v>
      </c>
      <c t="s">
        <v>3093</v>
      </c>
      <c t="s">
        <v>16948</v>
      </c>
    </row>
    <row>
      <c t="s">
        <v>17594</v>
      </c>
      <c t="s">
        <v>16076</v>
      </c>
      <c t="s">
        <v>45560</v>
      </c>
      <c t="s">
        <v>14849</v>
      </c>
      <c t="s">
        <v>50612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2432" s="1" t="str">
        <f ca="1">HYPERLINK("https://web.datatree.com/?/property?propertyId=32883296", "https://web.datatree.com/?/property?propertyId=32883296")</f>
        <v>https://web.datatree.com/?/property?propertyId=32883296</v>
      </c>
      <c r="Q2432" t="s">
        <v>316</v>
      </c>
      <c>
        <v>0.239</v>
      </c>
      <c t="s">
        <v>5471</v>
      </c>
      <c t="s">
        <v>33168</v>
      </c>
      <c t="s">
        <v>46872</v>
      </c>
      <c r="X2432" t="s">
        <v>15366</v>
      </c>
      <c t="s">
        <v>10854</v>
      </c>
      <c t="s">
        <v>65059</v>
      </c>
      <c t="s">
        <v>39289</v>
      </c>
      <c>
        <v>33905</v>
      </c>
      <c t="s">
        <v>15944</v>
      </c>
      <c t="s">
        <v>48794</v>
      </c>
      <c t="s">
        <v>38012</v>
      </c>
      <c>
        <v>1090</v>
      </c>
      <c r="AI2432" t="s">
        <v>33846</v>
      </c>
      <c t="s">
        <v>55842</v>
      </c>
      <c r="AL2432" t="s">
        <v>2849</v>
      </c>
      <c t="s">
        <v>2849</v>
      </c>
      <c t="s">
        <v>26016</v>
      </c>
      <c t="s">
        <v>15249</v>
      </c>
      <c t="s">
        <v>864</v>
      </c>
      <c t="s">
        <v>3093</v>
      </c>
      <c t="s">
        <v>62251</v>
      </c>
    </row>
    <row>
      <c t="s">
        <v>17594</v>
      </c>
      <c t="s">
        <v>36808</v>
      </c>
      <c t="s">
        <v>59007</v>
      </c>
      <c t="s">
        <v>43223</v>
      </c>
      <c t="s">
        <v>33817</v>
      </c>
      <c s="3">
        <v>22891</v>
      </c>
      <c s="3">
        <v>22891</v>
      </c>
      <c s="3">
        <v>9570</v>
      </c>
      <c>
        <v>0</v>
      </c>
      <c s="3">
        <v>0</v>
      </c>
      <c s="3">
        <v>603.98</v>
      </c>
      <c s="3">
        <v>22891</v>
      </c>
      <c r="O2433" s="1" t="str">
        <f ca="1">HYPERLINK("https://web.datatree.com/?/property?propertyId=32883523", "https://web.datatree.com/?/property?propertyId=32883523")</f>
        <v>https://web.datatree.com/?/property?propertyId=32883523</v>
      </c>
      <c r="Q2433" t="s">
        <v>316</v>
      </c>
      <c>
        <v>0.232</v>
      </c>
      <c t="s">
        <v>45031</v>
      </c>
      <c t="s">
        <v>54971</v>
      </c>
      <c t="s">
        <v>57999</v>
      </c>
      <c r="X2433" t="s">
        <v>66365</v>
      </c>
      <c t="s">
        <v>29190</v>
      </c>
      <c t="s">
        <v>2517</v>
      </c>
      <c t="s">
        <v>39289</v>
      </c>
      <c>
        <v>33909</v>
      </c>
      <c t="s">
        <v>28033</v>
      </c>
      <c t="s">
        <v>48794</v>
      </c>
      <c t="s">
        <v>23557</v>
      </c>
      <c>
        <v>10335</v>
      </c>
      <c r="AI2433" t="s">
        <v>23056</v>
      </c>
      <c t="s">
        <v>40123</v>
      </c>
      <c r="AL2433" t="s">
        <v>55080</v>
      </c>
      <c r="AN2433" t="s">
        <v>51087</v>
      </c>
      <c t="s">
        <v>62315</v>
      </c>
      <c t="s">
        <v>15968</v>
      </c>
      <c t="s">
        <v>3093</v>
      </c>
      <c t="s">
        <v>6354</v>
      </c>
    </row>
    <row>
      <c t="s">
        <v>17594</v>
      </c>
      <c t="s">
        <v>1804</v>
      </c>
      <c t="s">
        <v>8804</v>
      </c>
      <c t="s">
        <v>65157</v>
      </c>
      <c t="s">
        <v>52279</v>
      </c>
      <c s="3">
        <v>16800</v>
      </c>
      <c s="3">
        <v>16800</v>
      </c>
      <c s="3">
        <v>16800</v>
      </c>
      <c>
        <v>0</v>
      </c>
      <c s="3">
        <v>0</v>
      </c>
      <c s="3">
        <v>939.7</v>
      </c>
      <c s="3">
        <v>16800</v>
      </c>
      <c r="O2434" s="1" t="str">
        <f ca="1">HYPERLINK("https://web.datatree.com/?/property?propertyId=32883593", "https://web.datatree.com/?/property?propertyId=32883593")</f>
        <v>https://web.datatree.com/?/property?propertyId=32883593</v>
      </c>
      <c r="Q2434" t="s">
        <v>316</v>
      </c>
      <c>
        <v>0.467</v>
      </c>
      <c t="s">
        <v>42044</v>
      </c>
      <c t="s">
        <v>66812</v>
      </c>
      <c t="s">
        <v>9592</v>
      </c>
      <c t="s">
        <v>43190</v>
      </c>
      <c t="s">
        <v>9592</v>
      </c>
      <c t="s">
        <v>52136</v>
      </c>
      <c t="s">
        <v>7113</v>
      </c>
      <c t="s">
        <v>2517</v>
      </c>
      <c t="s">
        <v>39289</v>
      </c>
      <c>
        <v>33909</v>
      </c>
      <c>
        <v>33909</v>
      </c>
      <c t="s">
        <v>48794</v>
      </c>
      <c t="s">
        <v>8347</v>
      </c>
      <c>
        <v>1365</v>
      </c>
      <c r="AI2434" t="s">
        <v>23178</v>
      </c>
      <c t="s">
        <v>40123</v>
      </c>
      <c r="AL2434" t="s">
        <v>55393</v>
      </c>
      <c r="AN2434" t="s">
        <v>39289</v>
      </c>
      <c t="s">
        <v>48830</v>
      </c>
      <c t="s">
        <v>55873</v>
      </c>
      <c t="s">
        <v>3093</v>
      </c>
      <c t="s">
        <v>63548</v>
      </c>
    </row>
    <row>
      <c t="s">
        <v>17594</v>
      </c>
      <c t="s">
        <v>47325</v>
      </c>
      <c t="s">
        <v>66732</v>
      </c>
      <c t="s">
        <v>31279</v>
      </c>
      <c t="s">
        <v>50927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>
        <v>2020</v>
      </c>
      <c>
        <v>1704.02</v>
      </c>
      <c s="1" t="str">
        <f ca="1">HYPERLINK("https://web.datatree.com/?/property?propertyId=32883652", "https://web.datatree.com/?/property?propertyId=32883652")</f>
        <v>https://web.datatree.com/?/property?propertyId=32883652</v>
      </c>
      <c r="Q2435" t="s">
        <v>316</v>
      </c>
      <c>
        <v>0.241</v>
      </c>
      <c t="s">
        <v>6175</v>
      </c>
      <c t="s">
        <v>8762</v>
      </c>
      <c t="s">
        <v>418</v>
      </c>
      <c r="X2435" t="s">
        <v>30447</v>
      </c>
      <c t="s">
        <v>38550</v>
      </c>
      <c t="s">
        <v>2517</v>
      </c>
      <c t="s">
        <v>39289</v>
      </c>
      <c>
        <v>33909</v>
      </c>
      <c t="s">
        <v>41353</v>
      </c>
      <c t="s">
        <v>48794</v>
      </c>
      <c t="s">
        <v>32456</v>
      </c>
      <c r="AI2435" t="s">
        <v>23292</v>
      </c>
      <c r="AK2435">
        <v>21</v>
      </c>
      <c t="s">
        <v>22334</v>
      </c>
      <c r="AN2435" t="s">
        <v>63985</v>
      </c>
      <c>
        <v>82110</v>
      </c>
      <c r="AR2435" t="s">
        <v>14929</v>
      </c>
    </row>
    <row>
      <c t="s">
        <v>17594</v>
      </c>
      <c t="s">
        <v>32358</v>
      </c>
      <c t="s">
        <v>67039</v>
      </c>
      <c t="s">
        <v>36681</v>
      </c>
      <c t="s">
        <v>63299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436" s="1" t="str">
        <f ca="1">HYPERLINK("https://web.datatree.com/?/property?propertyId=32883986", "https://web.datatree.com/?/property?propertyId=32883986")</f>
        <v>https://web.datatree.com/?/property?propertyId=32883986</v>
      </c>
      <c r="Q2436" t="s">
        <v>316</v>
      </c>
      <c>
        <v>0.23</v>
      </c>
      <c t="s">
        <v>45031</v>
      </c>
      <c t="s">
        <v>47482</v>
      </c>
      <c t="s">
        <v>46865</v>
      </c>
      <c t="s">
        <v>65344</v>
      </c>
      <c t="s">
        <v>59137</v>
      </c>
      <c t="s">
        <v>38216</v>
      </c>
      <c t="s">
        <v>47150</v>
      </c>
      <c t="s">
        <v>2517</v>
      </c>
      <c t="s">
        <v>39289</v>
      </c>
      <c>
        <v>33909</v>
      </c>
      <c t="s">
        <v>44832</v>
      </c>
      <c t="s">
        <v>48794</v>
      </c>
      <c t="s">
        <v>41042</v>
      </c>
      <c>
        <v>615</v>
      </c>
      <c r="AI2436" t="s">
        <v>11417</v>
      </c>
      <c r="AL2436" t="s">
        <v>45340</v>
      </c>
      <c r="AN2436" t="s">
        <v>58705</v>
      </c>
      <c r="AR2436" t="s">
        <v>26454</v>
      </c>
    </row>
    <row>
      <c t="s">
        <v>17594</v>
      </c>
      <c t="s">
        <v>25966</v>
      </c>
      <c t="s">
        <v>48743</v>
      </c>
      <c t="s">
        <v>46986</v>
      </c>
      <c t="s">
        <v>5765</v>
      </c>
      <c s="3">
        <v>71741</v>
      </c>
      <c s="3">
        <v>63500</v>
      </c>
      <c s="3">
        <v>71741</v>
      </c>
      <c>
        <v>0</v>
      </c>
      <c s="3">
        <v>0</v>
      </c>
      <c s="3">
        <v>1078.97</v>
      </c>
      <c s="3">
        <v>71741</v>
      </c>
      <c r="O2437" s="1" t="str">
        <f ca="1">HYPERLINK("https://web.datatree.com/?/property?propertyId=32884215", "https://web.datatree.com/?/property?propertyId=32884215")</f>
        <v>https://web.datatree.com/?/property?propertyId=32884215</v>
      </c>
      <c r="Q2437" t="s">
        <v>316</v>
      </c>
      <c>
        <v>0.095</v>
      </c>
      <c t="s">
        <v>26492</v>
      </c>
      <c r="U2437" t="s">
        <v>35176</v>
      </c>
      <c r="W2437" t="s">
        <v>26889</v>
      </c>
      <c t="s">
        <v>29615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549</v>
      </c>
      <c>
        <v>512</v>
      </c>
      <c r="AI2437" t="s">
        <v>25316</v>
      </c>
      <c t="s">
        <v>45620</v>
      </c>
      <c r="AL2437" t="s">
        <v>18337</v>
      </c>
      <c t="s">
        <v>40227</v>
      </c>
      <c t="s">
        <v>26016</v>
      </c>
      <c t="s">
        <v>61412</v>
      </c>
      <c t="s">
        <v>4491</v>
      </c>
      <c t="s">
        <v>3093</v>
      </c>
      <c t="s">
        <v>35609</v>
      </c>
    </row>
    <row>
      <c t="s">
        <v>17594</v>
      </c>
      <c t="s">
        <v>65788</v>
      </c>
      <c t="s">
        <v>54715</v>
      </c>
      <c t="s">
        <v>15853</v>
      </c>
      <c t="s">
        <v>14517</v>
      </c>
      <c s="3">
        <v>7600</v>
      </c>
      <c s="3">
        <v>7600</v>
      </c>
      <c s="3">
        <v>7600</v>
      </c>
      <c>
        <v>0</v>
      </c>
      <c s="3">
        <v>0</v>
      </c>
      <c s="3">
        <v>636.05</v>
      </c>
      <c s="3">
        <v>7600</v>
      </c>
      <c>
        <v>2021</v>
      </c>
      <c>
        <v>584.1</v>
      </c>
      <c s="1" t="str">
        <f ca="1">HYPERLINK("https://web.datatree.com/?/property?propertyId=32885339", "https://web.datatree.com/?/property?propertyId=32885339")</f>
        <v>https://web.datatree.com/?/property?propertyId=32885339</v>
      </c>
      <c r="Q2438" t="s">
        <v>316</v>
      </c>
      <c>
        <v>0.23</v>
      </c>
      <c t="s">
        <v>6175</v>
      </c>
      <c t="s">
        <v>34833</v>
      </c>
      <c t="s">
        <v>43112</v>
      </c>
      <c r="X2438" t="s">
        <v>38627</v>
      </c>
      <c t="s">
        <v>53663</v>
      </c>
      <c t="s">
        <v>2517</v>
      </c>
      <c t="s">
        <v>39289</v>
      </c>
      <c>
        <v>33909</v>
      </c>
      <c t="s">
        <v>57030</v>
      </c>
      <c t="s">
        <v>48794</v>
      </c>
      <c t="s">
        <v>58107</v>
      </c>
      <c>
        <v>19830</v>
      </c>
      <c r="AI2438" t="s">
        <v>13170</v>
      </c>
      <c t="s">
        <v>40123</v>
      </c>
      <c r="AL2438" t="s">
        <v>29515</v>
      </c>
      <c r="AN2438" t="s">
        <v>39289</v>
      </c>
      <c t="s">
        <v>50635</v>
      </c>
      <c t="s">
        <v>7207</v>
      </c>
      <c t="s">
        <v>3093</v>
      </c>
      <c t="s">
        <v>41777</v>
      </c>
    </row>
    <row>
      <c t="s">
        <v>17594</v>
      </c>
      <c t="s">
        <v>6849</v>
      </c>
      <c t="s">
        <v>67241</v>
      </c>
      <c t="s">
        <v>40390</v>
      </c>
      <c t="s">
        <v>40900</v>
      </c>
      <c s="3">
        <v>228012</v>
      </c>
      <c s="3">
        <v>200502</v>
      </c>
      <c s="3">
        <v>171320</v>
      </c>
      <c>
        <v>0</v>
      </c>
      <c s="3">
        <v>0</v>
      </c>
      <c s="3">
        <v>2708.67</v>
      </c>
      <c s="3">
        <v>228012</v>
      </c>
      <c r="O2439" s="1" t="str">
        <f ca="1">HYPERLINK("https://web.datatree.com/?/property?propertyId=32885567", "https://web.datatree.com/?/property?propertyId=32885567")</f>
        <v>https://web.datatree.com/?/property?propertyId=32885567</v>
      </c>
      <c>
        <v>2473</v>
      </c>
      <c t="s">
        <v>316</v>
      </c>
      <c>
        <v>3</v>
      </c>
      <c t="s">
        <v>30497</v>
      </c>
      <c t="s">
        <v>20804</v>
      </c>
      <c t="s">
        <v>51665</v>
      </c>
      <c t="s">
        <v>4868</v>
      </c>
      <c t="s">
        <v>51665</v>
      </c>
      <c t="s">
        <v>14108</v>
      </c>
      <c t="s">
        <v>48518</v>
      </c>
      <c t="s">
        <v>65059</v>
      </c>
      <c t="s">
        <v>39289</v>
      </c>
      <c>
        <v>33908</v>
      </c>
      <c t="s">
        <v>42125</v>
      </c>
      <c t="s">
        <v>48794</v>
      </c>
      <c t="s">
        <v>39698</v>
      </c>
      <c>
        <v>3850</v>
      </c>
      <c r="AI2439" t="s">
        <v>53586</v>
      </c>
      <c t="s">
        <v>45620</v>
      </c>
      <c r="AL2439" t="s">
        <v>56874</v>
      </c>
      <c r="AN2439" t="s">
        <v>39289</v>
      </c>
      <c>
        <v>33935</v>
      </c>
      <c t="s">
        <v>56453</v>
      </c>
      <c t="s">
        <v>3093</v>
      </c>
      <c t="s">
        <v>37317</v>
      </c>
      <c>
        <v>1967</v>
      </c>
    </row>
    <row>
      <c t="s">
        <v>17594</v>
      </c>
      <c t="s">
        <v>29430</v>
      </c>
      <c t="s">
        <v>13070</v>
      </c>
      <c t="s">
        <v>9512</v>
      </c>
      <c t="s">
        <v>62663</v>
      </c>
      <c s="3">
        <v>354705</v>
      </c>
      <c s="3">
        <v>354705</v>
      </c>
      <c s="3">
        <v>232977</v>
      </c>
      <c>
        <v>0</v>
      </c>
      <c s="3">
        <v>0</v>
      </c>
      <c s="3">
        <v>4172.59</v>
      </c>
      <c s="3">
        <v>354705</v>
      </c>
      <c r="O2440" s="1" t="str">
        <f ca="1">HYPERLINK("https://web.datatree.com/?/property?propertyId=32885768", "https://web.datatree.com/?/property?propertyId=32885768")</f>
        <v>https://web.datatree.com/?/property?propertyId=32885768</v>
      </c>
      <c r="Q2440" t="s">
        <v>316</v>
      </c>
      <c>
        <v>0.23</v>
      </c>
      <c t="s">
        <v>22490</v>
      </c>
      <c t="s">
        <v>52045</v>
      </c>
      <c t="s">
        <v>22830</v>
      </c>
      <c r="X2440" t="s">
        <v>55334</v>
      </c>
      <c t="s">
        <v>50440</v>
      </c>
      <c t="s">
        <v>2517</v>
      </c>
      <c t="s">
        <v>39289</v>
      </c>
      <c>
        <v>33904</v>
      </c>
      <c t="s">
        <v>41583</v>
      </c>
      <c t="s">
        <v>48794</v>
      </c>
      <c t="s">
        <v>18242</v>
      </c>
      <c>
        <v>216</v>
      </c>
      <c r="AI2440" t="s">
        <v>16</v>
      </c>
      <c t="s">
        <v>56275</v>
      </c>
      <c r="AL2440" t="s">
        <v>65081</v>
      </c>
      <c t="s">
        <v>65081</v>
      </c>
      <c t="s">
        <v>19878</v>
      </c>
      <c t="s">
        <v>44882</v>
      </c>
      <c t="s">
        <v>18692</v>
      </c>
      <c t="s">
        <v>3093</v>
      </c>
      <c t="s">
        <v>9527</v>
      </c>
    </row>
    <row>
      <c t="s">
        <v>17594</v>
      </c>
      <c t="s">
        <v>792</v>
      </c>
      <c t="s">
        <v>27176</v>
      </c>
      <c t="s">
        <v>58367</v>
      </c>
      <c t="s">
        <v>10945</v>
      </c>
      <c s="3">
        <v>22300</v>
      </c>
      <c s="3">
        <v>22300</v>
      </c>
      <c s="3">
        <v>12884</v>
      </c>
      <c>
        <v>0</v>
      </c>
      <c s="3">
        <v>0</v>
      </c>
      <c s="3">
        <v>228.2</v>
      </c>
      <c s="3">
        <v>22300</v>
      </c>
      <c r="O2441" s="1" t="str">
        <f ca="1">HYPERLINK("https://web.datatree.com/?/property?propertyId=32886050", "https://web.datatree.com/?/property?propertyId=32886050")</f>
        <v>https://web.datatree.com/?/property?propertyId=32886050</v>
      </c>
      <c r="Q2441" t="s">
        <v>316</v>
      </c>
      <c>
        <v>0.213</v>
      </c>
      <c t="s">
        <v>5471</v>
      </c>
      <c t="s">
        <v>552</v>
      </c>
      <c t="s">
        <v>21852</v>
      </c>
      <c t="s">
        <v>13491</v>
      </c>
      <c t="s">
        <v>21852</v>
      </c>
      <c t="s">
        <v>21720</v>
      </c>
      <c t="s">
        <v>48352</v>
      </c>
      <c t="s">
        <v>65059</v>
      </c>
      <c t="s">
        <v>39289</v>
      </c>
      <c>
        <v>33905</v>
      </c>
      <c t="s">
        <v>43552</v>
      </c>
      <c t="s">
        <v>48794</v>
      </c>
      <c t="s">
        <v>60213</v>
      </c>
      <c>
        <v>714</v>
      </c>
      <c r="AI2441" t="s">
        <v>837</v>
      </c>
      <c t="s">
        <v>45620</v>
      </c>
      <c>
        <v>1</v>
      </c>
      <c t="s">
        <v>59059</v>
      </c>
      <c r="AN2441" t="s">
        <v>50917</v>
      </c>
      <c t="s">
        <v>65885</v>
      </c>
      <c t="s">
        <v>14695</v>
      </c>
      <c t="s">
        <v>3093</v>
      </c>
      <c t="s">
        <v>14477</v>
      </c>
    </row>
    <row>
      <c t="s">
        <v>17594</v>
      </c>
      <c t="s">
        <v>14311</v>
      </c>
      <c t="s">
        <v>61796</v>
      </c>
      <c t="s">
        <v>21508</v>
      </c>
      <c t="s">
        <v>61956</v>
      </c>
      <c s="3">
        <v>88181</v>
      </c>
      <c s="3">
        <v>88181</v>
      </c>
      <c s="3">
        <v>77000</v>
      </c>
      <c>
        <v>0</v>
      </c>
      <c s="3">
        <v>0</v>
      </c>
      <c s="3">
        <v>1968.43</v>
      </c>
      <c s="3">
        <v>88181</v>
      </c>
      <c r="O2442" s="1" t="str">
        <f ca="1">HYPERLINK("https://web.datatree.com/?/property?propertyId=32886518", "https://web.datatree.com/?/property?propertyId=32886518")</f>
        <v>https://web.datatree.com/?/property?propertyId=32886518</v>
      </c>
      <c r="Q2442" t="s">
        <v>316</v>
      </c>
      <c>
        <v>0.23</v>
      </c>
      <c t="s">
        <v>22490</v>
      </c>
      <c r="U2442" t="s">
        <v>14227</v>
      </c>
      <c t="s">
        <v>50331</v>
      </c>
      <c t="s">
        <v>36927</v>
      </c>
      <c t="s">
        <v>13269</v>
      </c>
      <c t="s">
        <v>49122</v>
      </c>
      <c t="s">
        <v>2517</v>
      </c>
      <c t="s">
        <v>39289</v>
      </c>
      <c>
        <v>33904</v>
      </c>
      <c t="s">
        <v>30632</v>
      </c>
      <c t="s">
        <v>48794</v>
      </c>
      <c t="s">
        <v>45369</v>
      </c>
      <c>
        <v>257</v>
      </c>
      <c r="AI2442" t="s">
        <v>7913</v>
      </c>
      <c t="s">
        <v>55842</v>
      </c>
      <c r="AL2442" t="s">
        <v>2922</v>
      </c>
      <c t="s">
        <v>2922</v>
      </c>
      <c t="s">
        <v>47028</v>
      </c>
      <c t="s">
        <v>57102</v>
      </c>
      <c t="s">
        <v>49977</v>
      </c>
      <c t="s">
        <v>3093</v>
      </c>
      <c t="s">
        <v>22587</v>
      </c>
    </row>
    <row>
      <c t="s">
        <v>17594</v>
      </c>
      <c t="s">
        <v>66326</v>
      </c>
      <c t="s">
        <v>35196</v>
      </c>
      <c t="s">
        <v>57963</v>
      </c>
      <c t="s">
        <v>60146</v>
      </c>
      <c s="3">
        <v>94962</v>
      </c>
      <c s="3">
        <v>94962</v>
      </c>
      <c s="3">
        <v>49944</v>
      </c>
      <c>
        <v>0</v>
      </c>
      <c s="3">
        <v>0</v>
      </c>
      <c s="3">
        <v>1452.15</v>
      </c>
      <c s="3">
        <v>94962</v>
      </c>
      <c r="O2443" s="1" t="str">
        <f ca="1">HYPERLINK("https://web.datatree.com/?/property?propertyId=32886670", "https://web.datatree.com/?/property?propertyId=32886670")</f>
        <v>https://web.datatree.com/?/property?propertyId=32886670</v>
      </c>
      <c r="Q2443" t="s">
        <v>316</v>
      </c>
      <c>
        <v>0.23</v>
      </c>
      <c t="s">
        <v>6175</v>
      </c>
      <c t="s">
        <v>56691</v>
      </c>
      <c t="s">
        <v>45571</v>
      </c>
      <c r="X2443" t="s">
        <v>13242</v>
      </c>
      <c t="s">
        <v>29190</v>
      </c>
      <c t="s">
        <v>2517</v>
      </c>
      <c t="s">
        <v>39289</v>
      </c>
      <c>
        <v>33904</v>
      </c>
      <c t="s">
        <v>40823</v>
      </c>
      <c t="s">
        <v>48794</v>
      </c>
      <c t="s">
        <v>64111</v>
      </c>
      <c>
        <v>2</v>
      </c>
      <c r="AI2443" t="s">
        <v>36351</v>
      </c>
      <c r="AL2443" t="s">
        <v>36113</v>
      </c>
      <c r="AN2443" t="s">
        <v>63985</v>
      </c>
      <c>
        <v>20249</v>
      </c>
      <c r="AR2443" t="s">
        <v>16621</v>
      </c>
    </row>
    <row>
      <c t="s">
        <v>42103</v>
      </c>
      <c t="s">
        <v>46137</v>
      </c>
      <c t="s">
        <v>48223</v>
      </c>
      <c t="s">
        <v>56897</v>
      </c>
      <c t="s">
        <v>35453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444" s="1" t="str">
        <f ca="1">HYPERLINK("https://web.datatree.com/?/property?propertyId=32888203", "https://web.datatree.com/?/property?propertyId=32888203")</f>
        <v>https://web.datatree.com/?/property?propertyId=32888203</v>
      </c>
      <c r="Q2444" t="s">
        <v>316</v>
      </c>
      <c>
        <v>0.23</v>
      </c>
      <c t="s">
        <v>22490</v>
      </c>
      <c t="s">
        <v>26023</v>
      </c>
      <c t="s">
        <v>38903</v>
      </c>
      <c t="s">
        <v>10410</v>
      </c>
      <c t="s">
        <v>14637</v>
      </c>
      <c t="s">
        <v>45479</v>
      </c>
      <c t="s">
        <v>23517</v>
      </c>
      <c t="s">
        <v>2517</v>
      </c>
      <c t="s">
        <v>39289</v>
      </c>
      <c>
        <v>33909</v>
      </c>
      <c t="s">
        <v>29934</v>
      </c>
      <c t="s">
        <v>48794</v>
      </c>
      <c t="s">
        <v>58361</v>
      </c>
      <c r="AI2444" t="s">
        <v>37872</v>
      </c>
      <c r="AL2444" t="s">
        <v>55393</v>
      </c>
      <c r="AN2444" t="s">
        <v>39289</v>
      </c>
      <c t="s">
        <v>41919</v>
      </c>
      <c t="s">
        <v>22666</v>
      </c>
      <c t="s">
        <v>3093</v>
      </c>
      <c t="s">
        <v>49112</v>
      </c>
    </row>
    <row>
      <c t="s">
        <v>17594</v>
      </c>
      <c t="s">
        <v>14733</v>
      </c>
      <c t="s">
        <v>30043</v>
      </c>
      <c t="s">
        <v>50206</v>
      </c>
      <c t="s">
        <v>4312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2445" s="1" t="str">
        <f ca="1">HYPERLINK("https://web.datatree.com/?/property?propertyId=32888366", "https://web.datatree.com/?/property?propertyId=32888366")</f>
        <v>https://web.datatree.com/?/property?propertyId=32888366</v>
      </c>
      <c r="Q2445" t="s">
        <v>316</v>
      </c>
      <c>
        <v>0.23</v>
      </c>
      <c t="s">
        <v>22490</v>
      </c>
      <c t="s">
        <v>29822</v>
      </c>
      <c t="s">
        <v>39164</v>
      </c>
      <c r="X2445" t="s">
        <v>8492</v>
      </c>
      <c t="s">
        <v>53675</v>
      </c>
      <c t="s">
        <v>2517</v>
      </c>
      <c t="s">
        <v>39289</v>
      </c>
      <c>
        <v>33909</v>
      </c>
      <c t="s">
        <v>5939</v>
      </c>
      <c t="s">
        <v>48794</v>
      </c>
      <c t="s">
        <v>15105</v>
      </c>
      <c>
        <v>4701</v>
      </c>
      <c r="AI2445" t="s">
        <v>31554</v>
      </c>
      <c t="s">
        <v>40123</v>
      </c>
      <c r="AL2445" t="s">
        <v>7812</v>
      </c>
      <c r="AN2445" t="s">
        <v>49572</v>
      </c>
      <c t="s">
        <v>54662</v>
      </c>
      <c t="s">
        <v>12241</v>
      </c>
      <c t="s">
        <v>3093</v>
      </c>
      <c t="s">
        <v>60615</v>
      </c>
    </row>
    <row>
      <c t="s">
        <v>17594</v>
      </c>
      <c t="s">
        <v>66130</v>
      </c>
      <c t="s">
        <v>58286</v>
      </c>
      <c t="s">
        <v>66213</v>
      </c>
      <c t="s">
        <v>15257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446" s="1" t="str">
        <f ca="1">HYPERLINK("https://web.datatree.com/?/property?propertyId=32888898", "https://web.datatree.com/?/property?propertyId=32888898")</f>
        <v>https://web.datatree.com/?/property?propertyId=32888898</v>
      </c>
      <c r="Q2446" t="s">
        <v>316</v>
      </c>
      <c>
        <v>0.23</v>
      </c>
      <c t="s">
        <v>6175</v>
      </c>
      <c t="s">
        <v>18102</v>
      </c>
      <c t="s">
        <v>1165</v>
      </c>
      <c t="s">
        <v>50826</v>
      </c>
      <c t="s">
        <v>4190</v>
      </c>
      <c t="s">
        <v>23220</v>
      </c>
      <c t="s">
        <v>34731</v>
      </c>
      <c t="s">
        <v>2517</v>
      </c>
      <c t="s">
        <v>39289</v>
      </c>
      <c>
        <v>33909</v>
      </c>
      <c t="s">
        <v>67002</v>
      </c>
      <c t="s">
        <v>48794</v>
      </c>
      <c t="s">
        <v>34036</v>
      </c>
      <c>
        <v>6303</v>
      </c>
      <c r="AI2446" t="s">
        <v>26976</v>
      </c>
      <c t="s">
        <v>31192</v>
      </c>
      <c>
        <v>400</v>
      </c>
      <c t="s">
        <v>55393</v>
      </c>
      <c r="AN2446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1429</v>
      </c>
      <c t="s">
        <v>55262</v>
      </c>
      <c t="s">
        <v>23007</v>
      </c>
      <c t="s">
        <v>57191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537.87</v>
      </c>
      <c s="1" t="str">
        <f ca="1">HYPERLINK("https://web.datatree.com/?/property?propertyId=32889545", "https://web.datatree.com/?/property?propertyId=32889545")</f>
        <v>https://web.datatree.com/?/property?propertyId=32889545</v>
      </c>
      <c r="Q2447" t="s">
        <v>316</v>
      </c>
      <c>
        <v>0.23</v>
      </c>
      <c t="s">
        <v>6175</v>
      </c>
      <c t="s">
        <v>50331</v>
      </c>
      <c t="s">
        <v>21245</v>
      </c>
      <c t="s">
        <v>57167</v>
      </c>
      <c t="s">
        <v>21245</v>
      </c>
      <c t="s">
        <v>11478</v>
      </c>
      <c t="s">
        <v>29190</v>
      </c>
      <c t="s">
        <v>2517</v>
      </c>
      <c t="s">
        <v>39289</v>
      </c>
      <c>
        <v>33909</v>
      </c>
      <c t="s">
        <v>20836</v>
      </c>
      <c t="s">
        <v>48794</v>
      </c>
      <c t="s">
        <v>16994</v>
      </c>
      <c>
        <v>1047</v>
      </c>
      <c r="AI2447" t="s">
        <v>23158</v>
      </c>
      <c t="s">
        <v>45620</v>
      </c>
      <c r="AL2447" t="s">
        <v>59143</v>
      </c>
      <c r="AN2447" t="s">
        <v>65467</v>
      </c>
      <c t="s">
        <v>35023</v>
      </c>
      <c t="s">
        <v>12251</v>
      </c>
      <c t="s">
        <v>3093</v>
      </c>
      <c t="s">
        <v>4094</v>
      </c>
    </row>
    <row>
      <c t="s">
        <v>17594</v>
      </c>
      <c t="s">
        <v>38823</v>
      </c>
      <c t="s">
        <v>38566</v>
      </c>
      <c t="s">
        <v>43244</v>
      </c>
      <c t="s">
        <v>5126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448" s="1" t="str">
        <f ca="1">HYPERLINK("https://web.datatree.com/?/property?propertyId=32889855", "https://web.datatree.com/?/property?propertyId=32889855")</f>
        <v>https://web.datatree.com/?/property?propertyId=32889855</v>
      </c>
      <c r="Q2448" t="s">
        <v>316</v>
      </c>
      <c>
        <v>0.23</v>
      </c>
      <c t="s">
        <v>22490</v>
      </c>
      <c t="s">
        <v>43746</v>
      </c>
      <c t="s">
        <v>56511</v>
      </c>
      <c t="s">
        <v>23807</v>
      </c>
      <c t="s">
        <v>57932</v>
      </c>
      <c t="s">
        <v>56369</v>
      </c>
      <c t="s">
        <v>66701</v>
      </c>
      <c t="s">
        <v>2517</v>
      </c>
      <c t="s">
        <v>39289</v>
      </c>
      <c>
        <v>33909</v>
      </c>
      <c t="s">
        <v>7931</v>
      </c>
      <c t="s">
        <v>48794</v>
      </c>
      <c t="s">
        <v>5926</v>
      </c>
      <c>
        <v>1700</v>
      </c>
      <c r="AI2448" t="s">
        <v>18318</v>
      </c>
      <c t="s">
        <v>24900</v>
      </c>
      <c r="AL2448" t="s">
        <v>20927</v>
      </c>
      <c r="AN2448" t="s">
        <v>19878</v>
      </c>
      <c t="s">
        <v>45380</v>
      </c>
      <c t="s">
        <v>45980</v>
      </c>
      <c t="s">
        <v>3093</v>
      </c>
      <c t="s">
        <v>5734</v>
      </c>
    </row>
    <row>
      <c t="s">
        <v>17594</v>
      </c>
      <c t="s">
        <v>10255</v>
      </c>
      <c t="s">
        <v>24311</v>
      </c>
      <c t="s">
        <v>35339</v>
      </c>
      <c t="s">
        <v>14710</v>
      </c>
      <c s="3">
        <v>18361</v>
      </c>
      <c s="3">
        <v>18361</v>
      </c>
      <c s="3">
        <v>9130</v>
      </c>
      <c>
        <v>0</v>
      </c>
      <c s="3">
        <v>0</v>
      </c>
      <c s="3">
        <v>581.68</v>
      </c>
      <c s="3">
        <v>18361</v>
      </c>
      <c r="O2449" s="1" t="str">
        <f ca="1">HYPERLINK("https://web.datatree.com/?/property?propertyId=32890029", "https://web.datatree.com/?/property?propertyId=32890029")</f>
        <v>https://web.datatree.com/?/property?propertyId=32890029</v>
      </c>
      <c r="Q2449" t="s">
        <v>316</v>
      </c>
      <c>
        <v>0.23</v>
      </c>
      <c t="s">
        <v>22490</v>
      </c>
      <c t="s">
        <v>16893</v>
      </c>
      <c t="s">
        <v>63478</v>
      </c>
      <c r="X2449" t="s">
        <v>27011</v>
      </c>
      <c t="s">
        <v>46469</v>
      </c>
      <c t="s">
        <v>2517</v>
      </c>
      <c t="s">
        <v>39289</v>
      </c>
      <c>
        <v>33909</v>
      </c>
      <c t="s">
        <v>36781</v>
      </c>
      <c t="s">
        <v>48794</v>
      </c>
      <c t="s">
        <v>2343</v>
      </c>
      <c>
        <v>14</v>
      </c>
      <c r="AI2449" t="s">
        <v>53134</v>
      </c>
      <c t="s">
        <v>1671</v>
      </c>
      <c r="AL2449" t="s">
        <v>55130</v>
      </c>
      <c r="AN2449" t="s">
        <v>26016</v>
      </c>
      <c t="s">
        <v>29387</v>
      </c>
      <c t="s">
        <v>14695</v>
      </c>
      <c t="s">
        <v>3093</v>
      </c>
      <c t="s">
        <v>53118</v>
      </c>
    </row>
    <row>
      <c t="s">
        <v>17594</v>
      </c>
      <c t="s">
        <v>32932</v>
      </c>
      <c t="s">
        <v>2505</v>
      </c>
      <c t="s">
        <v>11798</v>
      </c>
      <c t="s">
        <v>59720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2450" s="1" t="str">
        <f ca="1">HYPERLINK("https://web.datatree.com/?/property?propertyId=32890323", "https://web.datatree.com/?/property?propertyId=32890323")</f>
        <v>https://web.datatree.com/?/property?propertyId=32890323</v>
      </c>
      <c r="Q2450" t="s">
        <v>316</v>
      </c>
      <c>
        <v>0.23</v>
      </c>
      <c t="s">
        <v>22490</v>
      </c>
      <c t="s">
        <v>58617</v>
      </c>
      <c t="s">
        <v>57068</v>
      </c>
      <c r="X2450" t="s">
        <v>23580</v>
      </c>
      <c t="s">
        <v>25017</v>
      </c>
      <c t="s">
        <v>2517</v>
      </c>
      <c t="s">
        <v>39289</v>
      </c>
      <c>
        <v>33909</v>
      </c>
      <c t="s">
        <v>13933</v>
      </c>
      <c t="s">
        <v>48794</v>
      </c>
      <c t="s">
        <v>41089</v>
      </c>
      <c>
        <v>3</v>
      </c>
      <c r="AI2450" t="s">
        <v>17136</v>
      </c>
      <c t="s">
        <v>40123</v>
      </c>
      <c r="AL2450" t="s">
        <v>27285</v>
      </c>
      <c t="s">
        <v>27285</v>
      </c>
      <c t="s">
        <v>50917</v>
      </c>
      <c t="s">
        <v>65875</v>
      </c>
      <c t="s">
        <v>26242</v>
      </c>
      <c t="s">
        <v>3093</v>
      </c>
      <c t="s">
        <v>4873</v>
      </c>
    </row>
    <row>
      <c t="s">
        <v>17594</v>
      </c>
      <c t="s">
        <v>49763</v>
      </c>
      <c t="s">
        <v>35821</v>
      </c>
      <c t="s">
        <v>298</v>
      </c>
      <c t="s">
        <v>39729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451" s="1" t="str">
        <f ca="1">HYPERLINK("https://web.datatree.com/?/property?propertyId=32890654", "https://web.datatree.com/?/property?propertyId=32890654")</f>
        <v>https://web.datatree.com/?/property?propertyId=32890654</v>
      </c>
      <c r="Q2451" t="s">
        <v>316</v>
      </c>
      <c>
        <v>0.23</v>
      </c>
      <c t="s">
        <v>22490</v>
      </c>
      <c t="s">
        <v>8762</v>
      </c>
      <c t="s">
        <v>65810</v>
      </c>
      <c r="X2451" t="s">
        <v>2041</v>
      </c>
      <c t="s">
        <v>53675</v>
      </c>
      <c t="s">
        <v>2517</v>
      </c>
      <c t="s">
        <v>39289</v>
      </c>
      <c>
        <v>33909</v>
      </c>
      <c t="s">
        <v>10538</v>
      </c>
      <c t="s">
        <v>48794</v>
      </c>
      <c t="s">
        <v>46026</v>
      </c>
      <c>
        <v>750</v>
      </c>
      <c r="AI2451" t="s">
        <v>50849</v>
      </c>
      <c t="s">
        <v>24900</v>
      </c>
      <c r="AL2451" t="s">
        <v>1703</v>
      </c>
      <c t="s">
        <v>1703</v>
      </c>
      <c t="s">
        <v>39289</v>
      </c>
      <c t="s">
        <v>18737</v>
      </c>
      <c t="s">
        <v>17380</v>
      </c>
      <c t="s">
        <v>3093</v>
      </c>
      <c t="s">
        <v>34588</v>
      </c>
    </row>
    <row>
      <c t="s">
        <v>17594</v>
      </c>
      <c t="s">
        <v>41348</v>
      </c>
      <c t="s">
        <v>58286</v>
      </c>
      <c t="s">
        <v>56112</v>
      </c>
      <c t="s">
        <v>27182</v>
      </c>
      <c s="3">
        <v>28000</v>
      </c>
      <c s="3">
        <v>28000</v>
      </c>
      <c s="3">
        <v>12320</v>
      </c>
      <c>
        <v>0</v>
      </c>
      <c s="3">
        <v>0</v>
      </c>
      <c s="3">
        <v>656.17</v>
      </c>
      <c s="3">
        <v>28000</v>
      </c>
      <c>
        <v>2020</v>
      </c>
      <c>
        <v>1297.77</v>
      </c>
      <c s="1" t="str">
        <f ca="1">HYPERLINK("https://web.datatree.com/?/property?propertyId=32890723", "https://web.datatree.com/?/property?propertyId=32890723")</f>
        <v>https://web.datatree.com/?/property?propertyId=32890723</v>
      </c>
      <c r="Q2452" t="s">
        <v>316</v>
      </c>
      <c>
        <v>0.23</v>
      </c>
      <c t="s">
        <v>22490</v>
      </c>
      <c t="s">
        <v>46961</v>
      </c>
      <c t="s">
        <v>13075</v>
      </c>
      <c r="X2452" t="s">
        <v>45170</v>
      </c>
      <c t="s">
        <v>2619</v>
      </c>
      <c t="s">
        <v>2517</v>
      </c>
      <c t="s">
        <v>39289</v>
      </c>
      <c>
        <v>33909</v>
      </c>
      <c t="s">
        <v>41040</v>
      </c>
      <c t="s">
        <v>48794</v>
      </c>
      <c t="s">
        <v>17617</v>
      </c>
      <c>
        <v>6303</v>
      </c>
      <c r="AI2452" t="s">
        <v>26976</v>
      </c>
      <c t="s">
        <v>31192</v>
      </c>
      <c>
        <v>400</v>
      </c>
      <c t="s">
        <v>55393</v>
      </c>
      <c r="AN2452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38969</v>
      </c>
      <c t="s">
        <v>31564</v>
      </c>
      <c t="s">
        <v>26082</v>
      </c>
      <c t="s">
        <v>50516</v>
      </c>
      <c s="3">
        <v>58000</v>
      </c>
      <c s="3">
        <v>58000</v>
      </c>
      <c s="3">
        <v>9599</v>
      </c>
      <c>
        <v>0</v>
      </c>
      <c s="3">
        <v>0</v>
      </c>
      <c s="3">
        <v>889.4</v>
      </c>
      <c s="3">
        <v>58000</v>
      </c>
      <c r="O2453" s="1" t="str">
        <f ca="1">HYPERLINK("https://web.datatree.com/?/property?propertyId=32891323", "https://web.datatree.com/?/property?propertyId=32891323")</f>
        <v>https://web.datatree.com/?/property?propertyId=32891323</v>
      </c>
      <c r="Q2453" t="s">
        <v>316</v>
      </c>
      <c>
        <v>0.344</v>
      </c>
      <c t="s">
        <v>65422</v>
      </c>
      <c t="s">
        <v>61455</v>
      </c>
      <c t="s">
        <v>8932</v>
      </c>
      <c t="s">
        <v>38815</v>
      </c>
      <c t="s">
        <v>8932</v>
      </c>
      <c t="s">
        <v>8250</v>
      </c>
      <c t="s">
        <v>39082</v>
      </c>
      <c t="s">
        <v>2517</v>
      </c>
      <c t="s">
        <v>39289</v>
      </c>
      <c>
        <v>33909</v>
      </c>
      <c t="s">
        <v>33524</v>
      </c>
      <c t="s">
        <v>48794</v>
      </c>
      <c t="s">
        <v>4964</v>
      </c>
      <c>
        <v>10572</v>
      </c>
      <c r="AI2453" t="s">
        <v>50000</v>
      </c>
      <c t="s">
        <v>45393</v>
      </c>
      <c r="AL2453" t="s">
        <v>8109</v>
      </c>
      <c r="AN2453" t="s">
        <v>50917</v>
      </c>
      <c t="s">
        <v>66630</v>
      </c>
      <c t="s">
        <v>1951</v>
      </c>
      <c t="s">
        <v>3093</v>
      </c>
      <c t="s">
        <v>34742</v>
      </c>
    </row>
    <row>
      <c t="s">
        <v>17594</v>
      </c>
      <c t="s">
        <v>49486</v>
      </c>
      <c t="s">
        <v>28337</v>
      </c>
      <c t="s">
        <v>66197</v>
      </c>
      <c t="s">
        <v>43962</v>
      </c>
      <c s="3">
        <v>7700</v>
      </c>
      <c s="3">
        <v>7700</v>
      </c>
      <c s="3">
        <v>7700</v>
      </c>
      <c>
        <v>0</v>
      </c>
      <c s="3">
        <v>0</v>
      </c>
      <c s="3">
        <v>640.64</v>
      </c>
      <c s="3">
        <v>7700</v>
      </c>
      <c r="O2454" s="1" t="str">
        <f ca="1">HYPERLINK("https://web.datatree.com/?/property?propertyId=32891778", "https://web.datatree.com/?/property?propertyId=32891778")</f>
        <v>https://web.datatree.com/?/property?propertyId=32891778</v>
      </c>
      <c r="Q2454" t="s">
        <v>316</v>
      </c>
      <c>
        <v>0.244</v>
      </c>
      <c t="s">
        <v>6175</v>
      </c>
      <c t="s">
        <v>21996</v>
      </c>
      <c t="s">
        <v>28826</v>
      </c>
      <c r="X2454" t="s">
        <v>5543</v>
      </c>
      <c t="s">
        <v>39777</v>
      </c>
      <c t="s">
        <v>2517</v>
      </c>
      <c t="s">
        <v>39289</v>
      </c>
      <c>
        <v>33909</v>
      </c>
      <c t="s">
        <v>27130</v>
      </c>
      <c t="s">
        <v>48794</v>
      </c>
      <c t="s">
        <v>35280</v>
      </c>
      <c>
        <v>837</v>
      </c>
      <c r="AI2454" t="s">
        <v>17574</v>
      </c>
      <c t="s">
        <v>45620</v>
      </c>
      <c r="AL2454" t="s">
        <v>29731</v>
      </c>
      <c r="AN2454" t="s">
        <v>22275</v>
      </c>
      <c t="s">
        <v>55594</v>
      </c>
      <c t="s">
        <v>40645</v>
      </c>
      <c t="s">
        <v>3093</v>
      </c>
      <c t="s">
        <v>23822</v>
      </c>
    </row>
    <row>
      <c t="s">
        <v>17594</v>
      </c>
      <c t="s">
        <v>12940</v>
      </c>
      <c t="s">
        <v>19835</v>
      </c>
      <c t="s">
        <v>22260</v>
      </c>
      <c t="s">
        <v>29161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455" s="1" t="str">
        <f ca="1">HYPERLINK("https://web.datatree.com/?/property?propertyId=32892975", "https://web.datatree.com/?/property?propertyId=32892975")</f>
        <v>https://web.datatree.com/?/property?propertyId=32892975</v>
      </c>
      <c r="Q2455" t="s">
        <v>316</v>
      </c>
      <c>
        <v>0.23</v>
      </c>
      <c t="s">
        <v>22490</v>
      </c>
      <c t="s">
        <v>36704</v>
      </c>
      <c t="s">
        <v>39735</v>
      </c>
      <c r="X2455" t="s">
        <v>28927</v>
      </c>
      <c t="s">
        <v>15510</v>
      </c>
      <c t="s">
        <v>2517</v>
      </c>
      <c t="s">
        <v>39289</v>
      </c>
      <c>
        <v>33909</v>
      </c>
      <c t="s">
        <v>1853</v>
      </c>
      <c t="s">
        <v>48794</v>
      </c>
      <c t="s">
        <v>66413</v>
      </c>
      <c>
        <v>37</v>
      </c>
      <c r="AI2455" t="s">
        <v>38209</v>
      </c>
      <c r="AL2455" t="s">
        <v>46194</v>
      </c>
      <c r="AN2455" t="s">
        <v>63985</v>
      </c>
      <c>
        <v>82319</v>
      </c>
      <c r="AR2455" t="s">
        <v>44148</v>
      </c>
    </row>
    <row>
      <c t="s">
        <v>17594</v>
      </c>
      <c t="s">
        <v>56863</v>
      </c>
      <c t="s">
        <v>60269</v>
      </c>
      <c t="s">
        <v>26244</v>
      </c>
      <c t="s">
        <v>24537</v>
      </c>
      <c s="3">
        <v>19200</v>
      </c>
      <c s="3">
        <v>19200</v>
      </c>
      <c s="3">
        <v>9130</v>
      </c>
      <c>
        <v>0</v>
      </c>
      <c s="3">
        <v>0</v>
      </c>
      <c s="3">
        <v>585.72</v>
      </c>
      <c s="3">
        <v>19200</v>
      </c>
      <c r="O2456" s="1" t="str">
        <f ca="1">HYPERLINK("https://web.datatree.com/?/property?propertyId=32893768", "https://web.datatree.com/?/property?propertyId=32893768")</f>
        <v>https://web.datatree.com/?/property?propertyId=32893768</v>
      </c>
      <c r="Q2456" t="s">
        <v>316</v>
      </c>
      <c>
        <v>0.244</v>
      </c>
      <c t="s">
        <v>45031</v>
      </c>
      <c t="s">
        <v>27631</v>
      </c>
      <c t="s">
        <v>64983</v>
      </c>
      <c r="X2456" t="s">
        <v>34427</v>
      </c>
      <c t="s">
        <v>22731</v>
      </c>
      <c t="s">
        <v>2517</v>
      </c>
      <c t="s">
        <v>39289</v>
      </c>
      <c>
        <v>33909</v>
      </c>
      <c t="s">
        <v>53291</v>
      </c>
      <c t="s">
        <v>48794</v>
      </c>
      <c t="s">
        <v>54357</v>
      </c>
      <c>
        <v>5</v>
      </c>
      <c r="AI2456" t="s">
        <v>48965</v>
      </c>
      <c t="s">
        <v>55842</v>
      </c>
      <c r="AL2456" t="s">
        <v>51151</v>
      </c>
      <c r="AN2456" t="s">
        <v>19878</v>
      </c>
      <c t="s">
        <v>22809</v>
      </c>
      <c t="s">
        <v>60160</v>
      </c>
      <c t="s">
        <v>3093</v>
      </c>
      <c t="s">
        <v>49054</v>
      </c>
    </row>
    <row>
      <c t="s">
        <v>17594</v>
      </c>
      <c t="s">
        <v>51613</v>
      </c>
      <c t="s">
        <v>52514</v>
      </c>
      <c t="s">
        <v>35225</v>
      </c>
      <c t="s">
        <v>39235</v>
      </c>
      <c s="3">
        <v>12544</v>
      </c>
      <c s="3">
        <v>12544</v>
      </c>
      <c s="3">
        <v>4972</v>
      </c>
      <c>
        <v>0</v>
      </c>
      <c s="3">
        <v>0</v>
      </c>
      <c s="3">
        <v>333.58</v>
      </c>
      <c s="3">
        <v>12544</v>
      </c>
      <c r="O2457" s="1" t="str">
        <f ca="1">HYPERLINK("https://web.datatree.com/?/property?propertyId=32893926", "https://web.datatree.com/?/property?propertyId=32893926")</f>
        <v>https://web.datatree.com/?/property?propertyId=32893926</v>
      </c>
      <c r="Q2457" t="s">
        <v>316</v>
      </c>
      <c>
        <v>0.367</v>
      </c>
      <c t="s">
        <v>5471</v>
      </c>
      <c t="s">
        <v>58665</v>
      </c>
      <c t="s">
        <v>45002</v>
      </c>
      <c t="s">
        <v>47784</v>
      </c>
      <c t="s">
        <v>1859</v>
      </c>
      <c t="s">
        <v>3198</v>
      </c>
      <c t="s">
        <v>39098</v>
      </c>
      <c t="s">
        <v>65059</v>
      </c>
      <c t="s">
        <v>39289</v>
      </c>
      <c>
        <v>33905</v>
      </c>
      <c>
        <v>33905</v>
      </c>
      <c t="s">
        <v>48794</v>
      </c>
      <c t="s">
        <v>11482</v>
      </c>
      <c>
        <v>9510</v>
      </c>
      <c r="AI2457" t="s">
        <v>59006</v>
      </c>
      <c t="s">
        <v>45393</v>
      </c>
      <c r="AL2457" t="s">
        <v>13905</v>
      </c>
      <c t="s">
        <v>40227</v>
      </c>
      <c t="s">
        <v>4477</v>
      </c>
      <c t="s">
        <v>65755</v>
      </c>
      <c t="s">
        <v>14845</v>
      </c>
      <c t="s">
        <v>3093</v>
      </c>
      <c t="s">
        <v>62709</v>
      </c>
    </row>
    <row>
      <c t="s">
        <v>17594</v>
      </c>
      <c t="s">
        <v>10570</v>
      </c>
      <c t="s">
        <v>13652</v>
      </c>
      <c t="s">
        <v>25103</v>
      </c>
      <c t="s">
        <v>31590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458" s="1" t="str">
        <f ca="1">HYPERLINK("https://web.datatree.com/?/property?propertyId=32893938", "https://web.datatree.com/?/property?propertyId=32893938")</f>
        <v>https://web.datatree.com/?/property?propertyId=32893938</v>
      </c>
      <c r="Q2458" t="s">
        <v>316</v>
      </c>
      <c>
        <v>0.23</v>
      </c>
      <c t="s">
        <v>22490</v>
      </c>
      <c t="s">
        <v>50331</v>
      </c>
      <c t="s">
        <v>27128</v>
      </c>
      <c t="s">
        <v>11589</v>
      </c>
      <c t="s">
        <v>27128</v>
      </c>
      <c t="s">
        <v>34979</v>
      </c>
      <c t="s">
        <v>25017</v>
      </c>
      <c t="s">
        <v>2517</v>
      </c>
      <c t="s">
        <v>39289</v>
      </c>
      <c>
        <v>33909</v>
      </c>
      <c t="s">
        <v>56847</v>
      </c>
      <c t="s">
        <v>48794</v>
      </c>
      <c t="s">
        <v>16018</v>
      </c>
      <c>
        <v>10</v>
      </c>
      <c r="AI2458" t="s">
        <v>13778</v>
      </c>
      <c t="s">
        <v>45620</v>
      </c>
      <c r="AL2458" t="s">
        <v>56716</v>
      </c>
      <c r="AN2458" t="s">
        <v>27747</v>
      </c>
      <c t="s">
        <v>31798</v>
      </c>
      <c t="s">
        <v>22455</v>
      </c>
      <c t="s">
        <v>3093</v>
      </c>
      <c t="s">
        <v>28297</v>
      </c>
    </row>
    <row>
      <c t="s">
        <v>17594</v>
      </c>
      <c t="s">
        <v>2570</v>
      </c>
      <c t="s">
        <v>52116</v>
      </c>
      <c t="s">
        <v>20441</v>
      </c>
      <c t="s">
        <v>47181</v>
      </c>
      <c s="3">
        <v>12482</v>
      </c>
      <c s="3">
        <v>12300</v>
      </c>
      <c s="3">
        <v>9715</v>
      </c>
      <c>
        <v>0</v>
      </c>
      <c s="3">
        <v>0</v>
      </c>
      <c s="3">
        <v>292.11</v>
      </c>
      <c s="3">
        <v>12482</v>
      </c>
      <c r="O2459" s="1" t="str">
        <f ca="1">HYPERLINK("https://web.datatree.com/?/property?propertyId=32894195", "https://web.datatree.com/?/property?propertyId=32894195")</f>
        <v>https://web.datatree.com/?/property?propertyId=32894195</v>
      </c>
      <c>
        <v>1322</v>
      </c>
      <c t="s">
        <v>316</v>
      </c>
      <c>
        <v>0.098</v>
      </c>
      <c t="s">
        <v>45526</v>
      </c>
      <c t="s">
        <v>26697</v>
      </c>
      <c t="s">
        <v>31907</v>
      </c>
      <c r="X2459" t="s">
        <v>22239</v>
      </c>
      <c t="s">
        <v>65116</v>
      </c>
      <c t="s">
        <v>65059</v>
      </c>
      <c t="s">
        <v>39289</v>
      </c>
      <c>
        <v>33908</v>
      </c>
      <c>
        <v>33908</v>
      </c>
      <c t="s">
        <v>48794</v>
      </c>
      <c t="s">
        <v>11158</v>
      </c>
      <c>
        <v>1309</v>
      </c>
      <c r="AI2459" t="s">
        <v>1831</v>
      </c>
      <c t="s">
        <v>45393</v>
      </c>
      <c r="AL2459" t="s">
        <v>11713</v>
      </c>
      <c r="AN2459" t="s">
        <v>39289</v>
      </c>
      <c t="s">
        <v>60913</v>
      </c>
      <c t="s">
        <v>35375</v>
      </c>
      <c t="s">
        <v>3093</v>
      </c>
      <c t="s">
        <v>6461</v>
      </c>
      <c>
        <v>1973</v>
      </c>
    </row>
    <row>
      <c t="s">
        <v>17594</v>
      </c>
      <c t="s">
        <v>1529</v>
      </c>
      <c t="s">
        <v>59110</v>
      </c>
      <c t="s">
        <v>29956</v>
      </c>
      <c t="s">
        <v>9669</v>
      </c>
      <c s="3">
        <v>28210</v>
      </c>
      <c s="3">
        <v>28210</v>
      </c>
      <c s="3">
        <v>9079</v>
      </c>
      <c>
        <v>0</v>
      </c>
      <c s="3">
        <v>0</v>
      </c>
      <c s="3">
        <v>2910.05</v>
      </c>
      <c s="3">
        <v>28210</v>
      </c>
      <c>
        <v>2018</v>
      </c>
      <c>
        <v>30147.11</v>
      </c>
      <c s="1" t="str">
        <f ca="1">HYPERLINK("https://web.datatree.com/?/property?propertyId=32895234", "https://web.datatree.com/?/property?propertyId=32895234")</f>
        <v>https://web.datatree.com/?/property?propertyId=32895234</v>
      </c>
      <c r="Q2460" t="s">
        <v>316</v>
      </c>
      <c>
        <v>0.23</v>
      </c>
      <c t="s">
        <v>6175</v>
      </c>
      <c t="s">
        <v>33353</v>
      </c>
      <c t="s">
        <v>28610</v>
      </c>
      <c r="X2460" t="s">
        <v>4034</v>
      </c>
      <c t="s">
        <v>34731</v>
      </c>
      <c t="s">
        <v>2517</v>
      </c>
      <c t="s">
        <v>39289</v>
      </c>
      <c>
        <v>33909</v>
      </c>
      <c t="s">
        <v>52059</v>
      </c>
      <c t="s">
        <v>48794</v>
      </c>
      <c t="s">
        <v>3580</v>
      </c>
      <c>
        <v>1364</v>
      </c>
      <c r="AI2460" t="s">
        <v>3835</v>
      </c>
      <c t="s">
        <v>31192</v>
      </c>
      <c r="AL2460" t="s">
        <v>15320</v>
      </c>
      <c r="AN2460" t="s">
        <v>39289</v>
      </c>
      <c t="s">
        <v>49879</v>
      </c>
      <c t="s">
        <v>19978</v>
      </c>
      <c t="s">
        <v>3093</v>
      </c>
      <c t="s">
        <v>35147</v>
      </c>
    </row>
    <row>
      <c t="s">
        <v>17594</v>
      </c>
      <c t="s">
        <v>46439</v>
      </c>
      <c t="s">
        <v>47832</v>
      </c>
      <c t="s">
        <v>26591</v>
      </c>
      <c t="s">
        <v>61501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 r="O2461" s="1" t="str">
        <f ca="1">HYPERLINK("https://web.datatree.com/?/property?propertyId=32895342", "https://web.datatree.com/?/property?propertyId=32895342")</f>
        <v>https://web.datatree.com/?/property?propertyId=32895342</v>
      </c>
      <c r="Q2461" t="s">
        <v>316</v>
      </c>
      <c>
        <v>0.344</v>
      </c>
      <c t="s">
        <v>6175</v>
      </c>
      <c t="s">
        <v>26386</v>
      </c>
      <c t="s">
        <v>65985</v>
      </c>
      <c t="s">
        <v>6361</v>
      </c>
      <c t="s">
        <v>65985</v>
      </c>
      <c t="s">
        <v>10476</v>
      </c>
      <c t="s">
        <v>2626</v>
      </c>
      <c t="s">
        <v>2517</v>
      </c>
      <c t="s">
        <v>39289</v>
      </c>
      <c>
        <v>33909</v>
      </c>
      <c t="s">
        <v>27640</v>
      </c>
      <c t="s">
        <v>48794</v>
      </c>
      <c t="s">
        <v>64567</v>
      </c>
      <c>
        <v>7907</v>
      </c>
      <c r="AI2461" t="s">
        <v>62725</v>
      </c>
      <c t="s">
        <v>20615</v>
      </c>
      <c r="AL2461" t="s">
        <v>59996</v>
      </c>
      <c r="AN2461" t="s">
        <v>49572</v>
      </c>
      <c t="s">
        <v>42800</v>
      </c>
      <c t="s">
        <v>27720</v>
      </c>
      <c t="s">
        <v>3093</v>
      </c>
      <c t="s">
        <v>24498</v>
      </c>
    </row>
    <row>
      <c t="s">
        <v>42103</v>
      </c>
      <c t="s">
        <v>9714</v>
      </c>
      <c t="s">
        <v>33932</v>
      </c>
      <c t="s">
        <v>36774</v>
      </c>
      <c t="s">
        <v>61656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2462" s="1" t="str">
        <f ca="1">HYPERLINK("https://web.datatree.com/?/property?propertyId=32895358", "https://web.datatree.com/?/property?propertyId=32895358")</f>
        <v>https://web.datatree.com/?/property?propertyId=32895358</v>
      </c>
      <c r="Q2462" t="s">
        <v>316</v>
      </c>
      <c>
        <v>0.23</v>
      </c>
      <c t="s">
        <v>6175</v>
      </c>
      <c t="s">
        <v>40487</v>
      </c>
      <c t="s">
        <v>40552</v>
      </c>
      <c r="X2462" t="s">
        <v>59041</v>
      </c>
      <c t="s">
        <v>38550</v>
      </c>
      <c t="s">
        <v>2517</v>
      </c>
      <c t="s">
        <v>39289</v>
      </c>
      <c>
        <v>33909</v>
      </c>
      <c t="s">
        <v>25124</v>
      </c>
      <c t="s">
        <v>48794</v>
      </c>
      <c t="s">
        <v>33407</v>
      </c>
      <c r="AI2462" t="s">
        <v>7795</v>
      </c>
      <c r="AL2462" t="s">
        <v>10527</v>
      </c>
      <c r="AN2462" t="s">
        <v>10804</v>
      </c>
      <c>
        <v>28613</v>
      </c>
      <c t="s">
        <v>61509</v>
      </c>
      <c t="s">
        <v>3093</v>
      </c>
      <c t="s">
        <v>13154</v>
      </c>
    </row>
    <row>
      <c t="s">
        <v>17594</v>
      </c>
      <c t="s">
        <v>19161</v>
      </c>
      <c t="s">
        <v>37310</v>
      </c>
      <c t="s">
        <v>28921</v>
      </c>
      <c t="s">
        <v>58965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2463" s="1" t="str">
        <f ca="1">HYPERLINK("https://web.datatree.com/?/property?propertyId=32895800", "https://web.datatree.com/?/property?propertyId=32895800")</f>
        <v>https://web.datatree.com/?/property?propertyId=32895800</v>
      </c>
      <c r="Q2463" t="s">
        <v>316</v>
      </c>
      <c>
        <v>0.23</v>
      </c>
      <c t="s">
        <v>6175</v>
      </c>
      <c t="s">
        <v>1089</v>
      </c>
      <c t="s">
        <v>50135</v>
      </c>
      <c r="X2463" t="s">
        <v>57120</v>
      </c>
      <c t="s">
        <v>39082</v>
      </c>
      <c t="s">
        <v>2517</v>
      </c>
      <c t="s">
        <v>39289</v>
      </c>
      <c>
        <v>33909</v>
      </c>
      <c t="s">
        <v>61983</v>
      </c>
      <c t="s">
        <v>48794</v>
      </c>
      <c t="s">
        <v>65445</v>
      </c>
      <c>
        <v>12505</v>
      </c>
      <c r="AI2463" t="s">
        <v>33686</v>
      </c>
      <c t="s">
        <v>24900</v>
      </c>
      <c r="AL2463" t="s">
        <v>67217</v>
      </c>
      <c t="s">
        <v>13397</v>
      </c>
      <c t="s">
        <v>50917</v>
      </c>
      <c t="s">
        <v>12760</v>
      </c>
      <c t="s">
        <v>31626</v>
      </c>
      <c t="s">
        <v>3093</v>
      </c>
      <c t="s">
        <v>7884</v>
      </c>
    </row>
    <row>
      <c t="s">
        <v>17594</v>
      </c>
      <c t="s">
        <v>52948</v>
      </c>
      <c t="s">
        <v>7206</v>
      </c>
      <c t="s">
        <v>38663</v>
      </c>
      <c t="s">
        <v>8830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464" s="1" t="str">
        <f ca="1">HYPERLINK("https://web.datatree.com/?/property?propertyId=32895858", "https://web.datatree.com/?/property?propertyId=32895858")</f>
        <v>https://web.datatree.com/?/property?propertyId=32895858</v>
      </c>
      <c r="Q2464" t="s">
        <v>316</v>
      </c>
      <c>
        <v>0.23</v>
      </c>
      <c t="s">
        <v>6175</v>
      </c>
      <c t="s">
        <v>27181</v>
      </c>
      <c t="s">
        <v>10900</v>
      </c>
      <c r="X2464" t="s">
        <v>51257</v>
      </c>
      <c t="s">
        <v>25017</v>
      </c>
      <c t="s">
        <v>2517</v>
      </c>
      <c t="s">
        <v>39289</v>
      </c>
      <c>
        <v>33909</v>
      </c>
      <c t="s">
        <v>4057</v>
      </c>
      <c t="s">
        <v>48794</v>
      </c>
      <c t="s">
        <v>32229</v>
      </c>
      <c r="AI2464" t="s">
        <v>16780</v>
      </c>
      <c r="AK2464">
        <v>137</v>
      </c>
      <c t="s">
        <v>62044</v>
      </c>
      <c t="s">
        <v>46764</v>
      </c>
      <c t="s">
        <v>28887</v>
      </c>
      <c r="AR2464" t="s">
        <v>66655</v>
      </c>
    </row>
    <row>
      <c t="s">
        <v>17594</v>
      </c>
      <c t="s">
        <v>20814</v>
      </c>
      <c t="s">
        <v>12416</v>
      </c>
      <c t="s">
        <v>31264</v>
      </c>
      <c t="s">
        <v>28581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2465" s="1" t="str">
        <f ca="1">HYPERLINK("https://web.datatree.com/?/property?propertyId=32896164", "https://web.datatree.com/?/property?propertyId=32896164")</f>
        <v>https://web.datatree.com/?/property?propertyId=32896164</v>
      </c>
      <c r="Q2465" t="s">
        <v>316</v>
      </c>
      <c>
        <v>0.23</v>
      </c>
      <c t="s">
        <v>6175</v>
      </c>
      <c r="U2465" t="s">
        <v>38056</v>
      </c>
      <c r="W2465" t="s">
        <v>2941</v>
      </c>
      <c t="s">
        <v>31601</v>
      </c>
      <c t="s">
        <v>34731</v>
      </c>
      <c t="s">
        <v>2517</v>
      </c>
      <c t="s">
        <v>39289</v>
      </c>
      <c>
        <v>33909</v>
      </c>
      <c t="s">
        <v>50183</v>
      </c>
      <c t="s">
        <v>48794</v>
      </c>
      <c t="s">
        <v>21482</v>
      </c>
      <c>
        <v>23</v>
      </c>
      <c r="AI2465" t="s">
        <v>10908</v>
      </c>
      <c t="s">
        <v>45620</v>
      </c>
      <c r="AL2465" t="s">
        <v>14098</v>
      </c>
      <c r="AN2465" t="s">
        <v>50917</v>
      </c>
      <c t="s">
        <v>47707</v>
      </c>
      <c t="s">
        <v>4797</v>
      </c>
      <c t="s">
        <v>3093</v>
      </c>
      <c t="s">
        <v>14096</v>
      </c>
    </row>
    <row>
      <c t="s">
        <v>17594</v>
      </c>
      <c t="s">
        <v>50777</v>
      </c>
      <c t="s">
        <v>14598</v>
      </c>
      <c t="s">
        <v>39263</v>
      </c>
      <c t="s">
        <v>38472</v>
      </c>
      <c s="3">
        <v>7700</v>
      </c>
      <c s="3">
        <v>7700</v>
      </c>
      <c s="3">
        <v>7700</v>
      </c>
      <c>
        <v>0</v>
      </c>
      <c s="3">
        <v>0</v>
      </c>
      <c s="3">
        <v>640.64</v>
      </c>
      <c s="3">
        <v>7700</v>
      </c>
      <c r="O2466" s="1" t="str">
        <f ca="1">HYPERLINK("https://web.datatree.com/?/property?propertyId=32897273", "https://web.datatree.com/?/property?propertyId=32897273")</f>
        <v>https://web.datatree.com/?/property?propertyId=32897273</v>
      </c>
      <c r="Q2466" t="s">
        <v>316</v>
      </c>
      <c>
        <v>0.244</v>
      </c>
      <c t="s">
        <v>54449</v>
      </c>
      <c t="s">
        <v>62245</v>
      </c>
      <c t="s">
        <v>43112</v>
      </c>
      <c r="X2466" t="s">
        <v>45808</v>
      </c>
      <c t="s">
        <v>39777</v>
      </c>
      <c t="s">
        <v>2517</v>
      </c>
      <c t="s">
        <v>39289</v>
      </c>
      <c>
        <v>33909</v>
      </c>
      <c t="s">
        <v>40003</v>
      </c>
      <c t="s">
        <v>48794</v>
      </c>
      <c t="s">
        <v>53724</v>
      </c>
      <c>
        <v>8985</v>
      </c>
      <c r="AI2466" t="s">
        <v>42943</v>
      </c>
      <c t="s">
        <v>24900</v>
      </c>
      <c r="AL2466" t="s">
        <v>43283</v>
      </c>
      <c t="s">
        <v>43283</v>
      </c>
      <c t="s">
        <v>39289</v>
      </c>
      <c t="s">
        <v>49697</v>
      </c>
      <c t="s">
        <v>17380</v>
      </c>
      <c t="s">
        <v>3093</v>
      </c>
      <c t="s">
        <v>7711</v>
      </c>
    </row>
    <row>
      <c t="s">
        <v>17594</v>
      </c>
      <c t="s">
        <v>8621</v>
      </c>
      <c t="s">
        <v>50443</v>
      </c>
      <c t="s">
        <v>33649</v>
      </c>
      <c t="s">
        <v>60564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467" s="1" t="str">
        <f ca="1">HYPERLINK("https://web.datatree.com/?/property?propertyId=32897497", "https://web.datatree.com/?/property?propertyId=32897497")</f>
        <v>https://web.datatree.com/?/property?propertyId=32897497</v>
      </c>
      <c r="Q2467" t="s">
        <v>316</v>
      </c>
      <c>
        <v>0.23</v>
      </c>
      <c t="s">
        <v>54449</v>
      </c>
      <c t="s">
        <v>32056</v>
      </c>
      <c t="s">
        <v>50908</v>
      </c>
      <c t="s">
        <v>47813</v>
      </c>
      <c r="X2467" t="s">
        <v>65086</v>
      </c>
      <c t="s">
        <v>38550</v>
      </c>
      <c t="s">
        <v>2517</v>
      </c>
      <c t="s">
        <v>39289</v>
      </c>
      <c>
        <v>33909</v>
      </c>
      <c t="s">
        <v>57095</v>
      </c>
      <c t="s">
        <v>48794</v>
      </c>
      <c t="s">
        <v>56990</v>
      </c>
      <c>
        <v>4162</v>
      </c>
      <c r="AI2467" t="s">
        <v>33682</v>
      </c>
      <c t="s">
        <v>39321</v>
      </c>
      <c r="AL2467" t="s">
        <v>66458</v>
      </c>
      <c t="s">
        <v>66458</v>
      </c>
      <c t="s">
        <v>39289</v>
      </c>
      <c t="s">
        <v>32712</v>
      </c>
      <c t="s">
        <v>50779</v>
      </c>
      <c t="s">
        <v>3093</v>
      </c>
      <c t="s">
        <v>4107</v>
      </c>
    </row>
    <row>
      <c t="s">
        <v>17594</v>
      </c>
      <c t="s">
        <v>65269</v>
      </c>
      <c t="s">
        <v>12845</v>
      </c>
      <c t="s">
        <v>52316</v>
      </c>
      <c t="s">
        <v>53365</v>
      </c>
      <c s="3">
        <v>17131</v>
      </c>
      <c s="3">
        <v>17131</v>
      </c>
      <c s="3">
        <v>9075</v>
      </c>
      <c>
        <v>0</v>
      </c>
      <c s="3">
        <v>0</v>
      </c>
      <c s="3">
        <v>557.94</v>
      </c>
      <c s="3">
        <v>17131</v>
      </c>
      <c r="O2468" s="1" t="str">
        <f ca="1">HYPERLINK("https://web.datatree.com/?/property?propertyId=32897796", "https://web.datatree.com/?/property?propertyId=32897796")</f>
        <v>https://web.datatree.com/?/property?propertyId=32897796</v>
      </c>
      <c r="Q2468" t="s">
        <v>316</v>
      </c>
      <c>
        <v>0.241</v>
      </c>
      <c t="s">
        <v>42044</v>
      </c>
      <c t="s">
        <v>52880</v>
      </c>
      <c t="s">
        <v>11663</v>
      </c>
      <c r="X2468" t="s">
        <v>54643</v>
      </c>
      <c t="s">
        <v>7113</v>
      </c>
      <c t="s">
        <v>2517</v>
      </c>
      <c t="s">
        <v>39289</v>
      </c>
      <c>
        <v>33909</v>
      </c>
      <c t="s">
        <v>28696</v>
      </c>
      <c t="s">
        <v>48794</v>
      </c>
      <c t="s">
        <v>63518</v>
      </c>
      <c>
        <v>57</v>
      </c>
      <c r="AI2468" t="s">
        <v>26363</v>
      </c>
      <c t="s">
        <v>24900</v>
      </c>
      <c r="AL2468" t="s">
        <v>4196</v>
      </c>
      <c r="AN2468" t="s">
        <v>26016</v>
      </c>
      <c t="s">
        <v>54903</v>
      </c>
      <c t="s">
        <v>49977</v>
      </c>
      <c t="s">
        <v>3093</v>
      </c>
      <c t="s">
        <v>33035</v>
      </c>
    </row>
    <row>
      <c t="s">
        <v>17594</v>
      </c>
      <c t="s">
        <v>59861</v>
      </c>
      <c t="s">
        <v>55956</v>
      </c>
      <c t="s">
        <v>39862</v>
      </c>
      <c t="s">
        <v>10929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2469" s="1" t="str">
        <f ca="1">HYPERLINK("https://web.datatree.com/?/property?propertyId=32897963", "https://web.datatree.com/?/property?propertyId=32897963")</f>
        <v>https://web.datatree.com/?/property?propertyId=32897963</v>
      </c>
      <c r="Q2469" t="s">
        <v>316</v>
      </c>
      <c>
        <v>0.23</v>
      </c>
      <c t="s">
        <v>6175</v>
      </c>
      <c r="U2469" t="s">
        <v>61216</v>
      </c>
      <c r="W2469" t="s">
        <v>2563</v>
      </c>
      <c t="s">
        <v>60773</v>
      </c>
      <c t="s">
        <v>59763</v>
      </c>
      <c t="s">
        <v>2517</v>
      </c>
      <c t="s">
        <v>39289</v>
      </c>
      <c>
        <v>33909</v>
      </c>
      <c t="s">
        <v>2982</v>
      </c>
      <c t="s">
        <v>48794</v>
      </c>
      <c t="s">
        <v>9322</v>
      </c>
      <c>
        <v>84314</v>
      </c>
      <c r="AI2469" t="s">
        <v>34304</v>
      </c>
      <c t="s">
        <v>24900</v>
      </c>
      <c r="AL2469" t="s">
        <v>57322</v>
      </c>
      <c r="AN2469" t="s">
        <v>65451</v>
      </c>
      <c t="s">
        <v>50433</v>
      </c>
      <c t="s">
        <v>47183</v>
      </c>
      <c t="s">
        <v>3093</v>
      </c>
      <c t="s">
        <v>10415</v>
      </c>
    </row>
    <row>
      <c t="s">
        <v>17594</v>
      </c>
      <c t="s">
        <v>49322</v>
      </c>
      <c t="s">
        <v>39627</v>
      </c>
      <c t="s">
        <v>3767</v>
      </c>
      <c t="s">
        <v>6935</v>
      </c>
      <c s="3">
        <v>34466</v>
      </c>
      <c s="3">
        <v>34102</v>
      </c>
      <c s="3">
        <v>18549</v>
      </c>
      <c>
        <v>0</v>
      </c>
      <c s="3">
        <v>0</v>
      </c>
      <c s="3">
        <v>352.05</v>
      </c>
      <c s="3">
        <v>34466</v>
      </c>
      <c r="O2470" s="1" t="str">
        <f ca="1">HYPERLINK("https://web.datatree.com/?/property?propertyId=32899222", "https://web.datatree.com/?/property?propertyId=32899222")</f>
        <v>https://web.datatree.com/?/property?propertyId=32899222</v>
      </c>
      <c r="Q2470" t="s">
        <v>316</v>
      </c>
      <c>
        <v>0.095</v>
      </c>
      <c t="s">
        <v>23582</v>
      </c>
      <c r="U2470" t="s">
        <v>29864</v>
      </c>
      <c r="W2470" t="s">
        <v>62361</v>
      </c>
      <c t="s">
        <v>58292</v>
      </c>
      <c t="s">
        <v>44500</v>
      </c>
      <c t="s">
        <v>65059</v>
      </c>
      <c t="s">
        <v>39289</v>
      </c>
      <c>
        <v>33908</v>
      </c>
      <c>
        <v>33908</v>
      </c>
      <c t="s">
        <v>48794</v>
      </c>
      <c t="s">
        <v>19472</v>
      </c>
      <c>
        <v>2886</v>
      </c>
      <c r="AI2470" t="s">
        <v>24121</v>
      </c>
      <c t="s">
        <v>45620</v>
      </c>
      <c r="AL2470" t="s">
        <v>54287</v>
      </c>
      <c r="AN2470" t="s">
        <v>17134</v>
      </c>
      <c t="s">
        <v>63121</v>
      </c>
      <c t="s">
        <v>41946</v>
      </c>
      <c t="s">
        <v>3093</v>
      </c>
      <c t="s">
        <v>31824</v>
      </c>
    </row>
    <row>
      <c t="s">
        <v>17594</v>
      </c>
      <c t="s">
        <v>58798</v>
      </c>
      <c t="s">
        <v>46889</v>
      </c>
      <c t="s">
        <v>8417</v>
      </c>
      <c t="s">
        <v>410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471" s="1" t="str">
        <f ca="1">HYPERLINK("https://web.datatree.com/?/property?propertyId=32899409", "https://web.datatree.com/?/property?propertyId=32899409")</f>
        <v>https://web.datatree.com/?/property?propertyId=32899409</v>
      </c>
      <c r="Q2471" t="s">
        <v>316</v>
      </c>
      <c>
        <v>0.23</v>
      </c>
      <c t="s">
        <v>6175</v>
      </c>
      <c r="U2471" t="s">
        <v>17828</v>
      </c>
      <c r="W2471" t="s">
        <v>45464</v>
      </c>
      <c t="s">
        <v>17828</v>
      </c>
      <c t="s">
        <v>41506</v>
      </c>
      <c t="s">
        <v>2517</v>
      </c>
      <c t="s">
        <v>39289</v>
      </c>
      <c>
        <v>33909</v>
      </c>
      <c t="s">
        <v>11806</v>
      </c>
      <c t="s">
        <v>48794</v>
      </c>
      <c t="s">
        <v>43483</v>
      </c>
      <c>
        <v>460</v>
      </c>
      <c r="AH2471" t="s">
        <v>6851</v>
      </c>
      <c t="s">
        <v>9615</v>
      </c>
      <c t="s">
        <v>61084</v>
      </c>
      <c r="AL2471" t="s">
        <v>26205</v>
      </c>
      <c r="AN2471" t="s">
        <v>39289</v>
      </c>
      <c t="s">
        <v>65039</v>
      </c>
      <c t="s">
        <v>55071</v>
      </c>
      <c t="s">
        <v>3093</v>
      </c>
      <c t="s">
        <v>32247</v>
      </c>
    </row>
    <row>
      <c t="s">
        <v>17594</v>
      </c>
      <c t="s">
        <v>61689</v>
      </c>
      <c t="s">
        <v>45712</v>
      </c>
      <c t="s">
        <v>64203</v>
      </c>
      <c t="s">
        <v>43088</v>
      </c>
      <c s="3">
        <v>42000</v>
      </c>
      <c s="3">
        <v>42000</v>
      </c>
      <c s="3">
        <v>42000</v>
      </c>
      <c>
        <v>0</v>
      </c>
      <c s="3">
        <v>0</v>
      </c>
      <c s="3">
        <v>627.87</v>
      </c>
      <c s="3">
        <v>42000</v>
      </c>
      <c r="O2472" s="1" t="str">
        <f ca="1">HYPERLINK("https://web.datatree.com/?/property?propertyId=32900663", "https://web.datatree.com/?/property?propertyId=32900663")</f>
        <v>https://web.datatree.com/?/property?propertyId=32900663</v>
      </c>
      <c r="Q2472" t="s">
        <v>316</v>
      </c>
      <c>
        <v>0.13</v>
      </c>
      <c t="s">
        <v>45526</v>
      </c>
      <c t="s">
        <v>54854</v>
      </c>
      <c t="s">
        <v>23807</v>
      </c>
      <c t="s">
        <v>36243</v>
      </c>
      <c t="s">
        <v>23807</v>
      </c>
      <c t="s">
        <v>54369</v>
      </c>
      <c t="s">
        <v>8757</v>
      </c>
      <c t="s">
        <v>65059</v>
      </c>
      <c t="s">
        <v>39289</v>
      </c>
      <c>
        <v>33908</v>
      </c>
      <c t="s">
        <v>36631</v>
      </c>
      <c t="s">
        <v>48794</v>
      </c>
      <c t="s">
        <v>10974</v>
      </c>
      <c>
        <v>125</v>
      </c>
      <c r="AI2472" t="s">
        <v>28034</v>
      </c>
      <c t="s">
        <v>55842</v>
      </c>
      <c r="AL2472" t="s">
        <v>41340</v>
      </c>
      <c r="AN2472" t="s">
        <v>19878</v>
      </c>
      <c t="s">
        <v>37792</v>
      </c>
      <c t="s">
        <v>22455</v>
      </c>
      <c t="s">
        <v>3093</v>
      </c>
      <c t="s">
        <v>43246</v>
      </c>
    </row>
    <row>
      <c t="s">
        <v>17594</v>
      </c>
      <c t="s">
        <v>13573</v>
      </c>
      <c t="s">
        <v>47342</v>
      </c>
      <c t="s">
        <v>27133</v>
      </c>
      <c t="s">
        <v>7732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2473" s="1" t="str">
        <f ca="1">HYPERLINK("https://web.datatree.com/?/property?propertyId=32901355", "https://web.datatree.com/?/property?propertyId=32901355")</f>
        <v>https://web.datatree.com/?/property?propertyId=32901355</v>
      </c>
      <c r="Q2473" t="s">
        <v>316</v>
      </c>
      <c>
        <v>0.244</v>
      </c>
      <c t="s">
        <v>6175</v>
      </c>
      <c t="s">
        <v>16200</v>
      </c>
      <c t="s">
        <v>5218</v>
      </c>
      <c t="s">
        <v>17594</v>
      </c>
      <c t="s">
        <v>63905</v>
      </c>
      <c t="s">
        <v>57217</v>
      </c>
      <c t="s">
        <v>2626</v>
      </c>
      <c t="s">
        <v>2517</v>
      </c>
      <c t="s">
        <v>39289</v>
      </c>
      <c>
        <v>33909</v>
      </c>
      <c t="s">
        <v>27140</v>
      </c>
      <c t="s">
        <v>48794</v>
      </c>
      <c t="s">
        <v>32120</v>
      </c>
      <c>
        <v>28616</v>
      </c>
      <c r="AI2473" t="s">
        <v>21406</v>
      </c>
      <c t="s">
        <v>45620</v>
      </c>
      <c r="AL2473" t="s">
        <v>62450</v>
      </c>
      <c r="AN2473" t="s">
        <v>56163</v>
      </c>
      <c t="s">
        <v>40974</v>
      </c>
      <c t="s">
        <v>56028</v>
      </c>
      <c t="s">
        <v>3093</v>
      </c>
      <c t="s">
        <v>63812</v>
      </c>
    </row>
    <row>
      <c t="s">
        <v>17594</v>
      </c>
      <c t="s">
        <v>38742</v>
      </c>
      <c t="s">
        <v>18037</v>
      </c>
      <c t="s">
        <v>34113</v>
      </c>
      <c t="s">
        <v>45953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2474" s="1" t="str">
        <f ca="1">HYPERLINK("https://web.datatree.com/?/property?propertyId=32902410", "https://web.datatree.com/?/property?propertyId=32902410")</f>
        <v>https://web.datatree.com/?/property?propertyId=32902410</v>
      </c>
      <c r="Q2474" t="s">
        <v>316</v>
      </c>
      <c>
        <v>0.23</v>
      </c>
      <c t="s">
        <v>22490</v>
      </c>
      <c t="s">
        <v>26349</v>
      </c>
      <c t="s">
        <v>31808</v>
      </c>
      <c r="X2474" t="s">
        <v>62506</v>
      </c>
      <c t="s">
        <v>24999</v>
      </c>
      <c t="s">
        <v>2517</v>
      </c>
      <c t="s">
        <v>39289</v>
      </c>
      <c>
        <v>33904</v>
      </c>
      <c t="s">
        <v>11608</v>
      </c>
      <c t="s">
        <v>48794</v>
      </c>
      <c t="s">
        <v>65890</v>
      </c>
      <c>
        <v>7433</v>
      </c>
      <c r="AI2474" t="s">
        <v>7071</v>
      </c>
      <c t="s">
        <v>31192</v>
      </c>
      <c r="AL2474" t="s">
        <v>1121</v>
      </c>
      <c t="s">
        <v>1121</v>
      </c>
      <c t="s">
        <v>39289</v>
      </c>
      <c t="s">
        <v>15306</v>
      </c>
      <c t="s">
        <v>24994</v>
      </c>
      <c t="s">
        <v>3093</v>
      </c>
      <c t="s">
        <v>3383</v>
      </c>
    </row>
    <row>
      <c t="s">
        <v>17594</v>
      </c>
      <c s="2" t="s">
        <v>27070</v>
      </c>
      <c t="s">
        <v>56409</v>
      </c>
      <c t="s">
        <v>38058</v>
      </c>
      <c t="s">
        <v>42899</v>
      </c>
      <c s="3">
        <v>26250</v>
      </c>
      <c s="3">
        <v>26250</v>
      </c>
      <c s="3">
        <v>9433</v>
      </c>
      <c>
        <v>0</v>
      </c>
      <c s="3">
        <v>0</v>
      </c>
      <c s="3">
        <v>411.77</v>
      </c>
      <c s="3">
        <v>26250</v>
      </c>
      <c r="O2475" s="1" t="str">
        <f ca="1">HYPERLINK("https://web.datatree.com/?/property?propertyId=32902498", "https://web.datatree.com/?/property?propertyId=32902498")</f>
        <v>https://web.datatree.com/?/property?propertyId=32902498</v>
      </c>
      <c r="Q2475" t="s">
        <v>316</v>
      </c>
      <c>
        <v>0.215</v>
      </c>
      <c t="s">
        <v>5471</v>
      </c>
      <c t="s">
        <v>46245</v>
      </c>
      <c t="s">
        <v>26369</v>
      </c>
      <c r="X2475" t="s">
        <v>58021</v>
      </c>
      <c t="s">
        <v>10601</v>
      </c>
      <c t="s">
        <v>65059</v>
      </c>
      <c t="s">
        <v>39289</v>
      </c>
      <c>
        <v>33905</v>
      </c>
      <c t="s">
        <v>41605</v>
      </c>
      <c t="s">
        <v>48794</v>
      </c>
      <c s="2" t="s">
        <v>9737</v>
      </c>
      <c>
        <v>1760</v>
      </c>
      <c r="AI2475" t="s">
        <v>44288</v>
      </c>
      <c t="s">
        <v>4985</v>
      </c>
      <c t="s">
        <v>58073</v>
      </c>
      <c t="s">
        <v>6144</v>
      </c>
      <c t="s">
        <v>13397</v>
      </c>
      <c t="s">
        <v>50917</v>
      </c>
      <c t="s">
        <v>4613</v>
      </c>
      <c t="s">
        <v>27780</v>
      </c>
      <c t="s">
        <v>3093</v>
      </c>
      <c t="s">
        <v>21917</v>
      </c>
    </row>
    <row>
      <c t="s">
        <v>17594</v>
      </c>
      <c t="s">
        <v>10880</v>
      </c>
      <c t="s">
        <v>31939</v>
      </c>
      <c t="s">
        <v>6128</v>
      </c>
      <c t="s">
        <v>41051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476" s="1" t="str">
        <f ca="1">HYPERLINK("https://web.datatree.com/?/property?propertyId=32902830", "https://web.datatree.com/?/property?propertyId=32902830")</f>
        <v>https://web.datatree.com/?/property?propertyId=32902830</v>
      </c>
      <c r="Q2476" t="s">
        <v>316</v>
      </c>
      <c>
        <v>0.23</v>
      </c>
      <c t="s">
        <v>22490</v>
      </c>
      <c t="s">
        <v>25060</v>
      </c>
      <c t="s">
        <v>47340</v>
      </c>
      <c t="s">
        <v>1370</v>
      </c>
      <c t="s">
        <v>47340</v>
      </c>
      <c t="s">
        <v>18913</v>
      </c>
      <c t="s">
        <v>24999</v>
      </c>
      <c t="s">
        <v>2517</v>
      </c>
      <c t="s">
        <v>39289</v>
      </c>
      <c>
        <v>33909</v>
      </c>
      <c>
        <v>33909</v>
      </c>
      <c t="s">
        <v>48794</v>
      </c>
      <c t="s">
        <v>2435</v>
      </c>
      <c>
        <v>50</v>
      </c>
      <c r="AI2476" t="s">
        <v>55683</v>
      </c>
      <c t="s">
        <v>31192</v>
      </c>
      <c r="AL2476" t="s">
        <v>23703</v>
      </c>
      <c r="AN2476" t="s">
        <v>26016</v>
      </c>
      <c t="s">
        <v>27078</v>
      </c>
      <c t="s">
        <v>19978</v>
      </c>
      <c t="s">
        <v>3093</v>
      </c>
      <c t="s">
        <v>25580</v>
      </c>
    </row>
    <row>
      <c t="s">
        <v>17594</v>
      </c>
      <c t="s">
        <v>7542</v>
      </c>
      <c t="s">
        <v>8415</v>
      </c>
      <c t="s">
        <v>1452</v>
      </c>
      <c t="s">
        <v>28378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477" s="1" t="str">
        <f ca="1">HYPERLINK("https://web.datatree.com/?/property?propertyId=32903154", "https://web.datatree.com/?/property?propertyId=32903154")</f>
        <v>https://web.datatree.com/?/property?propertyId=32903154</v>
      </c>
      <c r="Q2477" t="s">
        <v>316</v>
      </c>
      <c>
        <v>0.23</v>
      </c>
      <c t="s">
        <v>22490</v>
      </c>
      <c t="s">
        <v>27958</v>
      </c>
      <c t="s">
        <v>40578</v>
      </c>
      <c t="s">
        <v>33851</v>
      </c>
      <c t="s">
        <v>40578</v>
      </c>
      <c t="s">
        <v>35472</v>
      </c>
      <c t="s">
        <v>22731</v>
      </c>
      <c t="s">
        <v>2517</v>
      </c>
      <c t="s">
        <v>39289</v>
      </c>
      <c>
        <v>33909</v>
      </c>
      <c t="s">
        <v>15810</v>
      </c>
      <c t="s">
        <v>48794</v>
      </c>
      <c t="s">
        <v>55447</v>
      </c>
      <c>
        <v>1102</v>
      </c>
      <c r="AI2477" t="s">
        <v>56599</v>
      </c>
      <c t="s">
        <v>31192</v>
      </c>
      <c r="AL2477" t="s">
        <v>17625</v>
      </c>
      <c t="s">
        <v>17625</v>
      </c>
      <c t="s">
        <v>51137</v>
      </c>
      <c t="s">
        <v>44925</v>
      </c>
      <c t="s">
        <v>33029</v>
      </c>
      <c t="s">
        <v>3093</v>
      </c>
      <c t="s">
        <v>46051</v>
      </c>
    </row>
    <row>
      <c t="s">
        <v>17594</v>
      </c>
      <c t="s">
        <v>47467</v>
      </c>
      <c t="s">
        <v>20660</v>
      </c>
      <c t="s">
        <v>40811</v>
      </c>
      <c t="s">
        <v>59103</v>
      </c>
      <c s="3">
        <v>12544</v>
      </c>
      <c s="3">
        <v>12544</v>
      </c>
      <c s="3">
        <v>6113</v>
      </c>
      <c>
        <v>0</v>
      </c>
      <c s="3">
        <v>0</v>
      </c>
      <c s="3">
        <v>325.28</v>
      </c>
      <c s="3">
        <v>12544</v>
      </c>
      <c r="O2478" s="1" t="str">
        <f ca="1">HYPERLINK("https://web.datatree.com/?/property?propertyId=32903978", "https://web.datatree.com/?/property?propertyId=32903978")</f>
        <v>https://web.datatree.com/?/property?propertyId=32903978</v>
      </c>
      <c r="Q2478" t="s">
        <v>316</v>
      </c>
      <c>
        <v>0.252</v>
      </c>
      <c t="s">
        <v>5471</v>
      </c>
      <c t="s">
        <v>30550</v>
      </c>
      <c t="s">
        <v>4408</v>
      </c>
      <c r="X2478" t="s">
        <v>66826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9344</v>
      </c>
      <c>
        <v>75</v>
      </c>
      <c r="AI2478" t="s">
        <v>24925</v>
      </c>
      <c t="s">
        <v>5840</v>
      </c>
      <c r="AL2478" t="s">
        <v>25371</v>
      </c>
      <c t="s">
        <v>57031</v>
      </c>
      <c t="s">
        <v>63985</v>
      </c>
      <c>
        <v>80637</v>
      </c>
      <c t="s">
        <v>17246</v>
      </c>
      <c t="s">
        <v>3093</v>
      </c>
      <c t="s">
        <v>57160</v>
      </c>
    </row>
    <row>
      <c t="s">
        <v>17594</v>
      </c>
      <c t="s">
        <v>22414</v>
      </c>
      <c t="s">
        <v>45502</v>
      </c>
      <c t="s">
        <v>6520</v>
      </c>
      <c t="s">
        <v>29301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2479" s="1" t="str">
        <f ca="1">HYPERLINK("https://web.datatree.com/?/property?propertyId=32903991", "https://web.datatree.com/?/property?propertyId=32903991")</f>
        <v>https://web.datatree.com/?/property?propertyId=32903991</v>
      </c>
      <c r="Q2479" t="s">
        <v>316</v>
      </c>
      <c>
        <v>0.23</v>
      </c>
      <c t="s">
        <v>6175</v>
      </c>
      <c t="s">
        <v>13654</v>
      </c>
      <c t="s">
        <v>1384</v>
      </c>
      <c r="X2479" t="s">
        <v>3844</v>
      </c>
      <c t="s">
        <v>34731</v>
      </c>
      <c t="s">
        <v>2517</v>
      </c>
      <c t="s">
        <v>39289</v>
      </c>
      <c>
        <v>33909</v>
      </c>
      <c t="s">
        <v>46956</v>
      </c>
      <c t="s">
        <v>48794</v>
      </c>
      <c t="s">
        <v>34915</v>
      </c>
      <c>
        <v>1592</v>
      </c>
      <c r="AI2479" t="s">
        <v>49998</v>
      </c>
      <c t="s">
        <v>24900</v>
      </c>
      <c r="AL2479" t="s">
        <v>14442</v>
      </c>
      <c r="AN2479" t="s">
        <v>50917</v>
      </c>
      <c t="s">
        <v>50776</v>
      </c>
      <c t="s">
        <v>44428</v>
      </c>
      <c t="s">
        <v>3093</v>
      </c>
      <c t="s">
        <v>11780</v>
      </c>
    </row>
    <row>
      <c t="s">
        <v>17594</v>
      </c>
      <c t="s">
        <v>66546</v>
      </c>
      <c s="7" t="s">
        <v>49246</v>
      </c>
      <c t="s">
        <v>2150</v>
      </c>
      <c t="s">
        <v>37958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2480" s="1" t="str">
        <f ca="1">HYPERLINK("https://web.datatree.com/?/property?propertyId=32904096", "https://web.datatree.com/?/property?propertyId=32904096")</f>
        <v>https://web.datatree.com/?/property?propertyId=32904096</v>
      </c>
      <c r="Q2480" t="s">
        <v>316</v>
      </c>
      <c>
        <v>0.241</v>
      </c>
      <c t="s">
        <v>6175</v>
      </c>
      <c t="s">
        <v>44541</v>
      </c>
      <c t="s">
        <v>278</v>
      </c>
      <c t="s">
        <v>27351</v>
      </c>
      <c t="s">
        <v>48473</v>
      </c>
      <c t="s">
        <v>20955</v>
      </c>
      <c t="s">
        <v>14534</v>
      </c>
      <c t="s">
        <v>2517</v>
      </c>
      <c t="s">
        <v>39289</v>
      </c>
      <c>
        <v>33909</v>
      </c>
      <c t="s">
        <v>35267</v>
      </c>
      <c t="s">
        <v>48794</v>
      </c>
      <c t="s">
        <v>17425</v>
      </c>
      <c>
        <v>11</v>
      </c>
      <c r="AI2480" t="s">
        <v>9961</v>
      </c>
      <c t="s">
        <v>24900</v>
      </c>
      <c r="AL2480" t="s">
        <v>19575</v>
      </c>
      <c r="AN2480" t="s">
        <v>26016</v>
      </c>
      <c t="s">
        <v>37438</v>
      </c>
      <c t="s">
        <v>33029</v>
      </c>
      <c t="s">
        <v>3093</v>
      </c>
      <c s="7" t="s">
        <v>26982</v>
      </c>
    </row>
    <row>
      <c t="s">
        <v>17594</v>
      </c>
      <c t="s">
        <v>5622</v>
      </c>
      <c t="s">
        <v>2319</v>
      </c>
      <c t="s">
        <v>34608</v>
      </c>
      <c t="s">
        <v>488</v>
      </c>
      <c s="3">
        <v>69973</v>
      </c>
      <c s="3">
        <v>62040</v>
      </c>
      <c s="3">
        <v>69226</v>
      </c>
      <c>
        <v>0</v>
      </c>
      <c s="3">
        <v>0</v>
      </c>
      <c s="3">
        <v>1053.58</v>
      </c>
      <c s="3">
        <v>69973</v>
      </c>
      <c r="O2481" s="1" t="str">
        <f ca="1">HYPERLINK("https://web.datatree.com/?/property?propertyId=32904496", "https://web.datatree.com/?/property?propertyId=32904496")</f>
        <v>https://web.datatree.com/?/property?propertyId=32904496</v>
      </c>
      <c r="Q2481" t="s">
        <v>316</v>
      </c>
      <c>
        <v>0.095</v>
      </c>
      <c t="s">
        <v>26492</v>
      </c>
      <c t="s">
        <v>1859</v>
      </c>
      <c t="s">
        <v>27565</v>
      </c>
      <c t="s">
        <v>1859</v>
      </c>
      <c t="s">
        <v>27565</v>
      </c>
      <c t="s">
        <v>42723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4870</v>
      </c>
      <c>
        <v>5356</v>
      </c>
      <c r="AI2481" t="s">
        <v>51412</v>
      </c>
      <c t="s">
        <v>835</v>
      </c>
      <c r="AL2481" t="s">
        <v>41088</v>
      </c>
      <c t="s">
        <v>40227</v>
      </c>
      <c t="s">
        <v>51137</v>
      </c>
      <c t="s">
        <v>51387</v>
      </c>
      <c t="s">
        <v>22152</v>
      </c>
      <c t="s">
        <v>3093</v>
      </c>
      <c t="s">
        <v>32715</v>
      </c>
    </row>
    <row>
      <c t="s">
        <v>17594</v>
      </c>
      <c t="s">
        <v>45159</v>
      </c>
      <c t="s">
        <v>5132</v>
      </c>
      <c t="s">
        <v>16767</v>
      </c>
      <c t="s">
        <v>5750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2482" s="1" t="str">
        <f ca="1">HYPERLINK("https://web.datatree.com/?/property?propertyId=32904513", "https://web.datatree.com/?/property?propertyId=32904513")</f>
        <v>https://web.datatree.com/?/property?propertyId=32904513</v>
      </c>
      <c r="Q2482" t="s">
        <v>316</v>
      </c>
      <c>
        <v>0.241</v>
      </c>
      <c t="s">
        <v>5471</v>
      </c>
      <c t="s">
        <v>60671</v>
      </c>
      <c t="s">
        <v>47738</v>
      </c>
      <c t="s">
        <v>33523</v>
      </c>
      <c t="s">
        <v>47738</v>
      </c>
      <c t="s">
        <v>4329</v>
      </c>
      <c t="s">
        <v>43060</v>
      </c>
      <c t="s">
        <v>65059</v>
      </c>
      <c t="s">
        <v>39289</v>
      </c>
      <c>
        <v>33905</v>
      </c>
      <c t="s">
        <v>60873</v>
      </c>
      <c t="s">
        <v>48794</v>
      </c>
      <c t="s">
        <v>27834</v>
      </c>
      <c>
        <v>3</v>
      </c>
      <c r="AI2482" t="s">
        <v>27475</v>
      </c>
      <c t="s">
        <v>45620</v>
      </c>
      <c r="AL2482" t="s">
        <v>22048</v>
      </c>
      <c r="AN2482" t="s">
        <v>50917</v>
      </c>
      <c t="s">
        <v>42208</v>
      </c>
      <c t="s">
        <v>34342</v>
      </c>
      <c t="s">
        <v>3093</v>
      </c>
      <c t="s">
        <v>5760</v>
      </c>
    </row>
    <row>
      <c t="s">
        <v>17594</v>
      </c>
      <c t="s">
        <v>1967</v>
      </c>
      <c t="s">
        <v>440</v>
      </c>
      <c t="s">
        <v>30113</v>
      </c>
      <c t="s">
        <v>55561</v>
      </c>
      <c s="3">
        <v>42330</v>
      </c>
      <c s="3">
        <v>42330</v>
      </c>
      <c s="3">
        <v>9339</v>
      </c>
      <c>
        <v>0</v>
      </c>
      <c s="3">
        <v>0</v>
      </c>
      <c s="3">
        <v>700.95</v>
      </c>
      <c s="3">
        <v>42330</v>
      </c>
      <c r="O2483" s="1" t="str">
        <f ca="1">HYPERLINK("https://web.datatree.com/?/property?propertyId=32904750", "https://web.datatree.com/?/property?propertyId=32904750")</f>
        <v>https://web.datatree.com/?/property?propertyId=32904750</v>
      </c>
      <c r="Q2483" t="s">
        <v>316</v>
      </c>
      <c>
        <v>0.275</v>
      </c>
      <c t="s">
        <v>32782</v>
      </c>
      <c t="s">
        <v>41780</v>
      </c>
      <c t="s">
        <v>13824</v>
      </c>
      <c r="X2483" t="s">
        <v>1648</v>
      </c>
      <c t="s">
        <v>8669</v>
      </c>
      <c t="s">
        <v>2517</v>
      </c>
      <c t="s">
        <v>39289</v>
      </c>
      <c>
        <v>33909</v>
      </c>
      <c t="s">
        <v>5156</v>
      </c>
      <c t="s">
        <v>48794</v>
      </c>
      <c t="s">
        <v>9892</v>
      </c>
      <c>
        <v>1141</v>
      </c>
      <c r="AI2483" t="s">
        <v>31394</v>
      </c>
      <c t="s">
        <v>45393</v>
      </c>
      <c t="s">
        <v>5870</v>
      </c>
      <c t="s">
        <v>60431</v>
      </c>
      <c r="AN2483" t="s">
        <v>50917</v>
      </c>
      <c t="s">
        <v>53827</v>
      </c>
      <c t="s">
        <v>25140</v>
      </c>
      <c t="s">
        <v>3093</v>
      </c>
      <c t="s">
        <v>32591</v>
      </c>
    </row>
    <row>
      <c t="s">
        <v>17594</v>
      </c>
      <c t="s">
        <v>33263</v>
      </c>
      <c s="2" t="s">
        <v>40025</v>
      </c>
      <c t="s">
        <v>46111</v>
      </c>
      <c t="s">
        <v>3108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2484" s="1" t="str">
        <f ca="1">HYPERLINK("https://web.datatree.com/?/property?propertyId=32905526", "https://web.datatree.com/?/property?propertyId=32905526")</f>
        <v>https://web.datatree.com/?/property?propertyId=32905526</v>
      </c>
      <c r="Q2484" t="s">
        <v>316</v>
      </c>
      <c>
        <v>0.23</v>
      </c>
      <c t="s">
        <v>45031</v>
      </c>
      <c t="s">
        <v>64413</v>
      </c>
      <c t="s">
        <v>18314</v>
      </c>
      <c r="X2484" t="s">
        <v>13391</v>
      </c>
      <c t="s">
        <v>47150</v>
      </c>
      <c t="s">
        <v>2517</v>
      </c>
      <c t="s">
        <v>39289</v>
      </c>
      <c>
        <v>33909</v>
      </c>
      <c t="s">
        <v>48312</v>
      </c>
      <c t="s">
        <v>48794</v>
      </c>
      <c t="s">
        <v>8027</v>
      </c>
      <c>
        <v>5541</v>
      </c>
      <c r="AI2484" t="s">
        <v>64615</v>
      </c>
      <c t="s">
        <v>1671</v>
      </c>
      <c r="AL2484" t="s">
        <v>3740</v>
      </c>
      <c t="s">
        <v>38035</v>
      </c>
      <c t="s">
        <v>66651</v>
      </c>
      <c t="s">
        <v>48385</v>
      </c>
      <c t="s">
        <v>53476</v>
      </c>
      <c t="s">
        <v>3093</v>
      </c>
      <c s="2" t="s">
        <v>27808</v>
      </c>
    </row>
    <row>
      <c t="s">
        <v>17594</v>
      </c>
      <c t="s">
        <v>169</v>
      </c>
      <c t="s">
        <v>50263</v>
      </c>
      <c t="s">
        <v>28344</v>
      </c>
      <c t="s">
        <v>62097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485" s="1" t="str">
        <f ca="1">HYPERLINK("https://web.datatree.com/?/property?propertyId=32905570", "https://web.datatree.com/?/property?propertyId=32905570")</f>
        <v>https://web.datatree.com/?/property?propertyId=32905570</v>
      </c>
      <c r="Q2485" t="s">
        <v>316</v>
      </c>
      <c>
        <v>0.232</v>
      </c>
      <c t="s">
        <v>22490</v>
      </c>
      <c t="s">
        <v>60671</v>
      </c>
      <c t="s">
        <v>35963</v>
      </c>
      <c t="s">
        <v>19953</v>
      </c>
      <c t="s">
        <v>66008</v>
      </c>
      <c t="s">
        <v>15931</v>
      </c>
      <c t="s">
        <v>14917</v>
      </c>
      <c t="s">
        <v>2517</v>
      </c>
      <c t="s">
        <v>39289</v>
      </c>
      <c>
        <v>33909</v>
      </c>
      <c>
        <v>33909</v>
      </c>
      <c t="s">
        <v>48794</v>
      </c>
      <c t="s">
        <v>17416</v>
      </c>
      <c>
        <v>122</v>
      </c>
      <c r="AI2485" t="s">
        <v>8281</v>
      </c>
      <c t="s">
        <v>45620</v>
      </c>
      <c r="AL2485" t="s">
        <v>35792</v>
      </c>
      <c r="AN2485" t="s">
        <v>27747</v>
      </c>
      <c t="s">
        <v>19260</v>
      </c>
      <c t="s">
        <v>22613</v>
      </c>
      <c t="s">
        <v>3093</v>
      </c>
      <c t="s">
        <v>5868</v>
      </c>
    </row>
    <row>
      <c t="s">
        <v>17594</v>
      </c>
      <c t="s">
        <v>26310</v>
      </c>
      <c t="s">
        <v>66666</v>
      </c>
      <c t="s">
        <v>10664</v>
      </c>
      <c t="s">
        <v>13968</v>
      </c>
      <c s="3">
        <v>35272</v>
      </c>
      <c s="3">
        <v>35272</v>
      </c>
      <c s="3">
        <v>29369</v>
      </c>
      <c>
        <v>0</v>
      </c>
      <c s="3">
        <v>0</v>
      </c>
      <c s="3">
        <v>909.74</v>
      </c>
      <c s="3">
        <v>35272</v>
      </c>
      <c r="O2486" s="1" t="str">
        <f ca="1">HYPERLINK("https://web.datatree.com/?/property?propertyId=32905720", "https://web.datatree.com/?/property?propertyId=32905720")</f>
        <v>https://web.datatree.com/?/property?propertyId=32905720</v>
      </c>
      <c r="Q2486" t="s">
        <v>316</v>
      </c>
      <c>
        <v>0.23</v>
      </c>
      <c t="s">
        <v>6175</v>
      </c>
      <c t="s">
        <v>30054</v>
      </c>
      <c t="s">
        <v>44035</v>
      </c>
      <c r="X2486" t="s">
        <v>21815</v>
      </c>
      <c t="s">
        <v>34136</v>
      </c>
      <c t="s">
        <v>2517</v>
      </c>
      <c t="s">
        <v>39289</v>
      </c>
      <c>
        <v>33904</v>
      </c>
      <c t="s">
        <v>37692</v>
      </c>
      <c t="s">
        <v>48794</v>
      </c>
      <c t="s">
        <v>11112</v>
      </c>
      <c>
        <v>51</v>
      </c>
      <c r="AI2486" t="s">
        <v>33147</v>
      </c>
      <c r="AL2486" t="s">
        <v>50148</v>
      </c>
      <c r="AN2486" t="s">
        <v>8318</v>
      </c>
      <c r="AR2486" t="s">
        <v>59562</v>
      </c>
    </row>
    <row>
      <c t="s">
        <v>17594</v>
      </c>
      <c t="s">
        <v>39620</v>
      </c>
      <c t="s">
        <v>11634</v>
      </c>
      <c t="s">
        <v>25204</v>
      </c>
      <c t="s">
        <v>5910</v>
      </c>
      <c s="3">
        <v>23012</v>
      </c>
      <c s="3">
        <v>23012</v>
      </c>
      <c s="3">
        <v>10450</v>
      </c>
      <c>
        <v>0</v>
      </c>
      <c s="3">
        <v>0</v>
      </c>
      <c s="3">
        <v>613.35</v>
      </c>
      <c s="3">
        <v>23012</v>
      </c>
      <c r="O2487" s="1" t="str">
        <f ca="1">HYPERLINK("https://web.datatree.com/?/property?propertyId=32906230", "https://web.datatree.com/?/property?propertyId=32906230")</f>
        <v>https://web.datatree.com/?/property?propertyId=32906230</v>
      </c>
      <c r="Q2487" t="s">
        <v>316</v>
      </c>
      <c>
        <v>0.244</v>
      </c>
      <c t="s">
        <v>22490</v>
      </c>
      <c t="s">
        <v>3293</v>
      </c>
      <c t="s">
        <v>58832</v>
      </c>
      <c r="X2487" t="s">
        <v>64484</v>
      </c>
      <c t="s">
        <v>18679</v>
      </c>
      <c t="s">
        <v>2517</v>
      </c>
      <c t="s">
        <v>39289</v>
      </c>
      <c>
        <v>33909</v>
      </c>
      <c t="s">
        <v>56778</v>
      </c>
      <c t="s">
        <v>48794</v>
      </c>
      <c t="s">
        <v>56053</v>
      </c>
      <c>
        <v>80710</v>
      </c>
      <c r="AI2487" t="s">
        <v>26398</v>
      </c>
      <c t="s">
        <v>45620</v>
      </c>
      <c r="AL2487" t="s">
        <v>21376</v>
      </c>
      <c r="AN2487" t="s">
        <v>51137</v>
      </c>
      <c t="s">
        <v>59969</v>
      </c>
      <c t="s">
        <v>52247</v>
      </c>
      <c t="s">
        <v>3093</v>
      </c>
      <c t="s">
        <v>55445</v>
      </c>
    </row>
    <row>
      <c t="s">
        <v>17594</v>
      </c>
      <c t="s">
        <v>4284</v>
      </c>
      <c t="s">
        <v>31697</v>
      </c>
      <c t="s">
        <v>57406</v>
      </c>
      <c t="s">
        <v>4121</v>
      </c>
      <c s="3">
        <v>10600</v>
      </c>
      <c s="3">
        <v>10600</v>
      </c>
      <c s="3">
        <v>9680</v>
      </c>
      <c>
        <v>0</v>
      </c>
      <c s="3">
        <v>0</v>
      </c>
      <c s="3">
        <v>2883.7</v>
      </c>
      <c s="3">
        <v>10600</v>
      </c>
      <c r="O2488" s="1" t="str">
        <f ca="1">HYPERLINK("https://web.datatree.com/?/property?propertyId=32906355", "https://web.datatree.com/?/property?propertyId=32906355")</f>
        <v>https://web.datatree.com/?/property?propertyId=32906355</v>
      </c>
      <c r="Q2488" t="s">
        <v>316</v>
      </c>
      <c>
        <v>0.23</v>
      </c>
      <c t="s">
        <v>6175</v>
      </c>
      <c t="s">
        <v>46578</v>
      </c>
      <c t="s">
        <v>13660</v>
      </c>
      <c r="W2488" t="s">
        <v>855</v>
      </c>
      <c t="s">
        <v>1254</v>
      </c>
      <c t="s">
        <v>47150</v>
      </c>
      <c t="s">
        <v>2517</v>
      </c>
      <c t="s">
        <v>39289</v>
      </c>
      <c>
        <v>33909</v>
      </c>
      <c t="s">
        <v>37054</v>
      </c>
      <c t="s">
        <v>48794</v>
      </c>
      <c t="s">
        <v>18775</v>
      </c>
      <c>
        <v>10824</v>
      </c>
      <c r="AI2488" t="s">
        <v>2420</v>
      </c>
      <c t="s">
        <v>45393</v>
      </c>
      <c>
        <v>332</v>
      </c>
      <c t="s">
        <v>23311</v>
      </c>
      <c t="s">
        <v>18176</v>
      </c>
      <c t="s">
        <v>56163</v>
      </c>
      <c t="s">
        <v>64481</v>
      </c>
      <c t="s">
        <v>17380</v>
      </c>
      <c t="s">
        <v>3093</v>
      </c>
      <c t="s">
        <v>47876</v>
      </c>
    </row>
    <row>
      <c t="s">
        <v>17594</v>
      </c>
      <c t="s">
        <v>49937</v>
      </c>
      <c t="s">
        <v>3776</v>
      </c>
      <c t="s">
        <v>2938</v>
      </c>
      <c t="s">
        <v>40062</v>
      </c>
      <c s="3">
        <v>29000</v>
      </c>
      <c s="3">
        <v>29000</v>
      </c>
      <c s="3">
        <v>9599</v>
      </c>
      <c>
        <v>0</v>
      </c>
      <c s="3">
        <v>0</v>
      </c>
      <c s="3">
        <v>728.25</v>
      </c>
      <c s="3">
        <v>29000</v>
      </c>
      <c>
        <v>2012</v>
      </c>
      <c>
        <v>9764.02</v>
      </c>
      <c s="1" t="str">
        <f ca="1">HYPERLINK("https://web.datatree.com/?/property?propertyId=32906422", "https://web.datatree.com/?/property?propertyId=32906422")</f>
        <v>https://web.datatree.com/?/property?propertyId=32906422</v>
      </c>
      <c r="Q2489" t="s">
        <v>316</v>
      </c>
      <c>
        <v>0.344</v>
      </c>
      <c t="s">
        <v>6175</v>
      </c>
      <c t="s">
        <v>6209</v>
      </c>
      <c t="s">
        <v>39666</v>
      </c>
      <c t="s">
        <v>28843</v>
      </c>
      <c t="s">
        <v>39666</v>
      </c>
      <c t="s">
        <v>9038</v>
      </c>
      <c t="s">
        <v>10653</v>
      </c>
      <c t="s">
        <v>2517</v>
      </c>
      <c t="s">
        <v>39289</v>
      </c>
      <c>
        <v>33909</v>
      </c>
      <c t="s">
        <v>56179</v>
      </c>
      <c t="s">
        <v>48794</v>
      </c>
      <c t="s">
        <v>2414</v>
      </c>
      <c>
        <v>2333</v>
      </c>
      <c r="AI2489" t="s">
        <v>22707</v>
      </c>
      <c t="s">
        <v>55842</v>
      </c>
      <c r="AL2489" t="s">
        <v>46797</v>
      </c>
      <c r="AN2489" t="s">
        <v>39289</v>
      </c>
      <c t="s">
        <v>39444</v>
      </c>
      <c t="s">
        <v>1951</v>
      </c>
      <c t="s">
        <v>3093</v>
      </c>
      <c t="s">
        <v>42673</v>
      </c>
    </row>
    <row>
      <c t="s">
        <v>17594</v>
      </c>
      <c t="s">
        <v>44909</v>
      </c>
      <c t="s">
        <v>50570</v>
      </c>
      <c t="s">
        <v>38516</v>
      </c>
      <c t="s">
        <v>64715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2490" s="1" t="str">
        <f ca="1">HYPERLINK("https://web.datatree.com/?/property?propertyId=32906818", "https://web.datatree.com/?/property?propertyId=32906818")</f>
        <v>https://web.datatree.com/?/property?propertyId=32906818</v>
      </c>
      <c r="Q2490" t="s">
        <v>316</v>
      </c>
      <c>
        <v>0.24</v>
      </c>
      <c t="s">
        <v>22490</v>
      </c>
      <c t="s">
        <v>62456</v>
      </c>
      <c t="s">
        <v>63019</v>
      </c>
      <c t="s">
        <v>27351</v>
      </c>
      <c t="s">
        <v>63019</v>
      </c>
      <c t="s">
        <v>21202</v>
      </c>
      <c t="s">
        <v>53675</v>
      </c>
      <c t="s">
        <v>2517</v>
      </c>
      <c t="s">
        <v>39289</v>
      </c>
      <c>
        <v>33909</v>
      </c>
      <c t="s">
        <v>2114</v>
      </c>
      <c t="s">
        <v>48794</v>
      </c>
      <c t="s">
        <v>57200</v>
      </c>
      <c>
        <v>6</v>
      </c>
      <c r="AI2490" t="s">
        <v>40243</v>
      </c>
      <c r="AL2490" t="s">
        <v>60237</v>
      </c>
      <c r="AN2490" t="s">
        <v>63985</v>
      </c>
      <c>
        <v>65812</v>
      </c>
      <c r="AR2490" t="s">
        <v>41529</v>
      </c>
    </row>
    <row>
      <c t="s">
        <v>42103</v>
      </c>
      <c t="s">
        <v>31585</v>
      </c>
      <c t="s">
        <v>5486</v>
      </c>
      <c t="s">
        <v>29982</v>
      </c>
      <c t="s">
        <v>35002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491" s="1" t="str">
        <f ca="1">HYPERLINK("https://web.datatree.com/?/property?propertyId=32907013", "https://web.datatree.com/?/property?propertyId=32907013")</f>
        <v>https://web.datatree.com/?/property?propertyId=32907013</v>
      </c>
      <c r="Q2491" t="s">
        <v>316</v>
      </c>
      <c>
        <v>0.23</v>
      </c>
      <c t="s">
        <v>22490</v>
      </c>
      <c t="s">
        <v>54569</v>
      </c>
      <c t="s">
        <v>16111</v>
      </c>
      <c r="X2491" t="s">
        <v>60464</v>
      </c>
      <c t="s">
        <v>41506</v>
      </c>
      <c t="s">
        <v>2517</v>
      </c>
      <c t="s">
        <v>39289</v>
      </c>
      <c>
        <v>33909</v>
      </c>
      <c t="s">
        <v>10939</v>
      </c>
      <c t="s">
        <v>48794</v>
      </c>
      <c t="s">
        <v>10230</v>
      </c>
      <c t="str">
        <f>"230-7050"</f>
        <v>230-7050</v>
      </c>
      <c r="AI2491" t="s">
        <v>3643</v>
      </c>
      <c r="AL2491" t="s">
        <v>41093</v>
      </c>
      <c r="AN2491" t="s">
        <v>66651</v>
      </c>
      <c>
        <v>30101</v>
      </c>
      <c r="AR2491" t="s">
        <v>39245</v>
      </c>
    </row>
    <row>
      <c t="s">
        <v>17594</v>
      </c>
      <c t="s">
        <v>40193</v>
      </c>
      <c t="s">
        <v>8405</v>
      </c>
      <c t="s">
        <v>4690</v>
      </c>
      <c t="s">
        <v>14275</v>
      </c>
      <c s="3">
        <v>10000</v>
      </c>
      <c s="3">
        <v>10000</v>
      </c>
      <c s="3">
        <v>4992</v>
      </c>
      <c>
        <v>0</v>
      </c>
      <c s="3">
        <v>0</v>
      </c>
      <c s="3">
        <v>102.56</v>
      </c>
      <c s="3">
        <v>10000</v>
      </c>
      <c>
        <v>2021</v>
      </c>
      <c>
        <v>149.4</v>
      </c>
      <c s="1" t="str">
        <f ca="1">HYPERLINK("https://web.datatree.com/?/property?propertyId=32907330", "https://web.datatree.com/?/property?propertyId=32907330")</f>
        <v>https://web.datatree.com/?/property?propertyId=32907330</v>
      </c>
      <c r="Q2492" t="s">
        <v>316</v>
      </c>
      <c>
        <v>0.161</v>
      </c>
      <c t="s">
        <v>36245</v>
      </c>
      <c t="s">
        <v>57254</v>
      </c>
      <c t="s">
        <v>46582</v>
      </c>
      <c t="s">
        <v>17612</v>
      </c>
      <c t="s">
        <v>36228</v>
      </c>
      <c t="s">
        <v>53498</v>
      </c>
      <c t="s">
        <v>31377</v>
      </c>
      <c t="s">
        <v>65059</v>
      </c>
      <c t="s">
        <v>39289</v>
      </c>
      <c>
        <v>33905</v>
      </c>
      <c t="s">
        <v>64713</v>
      </c>
      <c t="s">
        <v>48794</v>
      </c>
      <c t="s">
        <v>27667</v>
      </c>
      <c>
        <v>7402</v>
      </c>
      <c r="AI2492" t="s">
        <v>46469</v>
      </c>
      <c t="s">
        <v>24900</v>
      </c>
      <c r="AL2492" t="s">
        <v>63688</v>
      </c>
      <c r="AN2492" t="s">
        <v>50917</v>
      </c>
      <c t="s">
        <v>52618</v>
      </c>
      <c t="s">
        <v>4797</v>
      </c>
      <c t="s">
        <v>3093</v>
      </c>
      <c t="s">
        <v>36801</v>
      </c>
    </row>
    <row>
      <c t="s">
        <v>17594</v>
      </c>
      <c t="s">
        <v>62472</v>
      </c>
      <c t="s">
        <v>6835</v>
      </c>
      <c t="s">
        <v>55534</v>
      </c>
      <c t="s">
        <v>22892</v>
      </c>
      <c s="3">
        <v>26158</v>
      </c>
      <c s="3">
        <v>26158</v>
      </c>
      <c s="3">
        <v>9433</v>
      </c>
      <c>
        <v>0</v>
      </c>
      <c s="3">
        <v>0</v>
      </c>
      <c s="3">
        <v>422.19</v>
      </c>
      <c s="3">
        <v>26158</v>
      </c>
      <c r="O2493" s="1" t="str">
        <f ca="1">HYPERLINK("https://web.datatree.com/?/property?propertyId=32908466", "https://web.datatree.com/?/property?propertyId=32908466")</f>
        <v>https://web.datatree.com/?/property?propertyId=32908466</v>
      </c>
      <c r="Q2493" t="s">
        <v>316</v>
      </c>
      <c>
        <v>0.296</v>
      </c>
      <c t="s">
        <v>5471</v>
      </c>
      <c t="s">
        <v>10451</v>
      </c>
      <c t="s">
        <v>14391</v>
      </c>
      <c r="X2493" t="s">
        <v>26728</v>
      </c>
      <c t="s">
        <v>37009</v>
      </c>
      <c t="s">
        <v>65059</v>
      </c>
      <c t="s">
        <v>39289</v>
      </c>
      <c>
        <v>33905</v>
      </c>
      <c t="s">
        <v>59825</v>
      </c>
      <c t="s">
        <v>48794</v>
      </c>
      <c t="s">
        <v>37041</v>
      </c>
      <c>
        <v>603</v>
      </c>
      <c r="AI2493" t="s">
        <v>7378</v>
      </c>
      <c t="s">
        <v>41372</v>
      </c>
      <c r="AL2493" t="s">
        <v>31138</v>
      </c>
      <c r="AN2493" t="s">
        <v>50917</v>
      </c>
      <c t="s">
        <v>61215</v>
      </c>
      <c t="s">
        <v>23744</v>
      </c>
      <c t="s">
        <v>3093</v>
      </c>
      <c t="s">
        <v>39519</v>
      </c>
    </row>
    <row>
      <c t="s">
        <v>17594</v>
      </c>
      <c t="s">
        <v>64226</v>
      </c>
      <c t="s">
        <v>38423</v>
      </c>
      <c t="s">
        <v>27529</v>
      </c>
      <c t="s">
        <v>25624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494" s="1" t="str">
        <f ca="1">HYPERLINK("https://web.datatree.com/?/property?propertyId=32909208", "https://web.datatree.com/?/property?propertyId=32909208")</f>
        <v>https://web.datatree.com/?/property?propertyId=32909208</v>
      </c>
      <c r="Q2494" t="s">
        <v>316</v>
      </c>
      <c>
        <v>0.23</v>
      </c>
      <c t="s">
        <v>22490</v>
      </c>
      <c t="s">
        <v>5759</v>
      </c>
      <c t="s">
        <v>52260</v>
      </c>
      <c t="s">
        <v>22450</v>
      </c>
      <c t="s">
        <v>52260</v>
      </c>
      <c t="s">
        <v>41620</v>
      </c>
      <c t="s">
        <v>29190</v>
      </c>
      <c t="s">
        <v>2517</v>
      </c>
      <c t="s">
        <v>39289</v>
      </c>
      <c>
        <v>33909</v>
      </c>
      <c t="s">
        <v>15216</v>
      </c>
      <c t="s">
        <v>48794</v>
      </c>
      <c t="s">
        <v>43736</v>
      </c>
      <c>
        <v>6132</v>
      </c>
      <c r="AI2494" t="s">
        <v>49524</v>
      </c>
      <c t="s">
        <v>40123</v>
      </c>
      <c r="AL2494" t="s">
        <v>59550</v>
      </c>
      <c r="AN2494" t="s">
        <v>51087</v>
      </c>
      <c t="s">
        <v>53143</v>
      </c>
      <c t="s">
        <v>13315</v>
      </c>
      <c t="s">
        <v>3093</v>
      </c>
      <c t="s">
        <v>19984</v>
      </c>
    </row>
    <row>
      <c t="s">
        <v>17594</v>
      </c>
      <c t="s">
        <v>62286</v>
      </c>
      <c t="s">
        <v>36871</v>
      </c>
      <c t="s">
        <v>7712</v>
      </c>
      <c t="s">
        <v>35717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495" s="1" t="str">
        <f ca="1">HYPERLINK("https://web.datatree.com/?/property?propertyId=32909582", "https://web.datatree.com/?/property?propertyId=32909582")</f>
        <v>https://web.datatree.com/?/property?propertyId=32909582</v>
      </c>
      <c r="Q2495" t="s">
        <v>316</v>
      </c>
      <c>
        <v>0.23</v>
      </c>
      <c t="s">
        <v>22490</v>
      </c>
      <c t="s">
        <v>60465</v>
      </c>
      <c t="s">
        <v>58355</v>
      </c>
      <c t="s">
        <v>45000</v>
      </c>
      <c t="s">
        <v>58355</v>
      </c>
      <c t="s">
        <v>34097</v>
      </c>
      <c t="s">
        <v>49122</v>
      </c>
      <c t="s">
        <v>2517</v>
      </c>
      <c t="s">
        <v>39289</v>
      </c>
      <c>
        <v>33909</v>
      </c>
      <c t="s">
        <v>53067</v>
      </c>
      <c t="s">
        <v>48794</v>
      </c>
      <c t="s">
        <v>9736</v>
      </c>
      <c>
        <v>10011</v>
      </c>
      <c r="AI2495" t="s">
        <v>28965</v>
      </c>
      <c t="s">
        <v>31192</v>
      </c>
      <c r="AL2495" t="s">
        <v>56328</v>
      </c>
      <c r="AN2495" t="s">
        <v>10804</v>
      </c>
      <c t="s">
        <v>53328</v>
      </c>
      <c t="s">
        <v>35354</v>
      </c>
      <c t="s">
        <v>3093</v>
      </c>
      <c t="s">
        <v>65489</v>
      </c>
    </row>
    <row>
      <c t="s">
        <v>17594</v>
      </c>
      <c t="s">
        <v>35741</v>
      </c>
      <c t="s">
        <v>63414</v>
      </c>
      <c t="s">
        <v>55131</v>
      </c>
      <c t="s">
        <v>45870</v>
      </c>
      <c s="3">
        <v>403858</v>
      </c>
      <c s="3">
        <v>400242</v>
      </c>
      <c s="3">
        <v>87578</v>
      </c>
      <c>
        <v>0</v>
      </c>
      <c s="3">
        <v>0</v>
      </c>
      <c s="3">
        <v>1875.62</v>
      </c>
      <c s="3">
        <v>403858</v>
      </c>
      <c r="O2496" s="1" t="str">
        <f ca="1">HYPERLINK("https://web.datatree.com/?/property?propertyId=32910258", "https://web.datatree.com/?/property?propertyId=32910258")</f>
        <v>https://web.datatree.com/?/property?propertyId=32910258</v>
      </c>
      <c r="Q2496" t="s">
        <v>316</v>
      </c>
      <c>
        <v>0.23</v>
      </c>
      <c t="s">
        <v>22490</v>
      </c>
      <c t="s">
        <v>552</v>
      </c>
      <c t="s">
        <v>5731</v>
      </c>
      <c r="X2496" t="s">
        <v>57067</v>
      </c>
      <c t="s">
        <v>66701</v>
      </c>
      <c t="s">
        <v>2517</v>
      </c>
      <c t="s">
        <v>39289</v>
      </c>
      <c>
        <v>33904</v>
      </c>
      <c>
        <v>33904</v>
      </c>
      <c t="s">
        <v>48794</v>
      </c>
      <c t="s">
        <v>736</v>
      </c>
      <c>
        <v>47</v>
      </c>
      <c r="AI2496" t="s">
        <v>8170</v>
      </c>
      <c t="s">
        <v>45393</v>
      </c>
      <c r="AL2496" t="s">
        <v>1393</v>
      </c>
      <c r="AN2496" t="s">
        <v>27747</v>
      </c>
      <c t="s">
        <v>42497</v>
      </c>
      <c t="s">
        <v>12241</v>
      </c>
      <c t="s">
        <v>3093</v>
      </c>
      <c t="s">
        <v>27699</v>
      </c>
    </row>
    <row>
      <c t="s">
        <v>17594</v>
      </c>
      <c t="s">
        <v>32854</v>
      </c>
      <c t="s">
        <v>62714</v>
      </c>
      <c t="s">
        <v>45705</v>
      </c>
      <c t="s">
        <v>58872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497" s="1" t="str">
        <f ca="1">HYPERLINK("https://web.datatree.com/?/property?propertyId=32910333", "https://web.datatree.com/?/property?propertyId=32910333")</f>
        <v>https://web.datatree.com/?/property?propertyId=32910333</v>
      </c>
      <c r="Q2497" t="s">
        <v>316</v>
      </c>
      <c>
        <v>0.23</v>
      </c>
      <c t="s">
        <v>6175</v>
      </c>
      <c t="s">
        <v>10361</v>
      </c>
      <c t="s">
        <v>400</v>
      </c>
      <c r="X2497" t="s">
        <v>29488</v>
      </c>
      <c t="s">
        <v>2619</v>
      </c>
      <c t="s">
        <v>2517</v>
      </c>
      <c t="s">
        <v>39289</v>
      </c>
      <c>
        <v>33909</v>
      </c>
      <c t="s">
        <v>18325</v>
      </c>
      <c t="s">
        <v>48794</v>
      </c>
      <c t="s">
        <v>54754</v>
      </c>
      <c>
        <v>11</v>
      </c>
      <c r="AI2497" t="s">
        <v>33230</v>
      </c>
      <c t="s">
        <v>24900</v>
      </c>
      <c r="AL2497" t="s">
        <v>66317</v>
      </c>
      <c t="s">
        <v>13397</v>
      </c>
      <c t="s">
        <v>50917</v>
      </c>
      <c t="s">
        <v>4495</v>
      </c>
      <c t="s">
        <v>13449</v>
      </c>
      <c t="s">
        <v>3093</v>
      </c>
      <c t="s">
        <v>50024</v>
      </c>
    </row>
    <row>
      <c t="s">
        <v>17594</v>
      </c>
      <c t="s">
        <v>23875</v>
      </c>
      <c t="s">
        <v>42802</v>
      </c>
      <c t="s">
        <v>64384</v>
      </c>
      <c t="s">
        <v>66195</v>
      </c>
      <c s="3">
        <v>136880</v>
      </c>
      <c s="3">
        <v>136880</v>
      </c>
      <c s="3">
        <v>64900</v>
      </c>
      <c>
        <v>0</v>
      </c>
      <c s="3">
        <v>0</v>
      </c>
      <c s="3">
        <v>1371.67</v>
      </c>
      <c s="3">
        <v>136880</v>
      </c>
      <c r="O2498" s="1" t="str">
        <f ca="1">HYPERLINK("https://web.datatree.com/?/property?propertyId=32910444", "https://web.datatree.com/?/property?propertyId=32910444")</f>
        <v>https://web.datatree.com/?/property?propertyId=32910444</v>
      </c>
      <c r="Q2498" t="s">
        <v>316</v>
      </c>
      <c>
        <v>2</v>
      </c>
      <c t="s">
        <v>30497</v>
      </c>
      <c t="s">
        <v>10361</v>
      </c>
      <c t="s">
        <v>45037</v>
      </c>
      <c t="s">
        <v>6361</v>
      </c>
      <c t="s">
        <v>45037</v>
      </c>
      <c t="s">
        <v>49865</v>
      </c>
      <c t="s">
        <v>45219</v>
      </c>
      <c t="s">
        <v>65059</v>
      </c>
      <c t="s">
        <v>39289</v>
      </c>
      <c>
        <v>33905</v>
      </c>
      <c t="s">
        <v>15575</v>
      </c>
      <c t="s">
        <v>48794</v>
      </c>
      <c t="s">
        <v>46670</v>
      </c>
      <c>
        <v>7900</v>
      </c>
      <c r="AI2498" t="s">
        <v>61096</v>
      </c>
      <c t="s">
        <v>40123</v>
      </c>
      <c r="AL2498" t="s">
        <v>55393</v>
      </c>
      <c t="s">
        <v>40227</v>
      </c>
      <c t="s">
        <v>39289</v>
      </c>
      <c t="s">
        <v>33882</v>
      </c>
      <c t="s">
        <v>3364</v>
      </c>
      <c t="s">
        <v>3093</v>
      </c>
      <c t="s">
        <v>23195</v>
      </c>
    </row>
    <row>
      <c t="s">
        <v>17594</v>
      </c>
      <c t="s">
        <v>14514</v>
      </c>
      <c t="s">
        <v>58817</v>
      </c>
      <c t="s">
        <v>48624</v>
      </c>
      <c t="s">
        <v>26464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2499" s="1" t="str">
        <f ca="1">HYPERLINK("https://web.datatree.com/?/property?propertyId=32910584", "https://web.datatree.com/?/property?propertyId=32910584")</f>
        <v>https://web.datatree.com/?/property?propertyId=32910584</v>
      </c>
      <c r="Q2499" t="s">
        <v>316</v>
      </c>
      <c>
        <v>0.246</v>
      </c>
      <c t="s">
        <v>6175</v>
      </c>
      <c t="s">
        <v>47263</v>
      </c>
      <c t="s">
        <v>44893</v>
      </c>
      <c t="s">
        <v>31811</v>
      </c>
      <c t="s">
        <v>2816</v>
      </c>
      <c t="s">
        <v>51959</v>
      </c>
      <c t="s">
        <v>53663</v>
      </c>
      <c t="s">
        <v>2517</v>
      </c>
      <c t="s">
        <v>39289</v>
      </c>
      <c>
        <v>33909</v>
      </c>
      <c t="s">
        <v>23236</v>
      </c>
      <c t="s">
        <v>48794</v>
      </c>
      <c t="s">
        <v>21395</v>
      </c>
      <c>
        <v>26</v>
      </c>
      <c r="AI2499" t="s">
        <v>5105</v>
      </c>
      <c t="s">
        <v>45393</v>
      </c>
      <c>
        <v>6</v>
      </c>
      <c t="s">
        <v>21152</v>
      </c>
      <c r="AN2499" t="s">
        <v>27747</v>
      </c>
      <c t="s">
        <v>6082</v>
      </c>
      <c t="s">
        <v>7207</v>
      </c>
      <c t="s">
        <v>3093</v>
      </c>
      <c t="s">
        <v>34031</v>
      </c>
    </row>
    <row>
      <c t="s">
        <v>17594</v>
      </c>
      <c t="s">
        <v>58060</v>
      </c>
      <c t="s">
        <v>62811</v>
      </c>
      <c t="s">
        <v>60180</v>
      </c>
      <c t="s">
        <v>11455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500" s="1" t="str">
        <f ca="1">HYPERLINK("https://web.datatree.com/?/property?propertyId=32910882", "https://web.datatree.com/?/property?propertyId=32910882")</f>
        <v>https://web.datatree.com/?/property?propertyId=32910882</v>
      </c>
      <c r="Q2500" t="s">
        <v>316</v>
      </c>
      <c>
        <v>0.23</v>
      </c>
      <c t="s">
        <v>6175</v>
      </c>
      <c t="s">
        <v>47977</v>
      </c>
      <c t="s">
        <v>10367</v>
      </c>
      <c t="s">
        <v>66240</v>
      </c>
      <c t="s">
        <v>10367</v>
      </c>
      <c t="s">
        <v>16776</v>
      </c>
      <c t="s">
        <v>13065</v>
      </c>
      <c t="s">
        <v>2517</v>
      </c>
      <c t="s">
        <v>39289</v>
      </c>
      <c>
        <v>33909</v>
      </c>
      <c t="s">
        <v>5799</v>
      </c>
      <c t="s">
        <v>48794</v>
      </c>
      <c t="s">
        <v>25726</v>
      </c>
      <c>
        <v>2302</v>
      </c>
      <c r="AI2500" t="s">
        <v>62747</v>
      </c>
      <c t="s">
        <v>40123</v>
      </c>
      <c r="AL2500" t="s">
        <v>37878</v>
      </c>
      <c r="AN2500" t="s">
        <v>65451</v>
      </c>
      <c t="s">
        <v>62420</v>
      </c>
      <c t="s">
        <v>43446</v>
      </c>
      <c t="s">
        <v>3093</v>
      </c>
      <c t="s">
        <v>12135</v>
      </c>
    </row>
    <row>
      <c t="s">
        <v>17594</v>
      </c>
      <c t="s">
        <v>62443</v>
      </c>
      <c t="s">
        <v>47444</v>
      </c>
      <c t="s">
        <v>35034</v>
      </c>
      <c t="s">
        <v>48339</v>
      </c>
      <c s="3">
        <v>88063</v>
      </c>
      <c s="3">
        <v>79500</v>
      </c>
      <c s="3">
        <v>83029</v>
      </c>
      <c>
        <v>0</v>
      </c>
      <c s="3">
        <v>0</v>
      </c>
      <c s="3">
        <v>1275.96</v>
      </c>
      <c s="3">
        <v>88063</v>
      </c>
      <c r="O2501" s="1" t="str">
        <f ca="1">HYPERLINK("https://web.datatree.com/?/property?propertyId=32911685", "https://web.datatree.com/?/property?propertyId=32911685")</f>
        <v>https://web.datatree.com/?/property?propertyId=32911685</v>
      </c>
      <c r="Q2501" t="s">
        <v>316</v>
      </c>
      <c>
        <v>0.095</v>
      </c>
      <c t="s">
        <v>26492</v>
      </c>
      <c t="s">
        <v>25238</v>
      </c>
      <c t="s">
        <v>28547</v>
      </c>
      <c t="s">
        <v>111</v>
      </c>
      <c t="s">
        <v>28547</v>
      </c>
      <c t="s">
        <v>12682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40706</v>
      </c>
      <c>
        <v>6042</v>
      </c>
      <c r="AI2501" t="s">
        <v>10206</v>
      </c>
      <c t="s">
        <v>1289</v>
      </c>
      <c r="AL2501" t="s">
        <v>33025</v>
      </c>
      <c t="s">
        <v>40227</v>
      </c>
      <c t="s">
        <v>65467</v>
      </c>
      <c t="s">
        <v>46377</v>
      </c>
      <c t="s">
        <v>14695</v>
      </c>
      <c t="s">
        <v>3093</v>
      </c>
      <c t="s">
        <v>58185</v>
      </c>
      <c>
        <v>2005</v>
      </c>
    </row>
    <row>
      <c t="s">
        <v>17594</v>
      </c>
      <c t="s">
        <v>52852</v>
      </c>
      <c t="s">
        <v>48435</v>
      </c>
      <c t="s">
        <v>59277</v>
      </c>
      <c t="s">
        <v>19675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2502" s="1" t="str">
        <f ca="1">HYPERLINK("https://web.datatree.com/?/property?propertyId=32911706", "https://web.datatree.com/?/property?propertyId=32911706")</f>
        <v>https://web.datatree.com/?/property?propertyId=32911706</v>
      </c>
      <c r="Q2502" t="s">
        <v>316</v>
      </c>
      <c>
        <v>0.23</v>
      </c>
      <c t="s">
        <v>6175</v>
      </c>
      <c t="s">
        <v>50738</v>
      </c>
      <c t="s">
        <v>46112</v>
      </c>
      <c r="X2502" t="s">
        <v>33905</v>
      </c>
      <c t="s">
        <v>14534</v>
      </c>
      <c t="s">
        <v>2517</v>
      </c>
      <c t="s">
        <v>39289</v>
      </c>
      <c>
        <v>33909</v>
      </c>
      <c t="s">
        <v>40888</v>
      </c>
      <c t="s">
        <v>48794</v>
      </c>
      <c t="s">
        <v>46213</v>
      </c>
      <c>
        <v>4548</v>
      </c>
      <c r="AI2502" t="s">
        <v>46704</v>
      </c>
      <c t="s">
        <v>1671</v>
      </c>
      <c r="AL2502" t="s">
        <v>11713</v>
      </c>
      <c r="AN2502" t="s">
        <v>39289</v>
      </c>
      <c t="s">
        <v>28031</v>
      </c>
      <c t="s">
        <v>22613</v>
      </c>
      <c t="s">
        <v>3093</v>
      </c>
      <c t="s">
        <v>21110</v>
      </c>
    </row>
    <row>
      <c t="s">
        <v>17594</v>
      </c>
      <c t="s">
        <v>6775</v>
      </c>
      <c t="s">
        <v>60652</v>
      </c>
      <c t="s">
        <v>44281</v>
      </c>
      <c t="s">
        <v>3158</v>
      </c>
      <c s="3">
        <v>24127</v>
      </c>
      <c s="3">
        <v>24127</v>
      </c>
      <c s="3">
        <v>7656</v>
      </c>
      <c>
        <v>0</v>
      </c>
      <c s="3">
        <v>0</v>
      </c>
      <c s="3">
        <v>579.64</v>
      </c>
      <c s="3">
        <v>24127</v>
      </c>
      <c r="O2503" s="1" t="str">
        <f ca="1">HYPERLINK("https://web.datatree.com/?/property?propertyId=32911776", "https://web.datatree.com/?/property?propertyId=32911776")</f>
        <v>https://web.datatree.com/?/property?propertyId=32911776</v>
      </c>
      <c r="Q2503" t="s">
        <v>316</v>
      </c>
      <c>
        <v>0.258</v>
      </c>
      <c t="s">
        <v>22490</v>
      </c>
      <c t="s">
        <v>47119</v>
      </c>
      <c t="s">
        <v>29027</v>
      </c>
      <c t="s">
        <v>63047</v>
      </c>
      <c r="X2503" t="s">
        <v>5721</v>
      </c>
      <c t="s">
        <v>29190</v>
      </c>
      <c t="s">
        <v>2517</v>
      </c>
      <c t="s">
        <v>39289</v>
      </c>
      <c>
        <v>33909</v>
      </c>
      <c t="s">
        <v>62214</v>
      </c>
      <c t="s">
        <v>48794</v>
      </c>
      <c t="s">
        <v>7934</v>
      </c>
      <c>
        <v>1629</v>
      </c>
      <c r="AI2503" t="s">
        <v>40474</v>
      </c>
      <c t="s">
        <v>31192</v>
      </c>
      <c r="AL2503" t="s">
        <v>46398</v>
      </c>
      <c t="s">
        <v>49645</v>
      </c>
      <c t="s">
        <v>39289</v>
      </c>
      <c t="s">
        <v>67223</v>
      </c>
      <c t="s">
        <v>13315</v>
      </c>
      <c t="s">
        <v>3093</v>
      </c>
      <c t="s">
        <v>43372</v>
      </c>
    </row>
    <row>
      <c t="s">
        <v>17594</v>
      </c>
      <c t="s">
        <v>27192</v>
      </c>
      <c t="s">
        <v>12590</v>
      </c>
      <c t="s">
        <v>63100</v>
      </c>
      <c t="s">
        <v>18477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504" s="1" t="str">
        <f ca="1">HYPERLINK("https://web.datatree.com/?/property?propertyId=32912003", "https://web.datatree.com/?/property?propertyId=32912003")</f>
        <v>https://web.datatree.com/?/property?propertyId=32912003</v>
      </c>
      <c r="Q2504" t="s">
        <v>316</v>
      </c>
      <c>
        <v>0.23</v>
      </c>
      <c t="s">
        <v>6175</v>
      </c>
      <c t="s">
        <v>16200</v>
      </c>
      <c t="s">
        <v>33960</v>
      </c>
      <c r="W2504" t="s">
        <v>855</v>
      </c>
      <c t="s">
        <v>39008</v>
      </c>
      <c t="s">
        <v>46469</v>
      </c>
      <c t="s">
        <v>2517</v>
      </c>
      <c t="s">
        <v>39289</v>
      </c>
      <c>
        <v>33909</v>
      </c>
      <c t="s">
        <v>35074</v>
      </c>
      <c t="s">
        <v>48794</v>
      </c>
      <c t="s">
        <v>3015</v>
      </c>
      <c>
        <v>1004</v>
      </c>
      <c r="AI2504" t="s">
        <v>42211</v>
      </c>
      <c t="s">
        <v>31192</v>
      </c>
      <c r="AL2504" t="s">
        <v>62658</v>
      </c>
      <c t="s">
        <v>62658</v>
      </c>
      <c t="s">
        <v>27747</v>
      </c>
      <c t="s">
        <v>36822</v>
      </c>
      <c t="s">
        <v>3364</v>
      </c>
      <c t="s">
        <v>3093</v>
      </c>
      <c t="s">
        <v>40457</v>
      </c>
    </row>
    <row>
      <c t="s">
        <v>17594</v>
      </c>
      <c t="s">
        <v>2548</v>
      </c>
      <c t="s">
        <v>1593</v>
      </c>
      <c t="s">
        <v>45463</v>
      </c>
      <c t="s">
        <v>32519</v>
      </c>
      <c s="3">
        <v>19712</v>
      </c>
      <c s="3">
        <v>19712</v>
      </c>
      <c s="3">
        <v>6839</v>
      </c>
      <c>
        <v>0</v>
      </c>
      <c s="3">
        <v>0</v>
      </c>
      <c s="3">
        <v>387.96</v>
      </c>
      <c s="3">
        <v>19712</v>
      </c>
      <c r="O2505" s="1" t="str">
        <f ca="1">HYPERLINK("https://web.datatree.com/?/property?propertyId=32912115", "https://web.datatree.com/?/property?propertyId=32912115")</f>
        <v>https://web.datatree.com/?/property?propertyId=32912115</v>
      </c>
      <c r="Q2505" t="s">
        <v>316</v>
      </c>
      <c>
        <v>0.386</v>
      </c>
      <c t="s">
        <v>37489</v>
      </c>
      <c t="s">
        <v>50343</v>
      </c>
      <c t="s">
        <v>62661</v>
      </c>
      <c t="s">
        <v>2474</v>
      </c>
      <c t="s">
        <v>62661</v>
      </c>
      <c t="s">
        <v>52400</v>
      </c>
      <c t="s">
        <v>18019</v>
      </c>
      <c t="s">
        <v>65059</v>
      </c>
      <c t="s">
        <v>39289</v>
      </c>
      <c>
        <v>33905</v>
      </c>
      <c t="s">
        <v>1956</v>
      </c>
      <c t="s">
        <v>48794</v>
      </c>
      <c t="s">
        <v>50370</v>
      </c>
      <c>
        <v>2550</v>
      </c>
      <c r="AI2505" t="s">
        <v>66335</v>
      </c>
      <c t="s">
        <v>24900</v>
      </c>
      <c r="AL2505" t="s">
        <v>4859</v>
      </c>
      <c r="AN2505" t="s">
        <v>39289</v>
      </c>
      <c t="s">
        <v>62659</v>
      </c>
      <c t="s">
        <v>22302</v>
      </c>
      <c t="s">
        <v>3093</v>
      </c>
      <c t="s">
        <v>14057</v>
      </c>
    </row>
    <row>
      <c t="s">
        <v>17594</v>
      </c>
      <c t="s">
        <v>16663</v>
      </c>
      <c t="s">
        <v>12269</v>
      </c>
      <c t="s">
        <v>3199</v>
      </c>
      <c t="s">
        <v>21264</v>
      </c>
      <c s="3">
        <v>8439</v>
      </c>
      <c s="3">
        <v>8439</v>
      </c>
      <c s="3">
        <v>4972</v>
      </c>
      <c>
        <v>0</v>
      </c>
      <c s="3">
        <v>0</v>
      </c>
      <c s="3">
        <v>316.66</v>
      </c>
      <c s="3">
        <v>8439</v>
      </c>
      <c>
        <v>2021</v>
      </c>
      <c>
        <v>311.6</v>
      </c>
      <c s="1" t="str">
        <f ca="1">HYPERLINK("https://web.datatree.com/?/property?propertyId=32913219", "https://web.datatree.com/?/property?propertyId=32913219")</f>
        <v>https://web.datatree.com/?/property?propertyId=32913219</v>
      </c>
      <c r="Q2506" t="s">
        <v>316</v>
      </c>
      <c>
        <v>0.244</v>
      </c>
      <c t="s">
        <v>5471</v>
      </c>
      <c t="s">
        <v>1949</v>
      </c>
      <c t="s">
        <v>49325</v>
      </c>
      <c r="X2506" t="s">
        <v>60636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65257</v>
      </c>
      <c>
        <v>1810</v>
      </c>
      <c r="AI2506" t="s">
        <v>2626</v>
      </c>
      <c t="s">
        <v>24900</v>
      </c>
      <c>
        <v>801</v>
      </c>
      <c t="s">
        <v>55393</v>
      </c>
      <c t="s">
        <v>55393</v>
      </c>
      <c t="s">
        <v>39289</v>
      </c>
      <c t="s">
        <v>36630</v>
      </c>
      <c t="s">
        <v>32746</v>
      </c>
      <c t="s">
        <v>3093</v>
      </c>
      <c t="s">
        <v>6553</v>
      </c>
    </row>
    <row>
      <c t="s">
        <v>17594</v>
      </c>
      <c t="s">
        <v>42973</v>
      </c>
      <c t="s">
        <v>28101</v>
      </c>
      <c t="s">
        <v>46869</v>
      </c>
      <c t="s">
        <v>25112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2507" s="1" t="str">
        <f ca="1">HYPERLINK("https://web.datatree.com/?/property?propertyId=32913263", "https://web.datatree.com/?/property?propertyId=32913263")</f>
        <v>https://web.datatree.com/?/property?propertyId=32913263</v>
      </c>
      <c r="Q2507" t="s">
        <v>316</v>
      </c>
      <c>
        <v>0.23</v>
      </c>
      <c t="s">
        <v>6175</v>
      </c>
      <c t="s">
        <v>2428</v>
      </c>
      <c t="s">
        <v>1488</v>
      </c>
      <c t="s">
        <v>10998</v>
      </c>
      <c t="s">
        <v>1488</v>
      </c>
      <c t="s">
        <v>31547</v>
      </c>
      <c t="s">
        <v>15510</v>
      </c>
      <c t="s">
        <v>2517</v>
      </c>
      <c t="s">
        <v>39289</v>
      </c>
      <c>
        <v>33909</v>
      </c>
      <c t="s">
        <v>15271</v>
      </c>
      <c t="s">
        <v>48794</v>
      </c>
      <c t="s">
        <v>22517</v>
      </c>
      <c>
        <v>4565</v>
      </c>
      <c r="AI2507" t="s">
        <v>48786</v>
      </c>
      <c t="s">
        <v>24900</v>
      </c>
      <c r="AL2507" t="s">
        <v>21676</v>
      </c>
      <c t="s">
        <v>21676</v>
      </c>
      <c t="s">
        <v>39289</v>
      </c>
      <c t="s">
        <v>40391</v>
      </c>
      <c t="s">
        <v>61564</v>
      </c>
      <c t="s">
        <v>3093</v>
      </c>
      <c t="s">
        <v>44630</v>
      </c>
    </row>
    <row>
      <c t="s">
        <v>17594</v>
      </c>
      <c t="s">
        <v>44286</v>
      </c>
      <c t="s">
        <v>61887</v>
      </c>
      <c t="s">
        <v>35349</v>
      </c>
      <c t="s">
        <v>11522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>
        <v>2021</v>
      </c>
      <c>
        <v>621.52</v>
      </c>
      <c s="1" t="str">
        <f ca="1">HYPERLINK("https://web.datatree.com/?/property?propertyId=32913516", "https://web.datatree.com/?/property?propertyId=32913516")</f>
        <v>https://web.datatree.com/?/property?propertyId=32913516</v>
      </c>
      <c r="Q2508" t="s">
        <v>316</v>
      </c>
      <c>
        <v>0.23</v>
      </c>
      <c t="s">
        <v>22490</v>
      </c>
      <c t="s">
        <v>7740</v>
      </c>
      <c t="s">
        <v>53009</v>
      </c>
      <c t="s">
        <v>5387</v>
      </c>
      <c t="s">
        <v>45794</v>
      </c>
      <c t="s">
        <v>34619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17496</v>
      </c>
      <c>
        <v>106</v>
      </c>
      <c r="AI2508" t="s">
        <v>15180</v>
      </c>
      <c t="s">
        <v>40123</v>
      </c>
      <c r="AL2508" t="s">
        <v>61849</v>
      </c>
      <c t="s">
        <v>61849</v>
      </c>
      <c t="s">
        <v>10804</v>
      </c>
      <c t="s">
        <v>9493</v>
      </c>
      <c t="s">
        <v>58683</v>
      </c>
      <c t="s">
        <v>3093</v>
      </c>
      <c t="s">
        <v>66489</v>
      </c>
    </row>
    <row>
      <c t="s">
        <v>17594</v>
      </c>
      <c t="s">
        <v>59812</v>
      </c>
      <c t="s">
        <v>25466</v>
      </c>
      <c t="s">
        <v>31800</v>
      </c>
      <c t="s">
        <v>48442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2509" s="1" t="str">
        <f ca="1">HYPERLINK("https://web.datatree.com/?/property?propertyId=32913640", "https://web.datatree.com/?/property?propertyId=32913640")</f>
        <v>https://web.datatree.com/?/property?propertyId=32913640</v>
      </c>
      <c r="Q2509" t="s">
        <v>316</v>
      </c>
      <c>
        <v>0.241</v>
      </c>
      <c t="s">
        <v>42044</v>
      </c>
      <c t="s">
        <v>26023</v>
      </c>
      <c t="s">
        <v>13824</v>
      </c>
      <c t="s">
        <v>44037</v>
      </c>
      <c t="s">
        <v>58031</v>
      </c>
      <c t="s">
        <v>6916</v>
      </c>
      <c t="s">
        <v>7113</v>
      </c>
      <c t="s">
        <v>2517</v>
      </c>
      <c t="s">
        <v>39289</v>
      </c>
      <c>
        <v>33909</v>
      </c>
      <c t="s">
        <v>4462</v>
      </c>
      <c t="s">
        <v>48794</v>
      </c>
      <c t="s">
        <v>15375</v>
      </c>
      <c>
        <v>9271</v>
      </c>
      <c r="AI2509" t="s">
        <v>23178</v>
      </c>
      <c t="s">
        <v>41372</v>
      </c>
      <c r="AL2509" t="s">
        <v>55393</v>
      </c>
      <c r="AN2509" t="s">
        <v>39289</v>
      </c>
      <c t="s">
        <v>49341</v>
      </c>
      <c t="s">
        <v>56186</v>
      </c>
      <c t="s">
        <v>3093</v>
      </c>
      <c t="s">
        <v>28525</v>
      </c>
    </row>
    <row>
      <c t="s">
        <v>42103</v>
      </c>
      <c t="s">
        <v>31048</v>
      </c>
      <c t="s">
        <v>48143</v>
      </c>
      <c t="s">
        <v>19972</v>
      </c>
      <c t="s">
        <v>44267</v>
      </c>
      <c s="3">
        <v>5237</v>
      </c>
      <c s="3">
        <v>5237</v>
      </c>
      <c s="3">
        <v>5237</v>
      </c>
      <c>
        <v>0</v>
      </c>
      <c s="3">
        <v>0</v>
      </c>
      <c s="3">
        <v>81.53</v>
      </c>
      <c s="3">
        <v>5237</v>
      </c>
      <c r="O2510" s="1" t="str">
        <f ca="1">HYPERLINK("https://web.datatree.com/?/property?propertyId=32913686", "https://web.datatree.com/?/property?propertyId=32913686")</f>
        <v>https://web.datatree.com/?/property?propertyId=32913686</v>
      </c>
      <c r="Q2510" t="s">
        <v>316</v>
      </c>
      <c>
        <v>0.19</v>
      </c>
      <c t="s">
        <v>5471</v>
      </c>
      <c t="s">
        <v>38765</v>
      </c>
      <c t="s">
        <v>24419</v>
      </c>
      <c r="X2510" t="s">
        <v>44185</v>
      </c>
      <c t="s">
        <v>2161</v>
      </c>
      <c t="s">
        <v>65059</v>
      </c>
      <c t="s">
        <v>39289</v>
      </c>
      <c>
        <v>33905</v>
      </c>
      <c t="s">
        <v>34120</v>
      </c>
      <c t="s">
        <v>48794</v>
      </c>
      <c t="s">
        <v>56023</v>
      </c>
      <c r="AI2510" t="s">
        <v>22058</v>
      </c>
      <c r="AL2510" t="s">
        <v>41642</v>
      </c>
      <c t="s">
        <v>4859</v>
      </c>
      <c t="s">
        <v>39289</v>
      </c>
      <c>
        <v>33067</v>
      </c>
      <c t="s">
        <v>60121</v>
      </c>
      <c t="s">
        <v>3093</v>
      </c>
      <c t="s">
        <v>34175</v>
      </c>
    </row>
    <row>
      <c t="s">
        <v>17594</v>
      </c>
      <c t="s">
        <v>13337</v>
      </c>
      <c t="s">
        <v>23101</v>
      </c>
      <c t="s">
        <v>59067</v>
      </c>
      <c t="s">
        <v>17782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511" s="1" t="str">
        <f ca="1">HYPERLINK("https://web.datatree.com/?/property?propertyId=32914331", "https://web.datatree.com/?/property?propertyId=32914331")</f>
        <v>https://web.datatree.com/?/property?propertyId=32914331</v>
      </c>
      <c r="Q2511" t="s">
        <v>316</v>
      </c>
      <c>
        <v>0.23</v>
      </c>
      <c t="s">
        <v>22490</v>
      </c>
      <c t="s">
        <v>50366</v>
      </c>
      <c t="s">
        <v>57248</v>
      </c>
      <c t="s">
        <v>47165</v>
      </c>
      <c t="s">
        <v>57248</v>
      </c>
      <c t="s">
        <v>29697</v>
      </c>
      <c t="s">
        <v>15510</v>
      </c>
      <c t="s">
        <v>2517</v>
      </c>
      <c t="s">
        <v>39289</v>
      </c>
      <c>
        <v>33909</v>
      </c>
      <c t="s">
        <v>1853</v>
      </c>
      <c t="s">
        <v>48794</v>
      </c>
      <c t="s">
        <v>53061</v>
      </c>
      <c>
        <v>179</v>
      </c>
      <c r="AI2511" t="s">
        <v>48519</v>
      </c>
      <c t="s">
        <v>4151</v>
      </c>
      <c r="AL2511" t="s">
        <v>51134</v>
      </c>
      <c r="AN2511" t="s">
        <v>10909</v>
      </c>
      <c t="s">
        <v>58145</v>
      </c>
      <c r="AQ2511" t="s">
        <v>27814</v>
      </c>
      <c t="s">
        <v>66192</v>
      </c>
    </row>
    <row>
      <c t="s">
        <v>17594</v>
      </c>
      <c t="s">
        <v>9431</v>
      </c>
      <c t="s">
        <v>40566</v>
      </c>
      <c t="s">
        <v>15395</v>
      </c>
      <c t="s">
        <v>63215</v>
      </c>
      <c s="3">
        <v>10000</v>
      </c>
      <c s="3">
        <v>10000</v>
      </c>
      <c s="3">
        <v>6776</v>
      </c>
      <c>
        <v>0</v>
      </c>
      <c s="3">
        <v>0</v>
      </c>
      <c s="3">
        <v>119.36</v>
      </c>
      <c s="3">
        <v>10000</v>
      </c>
      <c r="O2512" s="1" t="str">
        <f ca="1">HYPERLINK("https://web.datatree.com/?/property?propertyId=32914416", "https://web.datatree.com/?/property?propertyId=32914416")</f>
        <v>https://web.datatree.com/?/property?propertyId=32914416</v>
      </c>
      <c r="Q2512" t="s">
        <v>316</v>
      </c>
      <c>
        <v>0.367</v>
      </c>
      <c t="s">
        <v>30497</v>
      </c>
      <c t="s">
        <v>61517</v>
      </c>
      <c t="s">
        <v>18163</v>
      </c>
      <c t="s">
        <v>40579</v>
      </c>
      <c t="s">
        <v>18163</v>
      </c>
      <c t="s">
        <v>44884</v>
      </c>
      <c t="s">
        <v>45355</v>
      </c>
      <c t="s">
        <v>65059</v>
      </c>
      <c t="s">
        <v>39289</v>
      </c>
      <c>
        <v>33905</v>
      </c>
      <c>
        <v>33905</v>
      </c>
      <c t="s">
        <v>48794</v>
      </c>
      <c t="s">
        <v>20830</v>
      </c>
      <c>
        <v>8051</v>
      </c>
      <c r="AI2512" t="s">
        <v>17585</v>
      </c>
      <c t="s">
        <v>55842</v>
      </c>
      <c r="AL2512" t="s">
        <v>11713</v>
      </c>
      <c t="s">
        <v>40227</v>
      </c>
      <c t="s">
        <v>39289</v>
      </c>
      <c t="s">
        <v>13744</v>
      </c>
      <c t="s">
        <v>53476</v>
      </c>
      <c t="s">
        <v>3093</v>
      </c>
      <c t="s">
        <v>33305</v>
      </c>
    </row>
    <row>
      <c t="s">
        <v>17594</v>
      </c>
      <c t="s">
        <v>43124</v>
      </c>
      <c t="s">
        <v>45875</v>
      </c>
      <c t="s">
        <v>37150</v>
      </c>
      <c t="s">
        <v>35459</v>
      </c>
      <c s="3">
        <v>104650</v>
      </c>
      <c s="3">
        <v>104650</v>
      </c>
      <c s="3">
        <v>104650</v>
      </c>
      <c>
        <v>0</v>
      </c>
      <c s="3">
        <v>0</v>
      </c>
      <c s="3">
        <v>1428.65</v>
      </c>
      <c s="3">
        <v>104650</v>
      </c>
      <c r="O2513" s="1" t="str">
        <f ca="1">HYPERLINK("https://web.datatree.com/?/property?propertyId=32915961", "https://web.datatree.com/?/property?propertyId=32915961")</f>
        <v>https://web.datatree.com/?/property?propertyId=32915961</v>
      </c>
      <c r="Q2513" t="s">
        <v>316</v>
      </c>
      <c>
        <v>0.373</v>
      </c>
      <c t="s">
        <v>5471</v>
      </c>
      <c t="s">
        <v>12385</v>
      </c>
      <c t="s">
        <v>61854</v>
      </c>
      <c t="s">
        <v>33523</v>
      </c>
      <c t="s">
        <v>61854</v>
      </c>
      <c t="s">
        <v>18815</v>
      </c>
      <c t="s">
        <v>64777</v>
      </c>
      <c t="s">
        <v>65059</v>
      </c>
      <c t="s">
        <v>39289</v>
      </c>
      <c>
        <v>33905</v>
      </c>
      <c t="s">
        <v>50232</v>
      </c>
      <c t="s">
        <v>48794</v>
      </c>
      <c t="s">
        <v>53812</v>
      </c>
      <c>
        <v>75</v>
      </c>
      <c r="AI2513" t="s">
        <v>61173</v>
      </c>
      <c t="s">
        <v>24900</v>
      </c>
      <c r="AL2513" t="s">
        <v>60095</v>
      </c>
      <c t="s">
        <v>44650</v>
      </c>
      <c t="s">
        <v>50917</v>
      </c>
      <c t="s">
        <v>10349</v>
      </c>
      <c t="s">
        <v>25140</v>
      </c>
      <c t="s">
        <v>3093</v>
      </c>
      <c t="s">
        <v>50905</v>
      </c>
    </row>
    <row>
      <c t="s">
        <v>17594</v>
      </c>
      <c t="s">
        <v>46475</v>
      </c>
      <c t="s">
        <v>4400</v>
      </c>
      <c t="s">
        <v>57477</v>
      </c>
      <c t="s">
        <v>31037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514" s="1" t="str">
        <f ca="1">HYPERLINK("https://web.datatree.com/?/property?propertyId=32916149", "https://web.datatree.com/?/property?propertyId=32916149")</f>
        <v>https://web.datatree.com/?/property?propertyId=32916149</v>
      </c>
      <c r="Q2514" t="s">
        <v>316</v>
      </c>
      <c>
        <v>0.23</v>
      </c>
      <c t="s">
        <v>22490</v>
      </c>
      <c t="s">
        <v>51844</v>
      </c>
      <c t="s">
        <v>13679</v>
      </c>
      <c t="s">
        <v>55698</v>
      </c>
      <c t="s">
        <v>37481</v>
      </c>
      <c t="s">
        <v>21072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48566</v>
      </c>
      <c>
        <v>21</v>
      </c>
      <c r="AI2514" t="s">
        <v>54079</v>
      </c>
      <c r="AK2514">
        <v>85</v>
      </c>
      <c t="s">
        <v>51565</v>
      </c>
      <c r="AN2514" t="s">
        <v>14798</v>
      </c>
      <c r="AR2514" t="s">
        <v>49059</v>
      </c>
    </row>
    <row>
      <c t="s">
        <v>17594</v>
      </c>
      <c t="s">
        <v>20457</v>
      </c>
      <c t="s">
        <v>9189</v>
      </c>
      <c t="s">
        <v>20200</v>
      </c>
      <c t="s">
        <v>43939</v>
      </c>
      <c s="3">
        <v>28919</v>
      </c>
      <c s="3">
        <v>28919</v>
      </c>
      <c s="3">
        <v>13915</v>
      </c>
      <c>
        <v>0</v>
      </c>
      <c s="3">
        <v>0</v>
      </c>
      <c s="3">
        <v>724.83</v>
      </c>
      <c s="3">
        <v>28919</v>
      </c>
      <c r="O2515" s="1" t="str">
        <f ca="1">HYPERLINK("https://web.datatree.com/?/property?propertyId=32916649", "https://web.datatree.com/?/property?propertyId=32916649")</f>
        <v>https://web.datatree.com/?/property?propertyId=32916649</v>
      </c>
      <c r="Q2515" t="s">
        <v>316</v>
      </c>
      <c>
        <v>0.286</v>
      </c>
      <c t="s">
        <v>22490</v>
      </c>
      <c t="s">
        <v>57107</v>
      </c>
      <c t="s">
        <v>48935</v>
      </c>
      <c t="s">
        <v>32675</v>
      </c>
      <c t="s">
        <v>48935</v>
      </c>
      <c t="s">
        <v>2447</v>
      </c>
      <c t="s">
        <v>66701</v>
      </c>
      <c t="s">
        <v>2517</v>
      </c>
      <c t="s">
        <v>39289</v>
      </c>
      <c>
        <v>33909</v>
      </c>
      <c t="s">
        <v>8187</v>
      </c>
      <c t="s">
        <v>48794</v>
      </c>
      <c t="s">
        <v>59528</v>
      </c>
      <c>
        <v>3141</v>
      </c>
      <c r="AI2515" t="s">
        <v>7231</v>
      </c>
      <c t="s">
        <v>4985</v>
      </c>
      <c r="AL2515" t="s">
        <v>66317</v>
      </c>
      <c r="AN2515" t="s">
        <v>50917</v>
      </c>
      <c t="s">
        <v>18506</v>
      </c>
      <c t="s">
        <v>7207</v>
      </c>
      <c t="s">
        <v>3093</v>
      </c>
      <c t="s">
        <v>18840</v>
      </c>
    </row>
    <row>
      <c t="s">
        <v>17594</v>
      </c>
      <c t="s">
        <v>779</v>
      </c>
      <c t="s">
        <v>61953</v>
      </c>
      <c t="s">
        <v>53754</v>
      </c>
      <c t="s">
        <v>9803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516" s="1" t="str">
        <f ca="1">HYPERLINK("https://web.datatree.com/?/property?propertyId=32917146", "https://web.datatree.com/?/property?propertyId=32917146")</f>
        <v>https://web.datatree.com/?/property?propertyId=32917146</v>
      </c>
      <c r="Q2516" t="s">
        <v>316</v>
      </c>
      <c>
        <v>0.23</v>
      </c>
      <c t="s">
        <v>42044</v>
      </c>
      <c r="U2516" t="s">
        <v>53972</v>
      </c>
      <c r="X2516" t="s">
        <v>5162</v>
      </c>
      <c t="s">
        <v>13478</v>
      </c>
      <c t="s">
        <v>2517</v>
      </c>
      <c t="s">
        <v>39289</v>
      </c>
      <c>
        <v>33909</v>
      </c>
      <c t="s">
        <v>50867</v>
      </c>
      <c t="s">
        <v>48794</v>
      </c>
      <c t="s">
        <v>27975</v>
      </c>
      <c>
        <v>7055</v>
      </c>
      <c r="AI2516" t="s">
        <v>34406</v>
      </c>
      <c t="s">
        <v>45620</v>
      </c>
      <c r="AL2516" t="s">
        <v>53011</v>
      </c>
      <c r="AN2516" t="s">
        <v>19878</v>
      </c>
      <c t="s">
        <v>7983</v>
      </c>
      <c t="s">
        <v>22455</v>
      </c>
      <c t="s">
        <v>3093</v>
      </c>
      <c t="s">
        <v>49025</v>
      </c>
    </row>
    <row>
      <c t="s">
        <v>17594</v>
      </c>
      <c t="s">
        <v>61464</v>
      </c>
      <c t="s">
        <v>27610</v>
      </c>
      <c t="s">
        <v>664</v>
      </c>
      <c t="s">
        <v>34525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575.6</v>
      </c>
      <c s="1" t="str">
        <f ca="1">HYPERLINK("https://web.datatree.com/?/property?propertyId=32917179", "https://web.datatree.com/?/property?propertyId=32917179")</f>
        <v>https://web.datatree.com/?/property?propertyId=32917179</v>
      </c>
      <c r="Q2517" t="s">
        <v>316</v>
      </c>
      <c>
        <v>0.23</v>
      </c>
      <c t="s">
        <v>6175</v>
      </c>
      <c t="s">
        <v>53935</v>
      </c>
      <c t="s">
        <v>12293</v>
      </c>
      <c r="X2517" t="s">
        <v>35836</v>
      </c>
      <c t="s">
        <v>18679</v>
      </c>
      <c t="s">
        <v>2517</v>
      </c>
      <c t="s">
        <v>39289</v>
      </c>
      <c>
        <v>33909</v>
      </c>
      <c t="s">
        <v>53818</v>
      </c>
      <c t="s">
        <v>48794</v>
      </c>
      <c t="s">
        <v>40779</v>
      </c>
      <c>
        <v>2660</v>
      </c>
      <c r="AI2517" t="s">
        <v>61626</v>
      </c>
      <c t="s">
        <v>45393</v>
      </c>
      <c r="AL2517" t="s">
        <v>55393</v>
      </c>
      <c t="s">
        <v>19855</v>
      </c>
      <c t="s">
        <v>39289</v>
      </c>
      <c t="s">
        <v>50186</v>
      </c>
      <c t="s">
        <v>57513</v>
      </c>
      <c t="s">
        <v>3093</v>
      </c>
      <c t="s">
        <v>44566</v>
      </c>
    </row>
    <row>
      <c t="s">
        <v>17594</v>
      </c>
      <c t="s">
        <v>53023</v>
      </c>
      <c t="s">
        <v>17417</v>
      </c>
      <c t="s">
        <v>35929</v>
      </c>
      <c t="s">
        <v>12322</v>
      </c>
      <c s="3">
        <v>26249</v>
      </c>
      <c s="3">
        <v>26249</v>
      </c>
      <c s="3">
        <v>12100</v>
      </c>
      <c>
        <v>0</v>
      </c>
      <c s="3">
        <v>0</v>
      </c>
      <c s="3">
        <v>2918.19</v>
      </c>
      <c s="3">
        <v>26249</v>
      </c>
      <c r="O2518" s="1" t="str">
        <f ca="1">HYPERLINK("https://web.datatree.com/?/property?propertyId=32917981", "https://web.datatree.com/?/property?propertyId=32917981")</f>
        <v>https://web.datatree.com/?/property?propertyId=32917981</v>
      </c>
      <c r="Q2518" t="s">
        <v>316</v>
      </c>
      <c>
        <v>0.23</v>
      </c>
      <c t="s">
        <v>45031</v>
      </c>
      <c t="s">
        <v>13492</v>
      </c>
      <c t="s">
        <v>30230</v>
      </c>
      <c r="X2518" t="s">
        <v>25980</v>
      </c>
      <c t="s">
        <v>2619</v>
      </c>
      <c t="s">
        <v>2517</v>
      </c>
      <c t="s">
        <v>39289</v>
      </c>
      <c>
        <v>33909</v>
      </c>
      <c t="s">
        <v>54186</v>
      </c>
      <c t="s">
        <v>48794</v>
      </c>
      <c t="s">
        <v>34732</v>
      </c>
      <c>
        <v>1213</v>
      </c>
      <c r="AI2518" t="s">
        <v>64582</v>
      </c>
      <c t="s">
        <v>41372</v>
      </c>
      <c r="AL2518" t="s">
        <v>19395</v>
      </c>
      <c r="AN2518" t="s">
        <v>18236</v>
      </c>
      <c t="s">
        <v>8097</v>
      </c>
      <c t="s">
        <v>54925</v>
      </c>
      <c t="s">
        <v>3093</v>
      </c>
      <c t="s">
        <v>52784</v>
      </c>
    </row>
    <row>
      <c t="s">
        <v>17594</v>
      </c>
      <c t="s">
        <v>41702</v>
      </c>
      <c t="s">
        <v>15466</v>
      </c>
      <c t="s">
        <v>378</v>
      </c>
      <c t="s">
        <v>47982</v>
      </c>
      <c s="3">
        <v>19061</v>
      </c>
      <c s="3">
        <v>19061</v>
      </c>
      <c s="3">
        <v>9339</v>
      </c>
      <c>
        <v>0</v>
      </c>
      <c s="3">
        <v>0</v>
      </c>
      <c s="3">
        <v>580.03</v>
      </c>
      <c s="3">
        <v>19061</v>
      </c>
      <c>
        <v>2021</v>
      </c>
      <c>
        <v>545.38</v>
      </c>
      <c s="1" t="str">
        <f ca="1">HYPERLINK("https://web.datatree.com/?/property?propertyId=32918097", "https://web.datatree.com/?/property?propertyId=32918097")</f>
        <v>https://web.datatree.com/?/property?propertyId=32918097</v>
      </c>
      <c r="Q2519" t="s">
        <v>316</v>
      </c>
      <c>
        <v>0.241</v>
      </c>
      <c t="s">
        <v>6175</v>
      </c>
      <c t="s">
        <v>24692</v>
      </c>
      <c t="s">
        <v>28376</v>
      </c>
      <c t="s">
        <v>3293</v>
      </c>
      <c t="s">
        <v>60581</v>
      </c>
      <c t="s">
        <v>51738</v>
      </c>
      <c t="s">
        <v>14534</v>
      </c>
      <c t="s">
        <v>2517</v>
      </c>
      <c t="s">
        <v>39289</v>
      </c>
      <c>
        <v>33909</v>
      </c>
      <c t="s">
        <v>32869</v>
      </c>
      <c t="s">
        <v>48794</v>
      </c>
      <c t="s">
        <v>44256</v>
      </c>
      <c>
        <v>12</v>
      </c>
      <c r="AI2519" t="s">
        <v>43464</v>
      </c>
      <c t="s">
        <v>40123</v>
      </c>
      <c r="AL2519" t="s">
        <v>43988</v>
      </c>
      <c r="AN2519" t="s">
        <v>50917</v>
      </c>
      <c t="s">
        <v>30929</v>
      </c>
      <c t="s">
        <v>44843</v>
      </c>
      <c t="s">
        <v>3093</v>
      </c>
      <c t="s">
        <v>60541</v>
      </c>
    </row>
    <row>
      <c t="s">
        <v>17594</v>
      </c>
      <c t="s">
        <v>15948</v>
      </c>
      <c t="s">
        <v>53020</v>
      </c>
      <c t="s">
        <v>1821</v>
      </c>
      <c t="s">
        <v>36988</v>
      </c>
      <c s="3">
        <v>90331</v>
      </c>
      <c s="3">
        <v>90331</v>
      </c>
      <c s="3">
        <v>47520</v>
      </c>
      <c>
        <v>0</v>
      </c>
      <c s="3">
        <v>0</v>
      </c>
      <c s="3">
        <v>1364.18</v>
      </c>
      <c s="3">
        <v>90331</v>
      </c>
      <c r="O2520" s="1" t="str">
        <f ca="1">HYPERLINK("https://web.datatree.com/?/property?propertyId=32918224", "https://web.datatree.com/?/property?propertyId=32918224")</f>
        <v>https://web.datatree.com/?/property?propertyId=32918224</v>
      </c>
      <c r="Q2520" t="s">
        <v>316</v>
      </c>
      <c>
        <v>0.241</v>
      </c>
      <c t="s">
        <v>58725</v>
      </c>
      <c r="U2520" t="s">
        <v>19767</v>
      </c>
      <c r="W2520" t="s">
        <v>54575</v>
      </c>
      <c t="s">
        <v>60443</v>
      </c>
      <c t="s">
        <v>22731</v>
      </c>
      <c t="s">
        <v>2517</v>
      </c>
      <c t="s">
        <v>39289</v>
      </c>
      <c>
        <v>33904</v>
      </c>
      <c t="s">
        <v>57904</v>
      </c>
      <c t="s">
        <v>48794</v>
      </c>
      <c t="s">
        <v>61727</v>
      </c>
      <c>
        <v>13945</v>
      </c>
      <c r="AI2520" t="s">
        <v>13065</v>
      </c>
      <c t="s">
        <v>45393</v>
      </c>
      <c r="AL2520" t="s">
        <v>55393</v>
      </c>
      <c r="AN2520" t="s">
        <v>39289</v>
      </c>
      <c t="s">
        <v>6941</v>
      </c>
      <c t="s">
        <v>2121</v>
      </c>
      <c t="s">
        <v>3093</v>
      </c>
      <c t="s">
        <v>44890</v>
      </c>
    </row>
    <row>
      <c t="s">
        <v>17594</v>
      </c>
      <c t="s">
        <v>9578</v>
      </c>
      <c t="s">
        <v>42120</v>
      </c>
      <c t="s">
        <v>32934</v>
      </c>
      <c t="s">
        <v>1496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2521" s="1" t="str">
        <f ca="1">HYPERLINK("https://web.datatree.com/?/property?propertyId=32920264", "https://web.datatree.com/?/property?propertyId=32920264")</f>
        <v>https://web.datatree.com/?/property?propertyId=32920264</v>
      </c>
      <c r="Q2521" t="s">
        <v>316</v>
      </c>
      <c>
        <v>0.244</v>
      </c>
      <c t="s">
        <v>6175</v>
      </c>
      <c t="s">
        <v>66812</v>
      </c>
      <c t="s">
        <v>2611</v>
      </c>
      <c t="s">
        <v>48526</v>
      </c>
      <c t="s">
        <v>52253</v>
      </c>
      <c t="s">
        <v>13357</v>
      </c>
      <c t="s">
        <v>50440</v>
      </c>
      <c t="s">
        <v>2517</v>
      </c>
      <c t="s">
        <v>39289</v>
      </c>
      <c>
        <v>33909</v>
      </c>
      <c t="s">
        <v>60483</v>
      </c>
      <c t="s">
        <v>48794</v>
      </c>
      <c t="s">
        <v>4306</v>
      </c>
      <c>
        <v>167</v>
      </c>
      <c r="AI2521" t="s">
        <v>13478</v>
      </c>
      <c t="s">
        <v>24900</v>
      </c>
      <c r="AL2521" t="s">
        <v>43624</v>
      </c>
      <c r="AN2521" t="s">
        <v>50917</v>
      </c>
      <c t="s">
        <v>23224</v>
      </c>
      <c t="s">
        <v>19978</v>
      </c>
      <c t="s">
        <v>3093</v>
      </c>
      <c t="s">
        <v>57574</v>
      </c>
    </row>
    <row>
      <c t="s">
        <v>17594</v>
      </c>
      <c t="s">
        <v>56294</v>
      </c>
      <c t="s">
        <v>41211</v>
      </c>
      <c t="s">
        <v>50831</v>
      </c>
      <c t="s">
        <v>43562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2522" s="1" t="str">
        <f ca="1">HYPERLINK("https://web.datatree.com/?/property?propertyId=32921259", "https://web.datatree.com/?/property?propertyId=32921259")</f>
        <v>https://web.datatree.com/?/property?propertyId=32921259</v>
      </c>
      <c r="Q2522" t="s">
        <v>316</v>
      </c>
      <c>
        <v>0.245</v>
      </c>
      <c t="s">
        <v>5471</v>
      </c>
      <c t="s">
        <v>59344</v>
      </c>
      <c t="s">
        <v>39666</v>
      </c>
      <c t="s">
        <v>41965</v>
      </c>
      <c t="s">
        <v>24432</v>
      </c>
      <c t="s">
        <v>61514</v>
      </c>
      <c t="s">
        <v>5280</v>
      </c>
      <c t="s">
        <v>65059</v>
      </c>
      <c t="s">
        <v>39289</v>
      </c>
      <c>
        <v>33905</v>
      </c>
      <c t="s">
        <v>24997</v>
      </c>
      <c t="s">
        <v>48794</v>
      </c>
      <c t="s">
        <v>28937</v>
      </c>
      <c>
        <v>4975</v>
      </c>
      <c r="AI2522" t="s">
        <v>53512</v>
      </c>
      <c t="s">
        <v>31192</v>
      </c>
      <c>
        <v>103</v>
      </c>
      <c t="s">
        <v>11713</v>
      </c>
      <c r="AN2522" t="s">
        <v>39289</v>
      </c>
      <c t="s">
        <v>45443</v>
      </c>
      <c t="s">
        <v>55873</v>
      </c>
      <c t="s">
        <v>3093</v>
      </c>
      <c t="s">
        <v>42751</v>
      </c>
    </row>
    <row>
      <c t="s">
        <v>17594</v>
      </c>
      <c t="s">
        <v>28123</v>
      </c>
      <c s="7" t="s">
        <v>62915</v>
      </c>
      <c t="s">
        <v>54424</v>
      </c>
      <c t="s">
        <v>41865</v>
      </c>
      <c s="3">
        <v>24480</v>
      </c>
      <c s="3">
        <v>24480</v>
      </c>
      <c s="3">
        <v>11374</v>
      </c>
      <c>
        <v>0</v>
      </c>
      <c s="3">
        <v>0</v>
      </c>
      <c s="3">
        <v>632.95</v>
      </c>
      <c s="3">
        <v>24480</v>
      </c>
      <c r="O2523" s="1" t="str">
        <f ca="1">HYPERLINK("https://web.datatree.com/?/property?propertyId=32922248", "https://web.datatree.com/?/property?propertyId=32922248")</f>
        <v>https://web.datatree.com/?/property?propertyId=32922248</v>
      </c>
      <c r="Q2523" t="s">
        <v>316</v>
      </c>
      <c>
        <v>0.244</v>
      </c>
      <c t="s">
        <v>22490</v>
      </c>
      <c t="s">
        <v>54382</v>
      </c>
      <c t="s">
        <v>57307</v>
      </c>
      <c t="s">
        <v>11805</v>
      </c>
      <c t="s">
        <v>57307</v>
      </c>
      <c t="s">
        <v>61113</v>
      </c>
      <c t="s">
        <v>22731</v>
      </c>
      <c t="s">
        <v>2517</v>
      </c>
      <c t="s">
        <v>39289</v>
      </c>
      <c>
        <v>33909</v>
      </c>
      <c t="s">
        <v>45803</v>
      </c>
      <c t="s">
        <v>48794</v>
      </c>
      <c t="s">
        <v>11763</v>
      </c>
      <c>
        <v>7</v>
      </c>
      <c r="AI2523" t="s">
        <v>14411</v>
      </c>
      <c r="AL2523" t="s">
        <v>60334</v>
      </c>
      <c t="s">
        <v>60334</v>
      </c>
      <c t="s">
        <v>27481</v>
      </c>
      <c>
        <v>53572</v>
      </c>
      <c r="AR2523" s="7" t="s">
        <v>55554</v>
      </c>
    </row>
    <row>
      <c t="s">
        <v>42103</v>
      </c>
      <c t="s">
        <v>15016</v>
      </c>
      <c t="s">
        <v>10161</v>
      </c>
      <c t="s">
        <v>31511</v>
      </c>
      <c t="s">
        <v>50483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2524" s="1" t="str">
        <f ca="1">HYPERLINK("https://web.datatree.com/?/property?propertyId=32923664", "https://web.datatree.com/?/property?propertyId=32923664")</f>
        <v>https://web.datatree.com/?/property?propertyId=32923664</v>
      </c>
      <c r="Q2524" t="s">
        <v>316</v>
      </c>
      <c>
        <v>0.23</v>
      </c>
      <c t="s">
        <v>6175</v>
      </c>
      <c t="s">
        <v>11723</v>
      </c>
      <c t="s">
        <v>55080</v>
      </c>
      <c r="X2524" t="s">
        <v>10347</v>
      </c>
      <c t="s">
        <v>53663</v>
      </c>
      <c t="s">
        <v>2517</v>
      </c>
      <c t="s">
        <v>39289</v>
      </c>
      <c>
        <v>33909</v>
      </c>
      <c t="s">
        <v>4592</v>
      </c>
      <c t="s">
        <v>48794</v>
      </c>
      <c t="s">
        <v>20102</v>
      </c>
      <c r="AI2524" t="s">
        <v>17227</v>
      </c>
      <c r="AL2524" t="s">
        <v>39016</v>
      </c>
      <c r="AN2524" t="s">
        <v>26443</v>
      </c>
      <c>
        <v>52314</v>
      </c>
      <c t="s">
        <v>61509</v>
      </c>
      <c t="s">
        <v>3093</v>
      </c>
      <c t="s">
        <v>11722</v>
      </c>
    </row>
    <row>
      <c t="s">
        <v>17594</v>
      </c>
      <c t="s">
        <v>29192</v>
      </c>
      <c t="s">
        <v>22674</v>
      </c>
      <c t="s">
        <v>66377</v>
      </c>
      <c t="s">
        <v>32350</v>
      </c>
      <c s="3">
        <v>13610</v>
      </c>
      <c s="3">
        <v>13610</v>
      </c>
      <c s="3">
        <v>2803</v>
      </c>
      <c>
        <v>0</v>
      </c>
      <c s="3">
        <v>0</v>
      </c>
      <c s="3">
        <v>104.82</v>
      </c>
      <c s="3">
        <v>13610</v>
      </c>
      <c r="O2525" s="1" t="str">
        <f ca="1">HYPERLINK("https://web.datatree.com/?/property?propertyId=32923713", "https://web.datatree.com/?/property?propertyId=32923713")</f>
        <v>https://web.datatree.com/?/property?propertyId=32923713</v>
      </c>
      <c r="Q2525" t="s">
        <v>316</v>
      </c>
      <c>
        <v>0.228</v>
      </c>
      <c t="s">
        <v>5471</v>
      </c>
      <c t="s">
        <v>24409</v>
      </c>
      <c t="s">
        <v>22657</v>
      </c>
      <c r="X2525" t="s">
        <v>37642</v>
      </c>
      <c t="s">
        <v>23193</v>
      </c>
      <c t="s">
        <v>54524</v>
      </c>
      <c t="s">
        <v>39289</v>
      </c>
      <c>
        <v>33903</v>
      </c>
      <c t="s">
        <v>30908</v>
      </c>
      <c t="s">
        <v>48794</v>
      </c>
      <c t="s">
        <v>32721</v>
      </c>
      <c>
        <v>19</v>
      </c>
      <c r="AI2525" t="s">
        <v>25629</v>
      </c>
      <c t="s">
        <v>31192</v>
      </c>
      <c r="AL2525" t="s">
        <v>28326</v>
      </c>
      <c r="AN2525" t="s">
        <v>26016</v>
      </c>
      <c t="s">
        <v>62634</v>
      </c>
      <c t="s">
        <v>42082</v>
      </c>
      <c t="s">
        <v>3093</v>
      </c>
      <c t="s">
        <v>14160</v>
      </c>
    </row>
    <row>
      <c t="s">
        <v>17594</v>
      </c>
      <c t="s">
        <v>33820</v>
      </c>
      <c t="s">
        <v>18832</v>
      </c>
      <c t="s">
        <v>31750</v>
      </c>
      <c t="s">
        <v>23559</v>
      </c>
      <c s="3">
        <v>525000</v>
      </c>
      <c s="3">
        <v>525000</v>
      </c>
      <c s="3">
        <v>525000</v>
      </c>
      <c>
        <v>0</v>
      </c>
      <c s="3">
        <v>0</v>
      </c>
      <c s="3">
        <v>10011.58</v>
      </c>
      <c s="3">
        <v>525000</v>
      </c>
      <c r="O2526" s="1" t="str">
        <f ca="1">HYPERLINK("https://web.datatree.com/?/property?propertyId=32924795", "https://web.datatree.com/?/property?propertyId=32924795")</f>
        <v>https://web.datatree.com/?/property?propertyId=32924795</v>
      </c>
      <c r="Q2526" t="s">
        <v>316</v>
      </c>
      <c>
        <v>1.492</v>
      </c>
      <c t="s">
        <v>39504</v>
      </c>
      <c t="s">
        <v>52251</v>
      </c>
      <c t="s">
        <v>59962</v>
      </c>
      <c t="s">
        <v>52230</v>
      </c>
      <c t="s">
        <v>59607</v>
      </c>
      <c t="s">
        <v>32730</v>
      </c>
      <c t="s">
        <v>62800</v>
      </c>
      <c t="s">
        <v>2517</v>
      </c>
      <c t="s">
        <v>39289</v>
      </c>
      <c>
        <v>33904</v>
      </c>
      <c>
        <v>33904</v>
      </c>
      <c t="s">
        <v>48794</v>
      </c>
      <c t="s">
        <v>56521</v>
      </c>
      <c>
        <v>34</v>
      </c>
      <c r="AI2526" t="s">
        <v>16292</v>
      </c>
      <c r="AL2526" t="s">
        <v>59458</v>
      </c>
      <c t="s">
        <v>59458</v>
      </c>
      <c t="s">
        <v>26016</v>
      </c>
      <c>
        <v>8832</v>
      </c>
      <c r="AR2526" t="s">
        <v>39200</v>
      </c>
    </row>
    <row>
      <c t="s">
        <v>17594</v>
      </c>
      <c t="s">
        <v>32107</v>
      </c>
      <c t="s">
        <v>26167</v>
      </c>
      <c t="s">
        <v>39120</v>
      </c>
      <c t="s">
        <v>66259</v>
      </c>
      <c s="3">
        <v>49510</v>
      </c>
      <c s="3">
        <v>49510</v>
      </c>
      <c s="3">
        <v>24522</v>
      </c>
      <c>
        <v>0</v>
      </c>
      <c s="3">
        <v>0</v>
      </c>
      <c s="3">
        <v>953.08</v>
      </c>
      <c s="3">
        <v>49510</v>
      </c>
      <c r="O2527" s="1" t="str">
        <f ca="1">HYPERLINK("https://web.datatree.com/?/property?propertyId=32925447", "https://web.datatree.com/?/property?propertyId=32925447")</f>
        <v>https://web.datatree.com/?/property?propertyId=32925447</v>
      </c>
      <c r="Q2527" t="s">
        <v>316</v>
      </c>
      <c>
        <v>0.228</v>
      </c>
      <c t="s">
        <v>22490</v>
      </c>
      <c t="s">
        <v>28262</v>
      </c>
      <c t="s">
        <v>19770</v>
      </c>
      <c r="X2527" t="s">
        <v>48981</v>
      </c>
      <c t="s">
        <v>58797</v>
      </c>
      <c t="s">
        <v>2517</v>
      </c>
      <c t="s">
        <v>39289</v>
      </c>
      <c>
        <v>33909</v>
      </c>
      <c t="s">
        <v>65291</v>
      </c>
      <c t="s">
        <v>48794</v>
      </c>
      <c t="s">
        <v>62624</v>
      </c>
      <c>
        <v>10624</v>
      </c>
      <c r="AI2527" t="s">
        <v>60363</v>
      </c>
      <c t="s">
        <v>55842</v>
      </c>
      <c r="AL2527" t="s">
        <v>29515</v>
      </c>
      <c t="s">
        <v>29515</v>
      </c>
      <c t="s">
        <v>39289</v>
      </c>
      <c t="s">
        <v>56480</v>
      </c>
      <c t="s">
        <v>33856</v>
      </c>
      <c t="s">
        <v>3093</v>
      </c>
      <c t="s">
        <v>28958</v>
      </c>
    </row>
    <row>
      <c t="s">
        <v>17594</v>
      </c>
      <c t="s">
        <v>62005</v>
      </c>
      <c t="s">
        <v>25911</v>
      </c>
      <c t="s">
        <v>30399</v>
      </c>
      <c t="s">
        <v>33476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528" s="1" t="str">
        <f ca="1">HYPERLINK("https://web.datatree.com/?/property?propertyId=32925601", "https://web.datatree.com/?/property?propertyId=32925601")</f>
        <v>https://web.datatree.com/?/property?propertyId=32925601</v>
      </c>
      <c r="Q2528" t="s">
        <v>316</v>
      </c>
      <c>
        <v>0.23</v>
      </c>
      <c t="s">
        <v>6175</v>
      </c>
      <c t="s">
        <v>57485</v>
      </c>
      <c t="s">
        <v>5267</v>
      </c>
      <c r="X2528" t="s">
        <v>10617</v>
      </c>
      <c t="s">
        <v>49122</v>
      </c>
      <c t="s">
        <v>2517</v>
      </c>
      <c t="s">
        <v>39289</v>
      </c>
      <c>
        <v>33909</v>
      </c>
      <c t="s">
        <v>28465</v>
      </c>
      <c t="s">
        <v>48794</v>
      </c>
      <c t="s">
        <v>802</v>
      </c>
      <c>
        <v>42</v>
      </c>
      <c r="AH2528" t="s">
        <v>57851</v>
      </c>
      <c t="s">
        <v>4968</v>
      </c>
      <c t="s">
        <v>45620</v>
      </c>
      <c r="AL2528" t="s">
        <v>674</v>
      </c>
      <c r="AN2528" t="s">
        <v>10909</v>
      </c>
      <c t="s">
        <v>46548</v>
      </c>
      <c r="AQ2528" t="s">
        <v>27814</v>
      </c>
      <c t="s">
        <v>25632</v>
      </c>
    </row>
    <row>
      <c t="s">
        <v>17594</v>
      </c>
      <c t="s">
        <v>22667</v>
      </c>
      <c t="s">
        <v>14668</v>
      </c>
      <c t="s">
        <v>10020</v>
      </c>
      <c t="s">
        <v>66590</v>
      </c>
      <c s="3">
        <v>8600</v>
      </c>
      <c s="3">
        <v>8600</v>
      </c>
      <c s="3">
        <v>8600</v>
      </c>
      <c>
        <v>0</v>
      </c>
      <c s="3">
        <v>0</v>
      </c>
      <c s="3">
        <v>2830.55</v>
      </c>
      <c s="3">
        <v>8600</v>
      </c>
      <c r="O2529" s="1" t="str">
        <f ca="1">HYPERLINK("https://web.datatree.com/?/property?propertyId=32926198", "https://web.datatree.com/?/property?propertyId=32926198")</f>
        <v>https://web.datatree.com/?/property?propertyId=32926198</v>
      </c>
      <c r="Q2529" t="s">
        <v>316</v>
      </c>
      <c>
        <v>0.23</v>
      </c>
      <c t="s">
        <v>6175</v>
      </c>
      <c t="s">
        <v>64427</v>
      </c>
      <c t="s">
        <v>56439</v>
      </c>
      <c r="X2529" t="s">
        <v>13324</v>
      </c>
      <c t="s">
        <v>61865</v>
      </c>
      <c t="s">
        <v>2517</v>
      </c>
      <c t="s">
        <v>39289</v>
      </c>
      <c>
        <v>33909</v>
      </c>
      <c t="s">
        <v>51534</v>
      </c>
      <c t="s">
        <v>48794</v>
      </c>
      <c t="s">
        <v>57476</v>
      </c>
      <c>
        <v>14719</v>
      </c>
      <c r="AI2529" t="s">
        <v>55273</v>
      </c>
      <c t="s">
        <v>40123</v>
      </c>
      <c r="AL2529" t="s">
        <v>25857</v>
      </c>
      <c t="s">
        <v>25857</v>
      </c>
      <c t="s">
        <v>39289</v>
      </c>
      <c t="s">
        <v>32100</v>
      </c>
      <c t="s">
        <v>53660</v>
      </c>
      <c t="s">
        <v>3093</v>
      </c>
      <c t="s">
        <v>50586</v>
      </c>
    </row>
    <row>
      <c t="s">
        <v>17594</v>
      </c>
      <c t="s">
        <v>29184</v>
      </c>
      <c t="s">
        <v>14064</v>
      </c>
      <c t="s">
        <v>8785</v>
      </c>
      <c t="s">
        <v>46624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>
        <v>2020</v>
      </c>
      <c>
        <v>569.32</v>
      </c>
      <c s="1" t="str">
        <f ca="1">HYPERLINK("https://web.datatree.com/?/property?propertyId=32927015", "https://web.datatree.com/?/property?propertyId=32927015")</f>
        <v>https://web.datatree.com/?/property?propertyId=32927015</v>
      </c>
      <c r="Q2530" t="s">
        <v>316</v>
      </c>
      <c>
        <v>0.23</v>
      </c>
      <c t="s">
        <v>22490</v>
      </c>
      <c t="s">
        <v>40268</v>
      </c>
      <c t="s">
        <v>52246</v>
      </c>
      <c r="W2530" t="s">
        <v>21555</v>
      </c>
      <c t="s">
        <v>20930</v>
      </c>
      <c t="s">
        <v>23517</v>
      </c>
      <c t="s">
        <v>2517</v>
      </c>
      <c t="s">
        <v>39289</v>
      </c>
      <c>
        <v>33909</v>
      </c>
      <c t="s">
        <v>23360</v>
      </c>
      <c t="s">
        <v>48794</v>
      </c>
      <c t="s">
        <v>6704</v>
      </c>
      <c>
        <v>1105</v>
      </c>
      <c r="AH2530" t="s">
        <v>26580</v>
      </c>
      <c t="s">
        <v>56489</v>
      </c>
      <c r="AK2530" t="s">
        <v>25384</v>
      </c>
      <c t="s">
        <v>17648</v>
      </c>
      <c r="AN2530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59220</v>
      </c>
      <c t="s">
        <v>43925</v>
      </c>
      <c t="s">
        <v>28300</v>
      </c>
      <c t="s">
        <v>22326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2021</v>
      </c>
      <c>
        <v>348.45</v>
      </c>
      <c s="1" t="str">
        <f ca="1">HYPERLINK("https://web.datatree.com/?/property?propertyId=32927319", "https://web.datatree.com/?/property?propertyId=32927319")</f>
        <v>https://web.datatree.com/?/property?propertyId=32927319</v>
      </c>
      <c r="Q2531" t="s">
        <v>316</v>
      </c>
      <c>
        <v>0.241</v>
      </c>
      <c t="s">
        <v>5471</v>
      </c>
      <c t="s">
        <v>4699</v>
      </c>
      <c t="s">
        <v>5924</v>
      </c>
      <c t="s">
        <v>2466</v>
      </c>
      <c t="s">
        <v>5924</v>
      </c>
      <c t="s">
        <v>7222</v>
      </c>
      <c t="s">
        <v>61415</v>
      </c>
      <c t="s">
        <v>65059</v>
      </c>
      <c t="s">
        <v>39289</v>
      </c>
      <c>
        <v>33905</v>
      </c>
      <c t="s">
        <v>52937</v>
      </c>
      <c t="s">
        <v>48794</v>
      </c>
      <c t="s">
        <v>18603</v>
      </c>
      <c>
        <v>365</v>
      </c>
      <c r="AI2531" t="s">
        <v>46426</v>
      </c>
      <c t="s">
        <v>45620</v>
      </c>
      <c r="AL2531" t="s">
        <v>13650</v>
      </c>
      <c r="AN2531" t="s">
        <v>22275</v>
      </c>
      <c t="s">
        <v>33756</v>
      </c>
      <c t="s">
        <v>44428</v>
      </c>
      <c t="s">
        <v>3093</v>
      </c>
      <c t="s">
        <v>53609</v>
      </c>
    </row>
    <row>
      <c t="s">
        <v>17594</v>
      </c>
      <c t="s">
        <v>63189</v>
      </c>
      <c t="s">
        <v>15229</v>
      </c>
      <c t="s">
        <v>19893</v>
      </c>
      <c t="s">
        <v>50919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2532" s="1" t="str">
        <f ca="1">HYPERLINK("https://web.datatree.com/?/property?propertyId=32928105", "https://web.datatree.com/?/property?propertyId=32928105")</f>
        <v>https://web.datatree.com/?/property?propertyId=32928105</v>
      </c>
      <c r="Q2532" t="s">
        <v>316</v>
      </c>
      <c>
        <v>0.244</v>
      </c>
      <c t="s">
        <v>22490</v>
      </c>
      <c t="s">
        <v>43468</v>
      </c>
      <c t="s">
        <v>19249</v>
      </c>
      <c r="X2532" t="s">
        <v>48533</v>
      </c>
      <c t="s">
        <v>53675</v>
      </c>
      <c t="s">
        <v>2517</v>
      </c>
      <c t="s">
        <v>39289</v>
      </c>
      <c>
        <v>33909</v>
      </c>
      <c t="s">
        <v>2114</v>
      </c>
      <c t="s">
        <v>48794</v>
      </c>
      <c t="s">
        <v>17456</v>
      </c>
      <c>
        <v>9</v>
      </c>
      <c r="AI2532" t="s">
        <v>47175</v>
      </c>
      <c r="AL2532" t="s">
        <v>27860</v>
      </c>
      <c r="AN2532" t="s">
        <v>58733</v>
      </c>
      <c>
        <v>64625</v>
      </c>
      <c r="AR2532" t="s">
        <v>40777</v>
      </c>
    </row>
    <row>
      <c t="s">
        <v>17594</v>
      </c>
      <c t="s">
        <v>49815</v>
      </c>
      <c t="s">
        <v>16812</v>
      </c>
      <c t="s">
        <v>36349</v>
      </c>
      <c t="s">
        <v>44247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2533" s="1" t="str">
        <f ca="1">HYPERLINK("https://web.datatree.com/?/property?propertyId=32928111", "https://web.datatree.com/?/property?propertyId=32928111")</f>
        <v>https://web.datatree.com/?/property?propertyId=32928111</v>
      </c>
      <c r="Q2533" t="s">
        <v>316</v>
      </c>
      <c>
        <v>0.242</v>
      </c>
      <c t="s">
        <v>22490</v>
      </c>
      <c t="s">
        <v>2140</v>
      </c>
      <c t="s">
        <v>64147</v>
      </c>
      <c t="s">
        <v>43826</v>
      </c>
      <c t="s">
        <v>64147</v>
      </c>
      <c t="s">
        <v>25705</v>
      </c>
      <c t="s">
        <v>41506</v>
      </c>
      <c t="s">
        <v>2517</v>
      </c>
      <c t="s">
        <v>39289</v>
      </c>
      <c>
        <v>33909</v>
      </c>
      <c t="s">
        <v>27549</v>
      </c>
      <c t="s">
        <v>48794</v>
      </c>
      <c t="s">
        <v>21367</v>
      </c>
      <c>
        <v>2051</v>
      </c>
      <c r="AI2533" t="s">
        <v>3042</v>
      </c>
      <c t="s">
        <v>41372</v>
      </c>
      <c r="AL2533" t="s">
        <v>8109</v>
      </c>
      <c r="AN2533" t="s">
        <v>50917</v>
      </c>
      <c t="s">
        <v>1782</v>
      </c>
      <c t="s">
        <v>4797</v>
      </c>
      <c t="s">
        <v>3093</v>
      </c>
      <c t="s">
        <v>22544</v>
      </c>
    </row>
    <row>
      <c t="s">
        <v>17594</v>
      </c>
      <c t="s">
        <v>6389</v>
      </c>
      <c t="s">
        <v>23129</v>
      </c>
      <c t="s">
        <v>3374</v>
      </c>
      <c t="s">
        <v>3503</v>
      </c>
      <c s="3">
        <v>7500</v>
      </c>
      <c s="3">
        <v>7500</v>
      </c>
      <c s="3">
        <v>7500</v>
      </c>
      <c>
        <v>0</v>
      </c>
      <c s="3">
        <v>0</v>
      </c>
      <c s="3">
        <v>543.05</v>
      </c>
      <c s="3">
        <v>7500</v>
      </c>
      <c r="O2534" s="1" t="str">
        <f ca="1">HYPERLINK("https://web.datatree.com/?/property?propertyId=32928432", "https://web.datatree.com/?/property?propertyId=32928432")</f>
        <v>https://web.datatree.com/?/property?propertyId=32928432</v>
      </c>
      <c r="Q2534" t="s">
        <v>316</v>
      </c>
      <c>
        <v>0.23</v>
      </c>
      <c t="s">
        <v>42044</v>
      </c>
      <c t="s">
        <v>38352</v>
      </c>
      <c t="s">
        <v>20391</v>
      </c>
      <c t="s">
        <v>42163</v>
      </c>
      <c t="s">
        <v>43112</v>
      </c>
      <c t="s">
        <v>34457</v>
      </c>
      <c t="s">
        <v>61144</v>
      </c>
      <c t="s">
        <v>2517</v>
      </c>
      <c t="s">
        <v>39289</v>
      </c>
      <c>
        <v>33909</v>
      </c>
      <c t="s">
        <v>10212</v>
      </c>
      <c t="s">
        <v>48794</v>
      </c>
      <c t="s">
        <v>15450</v>
      </c>
      <c>
        <v>1434</v>
      </c>
      <c r="AI2534" t="s">
        <v>14979</v>
      </c>
      <c t="s">
        <v>45393</v>
      </c>
      <c r="AL2534" t="s">
        <v>18475</v>
      </c>
      <c t="s">
        <v>25857</v>
      </c>
      <c t="s">
        <v>22275</v>
      </c>
      <c t="s">
        <v>49125</v>
      </c>
      <c t="s">
        <v>19978</v>
      </c>
      <c t="s">
        <v>3093</v>
      </c>
      <c t="s">
        <v>12587</v>
      </c>
    </row>
    <row>
      <c t="s">
        <v>17594</v>
      </c>
      <c t="s">
        <v>1791</v>
      </c>
      <c t="s">
        <v>66026</v>
      </c>
      <c t="s">
        <v>18082</v>
      </c>
      <c t="s">
        <v>17655</v>
      </c>
      <c s="3">
        <v>20733</v>
      </c>
      <c s="3">
        <v>20733</v>
      </c>
      <c s="3">
        <v>10450</v>
      </c>
      <c>
        <v>0</v>
      </c>
      <c s="3">
        <v>0</v>
      </c>
      <c s="3">
        <v>613.35</v>
      </c>
      <c s="3">
        <v>20733</v>
      </c>
      <c r="O2535" s="1" t="str">
        <f ca="1">HYPERLINK("https://web.datatree.com/?/property?propertyId=32928474", "https://web.datatree.com/?/property?propertyId=32928474")</f>
        <v>https://web.datatree.com/?/property?propertyId=32928474</v>
      </c>
      <c r="Q2535" t="s">
        <v>316</v>
      </c>
      <c>
        <v>0.244</v>
      </c>
      <c t="s">
        <v>45031</v>
      </c>
      <c t="s">
        <v>21552</v>
      </c>
      <c t="s">
        <v>34217</v>
      </c>
      <c t="s">
        <v>18799</v>
      </c>
      <c t="s">
        <v>34217</v>
      </c>
      <c t="s">
        <v>53372</v>
      </c>
      <c t="s">
        <v>47150</v>
      </c>
      <c t="s">
        <v>2517</v>
      </c>
      <c t="s">
        <v>39289</v>
      </c>
      <c>
        <v>33909</v>
      </c>
      <c t="s">
        <v>10414</v>
      </c>
      <c t="s">
        <v>48794</v>
      </c>
      <c t="s">
        <v>37626</v>
      </c>
      <c>
        <v>1018</v>
      </c>
      <c r="AI2535" t="s">
        <v>35789</v>
      </c>
      <c t="s">
        <v>31192</v>
      </c>
      <c r="AL2535" t="s">
        <v>23788</v>
      </c>
      <c t="s">
        <v>23788</v>
      </c>
      <c t="s">
        <v>19878</v>
      </c>
      <c t="s">
        <v>35687</v>
      </c>
      <c t="s">
        <v>864</v>
      </c>
      <c t="s">
        <v>3093</v>
      </c>
      <c t="s">
        <v>65763</v>
      </c>
    </row>
    <row>
      <c t="s">
        <v>17594</v>
      </c>
      <c t="s">
        <v>56816</v>
      </c>
      <c t="s">
        <v>38566</v>
      </c>
      <c t="s">
        <v>19429</v>
      </c>
      <c t="s">
        <v>55807</v>
      </c>
      <c s="3">
        <v>41000</v>
      </c>
      <c s="3">
        <v>41000</v>
      </c>
      <c s="3">
        <v>13310</v>
      </c>
      <c>
        <v>0</v>
      </c>
      <c s="3">
        <v>0</v>
      </c>
      <c s="3">
        <v>867.99</v>
      </c>
      <c s="3">
        <v>41000</v>
      </c>
      <c r="O2536" s="1" t="str">
        <f ca="1">HYPERLINK("https://web.datatree.com/?/property?propertyId=32928882", "https://web.datatree.com/?/property?propertyId=32928882")</f>
        <v>https://web.datatree.com/?/property?propertyId=32928882</v>
      </c>
      <c r="Q2536" t="s">
        <v>316</v>
      </c>
      <c>
        <v>0.23</v>
      </c>
      <c t="s">
        <v>14479</v>
      </c>
      <c t="s">
        <v>43746</v>
      </c>
      <c t="s">
        <v>56511</v>
      </c>
      <c t="s">
        <v>23807</v>
      </c>
      <c t="s">
        <v>13197</v>
      </c>
      <c t="s">
        <v>11707</v>
      </c>
      <c t="s">
        <v>10653</v>
      </c>
      <c t="s">
        <v>2517</v>
      </c>
      <c t="s">
        <v>39289</v>
      </c>
      <c>
        <v>33909</v>
      </c>
      <c>
        <v>33909</v>
      </c>
      <c t="s">
        <v>48794</v>
      </c>
      <c t="s">
        <v>30382</v>
      </c>
      <c>
        <v>1700</v>
      </c>
      <c r="AI2536" t="s">
        <v>18318</v>
      </c>
      <c t="s">
        <v>24900</v>
      </c>
      <c r="AL2536" t="s">
        <v>20927</v>
      </c>
      <c r="AN2536" t="s">
        <v>19878</v>
      </c>
      <c t="s">
        <v>45380</v>
      </c>
      <c t="s">
        <v>45980</v>
      </c>
      <c t="s">
        <v>3093</v>
      </c>
      <c t="s">
        <v>5734</v>
      </c>
    </row>
    <row>
      <c t="s">
        <v>17594</v>
      </c>
      <c t="s">
        <v>53826</v>
      </c>
      <c t="s">
        <v>61982</v>
      </c>
      <c t="s">
        <v>21070</v>
      </c>
      <c t="s">
        <v>18234</v>
      </c>
      <c s="3">
        <v>60983</v>
      </c>
      <c s="3">
        <v>60983</v>
      </c>
      <c s="3">
        <v>45920</v>
      </c>
      <c>
        <v>0</v>
      </c>
      <c s="3">
        <v>0</v>
      </c>
      <c s="3">
        <v>1356.9</v>
      </c>
      <c s="3">
        <v>60983</v>
      </c>
      <c r="O2537" s="1" t="str">
        <f ca="1">HYPERLINK("https://web.datatree.com/?/property?propertyId=32928904", "https://web.datatree.com/?/property?propertyId=32928904")</f>
        <v>https://web.datatree.com/?/property?propertyId=32928904</v>
      </c>
      <c r="Q2537" t="s">
        <v>316</v>
      </c>
      <c>
        <v>0.344</v>
      </c>
      <c t="s">
        <v>22490</v>
      </c>
      <c t="s">
        <v>23659</v>
      </c>
      <c t="s">
        <v>39408</v>
      </c>
      <c r="X2537" t="s">
        <v>34039</v>
      </c>
      <c t="s">
        <v>25017</v>
      </c>
      <c t="s">
        <v>2517</v>
      </c>
      <c t="s">
        <v>39289</v>
      </c>
      <c>
        <v>33909</v>
      </c>
      <c t="s">
        <v>41153</v>
      </c>
      <c t="s">
        <v>48794</v>
      </c>
      <c t="s">
        <v>20477</v>
      </c>
      <c>
        <v>3519</v>
      </c>
      <c r="AI2537" t="s">
        <v>60120</v>
      </c>
      <c t="s">
        <v>31192</v>
      </c>
      <c r="AL2537" t="s">
        <v>48873</v>
      </c>
      <c r="AN2537" t="s">
        <v>14798</v>
      </c>
      <c t="s">
        <v>46387</v>
      </c>
      <c t="s">
        <v>5652</v>
      </c>
      <c t="s">
        <v>3093</v>
      </c>
      <c t="s">
        <v>59456</v>
      </c>
    </row>
    <row>
      <c t="s">
        <v>17594</v>
      </c>
      <c t="s">
        <v>28601</v>
      </c>
      <c t="s">
        <v>3167</v>
      </c>
      <c t="s">
        <v>41376</v>
      </c>
      <c t="s">
        <v>29410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538" s="1" t="str">
        <f ca="1">HYPERLINK("https://web.datatree.com/?/property?propertyId=32929131", "https://web.datatree.com/?/property?propertyId=32929131")</f>
        <v>https://web.datatree.com/?/property?propertyId=32929131</v>
      </c>
      <c r="Q2538" t="s">
        <v>316</v>
      </c>
      <c>
        <v>0.23</v>
      </c>
      <c t="s">
        <v>22490</v>
      </c>
      <c t="s">
        <v>1859</v>
      </c>
      <c t="s">
        <v>36753</v>
      </c>
      <c r="X2538" t="s">
        <v>26767</v>
      </c>
      <c t="s">
        <v>66701</v>
      </c>
      <c t="s">
        <v>2517</v>
      </c>
      <c t="s">
        <v>39289</v>
      </c>
      <c>
        <v>33909</v>
      </c>
      <c t="s">
        <v>61226</v>
      </c>
      <c t="s">
        <v>48794</v>
      </c>
      <c t="s">
        <v>37558</v>
      </c>
      <c>
        <v>172</v>
      </c>
      <c r="AI2538" t="s">
        <v>26908</v>
      </c>
      <c t="s">
        <v>31192</v>
      </c>
      <c r="AL2538" t="s">
        <v>5040</v>
      </c>
      <c t="s">
        <v>5040</v>
      </c>
      <c t="s">
        <v>14509</v>
      </c>
      <c t="s">
        <v>36678</v>
      </c>
      <c t="s">
        <v>15968</v>
      </c>
      <c t="s">
        <v>3093</v>
      </c>
      <c t="s">
        <v>56527</v>
      </c>
    </row>
    <row>
      <c t="s">
        <v>17594</v>
      </c>
      <c t="s">
        <v>22992</v>
      </c>
      <c t="s">
        <v>50578</v>
      </c>
      <c t="s">
        <v>51807</v>
      </c>
      <c t="s">
        <v>21850</v>
      </c>
      <c s="3">
        <v>41000</v>
      </c>
      <c s="3">
        <v>41000</v>
      </c>
      <c s="3">
        <v>15400</v>
      </c>
      <c>
        <v>0</v>
      </c>
      <c s="3">
        <v>0</v>
      </c>
      <c s="3">
        <v>759.98</v>
      </c>
      <c s="3">
        <v>41000</v>
      </c>
      <c r="O2539" s="1" t="str">
        <f ca="1">HYPERLINK("https://web.datatree.com/?/property?propertyId=32929651", "https://web.datatree.com/?/property?propertyId=32929651")</f>
        <v>https://web.datatree.com/?/property?propertyId=32929651</v>
      </c>
      <c r="Q2539" t="s">
        <v>316</v>
      </c>
      <c>
        <v>0.23</v>
      </c>
      <c t="s">
        <v>14479</v>
      </c>
      <c r="U2539" t="s">
        <v>8360</v>
      </c>
      <c r="W2539" t="s">
        <v>53522</v>
      </c>
      <c t="s">
        <v>42775</v>
      </c>
      <c t="s">
        <v>39082</v>
      </c>
      <c t="s">
        <v>2517</v>
      </c>
      <c t="s">
        <v>39289</v>
      </c>
      <c>
        <v>33909</v>
      </c>
      <c t="s">
        <v>31566</v>
      </c>
      <c t="s">
        <v>48794</v>
      </c>
      <c t="s">
        <v>14639</v>
      </c>
      <c>
        <v>4414</v>
      </c>
      <c r="AI2539" t="s">
        <v>27778</v>
      </c>
      <c t="s">
        <v>40123</v>
      </c>
      <c r="AL2539" t="s">
        <v>5584</v>
      </c>
      <c t="s">
        <v>5584</v>
      </c>
      <c t="s">
        <v>49572</v>
      </c>
      <c t="s">
        <v>46109</v>
      </c>
      <c t="s">
        <v>3228</v>
      </c>
      <c t="s">
        <v>3093</v>
      </c>
      <c t="s">
        <v>30219</v>
      </c>
    </row>
    <row>
      <c t="s">
        <v>17594</v>
      </c>
      <c t="s">
        <v>30071</v>
      </c>
      <c t="s">
        <v>50812</v>
      </c>
      <c t="s">
        <v>29059</v>
      </c>
      <c t="s">
        <v>56428</v>
      </c>
      <c s="3">
        <v>74599</v>
      </c>
      <c s="3">
        <v>67250</v>
      </c>
      <c s="3">
        <v>70784</v>
      </c>
      <c>
        <v>0</v>
      </c>
      <c s="3">
        <v>0</v>
      </c>
      <c s="3">
        <v>1085.84</v>
      </c>
      <c s="3">
        <v>74599</v>
      </c>
      <c r="O2540" s="1" t="str">
        <f ca="1">HYPERLINK("https://web.datatree.com/?/property?propertyId=32930057", "https://web.datatree.com/?/property?propertyId=32930057")</f>
        <v>https://web.datatree.com/?/property?propertyId=32930057</v>
      </c>
      <c r="Q2540" t="s">
        <v>316</v>
      </c>
      <c>
        <v>0.108</v>
      </c>
      <c t="s">
        <v>26492</v>
      </c>
      <c r="U2540" t="s">
        <v>38033</v>
      </c>
      <c r="W2540" t="s">
        <v>40901</v>
      </c>
      <c t="s">
        <v>11098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9006</v>
      </c>
      <c>
        <v>1125</v>
      </c>
      <c r="AI2540" t="s">
        <v>40821</v>
      </c>
      <c t="s">
        <v>55842</v>
      </c>
      <c r="AL2540" t="s">
        <v>14309</v>
      </c>
      <c t="s">
        <v>40227</v>
      </c>
      <c t="s">
        <v>19878</v>
      </c>
      <c t="s">
        <v>19856</v>
      </c>
      <c t="s">
        <v>61564</v>
      </c>
      <c t="s">
        <v>3093</v>
      </c>
      <c t="s">
        <v>36712</v>
      </c>
    </row>
    <row>
      <c t="s">
        <v>17594</v>
      </c>
      <c t="s">
        <v>56974</v>
      </c>
      <c t="s">
        <v>25484</v>
      </c>
      <c t="s">
        <v>42776</v>
      </c>
      <c t="s">
        <v>42337</v>
      </c>
      <c s="3">
        <v>45570</v>
      </c>
      <c s="3">
        <v>45570</v>
      </c>
      <c s="3">
        <v>36075</v>
      </c>
      <c>
        <v>0</v>
      </c>
      <c s="3">
        <v>0</v>
      </c>
      <c s="3">
        <v>1079.73</v>
      </c>
      <c s="3">
        <v>45570</v>
      </c>
      <c r="O2541" s="1" t="str">
        <f ca="1">HYPERLINK("https://web.datatree.com/?/property?propertyId=32930122", "https://web.datatree.com/?/property?propertyId=32930122")</f>
        <v>https://web.datatree.com/?/property?propertyId=32930122</v>
      </c>
      <c r="Q2541" t="s">
        <v>316</v>
      </c>
      <c>
        <v>0.23</v>
      </c>
      <c t="s">
        <v>22490</v>
      </c>
      <c t="s">
        <v>65985</v>
      </c>
      <c t="s">
        <v>12385</v>
      </c>
      <c t="s">
        <v>1859</v>
      </c>
      <c t="s">
        <v>45897</v>
      </c>
      <c t="s">
        <v>62609</v>
      </c>
      <c t="s">
        <v>7959</v>
      </c>
      <c t="s">
        <v>2517</v>
      </c>
      <c t="s">
        <v>39289</v>
      </c>
      <c>
        <v>33904</v>
      </c>
      <c t="s">
        <v>25033</v>
      </c>
      <c t="s">
        <v>48794</v>
      </c>
      <c t="s">
        <v>34764</v>
      </c>
      <c>
        <v>1264</v>
      </c>
      <c r="AI2541" t="s">
        <v>66683</v>
      </c>
      <c r="AL2541" t="s">
        <v>60324</v>
      </c>
      <c r="AN2541" t="s">
        <v>26016</v>
      </c>
      <c t="s">
        <v>336</v>
      </c>
      <c t="s">
        <v>22455</v>
      </c>
      <c t="s">
        <v>3093</v>
      </c>
      <c t="s">
        <v>52524</v>
      </c>
    </row>
    <row>
      <c t="s">
        <v>17594</v>
      </c>
      <c t="s">
        <v>42175</v>
      </c>
      <c t="s">
        <v>58610</v>
      </c>
      <c t="s">
        <v>44957</v>
      </c>
      <c t="s">
        <v>9348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542" s="1" t="str">
        <f ca="1">HYPERLINK("https://web.datatree.com/?/property?propertyId=32930556", "https://web.datatree.com/?/property?propertyId=32930556")</f>
        <v>https://web.datatree.com/?/property?propertyId=32930556</v>
      </c>
      <c r="Q2542" t="s">
        <v>316</v>
      </c>
      <c>
        <v>0.23</v>
      </c>
      <c t="s">
        <v>22490</v>
      </c>
      <c t="s">
        <v>50463</v>
      </c>
      <c t="s">
        <v>47315</v>
      </c>
      <c r="X2542" t="s">
        <v>22918</v>
      </c>
      <c t="s">
        <v>53675</v>
      </c>
      <c t="s">
        <v>2517</v>
      </c>
      <c t="s">
        <v>39289</v>
      </c>
      <c>
        <v>33909</v>
      </c>
      <c t="s">
        <v>262</v>
      </c>
      <c t="s">
        <v>48794</v>
      </c>
      <c t="s">
        <v>57115</v>
      </c>
      <c>
        <v>7108</v>
      </c>
      <c r="AH2542" t="s">
        <v>60953</v>
      </c>
      <c t="s">
        <v>47121</v>
      </c>
      <c t="s">
        <v>45393</v>
      </c>
      <c r="AL2542" t="s">
        <v>29275</v>
      </c>
      <c r="AN2542" t="s">
        <v>34191</v>
      </c>
      <c t="s">
        <v>62363</v>
      </c>
      <c t="s">
        <v>27780</v>
      </c>
      <c t="s">
        <v>3093</v>
      </c>
      <c t="s">
        <v>52735</v>
      </c>
    </row>
    <row>
      <c t="s">
        <v>17594</v>
      </c>
      <c t="s">
        <v>43343</v>
      </c>
      <c t="s">
        <v>6452</v>
      </c>
      <c t="s">
        <v>17902</v>
      </c>
      <c t="s">
        <v>13312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543" s="1" t="str">
        <f ca="1">HYPERLINK("https://web.datatree.com/?/property?propertyId=32931621", "https://web.datatree.com/?/property?propertyId=32931621")</f>
        <v>https://web.datatree.com/?/property?propertyId=32931621</v>
      </c>
      <c r="Q2543" t="s">
        <v>316</v>
      </c>
      <c>
        <v>0.23</v>
      </c>
      <c t="s">
        <v>22490</v>
      </c>
      <c t="s">
        <v>27704</v>
      </c>
      <c t="s">
        <v>50622</v>
      </c>
      <c t="s">
        <v>21379</v>
      </c>
      <c t="s">
        <v>50622</v>
      </c>
      <c t="s">
        <v>32930</v>
      </c>
      <c t="s">
        <v>2619</v>
      </c>
      <c t="s">
        <v>2517</v>
      </c>
      <c t="s">
        <v>39289</v>
      </c>
      <c>
        <v>33909</v>
      </c>
      <c t="s">
        <v>49833</v>
      </c>
      <c t="s">
        <v>48794</v>
      </c>
      <c t="s">
        <v>64132</v>
      </c>
      <c>
        <v>7</v>
      </c>
      <c r="AI2543" t="s">
        <v>52157</v>
      </c>
      <c t="s">
        <v>1671</v>
      </c>
      <c r="AL2543" t="s">
        <v>46211</v>
      </c>
      <c r="AN2543" t="s">
        <v>27747</v>
      </c>
      <c t="s">
        <v>16915</v>
      </c>
      <c t="s">
        <v>38085</v>
      </c>
      <c t="s">
        <v>3093</v>
      </c>
      <c t="s">
        <v>6210</v>
      </c>
    </row>
    <row>
      <c t="s">
        <v>17594</v>
      </c>
      <c t="s">
        <v>7783</v>
      </c>
      <c t="s">
        <v>6750</v>
      </c>
      <c t="s">
        <v>10894</v>
      </c>
      <c t="s">
        <v>60731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2544" s="1" t="str">
        <f ca="1">HYPERLINK("https://web.datatree.com/?/property?propertyId=32931939", "https://web.datatree.com/?/property?propertyId=32931939")</f>
        <v>https://web.datatree.com/?/property?propertyId=32931939</v>
      </c>
      <c r="Q2544" t="s">
        <v>316</v>
      </c>
      <c>
        <v>0.23</v>
      </c>
      <c t="s">
        <v>65422</v>
      </c>
      <c t="s">
        <v>59452</v>
      </c>
      <c t="s">
        <v>16613</v>
      </c>
      <c r="X2544" t="s">
        <v>37068</v>
      </c>
      <c t="s">
        <v>13478</v>
      </c>
      <c t="s">
        <v>2517</v>
      </c>
      <c t="s">
        <v>39289</v>
      </c>
      <c>
        <v>33909</v>
      </c>
      <c t="s">
        <v>2991</v>
      </c>
      <c t="s">
        <v>48794</v>
      </c>
      <c t="s">
        <v>14890</v>
      </c>
      <c t="str">
        <f>"219-2"</f>
        <v>219-2</v>
      </c>
      <c r="AI2544" t="s">
        <v>54972</v>
      </c>
      <c r="AL2544" t="s">
        <v>44156</v>
      </c>
      <c r="AN2544" t="s">
        <v>18507</v>
      </c>
      <c>
        <v>224</v>
      </c>
      <c r="AR2544" t="s">
        <v>62461</v>
      </c>
    </row>
    <row>
      <c t="s">
        <v>42103</v>
      </c>
      <c t="s">
        <v>42896</v>
      </c>
      <c t="s">
        <v>23826</v>
      </c>
      <c t="s">
        <v>14285</v>
      </c>
      <c t="s">
        <v>29675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2545" s="1" t="str">
        <f ca="1">HYPERLINK("https://web.datatree.com/?/property?propertyId=32932404", "https://web.datatree.com/?/property?propertyId=32932404")</f>
        <v>https://web.datatree.com/?/property?propertyId=32932404</v>
      </c>
      <c r="Q2545" t="s">
        <v>316</v>
      </c>
      <c>
        <v>0.23</v>
      </c>
      <c t="s">
        <v>22490</v>
      </c>
      <c t="s">
        <v>58112</v>
      </c>
      <c t="s">
        <v>22736</v>
      </c>
      <c t="s">
        <v>63605</v>
      </c>
      <c t="s">
        <v>22736</v>
      </c>
      <c t="s">
        <v>12595</v>
      </c>
      <c t="s">
        <v>38550</v>
      </c>
      <c t="s">
        <v>2517</v>
      </c>
      <c t="s">
        <v>39289</v>
      </c>
      <c>
        <v>33909</v>
      </c>
      <c t="s">
        <v>50393</v>
      </c>
      <c t="s">
        <v>48794</v>
      </c>
      <c t="s">
        <v>37326</v>
      </c>
      <c r="AI2545" t="s">
        <v>21750</v>
      </c>
      <c r="AL2545" t="s">
        <v>35711</v>
      </c>
      <c t="s">
        <v>37333</v>
      </c>
      <c t="s">
        <v>51137</v>
      </c>
      <c>
        <v>48003</v>
      </c>
      <c t="s">
        <v>652</v>
      </c>
      <c t="s">
        <v>3093</v>
      </c>
      <c t="s">
        <v>62018</v>
      </c>
    </row>
    <row>
      <c t="s">
        <v>17594</v>
      </c>
      <c t="s">
        <v>32907</v>
      </c>
      <c s="2" t="s">
        <v>15597</v>
      </c>
      <c t="s">
        <v>16340</v>
      </c>
      <c t="s">
        <v>50752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2546" s="1" t="str">
        <f ca="1">HYPERLINK("https://web.datatree.com/?/property?propertyId=32932615", "https://web.datatree.com/?/property?propertyId=32932615")</f>
        <v>https://web.datatree.com/?/property?propertyId=32932615</v>
      </c>
      <c r="Q2546" t="s">
        <v>316</v>
      </c>
      <c>
        <v>0.23</v>
      </c>
      <c t="s">
        <v>6175</v>
      </c>
      <c t="s">
        <v>28354</v>
      </c>
      <c t="s">
        <v>27555</v>
      </c>
      <c r="X2546" t="s">
        <v>56029</v>
      </c>
      <c t="s">
        <v>38550</v>
      </c>
      <c t="s">
        <v>2517</v>
      </c>
      <c t="s">
        <v>39289</v>
      </c>
      <c>
        <v>33909</v>
      </c>
      <c t="s">
        <v>7160</v>
      </c>
      <c t="s">
        <v>48794</v>
      </c>
      <c t="s">
        <v>30877</v>
      </c>
      <c>
        <v>58</v>
      </c>
      <c r="AI2546" t="s">
        <v>43642</v>
      </c>
      <c t="s">
        <v>31192</v>
      </c>
      <c r="AL2546" t="s">
        <v>54786</v>
      </c>
      <c r="AN2546" t="s">
        <v>14509</v>
      </c>
      <c t="s">
        <v>533</v>
      </c>
      <c t="s">
        <v>62983</v>
      </c>
      <c t="s">
        <v>3093</v>
      </c>
      <c s="2" t="s">
        <v>56845</v>
      </c>
    </row>
    <row>
      <c t="s">
        <v>17594</v>
      </c>
      <c t="s">
        <v>17998</v>
      </c>
      <c t="s">
        <v>45167</v>
      </c>
      <c t="s">
        <v>65110</v>
      </c>
      <c t="s">
        <v>63373</v>
      </c>
      <c s="3">
        <v>24566</v>
      </c>
      <c s="3">
        <v>24566</v>
      </c>
      <c s="3">
        <v>10956</v>
      </c>
      <c>
        <v>0</v>
      </c>
      <c s="3">
        <v>0</v>
      </c>
      <c s="3">
        <v>717.52</v>
      </c>
      <c s="3">
        <v>24566</v>
      </c>
      <c r="O2547" s="1" t="str">
        <f ca="1">HYPERLINK("https://web.datatree.com/?/property?propertyId=32932769", "https://web.datatree.com/?/property?propertyId=32932769")</f>
        <v>https://web.datatree.com/?/property?propertyId=32932769</v>
      </c>
      <c r="Q2547" t="s">
        <v>316</v>
      </c>
      <c>
        <v>0.344</v>
      </c>
      <c t="s">
        <v>45031</v>
      </c>
      <c t="s">
        <v>28705</v>
      </c>
      <c t="s">
        <v>21306</v>
      </c>
      <c t="s">
        <v>61255</v>
      </c>
      <c t="s">
        <v>21306</v>
      </c>
      <c t="s">
        <v>62305</v>
      </c>
      <c t="s">
        <v>10653</v>
      </c>
      <c t="s">
        <v>2517</v>
      </c>
      <c t="s">
        <v>39289</v>
      </c>
      <c>
        <v>33909</v>
      </c>
      <c>
        <v>33909</v>
      </c>
      <c t="s">
        <v>48794</v>
      </c>
      <c t="s">
        <v>22625</v>
      </c>
      <c>
        <v>12</v>
      </c>
      <c r="AI2547" t="s">
        <v>33395</v>
      </c>
      <c t="s">
        <v>45393</v>
      </c>
      <c r="AL2547" t="s">
        <v>40821</v>
      </c>
      <c r="AN2547" t="s">
        <v>27747</v>
      </c>
      <c t="s">
        <v>10303</v>
      </c>
      <c t="s">
        <v>14695</v>
      </c>
      <c t="s">
        <v>3093</v>
      </c>
      <c t="s">
        <v>24452</v>
      </c>
    </row>
    <row>
      <c t="s">
        <v>17594</v>
      </c>
      <c t="s">
        <v>30878</v>
      </c>
      <c t="s">
        <v>36310</v>
      </c>
      <c t="s">
        <v>10461</v>
      </c>
      <c t="s">
        <v>1221</v>
      </c>
      <c s="3">
        <v>41248</v>
      </c>
      <c s="3">
        <v>41248</v>
      </c>
      <c s="3">
        <v>35200</v>
      </c>
      <c>
        <v>0</v>
      </c>
      <c s="3">
        <v>0</v>
      </c>
      <c s="3">
        <v>1024.65</v>
      </c>
      <c s="3">
        <v>41248</v>
      </c>
      <c r="O2548" s="1" t="str">
        <f ca="1">HYPERLINK("https://web.datatree.com/?/property?propertyId=32933123", "https://web.datatree.com/?/property?propertyId=32933123")</f>
        <v>https://web.datatree.com/?/property?propertyId=32933123</v>
      </c>
      <c r="Q2548" t="s">
        <v>316</v>
      </c>
      <c>
        <v>0.23</v>
      </c>
      <c t="s">
        <v>22490</v>
      </c>
      <c t="s">
        <v>11810</v>
      </c>
      <c t="s">
        <v>7946</v>
      </c>
      <c t="s">
        <v>24760</v>
      </c>
      <c t="s">
        <v>21455</v>
      </c>
      <c t="s">
        <v>56391</v>
      </c>
      <c t="s">
        <v>22731</v>
      </c>
      <c t="s">
        <v>2517</v>
      </c>
      <c t="s">
        <v>39289</v>
      </c>
      <c>
        <v>33909</v>
      </c>
      <c t="s">
        <v>57208</v>
      </c>
      <c t="s">
        <v>48794</v>
      </c>
      <c t="s">
        <v>41270</v>
      </c>
      <c>
        <v>19308</v>
      </c>
      <c r="AI2548" t="s">
        <v>53675</v>
      </c>
      <c t="s">
        <v>41372</v>
      </c>
      <c r="AL2548" t="s">
        <v>55393</v>
      </c>
      <c t="s">
        <v>46784</v>
      </c>
      <c t="s">
        <v>39289</v>
      </c>
      <c t="s">
        <v>18966</v>
      </c>
      <c t="s">
        <v>7062</v>
      </c>
      <c t="s">
        <v>3093</v>
      </c>
      <c t="s">
        <v>65231</v>
      </c>
    </row>
    <row>
      <c t="s">
        <v>17594</v>
      </c>
      <c t="s">
        <v>61645</v>
      </c>
      <c t="s">
        <v>61516</v>
      </c>
      <c t="s">
        <v>55799</v>
      </c>
      <c t="s">
        <v>51147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549" s="1" t="str">
        <f ca="1">HYPERLINK("https://web.datatree.com/?/property?propertyId=32933703", "https://web.datatree.com/?/property?propertyId=32933703")</f>
        <v>https://web.datatree.com/?/property?propertyId=32933703</v>
      </c>
      <c r="Q2549" t="s">
        <v>316</v>
      </c>
      <c>
        <v>0.23</v>
      </c>
      <c t="s">
        <v>45031</v>
      </c>
      <c t="s">
        <v>2140</v>
      </c>
      <c t="s">
        <v>55509</v>
      </c>
      <c t="s">
        <v>2140</v>
      </c>
      <c r="X2549" t="s">
        <v>31786</v>
      </c>
      <c t="s">
        <v>38550</v>
      </c>
      <c t="s">
        <v>2517</v>
      </c>
      <c t="s">
        <v>39289</v>
      </c>
      <c>
        <v>33909</v>
      </c>
      <c t="s">
        <v>34695</v>
      </c>
      <c t="s">
        <v>48794</v>
      </c>
      <c t="s">
        <v>6693</v>
      </c>
      <c>
        <v>530</v>
      </c>
      <c r="AI2549" t="s">
        <v>67195</v>
      </c>
      <c t="s">
        <v>45620</v>
      </c>
      <c r="AL2549" t="s">
        <v>63751</v>
      </c>
      <c r="AN2549" t="s">
        <v>58733</v>
      </c>
      <c t="s">
        <v>1650</v>
      </c>
      <c t="s">
        <v>65529</v>
      </c>
      <c t="s">
        <v>3093</v>
      </c>
      <c t="s">
        <v>40742</v>
      </c>
    </row>
    <row>
      <c t="s">
        <v>17594</v>
      </c>
      <c t="s">
        <v>45470</v>
      </c>
      <c t="s">
        <v>11855</v>
      </c>
      <c t="s">
        <v>15576</v>
      </c>
      <c t="s">
        <v>57434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550" s="1" t="str">
        <f ca="1">HYPERLINK("https://web.datatree.com/?/property?propertyId=32935134", "https://web.datatree.com/?/property?propertyId=32935134")</f>
        <v>https://web.datatree.com/?/property?propertyId=32935134</v>
      </c>
      <c r="Q2550" t="s">
        <v>316</v>
      </c>
      <c>
        <v>0.23</v>
      </c>
      <c t="s">
        <v>22490</v>
      </c>
      <c t="s">
        <v>1859</v>
      </c>
      <c t="s">
        <v>30484</v>
      </c>
      <c t="s">
        <v>32162</v>
      </c>
      <c t="s">
        <v>1859</v>
      </c>
      <c t="s">
        <v>39733</v>
      </c>
      <c t="s">
        <v>39082</v>
      </c>
      <c t="s">
        <v>2517</v>
      </c>
      <c t="s">
        <v>39289</v>
      </c>
      <c>
        <v>33909</v>
      </c>
      <c t="s">
        <v>13353</v>
      </c>
      <c t="s">
        <v>48794</v>
      </c>
      <c t="s">
        <v>37186</v>
      </c>
      <c>
        <v>15026</v>
      </c>
      <c r="AI2550" t="s">
        <v>2641</v>
      </c>
      <c t="s">
        <v>55842</v>
      </c>
      <c r="AL2550" t="s">
        <v>14261</v>
      </c>
      <c t="s">
        <v>14261</v>
      </c>
      <c t="s">
        <v>18236</v>
      </c>
      <c t="s">
        <v>18862</v>
      </c>
      <c t="s">
        <v>58110</v>
      </c>
      <c t="s">
        <v>3093</v>
      </c>
      <c t="s">
        <v>52836</v>
      </c>
    </row>
    <row>
      <c t="s">
        <v>17594</v>
      </c>
      <c t="s">
        <v>48127</v>
      </c>
      <c t="s">
        <v>27058</v>
      </c>
      <c t="s">
        <v>65101</v>
      </c>
      <c t="s">
        <v>50371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2551" s="1" t="str">
        <f ca="1">HYPERLINK("https://web.datatree.com/?/property?propertyId=32935362", "https://web.datatree.com/?/property?propertyId=32935362")</f>
        <v>https://web.datatree.com/?/property?propertyId=32935362</v>
      </c>
      <c r="Q2551" t="s">
        <v>316</v>
      </c>
      <c>
        <v>0.23</v>
      </c>
      <c t="s">
        <v>45031</v>
      </c>
      <c t="s">
        <v>3293</v>
      </c>
      <c t="s">
        <v>14683</v>
      </c>
      <c t="s">
        <v>54573</v>
      </c>
      <c t="s">
        <v>14683</v>
      </c>
      <c t="s">
        <v>61712</v>
      </c>
      <c t="s">
        <v>18679</v>
      </c>
      <c t="s">
        <v>2517</v>
      </c>
      <c t="s">
        <v>39289</v>
      </c>
      <c>
        <v>33909</v>
      </c>
      <c t="s">
        <v>63886</v>
      </c>
      <c t="s">
        <v>48794</v>
      </c>
      <c t="s">
        <v>22367</v>
      </c>
      <c>
        <v>1000</v>
      </c>
      <c r="AI2551" t="s">
        <v>2626</v>
      </c>
      <c t="s">
        <v>24900</v>
      </c>
      <c r="AL2551" t="s">
        <v>6640</v>
      </c>
      <c r="AN2551" t="s">
        <v>26016</v>
      </c>
      <c t="s">
        <v>5513</v>
      </c>
      <c t="s">
        <v>49842</v>
      </c>
      <c t="s">
        <v>3093</v>
      </c>
      <c t="s">
        <v>36512</v>
      </c>
    </row>
    <row>
      <c t="s">
        <v>17594</v>
      </c>
      <c t="s">
        <v>51690</v>
      </c>
      <c t="s">
        <v>20532</v>
      </c>
      <c t="s">
        <v>58255</v>
      </c>
      <c t="s">
        <v>56481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2552" s="1" t="str">
        <f ca="1">HYPERLINK("https://web.datatree.com/?/property?propertyId=32935664", "https://web.datatree.com/?/property?propertyId=32935664")</f>
        <v>https://web.datatree.com/?/property?propertyId=32935664</v>
      </c>
      <c r="Q2552" t="s">
        <v>316</v>
      </c>
      <c>
        <v>0.241</v>
      </c>
      <c t="s">
        <v>6175</v>
      </c>
      <c t="s">
        <v>64030</v>
      </c>
      <c t="s">
        <v>13824</v>
      </c>
      <c t="s">
        <v>28800</v>
      </c>
      <c t="s">
        <v>13824</v>
      </c>
      <c t="s">
        <v>20292</v>
      </c>
      <c t="s">
        <v>23517</v>
      </c>
      <c t="s">
        <v>2517</v>
      </c>
      <c t="s">
        <v>39289</v>
      </c>
      <c>
        <v>33909</v>
      </c>
      <c t="s">
        <v>62758</v>
      </c>
      <c t="s">
        <v>48794</v>
      </c>
      <c t="s">
        <v>34867</v>
      </c>
      <c>
        <v>1191</v>
      </c>
      <c r="AI2552" t="s">
        <v>54030</v>
      </c>
      <c t="s">
        <v>45393</v>
      </c>
      <c r="AL2552" t="s">
        <v>55393</v>
      </c>
      <c r="AN2552" t="s">
        <v>39289</v>
      </c>
      <c t="s">
        <v>6616</v>
      </c>
      <c t="s">
        <v>17246</v>
      </c>
      <c t="s">
        <v>3093</v>
      </c>
      <c t="s">
        <v>64244</v>
      </c>
    </row>
    <row>
      <c t="s">
        <v>17594</v>
      </c>
      <c t="s">
        <v>51494</v>
      </c>
      <c t="s">
        <v>62373</v>
      </c>
      <c t="s">
        <v>43202</v>
      </c>
      <c t="s">
        <v>24940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 r="O2553" s="1" t="str">
        <f ca="1">HYPERLINK("https://web.datatree.com/?/property?propertyId=32935692", "https://web.datatree.com/?/property?propertyId=32935692")</f>
        <v>https://web.datatree.com/?/property?propertyId=32935692</v>
      </c>
      <c r="Q2553" t="s">
        <v>316</v>
      </c>
      <c>
        <v>0.344</v>
      </c>
      <c t="s">
        <v>6175</v>
      </c>
      <c t="s">
        <v>56498</v>
      </c>
      <c t="s">
        <v>26448</v>
      </c>
      <c t="s">
        <v>15209</v>
      </c>
      <c t="s">
        <v>9808</v>
      </c>
      <c t="s">
        <v>31068</v>
      </c>
      <c t="s">
        <v>25017</v>
      </c>
      <c t="s">
        <v>2517</v>
      </c>
      <c t="s">
        <v>39289</v>
      </c>
      <c>
        <v>33909</v>
      </c>
      <c t="s">
        <v>31650</v>
      </c>
      <c t="s">
        <v>48794</v>
      </c>
      <c t="s">
        <v>4021</v>
      </c>
      <c>
        <v>187</v>
      </c>
      <c r="AI2553" t="s">
        <v>15653</v>
      </c>
      <c t="s">
        <v>45620</v>
      </c>
      <c r="AL2553" t="s">
        <v>45182</v>
      </c>
      <c r="AN2553" t="s">
        <v>14509</v>
      </c>
      <c t="s">
        <v>45148</v>
      </c>
      <c t="s">
        <v>3364</v>
      </c>
      <c t="s">
        <v>3093</v>
      </c>
      <c t="s">
        <v>10185</v>
      </c>
    </row>
    <row>
      <c t="s">
        <v>17594</v>
      </c>
      <c t="s">
        <v>2742</v>
      </c>
      <c s="2" t="s">
        <v>27167</v>
      </c>
      <c t="s">
        <v>38705</v>
      </c>
      <c t="s">
        <v>6828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2554" s="1" t="str">
        <f ca="1">HYPERLINK("https://web.datatree.com/?/property?propertyId=32937302", "https://web.datatree.com/?/property?propertyId=32937302")</f>
        <v>https://web.datatree.com/?/property?propertyId=32937302</v>
      </c>
      <c r="Q2554" t="s">
        <v>316</v>
      </c>
      <c>
        <v>0.23</v>
      </c>
      <c t="s">
        <v>6175</v>
      </c>
      <c t="s">
        <v>24179</v>
      </c>
      <c t="s">
        <v>9918</v>
      </c>
      <c t="s">
        <v>24179</v>
      </c>
      <c t="s">
        <v>9918</v>
      </c>
      <c t="s">
        <v>18514</v>
      </c>
      <c t="s">
        <v>17022</v>
      </c>
      <c t="s">
        <v>2517</v>
      </c>
      <c t="s">
        <v>39289</v>
      </c>
      <c>
        <v>33909</v>
      </c>
      <c t="s">
        <v>23764</v>
      </c>
      <c t="s">
        <v>48794</v>
      </c>
      <c t="s">
        <v>23377</v>
      </c>
      <c>
        <v>5208</v>
      </c>
      <c r="AI2554" t="s">
        <v>30829</v>
      </c>
      <c t="s">
        <v>4985</v>
      </c>
      <c r="AL2554" t="s">
        <v>23788</v>
      </c>
      <c r="AN2554" t="s">
        <v>50917</v>
      </c>
      <c t="s">
        <v>10284</v>
      </c>
      <c t="s">
        <v>54916</v>
      </c>
      <c t="s">
        <v>3093</v>
      </c>
      <c s="2" t="s">
        <v>48426</v>
      </c>
    </row>
    <row>
      <c t="s">
        <v>17594</v>
      </c>
      <c t="s">
        <v>56400</v>
      </c>
      <c t="s">
        <v>2790</v>
      </c>
      <c t="s">
        <v>31280</v>
      </c>
      <c t="s">
        <v>21987</v>
      </c>
      <c s="3">
        <v>26290</v>
      </c>
      <c s="3">
        <v>26290</v>
      </c>
      <c s="3">
        <v>12650</v>
      </c>
      <c>
        <v>0</v>
      </c>
      <c s="3">
        <v>0</v>
      </c>
      <c s="3">
        <v>569.27</v>
      </c>
      <c s="3">
        <v>26290</v>
      </c>
      <c r="O2555" s="1" t="str">
        <f ca="1">HYPERLINK("https://web.datatree.com/?/property?propertyId=32937535", "https://web.datatree.com/?/property?propertyId=32937535")</f>
        <v>https://web.datatree.com/?/property?propertyId=32937535</v>
      </c>
      <c r="Q2555" t="s">
        <v>316</v>
      </c>
      <c>
        <v>0.23</v>
      </c>
      <c t="s">
        <v>22490</v>
      </c>
      <c t="s">
        <v>45035</v>
      </c>
      <c t="s">
        <v>43112</v>
      </c>
      <c r="X2555" t="s">
        <v>51038</v>
      </c>
      <c t="s">
        <v>66701</v>
      </c>
      <c t="s">
        <v>2517</v>
      </c>
      <c t="s">
        <v>39289</v>
      </c>
      <c>
        <v>33909</v>
      </c>
      <c t="s">
        <v>33143</v>
      </c>
      <c t="s">
        <v>48794</v>
      </c>
      <c t="s">
        <v>39928</v>
      </c>
      <c>
        <v>7899</v>
      </c>
      <c r="AI2555" t="s">
        <v>61850</v>
      </c>
      <c t="s">
        <v>24900</v>
      </c>
      <c r="AL2555" t="s">
        <v>29515</v>
      </c>
      <c t="s">
        <v>29515</v>
      </c>
      <c t="s">
        <v>39289</v>
      </c>
      <c t="s">
        <v>57262</v>
      </c>
      <c t="s">
        <v>49842</v>
      </c>
      <c t="s">
        <v>3093</v>
      </c>
      <c t="s">
        <v>43915</v>
      </c>
    </row>
    <row>
      <c t="s">
        <v>17594</v>
      </c>
      <c t="s">
        <v>17958</v>
      </c>
      <c t="s">
        <v>11272</v>
      </c>
      <c t="s">
        <v>29512</v>
      </c>
      <c t="s">
        <v>5642</v>
      </c>
      <c s="3">
        <v>31592</v>
      </c>
      <c s="3">
        <v>31592</v>
      </c>
      <c s="3">
        <v>11858</v>
      </c>
      <c>
        <v>0</v>
      </c>
      <c s="3">
        <v>0</v>
      </c>
      <c s="3">
        <v>3057.14</v>
      </c>
      <c s="3">
        <v>31592</v>
      </c>
      <c r="O2556" s="1" t="str">
        <f ca="1">HYPERLINK("https://web.datatree.com/?/property?propertyId=32937682", "https://web.datatree.com/?/property?propertyId=32937682")</f>
        <v>https://web.datatree.com/?/property?propertyId=32937682</v>
      </c>
      <c r="Q2556" t="s">
        <v>316</v>
      </c>
      <c>
        <v>0.255</v>
      </c>
      <c t="s">
        <v>22490</v>
      </c>
      <c t="s">
        <v>16380</v>
      </c>
      <c t="s">
        <v>10485</v>
      </c>
      <c r="X2556" t="s">
        <v>55792</v>
      </c>
      <c t="s">
        <v>25017</v>
      </c>
      <c t="s">
        <v>2517</v>
      </c>
      <c t="s">
        <v>39289</v>
      </c>
      <c>
        <v>33909</v>
      </c>
      <c t="s">
        <v>40284</v>
      </c>
      <c t="s">
        <v>48794</v>
      </c>
      <c t="s">
        <v>6633</v>
      </c>
      <c>
        <v>24</v>
      </c>
      <c r="AI2556" t="s">
        <v>1058</v>
      </c>
      <c r="AL2556" t="s">
        <v>53854</v>
      </c>
      <c t="s">
        <v>16651</v>
      </c>
      <c t="s">
        <v>65451</v>
      </c>
      <c>
        <v>96135</v>
      </c>
      <c r="AR2556" t="s">
        <v>46579</v>
      </c>
    </row>
    <row>
      <c t="s">
        <v>17594</v>
      </c>
      <c t="s">
        <v>19545</v>
      </c>
      <c t="s">
        <v>16386</v>
      </c>
      <c t="s">
        <v>36723</v>
      </c>
      <c t="s">
        <v>10703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2557" s="1" t="str">
        <f ca="1">HYPERLINK("https://web.datatree.com/?/property?propertyId=32938098", "https://web.datatree.com/?/property?propertyId=32938098")</f>
        <v>https://web.datatree.com/?/property?propertyId=32938098</v>
      </c>
      <c r="Q2557" t="s">
        <v>316</v>
      </c>
      <c>
        <v>0.243</v>
      </c>
      <c t="s">
        <v>5471</v>
      </c>
      <c t="s">
        <v>61255</v>
      </c>
      <c t="s">
        <v>53321</v>
      </c>
      <c t="s">
        <v>49741</v>
      </c>
      <c t="s">
        <v>14295</v>
      </c>
      <c t="s">
        <v>66318</v>
      </c>
      <c t="s">
        <v>7871</v>
      </c>
      <c t="s">
        <v>65059</v>
      </c>
      <c t="s">
        <v>39289</v>
      </c>
      <c>
        <v>33905</v>
      </c>
      <c t="s">
        <v>15421</v>
      </c>
      <c t="s">
        <v>48794</v>
      </c>
      <c t="s">
        <v>50960</v>
      </c>
      <c>
        <v>2656</v>
      </c>
      <c r="AI2557" t="s">
        <v>57049</v>
      </c>
      <c t="s">
        <v>45393</v>
      </c>
      <c r="AL2557" t="s">
        <v>11706</v>
      </c>
      <c t="s">
        <v>11706</v>
      </c>
      <c t="s">
        <v>48152</v>
      </c>
      <c t="s">
        <v>66349</v>
      </c>
      <c t="s">
        <v>28048</v>
      </c>
      <c t="s">
        <v>3093</v>
      </c>
      <c t="s">
        <v>38824</v>
      </c>
    </row>
    <row>
      <c t="s">
        <v>17594</v>
      </c>
      <c t="s">
        <v>18984</v>
      </c>
      <c t="s">
        <v>40788</v>
      </c>
      <c t="s">
        <v>5222</v>
      </c>
      <c t="s">
        <v>60405</v>
      </c>
      <c s="3">
        <v>23966</v>
      </c>
      <c s="3">
        <v>23966</v>
      </c>
      <c s="3">
        <v>23966</v>
      </c>
      <c>
        <v>0</v>
      </c>
      <c s="3">
        <v>0</v>
      </c>
      <c s="3">
        <v>827.24</v>
      </c>
      <c s="3">
        <v>23966</v>
      </c>
      <c r="O2558" s="1" t="str">
        <f ca="1">HYPERLINK("https://web.datatree.com/?/property?propertyId=32938568", "https://web.datatree.com/?/property?propertyId=32938568")</f>
        <v>https://web.datatree.com/?/property?propertyId=32938568</v>
      </c>
      <c r="Q2558" t="s">
        <v>316</v>
      </c>
      <c>
        <v>0.236</v>
      </c>
      <c t="s">
        <v>22490</v>
      </c>
      <c t="s">
        <v>24692</v>
      </c>
      <c t="s">
        <v>17130</v>
      </c>
      <c r="X2558" t="s">
        <v>36147</v>
      </c>
      <c t="s">
        <v>58797</v>
      </c>
      <c t="s">
        <v>2517</v>
      </c>
      <c t="s">
        <v>39289</v>
      </c>
      <c>
        <v>33909</v>
      </c>
      <c t="s">
        <v>227</v>
      </c>
      <c t="s">
        <v>48794</v>
      </c>
      <c t="s">
        <v>13534</v>
      </c>
      <c>
        <v>121</v>
      </c>
      <c r="AH2558" t="s">
        <v>57851</v>
      </c>
      <c t="s">
        <v>12199</v>
      </c>
      <c t="s">
        <v>31192</v>
      </c>
      <c r="AL2558" t="s">
        <v>36970</v>
      </c>
      <c r="AN2558" t="s">
        <v>39289</v>
      </c>
      <c t="s">
        <v>48618</v>
      </c>
      <c t="s">
        <v>45980</v>
      </c>
      <c t="s">
        <v>3093</v>
      </c>
      <c t="s">
        <v>61772</v>
      </c>
    </row>
    <row>
      <c t="s">
        <v>17594</v>
      </c>
      <c t="s">
        <v>56932</v>
      </c>
      <c t="s">
        <v>6951</v>
      </c>
      <c t="s">
        <v>17733</v>
      </c>
      <c t="s">
        <v>15841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2559" s="1" t="str">
        <f ca="1">HYPERLINK("https://web.datatree.com/?/property?propertyId=32939134", "https://web.datatree.com/?/property?propertyId=32939134")</f>
        <v>https://web.datatree.com/?/property?propertyId=32939134</v>
      </c>
      <c r="Q2559" t="s">
        <v>316</v>
      </c>
      <c>
        <v>0.23</v>
      </c>
      <c t="s">
        <v>6175</v>
      </c>
      <c r="U2559" t="s">
        <v>54567</v>
      </c>
      <c r="W2559" t="s">
        <v>15960</v>
      </c>
      <c t="s">
        <v>62565</v>
      </c>
      <c t="s">
        <v>14534</v>
      </c>
      <c t="s">
        <v>2517</v>
      </c>
      <c t="s">
        <v>39289</v>
      </c>
      <c>
        <v>33909</v>
      </c>
      <c t="s">
        <v>6027</v>
      </c>
      <c t="s">
        <v>48794</v>
      </c>
      <c t="s">
        <v>14183</v>
      </c>
      <c>
        <v>1202</v>
      </c>
      <c r="AI2559" t="s">
        <v>42283</v>
      </c>
      <c t="s">
        <v>45393</v>
      </c>
      <c r="AL2559" t="s">
        <v>9748</v>
      </c>
      <c r="AN2559" t="s">
        <v>27481</v>
      </c>
      <c t="s">
        <v>35861</v>
      </c>
      <c t="s">
        <v>49977</v>
      </c>
      <c t="s">
        <v>3093</v>
      </c>
      <c t="s">
        <v>24074</v>
      </c>
    </row>
    <row>
      <c t="s">
        <v>17594</v>
      </c>
      <c t="s">
        <v>62187</v>
      </c>
      <c t="s">
        <v>53460</v>
      </c>
      <c t="s">
        <v>40886</v>
      </c>
      <c t="s">
        <v>27767</v>
      </c>
      <c s="3">
        <v>76834</v>
      </c>
      <c s="3">
        <v>67250</v>
      </c>
      <c s="3">
        <v>73327</v>
      </c>
      <c>
        <v>0</v>
      </c>
      <c s="3">
        <v>0</v>
      </c>
      <c s="3">
        <v>1122.21</v>
      </c>
      <c s="3">
        <v>76834</v>
      </c>
      <c r="O2560" s="1" t="str">
        <f ca="1">HYPERLINK("https://web.datatree.com/?/property?propertyId=32939275", "https://web.datatree.com/?/property?propertyId=32939275")</f>
        <v>https://web.datatree.com/?/property?propertyId=32939275</v>
      </c>
      <c r="Q2560" t="s">
        <v>316</v>
      </c>
      <c>
        <v>0.105</v>
      </c>
      <c t="s">
        <v>26492</v>
      </c>
      <c t="s">
        <v>2140</v>
      </c>
      <c t="s">
        <v>51359</v>
      </c>
      <c t="s">
        <v>47656</v>
      </c>
      <c t="s">
        <v>51359</v>
      </c>
      <c t="s">
        <v>47775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66450</v>
      </c>
      <c>
        <v>36571</v>
      </c>
      <c r="AI2560" t="s">
        <v>32654</v>
      </c>
      <c t="s">
        <v>45620</v>
      </c>
      <c r="AL2560" t="s">
        <v>25285</v>
      </c>
      <c t="s">
        <v>40227</v>
      </c>
      <c t="s">
        <v>10909</v>
      </c>
      <c t="s">
        <v>49904</v>
      </c>
      <c r="AQ2560" t="s">
        <v>27814</v>
      </c>
      <c t="s">
        <v>50649</v>
      </c>
    </row>
    <row>
      <c t="s">
        <v>17594</v>
      </c>
      <c t="s">
        <v>24354</v>
      </c>
      <c t="s">
        <v>45274</v>
      </c>
      <c t="s">
        <v>6087</v>
      </c>
      <c t="s">
        <v>42411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>
        <v>2021</v>
      </c>
      <c>
        <v>438.41</v>
      </c>
      <c s="1" t="str">
        <f ca="1">HYPERLINK("https://web.datatree.com/?/property?propertyId=32939697", "https://web.datatree.com/?/property?propertyId=32939697")</f>
        <v>https://web.datatree.com/?/property?propertyId=32939697</v>
      </c>
      <c r="Q2561" t="s">
        <v>316</v>
      </c>
      <c>
        <v>0.241</v>
      </c>
      <c t="s">
        <v>5471</v>
      </c>
      <c r="U2561" t="s">
        <v>63907</v>
      </c>
      <c r="W2561" t="s">
        <v>36373</v>
      </c>
      <c t="s">
        <v>63907</v>
      </c>
      <c t="s">
        <v>10881</v>
      </c>
      <c t="s">
        <v>65059</v>
      </c>
      <c t="s">
        <v>39289</v>
      </c>
      <c>
        <v>33905</v>
      </c>
      <c t="s">
        <v>40154</v>
      </c>
      <c t="s">
        <v>48794</v>
      </c>
      <c t="s">
        <v>13579</v>
      </c>
      <c>
        <v>15016</v>
      </c>
      <c r="AI2561" t="s">
        <v>23646</v>
      </c>
      <c t="s">
        <v>45620</v>
      </c>
      <c r="AL2561" t="s">
        <v>13020</v>
      </c>
      <c r="AN2561" t="s">
        <v>50917</v>
      </c>
      <c t="s">
        <v>50099</v>
      </c>
      <c t="s">
        <v>44573</v>
      </c>
      <c t="s">
        <v>3093</v>
      </c>
      <c t="s">
        <v>40795</v>
      </c>
    </row>
    <row>
      <c t="s">
        <v>17594</v>
      </c>
      <c t="s">
        <v>7404</v>
      </c>
      <c t="s">
        <v>45346</v>
      </c>
      <c t="s">
        <v>36845</v>
      </c>
      <c t="s">
        <v>9084</v>
      </c>
      <c s="3">
        <v>8701</v>
      </c>
      <c s="3">
        <v>8701</v>
      </c>
      <c s="3">
        <v>4972</v>
      </c>
      <c>
        <v>0</v>
      </c>
      <c s="3">
        <v>0</v>
      </c>
      <c s="3">
        <v>316.66</v>
      </c>
      <c s="3">
        <v>8701</v>
      </c>
      <c r="O2562" s="1" t="str">
        <f ca="1">HYPERLINK("https://web.datatree.com/?/property?propertyId=32939967", "https://web.datatree.com/?/property?propertyId=32939967")</f>
        <v>https://web.datatree.com/?/property?propertyId=32939967</v>
      </c>
      <c r="Q2562" t="s">
        <v>316</v>
      </c>
      <c>
        <v>0.236</v>
      </c>
      <c t="s">
        <v>5471</v>
      </c>
      <c t="s">
        <v>11923</v>
      </c>
      <c t="s">
        <v>60101</v>
      </c>
      <c r="X2562" t="s">
        <v>6407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53243</v>
      </c>
      <c>
        <v>3909</v>
      </c>
      <c r="AI2562" t="s">
        <v>47419</v>
      </c>
      <c t="s">
        <v>31192</v>
      </c>
      <c r="AL2562" t="s">
        <v>61403</v>
      </c>
      <c r="AN2562" t="s">
        <v>14798</v>
      </c>
      <c t="s">
        <v>59105</v>
      </c>
      <c t="s">
        <v>60333</v>
      </c>
      <c t="s">
        <v>3093</v>
      </c>
      <c t="s">
        <v>43629</v>
      </c>
    </row>
    <row>
      <c t="s">
        <v>17594</v>
      </c>
      <c t="s">
        <v>21573</v>
      </c>
      <c t="s">
        <v>43256</v>
      </c>
      <c t="s">
        <v>36370</v>
      </c>
      <c t="s">
        <v>6417</v>
      </c>
      <c s="3">
        <v>8700</v>
      </c>
      <c s="3">
        <v>8700</v>
      </c>
      <c s="3">
        <v>8700</v>
      </c>
      <c>
        <v>0</v>
      </c>
      <c s="3">
        <v>0</v>
      </c>
      <c s="3">
        <v>733.57</v>
      </c>
      <c s="3">
        <v>8700</v>
      </c>
      <c r="O2563" s="1" t="str">
        <f ca="1">HYPERLINK("https://web.datatree.com/?/property?propertyId=32940948", "https://web.datatree.com/?/property?propertyId=32940948")</f>
        <v>https://web.datatree.com/?/property?propertyId=32940948</v>
      </c>
      <c r="Q2563" t="s">
        <v>316</v>
      </c>
      <c>
        <v>0.281</v>
      </c>
      <c t="s">
        <v>6175</v>
      </c>
      <c t="s">
        <v>33614</v>
      </c>
      <c t="s">
        <v>24533</v>
      </c>
      <c r="X2563" t="s">
        <v>46712</v>
      </c>
      <c t="s">
        <v>30928</v>
      </c>
      <c t="s">
        <v>2517</v>
      </c>
      <c t="s">
        <v>39289</v>
      </c>
      <c>
        <v>33909</v>
      </c>
      <c t="s">
        <v>32766</v>
      </c>
      <c t="s">
        <v>48794</v>
      </c>
      <c t="s">
        <v>19824</v>
      </c>
      <c>
        <v>4737</v>
      </c>
      <c r="AI2563" t="s">
        <v>48048</v>
      </c>
      <c t="s">
        <v>31192</v>
      </c>
      <c r="AL2563" t="s">
        <v>1614</v>
      </c>
      <c t="s">
        <v>1614</v>
      </c>
      <c t="s">
        <v>65451</v>
      </c>
      <c t="s">
        <v>40569</v>
      </c>
      <c t="s">
        <v>17380</v>
      </c>
      <c t="s">
        <v>3093</v>
      </c>
      <c t="s">
        <v>48616</v>
      </c>
    </row>
    <row>
      <c t="s">
        <v>17594</v>
      </c>
      <c t="s">
        <v>25209</v>
      </c>
      <c t="s">
        <v>56510</v>
      </c>
      <c t="s">
        <v>19792</v>
      </c>
      <c t="s">
        <v>25800</v>
      </c>
      <c s="3">
        <v>142606</v>
      </c>
      <c s="3">
        <v>142606</v>
      </c>
      <c s="3">
        <v>75020</v>
      </c>
      <c>
        <v>0</v>
      </c>
      <c s="3">
        <v>0</v>
      </c>
      <c s="3">
        <v>1930.01</v>
      </c>
      <c s="3">
        <v>142606</v>
      </c>
      <c r="O2564" s="1" t="str">
        <f ca="1">HYPERLINK("https://web.datatree.com/?/property?propertyId=32941226", "https://web.datatree.com/?/property?propertyId=32941226")</f>
        <v>https://web.datatree.com/?/property?propertyId=32941226</v>
      </c>
      <c r="Q2564" t="s">
        <v>316</v>
      </c>
      <c>
        <v>0.293</v>
      </c>
      <c t="s">
        <v>22490</v>
      </c>
      <c t="s">
        <v>14827</v>
      </c>
      <c t="s">
        <v>42592</v>
      </c>
      <c t="s">
        <v>59206</v>
      </c>
      <c t="s">
        <v>42592</v>
      </c>
      <c t="s">
        <v>53755</v>
      </c>
      <c t="s">
        <v>60363</v>
      </c>
      <c t="s">
        <v>2517</v>
      </c>
      <c t="s">
        <v>39289</v>
      </c>
      <c>
        <v>33909</v>
      </c>
      <c t="s">
        <v>28206</v>
      </c>
      <c t="s">
        <v>48794</v>
      </c>
      <c t="s">
        <v>31230</v>
      </c>
      <c>
        <v>445</v>
      </c>
      <c r="AI2564" t="s">
        <v>58045</v>
      </c>
      <c t="s">
        <v>24900</v>
      </c>
      <c r="AL2564" t="s">
        <v>17856</v>
      </c>
      <c r="AN2564" t="s">
        <v>50829</v>
      </c>
      <c t="s">
        <v>60992</v>
      </c>
      <c t="s">
        <v>15968</v>
      </c>
      <c t="s">
        <v>3093</v>
      </c>
      <c t="s">
        <v>50481</v>
      </c>
    </row>
    <row>
      <c t="s">
        <v>17594</v>
      </c>
      <c t="s">
        <v>1748</v>
      </c>
      <c t="s">
        <v>66262</v>
      </c>
      <c t="s">
        <v>47288</v>
      </c>
      <c t="s">
        <v>50325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2565" s="1" t="str">
        <f ca="1">HYPERLINK("https://web.datatree.com/?/property?propertyId=32941850", "https://web.datatree.com/?/property?propertyId=32941850")</f>
        <v>https://web.datatree.com/?/property?propertyId=32941850</v>
      </c>
      <c r="Q2565" t="s">
        <v>316</v>
      </c>
      <c>
        <v>0.23</v>
      </c>
      <c t="s">
        <v>45031</v>
      </c>
      <c t="s">
        <v>36285</v>
      </c>
      <c t="s">
        <v>48170</v>
      </c>
      <c t="s">
        <v>60928</v>
      </c>
      <c t="s">
        <v>48170</v>
      </c>
      <c t="s">
        <v>61705</v>
      </c>
      <c t="s">
        <v>10653</v>
      </c>
      <c t="s">
        <v>2517</v>
      </c>
      <c t="s">
        <v>39289</v>
      </c>
      <c>
        <v>33909</v>
      </c>
      <c t="s">
        <v>42017</v>
      </c>
      <c t="s">
        <v>48794</v>
      </c>
      <c t="s">
        <v>34916</v>
      </c>
      <c>
        <v>17</v>
      </c>
      <c r="AI2565" t="s">
        <v>63095</v>
      </c>
      <c r="AL2565" t="s">
        <v>61919</v>
      </c>
      <c r="AN2565" t="s">
        <v>32840</v>
      </c>
      <c r="AR2565" t="s">
        <v>8683</v>
      </c>
    </row>
    <row>
      <c t="s">
        <v>17594</v>
      </c>
      <c t="s">
        <v>51245</v>
      </c>
      <c t="s">
        <v>62971</v>
      </c>
      <c t="s">
        <v>3872</v>
      </c>
      <c t="s">
        <v>14366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523.58</v>
      </c>
      <c s="1" t="str">
        <f ca="1">HYPERLINK("https://web.datatree.com/?/property?propertyId=32942370", "https://web.datatree.com/?/property?propertyId=32942370")</f>
        <v>https://web.datatree.com/?/property?propertyId=32942370</v>
      </c>
      <c r="Q2566" t="s">
        <v>316</v>
      </c>
      <c>
        <v>0.23</v>
      </c>
      <c t="s">
        <v>6175</v>
      </c>
      <c t="s">
        <v>54692</v>
      </c>
      <c t="s">
        <v>29799</v>
      </c>
      <c t="s">
        <v>52057</v>
      </c>
      <c t="s">
        <v>29799</v>
      </c>
      <c t="s">
        <v>62846</v>
      </c>
      <c t="s">
        <v>66701</v>
      </c>
      <c t="s">
        <v>2517</v>
      </c>
      <c t="s">
        <v>39289</v>
      </c>
      <c>
        <v>33909</v>
      </c>
      <c t="s">
        <v>11943</v>
      </c>
      <c t="s">
        <v>48794</v>
      </c>
      <c t="s">
        <v>25420</v>
      </c>
      <c>
        <v>69</v>
      </c>
      <c r="AI2566" t="s">
        <v>51296</v>
      </c>
      <c t="s">
        <v>1671</v>
      </c>
      <c r="AL2566" t="s">
        <v>20973</v>
      </c>
      <c r="AN2566" t="s">
        <v>51087</v>
      </c>
      <c t="s">
        <v>6471</v>
      </c>
      <c t="s">
        <v>44428</v>
      </c>
      <c t="s">
        <v>3093</v>
      </c>
      <c t="s">
        <v>56368</v>
      </c>
    </row>
    <row>
      <c t="s">
        <v>17594</v>
      </c>
      <c t="s">
        <v>168</v>
      </c>
      <c t="s">
        <v>31097</v>
      </c>
      <c t="s">
        <v>47393</v>
      </c>
      <c t="s">
        <v>40200</v>
      </c>
      <c s="3">
        <v>41248</v>
      </c>
      <c s="3">
        <v>41248</v>
      </c>
      <c s="3">
        <v>41248</v>
      </c>
      <c>
        <v>0</v>
      </c>
      <c s="3">
        <v>0</v>
      </c>
      <c s="3">
        <v>1127.08</v>
      </c>
      <c s="3">
        <v>41248</v>
      </c>
      <c r="O2567" s="1" t="str">
        <f ca="1">HYPERLINK("https://web.datatree.com/?/property?propertyId=32942669", "https://web.datatree.com/?/property?propertyId=32942669")</f>
        <v>https://web.datatree.com/?/property?propertyId=32942669</v>
      </c>
      <c r="Q2567" t="s">
        <v>316</v>
      </c>
      <c>
        <v>0.23</v>
      </c>
      <c t="s">
        <v>22490</v>
      </c>
      <c t="s">
        <v>32509</v>
      </c>
      <c t="s">
        <v>10312</v>
      </c>
      <c r="X2567" t="s">
        <v>32476</v>
      </c>
      <c t="s">
        <v>2626</v>
      </c>
      <c t="s">
        <v>2517</v>
      </c>
      <c t="s">
        <v>39289</v>
      </c>
      <c>
        <v>33909</v>
      </c>
      <c t="s">
        <v>44114</v>
      </c>
      <c t="s">
        <v>48794</v>
      </c>
      <c t="s">
        <v>6150</v>
      </c>
      <c>
        <v>8911</v>
      </c>
      <c r="AI2567" t="s">
        <v>33325</v>
      </c>
      <c t="s">
        <v>24900</v>
      </c>
      <c>
        <v>1407</v>
      </c>
      <c t="s">
        <v>31458</v>
      </c>
      <c t="s">
        <v>5138</v>
      </c>
      <c t="s">
        <v>39289</v>
      </c>
      <c>
        <v>33160</v>
      </c>
      <c t="s">
        <v>40826</v>
      </c>
      <c t="s">
        <v>3093</v>
      </c>
      <c t="s">
        <v>10675</v>
      </c>
    </row>
    <row>
      <c t="s">
        <v>17594</v>
      </c>
      <c t="s">
        <v>31902</v>
      </c>
      <c t="s">
        <v>14516</v>
      </c>
      <c t="s">
        <v>56145</v>
      </c>
      <c t="s">
        <v>31792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2568" s="1" t="str">
        <f ca="1">HYPERLINK("https://web.datatree.com/?/property?propertyId=32942799", "https://web.datatree.com/?/property?propertyId=32942799")</f>
        <v>https://web.datatree.com/?/property?propertyId=32942799</v>
      </c>
      <c r="Q2568" t="s">
        <v>316</v>
      </c>
      <c>
        <v>0.23</v>
      </c>
      <c t="s">
        <v>22490</v>
      </c>
      <c t="s">
        <v>50865</v>
      </c>
      <c t="s">
        <v>13824</v>
      </c>
      <c r="X2568" t="s">
        <v>64696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27154</v>
      </c>
      <c>
        <v>9971</v>
      </c>
      <c r="AI2568" t="s">
        <v>29190</v>
      </c>
      <c t="s">
        <v>45393</v>
      </c>
      <c r="AL2568" t="s">
        <v>55393</v>
      </c>
      <c r="AN2568" t="s">
        <v>39289</v>
      </c>
      <c t="s">
        <v>38669</v>
      </c>
      <c t="s">
        <v>15968</v>
      </c>
      <c t="s">
        <v>3093</v>
      </c>
      <c t="s">
        <v>14883</v>
      </c>
    </row>
    <row>
      <c t="s">
        <v>17594</v>
      </c>
      <c t="s">
        <v>51304</v>
      </c>
      <c t="s">
        <v>64493</v>
      </c>
      <c t="s">
        <v>62143</v>
      </c>
      <c t="s">
        <v>57603</v>
      </c>
      <c s="3">
        <v>54724</v>
      </c>
      <c s="3">
        <v>54724</v>
      </c>
      <c s="3">
        <v>39797</v>
      </c>
      <c>
        <v>0</v>
      </c>
      <c s="3">
        <v>0</v>
      </c>
      <c s="3">
        <v>1238.32</v>
      </c>
      <c s="3">
        <v>54724</v>
      </c>
      <c r="O2569" s="1" t="str">
        <f ca="1">HYPERLINK("https://web.datatree.com/?/property?propertyId=32943478", "https://web.datatree.com/?/property?propertyId=32943478")</f>
        <v>https://web.datatree.com/?/property?propertyId=32943478</v>
      </c>
      <c r="Q2569" t="s">
        <v>316</v>
      </c>
      <c>
        <v>0.344</v>
      </c>
      <c t="s">
        <v>6175</v>
      </c>
      <c t="s">
        <v>30720</v>
      </c>
      <c t="s">
        <v>3914</v>
      </c>
      <c t="s">
        <v>10600</v>
      </c>
      <c t="s">
        <v>6718</v>
      </c>
      <c t="s">
        <v>34640</v>
      </c>
      <c t="s">
        <v>33335</v>
      </c>
      <c t="s">
        <v>2517</v>
      </c>
      <c t="s">
        <v>39289</v>
      </c>
      <c>
        <v>33904</v>
      </c>
      <c t="s">
        <v>66734</v>
      </c>
      <c t="s">
        <v>48794</v>
      </c>
      <c t="s">
        <v>23222</v>
      </c>
      <c>
        <v>36040</v>
      </c>
      <c r="AI2569" t="s">
        <v>42635</v>
      </c>
      <c t="s">
        <v>31192</v>
      </c>
      <c r="AL2569" t="s">
        <v>10649</v>
      </c>
      <c r="AN2569" t="s">
        <v>65467</v>
      </c>
      <c t="s">
        <v>3176</v>
      </c>
      <c t="s">
        <v>44428</v>
      </c>
      <c t="s">
        <v>3093</v>
      </c>
      <c t="s">
        <v>48323</v>
      </c>
    </row>
    <row>
      <c t="s">
        <v>17594</v>
      </c>
      <c t="s">
        <v>48524</v>
      </c>
      <c t="s">
        <v>15936</v>
      </c>
      <c t="s">
        <v>63267</v>
      </c>
      <c t="s">
        <v>4440</v>
      </c>
      <c s="3">
        <v>71288</v>
      </c>
      <c s="3">
        <v>63500</v>
      </c>
      <c s="3">
        <v>69344</v>
      </c>
      <c>
        <v>0</v>
      </c>
      <c s="3">
        <v>0</v>
      </c>
      <c s="3">
        <v>1053.89</v>
      </c>
      <c s="3">
        <v>71288</v>
      </c>
      <c r="O2570" s="1" t="str">
        <f ca="1">HYPERLINK("https://web.datatree.com/?/property?propertyId=32943521", "https://web.datatree.com/?/property?propertyId=32943521")</f>
        <v>https://web.datatree.com/?/property?propertyId=32943521</v>
      </c>
      <c r="Q2570" t="s">
        <v>316</v>
      </c>
      <c>
        <v>0.095</v>
      </c>
      <c t="s">
        <v>26492</v>
      </c>
      <c r="U2570" t="s">
        <v>48927</v>
      </c>
      <c r="W2570" t="s">
        <v>62880</v>
      </c>
      <c t="s">
        <v>48927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31762</v>
      </c>
      <c>
        <v>1234</v>
      </c>
      <c r="AI2570" t="s">
        <v>32041</v>
      </c>
      <c t="s">
        <v>24900</v>
      </c>
      <c t="s">
        <v>17594</v>
      </c>
      <c t="s">
        <v>29774</v>
      </c>
      <c t="s">
        <v>40227</v>
      </c>
      <c t="s">
        <v>27481</v>
      </c>
      <c t="s">
        <v>66598</v>
      </c>
      <c t="s">
        <v>38014</v>
      </c>
      <c t="s">
        <v>3093</v>
      </c>
      <c t="s">
        <v>55366</v>
      </c>
    </row>
    <row>
      <c t="s">
        <v>17594</v>
      </c>
      <c t="s">
        <v>3439</v>
      </c>
      <c t="s">
        <v>60670</v>
      </c>
      <c t="s">
        <v>29340</v>
      </c>
      <c t="s">
        <v>37131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571" s="1" t="str">
        <f ca="1">HYPERLINK("https://web.datatree.com/?/property?propertyId=32943526", "https://web.datatree.com/?/property?propertyId=32943526")</f>
        <v>https://web.datatree.com/?/property?propertyId=32943526</v>
      </c>
      <c r="Q2571" t="s">
        <v>316</v>
      </c>
      <c>
        <v>0.23</v>
      </c>
      <c t="s">
        <v>22490</v>
      </c>
      <c r="U2571" t="s">
        <v>48058</v>
      </c>
      <c t="s">
        <v>125</v>
      </c>
      <c t="s">
        <v>35754</v>
      </c>
      <c t="s">
        <v>9411</v>
      </c>
      <c t="s">
        <v>60363</v>
      </c>
      <c t="s">
        <v>2517</v>
      </c>
      <c t="s">
        <v>39289</v>
      </c>
      <c>
        <v>33909</v>
      </c>
      <c t="s">
        <v>32066</v>
      </c>
      <c t="s">
        <v>48794</v>
      </c>
      <c t="s">
        <v>7998</v>
      </c>
      <c>
        <v>519</v>
      </c>
      <c r="AI2571" t="s">
        <v>1619</v>
      </c>
      <c t="s">
        <v>31192</v>
      </c>
      <c r="AL2571" t="s">
        <v>42678</v>
      </c>
      <c r="AN2571" t="s">
        <v>18236</v>
      </c>
      <c t="s">
        <v>62682</v>
      </c>
      <c t="s">
        <v>49842</v>
      </c>
      <c t="s">
        <v>3093</v>
      </c>
      <c t="s">
        <v>55269</v>
      </c>
    </row>
    <row>
      <c t="s">
        <v>17594</v>
      </c>
      <c t="s">
        <v>64338</v>
      </c>
      <c t="s">
        <v>61240</v>
      </c>
      <c t="s">
        <v>27211</v>
      </c>
      <c t="s">
        <v>4008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2572" s="1" t="str">
        <f ca="1">HYPERLINK("https://web.datatree.com/?/property?propertyId=32944145", "https://web.datatree.com/?/property?propertyId=32944145")</f>
        <v>https://web.datatree.com/?/property?propertyId=32944145</v>
      </c>
      <c r="Q2572" t="s">
        <v>316</v>
      </c>
      <c>
        <v>0.23</v>
      </c>
      <c t="s">
        <v>6175</v>
      </c>
      <c t="s">
        <v>25477</v>
      </c>
      <c t="s">
        <v>9105</v>
      </c>
      <c t="s">
        <v>38760</v>
      </c>
      <c t="s">
        <v>9105</v>
      </c>
      <c t="s">
        <v>19332</v>
      </c>
      <c t="s">
        <v>38550</v>
      </c>
      <c t="s">
        <v>2517</v>
      </c>
      <c t="s">
        <v>39289</v>
      </c>
      <c>
        <v>33909</v>
      </c>
      <c t="s">
        <v>41696</v>
      </c>
      <c t="s">
        <v>48794</v>
      </c>
      <c t="s">
        <v>42076</v>
      </c>
      <c>
        <v>20538</v>
      </c>
      <c r="AI2572" t="s">
        <v>56384</v>
      </c>
      <c t="s">
        <v>45393</v>
      </c>
      <c r="AL2572" t="s">
        <v>27398</v>
      </c>
      <c r="AN2572" t="s">
        <v>39289</v>
      </c>
      <c t="s">
        <v>35626</v>
      </c>
      <c t="s">
        <v>4175</v>
      </c>
      <c t="s">
        <v>3093</v>
      </c>
      <c t="s">
        <v>8078</v>
      </c>
    </row>
    <row>
      <c t="s">
        <v>17594</v>
      </c>
      <c t="s">
        <v>64491</v>
      </c>
      <c t="s">
        <v>16099</v>
      </c>
      <c t="s">
        <v>48995</v>
      </c>
      <c t="s">
        <v>63375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2573" s="1" t="str">
        <f ca="1">HYPERLINK("https://web.datatree.com/?/property?propertyId=32944231", "https://web.datatree.com/?/property?propertyId=32944231")</f>
        <v>https://web.datatree.com/?/property?propertyId=32944231</v>
      </c>
      <c r="Q2573" t="s">
        <v>316</v>
      </c>
      <c>
        <v>0.101</v>
      </c>
      <c t="s">
        <v>26492</v>
      </c>
      <c t="s">
        <v>24409</v>
      </c>
      <c t="s">
        <v>5342</v>
      </c>
      <c t="s">
        <v>7923</v>
      </c>
      <c t="s">
        <v>5342</v>
      </c>
      <c t="s">
        <v>6443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34521</v>
      </c>
      <c>
        <v>14675</v>
      </c>
      <c r="AH2573" t="s">
        <v>57851</v>
      </c>
      <c>
        <v>100</v>
      </c>
      <c r="AL2573" t="s">
        <v>38860</v>
      </c>
      <c t="s">
        <v>40227</v>
      </c>
      <c t="s">
        <v>49572</v>
      </c>
      <c t="s">
        <v>10956</v>
      </c>
      <c t="s">
        <v>44428</v>
      </c>
      <c t="s">
        <v>3093</v>
      </c>
      <c t="s">
        <v>32077</v>
      </c>
    </row>
    <row>
      <c t="s">
        <v>17594</v>
      </c>
      <c t="s">
        <v>23139</v>
      </c>
      <c t="s">
        <v>21185</v>
      </c>
      <c t="s">
        <v>26447</v>
      </c>
      <c t="s">
        <v>50670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>
        <v>2019</v>
      </c>
      <c>
        <v>2711.04</v>
      </c>
      <c s="1" t="str">
        <f ca="1">HYPERLINK("https://web.datatree.com/?/property?propertyId=32945655", "https://web.datatree.com/?/property?propertyId=32945655")</f>
        <v>https://web.datatree.com/?/property?propertyId=32945655</v>
      </c>
      <c r="Q2574" t="s">
        <v>316</v>
      </c>
      <c>
        <v>0.244</v>
      </c>
      <c t="s">
        <v>42044</v>
      </c>
      <c t="s">
        <v>36526</v>
      </c>
      <c t="s">
        <v>47534</v>
      </c>
      <c r="X2574" t="s">
        <v>2346</v>
      </c>
      <c t="s">
        <v>7113</v>
      </c>
      <c t="s">
        <v>2517</v>
      </c>
      <c t="s">
        <v>39289</v>
      </c>
      <c>
        <v>33909</v>
      </c>
      <c t="s">
        <v>3181</v>
      </c>
      <c t="s">
        <v>48794</v>
      </c>
      <c t="s">
        <v>54469</v>
      </c>
      <c>
        <v>720</v>
      </c>
      <c r="AI2574" t="s">
        <v>34731</v>
      </c>
      <c t="s">
        <v>24900</v>
      </c>
      <c>
        <v>2</v>
      </c>
      <c t="s">
        <v>36715</v>
      </c>
      <c r="AN2574" t="s">
        <v>26016</v>
      </c>
      <c t="s">
        <v>59726</v>
      </c>
      <c t="s">
        <v>52393</v>
      </c>
      <c t="s">
        <v>3093</v>
      </c>
      <c t="s">
        <v>39728</v>
      </c>
    </row>
    <row>
      <c t="s">
        <v>17594</v>
      </c>
      <c t="s">
        <v>15736</v>
      </c>
      <c t="s">
        <v>4400</v>
      </c>
      <c t="s">
        <v>41842</v>
      </c>
      <c t="s">
        <v>47155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575" s="1" t="str">
        <f ca="1">HYPERLINK("https://web.datatree.com/?/property?propertyId=32946155", "https://web.datatree.com/?/property?propertyId=32946155")</f>
        <v>https://web.datatree.com/?/property?propertyId=32946155</v>
      </c>
      <c r="Q2575" t="s">
        <v>316</v>
      </c>
      <c>
        <v>0.23</v>
      </c>
      <c t="s">
        <v>22490</v>
      </c>
      <c t="s">
        <v>47754</v>
      </c>
      <c t="s">
        <v>20829</v>
      </c>
      <c t="s">
        <v>1479</v>
      </c>
      <c t="s">
        <v>13679</v>
      </c>
      <c t="s">
        <v>185</v>
      </c>
      <c t="s">
        <v>49674</v>
      </c>
      <c t="s">
        <v>2517</v>
      </c>
      <c t="s">
        <v>39289</v>
      </c>
      <c>
        <v>33909</v>
      </c>
      <c t="s">
        <v>32532</v>
      </c>
      <c t="s">
        <v>48794</v>
      </c>
      <c t="s">
        <v>28266</v>
      </c>
      <c>
        <v>21</v>
      </c>
      <c r="AI2575" t="s">
        <v>54079</v>
      </c>
      <c r="AK2575">
        <v>85</v>
      </c>
      <c t="s">
        <v>51565</v>
      </c>
      <c r="AN2575" t="s">
        <v>14798</v>
      </c>
      <c r="AR2575" t="s">
        <v>49059</v>
      </c>
    </row>
    <row>
      <c t="s">
        <v>17594</v>
      </c>
      <c t="s">
        <v>62785</v>
      </c>
      <c t="s">
        <v>65463</v>
      </c>
      <c t="s">
        <v>33980</v>
      </c>
      <c t="s">
        <v>2377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576" s="1" t="str">
        <f ca="1">HYPERLINK("https://web.datatree.com/?/property?propertyId=32946517", "https://web.datatree.com/?/property?propertyId=32946517")</f>
        <v>https://web.datatree.com/?/property?propertyId=32946517</v>
      </c>
      <c r="Q2576" t="s">
        <v>316</v>
      </c>
      <c>
        <v>0.23</v>
      </c>
      <c t="s">
        <v>22490</v>
      </c>
      <c r="U2576" t="s">
        <v>15511</v>
      </c>
      <c t="s">
        <v>34344</v>
      </c>
      <c t="s">
        <v>34860</v>
      </c>
      <c t="s">
        <v>18500</v>
      </c>
      <c t="s">
        <v>49122</v>
      </c>
      <c t="s">
        <v>2517</v>
      </c>
      <c t="s">
        <v>39289</v>
      </c>
      <c>
        <v>33909</v>
      </c>
      <c t="s">
        <v>29860</v>
      </c>
      <c t="s">
        <v>48794</v>
      </c>
      <c t="s">
        <v>57136</v>
      </c>
      <c>
        <v>7377</v>
      </c>
      <c r="AI2576" t="s">
        <v>62137</v>
      </c>
      <c t="s">
        <v>45620</v>
      </c>
      <c r="AL2576" t="s">
        <v>27398</v>
      </c>
      <c r="AN2576" t="s">
        <v>39289</v>
      </c>
      <c t="s">
        <v>35257</v>
      </c>
      <c t="s">
        <v>34342</v>
      </c>
      <c t="s">
        <v>3093</v>
      </c>
      <c t="s">
        <v>43837</v>
      </c>
    </row>
    <row>
      <c t="s">
        <v>17594</v>
      </c>
      <c t="s">
        <v>52760</v>
      </c>
      <c t="s">
        <v>26458</v>
      </c>
      <c t="s">
        <v>61960</v>
      </c>
      <c t="s">
        <v>43505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>
        <v>2021</v>
      </c>
      <c>
        <v>599.85</v>
      </c>
      <c s="1" t="str">
        <f ca="1">HYPERLINK("https://web.datatree.com/?/property?propertyId=32947227", "https://web.datatree.com/?/property?propertyId=32947227")</f>
        <v>https://web.datatree.com/?/property?propertyId=32947227</v>
      </c>
      <c r="Q2577" t="s">
        <v>316</v>
      </c>
      <c>
        <v>0.23</v>
      </c>
      <c t="s">
        <v>65612</v>
      </c>
      <c t="s">
        <v>56743</v>
      </c>
      <c t="s">
        <v>22642</v>
      </c>
      <c t="s">
        <v>24179</v>
      </c>
      <c t="s">
        <v>52856</v>
      </c>
      <c t="s">
        <v>12855</v>
      </c>
      <c t="s">
        <v>2619</v>
      </c>
      <c t="s">
        <v>2517</v>
      </c>
      <c t="s">
        <v>39289</v>
      </c>
      <c>
        <v>33909</v>
      </c>
      <c t="s">
        <v>43005</v>
      </c>
      <c t="s">
        <v>48794</v>
      </c>
      <c t="s">
        <v>24229</v>
      </c>
      <c>
        <v>24460</v>
      </c>
      <c r="AI2577" t="s">
        <v>51771</v>
      </c>
      <c t="s">
        <v>24900</v>
      </c>
      <c r="AL2577" t="s">
        <v>30396</v>
      </c>
      <c r="AN2577" t="s">
        <v>39289</v>
      </c>
      <c t="s">
        <v>47924</v>
      </c>
      <c t="s">
        <v>22455</v>
      </c>
      <c t="s">
        <v>3093</v>
      </c>
      <c t="s">
        <v>17982</v>
      </c>
    </row>
    <row>
      <c t="s">
        <v>17594</v>
      </c>
      <c t="s">
        <v>23940</v>
      </c>
      <c t="s">
        <v>7653</v>
      </c>
      <c t="s">
        <v>37396</v>
      </c>
      <c t="s">
        <v>50405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578" s="1" t="str">
        <f ca="1">HYPERLINK("https://web.datatree.com/?/property?propertyId=32947920", "https://web.datatree.com/?/property?propertyId=32947920")</f>
        <v>https://web.datatree.com/?/property?propertyId=32947920</v>
      </c>
      <c r="Q2578" t="s">
        <v>316</v>
      </c>
      <c>
        <v>0.23</v>
      </c>
      <c t="s">
        <v>6175</v>
      </c>
      <c t="s">
        <v>64091</v>
      </c>
      <c t="s">
        <v>41956</v>
      </c>
      <c r="X2578" t="s">
        <v>60568</v>
      </c>
      <c t="s">
        <v>17022</v>
      </c>
      <c t="s">
        <v>2517</v>
      </c>
      <c t="s">
        <v>39289</v>
      </c>
      <c>
        <v>33909</v>
      </c>
      <c t="s">
        <v>62898</v>
      </c>
      <c t="s">
        <v>48794</v>
      </c>
      <c t="s">
        <v>34258</v>
      </c>
      <c>
        <v>27</v>
      </c>
      <c r="AI2578" t="s">
        <v>31415</v>
      </c>
      <c r="AL2578" t="s">
        <v>5401</v>
      </c>
      <c r="AN2578" t="s">
        <v>27747</v>
      </c>
      <c>
        <v>1010</v>
      </c>
      <c r="AR2578" t="s">
        <v>31754</v>
      </c>
    </row>
    <row>
      <c t="s">
        <v>17594</v>
      </c>
      <c t="s">
        <v>16294</v>
      </c>
      <c t="s">
        <v>33989</v>
      </c>
      <c t="s">
        <v>23478</v>
      </c>
      <c t="s">
        <v>5544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>
        <v>2018</v>
      </c>
      <c>
        <v>5039.24</v>
      </c>
      <c s="1" t="str">
        <f ca="1">HYPERLINK("https://web.datatree.com/?/property?propertyId=32947953", "https://web.datatree.com/?/property?propertyId=32947953")</f>
        <v>https://web.datatree.com/?/property?propertyId=32947953</v>
      </c>
      <c r="Q2579" t="s">
        <v>316</v>
      </c>
      <c>
        <v>0.244</v>
      </c>
      <c t="s">
        <v>6175</v>
      </c>
      <c t="s">
        <v>24179</v>
      </c>
      <c t="s">
        <v>39164</v>
      </c>
      <c t="s">
        <v>44079</v>
      </c>
      <c t="s">
        <v>39164</v>
      </c>
      <c t="s">
        <v>46080</v>
      </c>
      <c t="s">
        <v>55273</v>
      </c>
      <c t="s">
        <v>2517</v>
      </c>
      <c t="s">
        <v>39289</v>
      </c>
      <c>
        <v>33909</v>
      </c>
      <c t="s">
        <v>63859</v>
      </c>
      <c t="s">
        <v>48794</v>
      </c>
      <c t="s">
        <v>28405</v>
      </c>
      <c>
        <v>14209</v>
      </c>
      <c r="AI2579" t="s">
        <v>46289</v>
      </c>
      <c t="s">
        <v>31192</v>
      </c>
      <c r="AL2579" t="s">
        <v>30190</v>
      </c>
      <c r="AN2579" t="s">
        <v>65467</v>
      </c>
      <c t="s">
        <v>3191</v>
      </c>
      <c t="s">
        <v>4660</v>
      </c>
      <c t="s">
        <v>3093</v>
      </c>
      <c t="s">
        <v>17203</v>
      </c>
    </row>
    <row>
      <c t="s">
        <v>17594</v>
      </c>
      <c t="s">
        <v>55512</v>
      </c>
      <c t="s">
        <v>4586</v>
      </c>
      <c t="s">
        <v>37104</v>
      </c>
      <c t="s">
        <v>16460</v>
      </c>
      <c s="3">
        <v>26706</v>
      </c>
      <c s="3">
        <v>26706</v>
      </c>
      <c s="3">
        <v>9599</v>
      </c>
      <c>
        <v>0</v>
      </c>
      <c s="3">
        <v>0</v>
      </c>
      <c s="3">
        <v>740.42</v>
      </c>
      <c s="3">
        <v>26706</v>
      </c>
      <c r="O2580" s="1" t="str">
        <f ca="1">HYPERLINK("https://web.datatree.com/?/property?propertyId=32949106", "https://web.datatree.com/?/property?propertyId=32949106")</f>
        <v>https://web.datatree.com/?/property?propertyId=32949106</v>
      </c>
      <c r="Q2580" t="s">
        <v>316</v>
      </c>
      <c>
        <v>0.373</v>
      </c>
      <c t="s">
        <v>6175</v>
      </c>
      <c t="s">
        <v>17039</v>
      </c>
      <c t="s">
        <v>57131</v>
      </c>
      <c r="X2580" t="s">
        <v>66918</v>
      </c>
      <c t="s">
        <v>2619</v>
      </c>
      <c t="s">
        <v>2517</v>
      </c>
      <c t="s">
        <v>39289</v>
      </c>
      <c>
        <v>33909</v>
      </c>
      <c t="s">
        <v>61083</v>
      </c>
      <c t="s">
        <v>48794</v>
      </c>
      <c t="s">
        <v>39380</v>
      </c>
      <c>
        <v>440</v>
      </c>
      <c r="AI2580" t="s">
        <v>5229</v>
      </c>
      <c t="s">
        <v>45393</v>
      </c>
      <c t="s">
        <v>3963</v>
      </c>
      <c t="s">
        <v>13397</v>
      </c>
      <c r="AN2580" t="s">
        <v>50917</v>
      </c>
      <c t="s">
        <v>63503</v>
      </c>
      <c t="s">
        <v>44024</v>
      </c>
      <c t="s">
        <v>3093</v>
      </c>
      <c t="s">
        <v>50840</v>
      </c>
    </row>
    <row>
      <c t="s">
        <v>17594</v>
      </c>
      <c t="s">
        <v>42311</v>
      </c>
      <c t="s">
        <v>38313</v>
      </c>
      <c t="s">
        <v>50081</v>
      </c>
      <c t="s">
        <v>50794</v>
      </c>
      <c s="3">
        <v>10600</v>
      </c>
      <c s="3">
        <v>10600</v>
      </c>
      <c s="3">
        <v>10600</v>
      </c>
      <c>
        <v>0</v>
      </c>
      <c s="3">
        <v>0</v>
      </c>
      <c s="3">
        <v>789.11</v>
      </c>
      <c s="3">
        <v>10600</v>
      </c>
      <c>
        <v>2021</v>
      </c>
      <c>
        <v>554.04</v>
      </c>
      <c s="1" t="str">
        <f ca="1">HYPERLINK("https://web.datatree.com/?/property?propertyId=32949166", "https://web.datatree.com/?/property?propertyId=32949166")</f>
        <v>https://web.datatree.com/?/property?propertyId=32949166</v>
      </c>
      <c r="Q2581" t="s">
        <v>316</v>
      </c>
      <c>
        <v>0.23</v>
      </c>
      <c t="s">
        <v>6175</v>
      </c>
      <c t="s">
        <v>34124</v>
      </c>
      <c t="s">
        <v>21133</v>
      </c>
      <c r="X2581" t="s">
        <v>21503</v>
      </c>
      <c t="s">
        <v>10653</v>
      </c>
      <c t="s">
        <v>2517</v>
      </c>
      <c t="s">
        <v>39289</v>
      </c>
      <c>
        <v>33909</v>
      </c>
      <c t="s">
        <v>56179</v>
      </c>
      <c t="s">
        <v>48794</v>
      </c>
      <c t="s">
        <v>56165</v>
      </c>
      <c>
        <v>1415</v>
      </c>
      <c r="AI2581" t="s">
        <v>38550</v>
      </c>
      <c t="s">
        <v>24900</v>
      </c>
      <c r="AL2581" t="s">
        <v>1153</v>
      </c>
      <c t="s">
        <v>1153</v>
      </c>
      <c t="s">
        <v>65451</v>
      </c>
      <c t="s">
        <v>4213</v>
      </c>
      <c t="s">
        <v>22302</v>
      </c>
      <c t="s">
        <v>3093</v>
      </c>
      <c t="s">
        <v>35610</v>
      </c>
    </row>
    <row>
      <c t="s">
        <v>17594</v>
      </c>
      <c t="s">
        <v>57550</v>
      </c>
      <c t="s">
        <v>17991</v>
      </c>
      <c t="s">
        <v>55330</v>
      </c>
      <c t="s">
        <v>14640</v>
      </c>
      <c s="3">
        <v>113144</v>
      </c>
      <c s="3">
        <v>113144</v>
      </c>
      <c s="3">
        <v>58462</v>
      </c>
      <c>
        <v>0</v>
      </c>
      <c s="3">
        <v>0</v>
      </c>
      <c s="3">
        <v>1243.37</v>
      </c>
      <c s="3">
        <v>113144</v>
      </c>
      <c r="O2582" s="1" t="str">
        <f ca="1">HYPERLINK("https://web.datatree.com/?/property?propertyId=32949300", "https://web.datatree.com/?/property?propertyId=32949300")</f>
        <v>https://web.datatree.com/?/property?propertyId=32949300</v>
      </c>
      <c r="Q2582" t="s">
        <v>316</v>
      </c>
      <c>
        <v>2.5</v>
      </c>
      <c t="s">
        <v>30497</v>
      </c>
      <c t="s">
        <v>114</v>
      </c>
      <c t="s">
        <v>66968</v>
      </c>
      <c r="X2582" t="s">
        <v>2676</v>
      </c>
      <c t="s">
        <v>6684</v>
      </c>
      <c t="s">
        <v>65059</v>
      </c>
      <c t="s">
        <v>39289</v>
      </c>
      <c>
        <v>33905</v>
      </c>
      <c t="s">
        <v>24201</v>
      </c>
      <c t="s">
        <v>48794</v>
      </c>
      <c t="s">
        <v>41549</v>
      </c>
      <c>
        <v>4490</v>
      </c>
      <c r="AI2582" t="s">
        <v>22731</v>
      </c>
      <c t="s">
        <v>40123</v>
      </c>
      <c t="s">
        <v>42939</v>
      </c>
      <c t="s">
        <v>29515</v>
      </c>
      <c t="s">
        <v>40227</v>
      </c>
      <c t="s">
        <v>39289</v>
      </c>
      <c t="s">
        <v>20911</v>
      </c>
      <c t="s">
        <v>22302</v>
      </c>
      <c t="s">
        <v>3093</v>
      </c>
      <c t="s">
        <v>17903</v>
      </c>
    </row>
    <row>
      <c t="s">
        <v>17594</v>
      </c>
      <c t="s">
        <v>19302</v>
      </c>
      <c t="s">
        <v>48869</v>
      </c>
      <c t="s">
        <v>21960</v>
      </c>
      <c t="s">
        <v>23897</v>
      </c>
      <c s="3">
        <v>96778</v>
      </c>
      <c s="3">
        <v>86250</v>
      </c>
      <c s="3">
        <v>85724</v>
      </c>
      <c>
        <v>0</v>
      </c>
      <c s="3">
        <v>0</v>
      </c>
      <c s="3">
        <v>1349.77</v>
      </c>
      <c s="3">
        <v>96778</v>
      </c>
      <c r="O2583" s="1" t="str">
        <f ca="1">HYPERLINK("https://web.datatree.com/?/property?propertyId=32949570", "https://web.datatree.com/?/property?propertyId=32949570")</f>
        <v>https://web.datatree.com/?/property?propertyId=32949570</v>
      </c>
      <c r="Q2583" t="s">
        <v>316</v>
      </c>
      <c>
        <v>0.109</v>
      </c>
      <c t="s">
        <v>26492</v>
      </c>
      <c t="s">
        <v>21670</v>
      </c>
      <c t="s">
        <v>57135</v>
      </c>
      <c t="s">
        <v>26711</v>
      </c>
      <c t="s">
        <v>41641</v>
      </c>
      <c t="s">
        <v>32372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45854</v>
      </c>
      <c>
        <v>2950</v>
      </c>
      <c r="AH2583" t="s">
        <v>12549</v>
      </c>
      <c t="s">
        <v>33179</v>
      </c>
      <c t="s">
        <v>45393</v>
      </c>
      <c r="AL2583" t="s">
        <v>51960</v>
      </c>
      <c t="s">
        <v>36436</v>
      </c>
      <c t="s">
        <v>39289</v>
      </c>
      <c t="s">
        <v>14641</v>
      </c>
      <c t="s">
        <v>3364</v>
      </c>
      <c t="s">
        <v>3093</v>
      </c>
      <c t="s">
        <v>34591</v>
      </c>
    </row>
    <row>
      <c t="s">
        <v>17594</v>
      </c>
      <c t="s">
        <v>33889</v>
      </c>
      <c t="s">
        <v>21470</v>
      </c>
      <c t="s">
        <v>9093</v>
      </c>
      <c t="s">
        <v>64441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2584" s="1" t="str">
        <f ca="1">HYPERLINK("https://web.datatree.com/?/property?propertyId=32950681", "https://web.datatree.com/?/property?propertyId=32950681")</f>
        <v>https://web.datatree.com/?/property?propertyId=32950681</v>
      </c>
      <c r="Q2584" t="s">
        <v>316</v>
      </c>
      <c>
        <v>0.243</v>
      </c>
      <c t="s">
        <v>22490</v>
      </c>
      <c t="s">
        <v>67237</v>
      </c>
      <c t="s">
        <v>46154</v>
      </c>
      <c r="X2584" t="s">
        <v>44143</v>
      </c>
      <c t="s">
        <v>41506</v>
      </c>
      <c t="s">
        <v>2517</v>
      </c>
      <c t="s">
        <v>39289</v>
      </c>
      <c>
        <v>33909</v>
      </c>
      <c t="s">
        <v>27549</v>
      </c>
      <c t="s">
        <v>48794</v>
      </c>
      <c t="s">
        <v>33208</v>
      </c>
      <c>
        <v>36</v>
      </c>
      <c r="AI2584" t="s">
        <v>4606</v>
      </c>
      <c t="s">
        <v>40123</v>
      </c>
      <c r="AL2584" t="s">
        <v>4412</v>
      </c>
      <c r="AN2584" t="s">
        <v>7234</v>
      </c>
      <c>
        <v>0</v>
      </c>
      <c r="AR2584" t="s">
        <v>46483</v>
      </c>
    </row>
    <row>
      <c t="s">
        <v>17594</v>
      </c>
      <c t="s">
        <v>61247</v>
      </c>
      <c t="s">
        <v>50991</v>
      </c>
      <c t="s">
        <v>31371</v>
      </c>
      <c t="s">
        <v>8823</v>
      </c>
      <c s="3">
        <v>20482</v>
      </c>
      <c s="3">
        <v>20482</v>
      </c>
      <c s="3">
        <v>9599</v>
      </c>
      <c>
        <v>0</v>
      </c>
      <c s="3">
        <v>0</v>
      </c>
      <c s="3">
        <v>680.91</v>
      </c>
      <c s="3">
        <v>20482</v>
      </c>
      <c r="O2585" s="1" t="str">
        <f ca="1">HYPERLINK("https://web.datatree.com/?/property?propertyId=32950894", "https://web.datatree.com/?/property?propertyId=32950894")</f>
        <v>https://web.datatree.com/?/property?propertyId=32950894</v>
      </c>
      <c r="Q2585" t="s">
        <v>316</v>
      </c>
      <c>
        <v>0.344</v>
      </c>
      <c t="s">
        <v>6175</v>
      </c>
      <c t="s">
        <v>2407</v>
      </c>
      <c t="s">
        <v>41518</v>
      </c>
      <c t="s">
        <v>51891</v>
      </c>
      <c t="s">
        <v>43846</v>
      </c>
      <c t="s">
        <v>49795</v>
      </c>
      <c t="s">
        <v>49122</v>
      </c>
      <c t="s">
        <v>2517</v>
      </c>
      <c t="s">
        <v>39289</v>
      </c>
      <c>
        <v>33909</v>
      </c>
      <c t="s">
        <v>18081</v>
      </c>
      <c t="s">
        <v>48794</v>
      </c>
      <c t="s">
        <v>63274</v>
      </c>
      <c>
        <v>2450</v>
      </c>
      <c r="AI2585" t="s">
        <v>45486</v>
      </c>
      <c t="s">
        <v>24900</v>
      </c>
      <c r="AL2585" t="s">
        <v>6144</v>
      </c>
      <c t="s">
        <v>13397</v>
      </c>
      <c t="s">
        <v>50917</v>
      </c>
      <c t="s">
        <v>67209</v>
      </c>
      <c t="s">
        <v>34162</v>
      </c>
      <c t="s">
        <v>3093</v>
      </c>
      <c t="s">
        <v>32163</v>
      </c>
    </row>
    <row>
      <c t="s">
        <v>17594</v>
      </c>
      <c t="s">
        <v>15059</v>
      </c>
      <c t="s">
        <v>29717</v>
      </c>
      <c t="s">
        <v>15025</v>
      </c>
      <c t="s">
        <v>53699</v>
      </c>
      <c s="3">
        <v>8500</v>
      </c>
      <c s="3">
        <v>8500</v>
      </c>
      <c s="3">
        <v>8500</v>
      </c>
      <c>
        <v>0</v>
      </c>
      <c s="3">
        <v>0</v>
      </c>
      <c s="3">
        <v>701.17</v>
      </c>
      <c s="3">
        <v>8500</v>
      </c>
      <c r="O2586" s="1" t="str">
        <f ca="1">HYPERLINK("https://web.datatree.com/?/property?propertyId=32951443", "https://web.datatree.com/?/property?propertyId=32951443")</f>
        <v>https://web.datatree.com/?/property?propertyId=32951443</v>
      </c>
      <c r="Q2586" t="s">
        <v>316</v>
      </c>
      <c>
        <v>0.27</v>
      </c>
      <c t="s">
        <v>6175</v>
      </c>
      <c t="s">
        <v>47754</v>
      </c>
      <c t="s">
        <v>9592</v>
      </c>
      <c t="s">
        <v>51344</v>
      </c>
      <c t="s">
        <v>9592</v>
      </c>
      <c t="s">
        <v>9731</v>
      </c>
      <c t="s">
        <v>14534</v>
      </c>
      <c t="s">
        <v>2517</v>
      </c>
      <c t="s">
        <v>39289</v>
      </c>
      <c>
        <v>33909</v>
      </c>
      <c t="s">
        <v>23668</v>
      </c>
      <c t="s">
        <v>48794</v>
      </c>
      <c t="s">
        <v>47266</v>
      </c>
      <c>
        <v>2415</v>
      </c>
      <c r="AI2586" t="s">
        <v>56795</v>
      </c>
      <c t="s">
        <v>45620</v>
      </c>
      <c>
        <v>104</v>
      </c>
      <c t="s">
        <v>55393</v>
      </c>
      <c t="s">
        <v>55393</v>
      </c>
      <c t="s">
        <v>39289</v>
      </c>
      <c t="s">
        <v>22795</v>
      </c>
      <c t="s">
        <v>8434</v>
      </c>
      <c t="s">
        <v>3093</v>
      </c>
      <c t="s">
        <v>53347</v>
      </c>
    </row>
    <row>
      <c t="s">
        <v>17594</v>
      </c>
      <c t="s">
        <v>10119</v>
      </c>
      <c t="s">
        <v>37154</v>
      </c>
      <c t="s">
        <v>47750</v>
      </c>
      <c t="s">
        <v>7481</v>
      </c>
      <c s="3">
        <v>64740</v>
      </c>
      <c s="3">
        <v>64740</v>
      </c>
      <c s="3">
        <v>33000</v>
      </c>
      <c>
        <v>0</v>
      </c>
      <c s="3">
        <v>0</v>
      </c>
      <c s="3">
        <v>1072.15</v>
      </c>
      <c s="3">
        <v>64740</v>
      </c>
      <c r="O2587" s="1" t="str">
        <f ca="1">HYPERLINK("https://web.datatree.com/?/property?propertyId=32951774", "https://web.datatree.com/?/property?propertyId=32951774")</f>
        <v>https://web.datatree.com/?/property?propertyId=32951774</v>
      </c>
      <c r="Q2587" t="s">
        <v>316</v>
      </c>
      <c>
        <v>0.23</v>
      </c>
      <c t="s">
        <v>22490</v>
      </c>
      <c r="U2587" t="s">
        <v>61219</v>
      </c>
      <c r="W2587" t="s">
        <v>56401</v>
      </c>
      <c t="s">
        <v>12255</v>
      </c>
      <c t="s">
        <v>47150</v>
      </c>
      <c t="s">
        <v>2517</v>
      </c>
      <c t="s">
        <v>39289</v>
      </c>
      <c>
        <v>33909</v>
      </c>
      <c t="s">
        <v>34864</v>
      </c>
      <c t="s">
        <v>48794</v>
      </c>
      <c t="s">
        <v>60556</v>
      </c>
      <c>
        <v>2</v>
      </c>
      <c r="AI2587" t="s">
        <v>23988</v>
      </c>
      <c r="AL2587" t="s">
        <v>38041</v>
      </c>
      <c r="AN2587" t="s">
        <v>63985</v>
      </c>
      <c>
        <v>4821</v>
      </c>
      <c r="AR2587" t="s">
        <v>763</v>
      </c>
    </row>
    <row>
      <c t="s">
        <v>17594</v>
      </c>
      <c t="s">
        <v>5045</v>
      </c>
      <c t="s">
        <v>35540</v>
      </c>
      <c t="s">
        <v>13690</v>
      </c>
      <c t="s">
        <v>64363</v>
      </c>
      <c s="3">
        <v>39788</v>
      </c>
      <c s="3">
        <v>39788</v>
      </c>
      <c s="3">
        <v>30800</v>
      </c>
      <c>
        <v>0</v>
      </c>
      <c s="3">
        <v>0</v>
      </c>
      <c s="3">
        <v>741.18</v>
      </c>
      <c s="3">
        <v>39788</v>
      </c>
      <c r="O2588" s="1" t="str">
        <f ca="1">HYPERLINK("https://web.datatree.com/?/property?propertyId=32952141", "https://web.datatree.com/?/property?propertyId=32952141")</f>
        <v>https://web.datatree.com/?/property?propertyId=32952141</v>
      </c>
      <c r="Q2588" t="s">
        <v>316</v>
      </c>
      <c>
        <v>0.11</v>
      </c>
      <c t="s">
        <v>36636</v>
      </c>
      <c t="s">
        <v>16200</v>
      </c>
      <c t="s">
        <v>41609</v>
      </c>
      <c t="s">
        <v>578</v>
      </c>
      <c t="s">
        <v>41609</v>
      </c>
      <c t="s">
        <v>1519</v>
      </c>
      <c t="s">
        <v>6431</v>
      </c>
      <c t="s">
        <v>65059</v>
      </c>
      <c t="s">
        <v>39289</v>
      </c>
      <c>
        <v>33905</v>
      </c>
      <c t="s">
        <v>31288</v>
      </c>
      <c t="s">
        <v>48794</v>
      </c>
      <c t="s">
        <v>19109</v>
      </c>
      <c>
        <v>1531</v>
      </c>
      <c r="AI2588" t="s">
        <v>45219</v>
      </c>
      <c t="s">
        <v>45620</v>
      </c>
      <c r="AL2588" t="s">
        <v>55043</v>
      </c>
      <c r="AN2588" t="s">
        <v>460</v>
      </c>
      <c t="s">
        <v>62233</v>
      </c>
      <c t="s">
        <v>14695</v>
      </c>
      <c t="s">
        <v>3093</v>
      </c>
      <c t="s">
        <v>26635</v>
      </c>
    </row>
    <row>
      <c t="s">
        <v>17594</v>
      </c>
      <c t="s">
        <v>50978</v>
      </c>
      <c t="s">
        <v>42195</v>
      </c>
      <c t="s">
        <v>6001</v>
      </c>
      <c t="s">
        <v>60225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589" s="1" t="str">
        <f ca="1">HYPERLINK("https://web.datatree.com/?/property?propertyId=32952292", "https://web.datatree.com/?/property?propertyId=32952292")</f>
        <v>https://web.datatree.com/?/property?propertyId=32952292</v>
      </c>
      <c r="Q2589" t="s">
        <v>316</v>
      </c>
      <c>
        <v>0.23</v>
      </c>
      <c t="s">
        <v>22490</v>
      </c>
      <c t="s">
        <v>16080</v>
      </c>
      <c t="s">
        <v>9536</v>
      </c>
      <c t="s">
        <v>9479</v>
      </c>
      <c t="s">
        <v>9536</v>
      </c>
      <c t="s">
        <v>59158</v>
      </c>
      <c t="s">
        <v>66701</v>
      </c>
      <c t="s">
        <v>2517</v>
      </c>
      <c t="s">
        <v>39289</v>
      </c>
      <c>
        <v>33909</v>
      </c>
      <c t="s">
        <v>37779</v>
      </c>
      <c t="s">
        <v>48794</v>
      </c>
      <c t="s">
        <v>1560</v>
      </c>
      <c>
        <v>48</v>
      </c>
      <c r="AI2589" t="s">
        <v>47394</v>
      </c>
      <c r="AL2589" t="s">
        <v>29865</v>
      </c>
      <c r="AN2589" t="s">
        <v>22275</v>
      </c>
      <c t="s">
        <v>34365</v>
      </c>
      <c t="s">
        <v>11138</v>
      </c>
      <c t="s">
        <v>3093</v>
      </c>
      <c t="s">
        <v>54521</v>
      </c>
    </row>
    <row>
      <c t="s">
        <v>42103</v>
      </c>
      <c t="s">
        <v>16519</v>
      </c>
      <c t="s">
        <v>56907</v>
      </c>
      <c t="s">
        <v>20969</v>
      </c>
      <c t="s">
        <v>43813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590" s="1" t="str">
        <f ca="1">HYPERLINK("https://web.datatree.com/?/property?propertyId=32953629", "https://web.datatree.com/?/property?propertyId=32953629")</f>
        <v>https://web.datatree.com/?/property?propertyId=32953629</v>
      </c>
      <c r="Q2590" t="s">
        <v>316</v>
      </c>
      <c>
        <v>0.23</v>
      </c>
      <c t="s">
        <v>6175</v>
      </c>
      <c t="s">
        <v>4655</v>
      </c>
      <c t="s">
        <v>64608</v>
      </c>
      <c r="X2590" t="s">
        <v>50594</v>
      </c>
      <c t="s">
        <v>49122</v>
      </c>
      <c t="s">
        <v>2517</v>
      </c>
      <c t="s">
        <v>39289</v>
      </c>
      <c>
        <v>33909</v>
      </c>
      <c t="s">
        <v>46023</v>
      </c>
      <c t="s">
        <v>48794</v>
      </c>
      <c t="s">
        <v>36277</v>
      </c>
      <c r="AI2590" t="s">
        <v>41890</v>
      </c>
      <c r="AL2590" t="s">
        <v>12166</v>
      </c>
      <c r="AN2590" t="s">
        <v>32576</v>
      </c>
      <c t="s">
        <v>5314</v>
      </c>
      <c t="s">
        <v>43243</v>
      </c>
      <c t="s">
        <v>3093</v>
      </c>
      <c t="s">
        <v>66250</v>
      </c>
    </row>
    <row>
      <c t="s">
        <v>17594</v>
      </c>
      <c t="s">
        <v>58708</v>
      </c>
      <c t="s">
        <v>63204</v>
      </c>
      <c t="s">
        <v>35008</v>
      </c>
      <c t="s">
        <v>37911</v>
      </c>
      <c s="3">
        <v>51664</v>
      </c>
      <c s="3">
        <v>51664</v>
      </c>
      <c s="3">
        <v>22824</v>
      </c>
      <c>
        <v>0</v>
      </c>
      <c s="3">
        <v>0</v>
      </c>
      <c s="3">
        <v>942.55</v>
      </c>
      <c s="3">
        <v>51664</v>
      </c>
      <c r="O2591" s="1" t="str">
        <f ca="1">HYPERLINK("https://web.datatree.com/?/property?propertyId=32953682", "https://web.datatree.com/?/property?propertyId=32953682")</f>
        <v>https://web.datatree.com/?/property?propertyId=32953682</v>
      </c>
      <c r="Q2591" t="s">
        <v>316</v>
      </c>
      <c>
        <v>0.27</v>
      </c>
      <c t="s">
        <v>6175</v>
      </c>
      <c t="s">
        <v>3429</v>
      </c>
      <c t="s">
        <v>531</v>
      </c>
      <c r="X2591" t="s">
        <v>40094</v>
      </c>
      <c t="s">
        <v>66701</v>
      </c>
      <c t="s">
        <v>2517</v>
      </c>
      <c t="s">
        <v>39289</v>
      </c>
      <c>
        <v>33904</v>
      </c>
      <c t="s">
        <v>56559</v>
      </c>
      <c t="s">
        <v>48794</v>
      </c>
      <c t="s">
        <v>13282</v>
      </c>
      <c>
        <v>7507</v>
      </c>
      <c r="AI2591" t="s">
        <v>17633</v>
      </c>
      <c t="s">
        <v>45393</v>
      </c>
      <c r="AL2591" t="s">
        <v>29515</v>
      </c>
      <c r="AN2591" t="s">
        <v>39289</v>
      </c>
      <c t="s">
        <v>46105</v>
      </c>
      <c t="s">
        <v>3364</v>
      </c>
      <c t="s">
        <v>3093</v>
      </c>
      <c t="s">
        <v>35054</v>
      </c>
    </row>
    <row>
      <c t="s">
        <v>17594</v>
      </c>
      <c t="s">
        <v>29421</v>
      </c>
      <c t="s">
        <v>47459</v>
      </c>
      <c t="s">
        <v>47647</v>
      </c>
      <c t="s">
        <v>63950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2592" s="1" t="str">
        <f ca="1">HYPERLINK("https://web.datatree.com/?/property?propertyId=32953755", "https://web.datatree.com/?/property?propertyId=32953755")</f>
        <v>https://web.datatree.com/?/property?propertyId=32953755</v>
      </c>
      <c r="Q2592" t="s">
        <v>316</v>
      </c>
      <c>
        <v>0.23</v>
      </c>
      <c t="s">
        <v>6175</v>
      </c>
      <c r="U2592" t="s">
        <v>57133</v>
      </c>
      <c r="W2592" t="s">
        <v>37661</v>
      </c>
      <c t="s">
        <v>25908</v>
      </c>
      <c t="s">
        <v>46469</v>
      </c>
      <c t="s">
        <v>2517</v>
      </c>
      <c t="s">
        <v>39289</v>
      </c>
      <c>
        <v>33909</v>
      </c>
      <c t="s">
        <v>11585</v>
      </c>
      <c t="s">
        <v>48794</v>
      </c>
      <c t="s">
        <v>11944</v>
      </c>
      <c>
        <v>1623</v>
      </c>
      <c r="AI2592" t="s">
        <v>25221</v>
      </c>
      <c t="s">
        <v>45620</v>
      </c>
      <c r="AL2592" t="s">
        <v>62575</v>
      </c>
      <c r="AN2592" t="s">
        <v>58733</v>
      </c>
      <c t="s">
        <v>34957</v>
      </c>
      <c t="s">
        <v>38085</v>
      </c>
      <c t="s">
        <v>3093</v>
      </c>
      <c t="s">
        <v>9495</v>
      </c>
    </row>
    <row>
      <c t="s">
        <v>17594</v>
      </c>
      <c t="s">
        <v>58690</v>
      </c>
      <c t="s">
        <v>47431</v>
      </c>
      <c t="s">
        <v>30327</v>
      </c>
      <c t="s">
        <v>27709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2593" s="1" t="str">
        <f ca="1">HYPERLINK("https://web.datatree.com/?/property?propertyId=32953907", "https://web.datatree.com/?/property?propertyId=32953907")</f>
        <v>https://web.datatree.com/?/property?propertyId=32953907</v>
      </c>
      <c r="Q2593" t="s">
        <v>316</v>
      </c>
      <c>
        <v>0.241</v>
      </c>
      <c t="s">
        <v>6175</v>
      </c>
      <c t="s">
        <v>1599</v>
      </c>
      <c t="s">
        <v>58203</v>
      </c>
      <c t="s">
        <v>47977</v>
      </c>
      <c t="s">
        <v>41677</v>
      </c>
      <c t="s">
        <v>11891</v>
      </c>
      <c t="s">
        <v>38550</v>
      </c>
      <c t="s">
        <v>2517</v>
      </c>
      <c t="s">
        <v>39289</v>
      </c>
      <c>
        <v>33909</v>
      </c>
      <c t="s">
        <v>50393</v>
      </c>
      <c t="s">
        <v>48794</v>
      </c>
      <c t="s">
        <v>17616</v>
      </c>
      <c>
        <v>632</v>
      </c>
      <c r="AH2593" t="s">
        <v>15376</v>
      </c>
      <c t="s">
        <v>27875</v>
      </c>
      <c t="s">
        <v>31192</v>
      </c>
      <c r="AL2593" t="s">
        <v>19425</v>
      </c>
      <c t="s">
        <v>19425</v>
      </c>
      <c t="s">
        <v>66651</v>
      </c>
      <c t="s">
        <v>2053</v>
      </c>
      <c t="s">
        <v>62830</v>
      </c>
      <c t="s">
        <v>3093</v>
      </c>
      <c t="s">
        <v>44225</v>
      </c>
    </row>
    <row>
      <c t="s">
        <v>17594</v>
      </c>
      <c t="s">
        <v>62653</v>
      </c>
      <c t="s">
        <v>39528</v>
      </c>
      <c t="s">
        <v>42133</v>
      </c>
      <c t="s">
        <v>39530</v>
      </c>
      <c s="3">
        <v>20580</v>
      </c>
      <c s="3">
        <v>20580</v>
      </c>
      <c s="3">
        <v>9680</v>
      </c>
      <c>
        <v>0</v>
      </c>
      <c s="3">
        <v>0</v>
      </c>
      <c s="3">
        <v>587.92</v>
      </c>
      <c s="3">
        <v>20580</v>
      </c>
      <c r="O2594" s="1" t="str">
        <f ca="1">HYPERLINK("https://web.datatree.com/?/property?propertyId=32953988", "https://web.datatree.com/?/property?propertyId=32953988")</f>
        <v>https://web.datatree.com/?/property?propertyId=32953988</v>
      </c>
      <c r="Q2594" t="s">
        <v>316</v>
      </c>
      <c>
        <v>0.23</v>
      </c>
      <c t="s">
        <v>6175</v>
      </c>
      <c t="s">
        <v>24409</v>
      </c>
      <c t="s">
        <v>23432</v>
      </c>
      <c t="s">
        <v>17266</v>
      </c>
      <c t="s">
        <v>60074</v>
      </c>
      <c t="s">
        <v>31921</v>
      </c>
      <c t="s">
        <v>34136</v>
      </c>
      <c t="s">
        <v>2517</v>
      </c>
      <c t="s">
        <v>39289</v>
      </c>
      <c>
        <v>33909</v>
      </c>
      <c t="s">
        <v>21605</v>
      </c>
      <c t="s">
        <v>48794</v>
      </c>
      <c t="s">
        <v>9023</v>
      </c>
      <c>
        <v>2416</v>
      </c>
      <c r="AI2594" t="s">
        <v>4370</v>
      </c>
      <c t="s">
        <v>45620</v>
      </c>
      <c r="AL2594" t="s">
        <v>55519</v>
      </c>
      <c r="AN2594" t="s">
        <v>10804</v>
      </c>
      <c t="s">
        <v>5378</v>
      </c>
      <c t="s">
        <v>35354</v>
      </c>
      <c t="s">
        <v>3093</v>
      </c>
      <c t="s">
        <v>46123</v>
      </c>
    </row>
    <row>
      <c t="s">
        <v>17594</v>
      </c>
      <c t="s">
        <v>6867</v>
      </c>
      <c t="s">
        <v>41496</v>
      </c>
      <c t="s">
        <v>21570</v>
      </c>
      <c t="s">
        <v>44622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2595" s="1" t="str">
        <f ca="1">HYPERLINK("https://web.datatree.com/?/property?propertyId=32954414", "https://web.datatree.com/?/property?propertyId=32954414")</f>
        <v>https://web.datatree.com/?/property?propertyId=32954414</v>
      </c>
      <c r="Q2595" t="s">
        <v>316</v>
      </c>
      <c>
        <v>0.23</v>
      </c>
      <c t="s">
        <v>6175</v>
      </c>
      <c t="s">
        <v>53569</v>
      </c>
      <c t="s">
        <v>35859</v>
      </c>
      <c r="X2595" t="s">
        <v>36625</v>
      </c>
      <c t="s">
        <v>25017</v>
      </c>
      <c t="s">
        <v>2517</v>
      </c>
      <c t="s">
        <v>39289</v>
      </c>
      <c>
        <v>33909</v>
      </c>
      <c t="s">
        <v>65914</v>
      </c>
      <c t="s">
        <v>48794</v>
      </c>
      <c t="s">
        <v>18987</v>
      </c>
      <c>
        <v>1300</v>
      </c>
      <c r="AI2595" t="s">
        <v>33220</v>
      </c>
      <c t="s">
        <v>31192</v>
      </c>
      <c r="AL2595" t="s">
        <v>65980</v>
      </c>
      <c r="AN2595" t="s">
        <v>39289</v>
      </c>
      <c t="s">
        <v>61831</v>
      </c>
      <c t="s">
        <v>26242</v>
      </c>
      <c t="s">
        <v>3093</v>
      </c>
      <c t="s">
        <v>64690</v>
      </c>
    </row>
    <row>
      <c t="s">
        <v>17594</v>
      </c>
      <c t="s">
        <v>65114</v>
      </c>
      <c t="s">
        <v>23803</v>
      </c>
      <c t="s">
        <v>32098</v>
      </c>
      <c t="s">
        <v>8754</v>
      </c>
      <c s="3">
        <v>28000</v>
      </c>
      <c s="3">
        <v>28000</v>
      </c>
      <c s="3">
        <v>12100</v>
      </c>
      <c>
        <v>0</v>
      </c>
      <c s="3">
        <v>0</v>
      </c>
      <c s="3">
        <v>2005.59</v>
      </c>
      <c s="3">
        <v>28000</v>
      </c>
      <c r="O2596" s="1" t="str">
        <f ca="1">HYPERLINK("https://web.datatree.com/?/property?propertyId=32954732", "https://web.datatree.com/?/property?propertyId=32954732")</f>
        <v>https://web.datatree.com/?/property?propertyId=32954732</v>
      </c>
      <c r="Q2596" t="s">
        <v>316</v>
      </c>
      <c>
        <v>0.23</v>
      </c>
      <c t="s">
        <v>22490</v>
      </c>
      <c t="s">
        <v>13612</v>
      </c>
      <c t="s">
        <v>37965</v>
      </c>
      <c t="s">
        <v>28189</v>
      </c>
      <c t="s">
        <v>37965</v>
      </c>
      <c t="s">
        <v>10525</v>
      </c>
      <c t="s">
        <v>47150</v>
      </c>
      <c t="s">
        <v>2517</v>
      </c>
      <c t="s">
        <v>39289</v>
      </c>
      <c>
        <v>33909</v>
      </c>
      <c t="s">
        <v>30574</v>
      </c>
      <c t="s">
        <v>48794</v>
      </c>
      <c t="s">
        <v>16752</v>
      </c>
      <c>
        <v>4237</v>
      </c>
      <c r="AH2596" t="s">
        <v>15376</v>
      </c>
      <c t="s">
        <v>9911</v>
      </c>
      <c t="s">
        <v>31192</v>
      </c>
      <c r="AL2596" t="s">
        <v>58624</v>
      </c>
      <c t="s">
        <v>11454</v>
      </c>
      <c t="s">
        <v>51137</v>
      </c>
      <c t="s">
        <v>5682</v>
      </c>
      <c t="s">
        <v>36638</v>
      </c>
      <c t="s">
        <v>3093</v>
      </c>
      <c t="s">
        <v>38283</v>
      </c>
    </row>
    <row>
      <c t="s">
        <v>17594</v>
      </c>
      <c t="s">
        <v>32560</v>
      </c>
      <c t="s">
        <v>11529</v>
      </c>
      <c t="s">
        <v>57169</v>
      </c>
      <c t="s">
        <v>45727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2597" s="1" t="str">
        <f ca="1">HYPERLINK("https://web.datatree.com/?/property?propertyId=32954847", "https://web.datatree.com/?/property?propertyId=32954847")</f>
        <v>https://web.datatree.com/?/property?propertyId=32954847</v>
      </c>
      <c r="Q2597" t="s">
        <v>316</v>
      </c>
      <c>
        <v>0.23</v>
      </c>
      <c t="s">
        <v>6175</v>
      </c>
      <c t="s">
        <v>50331</v>
      </c>
      <c t="s">
        <v>25889</v>
      </c>
      <c t="s">
        <v>53878</v>
      </c>
      <c t="s">
        <v>25889</v>
      </c>
      <c t="s">
        <v>27642</v>
      </c>
      <c t="s">
        <v>5115</v>
      </c>
      <c t="s">
        <v>2517</v>
      </c>
      <c t="s">
        <v>39289</v>
      </c>
      <c>
        <v>33904</v>
      </c>
      <c t="s">
        <v>19335</v>
      </c>
      <c t="s">
        <v>48794</v>
      </c>
      <c t="s">
        <v>6051</v>
      </c>
      <c>
        <v>416</v>
      </c>
      <c r="AI2597" t="s">
        <v>16395</v>
      </c>
      <c r="AL2597" t="s">
        <v>8109</v>
      </c>
      <c r="AN2597" t="s">
        <v>50917</v>
      </c>
      <c t="s">
        <v>2356</v>
      </c>
      <c t="s">
        <v>32746</v>
      </c>
      <c t="s">
        <v>3093</v>
      </c>
      <c t="s">
        <v>45921</v>
      </c>
    </row>
    <row>
      <c t="s">
        <v>17594</v>
      </c>
      <c t="s">
        <v>47396</v>
      </c>
      <c t="s">
        <v>51342</v>
      </c>
      <c t="s">
        <v>45456</v>
      </c>
      <c t="s">
        <v>13998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2598" s="1" t="str">
        <f ca="1">HYPERLINK("https://web.datatree.com/?/property?propertyId=32954852", "https://web.datatree.com/?/property?propertyId=32954852")</f>
        <v>https://web.datatree.com/?/property?propertyId=32954852</v>
      </c>
      <c r="Q2598" t="s">
        <v>316</v>
      </c>
      <c>
        <v>0.229</v>
      </c>
      <c t="s">
        <v>22490</v>
      </c>
      <c t="s">
        <v>19547</v>
      </c>
      <c t="s">
        <v>23237</v>
      </c>
      <c r="X2598" t="s">
        <v>28442</v>
      </c>
      <c t="s">
        <v>22731</v>
      </c>
      <c t="s">
        <v>2517</v>
      </c>
      <c t="s">
        <v>39289</v>
      </c>
      <c>
        <v>33909</v>
      </c>
      <c t="s">
        <v>12017</v>
      </c>
      <c t="s">
        <v>48794</v>
      </c>
      <c t="s">
        <v>65498</v>
      </c>
      <c>
        <v>10627</v>
      </c>
      <c r="AI2598" t="s">
        <v>63584</v>
      </c>
      <c t="s">
        <v>45393</v>
      </c>
      <c r="AL2598" t="s">
        <v>25636</v>
      </c>
      <c t="s">
        <v>33212</v>
      </c>
      <c t="s">
        <v>14798</v>
      </c>
      <c t="s">
        <v>35289</v>
      </c>
      <c t="s">
        <v>13315</v>
      </c>
      <c t="s">
        <v>3093</v>
      </c>
      <c t="s">
        <v>55688</v>
      </c>
    </row>
    <row>
      <c t="s">
        <v>17594</v>
      </c>
      <c t="s">
        <v>47950</v>
      </c>
      <c t="s">
        <v>306</v>
      </c>
      <c t="s">
        <v>31946</v>
      </c>
      <c t="s">
        <v>41571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599" s="1" t="str">
        <f ca="1">HYPERLINK("https://web.datatree.com/?/property?propertyId=32955893", "https://web.datatree.com/?/property?propertyId=32955893")</f>
        <v>https://web.datatree.com/?/property?propertyId=32955893</v>
      </c>
      <c r="Q2599" t="s">
        <v>316</v>
      </c>
      <c>
        <v>0.23</v>
      </c>
      <c t="s">
        <v>6175</v>
      </c>
      <c t="s">
        <v>63047</v>
      </c>
      <c t="s">
        <v>2076</v>
      </c>
      <c t="s">
        <v>13419</v>
      </c>
      <c t="s">
        <v>2076</v>
      </c>
      <c t="s">
        <v>20348</v>
      </c>
      <c t="s">
        <v>33179</v>
      </c>
      <c t="s">
        <v>2517</v>
      </c>
      <c t="s">
        <v>39289</v>
      </c>
      <c>
        <v>33909</v>
      </c>
      <c t="s">
        <v>46691</v>
      </c>
      <c t="s">
        <v>48794</v>
      </c>
      <c t="s">
        <v>20744</v>
      </c>
      <c>
        <v>13485</v>
      </c>
      <c r="AI2599" t="s">
        <v>23646</v>
      </c>
      <c t="s">
        <v>45393</v>
      </c>
      <c r="AL2599" t="s">
        <v>32139</v>
      </c>
      <c r="AN2599" t="s">
        <v>39289</v>
      </c>
      <c t="s">
        <v>36634</v>
      </c>
      <c t="s">
        <v>22455</v>
      </c>
      <c t="s">
        <v>3093</v>
      </c>
      <c t="s">
        <v>32477</v>
      </c>
    </row>
    <row>
      <c t="s">
        <v>17594</v>
      </c>
      <c t="s">
        <v>45018</v>
      </c>
      <c t="s">
        <v>21380</v>
      </c>
      <c t="s">
        <v>64166</v>
      </c>
      <c t="s">
        <v>35404</v>
      </c>
      <c s="3">
        <v>64740</v>
      </c>
      <c s="3">
        <v>64740</v>
      </c>
      <c s="3">
        <v>31126</v>
      </c>
      <c>
        <v>0</v>
      </c>
      <c s="3">
        <v>0</v>
      </c>
      <c s="3">
        <v>1052.96</v>
      </c>
      <c s="3">
        <v>64740</v>
      </c>
      <c>
        <v>2018</v>
      </c>
      <c>
        <v>4731.43</v>
      </c>
      <c s="1" t="str">
        <f ca="1">HYPERLINK("https://web.datatree.com/?/property?propertyId=32955937", "https://web.datatree.com/?/property?propertyId=32955937")</f>
        <v>https://web.datatree.com/?/property?propertyId=32955937</v>
      </c>
      <c r="Q2600" t="s">
        <v>316</v>
      </c>
      <c>
        <v>0.23</v>
      </c>
      <c t="s">
        <v>45031</v>
      </c>
      <c t="s">
        <v>38259</v>
      </c>
      <c t="s">
        <v>46604</v>
      </c>
      <c t="s">
        <v>35466</v>
      </c>
      <c t="s">
        <v>46604</v>
      </c>
      <c t="s">
        <v>32488</v>
      </c>
      <c t="s">
        <v>18679</v>
      </c>
      <c t="s">
        <v>2517</v>
      </c>
      <c t="s">
        <v>39289</v>
      </c>
      <c>
        <v>33909</v>
      </c>
      <c t="s">
        <v>31055</v>
      </c>
      <c t="s">
        <v>48794</v>
      </c>
      <c t="s">
        <v>31747</v>
      </c>
      <c>
        <v>47</v>
      </c>
      <c r="AI2600" t="s">
        <v>12932</v>
      </c>
      <c t="s">
        <v>31192</v>
      </c>
      <c r="AL2600" t="s">
        <v>16336</v>
      </c>
      <c r="AN2600" t="s">
        <v>26016</v>
      </c>
      <c t="s">
        <v>21158</v>
      </c>
      <c t="s">
        <v>27720</v>
      </c>
      <c t="s">
        <v>3093</v>
      </c>
      <c t="s">
        <v>44364</v>
      </c>
    </row>
    <row>
      <c t="s">
        <v>17594</v>
      </c>
      <c t="s">
        <v>52255</v>
      </c>
      <c t="s">
        <v>1807</v>
      </c>
      <c t="s">
        <v>17770</v>
      </c>
      <c t="s">
        <v>45328</v>
      </c>
      <c s="3">
        <v>26290</v>
      </c>
      <c s="3">
        <v>26290</v>
      </c>
      <c s="3">
        <v>26290</v>
      </c>
      <c>
        <v>0</v>
      </c>
      <c s="3">
        <v>0</v>
      </c>
      <c s="3">
        <v>789.75</v>
      </c>
      <c s="3">
        <v>26290</v>
      </c>
      <c r="O2601" s="1" t="str">
        <f ca="1">HYPERLINK("https://web.datatree.com/?/property?propertyId=32956309", "https://web.datatree.com/?/property?propertyId=32956309")</f>
        <v>https://web.datatree.com/?/property?propertyId=32956309</v>
      </c>
      <c r="Q2601" t="s">
        <v>316</v>
      </c>
      <c>
        <v>0.23</v>
      </c>
      <c t="s">
        <v>22490</v>
      </c>
      <c t="s">
        <v>26395</v>
      </c>
      <c t="s">
        <v>42840</v>
      </c>
      <c r="X2601" t="s">
        <v>12426</v>
      </c>
      <c t="s">
        <v>2626</v>
      </c>
      <c t="s">
        <v>2517</v>
      </c>
      <c t="s">
        <v>39289</v>
      </c>
      <c>
        <v>33909</v>
      </c>
      <c t="s">
        <v>8921</v>
      </c>
      <c t="s">
        <v>48794</v>
      </c>
      <c t="s">
        <v>1639</v>
      </c>
      <c>
        <v>7395</v>
      </c>
      <c r="AH2601" t="s">
        <v>60953</v>
      </c>
      <c t="s">
        <v>43807</v>
      </c>
      <c t="s">
        <v>24900</v>
      </c>
      <c r="AL2601" t="s">
        <v>32370</v>
      </c>
      <c r="AN2601" t="s">
        <v>17134</v>
      </c>
      <c t="s">
        <v>31836</v>
      </c>
      <c t="s">
        <v>30106</v>
      </c>
      <c t="s">
        <v>3093</v>
      </c>
      <c t="s">
        <v>4918</v>
      </c>
    </row>
    <row>
      <c t="s">
        <v>17594</v>
      </c>
      <c t="s">
        <v>37938</v>
      </c>
      <c t="s">
        <v>55191</v>
      </c>
      <c t="s">
        <v>65648</v>
      </c>
      <c t="s">
        <v>53938</v>
      </c>
      <c s="3">
        <v>8100</v>
      </c>
      <c s="3">
        <v>8100</v>
      </c>
      <c s="3">
        <v>8100</v>
      </c>
      <c>
        <v>0</v>
      </c>
      <c s="3">
        <v>0</v>
      </c>
      <c s="3">
        <v>653.05</v>
      </c>
      <c s="3">
        <v>8100</v>
      </c>
      <c r="O2602" s="1" t="str">
        <f ca="1">HYPERLINK("https://web.datatree.com/?/property?propertyId=32957047", "https://web.datatree.com/?/property?propertyId=32957047")</f>
        <v>https://web.datatree.com/?/property?propertyId=32957047</v>
      </c>
      <c r="Q2602" t="s">
        <v>316</v>
      </c>
      <c>
        <v>0.243</v>
      </c>
      <c t="s">
        <v>48908</v>
      </c>
      <c t="s">
        <v>58276</v>
      </c>
      <c t="s">
        <v>17746</v>
      </c>
      <c t="s">
        <v>33310</v>
      </c>
      <c t="s">
        <v>17746</v>
      </c>
      <c t="s">
        <v>46452</v>
      </c>
      <c t="s">
        <v>55273</v>
      </c>
      <c t="s">
        <v>2517</v>
      </c>
      <c t="s">
        <v>39289</v>
      </c>
      <c>
        <v>33909</v>
      </c>
      <c t="s">
        <v>46799</v>
      </c>
      <c t="s">
        <v>48794</v>
      </c>
      <c t="s">
        <v>22656</v>
      </c>
      <c>
        <v>6811</v>
      </c>
      <c r="AI2602" t="s">
        <v>8664</v>
      </c>
      <c t="s">
        <v>45393</v>
      </c>
      <c r="AL2602" t="s">
        <v>37689</v>
      </c>
      <c t="s">
        <v>37689</v>
      </c>
      <c t="s">
        <v>19878</v>
      </c>
      <c t="s">
        <v>57308</v>
      </c>
      <c t="s">
        <v>35508</v>
      </c>
      <c t="s">
        <v>3093</v>
      </c>
      <c t="s">
        <v>37231</v>
      </c>
    </row>
    <row>
      <c t="s">
        <v>17594</v>
      </c>
      <c t="s">
        <v>63702</v>
      </c>
      <c t="s">
        <v>11750</v>
      </c>
      <c t="s">
        <v>44442</v>
      </c>
      <c t="s">
        <v>66890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>
        <v>2020</v>
      </c>
      <c>
        <v>1084.29</v>
      </c>
      <c s="1" t="str">
        <f ca="1">HYPERLINK("https://web.datatree.com/?/property?propertyId=32957131", "https://web.datatree.com/?/property?propertyId=32957131")</f>
        <v>https://web.datatree.com/?/property?propertyId=32957131</v>
      </c>
      <c r="Q2603" t="s">
        <v>316</v>
      </c>
      <c>
        <v>0.23</v>
      </c>
      <c t="s">
        <v>6175</v>
      </c>
      <c t="s">
        <v>64030</v>
      </c>
      <c t="s">
        <v>28044</v>
      </c>
      <c r="X2603" t="s">
        <v>32604</v>
      </c>
      <c t="s">
        <v>25017</v>
      </c>
      <c t="s">
        <v>2517</v>
      </c>
      <c t="s">
        <v>39289</v>
      </c>
      <c>
        <v>33909</v>
      </c>
      <c t="s">
        <v>61933</v>
      </c>
      <c t="s">
        <v>48794</v>
      </c>
      <c t="s">
        <v>60459</v>
      </c>
      <c>
        <v>7310</v>
      </c>
      <c r="AI2603" t="s">
        <v>60815</v>
      </c>
      <c t="s">
        <v>39321</v>
      </c>
      <c r="AL2603" t="s">
        <v>37168</v>
      </c>
      <c r="AN2603" t="s">
        <v>39289</v>
      </c>
      <c t="s">
        <v>34271</v>
      </c>
      <c t="s">
        <v>22302</v>
      </c>
      <c t="s">
        <v>3093</v>
      </c>
      <c t="s">
        <v>55913</v>
      </c>
    </row>
    <row>
      <c t="s">
        <v>42103</v>
      </c>
      <c t="s">
        <v>24247</v>
      </c>
      <c t="s">
        <v>40442</v>
      </c>
      <c t="s">
        <v>64193</v>
      </c>
      <c t="s">
        <v>34361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2604" s="1" t="str">
        <f ca="1">HYPERLINK("https://web.datatree.com/?/property?propertyId=32957214", "https://web.datatree.com/?/property?propertyId=32957214")</f>
        <v>https://web.datatree.com/?/property?propertyId=32957214</v>
      </c>
      <c r="Q2604" t="s">
        <v>316</v>
      </c>
      <c>
        <v>0.23</v>
      </c>
      <c t="s">
        <v>22490</v>
      </c>
      <c t="s">
        <v>50331</v>
      </c>
      <c t="s">
        <v>54241</v>
      </c>
      <c r="X2604" t="s">
        <v>50049</v>
      </c>
      <c t="s">
        <v>49674</v>
      </c>
      <c t="s">
        <v>2517</v>
      </c>
      <c t="s">
        <v>39289</v>
      </c>
      <c>
        <v>33909</v>
      </c>
      <c t="s">
        <v>48438</v>
      </c>
      <c t="s">
        <v>48794</v>
      </c>
      <c t="s">
        <v>37125</v>
      </c>
      <c r="AI2604" t="s">
        <v>43707</v>
      </c>
      <c r="AL2604" t="s">
        <v>27746</v>
      </c>
      <c r="AN2604" t="s">
        <v>63985</v>
      </c>
      <c>
        <v>19975</v>
      </c>
      <c t="s">
        <v>39363</v>
      </c>
      <c t="s">
        <v>3093</v>
      </c>
      <c t="s">
        <v>15162</v>
      </c>
    </row>
    <row>
      <c t="s">
        <v>17594</v>
      </c>
      <c t="s">
        <v>43490</v>
      </c>
      <c t="s">
        <v>30917</v>
      </c>
      <c t="s">
        <v>39596</v>
      </c>
      <c t="s">
        <v>45439</v>
      </c>
      <c s="3">
        <v>92552</v>
      </c>
      <c s="3">
        <v>90733</v>
      </c>
      <c s="3">
        <v>92552</v>
      </c>
      <c>
        <v>0</v>
      </c>
      <c s="3">
        <v>0</v>
      </c>
      <c s="3">
        <v>1390.56</v>
      </c>
      <c s="3">
        <v>92552</v>
      </c>
      <c r="O2605" s="1" t="str">
        <f ca="1">HYPERLINK("https://web.datatree.com/?/property?propertyId=32957438", "https://web.datatree.com/?/property?propertyId=32957438")</f>
        <v>https://web.datatree.com/?/property?propertyId=32957438</v>
      </c>
      <c r="Q2605" t="s">
        <v>316</v>
      </c>
      <c>
        <v>0.095</v>
      </c>
      <c t="s">
        <v>26492</v>
      </c>
      <c t="s">
        <v>717</v>
      </c>
      <c t="s">
        <v>19642</v>
      </c>
      <c t="s">
        <v>46578</v>
      </c>
      <c t="s">
        <v>19642</v>
      </c>
      <c t="s">
        <v>60097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9746</v>
      </c>
      <c>
        <v>6024</v>
      </c>
      <c r="AH2605" t="s">
        <v>12549</v>
      </c>
      <c t="s">
        <v>35438</v>
      </c>
      <c t="s">
        <v>40123</v>
      </c>
      <c r="AL2605" t="s">
        <v>63523</v>
      </c>
      <c t="s">
        <v>63523</v>
      </c>
      <c t="s">
        <v>17134</v>
      </c>
      <c t="s">
        <v>14933</v>
      </c>
      <c t="s">
        <v>13315</v>
      </c>
      <c t="s">
        <v>3093</v>
      </c>
      <c t="s">
        <v>35614</v>
      </c>
    </row>
    <row>
      <c t="s">
        <v>17594</v>
      </c>
      <c t="s">
        <v>1107</v>
      </c>
      <c t="s">
        <v>62613</v>
      </c>
      <c t="s">
        <v>7049</v>
      </c>
      <c t="s">
        <v>48695</v>
      </c>
      <c s="3">
        <v>152900</v>
      </c>
      <c s="3">
        <v>152900</v>
      </c>
      <c s="3">
        <v>152900</v>
      </c>
      <c>
        <v>0</v>
      </c>
      <c s="3">
        <v>0</v>
      </c>
      <c s="3">
        <v>2709.23</v>
      </c>
      <c s="3">
        <v>152900</v>
      </c>
      <c r="O2606" s="1" t="str">
        <f ca="1">HYPERLINK("https://web.datatree.com/?/property?propertyId=32958123", "https://web.datatree.com/?/property?propertyId=32958123")</f>
        <v>https://web.datatree.com/?/property?propertyId=32958123</v>
      </c>
      <c r="Q2606" t="s">
        <v>316</v>
      </c>
      <c>
        <v>0.23</v>
      </c>
      <c t="s">
        <v>22490</v>
      </c>
      <c t="s">
        <v>50331</v>
      </c>
      <c t="s">
        <v>64850</v>
      </c>
      <c r="X2606" t="s">
        <v>33405</v>
      </c>
      <c t="s">
        <v>25017</v>
      </c>
      <c t="s">
        <v>2517</v>
      </c>
      <c t="s">
        <v>39289</v>
      </c>
      <c>
        <v>33904</v>
      </c>
      <c>
        <v>33904</v>
      </c>
      <c t="s">
        <v>48794</v>
      </c>
      <c t="s">
        <v>63174</v>
      </c>
      <c>
        <v>2275</v>
      </c>
      <c r="AI2606" t="s">
        <v>15220</v>
      </c>
      <c t="s">
        <v>45620</v>
      </c>
      <c r="AL2606" t="s">
        <v>43669</v>
      </c>
      <c r="AN2606" t="s">
        <v>17134</v>
      </c>
      <c t="s">
        <v>45952</v>
      </c>
      <c t="s">
        <v>13315</v>
      </c>
      <c t="s">
        <v>3093</v>
      </c>
      <c t="s">
        <v>52249</v>
      </c>
    </row>
    <row>
      <c t="s">
        <v>17594</v>
      </c>
      <c t="s">
        <v>6707</v>
      </c>
      <c t="s">
        <v>44758</v>
      </c>
      <c t="s">
        <v>53985</v>
      </c>
      <c t="s">
        <v>61922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2607" s="1" t="str">
        <f ca="1">HYPERLINK("https://web.datatree.com/?/property?propertyId=32958525", "https://web.datatree.com/?/property?propertyId=32958525")</f>
        <v>https://web.datatree.com/?/property?propertyId=32958525</v>
      </c>
      <c r="Q2607" t="s">
        <v>316</v>
      </c>
      <c>
        <v>0.255</v>
      </c>
      <c t="s">
        <v>6175</v>
      </c>
      <c t="s">
        <v>52701</v>
      </c>
      <c t="s">
        <v>9733</v>
      </c>
      <c t="s">
        <v>24179</v>
      </c>
      <c t="s">
        <v>9733</v>
      </c>
      <c t="s">
        <v>53177</v>
      </c>
      <c t="s">
        <v>2626</v>
      </c>
      <c t="s">
        <v>2517</v>
      </c>
      <c t="s">
        <v>39289</v>
      </c>
      <c>
        <v>33909</v>
      </c>
      <c t="s">
        <v>43814</v>
      </c>
      <c t="s">
        <v>48794</v>
      </c>
      <c t="s">
        <v>29110</v>
      </c>
      <c>
        <v>201</v>
      </c>
      <c r="AI2607" t="s">
        <v>53675</v>
      </c>
      <c t="s">
        <v>24900</v>
      </c>
      <c r="AL2607" t="s">
        <v>29515</v>
      </c>
      <c r="AN2607" t="s">
        <v>39289</v>
      </c>
      <c t="s">
        <v>47480</v>
      </c>
      <c t="s">
        <v>34162</v>
      </c>
      <c t="s">
        <v>3093</v>
      </c>
      <c t="s">
        <v>29174</v>
      </c>
    </row>
    <row>
      <c t="s">
        <v>17594</v>
      </c>
      <c t="s">
        <v>12791</v>
      </c>
      <c t="s">
        <v>20095</v>
      </c>
      <c t="s">
        <v>2103</v>
      </c>
      <c t="s">
        <v>50482</v>
      </c>
      <c s="3">
        <v>36210</v>
      </c>
      <c s="3">
        <v>36210</v>
      </c>
      <c s="3">
        <v>36210</v>
      </c>
      <c>
        <v>0</v>
      </c>
      <c s="3">
        <v>0</v>
      </c>
      <c s="3">
        <v>946.48</v>
      </c>
      <c s="3">
        <v>36210</v>
      </c>
      <c r="O2608" s="1" t="str">
        <f ca="1">HYPERLINK("https://web.datatree.com/?/property?propertyId=32958741", "https://web.datatree.com/?/property?propertyId=32958741")</f>
        <v>https://web.datatree.com/?/property?propertyId=32958741</v>
      </c>
      <c r="Q2608" t="s">
        <v>316</v>
      </c>
      <c>
        <v>0.23</v>
      </c>
      <c t="s">
        <v>65422</v>
      </c>
      <c t="s">
        <v>54943</v>
      </c>
      <c t="s">
        <v>50511</v>
      </c>
      <c t="s">
        <v>39103</v>
      </c>
      <c t="s">
        <v>50511</v>
      </c>
      <c t="s">
        <v>45307</v>
      </c>
      <c t="s">
        <v>8669</v>
      </c>
      <c t="s">
        <v>2517</v>
      </c>
      <c t="s">
        <v>39289</v>
      </c>
      <c>
        <v>33909</v>
      </c>
      <c t="s">
        <v>43726</v>
      </c>
      <c t="s">
        <v>48794</v>
      </c>
      <c t="s">
        <v>11683</v>
      </c>
      <c>
        <v>1701</v>
      </c>
      <c r="AI2608" t="s">
        <v>13876</v>
      </c>
      <c t="s">
        <v>24900</v>
      </c>
      <c r="AL2608" t="s">
        <v>37512</v>
      </c>
      <c t="s">
        <v>37512</v>
      </c>
      <c t="s">
        <v>19878</v>
      </c>
      <c t="s">
        <v>34151</v>
      </c>
      <c t="s">
        <v>40826</v>
      </c>
      <c t="s">
        <v>3093</v>
      </c>
      <c t="s">
        <v>16482</v>
      </c>
    </row>
    <row>
      <c t="s">
        <v>17594</v>
      </c>
      <c t="s">
        <v>46397</v>
      </c>
      <c t="s">
        <v>21426</v>
      </c>
      <c t="s">
        <v>49591</v>
      </c>
      <c t="s">
        <v>32553</v>
      </c>
      <c s="3">
        <v>26250</v>
      </c>
      <c s="3">
        <v>26250</v>
      </c>
      <c s="3">
        <v>9433</v>
      </c>
      <c>
        <v>0</v>
      </c>
      <c s="3">
        <v>0</v>
      </c>
      <c s="3">
        <v>418.28</v>
      </c>
      <c s="3">
        <v>26250</v>
      </c>
      <c r="O2609" s="1" t="str">
        <f ca="1">HYPERLINK("https://web.datatree.com/?/property?propertyId=32959636", "https://web.datatree.com/?/property?propertyId=32959636")</f>
        <v>https://web.datatree.com/?/property?propertyId=32959636</v>
      </c>
      <c r="Q2609" t="s">
        <v>316</v>
      </c>
      <c>
        <v>0.272</v>
      </c>
      <c t="s">
        <v>5471</v>
      </c>
      <c t="s">
        <v>2140</v>
      </c>
      <c t="s">
        <v>20069</v>
      </c>
      <c t="s">
        <v>1079</v>
      </c>
      <c t="s">
        <v>20069</v>
      </c>
      <c t="s">
        <v>35486</v>
      </c>
      <c t="s">
        <v>10881</v>
      </c>
      <c t="s">
        <v>65059</v>
      </c>
      <c t="s">
        <v>39289</v>
      </c>
      <c>
        <v>33905</v>
      </c>
      <c>
        <v>33905</v>
      </c>
      <c t="s">
        <v>48794</v>
      </c>
      <c t="s">
        <v>36400</v>
      </c>
      <c>
        <v>55</v>
      </c>
      <c r="AI2609" t="s">
        <v>28391</v>
      </c>
      <c t="s">
        <v>45393</v>
      </c>
      <c r="AL2609" t="s">
        <v>12794</v>
      </c>
      <c t="s">
        <v>40227</v>
      </c>
      <c t="s">
        <v>50917</v>
      </c>
      <c t="s">
        <v>44953</v>
      </c>
      <c t="s">
        <v>25140</v>
      </c>
      <c t="s">
        <v>3093</v>
      </c>
      <c t="s">
        <v>21368</v>
      </c>
    </row>
    <row>
      <c t="s">
        <v>17594</v>
      </c>
      <c t="s">
        <v>3261</v>
      </c>
      <c s="2" t="s">
        <v>5328</v>
      </c>
      <c t="s">
        <v>40337</v>
      </c>
      <c t="s">
        <v>5160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2610" s="1" t="str">
        <f ca="1">HYPERLINK("https://web.datatree.com/?/property?propertyId=32960044", "https://web.datatree.com/?/property?propertyId=32960044")</f>
        <v>https://web.datatree.com/?/property?propertyId=32960044</v>
      </c>
      <c r="Q2610" t="s">
        <v>316</v>
      </c>
      <c>
        <v>0.23</v>
      </c>
      <c t="s">
        <v>22490</v>
      </c>
      <c t="s">
        <v>56661</v>
      </c>
      <c t="s">
        <v>8294</v>
      </c>
      <c r="X2610" t="s">
        <v>1123</v>
      </c>
      <c t="s">
        <v>25017</v>
      </c>
      <c t="s">
        <v>2517</v>
      </c>
      <c t="s">
        <v>39289</v>
      </c>
      <c>
        <v>33909</v>
      </c>
      <c t="s">
        <v>13933</v>
      </c>
      <c t="s">
        <v>48794</v>
      </c>
      <c t="s">
        <v>10143</v>
      </c>
      <c>
        <v>3176</v>
      </c>
      <c r="AI2610" t="s">
        <v>55177</v>
      </c>
      <c t="s">
        <v>1671</v>
      </c>
      <c r="AL2610" t="s">
        <v>23285</v>
      </c>
      <c t="s">
        <v>23285</v>
      </c>
      <c t="s">
        <v>65451</v>
      </c>
      <c t="s">
        <v>36060</v>
      </c>
      <c t="s">
        <v>40645</v>
      </c>
      <c t="s">
        <v>3093</v>
      </c>
      <c s="2" t="s">
        <v>58135</v>
      </c>
    </row>
    <row>
      <c t="s">
        <v>17594</v>
      </c>
      <c t="s">
        <v>65739</v>
      </c>
      <c t="s">
        <v>26217</v>
      </c>
      <c t="s">
        <v>3500</v>
      </c>
      <c t="s">
        <v>19129</v>
      </c>
      <c s="3">
        <v>24018</v>
      </c>
      <c s="3">
        <v>24018</v>
      </c>
      <c s="3">
        <v>9902</v>
      </c>
      <c>
        <v>0</v>
      </c>
      <c s="3">
        <v>0</v>
      </c>
      <c s="3">
        <v>445.95</v>
      </c>
      <c s="3">
        <v>24018</v>
      </c>
      <c>
        <v>2021</v>
      </c>
      <c>
        <v>461.8</v>
      </c>
      <c s="1" t="str">
        <f ca="1">HYPERLINK("https://web.datatree.com/?/property?propertyId=32960129", "https://web.datatree.com/?/property?propertyId=32960129")</f>
        <v>https://web.datatree.com/?/property?propertyId=32960129</v>
      </c>
      <c r="Q2611" t="s">
        <v>316</v>
      </c>
      <c>
        <v>0.347</v>
      </c>
      <c t="s">
        <v>5471</v>
      </c>
      <c t="s">
        <v>52057</v>
      </c>
      <c t="s">
        <v>35571</v>
      </c>
      <c r="X2611" t="s">
        <v>19712</v>
      </c>
      <c t="s">
        <v>7199</v>
      </c>
      <c t="s">
        <v>65059</v>
      </c>
      <c t="s">
        <v>39289</v>
      </c>
      <c>
        <v>33905</v>
      </c>
      <c t="s">
        <v>10571</v>
      </c>
      <c t="s">
        <v>48794</v>
      </c>
      <c t="s">
        <v>38241</v>
      </c>
      <c>
        <v>2816</v>
      </c>
      <c r="AI2611" t="s">
        <v>64371</v>
      </c>
      <c t="s">
        <v>55910</v>
      </c>
      <c r="AL2611" t="s">
        <v>6350</v>
      </c>
      <c r="AN2611" t="s">
        <v>39289</v>
      </c>
      <c t="s">
        <v>2412</v>
      </c>
      <c t="s">
        <v>51100</v>
      </c>
      <c t="s">
        <v>3093</v>
      </c>
      <c t="s">
        <v>63009</v>
      </c>
    </row>
    <row>
      <c t="s">
        <v>17594</v>
      </c>
      <c t="s">
        <v>5036</v>
      </c>
      <c t="s">
        <v>4965</v>
      </c>
      <c t="s">
        <v>57389</v>
      </c>
      <c t="s">
        <v>50565</v>
      </c>
      <c s="3">
        <v>14982</v>
      </c>
      <c s="3">
        <v>14982</v>
      </c>
      <c s="3">
        <v>14982</v>
      </c>
      <c>
        <v>0</v>
      </c>
      <c s="3">
        <v>0</v>
      </c>
      <c s="3">
        <v>393.09</v>
      </c>
      <c s="3">
        <v>14982</v>
      </c>
      <c r="O2612" s="1" t="str">
        <f ca="1">HYPERLINK("https://web.datatree.com/?/property?propertyId=32961213", "https://web.datatree.com/?/property?propertyId=32961213")</f>
        <v>https://web.datatree.com/?/property?propertyId=32961213</v>
      </c>
      <c r="Q2612" t="s">
        <v>316</v>
      </c>
      <c>
        <v>0.23</v>
      </c>
      <c t="s">
        <v>5471</v>
      </c>
      <c t="s">
        <v>24179</v>
      </c>
      <c t="s">
        <v>7651</v>
      </c>
      <c t="s">
        <v>41585</v>
      </c>
      <c t="s">
        <v>43342</v>
      </c>
      <c t="s">
        <v>39475</v>
      </c>
      <c t="s">
        <v>51919</v>
      </c>
      <c t="s">
        <v>65059</v>
      </c>
      <c t="s">
        <v>39289</v>
      </c>
      <c>
        <v>33905</v>
      </c>
      <c t="s">
        <v>27263</v>
      </c>
      <c t="s">
        <v>48794</v>
      </c>
      <c t="s">
        <v>57510</v>
      </c>
      <c>
        <v>11473</v>
      </c>
      <c r="AI2612" t="s">
        <v>2215</v>
      </c>
      <c t="s">
        <v>31192</v>
      </c>
      <c r="AL2612" t="s">
        <v>32207</v>
      </c>
      <c t="s">
        <v>32207</v>
      </c>
      <c t="s">
        <v>39289</v>
      </c>
      <c t="s">
        <v>28630</v>
      </c>
      <c t="s">
        <v>6081</v>
      </c>
      <c t="s">
        <v>3093</v>
      </c>
      <c t="s">
        <v>65676</v>
      </c>
    </row>
    <row>
      <c t="s">
        <v>17594</v>
      </c>
      <c t="s">
        <v>54349</v>
      </c>
      <c t="s">
        <v>57020</v>
      </c>
      <c t="s">
        <v>56045</v>
      </c>
      <c t="s">
        <v>57595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2613" s="1" t="str">
        <f ca="1">HYPERLINK("https://web.datatree.com/?/property?propertyId=32961629", "https://web.datatree.com/?/property?propertyId=32961629")</f>
        <v>https://web.datatree.com/?/property?propertyId=32961629</v>
      </c>
      <c r="Q2613" t="s">
        <v>316</v>
      </c>
      <c>
        <v>0.23</v>
      </c>
      <c t="s">
        <v>22490</v>
      </c>
      <c t="s">
        <v>2140</v>
      </c>
      <c t="s">
        <v>32018</v>
      </c>
      <c t="s">
        <v>47656</v>
      </c>
      <c t="s">
        <v>32018</v>
      </c>
      <c t="s">
        <v>31604</v>
      </c>
      <c t="s">
        <v>66701</v>
      </c>
      <c t="s">
        <v>2517</v>
      </c>
      <c t="s">
        <v>39289</v>
      </c>
      <c>
        <v>33909</v>
      </c>
      <c t="s">
        <v>40236</v>
      </c>
      <c t="s">
        <v>48794</v>
      </c>
      <c t="s">
        <v>6424</v>
      </c>
      <c>
        <v>237</v>
      </c>
      <c r="AI2613" t="s">
        <v>65702</v>
      </c>
      <c t="s">
        <v>24900</v>
      </c>
      <c r="AL2613" t="s">
        <v>18662</v>
      </c>
      <c t="s">
        <v>39773</v>
      </c>
      <c t="s">
        <v>26016</v>
      </c>
      <c t="s">
        <v>63870</v>
      </c>
      <c t="s">
        <v>6081</v>
      </c>
      <c t="s">
        <v>3093</v>
      </c>
      <c t="s">
        <v>22144</v>
      </c>
    </row>
    <row>
      <c t="s">
        <v>42103</v>
      </c>
      <c t="s">
        <v>32328</v>
      </c>
      <c t="s">
        <v>8162</v>
      </c>
      <c t="s">
        <v>27969</v>
      </c>
      <c t="s">
        <v>12559</v>
      </c>
      <c s="3">
        <v>12743</v>
      </c>
      <c s="3">
        <v>12743</v>
      </c>
      <c s="3">
        <v>6921</v>
      </c>
      <c>
        <v>0</v>
      </c>
      <c s="3">
        <v>0</v>
      </c>
      <c s="3">
        <v>130.62</v>
      </c>
      <c s="3">
        <v>12743</v>
      </c>
      <c>
        <v>2021</v>
      </c>
      <c>
        <v>152.17</v>
      </c>
      <c s="1" t="str">
        <f ca="1">HYPERLINK("https://web.datatree.com/?/property?propertyId=32961640", "https://web.datatree.com/?/property?propertyId=32961640")</f>
        <v>https://web.datatree.com/?/property?propertyId=32961640</v>
      </c>
      <c r="Q2614" t="s">
        <v>316</v>
      </c>
      <c>
        <v>0.132</v>
      </c>
      <c r="T2614" t="s">
        <v>56222</v>
      </c>
      <c t="s">
        <v>54785</v>
      </c>
      <c r="X2614" t="s">
        <v>63272</v>
      </c>
      <c t="s">
        <v>37372</v>
      </c>
      <c t="s">
        <v>65059</v>
      </c>
      <c t="s">
        <v>39289</v>
      </c>
      <c>
        <v>33907</v>
      </c>
      <c>
        <v>33907</v>
      </c>
      <c t="s">
        <v>48794</v>
      </c>
      <c t="s">
        <v>26461</v>
      </c>
      <c r="AI2614" t="s">
        <v>40953</v>
      </c>
      <c r="AL2614" t="s">
        <v>21971</v>
      </c>
      <c t="s">
        <v>21971</v>
      </c>
      <c t="s">
        <v>65451</v>
      </c>
      <c t="s">
        <v>48682</v>
      </c>
      <c t="s">
        <v>9590</v>
      </c>
      <c t="s">
        <v>3093</v>
      </c>
      <c t="s">
        <v>23448</v>
      </c>
    </row>
    <row>
      <c t="s">
        <v>17594</v>
      </c>
      <c t="s">
        <v>57444</v>
      </c>
      <c t="s">
        <v>48603</v>
      </c>
      <c t="s">
        <v>2079</v>
      </c>
      <c t="s">
        <v>5223</v>
      </c>
      <c s="3">
        <v>8987</v>
      </c>
      <c s="3">
        <v>8987</v>
      </c>
      <c s="3">
        <v>4972</v>
      </c>
      <c>
        <v>0</v>
      </c>
      <c s="3">
        <v>0</v>
      </c>
      <c s="3">
        <v>324.47</v>
      </c>
      <c s="3">
        <v>8987</v>
      </c>
      <c r="O2615" s="1" t="str">
        <f ca="1">HYPERLINK("https://web.datatree.com/?/property?propertyId=32961705", "https://web.datatree.com/?/property?propertyId=32961705")</f>
        <v>https://web.datatree.com/?/property?propertyId=32961705</v>
      </c>
      <c r="Q2615" t="s">
        <v>316</v>
      </c>
      <c>
        <v>0.296</v>
      </c>
      <c t="s">
        <v>5471</v>
      </c>
      <c t="s">
        <v>60567</v>
      </c>
      <c t="s">
        <v>42104</v>
      </c>
      <c r="X2615" t="s">
        <v>38177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11758</v>
      </c>
      <c>
        <v>2006</v>
      </c>
      <c r="AI2615" t="s">
        <v>18003</v>
      </c>
      <c t="s">
        <v>24900</v>
      </c>
      <c r="AL2615" t="s">
        <v>25286</v>
      </c>
      <c r="AN2615" t="s">
        <v>65451</v>
      </c>
      <c t="s">
        <v>8236</v>
      </c>
      <c t="s">
        <v>56186</v>
      </c>
      <c t="s">
        <v>3093</v>
      </c>
      <c t="s">
        <v>63225</v>
      </c>
    </row>
    <row>
      <c t="s">
        <v>17594</v>
      </c>
      <c t="s">
        <v>1282</v>
      </c>
      <c t="s">
        <v>58408</v>
      </c>
      <c t="s">
        <v>24115</v>
      </c>
      <c t="s">
        <v>24717</v>
      </c>
      <c s="3">
        <v>26158</v>
      </c>
      <c s="3">
        <v>26158</v>
      </c>
      <c s="3">
        <v>9433</v>
      </c>
      <c>
        <v>0</v>
      </c>
      <c s="3">
        <v>0</v>
      </c>
      <c s="3">
        <v>414.38</v>
      </c>
      <c s="3">
        <v>26158</v>
      </c>
      <c r="O2616" s="1" t="str">
        <f ca="1">HYPERLINK("https://web.datatree.com/?/property?propertyId=32961718", "https://web.datatree.com/?/property?propertyId=32961718")</f>
        <v>https://web.datatree.com/?/property?propertyId=32961718</v>
      </c>
      <c r="Q2616" t="s">
        <v>316</v>
      </c>
      <c>
        <v>0.238</v>
      </c>
      <c t="s">
        <v>5471</v>
      </c>
      <c t="s">
        <v>29680</v>
      </c>
      <c t="s">
        <v>61472</v>
      </c>
      <c r="X2616" t="s">
        <v>10863</v>
      </c>
      <c t="s">
        <v>13597</v>
      </c>
      <c t="s">
        <v>65059</v>
      </c>
      <c t="s">
        <v>39289</v>
      </c>
      <c>
        <v>33905</v>
      </c>
      <c t="s">
        <v>28375</v>
      </c>
      <c t="s">
        <v>48794</v>
      </c>
      <c t="s">
        <v>23010</v>
      </c>
      <c>
        <v>135</v>
      </c>
      <c r="AI2616" t="s">
        <v>41142</v>
      </c>
      <c t="s">
        <v>24900</v>
      </c>
      <c t="s">
        <v>22232</v>
      </c>
      <c t="s">
        <v>8109</v>
      </c>
      <c r="AN2616" t="s">
        <v>50917</v>
      </c>
      <c t="s">
        <v>27710</v>
      </c>
      <c t="s">
        <v>54916</v>
      </c>
      <c t="s">
        <v>3093</v>
      </c>
      <c t="s">
        <v>28038</v>
      </c>
    </row>
    <row>
      <c t="s">
        <v>17594</v>
      </c>
      <c t="s">
        <v>66762</v>
      </c>
      <c t="s">
        <v>62408</v>
      </c>
      <c t="s">
        <v>57572</v>
      </c>
      <c t="s">
        <v>44138</v>
      </c>
      <c s="3">
        <v>217108</v>
      </c>
      <c s="3">
        <v>217108</v>
      </c>
      <c s="3">
        <v>56870</v>
      </c>
      <c>
        <v>0</v>
      </c>
      <c s="3">
        <v>0</v>
      </c>
      <c s="3">
        <v>1568.27</v>
      </c>
      <c s="3">
        <v>217108</v>
      </c>
      <c r="O2617" s="1" t="str">
        <f ca="1">HYPERLINK("https://web.datatree.com/?/property?propertyId=32962023", "https://web.datatree.com/?/property?propertyId=32962023")</f>
        <v>https://web.datatree.com/?/property?propertyId=32962023</v>
      </c>
      <c r="Q2617" t="s">
        <v>316</v>
      </c>
      <c>
        <v>0.426</v>
      </c>
      <c t="s">
        <v>22490</v>
      </c>
      <c t="s">
        <v>15645</v>
      </c>
      <c t="s">
        <v>36119</v>
      </c>
      <c r="X2617" t="s">
        <v>31573</v>
      </c>
      <c t="s">
        <v>52171</v>
      </c>
      <c t="s">
        <v>2517</v>
      </c>
      <c t="s">
        <v>39289</v>
      </c>
      <c>
        <v>33904</v>
      </c>
      <c t="s">
        <v>15803</v>
      </c>
      <c t="s">
        <v>48794</v>
      </c>
      <c t="s">
        <v>39510</v>
      </c>
      <c>
        <v>1472</v>
      </c>
      <c r="AI2617" t="s">
        <v>54</v>
      </c>
      <c t="s">
        <v>45393</v>
      </c>
      <c r="AL2617" t="s">
        <v>37900</v>
      </c>
      <c t="s">
        <v>13397</v>
      </c>
      <c t="s">
        <v>50917</v>
      </c>
      <c t="s">
        <v>62268</v>
      </c>
      <c t="s">
        <v>39566</v>
      </c>
      <c t="s">
        <v>3093</v>
      </c>
      <c t="s">
        <v>34912</v>
      </c>
    </row>
    <row>
      <c t="s">
        <v>17594</v>
      </c>
      <c t="s">
        <v>22011</v>
      </c>
      <c t="s">
        <v>64916</v>
      </c>
      <c t="s">
        <v>887</v>
      </c>
      <c t="s">
        <v>3677</v>
      </c>
      <c s="3">
        <v>6993</v>
      </c>
      <c s="3">
        <v>6993</v>
      </c>
      <c s="3">
        <v>3727</v>
      </c>
      <c>
        <v>0</v>
      </c>
      <c s="3">
        <v>0</v>
      </c>
      <c s="3">
        <v>288.53</v>
      </c>
      <c s="3">
        <v>6993</v>
      </c>
      <c r="O2618" s="1" t="str">
        <f ca="1">HYPERLINK("https://web.datatree.com/?/property?propertyId=32962914", "https://web.datatree.com/?/property?propertyId=32962914")</f>
        <v>https://web.datatree.com/?/property?propertyId=32962914</v>
      </c>
      <c r="Q2618" t="s">
        <v>316</v>
      </c>
      <c>
        <v>0.202</v>
      </c>
      <c t="s">
        <v>37489</v>
      </c>
      <c t="s">
        <v>50666</v>
      </c>
      <c t="s">
        <v>57532</v>
      </c>
      <c r="X2618" t="s">
        <v>27828</v>
      </c>
      <c t="s">
        <v>18019</v>
      </c>
      <c t="s">
        <v>65059</v>
      </c>
      <c t="s">
        <v>39289</v>
      </c>
      <c>
        <v>33905</v>
      </c>
      <c t="s">
        <v>8500</v>
      </c>
      <c t="s">
        <v>48794</v>
      </c>
      <c t="s">
        <v>52927</v>
      </c>
      <c>
        <v>65</v>
      </c>
      <c r="AI2618" t="s">
        <v>2811</v>
      </c>
      <c t="s">
        <v>24900</v>
      </c>
      <c t="s">
        <v>64374</v>
      </c>
      <c t="s">
        <v>30587</v>
      </c>
      <c r="AN2618" t="s">
        <v>14509</v>
      </c>
      <c t="s">
        <v>33024</v>
      </c>
      <c t="s">
        <v>12241</v>
      </c>
      <c t="s">
        <v>3093</v>
      </c>
      <c t="s">
        <v>64434</v>
      </c>
    </row>
    <row>
      <c t="s">
        <v>17594</v>
      </c>
      <c t="s">
        <v>6451</v>
      </c>
      <c t="s">
        <v>61957</v>
      </c>
      <c t="s">
        <v>8363</v>
      </c>
      <c t="s">
        <v>48302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2619" s="1" t="str">
        <f ca="1">HYPERLINK("https://web.datatree.com/?/property?propertyId=32962955", "https://web.datatree.com/?/property?propertyId=32962955")</f>
        <v>https://web.datatree.com/?/property?propertyId=32962955</v>
      </c>
      <c r="Q2619" t="s">
        <v>316</v>
      </c>
      <c>
        <v>0.23</v>
      </c>
      <c t="s">
        <v>6175</v>
      </c>
      <c t="s">
        <v>63182</v>
      </c>
      <c t="s">
        <v>50671</v>
      </c>
      <c t="s">
        <v>44541</v>
      </c>
      <c t="s">
        <v>11268</v>
      </c>
      <c t="s">
        <v>8282</v>
      </c>
      <c t="s">
        <v>13829</v>
      </c>
      <c t="s">
        <v>2517</v>
      </c>
      <c t="s">
        <v>39289</v>
      </c>
      <c>
        <v>33909</v>
      </c>
      <c t="s">
        <v>50553</v>
      </c>
      <c t="s">
        <v>48794</v>
      </c>
      <c t="s">
        <v>25251</v>
      </c>
      <c>
        <v>3206</v>
      </c>
      <c r="AI2619" t="s">
        <v>50593</v>
      </c>
      <c t="s">
        <v>24900</v>
      </c>
      <c r="AL2619" t="s">
        <v>29731</v>
      </c>
      <c r="AN2619" t="s">
        <v>19878</v>
      </c>
      <c t="s">
        <v>67055</v>
      </c>
      <c t="s">
        <v>14845</v>
      </c>
      <c t="s">
        <v>3093</v>
      </c>
      <c t="s">
        <v>7296</v>
      </c>
    </row>
    <row>
      <c t="s">
        <v>17594</v>
      </c>
      <c t="s">
        <v>40966</v>
      </c>
      <c t="s">
        <v>22160</v>
      </c>
      <c t="s">
        <v>45449</v>
      </c>
      <c t="s">
        <v>31211</v>
      </c>
      <c s="3">
        <v>8311</v>
      </c>
      <c s="3">
        <v>8311</v>
      </c>
      <c s="3">
        <v>4972</v>
      </c>
      <c>
        <v>0</v>
      </c>
      <c s="3">
        <v>0</v>
      </c>
      <c s="3">
        <v>316.66</v>
      </c>
      <c s="3">
        <v>8311</v>
      </c>
      <c r="O2620" s="1" t="str">
        <f ca="1">HYPERLINK("https://web.datatree.com/?/property?propertyId=32963056", "https://web.datatree.com/?/property?propertyId=32963056")</f>
        <v>https://web.datatree.com/?/property?propertyId=32963056</v>
      </c>
      <c r="Q2620" t="s">
        <v>316</v>
      </c>
      <c>
        <v>0.235</v>
      </c>
      <c t="s">
        <v>5471</v>
      </c>
      <c t="s">
        <v>57763</v>
      </c>
      <c t="s">
        <v>52696</v>
      </c>
      <c r="X2620" t="s">
        <v>64133</v>
      </c>
      <c t="s">
        <v>48116</v>
      </c>
      <c t="s">
        <v>65059</v>
      </c>
      <c t="s">
        <v>39289</v>
      </c>
      <c>
        <v>33905</v>
      </c>
      <c t="s">
        <v>45822</v>
      </c>
      <c t="s">
        <v>48794</v>
      </c>
      <c t="s">
        <v>15008</v>
      </c>
      <c>
        <v>4500</v>
      </c>
      <c r="AI2620" t="s">
        <v>44061</v>
      </c>
      <c t="s">
        <v>45393</v>
      </c>
      <c r="AL2620" t="s">
        <v>50287</v>
      </c>
      <c r="AN2620" t="s">
        <v>39289</v>
      </c>
      <c t="s">
        <v>59402</v>
      </c>
      <c t="s">
        <v>17380</v>
      </c>
      <c t="s">
        <v>3093</v>
      </c>
      <c t="s">
        <v>17575</v>
      </c>
    </row>
    <row>
      <c t="s">
        <v>17594</v>
      </c>
      <c t="s">
        <v>37857</v>
      </c>
      <c t="s">
        <v>4561</v>
      </c>
      <c t="s">
        <v>53869</v>
      </c>
      <c t="s">
        <v>11736</v>
      </c>
      <c s="3">
        <v>24937</v>
      </c>
      <c s="3">
        <v>24937</v>
      </c>
      <c s="3">
        <v>24937</v>
      </c>
      <c>
        <v>0</v>
      </c>
      <c s="3">
        <v>0</v>
      </c>
      <c s="3">
        <v>3187.46</v>
      </c>
      <c s="3">
        <v>24937</v>
      </c>
      <c r="O2621" s="1" t="str">
        <f ca="1">HYPERLINK("https://web.datatree.com/?/property?propertyId=32964514", "https://web.datatree.com/?/property?propertyId=32964514")</f>
        <v>https://web.datatree.com/?/property?propertyId=32964514</v>
      </c>
      <c r="Q2621" t="s">
        <v>316</v>
      </c>
      <c>
        <v>0.257</v>
      </c>
      <c t="s">
        <v>3410</v>
      </c>
      <c t="s">
        <v>29297</v>
      </c>
      <c t="s">
        <v>21780</v>
      </c>
      <c r="X2621" t="s">
        <v>12068</v>
      </c>
      <c t="s">
        <v>61865</v>
      </c>
      <c t="s">
        <v>2517</v>
      </c>
      <c t="s">
        <v>39289</v>
      </c>
      <c>
        <v>33909</v>
      </c>
      <c t="s">
        <v>56077</v>
      </c>
      <c t="s">
        <v>48794</v>
      </c>
      <c t="s">
        <v>47936</v>
      </c>
      <c>
        <v>9800</v>
      </c>
      <c r="AI2621" t="s">
        <v>54608</v>
      </c>
      <c t="s">
        <v>45393</v>
      </c>
      <c r="AL2621" t="s">
        <v>55393</v>
      </c>
      <c t="s">
        <v>4897</v>
      </c>
      <c t="s">
        <v>39289</v>
      </c>
      <c t="s">
        <v>26778</v>
      </c>
      <c t="s">
        <v>48506</v>
      </c>
      <c t="s">
        <v>3093</v>
      </c>
      <c t="s">
        <v>44094</v>
      </c>
    </row>
    <row>
      <c t="s">
        <v>17594</v>
      </c>
      <c t="s">
        <v>53589</v>
      </c>
      <c t="s">
        <v>56923</v>
      </c>
      <c t="s">
        <v>56206</v>
      </c>
      <c t="s">
        <v>13619</v>
      </c>
      <c s="3">
        <v>7700</v>
      </c>
      <c s="3">
        <v>7700</v>
      </c>
      <c s="3">
        <v>7700</v>
      </c>
      <c>
        <v>0</v>
      </c>
      <c s="3">
        <v>0</v>
      </c>
      <c s="3">
        <v>555.82</v>
      </c>
      <c s="3">
        <v>7700</v>
      </c>
      <c r="O2622" s="1" t="str">
        <f ca="1">HYPERLINK("https://web.datatree.com/?/property?propertyId=32965178", "https://web.datatree.com/?/property?propertyId=32965178")</f>
        <v>https://web.datatree.com/?/property?propertyId=32965178</v>
      </c>
      <c r="Q2622" t="s">
        <v>316</v>
      </c>
      <c>
        <v>0.244</v>
      </c>
      <c t="s">
        <v>6175</v>
      </c>
      <c r="U2622" t="s">
        <v>25373</v>
      </c>
      <c r="X2622" t="s">
        <v>27413</v>
      </c>
      <c t="s">
        <v>14534</v>
      </c>
      <c t="s">
        <v>2517</v>
      </c>
      <c t="s">
        <v>39289</v>
      </c>
      <c>
        <v>33909</v>
      </c>
      <c t="s">
        <v>17081</v>
      </c>
      <c t="s">
        <v>48794</v>
      </c>
      <c t="s">
        <v>23853</v>
      </c>
      <c>
        <v>4</v>
      </c>
      <c r="AI2622" t="s">
        <v>1943</v>
      </c>
      <c t="s">
        <v>45393</v>
      </c>
      <c r="AL2622" t="s">
        <v>62585</v>
      </c>
      <c t="s">
        <v>62585</v>
      </c>
      <c t="s">
        <v>5859</v>
      </c>
      <c t="s">
        <v>7001</v>
      </c>
      <c t="s">
        <v>23744</v>
      </c>
      <c t="s">
        <v>3093</v>
      </c>
      <c t="s">
        <v>46423</v>
      </c>
    </row>
    <row>
      <c t="s">
        <v>17594</v>
      </c>
      <c t="s">
        <v>20526</v>
      </c>
      <c t="s">
        <v>52035</v>
      </c>
      <c t="s">
        <v>27961</v>
      </c>
      <c t="s">
        <v>37579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623" s="1" t="str">
        <f ca="1">HYPERLINK("https://web.datatree.com/?/property?propertyId=32965838", "https://web.datatree.com/?/property?propertyId=32965838")</f>
        <v>https://web.datatree.com/?/property?propertyId=32965838</v>
      </c>
      <c r="Q2623" t="s">
        <v>316</v>
      </c>
      <c>
        <v>0.23</v>
      </c>
      <c t="s">
        <v>6175</v>
      </c>
      <c t="s">
        <v>36138</v>
      </c>
      <c t="s">
        <v>16822</v>
      </c>
      <c t="s">
        <v>6212</v>
      </c>
      <c t="s">
        <v>5608</v>
      </c>
      <c t="s">
        <v>63123</v>
      </c>
      <c t="s">
        <v>61865</v>
      </c>
      <c t="s">
        <v>2517</v>
      </c>
      <c t="s">
        <v>39289</v>
      </c>
      <c>
        <v>33909</v>
      </c>
      <c t="s">
        <v>56434</v>
      </c>
      <c t="s">
        <v>48794</v>
      </c>
      <c t="s">
        <v>10266</v>
      </c>
      <c>
        <v>6279</v>
      </c>
      <c r="AI2623" t="s">
        <v>4790</v>
      </c>
      <c t="s">
        <v>24900</v>
      </c>
      <c r="AL2623" t="s">
        <v>11713</v>
      </c>
      <c r="AN2623" t="s">
        <v>39289</v>
      </c>
      <c t="s">
        <v>13218</v>
      </c>
      <c t="s">
        <v>2198</v>
      </c>
      <c t="s">
        <v>3093</v>
      </c>
      <c t="s">
        <v>36969</v>
      </c>
    </row>
    <row>
      <c t="s">
        <v>17594</v>
      </c>
      <c t="s">
        <v>58639</v>
      </c>
      <c t="s">
        <v>21473</v>
      </c>
      <c t="s">
        <v>12823</v>
      </c>
      <c t="s">
        <v>31270</v>
      </c>
      <c s="3">
        <v>55641</v>
      </c>
      <c s="3">
        <v>55641</v>
      </c>
      <c s="3">
        <v>55641</v>
      </c>
      <c>
        <v>0</v>
      </c>
      <c s="3">
        <v>0</v>
      </c>
      <c s="3">
        <v>852.52</v>
      </c>
      <c s="3">
        <v>55641</v>
      </c>
      <c r="O2624" s="1" t="str">
        <f ca="1">HYPERLINK("https://web.datatree.com/?/property?propertyId=32966414", "https://web.datatree.com/?/property?propertyId=32966414")</f>
        <v>https://web.datatree.com/?/property?propertyId=32966414</v>
      </c>
      <c r="Q2624" t="s">
        <v>316</v>
      </c>
      <c>
        <v>0.251</v>
      </c>
      <c t="s">
        <v>5471</v>
      </c>
      <c r="U2624" t="s">
        <v>25573</v>
      </c>
      <c r="W2624" t="s">
        <v>24932</v>
      </c>
      <c t="s">
        <v>37643</v>
      </c>
      <c t="s">
        <v>62827</v>
      </c>
      <c t="s">
        <v>65059</v>
      </c>
      <c t="s">
        <v>39289</v>
      </c>
      <c>
        <v>33905</v>
      </c>
      <c t="s">
        <v>59520</v>
      </c>
      <c t="s">
        <v>48794</v>
      </c>
      <c t="s">
        <v>60476</v>
      </c>
      <c>
        <v>9204</v>
      </c>
      <c r="AI2624" t="s">
        <v>1400</v>
      </c>
      <c t="s">
        <v>55842</v>
      </c>
      <c r="AL2624" t="s">
        <v>29560</v>
      </c>
      <c t="s">
        <v>29560</v>
      </c>
      <c t="s">
        <v>39289</v>
      </c>
      <c>
        <v>32162</v>
      </c>
      <c t="s">
        <v>62845</v>
      </c>
      <c t="s">
        <v>3093</v>
      </c>
      <c t="s">
        <v>1644</v>
      </c>
    </row>
    <row>
      <c t="s">
        <v>17594</v>
      </c>
      <c t="s">
        <v>11583</v>
      </c>
      <c t="s">
        <v>56138</v>
      </c>
      <c t="s">
        <v>51672</v>
      </c>
      <c t="s">
        <v>22356</v>
      </c>
      <c s="3">
        <v>4859</v>
      </c>
      <c s="3">
        <v>4859</v>
      </c>
      <c s="3">
        <v>2772</v>
      </c>
      <c>
        <v>0</v>
      </c>
      <c s="3">
        <v>0</v>
      </c>
      <c s="3">
        <v>58.45</v>
      </c>
      <c s="3">
        <v>4859</v>
      </c>
      <c r="O2625" s="1" t="str">
        <f ca="1">HYPERLINK("https://web.datatree.com/?/property?propertyId=32966469", "https://web.datatree.com/?/property?propertyId=32966469")</f>
        <v>https://web.datatree.com/?/property?propertyId=32966469</v>
      </c>
      <c r="Q2625" t="s">
        <v>316</v>
      </c>
      <c>
        <v>0.092</v>
      </c>
      <c t="s">
        <v>36917</v>
      </c>
      <c r="U2625" t="s">
        <v>54808</v>
      </c>
      <c t="s">
        <v>47187</v>
      </c>
      <c t="s">
        <v>45001</v>
      </c>
      <c t="s">
        <v>59865</v>
      </c>
      <c t="s">
        <v>31245</v>
      </c>
      <c t="s">
        <v>54524</v>
      </c>
      <c t="s">
        <v>39289</v>
      </c>
      <c>
        <v>33903</v>
      </c>
      <c t="s">
        <v>64590</v>
      </c>
      <c t="s">
        <v>48794</v>
      </c>
      <c t="s">
        <v>30234</v>
      </c>
      <c>
        <v>4875</v>
      </c>
      <c r="AI2625" t="s">
        <v>63366</v>
      </c>
      <c t="s">
        <v>31192</v>
      </c>
      <c>
        <v>7303</v>
      </c>
      <c t="s">
        <v>11713</v>
      </c>
      <c r="AN2625" t="s">
        <v>39289</v>
      </c>
      <c t="s">
        <v>1743</v>
      </c>
      <c t="s">
        <v>12483</v>
      </c>
      <c t="s">
        <v>3093</v>
      </c>
      <c t="s">
        <v>18020</v>
      </c>
    </row>
    <row>
      <c t="s">
        <v>17594</v>
      </c>
      <c t="s">
        <v>45958</v>
      </c>
      <c t="s">
        <v>29897</v>
      </c>
      <c t="s">
        <v>17020</v>
      </c>
      <c t="s">
        <v>11510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>
        <v>2014</v>
      </c>
      <c>
        <v>4707.51</v>
      </c>
      <c s="1" t="str">
        <f ca="1">HYPERLINK("https://web.datatree.com/?/property?propertyId=32966512", "https://web.datatree.com/?/property?propertyId=32966512")</f>
        <v>https://web.datatree.com/?/property?propertyId=32966512</v>
      </c>
      <c r="Q2626" t="s">
        <v>316</v>
      </c>
      <c>
        <v>0.23</v>
      </c>
      <c t="s">
        <v>6175</v>
      </c>
      <c t="s">
        <v>4814</v>
      </c>
      <c t="s">
        <v>39126</v>
      </c>
      <c t="s">
        <v>52533</v>
      </c>
      <c t="s">
        <v>39126</v>
      </c>
      <c t="s">
        <v>10803</v>
      </c>
      <c t="s">
        <v>61850</v>
      </c>
      <c t="s">
        <v>2517</v>
      </c>
      <c t="s">
        <v>39289</v>
      </c>
      <c>
        <v>33909</v>
      </c>
      <c t="s">
        <v>54089</v>
      </c>
      <c t="s">
        <v>48794</v>
      </c>
      <c t="s">
        <v>44166</v>
      </c>
      <c>
        <v>129</v>
      </c>
      <c r="AH2626" t="s">
        <v>15376</v>
      </c>
      <c t="s">
        <v>67236</v>
      </c>
      <c t="s">
        <v>45393</v>
      </c>
      <c r="AL2626" t="s">
        <v>29275</v>
      </c>
      <c r="AN2626" t="s">
        <v>34191</v>
      </c>
      <c t="s">
        <v>56984</v>
      </c>
      <c t="s">
        <v>51249</v>
      </c>
      <c t="s">
        <v>3093</v>
      </c>
      <c t="s">
        <v>50988</v>
      </c>
    </row>
    <row>
      <c t="s">
        <v>17594</v>
      </c>
      <c t="s">
        <v>38307</v>
      </c>
      <c t="s">
        <v>29659</v>
      </c>
      <c t="s">
        <v>64953</v>
      </c>
      <c t="s">
        <v>50627</v>
      </c>
      <c s="3">
        <v>20002</v>
      </c>
      <c s="3">
        <v>20002</v>
      </c>
      <c s="3">
        <v>9339</v>
      </c>
      <c>
        <v>0</v>
      </c>
      <c s="3">
        <v>0</v>
      </c>
      <c s="3">
        <v>540.83</v>
      </c>
      <c s="3">
        <v>20002</v>
      </c>
      <c r="O2627" s="1" t="str">
        <f ca="1">HYPERLINK("https://web.datatree.com/?/property?propertyId=32966696", "https://web.datatree.com/?/property?propertyId=32966696")</f>
        <v>https://web.datatree.com/?/property?propertyId=32966696</v>
      </c>
      <c r="Q2627" t="s">
        <v>316</v>
      </c>
      <c>
        <v>0.23</v>
      </c>
      <c t="s">
        <v>6175</v>
      </c>
      <c t="s">
        <v>50078</v>
      </c>
      <c t="s">
        <v>58264</v>
      </c>
      <c r="X2627" t="s">
        <v>16263</v>
      </c>
      <c t="s">
        <v>22731</v>
      </c>
      <c t="s">
        <v>2517</v>
      </c>
      <c t="s">
        <v>39289</v>
      </c>
      <c>
        <v>33909</v>
      </c>
      <c t="s">
        <v>28026</v>
      </c>
      <c t="s">
        <v>48794</v>
      </c>
      <c t="s">
        <v>35322</v>
      </c>
      <c>
        <v>440</v>
      </c>
      <c r="AI2627" t="s">
        <v>43017</v>
      </c>
      <c t="s">
        <v>45393</v>
      </c>
      <c t="s">
        <v>41368</v>
      </c>
      <c t="s">
        <v>13397</v>
      </c>
      <c r="AN2627" t="s">
        <v>50917</v>
      </c>
      <c t="s">
        <v>48562</v>
      </c>
      <c t="s">
        <v>21490</v>
      </c>
      <c t="s">
        <v>3093</v>
      </c>
      <c t="s">
        <v>42054</v>
      </c>
    </row>
    <row>
      <c t="s">
        <v>17594</v>
      </c>
      <c t="s">
        <v>61815</v>
      </c>
      <c t="s">
        <v>34518</v>
      </c>
      <c t="s">
        <v>12230</v>
      </c>
      <c t="s">
        <v>33158</v>
      </c>
      <c s="3">
        <v>24711</v>
      </c>
      <c s="3">
        <v>24711</v>
      </c>
      <c s="3">
        <v>9900</v>
      </c>
      <c>
        <v>0</v>
      </c>
      <c s="3">
        <v>0</v>
      </c>
      <c s="3">
        <v>621.22</v>
      </c>
      <c s="3">
        <v>24711</v>
      </c>
      <c r="O2628" s="1" t="str">
        <f ca="1">HYPERLINK("https://web.datatree.com/?/property?propertyId=32967007", "https://web.datatree.com/?/property?propertyId=32967007")</f>
        <v>https://web.datatree.com/?/property?propertyId=32967007</v>
      </c>
      <c r="Q2628" t="s">
        <v>316</v>
      </c>
      <c>
        <v>0.247</v>
      </c>
      <c t="s">
        <v>22490</v>
      </c>
      <c t="s">
        <v>46205</v>
      </c>
      <c t="s">
        <v>22847</v>
      </c>
      <c r="X2628" t="s">
        <v>2098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23665</v>
      </c>
      <c>
        <v>4</v>
      </c>
      <c r="AI2628" t="s">
        <v>15537</v>
      </c>
      <c t="s">
        <v>45620</v>
      </c>
      <c r="AL2628" t="s">
        <v>57783</v>
      </c>
      <c r="AN2628" t="s">
        <v>26016</v>
      </c>
      <c t="s">
        <v>16538</v>
      </c>
      <c t="s">
        <v>38085</v>
      </c>
      <c t="s">
        <v>3093</v>
      </c>
      <c t="s">
        <v>41576</v>
      </c>
    </row>
    <row>
      <c t="s">
        <v>17594</v>
      </c>
      <c t="s">
        <v>46350</v>
      </c>
      <c t="s">
        <v>7668</v>
      </c>
      <c t="s">
        <v>11192</v>
      </c>
      <c t="s">
        <v>49782</v>
      </c>
      <c s="3">
        <v>7300</v>
      </c>
      <c s="3">
        <v>7300</v>
      </c>
      <c s="3">
        <v>7300</v>
      </c>
      <c>
        <v>0</v>
      </c>
      <c s="3">
        <v>0</v>
      </c>
      <c s="3">
        <v>725.65</v>
      </c>
      <c s="3">
        <v>7300</v>
      </c>
      <c r="O2629" s="1" t="str">
        <f ca="1">HYPERLINK("https://web.datatree.com/?/property?propertyId=32967014", "https://web.datatree.com/?/property?propertyId=32967014")</f>
        <v>https://web.datatree.com/?/property?propertyId=32967014</v>
      </c>
      <c r="Q2629" t="s">
        <v>316</v>
      </c>
      <c>
        <v>0.28</v>
      </c>
      <c t="s">
        <v>22490</v>
      </c>
      <c t="s">
        <v>41850</v>
      </c>
      <c t="s">
        <v>13824</v>
      </c>
      <c t="s">
        <v>28421</v>
      </c>
      <c t="s">
        <v>6755</v>
      </c>
      <c t="s">
        <v>38715</v>
      </c>
      <c t="s">
        <v>2619</v>
      </c>
      <c t="s">
        <v>2517</v>
      </c>
      <c t="s">
        <v>39289</v>
      </c>
      <c>
        <v>33909</v>
      </c>
      <c>
        <v>33909</v>
      </c>
      <c t="s">
        <v>48794</v>
      </c>
      <c t="s">
        <v>14918</v>
      </c>
      <c>
        <v>19710</v>
      </c>
      <c r="AI2629" t="s">
        <v>47150</v>
      </c>
      <c t="s">
        <v>40123</v>
      </c>
      <c r="AL2629" t="s">
        <v>55393</v>
      </c>
      <c t="s">
        <v>46784</v>
      </c>
      <c t="s">
        <v>39289</v>
      </c>
      <c t="s">
        <v>5120</v>
      </c>
      <c t="s">
        <v>60333</v>
      </c>
      <c t="s">
        <v>3093</v>
      </c>
      <c t="s">
        <v>19628</v>
      </c>
    </row>
    <row>
      <c t="s">
        <v>17594</v>
      </c>
      <c t="s">
        <v>40349</v>
      </c>
      <c t="s">
        <v>60224</v>
      </c>
      <c t="s">
        <v>40549</v>
      </c>
      <c t="s">
        <v>5576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630" s="1" t="str">
        <f ca="1">HYPERLINK("https://web.datatree.com/?/property?propertyId=32967327", "https://web.datatree.com/?/property?propertyId=32967327")</f>
        <v>https://web.datatree.com/?/property?propertyId=32967327</v>
      </c>
      <c r="Q2630" t="s">
        <v>316</v>
      </c>
      <c>
        <v>0.23</v>
      </c>
      <c t="s">
        <v>6175</v>
      </c>
      <c t="s">
        <v>49393</v>
      </c>
      <c t="s">
        <v>19406</v>
      </c>
      <c t="s">
        <v>552</v>
      </c>
      <c t="s">
        <v>19406</v>
      </c>
      <c t="s">
        <v>30232</v>
      </c>
      <c t="s">
        <v>49674</v>
      </c>
      <c t="s">
        <v>2517</v>
      </c>
      <c t="s">
        <v>39289</v>
      </c>
      <c>
        <v>33909</v>
      </c>
      <c t="s">
        <v>55798</v>
      </c>
      <c t="s">
        <v>48794</v>
      </c>
      <c t="s">
        <v>64229</v>
      </c>
      <c>
        <v>138</v>
      </c>
      <c r="AI2630" t="s">
        <v>20194</v>
      </c>
      <c t="s">
        <v>24900</v>
      </c>
      <c r="AL2630" t="s">
        <v>39016</v>
      </c>
      <c t="s">
        <v>39016</v>
      </c>
      <c t="s">
        <v>50917</v>
      </c>
      <c t="s">
        <v>39314</v>
      </c>
      <c t="s">
        <v>44573</v>
      </c>
      <c t="s">
        <v>3093</v>
      </c>
      <c t="s">
        <v>34984</v>
      </c>
    </row>
    <row>
      <c t="s">
        <v>17594</v>
      </c>
      <c t="s">
        <v>48761</v>
      </c>
      <c t="s">
        <v>29461</v>
      </c>
      <c t="s">
        <v>48009</v>
      </c>
      <c t="s">
        <v>18450</v>
      </c>
      <c s="3">
        <v>53410</v>
      </c>
      <c s="3">
        <v>53410</v>
      </c>
      <c s="3">
        <v>53410</v>
      </c>
      <c>
        <v>0</v>
      </c>
      <c s="3">
        <v>0</v>
      </c>
      <c s="3">
        <v>729.12</v>
      </c>
      <c s="3">
        <v>53410</v>
      </c>
      <c r="O2631" s="1" t="str">
        <f ca="1">HYPERLINK("https://web.datatree.com/?/property?propertyId=32967380", "https://web.datatree.com/?/property?propertyId=32967380")</f>
        <v>https://web.datatree.com/?/property?propertyId=32967380</v>
      </c>
      <c r="Q2631" t="s">
        <v>316</v>
      </c>
      <c>
        <v>0.265</v>
      </c>
      <c t="s">
        <v>5471</v>
      </c>
      <c t="s">
        <v>12915</v>
      </c>
      <c t="s">
        <v>47169</v>
      </c>
      <c t="s">
        <v>51864</v>
      </c>
      <c t="s">
        <v>55795</v>
      </c>
      <c t="s">
        <v>9306</v>
      </c>
      <c t="s">
        <v>48352</v>
      </c>
      <c t="s">
        <v>65059</v>
      </c>
      <c t="s">
        <v>39289</v>
      </c>
      <c>
        <v>33905</v>
      </c>
      <c t="s">
        <v>8411</v>
      </c>
      <c t="s">
        <v>48794</v>
      </c>
      <c t="s">
        <v>63033</v>
      </c>
      <c>
        <v>3790</v>
      </c>
      <c r="AH2631" t="s">
        <v>52165</v>
      </c>
      <c t="s">
        <v>17022</v>
      </c>
      <c t="s">
        <v>24900</v>
      </c>
      <c r="AL2631" t="s">
        <v>11713</v>
      </c>
      <c r="AN2631" t="s">
        <v>39289</v>
      </c>
      <c t="s">
        <v>47944</v>
      </c>
      <c t="s">
        <v>19154</v>
      </c>
      <c t="s">
        <v>3093</v>
      </c>
      <c t="s">
        <v>61076</v>
      </c>
    </row>
    <row>
      <c t="s">
        <v>17594</v>
      </c>
      <c t="s">
        <v>12863</v>
      </c>
      <c t="s">
        <v>25429</v>
      </c>
      <c t="s">
        <v>50037</v>
      </c>
      <c t="s">
        <v>15555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632" s="1" t="str">
        <f ca="1">HYPERLINK("https://web.datatree.com/?/property?propertyId=32967414", "https://web.datatree.com/?/property?propertyId=32967414")</f>
        <v>https://web.datatree.com/?/property?propertyId=32967414</v>
      </c>
      <c r="Q2632" t="s">
        <v>316</v>
      </c>
      <c>
        <v>0.23</v>
      </c>
      <c t="s">
        <v>6175</v>
      </c>
      <c r="U2632" t="s">
        <v>12711</v>
      </c>
      <c t="s">
        <v>52880</v>
      </c>
      <c t="s">
        <v>34467</v>
      </c>
      <c t="s">
        <v>43460</v>
      </c>
      <c t="s">
        <v>10653</v>
      </c>
      <c t="s">
        <v>2517</v>
      </c>
      <c t="s">
        <v>39289</v>
      </c>
      <c>
        <v>33909</v>
      </c>
      <c t="s">
        <v>57252</v>
      </c>
      <c t="s">
        <v>48794</v>
      </c>
      <c t="s">
        <v>24973</v>
      </c>
      <c>
        <v>4694</v>
      </c>
      <c r="AI2632" t="s">
        <v>18019</v>
      </c>
      <c t="s">
        <v>45620</v>
      </c>
      <c>
        <v>282</v>
      </c>
      <c t="s">
        <v>65241</v>
      </c>
      <c t="s">
        <v>65241</v>
      </c>
      <c t="s">
        <v>17134</v>
      </c>
      <c t="s">
        <v>11284</v>
      </c>
      <c t="s">
        <v>49977</v>
      </c>
      <c t="s">
        <v>3093</v>
      </c>
      <c t="s">
        <v>14803</v>
      </c>
    </row>
    <row>
      <c t="s">
        <v>17594</v>
      </c>
      <c t="s">
        <v>8783</v>
      </c>
      <c t="s">
        <v>5175</v>
      </c>
      <c t="s">
        <v>49436</v>
      </c>
      <c t="s">
        <v>53886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2633" s="1" t="str">
        <f ca="1">HYPERLINK("https://web.datatree.com/?/property?propertyId=32967597", "https://web.datatree.com/?/property?propertyId=32967597")</f>
        <v>https://web.datatree.com/?/property?propertyId=32967597</v>
      </c>
      <c r="Q2633" t="s">
        <v>316</v>
      </c>
      <c>
        <v>0.23</v>
      </c>
      <c t="s">
        <v>6175</v>
      </c>
      <c t="s">
        <v>32675</v>
      </c>
      <c t="s">
        <v>37991</v>
      </c>
      <c t="s">
        <v>32675</v>
      </c>
      <c r="X2633" t="s">
        <v>1754</v>
      </c>
      <c t="s">
        <v>47150</v>
      </c>
      <c t="s">
        <v>2517</v>
      </c>
      <c t="s">
        <v>39289</v>
      </c>
      <c>
        <v>33909</v>
      </c>
      <c t="s">
        <v>1040</v>
      </c>
      <c t="s">
        <v>48794</v>
      </c>
      <c t="s">
        <v>6126</v>
      </c>
      <c>
        <v>9711</v>
      </c>
      <c r="AI2633" t="s">
        <v>3095</v>
      </c>
      <c t="s">
        <v>4985</v>
      </c>
      <c>
        <v>106</v>
      </c>
      <c t="s">
        <v>55393</v>
      </c>
      <c t="s">
        <v>57031</v>
      </c>
      <c t="s">
        <v>39289</v>
      </c>
      <c t="s">
        <v>51541</v>
      </c>
      <c t="s">
        <v>66797</v>
      </c>
      <c t="s">
        <v>3093</v>
      </c>
      <c t="s">
        <v>682</v>
      </c>
    </row>
    <row>
      <c t="s">
        <v>17594</v>
      </c>
      <c t="s">
        <v>31935</v>
      </c>
      <c t="s">
        <v>11682</v>
      </c>
      <c t="s">
        <v>28533</v>
      </c>
      <c t="s">
        <v>34473</v>
      </c>
      <c s="3">
        <v>8395</v>
      </c>
      <c s="3">
        <v>8395</v>
      </c>
      <c s="3">
        <v>8395</v>
      </c>
      <c>
        <v>0</v>
      </c>
      <c s="3">
        <v>0</v>
      </c>
      <c s="3">
        <v>771.84</v>
      </c>
      <c s="3">
        <v>8395</v>
      </c>
      <c r="O2634" s="1" t="str">
        <f ca="1">HYPERLINK("https://web.datatree.com/?/property?propertyId=32968231", "https://web.datatree.com/?/property?propertyId=32968231")</f>
        <v>https://web.datatree.com/?/property?propertyId=32968231</v>
      </c>
      <c r="Q2634" t="s">
        <v>316</v>
      </c>
      <c>
        <v>0.281</v>
      </c>
      <c t="s">
        <v>22490</v>
      </c>
      <c t="s">
        <v>18074</v>
      </c>
      <c t="s">
        <v>24112</v>
      </c>
      <c t="s">
        <v>13419</v>
      </c>
      <c t="s">
        <v>24112</v>
      </c>
      <c t="s">
        <v>15068</v>
      </c>
      <c t="s">
        <v>24999</v>
      </c>
      <c t="s">
        <v>2517</v>
      </c>
      <c t="s">
        <v>39289</v>
      </c>
      <c>
        <v>33909</v>
      </c>
      <c>
        <v>33909</v>
      </c>
      <c t="s">
        <v>48794</v>
      </c>
      <c t="s">
        <v>64311</v>
      </c>
      <c>
        <v>4110</v>
      </c>
      <c r="AH2634" t="s">
        <v>6851</v>
      </c>
      <c t="s">
        <v>9030</v>
      </c>
      <c t="s">
        <v>45393</v>
      </c>
      <c r="AL2634" t="s">
        <v>8276</v>
      </c>
      <c t="s">
        <v>7925</v>
      </c>
      <c t="s">
        <v>4477</v>
      </c>
      <c t="s">
        <v>5855</v>
      </c>
      <c t="s">
        <v>14845</v>
      </c>
      <c t="s">
        <v>3093</v>
      </c>
      <c t="s">
        <v>57864</v>
      </c>
    </row>
    <row>
      <c t="s">
        <v>17594</v>
      </c>
      <c t="s">
        <v>60265</v>
      </c>
      <c t="s">
        <v>33227</v>
      </c>
      <c t="s">
        <v>11942</v>
      </c>
      <c t="s">
        <v>19556</v>
      </c>
      <c s="3">
        <v>8400</v>
      </c>
      <c s="3">
        <v>8400</v>
      </c>
      <c s="3">
        <v>8400</v>
      </c>
      <c>
        <v>0</v>
      </c>
      <c s="3">
        <v>0</v>
      </c>
      <c s="3">
        <v>683.32</v>
      </c>
      <c s="3">
        <v>8400</v>
      </c>
      <c r="O2635" s="1" t="str">
        <f ca="1">HYPERLINK("https://web.datatree.com/?/property?propertyId=32968389", "https://web.datatree.com/?/property?propertyId=32968389")</f>
        <v>https://web.datatree.com/?/property?propertyId=32968389</v>
      </c>
      <c r="Q2635" t="s">
        <v>316</v>
      </c>
      <c>
        <v>0.23</v>
      </c>
      <c t="s">
        <v>6175</v>
      </c>
      <c t="s">
        <v>44541</v>
      </c>
      <c t="s">
        <v>22725</v>
      </c>
      <c t="s">
        <v>13419</v>
      </c>
      <c t="s">
        <v>22725</v>
      </c>
      <c t="s">
        <v>16924</v>
      </c>
      <c t="s">
        <v>39777</v>
      </c>
      <c t="s">
        <v>2517</v>
      </c>
      <c t="s">
        <v>39289</v>
      </c>
      <c>
        <v>33909</v>
      </c>
      <c t="s">
        <v>52651</v>
      </c>
      <c t="s">
        <v>48794</v>
      </c>
      <c t="s">
        <v>62022</v>
      </c>
      <c>
        <v>467</v>
      </c>
      <c r="AI2635" t="s">
        <v>22749</v>
      </c>
      <c t="s">
        <v>45620</v>
      </c>
      <c r="AL2635" t="s">
        <v>20637</v>
      </c>
      <c r="AN2635" t="s">
        <v>26016</v>
      </c>
      <c t="s">
        <v>37390</v>
      </c>
      <c t="s">
        <v>27410</v>
      </c>
      <c t="s">
        <v>3093</v>
      </c>
      <c t="s">
        <v>67220</v>
      </c>
    </row>
    <row>
      <c t="s">
        <v>17594</v>
      </c>
      <c t="s">
        <v>908</v>
      </c>
      <c t="s">
        <v>55064</v>
      </c>
      <c t="s">
        <v>16919</v>
      </c>
      <c t="s">
        <v>61891</v>
      </c>
      <c s="3">
        <v>76315</v>
      </c>
      <c s="3">
        <v>76315</v>
      </c>
      <c s="3">
        <v>76315</v>
      </c>
      <c>
        <v>0</v>
      </c>
      <c s="3">
        <v>0</v>
      </c>
      <c s="3">
        <v>1180.55</v>
      </c>
      <c s="3">
        <v>76315</v>
      </c>
      <c r="O2636" s="1" t="str">
        <f ca="1">HYPERLINK("https://web.datatree.com/?/property?propertyId=32968667", "https://web.datatree.com/?/property?propertyId=32968667")</f>
        <v>https://web.datatree.com/?/property?propertyId=32968667</v>
      </c>
      <c r="Q2636" t="s">
        <v>316</v>
      </c>
      <c>
        <v>0.283</v>
      </c>
      <c t="s">
        <v>5471</v>
      </c>
      <c t="s">
        <v>58276</v>
      </c>
      <c t="s">
        <v>58151</v>
      </c>
      <c t="s">
        <v>40397</v>
      </c>
      <c t="s">
        <v>58151</v>
      </c>
      <c t="s">
        <v>52938</v>
      </c>
      <c t="s">
        <v>30627</v>
      </c>
      <c t="s">
        <v>65059</v>
      </c>
      <c t="s">
        <v>39289</v>
      </c>
      <c>
        <v>33908</v>
      </c>
      <c t="s">
        <v>3696</v>
      </c>
      <c t="s">
        <v>48794</v>
      </c>
      <c t="s">
        <v>58676</v>
      </c>
      <c>
        <v>300</v>
      </c>
      <c r="AI2636" t="s">
        <v>17429</v>
      </c>
      <c t="s">
        <v>45620</v>
      </c>
      <c r="AL2636" t="s">
        <v>40977</v>
      </c>
      <c t="s">
        <v>40977</v>
      </c>
      <c t="s">
        <v>26016</v>
      </c>
      <c t="s">
        <v>22998</v>
      </c>
      <c t="s">
        <v>636</v>
      </c>
      <c t="s">
        <v>3093</v>
      </c>
      <c t="s">
        <v>64401</v>
      </c>
    </row>
    <row>
      <c t="s">
        <v>17594</v>
      </c>
      <c t="s">
        <v>61235</v>
      </c>
      <c t="s">
        <v>61619</v>
      </c>
      <c t="s">
        <v>6399</v>
      </c>
      <c t="s">
        <v>56931</v>
      </c>
      <c s="3">
        <v>20973</v>
      </c>
      <c s="3">
        <v>20973</v>
      </c>
      <c s="3">
        <v>12579</v>
      </c>
      <c>
        <v>0</v>
      </c>
      <c s="3">
        <v>0</v>
      </c>
      <c s="3">
        <v>712.53</v>
      </c>
      <c s="3">
        <v>20973</v>
      </c>
      <c r="O2637" s="1" t="str">
        <f ca="1">HYPERLINK("https://web.datatree.com/?/property?propertyId=32969091", "https://web.datatree.com/?/property?propertyId=32969091")</f>
        <v>https://web.datatree.com/?/property?propertyId=32969091</v>
      </c>
      <c r="Q2637" t="s">
        <v>316</v>
      </c>
      <c>
        <v>0.248</v>
      </c>
      <c t="s">
        <v>65422</v>
      </c>
      <c t="s">
        <v>52458</v>
      </c>
      <c t="s">
        <v>43846</v>
      </c>
      <c r="X2637" t="s">
        <v>39298</v>
      </c>
      <c t="s">
        <v>61850</v>
      </c>
      <c t="s">
        <v>2517</v>
      </c>
      <c t="s">
        <v>39289</v>
      </c>
      <c>
        <v>33909</v>
      </c>
      <c>
        <v>33909</v>
      </c>
      <c t="s">
        <v>48794</v>
      </c>
      <c t="s">
        <v>65758</v>
      </c>
      <c>
        <v>20900</v>
      </c>
      <c r="AI2637" t="s">
        <v>39832</v>
      </c>
      <c t="s">
        <v>24900</v>
      </c>
      <c>
        <v>809</v>
      </c>
      <c t="s">
        <v>55393</v>
      </c>
      <c t="s">
        <v>45140</v>
      </c>
      <c t="s">
        <v>39289</v>
      </c>
      <c t="s">
        <v>61046</v>
      </c>
      <c t="s">
        <v>54916</v>
      </c>
      <c t="s">
        <v>3093</v>
      </c>
      <c t="s">
        <v>55839</v>
      </c>
    </row>
    <row>
      <c t="s">
        <v>17594</v>
      </c>
      <c t="s">
        <v>33995</v>
      </c>
      <c t="s">
        <v>52574</v>
      </c>
      <c t="s">
        <v>2026</v>
      </c>
      <c t="s">
        <v>109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2638" s="1" t="str">
        <f ca="1">HYPERLINK("https://web.datatree.com/?/property?propertyId=32969143", "https://web.datatree.com/?/property?propertyId=32969143")</f>
        <v>https://web.datatree.com/?/property?propertyId=32969143</v>
      </c>
      <c r="Q2638" t="s">
        <v>316</v>
      </c>
      <c>
        <v>0.23</v>
      </c>
      <c t="s">
        <v>6175</v>
      </c>
      <c t="s">
        <v>12284</v>
      </c>
      <c t="s">
        <v>10998</v>
      </c>
      <c t="s">
        <v>49579</v>
      </c>
      <c t="s">
        <v>10998</v>
      </c>
      <c t="s">
        <v>59457</v>
      </c>
      <c t="s">
        <v>13829</v>
      </c>
      <c t="s">
        <v>2517</v>
      </c>
      <c t="s">
        <v>39289</v>
      </c>
      <c>
        <v>33909</v>
      </c>
      <c t="s">
        <v>50718</v>
      </c>
      <c t="s">
        <v>48794</v>
      </c>
      <c t="s">
        <v>38454</v>
      </c>
      <c>
        <v>1904</v>
      </c>
      <c r="AI2638" t="s">
        <v>53134</v>
      </c>
      <c t="s">
        <v>31192</v>
      </c>
      <c r="AL2638" t="s">
        <v>49170</v>
      </c>
      <c r="AN2638" t="s">
        <v>19878</v>
      </c>
      <c t="s">
        <v>18381</v>
      </c>
      <c t="s">
        <v>13449</v>
      </c>
      <c t="s">
        <v>3093</v>
      </c>
      <c t="s">
        <v>66700</v>
      </c>
    </row>
    <row>
      <c t="s">
        <v>17594</v>
      </c>
      <c t="s">
        <v>25758</v>
      </c>
      <c t="s">
        <v>38252</v>
      </c>
      <c t="s">
        <v>37929</v>
      </c>
      <c t="s">
        <v>54004</v>
      </c>
      <c s="3">
        <v>11250</v>
      </c>
      <c s="3">
        <v>11250</v>
      </c>
      <c s="3">
        <v>6626</v>
      </c>
      <c>
        <v>0</v>
      </c>
      <c s="3">
        <v>0</v>
      </c>
      <c s="3">
        <v>117.95</v>
      </c>
      <c s="3">
        <v>11250</v>
      </c>
      <c r="O2639" s="1" t="str">
        <f ca="1">HYPERLINK("https://web.datatree.com/?/property?propertyId=32970401", "https://web.datatree.com/?/property?propertyId=32970401")</f>
        <v>https://web.datatree.com/?/property?propertyId=32970401</v>
      </c>
      <c r="Q2639" t="s">
        <v>316</v>
      </c>
      <c>
        <v>0.241</v>
      </c>
      <c t="s">
        <v>36245</v>
      </c>
      <c t="s">
        <v>52701</v>
      </c>
      <c t="s">
        <v>12516</v>
      </c>
      <c r="X2639" t="s">
        <v>66224</v>
      </c>
      <c t="s">
        <v>14676</v>
      </c>
      <c t="s">
        <v>65059</v>
      </c>
      <c t="s">
        <v>39289</v>
      </c>
      <c>
        <v>33905</v>
      </c>
      <c t="s">
        <v>7494</v>
      </c>
      <c t="s">
        <v>48794</v>
      </c>
      <c t="s">
        <v>12630</v>
      </c>
      <c>
        <v>1039</v>
      </c>
      <c r="AI2639" t="s">
        <v>13960</v>
      </c>
      <c t="s">
        <v>55842</v>
      </c>
      <c r="AL2639" t="s">
        <v>15746</v>
      </c>
      <c r="AN2639" t="s">
        <v>39289</v>
      </c>
      <c t="s">
        <v>38869</v>
      </c>
      <c t="s">
        <v>14695</v>
      </c>
      <c t="s">
        <v>3093</v>
      </c>
      <c t="s">
        <v>29391</v>
      </c>
    </row>
    <row>
      <c t="s">
        <v>17594</v>
      </c>
      <c t="s">
        <v>23118</v>
      </c>
      <c t="s">
        <v>15223</v>
      </c>
      <c t="s">
        <v>15157</v>
      </c>
      <c t="s">
        <v>11193</v>
      </c>
      <c s="3">
        <v>7700</v>
      </c>
      <c s="3">
        <v>7700</v>
      </c>
      <c s="3">
        <v>7700</v>
      </c>
      <c>
        <v>0</v>
      </c>
      <c s="3">
        <v>0</v>
      </c>
      <c s="3">
        <v>690.23</v>
      </c>
      <c s="3">
        <v>7700</v>
      </c>
      <c r="O2640" s="1" t="str">
        <f ca="1">HYPERLINK("https://web.datatree.com/?/property?propertyId=32970526", "https://web.datatree.com/?/property?propertyId=32970526")</f>
        <v>https://web.datatree.com/?/property?propertyId=32970526</v>
      </c>
      <c r="Q2640" t="s">
        <v>316</v>
      </c>
      <c>
        <v>0.23</v>
      </c>
      <c t="s">
        <v>6175</v>
      </c>
      <c t="s">
        <v>6209</v>
      </c>
      <c t="s">
        <v>29892</v>
      </c>
      <c t="s">
        <v>47536</v>
      </c>
      <c r="X2640" t="s">
        <v>28172</v>
      </c>
      <c t="s">
        <v>29190</v>
      </c>
      <c t="s">
        <v>2517</v>
      </c>
      <c t="s">
        <v>39289</v>
      </c>
      <c>
        <v>33909</v>
      </c>
      <c t="s">
        <v>34673</v>
      </c>
      <c t="s">
        <v>48794</v>
      </c>
      <c t="s">
        <v>62358</v>
      </c>
      <c>
        <v>1240</v>
      </c>
      <c r="AI2640" t="s">
        <v>2626</v>
      </c>
      <c t="s">
        <v>55842</v>
      </c>
      <c r="AL2640" t="s">
        <v>29515</v>
      </c>
      <c t="s">
        <v>29515</v>
      </c>
      <c t="s">
        <v>39289</v>
      </c>
      <c t="s">
        <v>25575</v>
      </c>
      <c t="s">
        <v>38085</v>
      </c>
      <c t="s">
        <v>3093</v>
      </c>
      <c t="s">
        <v>33773</v>
      </c>
    </row>
    <row>
      <c t="s">
        <v>17594</v>
      </c>
      <c t="s">
        <v>55104</v>
      </c>
      <c t="s">
        <v>40016</v>
      </c>
      <c t="s">
        <v>6882</v>
      </c>
      <c t="s">
        <v>2754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2641" s="1" t="str">
        <f ca="1">HYPERLINK("https://web.datatree.com/?/property?propertyId=32971550", "https://web.datatree.com/?/property?propertyId=32971550")</f>
        <v>https://web.datatree.com/?/property?propertyId=32971550</v>
      </c>
      <c r="Q2641" t="s">
        <v>316</v>
      </c>
      <c>
        <v>0.23</v>
      </c>
      <c t="s">
        <v>22490</v>
      </c>
      <c t="s">
        <v>50865</v>
      </c>
      <c t="s">
        <v>8455</v>
      </c>
      <c r="X2641" t="s">
        <v>913</v>
      </c>
      <c t="s">
        <v>49122</v>
      </c>
      <c t="s">
        <v>2517</v>
      </c>
      <c t="s">
        <v>39289</v>
      </c>
      <c>
        <v>33909</v>
      </c>
      <c t="s">
        <v>29860</v>
      </c>
      <c t="s">
        <v>48794</v>
      </c>
      <c t="s">
        <v>57541</v>
      </c>
      <c>
        <v>14126</v>
      </c>
      <c r="AI2641" t="s">
        <v>31908</v>
      </c>
      <c t="s">
        <v>45620</v>
      </c>
      <c r="AL2641" t="s">
        <v>53411</v>
      </c>
      <c r="AN2641" t="s">
        <v>50917</v>
      </c>
      <c t="s">
        <v>54534</v>
      </c>
      <c t="s">
        <v>15968</v>
      </c>
      <c t="s">
        <v>3093</v>
      </c>
      <c t="s">
        <v>5450</v>
      </c>
    </row>
    <row>
      <c t="s">
        <v>17594</v>
      </c>
      <c t="s">
        <v>9334</v>
      </c>
      <c t="s">
        <v>36690</v>
      </c>
      <c t="s">
        <v>45039</v>
      </c>
      <c t="s">
        <v>4671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642" s="1" t="str">
        <f ca="1">HYPERLINK("https://web.datatree.com/?/property?propertyId=32972300", "https://web.datatree.com/?/property?propertyId=32972300")</f>
        <v>https://web.datatree.com/?/property?propertyId=32972300</v>
      </c>
      <c r="Q2642" t="s">
        <v>316</v>
      </c>
      <c>
        <v>0.23</v>
      </c>
      <c t="s">
        <v>22490</v>
      </c>
      <c t="s">
        <v>4909</v>
      </c>
      <c t="s">
        <v>11601</v>
      </c>
      <c t="s">
        <v>38089</v>
      </c>
      <c t="s">
        <v>45895</v>
      </c>
      <c t="s">
        <v>18625</v>
      </c>
      <c t="s">
        <v>11985</v>
      </c>
      <c t="s">
        <v>2517</v>
      </c>
      <c t="s">
        <v>39289</v>
      </c>
      <c>
        <v>33909</v>
      </c>
      <c t="s">
        <v>36263</v>
      </c>
      <c t="s">
        <v>48794</v>
      </c>
      <c t="s">
        <v>368</v>
      </c>
      <c>
        <v>46</v>
      </c>
      <c r="AI2642" t="s">
        <v>37788</v>
      </c>
      <c t="s">
        <v>45393</v>
      </c>
      <c r="AL2642" t="s">
        <v>31436</v>
      </c>
      <c r="AN2642" t="s">
        <v>19878</v>
      </c>
      <c>
        <v>38523</v>
      </c>
      <c r="AR2642" t="s">
        <v>11384</v>
      </c>
    </row>
    <row>
      <c t="s">
        <v>17594</v>
      </c>
      <c t="s">
        <v>39228</v>
      </c>
      <c t="s">
        <v>30902</v>
      </c>
      <c t="s">
        <v>41847</v>
      </c>
      <c t="s">
        <v>89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643" s="1" t="str">
        <f ca="1">HYPERLINK("https://web.datatree.com/?/property?propertyId=32972391", "https://web.datatree.com/?/property?propertyId=32972391")</f>
        <v>https://web.datatree.com/?/property?propertyId=32972391</v>
      </c>
      <c r="Q2643" t="s">
        <v>316</v>
      </c>
      <c>
        <v>0.23</v>
      </c>
      <c t="s">
        <v>22490</v>
      </c>
      <c t="s">
        <v>9877</v>
      </c>
      <c t="s">
        <v>25052</v>
      </c>
      <c r="X2643" t="s">
        <v>54857</v>
      </c>
      <c t="s">
        <v>24999</v>
      </c>
      <c t="s">
        <v>2517</v>
      </c>
      <c t="s">
        <v>39289</v>
      </c>
      <c>
        <v>33909</v>
      </c>
      <c t="s">
        <v>39242</v>
      </c>
      <c t="s">
        <v>48794</v>
      </c>
      <c t="s">
        <v>14250</v>
      </c>
      <c>
        <v>1703</v>
      </c>
      <c r="AI2643" t="s">
        <v>66647</v>
      </c>
      <c t="s">
        <v>45393</v>
      </c>
      <c r="AL2643" t="s">
        <v>28715</v>
      </c>
      <c t="s">
        <v>28715</v>
      </c>
      <c t="s">
        <v>18236</v>
      </c>
      <c t="s">
        <v>17080</v>
      </c>
      <c t="s">
        <v>4797</v>
      </c>
      <c t="s">
        <v>3093</v>
      </c>
      <c t="s">
        <v>16005</v>
      </c>
    </row>
    <row>
      <c t="s">
        <v>17594</v>
      </c>
      <c t="s">
        <v>15533</v>
      </c>
      <c t="s">
        <v>21977</v>
      </c>
      <c t="s">
        <v>65104</v>
      </c>
      <c t="s">
        <v>34118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2644" s="1" t="str">
        <f ca="1">HYPERLINK("https://web.datatree.com/?/property?propertyId=32973021", "https://web.datatree.com/?/property?propertyId=32973021")</f>
        <v>https://web.datatree.com/?/property?propertyId=32973021</v>
      </c>
      <c r="Q2644" t="s">
        <v>316</v>
      </c>
      <c>
        <v>0.23</v>
      </c>
      <c t="s">
        <v>22490</v>
      </c>
      <c t="s">
        <v>49151</v>
      </c>
      <c t="s">
        <v>25130</v>
      </c>
      <c r="X2644" t="s">
        <v>58742</v>
      </c>
      <c t="s">
        <v>53675</v>
      </c>
      <c t="s">
        <v>2517</v>
      </c>
      <c t="s">
        <v>39289</v>
      </c>
      <c>
        <v>33909</v>
      </c>
      <c t="s">
        <v>15795</v>
      </c>
      <c t="s">
        <v>48794</v>
      </c>
      <c t="s">
        <v>10965</v>
      </c>
      <c>
        <v>1702</v>
      </c>
      <c r="AI2644" t="s">
        <v>63306</v>
      </c>
      <c t="s">
        <v>55842</v>
      </c>
      <c r="AL2644" t="s">
        <v>18092</v>
      </c>
      <c r="AN2644" t="s">
        <v>39289</v>
      </c>
      <c t="s">
        <v>66928</v>
      </c>
      <c t="s">
        <v>27553</v>
      </c>
      <c t="s">
        <v>3093</v>
      </c>
      <c t="s">
        <v>59115</v>
      </c>
    </row>
    <row>
      <c t="s">
        <v>17594</v>
      </c>
      <c t="s">
        <v>19163</v>
      </c>
      <c t="s">
        <v>61016</v>
      </c>
      <c t="s">
        <v>18852</v>
      </c>
      <c t="s">
        <v>34424</v>
      </c>
      <c s="3">
        <v>7700</v>
      </c>
      <c s="3">
        <v>7700</v>
      </c>
      <c s="3">
        <v>7700</v>
      </c>
      <c>
        <v>0</v>
      </c>
      <c s="3">
        <v>0</v>
      </c>
      <c s="3">
        <v>574.97</v>
      </c>
      <c s="3">
        <v>7700</v>
      </c>
      <c r="O2645" s="1" t="str">
        <f ca="1">HYPERLINK("https://web.datatree.com/?/property?propertyId=32973293", "https://web.datatree.com/?/property?propertyId=32973293")</f>
        <v>https://web.datatree.com/?/property?propertyId=32973293</v>
      </c>
      <c r="Q2645" t="s">
        <v>316</v>
      </c>
      <c>
        <v>0.252</v>
      </c>
      <c t="s">
        <v>6175</v>
      </c>
      <c t="s">
        <v>48755</v>
      </c>
      <c t="s">
        <v>61732</v>
      </c>
      <c t="s">
        <v>31051</v>
      </c>
      <c t="s">
        <v>61732</v>
      </c>
      <c t="s">
        <v>59619</v>
      </c>
      <c t="s">
        <v>38550</v>
      </c>
      <c t="s">
        <v>2517</v>
      </c>
      <c t="s">
        <v>39289</v>
      </c>
      <c>
        <v>33909</v>
      </c>
      <c t="s">
        <v>16363</v>
      </c>
      <c t="s">
        <v>48794</v>
      </c>
      <c t="s">
        <v>19169</v>
      </c>
      <c>
        <v>3115</v>
      </c>
      <c r="AI2645" t="s">
        <v>58797</v>
      </c>
      <c t="s">
        <v>45393</v>
      </c>
      <c r="AL2645" t="s">
        <v>9760</v>
      </c>
      <c r="AN2645" t="s">
        <v>21017</v>
      </c>
      <c t="s">
        <v>19757</v>
      </c>
      <c t="s">
        <v>16126</v>
      </c>
      <c t="s">
        <v>3093</v>
      </c>
      <c t="s">
        <v>22317</v>
      </c>
    </row>
    <row>
      <c t="s">
        <v>17594</v>
      </c>
      <c t="s">
        <v>58765</v>
      </c>
      <c t="s">
        <v>48654</v>
      </c>
      <c t="s">
        <v>34003</v>
      </c>
      <c t="s">
        <v>64095</v>
      </c>
      <c s="3">
        <v>7888</v>
      </c>
      <c s="3">
        <v>7888</v>
      </c>
      <c s="3">
        <v>4972</v>
      </c>
      <c>
        <v>0</v>
      </c>
      <c s="3">
        <v>0</v>
      </c>
      <c s="3">
        <v>316.66</v>
      </c>
      <c s="3">
        <v>7888</v>
      </c>
      <c r="O2646" s="1" t="str">
        <f ca="1">HYPERLINK("https://web.datatree.com/?/property?propertyId=32973582", "https://web.datatree.com/?/property?propertyId=32973582")</f>
        <v>https://web.datatree.com/?/property?propertyId=32973582</v>
      </c>
      <c r="Q2646" t="s">
        <v>316</v>
      </c>
      <c>
        <v>0.242</v>
      </c>
      <c t="s">
        <v>5471</v>
      </c>
      <c t="s">
        <v>33621</v>
      </c>
      <c t="s">
        <v>14908</v>
      </c>
      <c r="X2646" t="s">
        <v>43400</v>
      </c>
      <c t="s">
        <v>61415</v>
      </c>
      <c t="s">
        <v>65059</v>
      </c>
      <c t="s">
        <v>39289</v>
      </c>
      <c>
        <v>33905</v>
      </c>
      <c t="s">
        <v>52937</v>
      </c>
      <c t="s">
        <v>48794</v>
      </c>
      <c t="s">
        <v>31820</v>
      </c>
      <c>
        <v>9211</v>
      </c>
      <c r="AI2646" t="s">
        <v>57663</v>
      </c>
      <c t="s">
        <v>41372</v>
      </c>
      <c r="AL2646" t="s">
        <v>23779</v>
      </c>
      <c r="AN2646" t="s">
        <v>50917</v>
      </c>
      <c t="s">
        <v>41621</v>
      </c>
      <c t="s">
        <v>14845</v>
      </c>
      <c t="s">
        <v>3093</v>
      </c>
      <c t="s">
        <v>28241</v>
      </c>
    </row>
    <row>
      <c t="s">
        <v>17594</v>
      </c>
      <c t="s">
        <v>10830</v>
      </c>
      <c t="s">
        <v>22991</v>
      </c>
      <c t="s">
        <v>63326</v>
      </c>
      <c t="s">
        <v>42882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605.74</v>
      </c>
      <c s="1" t="str">
        <f ca="1">HYPERLINK("https://web.datatree.com/?/property?propertyId=32974068", "https://web.datatree.com/?/property?propertyId=32974068")</f>
        <v>https://web.datatree.com/?/property?propertyId=32974068</v>
      </c>
      <c r="Q2647" t="s">
        <v>316</v>
      </c>
      <c>
        <v>0.232</v>
      </c>
      <c t="s">
        <v>45031</v>
      </c>
      <c t="s">
        <v>10301</v>
      </c>
      <c t="s">
        <v>13123</v>
      </c>
      <c t="s">
        <v>5470</v>
      </c>
      <c t="s">
        <v>14066</v>
      </c>
      <c t="s">
        <v>36229</v>
      </c>
      <c t="s">
        <v>29190</v>
      </c>
      <c t="s">
        <v>2517</v>
      </c>
      <c t="s">
        <v>39289</v>
      </c>
      <c>
        <v>33909</v>
      </c>
      <c t="s">
        <v>2589</v>
      </c>
      <c t="s">
        <v>48794</v>
      </c>
      <c t="s">
        <v>58514</v>
      </c>
      <c>
        <v>4171</v>
      </c>
      <c r="AI2647" t="s">
        <v>2481</v>
      </c>
      <c t="s">
        <v>4985</v>
      </c>
      <c r="AL2647" t="s">
        <v>36080</v>
      </c>
      <c r="AN2647" t="s">
        <v>39289</v>
      </c>
      <c t="s">
        <v>27301</v>
      </c>
      <c t="s">
        <v>31626</v>
      </c>
      <c t="s">
        <v>3093</v>
      </c>
      <c t="s">
        <v>11851</v>
      </c>
    </row>
    <row>
      <c t="s">
        <v>17594</v>
      </c>
      <c t="s">
        <v>58651</v>
      </c>
      <c t="s">
        <v>17843</v>
      </c>
      <c t="s">
        <v>4498</v>
      </c>
      <c t="s">
        <v>8596</v>
      </c>
      <c s="3">
        <v>36210</v>
      </c>
      <c s="3">
        <v>36210</v>
      </c>
      <c s="3">
        <v>36210</v>
      </c>
      <c>
        <v>0</v>
      </c>
      <c s="3">
        <v>0</v>
      </c>
      <c s="3">
        <v>1075.9</v>
      </c>
      <c s="3">
        <v>36210</v>
      </c>
      <c r="O2648" s="1" t="str">
        <f ca="1">HYPERLINK("https://web.datatree.com/?/property?propertyId=32974142", "https://web.datatree.com/?/property?propertyId=32974142")</f>
        <v>https://web.datatree.com/?/property?propertyId=32974142</v>
      </c>
      <c r="Q2648" t="s">
        <v>316</v>
      </c>
      <c>
        <v>0.23</v>
      </c>
      <c t="s">
        <v>65422</v>
      </c>
      <c t="s">
        <v>39957</v>
      </c>
      <c t="s">
        <v>63762</v>
      </c>
      <c t="s">
        <v>65251</v>
      </c>
      <c t="s">
        <v>63762</v>
      </c>
      <c t="s">
        <v>51739</v>
      </c>
      <c t="s">
        <v>17022</v>
      </c>
      <c t="s">
        <v>2517</v>
      </c>
      <c t="s">
        <v>39289</v>
      </c>
      <c>
        <v>33909</v>
      </c>
      <c t="s">
        <v>58228</v>
      </c>
      <c t="s">
        <v>48794</v>
      </c>
      <c t="s">
        <v>22406</v>
      </c>
      <c>
        <v>8471</v>
      </c>
      <c r="AI2648" t="s">
        <v>38940</v>
      </c>
      <c t="s">
        <v>45620</v>
      </c>
      <c r="AL2648" t="s">
        <v>52885</v>
      </c>
      <c r="AN2648" t="s">
        <v>17134</v>
      </c>
      <c t="s">
        <v>17582</v>
      </c>
      <c t="s">
        <v>37948</v>
      </c>
      <c t="s">
        <v>3093</v>
      </c>
      <c t="s">
        <v>47128</v>
      </c>
    </row>
    <row>
      <c t="s">
        <v>17594</v>
      </c>
      <c t="s">
        <v>40537</v>
      </c>
      <c t="s">
        <v>38349</v>
      </c>
      <c t="s">
        <v>63904</v>
      </c>
      <c t="s">
        <v>57303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2649" s="1" t="str">
        <f ca="1">HYPERLINK("https://web.datatree.com/?/property?propertyId=32974165", "https://web.datatree.com/?/property?propertyId=32974165")</f>
        <v>https://web.datatree.com/?/property?propertyId=32974165</v>
      </c>
      <c r="Q2649" t="s">
        <v>316</v>
      </c>
      <c>
        <v>0.241</v>
      </c>
      <c t="s">
        <v>6175</v>
      </c>
      <c t="s">
        <v>43759</v>
      </c>
      <c t="s">
        <v>19484</v>
      </c>
      <c t="s">
        <v>25601</v>
      </c>
      <c t="s">
        <v>42654</v>
      </c>
      <c t="s">
        <v>18867</v>
      </c>
      <c t="s">
        <v>23517</v>
      </c>
      <c t="s">
        <v>2517</v>
      </c>
      <c t="s">
        <v>39289</v>
      </c>
      <c>
        <v>33909</v>
      </c>
      <c t="s">
        <v>44339</v>
      </c>
      <c t="s">
        <v>48794</v>
      </c>
      <c t="s">
        <v>36216</v>
      </c>
      <c>
        <v>2786</v>
      </c>
      <c r="AI2649" t="s">
        <v>19295</v>
      </c>
      <c t="s">
        <v>40123</v>
      </c>
      <c r="AL2649" t="s">
        <v>22097</v>
      </c>
      <c t="s">
        <v>22097</v>
      </c>
      <c t="s">
        <v>27222</v>
      </c>
      <c t="s">
        <v>49156</v>
      </c>
      <c t="s">
        <v>13610</v>
      </c>
      <c t="s">
        <v>3093</v>
      </c>
      <c t="s">
        <v>14775</v>
      </c>
    </row>
    <row>
      <c t="s">
        <v>17594</v>
      </c>
      <c t="s">
        <v>36306</v>
      </c>
      <c t="s">
        <v>343</v>
      </c>
      <c t="s">
        <v>44132</v>
      </c>
      <c t="s">
        <v>46170</v>
      </c>
      <c s="3">
        <v>17260</v>
      </c>
      <c s="3">
        <v>17260</v>
      </c>
      <c s="3">
        <v>8470</v>
      </c>
      <c>
        <v>0</v>
      </c>
      <c s="3">
        <v>0</v>
      </c>
      <c s="3">
        <v>561.47</v>
      </c>
      <c s="3">
        <v>17260</v>
      </c>
      <c>
        <v>2021</v>
      </c>
      <c>
        <v>595.06</v>
      </c>
      <c s="1" t="str">
        <f ca="1">HYPERLINK("https://web.datatree.com/?/property?propertyId=32974480", "https://web.datatree.com/?/property?propertyId=32974480")</f>
        <v>https://web.datatree.com/?/property?propertyId=32974480</v>
      </c>
      <c r="Q2650" t="s">
        <v>316</v>
      </c>
      <c>
        <v>0.249</v>
      </c>
      <c t="s">
        <v>6175</v>
      </c>
      <c t="s">
        <v>64626</v>
      </c>
      <c t="s">
        <v>15498</v>
      </c>
      <c r="X2650" t="s">
        <v>21726</v>
      </c>
      <c t="s">
        <v>30928</v>
      </c>
      <c t="s">
        <v>2517</v>
      </c>
      <c t="s">
        <v>39289</v>
      </c>
      <c>
        <v>33909</v>
      </c>
      <c t="s">
        <v>49331</v>
      </c>
      <c t="s">
        <v>48794</v>
      </c>
      <c t="s">
        <v>59324</v>
      </c>
      <c>
        <v>1641</v>
      </c>
      <c r="AI2650" t="s">
        <v>5115</v>
      </c>
      <c t="s">
        <v>24900</v>
      </c>
      <c>
        <v>5</v>
      </c>
      <c t="s">
        <v>55393</v>
      </c>
      <c r="AN2650" t="s">
        <v>39289</v>
      </c>
      <c t="s">
        <v>48557</v>
      </c>
      <c t="s">
        <v>23611</v>
      </c>
      <c t="s">
        <v>3093</v>
      </c>
      <c t="s">
        <v>56590</v>
      </c>
    </row>
    <row>
      <c t="s">
        <v>42103</v>
      </c>
      <c t="s">
        <v>17580</v>
      </c>
      <c t="s">
        <v>12370</v>
      </c>
      <c t="s">
        <v>26442</v>
      </c>
      <c t="s">
        <v>66151</v>
      </c>
      <c s="3">
        <v>26249</v>
      </c>
      <c s="3">
        <v>26249</v>
      </c>
      <c s="3">
        <v>12100</v>
      </c>
      <c>
        <v>0</v>
      </c>
      <c s="3">
        <v>0</v>
      </c>
      <c s="3">
        <v>653.92</v>
      </c>
      <c s="3">
        <v>26249</v>
      </c>
      <c r="O2651" s="1" t="str">
        <f ca="1">HYPERLINK("https://web.datatree.com/?/property?propertyId=32975441", "https://web.datatree.com/?/property?propertyId=32975441")</f>
        <v>https://web.datatree.com/?/property?propertyId=32975441</v>
      </c>
      <c r="Q2651" t="s">
        <v>316</v>
      </c>
      <c>
        <v>0.23</v>
      </c>
      <c t="s">
        <v>22490</v>
      </c>
      <c t="s">
        <v>20274</v>
      </c>
      <c t="s">
        <v>14984</v>
      </c>
      <c r="X2651" t="s">
        <v>63167</v>
      </c>
      <c t="s">
        <v>2619</v>
      </c>
      <c t="s">
        <v>2517</v>
      </c>
      <c t="s">
        <v>39289</v>
      </c>
      <c>
        <v>33909</v>
      </c>
      <c t="s">
        <v>55169</v>
      </c>
      <c t="s">
        <v>48794</v>
      </c>
      <c t="s">
        <v>61665</v>
      </c>
      <c r="AI2651" t="s">
        <v>44804</v>
      </c>
      <c r="AL2651" t="s">
        <v>36703</v>
      </c>
      <c r="AN2651" t="s">
        <v>39289</v>
      </c>
      <c t="s">
        <v>44970</v>
      </c>
      <c t="s">
        <v>665</v>
      </c>
      <c t="s">
        <v>3093</v>
      </c>
      <c t="s">
        <v>25345</v>
      </c>
    </row>
    <row>
      <c t="s">
        <v>17594</v>
      </c>
      <c t="s">
        <v>50394</v>
      </c>
      <c t="s">
        <v>57189</v>
      </c>
      <c t="s">
        <v>52688</v>
      </c>
      <c t="s">
        <v>23301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2652" s="1" t="str">
        <f ca="1">HYPERLINK("https://web.datatree.com/?/property?propertyId=32975563", "https://web.datatree.com/?/property?propertyId=32975563")</f>
        <v>https://web.datatree.com/?/property?propertyId=32975563</v>
      </c>
      <c r="Q2652" t="s">
        <v>316</v>
      </c>
      <c>
        <v>0.23</v>
      </c>
      <c t="s">
        <v>6175</v>
      </c>
      <c t="s">
        <v>59107</v>
      </c>
      <c t="s">
        <v>18273</v>
      </c>
      <c r="X2652" t="s">
        <v>2340</v>
      </c>
      <c t="s">
        <v>61865</v>
      </c>
      <c t="s">
        <v>2517</v>
      </c>
      <c t="s">
        <v>39289</v>
      </c>
      <c>
        <v>33909</v>
      </c>
      <c t="s">
        <v>47844</v>
      </c>
      <c t="s">
        <v>48794</v>
      </c>
      <c t="s">
        <v>16870</v>
      </c>
      <c>
        <v>5950</v>
      </c>
      <c r="AI2652" t="s">
        <v>60900</v>
      </c>
      <c t="s">
        <v>55842</v>
      </c>
      <c r="AL2652" t="s">
        <v>60619</v>
      </c>
      <c r="AN2652" t="s">
        <v>65451</v>
      </c>
      <c t="s">
        <v>29229</v>
      </c>
      <c t="s">
        <v>54605</v>
      </c>
      <c t="s">
        <v>3093</v>
      </c>
      <c t="s">
        <v>60340</v>
      </c>
    </row>
    <row>
      <c t="s">
        <v>17594</v>
      </c>
      <c t="s">
        <v>61791</v>
      </c>
      <c t="s">
        <v>61174</v>
      </c>
      <c t="s">
        <v>33326</v>
      </c>
      <c t="s">
        <v>2409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2653" s="1" t="str">
        <f ca="1">HYPERLINK("https://web.datatree.com/?/property?propertyId=32975739", "https://web.datatree.com/?/property?propertyId=32975739")</f>
        <v>https://web.datatree.com/?/property?propertyId=32975739</v>
      </c>
      <c r="Q2653" t="s">
        <v>316</v>
      </c>
      <c>
        <v>0.244</v>
      </c>
      <c t="s">
        <v>6175</v>
      </c>
      <c t="s">
        <v>39139</v>
      </c>
      <c t="s">
        <v>41851</v>
      </c>
      <c t="s">
        <v>54749</v>
      </c>
      <c t="s">
        <v>41851</v>
      </c>
      <c t="s">
        <v>28468</v>
      </c>
      <c t="s">
        <v>5115</v>
      </c>
      <c t="s">
        <v>2517</v>
      </c>
      <c t="s">
        <v>39289</v>
      </c>
      <c>
        <v>33909</v>
      </c>
      <c t="s">
        <v>9404</v>
      </c>
      <c t="s">
        <v>48794</v>
      </c>
      <c t="s">
        <v>45669</v>
      </c>
      <c>
        <v>245</v>
      </c>
      <c r="AI2653" t="s">
        <v>38076</v>
      </c>
      <c t="s">
        <v>45620</v>
      </c>
      <c r="AL2653" t="s">
        <v>66317</v>
      </c>
      <c r="AN2653" t="s">
        <v>50917</v>
      </c>
      <c t="s">
        <v>30634</v>
      </c>
      <c t="s">
        <v>38085</v>
      </c>
      <c t="s">
        <v>3093</v>
      </c>
      <c t="s">
        <v>56408</v>
      </c>
    </row>
    <row>
      <c t="s">
        <v>17594</v>
      </c>
      <c t="s">
        <v>10673</v>
      </c>
      <c t="s">
        <v>25494</v>
      </c>
      <c t="s">
        <v>38952</v>
      </c>
      <c t="s">
        <v>11900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2654" s="1" t="str">
        <f ca="1">HYPERLINK("https://web.datatree.com/?/property?propertyId=32976232", "https://web.datatree.com/?/property?propertyId=32976232")</f>
        <v>https://web.datatree.com/?/property?propertyId=32976232</v>
      </c>
      <c r="Q2654" t="s">
        <v>316</v>
      </c>
      <c>
        <v>0.23</v>
      </c>
      <c t="s">
        <v>6175</v>
      </c>
      <c t="s">
        <v>55716</v>
      </c>
      <c t="s">
        <v>13424</v>
      </c>
      <c r="X2654" t="s">
        <v>38618</v>
      </c>
      <c t="s">
        <v>25017</v>
      </c>
      <c t="s">
        <v>2517</v>
      </c>
      <c t="s">
        <v>39289</v>
      </c>
      <c>
        <v>33909</v>
      </c>
      <c t="s">
        <v>63939</v>
      </c>
      <c t="s">
        <v>48794</v>
      </c>
      <c t="s">
        <v>22958</v>
      </c>
      <c>
        <v>45</v>
      </c>
      <c r="AH2654" t="s">
        <v>57851</v>
      </c>
      <c t="s">
        <v>22297</v>
      </c>
      <c t="s">
        <v>39321</v>
      </c>
      <c t="s">
        <v>32665</v>
      </c>
      <c t="s">
        <v>13397</v>
      </c>
      <c r="AN2654" t="s">
        <v>50917</v>
      </c>
      <c t="s">
        <v>47525</v>
      </c>
      <c t="s">
        <v>32746</v>
      </c>
      <c t="s">
        <v>3093</v>
      </c>
      <c t="s">
        <v>11896</v>
      </c>
    </row>
    <row>
      <c t="s">
        <v>17594</v>
      </c>
      <c t="s">
        <v>18493</v>
      </c>
      <c t="s">
        <v>7653</v>
      </c>
      <c t="s">
        <v>25912</v>
      </c>
      <c t="s">
        <v>52596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2655" s="1" t="str">
        <f ca="1">HYPERLINK("https://web.datatree.com/?/property?propertyId=32976520", "https://web.datatree.com/?/property?propertyId=32976520")</f>
        <v>https://web.datatree.com/?/property?propertyId=32976520</v>
      </c>
      <c r="Q2655" t="s">
        <v>316</v>
      </c>
      <c>
        <v>0.23</v>
      </c>
      <c t="s">
        <v>22490</v>
      </c>
      <c t="s">
        <v>41978</v>
      </c>
      <c t="s">
        <v>41956</v>
      </c>
      <c r="X2655" t="s">
        <v>39063</v>
      </c>
      <c t="s">
        <v>47150</v>
      </c>
      <c t="s">
        <v>2517</v>
      </c>
      <c t="s">
        <v>39289</v>
      </c>
      <c>
        <v>33909</v>
      </c>
      <c t="s">
        <v>53531</v>
      </c>
      <c t="s">
        <v>48794</v>
      </c>
      <c t="s">
        <v>9263</v>
      </c>
      <c>
        <v>27</v>
      </c>
      <c r="AI2655" t="s">
        <v>31415</v>
      </c>
      <c r="AL2655" t="s">
        <v>5401</v>
      </c>
      <c r="AN2655" t="s">
        <v>27747</v>
      </c>
      <c>
        <v>1010</v>
      </c>
      <c r="AR2655" t="s">
        <v>31754</v>
      </c>
    </row>
    <row>
      <c t="s">
        <v>17594</v>
      </c>
      <c t="s">
        <v>100</v>
      </c>
      <c t="s">
        <v>52170</v>
      </c>
      <c t="s">
        <v>46925</v>
      </c>
      <c t="s">
        <v>47524</v>
      </c>
      <c s="3">
        <v>143208</v>
      </c>
      <c s="3">
        <v>143208</v>
      </c>
      <c s="3">
        <v>143208</v>
      </c>
      <c>
        <v>0</v>
      </c>
      <c s="3">
        <v>0</v>
      </c>
      <c s="3">
        <v>2108.28</v>
      </c>
      <c s="3">
        <v>143208</v>
      </c>
      <c r="O2656" s="1" t="str">
        <f ca="1">HYPERLINK("https://web.datatree.com/?/property?propertyId=32976537", "https://web.datatree.com/?/property?propertyId=32976537")</f>
        <v>https://web.datatree.com/?/property?propertyId=32976537</v>
      </c>
      <c r="Q2656" t="s">
        <v>316</v>
      </c>
      <c>
        <v>0.475</v>
      </c>
      <c t="s">
        <v>37489</v>
      </c>
      <c t="s">
        <v>15849</v>
      </c>
      <c t="s">
        <v>60983</v>
      </c>
      <c t="s">
        <v>26628</v>
      </c>
      <c t="s">
        <v>60983</v>
      </c>
      <c t="s">
        <v>42952</v>
      </c>
      <c t="s">
        <v>41673</v>
      </c>
      <c t="s">
        <v>54524</v>
      </c>
      <c t="s">
        <v>39289</v>
      </c>
      <c>
        <v>33903</v>
      </c>
      <c t="s">
        <v>19522</v>
      </c>
      <c t="s">
        <v>48794</v>
      </c>
      <c t="s">
        <v>62631</v>
      </c>
      <c t="s">
        <v>4309</v>
      </c>
      <c r="AI2656" t="s">
        <v>43441</v>
      </c>
      <c t="s">
        <v>55842</v>
      </c>
      <c r="AL2656" t="s">
        <v>10168</v>
      </c>
      <c t="s">
        <v>21598</v>
      </c>
      <c t="s">
        <v>19878</v>
      </c>
      <c t="s">
        <v>39033</v>
      </c>
      <c t="s">
        <v>41776</v>
      </c>
      <c t="s">
        <v>3093</v>
      </c>
      <c t="s">
        <v>59830</v>
      </c>
    </row>
    <row>
      <c t="s">
        <v>17594</v>
      </c>
      <c t="s">
        <v>4292</v>
      </c>
      <c t="s">
        <v>14597</v>
      </c>
      <c t="s">
        <v>4973</v>
      </c>
      <c t="s">
        <v>24416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>
        <v>2020</v>
      </c>
      <c>
        <v>1084.74</v>
      </c>
      <c s="1" t="str">
        <f ca="1">HYPERLINK("https://web.datatree.com/?/property?propertyId=32976733", "https://web.datatree.com/?/property?propertyId=32976733")</f>
        <v>https://web.datatree.com/?/property?propertyId=32976733</v>
      </c>
      <c r="Q2657" t="s">
        <v>316</v>
      </c>
      <c>
        <v>0.241</v>
      </c>
      <c t="s">
        <v>6175</v>
      </c>
      <c t="s">
        <v>15017</v>
      </c>
      <c t="s">
        <v>34170</v>
      </c>
      <c r="X2657" t="s">
        <v>52561</v>
      </c>
      <c t="s">
        <v>371</v>
      </c>
      <c t="s">
        <v>2517</v>
      </c>
      <c t="s">
        <v>39289</v>
      </c>
      <c>
        <v>33909</v>
      </c>
      <c t="s">
        <v>14699</v>
      </c>
      <c t="s">
        <v>48794</v>
      </c>
      <c t="s">
        <v>48581</v>
      </c>
      <c>
        <v>34224</v>
      </c>
      <c r="AI2657" t="s">
        <v>145</v>
      </c>
      <c t="s">
        <v>31192</v>
      </c>
      <c r="AL2657" t="s">
        <v>28386</v>
      </c>
      <c t="s">
        <v>47825</v>
      </c>
      <c t="s">
        <v>48152</v>
      </c>
      <c t="s">
        <v>26790</v>
      </c>
      <c t="s">
        <v>54788</v>
      </c>
      <c t="s">
        <v>3093</v>
      </c>
      <c t="s">
        <v>60729</v>
      </c>
    </row>
    <row>
      <c t="s">
        <v>17594</v>
      </c>
      <c t="s">
        <v>41701</v>
      </c>
      <c t="s">
        <v>6166</v>
      </c>
      <c t="s">
        <v>57922</v>
      </c>
      <c t="s">
        <v>12211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2658" s="1" t="str">
        <f ca="1">HYPERLINK("https://web.datatree.com/?/property?propertyId=32977955", "https://web.datatree.com/?/property?propertyId=32977955")</f>
        <v>https://web.datatree.com/?/property?propertyId=32977955</v>
      </c>
      <c r="Q2658" t="s">
        <v>316</v>
      </c>
      <c>
        <v>0.226</v>
      </c>
      <c t="s">
        <v>5471</v>
      </c>
      <c t="s">
        <v>2140</v>
      </c>
      <c t="s">
        <v>37269</v>
      </c>
      <c r="X2658" t="s">
        <v>41057</v>
      </c>
      <c t="s">
        <v>20307</v>
      </c>
      <c t="s">
        <v>65059</v>
      </c>
      <c t="s">
        <v>39289</v>
      </c>
      <c>
        <v>33905</v>
      </c>
      <c t="s">
        <v>37241</v>
      </c>
      <c t="s">
        <v>48794</v>
      </c>
      <c t="s">
        <v>36832</v>
      </c>
      <c>
        <v>63</v>
      </c>
      <c r="AI2658" t="s">
        <v>18961</v>
      </c>
      <c t="s">
        <v>45393</v>
      </c>
      <c r="AL2658" t="s">
        <v>30836</v>
      </c>
      <c r="AN2658" t="s">
        <v>50917</v>
      </c>
      <c t="s">
        <v>18013</v>
      </c>
      <c t="s">
        <v>4660</v>
      </c>
      <c t="s">
        <v>3093</v>
      </c>
      <c t="s">
        <v>52233</v>
      </c>
    </row>
    <row>
      <c t="s">
        <v>17594</v>
      </c>
      <c t="s">
        <v>44983</v>
      </c>
      <c t="s">
        <v>52232</v>
      </c>
      <c t="s">
        <v>34863</v>
      </c>
      <c t="s">
        <v>54421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2659" s="1" t="str">
        <f ca="1">HYPERLINK("https://web.datatree.com/?/property?propertyId=32978293", "https://web.datatree.com/?/property?propertyId=32978293")</f>
        <v>https://web.datatree.com/?/property?propertyId=32978293</v>
      </c>
      <c r="Q2659" t="s">
        <v>316</v>
      </c>
      <c>
        <v>0.23</v>
      </c>
      <c t="s">
        <v>6175</v>
      </c>
      <c t="s">
        <v>52701</v>
      </c>
      <c t="s">
        <v>64327</v>
      </c>
      <c r="X2659" t="s">
        <v>36592</v>
      </c>
      <c t="s">
        <v>371</v>
      </c>
      <c t="s">
        <v>2517</v>
      </c>
      <c t="s">
        <v>39289</v>
      </c>
      <c>
        <v>33909</v>
      </c>
      <c t="s">
        <v>14699</v>
      </c>
      <c t="s">
        <v>48794</v>
      </c>
      <c t="s">
        <v>60621</v>
      </c>
      <c>
        <v>25318</v>
      </c>
      <c r="AI2659" t="s">
        <v>9330</v>
      </c>
      <c t="s">
        <v>55842</v>
      </c>
      <c r="AL2659" t="s">
        <v>27584</v>
      </c>
      <c r="AN2659" t="s">
        <v>18236</v>
      </c>
      <c t="s">
        <v>26725</v>
      </c>
      <c t="s">
        <v>52393</v>
      </c>
      <c t="s">
        <v>3093</v>
      </c>
      <c t="s">
        <v>15001</v>
      </c>
    </row>
    <row>
      <c t="s">
        <v>17594</v>
      </c>
      <c t="s">
        <v>55072</v>
      </c>
      <c t="s">
        <v>28622</v>
      </c>
      <c t="s">
        <v>2827</v>
      </c>
      <c t="s">
        <v>24767</v>
      </c>
      <c s="3">
        <v>23100</v>
      </c>
      <c s="3">
        <v>23100</v>
      </c>
      <c s="3">
        <v>13851</v>
      </c>
      <c>
        <v>0</v>
      </c>
      <c s="3">
        <v>0</v>
      </c>
      <c s="3">
        <v>240.48</v>
      </c>
      <c s="3">
        <v>23100</v>
      </c>
      <c r="O2660" s="1" t="str">
        <f ca="1">HYPERLINK("https://web.datatree.com/?/property?propertyId=32979066", "https://web.datatree.com/?/property?propertyId=32979066")</f>
        <v>https://web.datatree.com/?/property?propertyId=32979066</v>
      </c>
      <c r="Q2660" t="s">
        <v>316</v>
      </c>
      <c>
        <v>0.246</v>
      </c>
      <c t="s">
        <v>5471</v>
      </c>
      <c t="s">
        <v>20345</v>
      </c>
      <c t="s">
        <v>25652</v>
      </c>
      <c t="s">
        <v>4868</v>
      </c>
      <c t="s">
        <v>25652</v>
      </c>
      <c t="s">
        <v>25183</v>
      </c>
      <c t="s">
        <v>49976</v>
      </c>
      <c t="s">
        <v>65059</v>
      </c>
      <c t="s">
        <v>39289</v>
      </c>
      <c>
        <v>33905</v>
      </c>
      <c t="s">
        <v>38203</v>
      </c>
      <c t="s">
        <v>48794</v>
      </c>
      <c t="s">
        <v>48572</v>
      </c>
      <c>
        <v>10007</v>
      </c>
      <c r="AI2660" t="s">
        <v>14197</v>
      </c>
      <c t="s">
        <v>55842</v>
      </c>
      <c t="str">
        <f>"13-4"</f>
        <v>13-4</v>
      </c>
      <c t="s">
        <v>13905</v>
      </c>
      <c r="AN2660" t="s">
        <v>4477</v>
      </c>
      <c t="s">
        <v>64122</v>
      </c>
      <c t="s">
        <v>18692</v>
      </c>
      <c t="s">
        <v>3093</v>
      </c>
      <c t="s">
        <v>28353</v>
      </c>
    </row>
    <row>
      <c t="s">
        <v>17594</v>
      </c>
      <c t="s">
        <v>15857</v>
      </c>
      <c t="s">
        <v>51105</v>
      </c>
      <c t="s">
        <v>38299</v>
      </c>
      <c t="s">
        <v>42366</v>
      </c>
      <c s="3">
        <v>24937</v>
      </c>
      <c s="3">
        <v>24937</v>
      </c>
      <c s="3">
        <v>9079</v>
      </c>
      <c>
        <v>0</v>
      </c>
      <c s="3">
        <v>0</v>
      </c>
      <c s="3">
        <v>2968.56</v>
      </c>
      <c s="3">
        <v>24937</v>
      </c>
      <c r="O2661" s="1" t="str">
        <f ca="1">HYPERLINK("https://web.datatree.com/?/property?propertyId=32979260", "https://web.datatree.com/?/property?propertyId=32979260")</f>
        <v>https://web.datatree.com/?/property?propertyId=32979260</v>
      </c>
      <c r="Q2661" t="s">
        <v>316</v>
      </c>
      <c>
        <v>0.244</v>
      </c>
      <c t="s">
        <v>6175</v>
      </c>
      <c t="s">
        <v>28851</v>
      </c>
      <c t="s">
        <v>62413</v>
      </c>
      <c t="s">
        <v>18479</v>
      </c>
      <c t="s">
        <v>62413</v>
      </c>
      <c t="s">
        <v>18584</v>
      </c>
      <c t="s">
        <v>59356</v>
      </c>
      <c t="s">
        <v>2517</v>
      </c>
      <c t="s">
        <v>39289</v>
      </c>
      <c>
        <v>33909</v>
      </c>
      <c>
        <v>33909</v>
      </c>
      <c t="s">
        <v>48794</v>
      </c>
      <c t="s">
        <v>36655</v>
      </c>
      <c>
        <v>13628</v>
      </c>
      <c r="AI2661" t="s">
        <v>34114</v>
      </c>
      <c t="s">
        <v>39321</v>
      </c>
      <c r="AL2661" t="s">
        <v>30396</v>
      </c>
      <c r="AN2661" t="s">
        <v>39289</v>
      </c>
      <c t="s">
        <v>53387</v>
      </c>
      <c t="s">
        <v>49842</v>
      </c>
      <c t="s">
        <v>3093</v>
      </c>
      <c t="s">
        <v>57544</v>
      </c>
    </row>
    <row>
      <c t="s">
        <v>17594</v>
      </c>
      <c t="s">
        <v>13601</v>
      </c>
      <c t="s">
        <v>65204</v>
      </c>
      <c t="s">
        <v>60692</v>
      </c>
      <c t="s">
        <v>30415</v>
      </c>
      <c s="3">
        <v>10600</v>
      </c>
      <c s="3">
        <v>10600</v>
      </c>
      <c s="3">
        <v>10600</v>
      </c>
      <c>
        <v>0</v>
      </c>
      <c s="3">
        <v>0</v>
      </c>
      <c s="3">
        <v>789.11</v>
      </c>
      <c s="3">
        <v>10600</v>
      </c>
      <c r="O2662" s="1" t="str">
        <f ca="1">HYPERLINK("https://web.datatree.com/?/property?propertyId=32979268", "https://web.datatree.com/?/property?propertyId=32979268")</f>
        <v>https://web.datatree.com/?/property?propertyId=32979268</v>
      </c>
      <c r="Q2662" t="s">
        <v>316</v>
      </c>
      <c>
        <v>0.23</v>
      </c>
      <c t="s">
        <v>6175</v>
      </c>
      <c t="s">
        <v>13492</v>
      </c>
      <c t="s">
        <v>52363</v>
      </c>
      <c r="X2662" t="s">
        <v>31356</v>
      </c>
      <c t="s">
        <v>2619</v>
      </c>
      <c t="s">
        <v>2517</v>
      </c>
      <c t="s">
        <v>39289</v>
      </c>
      <c>
        <v>33909</v>
      </c>
      <c t="s">
        <v>19805</v>
      </c>
      <c t="s">
        <v>48794</v>
      </c>
      <c t="s">
        <v>4455</v>
      </c>
      <c>
        <v>612</v>
      </c>
      <c r="AI2662" t="s">
        <v>53468</v>
      </c>
      <c t="s">
        <v>31192</v>
      </c>
      <c r="AL2662" t="s">
        <v>46215</v>
      </c>
      <c t="s">
        <v>50363</v>
      </c>
      <c t="s">
        <v>65451</v>
      </c>
      <c t="s">
        <v>14911</v>
      </c>
      <c t="s">
        <v>13747</v>
      </c>
      <c t="s">
        <v>3093</v>
      </c>
      <c t="s">
        <v>55170</v>
      </c>
    </row>
    <row>
      <c t="s">
        <v>17594</v>
      </c>
      <c t="s">
        <v>63754</v>
      </c>
      <c t="s">
        <v>8988</v>
      </c>
      <c t="s">
        <v>18070</v>
      </c>
      <c t="s">
        <v>4853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2663" s="1" t="str">
        <f ca="1">HYPERLINK("https://web.datatree.com/?/property?propertyId=32979681", "https://web.datatree.com/?/property?propertyId=32979681")</f>
        <v>https://web.datatree.com/?/property?propertyId=32979681</v>
      </c>
      <c r="Q2663" t="s">
        <v>316</v>
      </c>
      <c>
        <v>0.23</v>
      </c>
      <c t="s">
        <v>6175</v>
      </c>
      <c t="s">
        <v>64030</v>
      </c>
      <c t="s">
        <v>44426</v>
      </c>
      <c r="X2663" t="s">
        <v>48898</v>
      </c>
      <c t="s">
        <v>25017</v>
      </c>
      <c t="s">
        <v>2517</v>
      </c>
      <c t="s">
        <v>39289</v>
      </c>
      <c>
        <v>33909</v>
      </c>
      <c t="s">
        <v>9813</v>
      </c>
      <c t="s">
        <v>48794</v>
      </c>
      <c t="s">
        <v>25093</v>
      </c>
      <c>
        <v>1966</v>
      </c>
      <c r="AI2663" t="s">
        <v>53251</v>
      </c>
      <c t="s">
        <v>45393</v>
      </c>
      <c r="AL2663" t="s">
        <v>283</v>
      </c>
      <c r="AN2663" t="s">
        <v>65451</v>
      </c>
      <c t="s">
        <v>41692</v>
      </c>
      <c t="s">
        <v>23611</v>
      </c>
      <c t="s">
        <v>3093</v>
      </c>
      <c t="s">
        <v>54208</v>
      </c>
    </row>
    <row>
      <c t="s">
        <v>17594</v>
      </c>
      <c t="s">
        <v>26543</v>
      </c>
      <c t="s">
        <v>20129</v>
      </c>
      <c t="s">
        <v>37502</v>
      </c>
      <c t="s">
        <v>39703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2664" s="1" t="str">
        <f ca="1">HYPERLINK("https://web.datatree.com/?/property?propertyId=32979700", "https://web.datatree.com/?/property?propertyId=32979700")</f>
        <v>https://web.datatree.com/?/property?propertyId=32979700</v>
      </c>
      <c r="Q2664" t="s">
        <v>316</v>
      </c>
      <c>
        <v>0.23</v>
      </c>
      <c t="s">
        <v>54449</v>
      </c>
      <c t="s">
        <v>15209</v>
      </c>
      <c t="s">
        <v>38983</v>
      </c>
      <c t="s">
        <v>58380</v>
      </c>
      <c t="s">
        <v>38983</v>
      </c>
      <c t="s">
        <v>546</v>
      </c>
      <c t="s">
        <v>38550</v>
      </c>
      <c t="s">
        <v>2517</v>
      </c>
      <c t="s">
        <v>39289</v>
      </c>
      <c>
        <v>33909</v>
      </c>
      <c t="s">
        <v>50356</v>
      </c>
      <c t="s">
        <v>48794</v>
      </c>
      <c t="s">
        <v>13089</v>
      </c>
      <c>
        <v>7140</v>
      </c>
      <c r="AI2664" t="s">
        <v>29462</v>
      </c>
      <c t="s">
        <v>31192</v>
      </c>
      <c r="AL2664" t="s">
        <v>26777</v>
      </c>
      <c r="AN2664" t="s">
        <v>51137</v>
      </c>
      <c t="s">
        <v>41864</v>
      </c>
      <c t="s">
        <v>45980</v>
      </c>
      <c t="s">
        <v>3093</v>
      </c>
      <c t="s">
        <v>21610</v>
      </c>
    </row>
    <row>
      <c t="s">
        <v>17594</v>
      </c>
      <c t="s">
        <v>48841</v>
      </c>
      <c t="s">
        <v>37297</v>
      </c>
      <c t="s">
        <v>59570</v>
      </c>
      <c t="s">
        <v>52092</v>
      </c>
      <c s="3">
        <v>12300</v>
      </c>
      <c s="3">
        <v>12300</v>
      </c>
      <c s="3">
        <v>12300</v>
      </c>
      <c>
        <v>0</v>
      </c>
      <c s="3">
        <v>0</v>
      </c>
      <c s="3">
        <v>297.71</v>
      </c>
      <c s="3">
        <v>12300</v>
      </c>
      <c r="O2665" s="1" t="str">
        <f ca="1">HYPERLINK("https://web.datatree.com/?/property?propertyId=32980586", "https://web.datatree.com/?/property?propertyId=32980586")</f>
        <v>https://web.datatree.com/?/property?propertyId=32980586</v>
      </c>
      <c r="Q2665" t="s">
        <v>316</v>
      </c>
      <c>
        <v>0.101</v>
      </c>
      <c t="s">
        <v>45526</v>
      </c>
      <c t="s">
        <v>50331</v>
      </c>
      <c t="s">
        <v>43843</v>
      </c>
      <c r="X2665" t="s">
        <v>47732</v>
      </c>
      <c t="s">
        <v>65116</v>
      </c>
      <c t="s">
        <v>65059</v>
      </c>
      <c t="s">
        <v>39289</v>
      </c>
      <c>
        <v>33908</v>
      </c>
      <c t="s">
        <v>51940</v>
      </c>
      <c t="s">
        <v>48794</v>
      </c>
      <c t="s">
        <v>9343</v>
      </c>
      <c>
        <v>8385</v>
      </c>
      <c r="AI2665" t="s">
        <v>37589</v>
      </c>
      <c t="s">
        <v>45620</v>
      </c>
      <c r="AL2665" t="s">
        <v>19225</v>
      </c>
      <c r="AN2665" t="s">
        <v>49572</v>
      </c>
      <c t="s">
        <v>930</v>
      </c>
      <c t="s">
        <v>56198</v>
      </c>
      <c t="s">
        <v>3093</v>
      </c>
      <c t="s">
        <v>19625</v>
      </c>
    </row>
    <row>
      <c t="s">
        <v>17594</v>
      </c>
      <c t="s">
        <v>57297</v>
      </c>
      <c t="s">
        <v>43326</v>
      </c>
      <c t="s">
        <v>24055</v>
      </c>
      <c t="s">
        <v>66664</v>
      </c>
      <c s="3">
        <v>10600</v>
      </c>
      <c s="3">
        <v>10600</v>
      </c>
      <c s="3">
        <v>9339</v>
      </c>
      <c>
        <v>0</v>
      </c>
      <c s="3">
        <v>0</v>
      </c>
      <c s="3">
        <v>3073.29</v>
      </c>
      <c s="3">
        <v>10600</v>
      </c>
      <c r="O2666" s="1" t="str">
        <f ca="1">HYPERLINK("https://web.datatree.com/?/property?propertyId=32981331", "https://web.datatree.com/?/property?propertyId=32981331")</f>
        <v>https://web.datatree.com/?/property?propertyId=32981331</v>
      </c>
      <c r="Q2666" t="s">
        <v>316</v>
      </c>
      <c>
        <v>0.272</v>
      </c>
      <c t="s">
        <v>6175</v>
      </c>
      <c t="s">
        <v>36707</v>
      </c>
      <c t="s">
        <v>61302</v>
      </c>
      <c t="s">
        <v>60847</v>
      </c>
      <c t="s">
        <v>61302</v>
      </c>
      <c t="s">
        <v>25651</v>
      </c>
      <c t="s">
        <v>18679</v>
      </c>
      <c t="s">
        <v>2517</v>
      </c>
      <c t="s">
        <v>39289</v>
      </c>
      <c>
        <v>33909</v>
      </c>
      <c t="s">
        <v>20138</v>
      </c>
      <c t="s">
        <v>48794</v>
      </c>
      <c t="s">
        <v>66285</v>
      </c>
      <c>
        <v>210</v>
      </c>
      <c r="AI2666" t="s">
        <v>29086</v>
      </c>
      <c t="s">
        <v>45393</v>
      </c>
      <c r="AL2666" t="s">
        <v>8109</v>
      </c>
      <c r="AN2666" t="s">
        <v>50917</v>
      </c>
      <c t="s">
        <v>58446</v>
      </c>
      <c t="s">
        <v>31626</v>
      </c>
      <c t="s">
        <v>3093</v>
      </c>
      <c t="s">
        <v>60558</v>
      </c>
    </row>
    <row>
      <c t="s">
        <v>17594</v>
      </c>
      <c t="s">
        <v>8972</v>
      </c>
      <c t="s">
        <v>2293</v>
      </c>
      <c t="s">
        <v>28367</v>
      </c>
      <c t="s">
        <v>6591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2667" s="1" t="str">
        <f ca="1">HYPERLINK("https://web.datatree.com/?/property?propertyId=32981423", "https://web.datatree.com/?/property?propertyId=32981423")</f>
        <v>https://web.datatree.com/?/property?propertyId=32981423</v>
      </c>
      <c r="Q2667" t="s">
        <v>316</v>
      </c>
      <c>
        <v>0.23</v>
      </c>
      <c t="s">
        <v>22490</v>
      </c>
      <c t="s">
        <v>51344</v>
      </c>
      <c t="s">
        <v>9592</v>
      </c>
      <c r="X2667" t="s">
        <v>6555</v>
      </c>
      <c t="s">
        <v>25017</v>
      </c>
      <c t="s">
        <v>2517</v>
      </c>
      <c t="s">
        <v>39289</v>
      </c>
      <c>
        <v>33909</v>
      </c>
      <c t="s">
        <v>38189</v>
      </c>
      <c t="s">
        <v>48794</v>
      </c>
      <c t="s">
        <v>35155</v>
      </c>
      <c>
        <v>19</v>
      </c>
      <c r="AI2667" t="s">
        <v>16540</v>
      </c>
      <c r="AK2667">
        <v>203</v>
      </c>
      <c t="s">
        <v>51565</v>
      </c>
      <c r="AN2667" t="s">
        <v>14798</v>
      </c>
      <c r="AR2667" t="s">
        <v>40299</v>
      </c>
    </row>
    <row>
      <c t="s">
        <v>17594</v>
      </c>
      <c t="s">
        <v>38140</v>
      </c>
      <c t="s">
        <v>34087</v>
      </c>
      <c t="s">
        <v>40646</v>
      </c>
      <c t="s">
        <v>30307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668" s="1" t="str">
        <f ca="1">HYPERLINK("https://web.datatree.com/?/property?propertyId=32981736", "https://web.datatree.com/?/property?propertyId=32981736")</f>
        <v>https://web.datatree.com/?/property?propertyId=32981736</v>
      </c>
      <c r="Q2668" t="s">
        <v>316</v>
      </c>
      <c>
        <v>0.23</v>
      </c>
      <c t="s">
        <v>22490</v>
      </c>
      <c t="s">
        <v>3537</v>
      </c>
      <c t="s">
        <v>55996</v>
      </c>
      <c t="s">
        <v>28620</v>
      </c>
      <c t="s">
        <v>55996</v>
      </c>
      <c t="s">
        <v>7640</v>
      </c>
      <c t="s">
        <v>49122</v>
      </c>
      <c t="s">
        <v>2517</v>
      </c>
      <c t="s">
        <v>39289</v>
      </c>
      <c>
        <v>33909</v>
      </c>
      <c t="s">
        <v>58566</v>
      </c>
      <c t="s">
        <v>48794</v>
      </c>
      <c t="s">
        <v>8451</v>
      </c>
      <c>
        <v>130</v>
      </c>
      <c r="AI2668" t="s">
        <v>60899</v>
      </c>
      <c t="s">
        <v>31192</v>
      </c>
      <c r="AL2668" t="s">
        <v>39044</v>
      </c>
      <c r="AN2668" t="s">
        <v>26016</v>
      </c>
      <c t="s">
        <v>4990</v>
      </c>
      <c t="s">
        <v>22302</v>
      </c>
      <c t="s">
        <v>3093</v>
      </c>
      <c t="s">
        <v>18979</v>
      </c>
    </row>
    <row>
      <c t="s">
        <v>17594</v>
      </c>
      <c t="s">
        <v>25175</v>
      </c>
      <c t="s">
        <v>46228</v>
      </c>
      <c t="s">
        <v>61289</v>
      </c>
      <c t="s">
        <v>61502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 r="O2669" s="1" t="str">
        <f ca="1">HYPERLINK("https://web.datatree.com/?/property?propertyId=32982084", "https://web.datatree.com/?/property?propertyId=32982084")</f>
        <v>https://web.datatree.com/?/property?propertyId=32982084</v>
      </c>
      <c r="Q2669" t="s">
        <v>316</v>
      </c>
      <c>
        <v>0.23</v>
      </c>
      <c t="s">
        <v>6175</v>
      </c>
      <c t="s">
        <v>20358</v>
      </c>
      <c t="s">
        <v>54474</v>
      </c>
      <c t="s">
        <v>46366</v>
      </c>
      <c t="s">
        <v>54474</v>
      </c>
      <c t="s">
        <v>27227</v>
      </c>
      <c t="s">
        <v>49122</v>
      </c>
      <c t="s">
        <v>2517</v>
      </c>
      <c t="s">
        <v>39289</v>
      </c>
      <c>
        <v>33909</v>
      </c>
      <c t="s">
        <v>57416</v>
      </c>
      <c t="s">
        <v>48794</v>
      </c>
      <c t="s">
        <v>4211</v>
      </c>
      <c>
        <v>260</v>
      </c>
      <c r="AI2669" t="s">
        <v>13593</v>
      </c>
      <c t="s">
        <v>45620</v>
      </c>
      <c r="AL2669" t="s">
        <v>52819</v>
      </c>
      <c r="AN2669" t="s">
        <v>50917</v>
      </c>
      <c t="s">
        <v>23687</v>
      </c>
      <c t="s">
        <v>27780</v>
      </c>
      <c t="s">
        <v>3093</v>
      </c>
      <c t="s">
        <v>44949</v>
      </c>
    </row>
    <row>
      <c t="s">
        <v>17594</v>
      </c>
      <c t="s">
        <v>25038</v>
      </c>
      <c t="s">
        <v>12190</v>
      </c>
      <c t="s">
        <v>32007</v>
      </c>
      <c t="s">
        <v>3033</v>
      </c>
      <c s="3">
        <v>28860</v>
      </c>
      <c s="3">
        <v>28860</v>
      </c>
      <c s="3">
        <v>28600</v>
      </c>
      <c>
        <v>0</v>
      </c>
      <c s="3">
        <v>0</v>
      </c>
      <c s="3">
        <v>393.89</v>
      </c>
      <c s="3">
        <v>28860</v>
      </c>
      <c r="O2670" s="1" t="str">
        <f ca="1">HYPERLINK("https://web.datatree.com/?/property?propertyId=32982491", "https://web.datatree.com/?/property?propertyId=32982491")</f>
        <v>https://web.datatree.com/?/property?propertyId=32982491</v>
      </c>
      <c r="Q2670" t="s">
        <v>316</v>
      </c>
      <c>
        <v>0.043</v>
      </c>
      <c t="s">
        <v>54329</v>
      </c>
      <c t="s">
        <v>59787</v>
      </c>
      <c t="s">
        <v>17225</v>
      </c>
      <c t="s">
        <v>54943</v>
      </c>
      <c t="s">
        <v>17225</v>
      </c>
      <c t="s">
        <v>23474</v>
      </c>
      <c t="s">
        <v>17038</v>
      </c>
      <c t="s">
        <v>65059</v>
      </c>
      <c t="s">
        <v>39289</v>
      </c>
      <c>
        <v>33908</v>
      </c>
      <c t="s">
        <v>6669</v>
      </c>
      <c t="s">
        <v>48794</v>
      </c>
      <c t="s">
        <v>19213</v>
      </c>
      <c>
        <v>129</v>
      </c>
      <c r="AI2670" t="s">
        <v>48592</v>
      </c>
      <c t="s">
        <v>29535</v>
      </c>
      <c r="AL2670" t="s">
        <v>56874</v>
      </c>
      <c t="s">
        <v>53482</v>
      </c>
      <c t="s">
        <v>58811</v>
      </c>
      <c t="s">
        <v>30509</v>
      </c>
      <c r="AQ2670" t="s">
        <v>27814</v>
      </c>
      <c t="s">
        <v>1436</v>
      </c>
    </row>
    <row>
      <c t="s">
        <v>17594</v>
      </c>
      <c t="s">
        <v>26123</v>
      </c>
      <c t="s">
        <v>1321</v>
      </c>
      <c t="s">
        <v>32536</v>
      </c>
      <c t="s">
        <v>34333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2671" s="1" t="str">
        <f ca="1">HYPERLINK("https://web.datatree.com/?/property?propertyId=32982559", "https://web.datatree.com/?/property?propertyId=32982559")</f>
        <v>https://web.datatree.com/?/property?propertyId=32982559</v>
      </c>
      <c r="Q2671" t="s">
        <v>316</v>
      </c>
      <c>
        <v>0.23</v>
      </c>
      <c t="s">
        <v>6175</v>
      </c>
      <c t="s">
        <v>67038</v>
      </c>
      <c t="s">
        <v>18772</v>
      </c>
      <c r="W2671" t="s">
        <v>855</v>
      </c>
      <c t="s">
        <v>4442</v>
      </c>
      <c t="s">
        <v>33179</v>
      </c>
      <c t="s">
        <v>2517</v>
      </c>
      <c t="s">
        <v>39289</v>
      </c>
      <c>
        <v>33909</v>
      </c>
      <c t="s">
        <v>62483</v>
      </c>
      <c t="s">
        <v>48794</v>
      </c>
      <c t="s">
        <v>18434</v>
      </c>
      <c>
        <v>6900</v>
      </c>
      <c r="AI2671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42002</v>
      </c>
      <c t="s">
        <v>19097</v>
      </c>
      <c t="s">
        <v>22954</v>
      </c>
      <c t="s">
        <v>3083</v>
      </c>
      <c s="3">
        <v>26249</v>
      </c>
      <c s="3">
        <v>26249</v>
      </c>
      <c s="3">
        <v>13310</v>
      </c>
      <c>
        <v>0</v>
      </c>
      <c s="3">
        <v>0</v>
      </c>
      <c s="3">
        <v>867.99</v>
      </c>
      <c s="3">
        <v>26249</v>
      </c>
      <c r="O2672" s="1" t="str">
        <f ca="1">HYPERLINK("https://web.datatree.com/?/property?propertyId=32982762", "https://web.datatree.com/?/property?propertyId=32982762")</f>
        <v>https://web.datatree.com/?/property?propertyId=32982762</v>
      </c>
      <c r="Q2672" t="s">
        <v>316</v>
      </c>
      <c>
        <v>0.23</v>
      </c>
      <c t="s">
        <v>14479</v>
      </c>
      <c r="U2672" t="s">
        <v>27842</v>
      </c>
      <c r="W2672" t="s">
        <v>12438</v>
      </c>
      <c t="s">
        <v>18695</v>
      </c>
      <c t="s">
        <v>17022</v>
      </c>
      <c t="s">
        <v>2517</v>
      </c>
      <c t="s">
        <v>39289</v>
      </c>
      <c>
        <v>33909</v>
      </c>
      <c t="s">
        <v>30202</v>
      </c>
      <c t="s">
        <v>48794</v>
      </c>
      <c t="s">
        <v>28047</v>
      </c>
      <c>
        <v>1805</v>
      </c>
      <c r="AI2672" t="s">
        <v>22731</v>
      </c>
      <c t="s">
        <v>41372</v>
      </c>
      <c>
        <v>100</v>
      </c>
      <c t="s">
        <v>65980</v>
      </c>
      <c r="AN2672" t="s">
        <v>39289</v>
      </c>
      <c>
        <v>32960</v>
      </c>
      <c t="s">
        <v>54916</v>
      </c>
      <c t="s">
        <v>3093</v>
      </c>
      <c t="s">
        <v>47570</v>
      </c>
    </row>
    <row>
      <c t="s">
        <v>17594</v>
      </c>
      <c t="s">
        <v>66392</v>
      </c>
      <c t="s">
        <v>24684</v>
      </c>
      <c t="s">
        <v>43621</v>
      </c>
      <c t="s">
        <v>64099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2673" s="1" t="str">
        <f ca="1">HYPERLINK("https://web.datatree.com/?/property?propertyId=32982881", "https://web.datatree.com/?/property?propertyId=32982881")</f>
        <v>https://web.datatree.com/?/property?propertyId=32982881</v>
      </c>
      <c r="Q2673" t="s">
        <v>316</v>
      </c>
      <c>
        <v>0.23</v>
      </c>
      <c t="s">
        <v>6175</v>
      </c>
      <c t="s">
        <v>38445</v>
      </c>
      <c t="s">
        <v>47799</v>
      </c>
      <c t="s">
        <v>51891</v>
      </c>
      <c t="s">
        <v>28434</v>
      </c>
      <c t="s">
        <v>11761</v>
      </c>
      <c t="s">
        <v>5115</v>
      </c>
      <c t="s">
        <v>2517</v>
      </c>
      <c t="s">
        <v>39289</v>
      </c>
      <c>
        <v>33909</v>
      </c>
      <c t="s">
        <v>28831</v>
      </c>
      <c t="s">
        <v>48794</v>
      </c>
      <c t="s">
        <v>29457</v>
      </c>
      <c>
        <v>1908</v>
      </c>
      <c r="AI2673" t="s">
        <v>45396</v>
      </c>
      <c t="s">
        <v>40123</v>
      </c>
      <c r="AL2673" t="s">
        <v>47465</v>
      </c>
      <c t="s">
        <v>13492</v>
      </c>
      <c t="s">
        <v>39289</v>
      </c>
      <c t="s">
        <v>36617</v>
      </c>
      <c t="s">
        <v>42945</v>
      </c>
      <c t="s">
        <v>3093</v>
      </c>
      <c t="s">
        <v>30032</v>
      </c>
    </row>
    <row>
      <c t="s">
        <v>17594</v>
      </c>
      <c t="s">
        <v>6918</v>
      </c>
      <c t="s">
        <v>56835</v>
      </c>
      <c t="s">
        <v>34730</v>
      </c>
      <c t="s">
        <v>29620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674" s="1" t="str">
        <f ca="1">HYPERLINK("https://web.datatree.com/?/property?propertyId=32983369", "https://web.datatree.com/?/property?propertyId=32983369")</f>
        <v>https://web.datatree.com/?/property?propertyId=32983369</v>
      </c>
      <c r="Q2674" t="s">
        <v>316</v>
      </c>
      <c>
        <v>0.23</v>
      </c>
      <c t="s">
        <v>6175</v>
      </c>
      <c t="s">
        <v>2527</v>
      </c>
      <c t="s">
        <v>47956</v>
      </c>
      <c t="s">
        <v>11916</v>
      </c>
      <c t="s">
        <v>47956</v>
      </c>
      <c t="s">
        <v>47030</v>
      </c>
      <c t="s">
        <v>33335</v>
      </c>
      <c t="s">
        <v>2517</v>
      </c>
      <c t="s">
        <v>39289</v>
      </c>
      <c>
        <v>33909</v>
      </c>
      <c t="s">
        <v>19404</v>
      </c>
      <c t="s">
        <v>48794</v>
      </c>
      <c t="s">
        <v>42859</v>
      </c>
      <c>
        <v>2032</v>
      </c>
      <c r="AI2674" t="s">
        <v>55093</v>
      </c>
      <c t="s">
        <v>835</v>
      </c>
      <c r="AL2674" t="s">
        <v>25857</v>
      </c>
      <c r="AN2674" t="s">
        <v>39289</v>
      </c>
      <c t="s">
        <v>39637</v>
      </c>
      <c t="s">
        <v>19978</v>
      </c>
      <c t="s">
        <v>3093</v>
      </c>
      <c t="s">
        <v>4635</v>
      </c>
    </row>
    <row>
      <c t="s">
        <v>17594</v>
      </c>
      <c t="s">
        <v>20725</v>
      </c>
      <c t="s">
        <v>22993</v>
      </c>
      <c t="s">
        <v>43609</v>
      </c>
      <c t="s">
        <v>25544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675" s="1" t="str">
        <f ca="1">HYPERLINK("https://web.datatree.com/?/property?propertyId=32984751", "https://web.datatree.com/?/property?propertyId=32984751")</f>
        <v>https://web.datatree.com/?/property?propertyId=32984751</v>
      </c>
      <c r="Q2675" t="s">
        <v>316</v>
      </c>
      <c>
        <v>0.23</v>
      </c>
      <c t="s">
        <v>22490</v>
      </c>
      <c t="s">
        <v>2140</v>
      </c>
      <c t="s">
        <v>1463</v>
      </c>
      <c t="s">
        <v>18933</v>
      </c>
      <c t="s">
        <v>1463</v>
      </c>
      <c t="s">
        <v>24846</v>
      </c>
      <c t="s">
        <v>25017</v>
      </c>
      <c t="s">
        <v>2517</v>
      </c>
      <c t="s">
        <v>39289</v>
      </c>
      <c>
        <v>33909</v>
      </c>
      <c t="s">
        <v>45067</v>
      </c>
      <c t="s">
        <v>48794</v>
      </c>
      <c t="s">
        <v>52026</v>
      </c>
      <c>
        <v>2137</v>
      </c>
      <c r="AI2675" t="s">
        <v>41872</v>
      </c>
      <c t="s">
        <v>31192</v>
      </c>
      <c r="AL2675" t="s">
        <v>9952</v>
      </c>
      <c r="AN2675" t="s">
        <v>65467</v>
      </c>
      <c t="s">
        <v>51486</v>
      </c>
      <c t="s">
        <v>43294</v>
      </c>
      <c t="s">
        <v>3093</v>
      </c>
      <c t="s">
        <v>30638</v>
      </c>
    </row>
    <row>
      <c t="s">
        <v>17594</v>
      </c>
      <c t="s">
        <v>10536</v>
      </c>
      <c t="s">
        <v>54722</v>
      </c>
      <c t="s">
        <v>63643</v>
      </c>
      <c t="s">
        <v>4162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676" s="1" t="str">
        <f ca="1">HYPERLINK("https://web.datatree.com/?/property?propertyId=32984969", "https://web.datatree.com/?/property?propertyId=32984969")</f>
        <v>https://web.datatree.com/?/property?propertyId=32984969</v>
      </c>
      <c r="Q2676" t="s">
        <v>316</v>
      </c>
      <c>
        <v>0.23</v>
      </c>
      <c t="s">
        <v>6175</v>
      </c>
      <c t="s">
        <v>30490</v>
      </c>
      <c t="s">
        <v>64528</v>
      </c>
      <c t="s">
        <v>48320</v>
      </c>
      <c t="s">
        <v>64528</v>
      </c>
      <c t="s">
        <v>57266</v>
      </c>
      <c t="s">
        <v>24999</v>
      </c>
      <c t="s">
        <v>2517</v>
      </c>
      <c t="s">
        <v>39289</v>
      </c>
      <c>
        <v>33909</v>
      </c>
      <c t="s">
        <v>45484</v>
      </c>
      <c t="s">
        <v>48794</v>
      </c>
      <c t="s">
        <v>53859</v>
      </c>
      <c>
        <v>9391</v>
      </c>
      <c r="AI2676" t="s">
        <v>33472</v>
      </c>
      <c t="s">
        <v>31192</v>
      </c>
      <c r="AL2676" t="s">
        <v>21971</v>
      </c>
      <c r="AN2676" t="s">
        <v>65451</v>
      </c>
      <c t="s">
        <v>13494</v>
      </c>
      <c t="s">
        <v>21201</v>
      </c>
      <c t="s">
        <v>3093</v>
      </c>
      <c t="s">
        <v>10964</v>
      </c>
    </row>
    <row>
      <c t="s">
        <v>17594</v>
      </c>
      <c t="s">
        <v>15003</v>
      </c>
      <c t="s">
        <v>50969</v>
      </c>
      <c t="s">
        <v>27554</v>
      </c>
      <c t="s">
        <v>37986</v>
      </c>
      <c s="3">
        <v>1400</v>
      </c>
      <c s="3">
        <v>1400</v>
      </c>
      <c s="3">
        <v>1400</v>
      </c>
      <c>
        <v>0</v>
      </c>
      <c s="3">
        <v>0</v>
      </c>
      <c s="3">
        <v>314.27</v>
      </c>
      <c s="3">
        <v>1400</v>
      </c>
      <c r="O2677" s="1" t="str">
        <f ca="1">HYPERLINK("https://web.datatree.com/?/property?propertyId=32985042", "https://web.datatree.com/?/property?propertyId=32985042")</f>
        <v>https://web.datatree.com/?/property?propertyId=32985042</v>
      </c>
      <c r="Q2677" t="s">
        <v>316</v>
      </c>
      <c>
        <v>0.143</v>
      </c>
      <c t="s">
        <v>42044</v>
      </c>
      <c t="s">
        <v>20155</v>
      </c>
      <c t="s">
        <v>37991</v>
      </c>
      <c r="X2677" t="s">
        <v>50508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5401</v>
      </c>
      <c r="AI2677" t="s">
        <v>35712</v>
      </c>
      <c t="s">
        <v>45393</v>
      </c>
      <c r="AL2677" t="s">
        <v>18092</v>
      </c>
      <c t="s">
        <v>18092</v>
      </c>
      <c t="s">
        <v>39289</v>
      </c>
      <c t="s">
        <v>25107</v>
      </c>
      <c t="s">
        <v>17380</v>
      </c>
      <c t="s">
        <v>3093</v>
      </c>
      <c t="s">
        <v>18766</v>
      </c>
    </row>
    <row>
      <c t="s">
        <v>17594</v>
      </c>
      <c t="s">
        <v>4114</v>
      </c>
      <c t="s">
        <v>39636</v>
      </c>
      <c t="s">
        <v>51880</v>
      </c>
      <c t="s">
        <v>60100</v>
      </c>
      <c s="3">
        <v>7500</v>
      </c>
      <c s="3">
        <v>7500</v>
      </c>
      <c s="3">
        <v>7500</v>
      </c>
      <c>
        <v>0</v>
      </c>
      <c s="3">
        <v>0</v>
      </c>
      <c s="3">
        <v>676.07</v>
      </c>
      <c s="3">
        <v>7500</v>
      </c>
      <c r="O2678" s="1" t="str">
        <f ca="1">HYPERLINK("https://web.datatree.com/?/property?propertyId=32985316", "https://web.datatree.com/?/property?propertyId=32985316")</f>
        <v>https://web.datatree.com/?/property?propertyId=32985316</v>
      </c>
      <c r="Q2678" t="s">
        <v>316</v>
      </c>
      <c>
        <v>0.23</v>
      </c>
      <c t="s">
        <v>6175</v>
      </c>
      <c t="s">
        <v>42212</v>
      </c>
      <c t="s">
        <v>43340</v>
      </c>
      <c t="s">
        <v>34344</v>
      </c>
      <c t="s">
        <v>43340</v>
      </c>
      <c t="s">
        <v>2254</v>
      </c>
      <c t="s">
        <v>39777</v>
      </c>
      <c t="s">
        <v>2517</v>
      </c>
      <c t="s">
        <v>39289</v>
      </c>
      <c>
        <v>33909</v>
      </c>
      <c t="s">
        <v>23207</v>
      </c>
      <c t="s">
        <v>48794</v>
      </c>
      <c t="s">
        <v>40896</v>
      </c>
      <c>
        <v>12407</v>
      </c>
      <c r="AI2678" t="s">
        <v>21383</v>
      </c>
      <c t="s">
        <v>31192</v>
      </c>
      <c r="AL2678" t="s">
        <v>3701</v>
      </c>
      <c r="AN2678" t="s">
        <v>10804</v>
      </c>
      <c t="s">
        <v>59044</v>
      </c>
      <c t="s">
        <v>37948</v>
      </c>
      <c t="s">
        <v>3093</v>
      </c>
      <c t="s">
        <v>28885</v>
      </c>
    </row>
    <row>
      <c t="s">
        <v>17594</v>
      </c>
      <c t="s">
        <v>54358</v>
      </c>
      <c t="s">
        <v>58158</v>
      </c>
      <c t="s">
        <v>59037</v>
      </c>
      <c t="s">
        <v>20158</v>
      </c>
      <c s="3">
        <v>8837</v>
      </c>
      <c s="3">
        <v>8837</v>
      </c>
      <c s="3">
        <v>8837</v>
      </c>
      <c>
        <v>0</v>
      </c>
      <c s="3">
        <v>0</v>
      </c>
      <c s="3">
        <v>137.58</v>
      </c>
      <c s="3">
        <v>8837</v>
      </c>
      <c r="O2679" s="1" t="str">
        <f ca="1">HYPERLINK("https://web.datatree.com/?/property?propertyId=32985734", "https://web.datatree.com/?/property?propertyId=32985734")</f>
        <v>https://web.datatree.com/?/property?propertyId=32985734</v>
      </c>
      <c r="Q2679" t="s">
        <v>316</v>
      </c>
      <c>
        <v>0.324</v>
      </c>
      <c t="s">
        <v>5471</v>
      </c>
      <c t="s">
        <v>11077</v>
      </c>
      <c t="s">
        <v>32964</v>
      </c>
      <c r="X2679" t="s">
        <v>29686</v>
      </c>
      <c t="s">
        <v>2161</v>
      </c>
      <c t="s">
        <v>65059</v>
      </c>
      <c t="s">
        <v>39289</v>
      </c>
      <c>
        <v>33905</v>
      </c>
      <c t="s">
        <v>12498</v>
      </c>
      <c t="s">
        <v>48794</v>
      </c>
      <c t="s">
        <v>54343</v>
      </c>
      <c>
        <v>3030</v>
      </c>
      <c r="AI2679" t="s">
        <v>3674</v>
      </c>
      <c t="s">
        <v>24900</v>
      </c>
      <c r="AL2679" t="s">
        <v>55393</v>
      </c>
      <c t="s">
        <v>35365</v>
      </c>
      <c t="s">
        <v>39289</v>
      </c>
      <c t="s">
        <v>22024</v>
      </c>
      <c t="s">
        <v>22302</v>
      </c>
      <c t="s">
        <v>3093</v>
      </c>
      <c t="s">
        <v>4087</v>
      </c>
    </row>
    <row>
      <c t="s">
        <v>17594</v>
      </c>
      <c t="s">
        <v>33388</v>
      </c>
      <c t="s">
        <v>25355</v>
      </c>
      <c t="s">
        <v>48646</v>
      </c>
      <c t="s">
        <v>12790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2680" s="1" t="str">
        <f ca="1">HYPERLINK("https://web.datatree.com/?/property?propertyId=32986468", "https://web.datatree.com/?/property?propertyId=32986468")</f>
        <v>https://web.datatree.com/?/property?propertyId=32986468</v>
      </c>
      <c r="Q2680" t="s">
        <v>316</v>
      </c>
      <c>
        <v>0.255</v>
      </c>
      <c t="s">
        <v>6175</v>
      </c>
      <c t="s">
        <v>2873</v>
      </c>
      <c t="s">
        <v>26163</v>
      </c>
      <c t="s">
        <v>5146</v>
      </c>
      <c t="s">
        <v>26163</v>
      </c>
      <c t="s">
        <v>34901</v>
      </c>
      <c t="s">
        <v>2626</v>
      </c>
      <c t="s">
        <v>2517</v>
      </c>
      <c t="s">
        <v>39289</v>
      </c>
      <c>
        <v>33909</v>
      </c>
      <c t="s">
        <v>27140</v>
      </c>
      <c t="s">
        <v>48794</v>
      </c>
      <c t="s">
        <v>24543</v>
      </c>
      <c>
        <v>12676</v>
      </c>
      <c r="AI2680">
        <v>113</v>
      </c>
      <c t="s">
        <v>45620</v>
      </c>
      <c r="AL2680" t="s">
        <v>53106</v>
      </c>
      <c r="AN2680" t="s">
        <v>9387</v>
      </c>
      <c t="s">
        <v>20644</v>
      </c>
      <c t="s">
        <v>57614</v>
      </c>
      <c t="s">
        <v>3093</v>
      </c>
      <c t="s">
        <v>60708</v>
      </c>
    </row>
    <row>
      <c t="s">
        <v>17594</v>
      </c>
      <c t="s">
        <v>33798</v>
      </c>
      <c t="s">
        <v>11975</v>
      </c>
      <c t="s">
        <v>201</v>
      </c>
      <c t="s">
        <v>7383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2681" s="1" t="str">
        <f ca="1">HYPERLINK("https://web.datatree.com/?/property?propertyId=32986786", "https://web.datatree.com/?/property?propertyId=32986786")</f>
        <v>https://web.datatree.com/?/property?propertyId=32986786</v>
      </c>
      <c r="Q2681" t="s">
        <v>316</v>
      </c>
      <c>
        <v>0.241</v>
      </c>
      <c t="s">
        <v>6175</v>
      </c>
      <c t="s">
        <v>48545</v>
      </c>
      <c t="s">
        <v>53284</v>
      </c>
      <c t="s">
        <v>32248</v>
      </c>
      <c t="s">
        <v>53284</v>
      </c>
      <c t="s">
        <v>17028</v>
      </c>
      <c t="s">
        <v>49122</v>
      </c>
      <c t="s">
        <v>2517</v>
      </c>
      <c t="s">
        <v>39289</v>
      </c>
      <c>
        <v>33909</v>
      </c>
      <c t="s">
        <v>30091</v>
      </c>
      <c t="s">
        <v>48794</v>
      </c>
      <c t="s">
        <v>44472</v>
      </c>
      <c>
        <v>71</v>
      </c>
      <c r="AI2681" t="s">
        <v>37123</v>
      </c>
      <c t="s">
        <v>31192</v>
      </c>
      <c r="AL2681" t="s">
        <v>20144</v>
      </c>
      <c r="AN2681" t="s">
        <v>36633</v>
      </c>
      <c t="s">
        <v>17047</v>
      </c>
      <c t="s">
        <v>1951</v>
      </c>
      <c t="s">
        <v>3093</v>
      </c>
      <c t="s">
        <v>2118</v>
      </c>
    </row>
    <row>
      <c t="s">
        <v>17594</v>
      </c>
      <c t="s">
        <v>61037</v>
      </c>
      <c t="s">
        <v>46303</v>
      </c>
      <c t="s">
        <v>24173</v>
      </c>
      <c t="s">
        <v>32905</v>
      </c>
      <c s="3">
        <v>10600</v>
      </c>
      <c s="3">
        <v>10600</v>
      </c>
      <c s="3">
        <v>9339</v>
      </c>
      <c>
        <v>0</v>
      </c>
      <c s="3">
        <v>0</v>
      </c>
      <c s="3">
        <v>3428.55</v>
      </c>
      <c s="3">
        <v>10600</v>
      </c>
      <c r="O2682" s="1" t="str">
        <f ca="1">HYPERLINK("https://web.datatree.com/?/property?propertyId=32987022", "https://web.datatree.com/?/property?propertyId=32987022")</f>
        <v>https://web.datatree.com/?/property?propertyId=32987022</v>
      </c>
      <c r="Q2682" t="s">
        <v>316</v>
      </c>
      <c>
        <v>0.344</v>
      </c>
      <c t="s">
        <v>6175</v>
      </c>
      <c t="s">
        <v>19906</v>
      </c>
      <c t="s">
        <v>20110</v>
      </c>
      <c t="s">
        <v>17631</v>
      </c>
      <c t="s">
        <v>54153</v>
      </c>
      <c t="s">
        <v>51094</v>
      </c>
      <c t="s">
        <v>55273</v>
      </c>
      <c t="s">
        <v>2517</v>
      </c>
      <c t="s">
        <v>39289</v>
      </c>
      <c>
        <v>33909</v>
      </c>
      <c t="s">
        <v>28823</v>
      </c>
      <c t="s">
        <v>48794</v>
      </c>
      <c t="s">
        <v>38620</v>
      </c>
      <c>
        <v>11061</v>
      </c>
      <c r="AI2682" t="s">
        <v>13464</v>
      </c>
      <c t="s">
        <v>45620</v>
      </c>
      <c r="AL2682" t="s">
        <v>1160</v>
      </c>
      <c r="AN2682" t="s">
        <v>50917</v>
      </c>
      <c t="s">
        <v>63628</v>
      </c>
      <c t="s">
        <v>34162</v>
      </c>
      <c t="s">
        <v>3093</v>
      </c>
      <c t="s">
        <v>38755</v>
      </c>
    </row>
    <row>
      <c t="s">
        <v>17594</v>
      </c>
      <c t="s">
        <v>40183</v>
      </c>
      <c t="s">
        <v>48665</v>
      </c>
      <c t="s">
        <v>66123</v>
      </c>
      <c t="s">
        <v>15544</v>
      </c>
      <c s="3">
        <v>22231</v>
      </c>
      <c s="3">
        <v>22231</v>
      </c>
      <c s="3">
        <v>6839</v>
      </c>
      <c>
        <v>0</v>
      </c>
      <c s="3">
        <v>0</v>
      </c>
      <c s="3">
        <v>387.96</v>
      </c>
      <c s="3">
        <v>22231</v>
      </c>
      <c r="O2683" s="1" t="str">
        <f ca="1">HYPERLINK("https://web.datatree.com/?/property?propertyId=32987543", "https://web.datatree.com/?/property?propertyId=32987543")</f>
        <v>https://web.datatree.com/?/property?propertyId=32987543</v>
      </c>
      <c r="Q2683" t="s">
        <v>316</v>
      </c>
      <c>
        <v>0.393</v>
      </c>
      <c t="s">
        <v>37489</v>
      </c>
      <c t="s">
        <v>11371</v>
      </c>
      <c t="s">
        <v>39164</v>
      </c>
      <c r="X2683" t="s">
        <v>8846</v>
      </c>
      <c t="s">
        <v>18019</v>
      </c>
      <c t="s">
        <v>65059</v>
      </c>
      <c t="s">
        <v>39289</v>
      </c>
      <c>
        <v>33905</v>
      </c>
      <c>
        <v>33905</v>
      </c>
      <c t="s">
        <v>48794</v>
      </c>
      <c t="s">
        <v>16045</v>
      </c>
      <c>
        <v>12961</v>
      </c>
      <c r="AI2683" t="s">
        <v>5229</v>
      </c>
      <c t="s">
        <v>45393</v>
      </c>
      <c r="AL2683" t="s">
        <v>55393</v>
      </c>
      <c t="s">
        <v>40227</v>
      </c>
      <c t="s">
        <v>39289</v>
      </c>
      <c t="s">
        <v>490</v>
      </c>
      <c t="s">
        <v>16126</v>
      </c>
      <c t="s">
        <v>3093</v>
      </c>
      <c t="s">
        <v>40837</v>
      </c>
    </row>
    <row>
      <c t="s">
        <v>17594</v>
      </c>
      <c t="s">
        <v>22647</v>
      </c>
      <c t="s">
        <v>58034</v>
      </c>
      <c t="s">
        <v>725</v>
      </c>
      <c t="s">
        <v>26666</v>
      </c>
      <c s="3">
        <v>12743</v>
      </c>
      <c s="3">
        <v>12743</v>
      </c>
      <c s="3">
        <v>6921</v>
      </c>
      <c>
        <v>0</v>
      </c>
      <c s="3">
        <v>0</v>
      </c>
      <c s="3">
        <v>130.62</v>
      </c>
      <c s="3">
        <v>12743</v>
      </c>
      <c r="O2684" s="1" t="str">
        <f ca="1">HYPERLINK("https://web.datatree.com/?/property?propertyId=32988230", "https://web.datatree.com/?/property?propertyId=32988230")</f>
        <v>https://web.datatree.com/?/property?propertyId=32988230</v>
      </c>
      <c r="Q2684" t="s">
        <v>316</v>
      </c>
      <c>
        <v>0.138</v>
      </c>
      <c t="s">
        <v>36245</v>
      </c>
      <c t="s">
        <v>21379</v>
      </c>
      <c t="s">
        <v>40491</v>
      </c>
      <c r="X2684" t="s">
        <v>40691</v>
      </c>
      <c t="s">
        <v>55808</v>
      </c>
      <c t="s">
        <v>65059</v>
      </c>
      <c t="s">
        <v>39289</v>
      </c>
      <c>
        <v>33907</v>
      </c>
      <c>
        <v>33907</v>
      </c>
      <c t="s">
        <v>48794</v>
      </c>
      <c t="s">
        <v>39955</v>
      </c>
      <c>
        <v>539</v>
      </c>
      <c r="AI2684" t="s">
        <v>23645</v>
      </c>
      <c t="s">
        <v>45620</v>
      </c>
      <c r="AL2684" t="s">
        <v>6292</v>
      </c>
      <c t="s">
        <v>6292</v>
      </c>
      <c t="s">
        <v>27747</v>
      </c>
      <c t="s">
        <v>54678</v>
      </c>
      <c t="s">
        <v>44428</v>
      </c>
      <c t="s">
        <v>3093</v>
      </c>
      <c t="s">
        <v>3976</v>
      </c>
    </row>
    <row>
      <c t="s">
        <v>17594</v>
      </c>
      <c t="s">
        <v>7374</v>
      </c>
      <c t="s">
        <v>58640</v>
      </c>
      <c t="s">
        <v>25424</v>
      </c>
      <c t="s">
        <v>19614</v>
      </c>
      <c s="3">
        <v>22736</v>
      </c>
      <c s="3">
        <v>22736</v>
      </c>
      <c s="3">
        <v>8800</v>
      </c>
      <c>
        <v>0</v>
      </c>
      <c s="3">
        <v>0</v>
      </c>
      <c s="3">
        <v>605.58</v>
      </c>
      <c s="3">
        <v>22736</v>
      </c>
      <c r="O2685" s="1" t="str">
        <f ca="1">HYPERLINK("https://web.datatree.com/?/property?propertyId=32988457", "https://web.datatree.com/?/property?propertyId=32988457")</f>
        <v>https://web.datatree.com/?/property?propertyId=32988457</v>
      </c>
      <c r="Q2685" t="s">
        <v>316</v>
      </c>
      <c>
        <v>0.255</v>
      </c>
      <c t="s">
        <v>22490</v>
      </c>
      <c t="s">
        <v>2140</v>
      </c>
      <c t="s">
        <v>4298</v>
      </c>
      <c r="X2685" t="s">
        <v>38998</v>
      </c>
      <c t="s">
        <v>57064</v>
      </c>
      <c t="s">
        <v>2517</v>
      </c>
      <c t="s">
        <v>39289</v>
      </c>
      <c>
        <v>33909</v>
      </c>
      <c t="s">
        <v>19189</v>
      </c>
      <c t="s">
        <v>48794</v>
      </c>
      <c t="s">
        <v>27476</v>
      </c>
      <c>
        <v>51</v>
      </c>
      <c r="AI2685" t="s">
        <v>26146</v>
      </c>
      <c r="AL2685" t="s">
        <v>33895</v>
      </c>
      <c r="AN2685" t="s">
        <v>27747</v>
      </c>
      <c t="s">
        <v>43895</v>
      </c>
      <c t="s">
        <v>11138</v>
      </c>
      <c t="s">
        <v>3093</v>
      </c>
      <c t="s">
        <v>43883</v>
      </c>
    </row>
    <row>
      <c t="s">
        <v>17594</v>
      </c>
      <c t="s">
        <v>44167</v>
      </c>
      <c t="s">
        <v>4150</v>
      </c>
      <c t="s">
        <v>3329</v>
      </c>
      <c t="s">
        <v>49934</v>
      </c>
      <c s="3">
        <v>17100</v>
      </c>
      <c s="3">
        <v>17100</v>
      </c>
      <c s="3">
        <v>9599</v>
      </c>
      <c>
        <v>0</v>
      </c>
      <c s="3">
        <v>0</v>
      </c>
      <c s="3">
        <v>666.16</v>
      </c>
      <c s="3">
        <v>17100</v>
      </c>
      <c r="O2686" s="1" t="str">
        <f ca="1">HYPERLINK("https://web.datatree.com/?/property?propertyId=32988615", "https://web.datatree.com/?/property?propertyId=32988615")</f>
        <v>https://web.datatree.com/?/property?propertyId=32988615</v>
      </c>
      <c r="Q2686" t="s">
        <v>316</v>
      </c>
      <c>
        <v>0.35</v>
      </c>
      <c t="s">
        <v>6175</v>
      </c>
      <c t="s">
        <v>2140</v>
      </c>
      <c t="s">
        <v>34419</v>
      </c>
      <c t="s">
        <v>63182</v>
      </c>
      <c t="s">
        <v>29583</v>
      </c>
      <c t="s">
        <v>31905</v>
      </c>
      <c t="s">
        <v>49674</v>
      </c>
      <c t="s">
        <v>2517</v>
      </c>
      <c t="s">
        <v>39289</v>
      </c>
      <c>
        <v>33909</v>
      </c>
      <c t="s">
        <v>48123</v>
      </c>
      <c t="s">
        <v>48794</v>
      </c>
      <c t="s">
        <v>52318</v>
      </c>
      <c>
        <v>10609</v>
      </c>
      <c r="AI2686" t="s">
        <v>25950</v>
      </c>
      <c t="s">
        <v>45620</v>
      </c>
      <c r="AL2686" t="s">
        <v>14945</v>
      </c>
      <c r="AN2686" t="s">
        <v>65467</v>
      </c>
      <c t="s">
        <v>56741</v>
      </c>
      <c t="s">
        <v>22455</v>
      </c>
      <c t="s">
        <v>3093</v>
      </c>
      <c t="s">
        <v>46470</v>
      </c>
    </row>
    <row>
      <c t="s">
        <v>17594</v>
      </c>
      <c t="s">
        <v>28052</v>
      </c>
      <c t="s">
        <v>34255</v>
      </c>
      <c t="s">
        <v>18790</v>
      </c>
      <c t="s">
        <v>62444</v>
      </c>
      <c s="3">
        <v>26158</v>
      </c>
      <c s="3">
        <v>26158</v>
      </c>
      <c s="3">
        <v>9433</v>
      </c>
      <c>
        <v>0</v>
      </c>
      <c s="3">
        <v>0</v>
      </c>
      <c s="3">
        <v>414.38</v>
      </c>
      <c s="3">
        <v>26158</v>
      </c>
      <c>
        <v>2021</v>
      </c>
      <c>
        <v>394.55</v>
      </c>
      <c s="1" t="str">
        <f ca="1">HYPERLINK("https://web.datatree.com/?/property?propertyId=32989802", "https://web.datatree.com/?/property?propertyId=32989802")</f>
        <v>https://web.datatree.com/?/property?propertyId=32989802</v>
      </c>
      <c r="Q2687" t="s">
        <v>316</v>
      </c>
      <c>
        <v>0.241</v>
      </c>
      <c t="s">
        <v>5471</v>
      </c>
      <c t="s">
        <v>6153</v>
      </c>
      <c t="s">
        <v>56312</v>
      </c>
      <c r="X2687" t="s">
        <v>9684</v>
      </c>
      <c t="s">
        <v>13597</v>
      </c>
      <c t="s">
        <v>65059</v>
      </c>
      <c t="s">
        <v>39289</v>
      </c>
      <c>
        <v>33905</v>
      </c>
      <c t="s">
        <v>42620</v>
      </c>
      <c t="s">
        <v>48794</v>
      </c>
      <c t="s">
        <v>28479</v>
      </c>
      <c>
        <v>191</v>
      </c>
      <c r="AI2687" t="s">
        <v>45222</v>
      </c>
      <c t="s">
        <v>45393</v>
      </c>
      <c t="s">
        <v>62350</v>
      </c>
      <c t="s">
        <v>8109</v>
      </c>
      <c r="AN2687" t="s">
        <v>50917</v>
      </c>
      <c t="s">
        <v>66595</v>
      </c>
      <c t="s">
        <v>23744</v>
      </c>
      <c t="s">
        <v>3093</v>
      </c>
      <c t="s">
        <v>65559</v>
      </c>
    </row>
    <row>
      <c t="s">
        <v>17594</v>
      </c>
      <c t="s">
        <v>15394</v>
      </c>
      <c t="s">
        <v>64614</v>
      </c>
      <c t="s">
        <v>64968</v>
      </c>
      <c t="s">
        <v>19011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2688" s="1" t="str">
        <f ca="1">HYPERLINK("https://web.datatree.com/?/property?propertyId=32989822", "https://web.datatree.com/?/property?propertyId=32989822")</f>
        <v>https://web.datatree.com/?/property?propertyId=32989822</v>
      </c>
      <c r="Q2688" t="s">
        <v>316</v>
      </c>
      <c>
        <v>0.23</v>
      </c>
      <c t="s">
        <v>6175</v>
      </c>
      <c t="s">
        <v>62125</v>
      </c>
      <c t="s">
        <v>3535</v>
      </c>
      <c t="s">
        <v>20358</v>
      </c>
      <c t="s">
        <v>3535</v>
      </c>
      <c t="s">
        <v>21479</v>
      </c>
      <c t="s">
        <v>41506</v>
      </c>
      <c t="s">
        <v>2517</v>
      </c>
      <c t="s">
        <v>39289</v>
      </c>
      <c>
        <v>33904</v>
      </c>
      <c t="s">
        <v>19047</v>
      </c>
      <c t="s">
        <v>48794</v>
      </c>
      <c t="s">
        <v>30460</v>
      </c>
      <c>
        <v>609</v>
      </c>
      <c r="AI2688" t="s">
        <v>16395</v>
      </c>
      <c r="AL2688" t="s">
        <v>8109</v>
      </c>
      <c t="s">
        <v>13397</v>
      </c>
      <c t="s">
        <v>50917</v>
      </c>
      <c t="s">
        <v>40106</v>
      </c>
      <c t="s">
        <v>60333</v>
      </c>
      <c t="s">
        <v>3093</v>
      </c>
      <c t="s">
        <v>62220</v>
      </c>
    </row>
    <row>
      <c t="s">
        <v>17594</v>
      </c>
      <c t="s">
        <v>17255</v>
      </c>
      <c t="s">
        <v>3260</v>
      </c>
      <c t="s">
        <v>11317</v>
      </c>
      <c t="s">
        <v>59088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689" s="1" t="str">
        <f ca="1">HYPERLINK("https://web.datatree.com/?/property?propertyId=32989834", "https://web.datatree.com/?/property?propertyId=32989834")</f>
        <v>https://web.datatree.com/?/property?propertyId=32989834</v>
      </c>
      <c r="Q2689" t="s">
        <v>316</v>
      </c>
      <c>
        <v>0.23</v>
      </c>
      <c t="s">
        <v>22490</v>
      </c>
      <c t="s">
        <v>9900</v>
      </c>
      <c t="s">
        <v>3827</v>
      </c>
      <c t="s">
        <v>51716</v>
      </c>
      <c t="s">
        <v>3827</v>
      </c>
      <c t="s">
        <v>10777</v>
      </c>
      <c t="s">
        <v>47150</v>
      </c>
      <c t="s">
        <v>2517</v>
      </c>
      <c t="s">
        <v>39289</v>
      </c>
      <c>
        <v>33909</v>
      </c>
      <c t="s">
        <v>40453</v>
      </c>
      <c t="s">
        <v>48794</v>
      </c>
      <c t="s">
        <v>27871</v>
      </c>
      <c>
        <v>3218</v>
      </c>
      <c r="AI2689" t="s">
        <v>14272</v>
      </c>
      <c t="s">
        <v>31192</v>
      </c>
      <c r="AL2689" t="s">
        <v>54566</v>
      </c>
      <c r="AN2689" t="s">
        <v>18236</v>
      </c>
      <c t="s">
        <v>41884</v>
      </c>
      <c t="s">
        <v>28673</v>
      </c>
      <c t="s">
        <v>3093</v>
      </c>
      <c t="s">
        <v>7980</v>
      </c>
    </row>
    <row>
      <c t="s">
        <v>17594</v>
      </c>
      <c t="s">
        <v>11170</v>
      </c>
      <c t="s">
        <v>55881</v>
      </c>
      <c t="s">
        <v>21348</v>
      </c>
      <c t="s">
        <v>26988</v>
      </c>
      <c s="3">
        <v>23623</v>
      </c>
      <c s="3">
        <v>23623</v>
      </c>
      <c s="3">
        <v>11000</v>
      </c>
      <c>
        <v>0</v>
      </c>
      <c s="3">
        <v>0</v>
      </c>
      <c s="3">
        <v>622.94</v>
      </c>
      <c s="3">
        <v>23623</v>
      </c>
      <c r="O2690" s="1" t="str">
        <f ca="1">HYPERLINK("https://web.datatree.com/?/property?propertyId=32989993", "https://web.datatree.com/?/property?propertyId=32989993")</f>
        <v>https://web.datatree.com/?/property?propertyId=32989993</v>
      </c>
      <c r="Q2690" t="s">
        <v>316</v>
      </c>
      <c>
        <v>0.23</v>
      </c>
      <c t="s">
        <v>22490</v>
      </c>
      <c t="s">
        <v>15645</v>
      </c>
      <c t="s">
        <v>60061</v>
      </c>
      <c r="X2690" t="s">
        <v>50689</v>
      </c>
      <c t="s">
        <v>30928</v>
      </c>
      <c t="s">
        <v>2517</v>
      </c>
      <c t="s">
        <v>39289</v>
      </c>
      <c>
        <v>33909</v>
      </c>
      <c t="s">
        <v>12067</v>
      </c>
      <c t="s">
        <v>48794</v>
      </c>
      <c t="s">
        <v>38904</v>
      </c>
      <c>
        <v>15419</v>
      </c>
      <c r="AI2690" t="s">
        <v>31875</v>
      </c>
      <c t="s">
        <v>45620</v>
      </c>
      <c r="AL2690" t="s">
        <v>17788</v>
      </c>
      <c r="AN2690" t="s">
        <v>17134</v>
      </c>
      <c t="s">
        <v>40790</v>
      </c>
      <c t="s">
        <v>326</v>
      </c>
      <c t="s">
        <v>3093</v>
      </c>
      <c t="s">
        <v>47611</v>
      </c>
    </row>
    <row>
      <c t="s">
        <v>17594</v>
      </c>
      <c t="s">
        <v>31846</v>
      </c>
      <c t="s">
        <v>679</v>
      </c>
      <c t="s">
        <v>16343</v>
      </c>
      <c t="s">
        <v>1518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691" s="1" t="str">
        <f ca="1">HYPERLINK("https://web.datatree.com/?/property?propertyId=32990146", "https://web.datatree.com/?/property?propertyId=32990146")</f>
        <v>https://web.datatree.com/?/property?propertyId=32990146</v>
      </c>
      <c r="Q2691" t="s">
        <v>316</v>
      </c>
      <c>
        <v>0.23</v>
      </c>
      <c t="s">
        <v>42044</v>
      </c>
      <c t="s">
        <v>10419</v>
      </c>
      <c t="s">
        <v>46201</v>
      </c>
      <c r="X2691" t="s">
        <v>6485</v>
      </c>
      <c t="s">
        <v>61144</v>
      </c>
      <c t="s">
        <v>2517</v>
      </c>
      <c t="s">
        <v>39289</v>
      </c>
      <c>
        <v>33909</v>
      </c>
      <c t="s">
        <v>34574</v>
      </c>
      <c t="s">
        <v>48794</v>
      </c>
      <c t="s">
        <v>38509</v>
      </c>
      <c>
        <v>34</v>
      </c>
      <c r="AI2691" t="s">
        <v>20069</v>
      </c>
      <c t="s">
        <v>45393</v>
      </c>
      <c r="AL2691" t="s">
        <v>27615</v>
      </c>
      <c r="AN2691" t="s">
        <v>27747</v>
      </c>
      <c t="s">
        <v>62572</v>
      </c>
      <c t="s">
        <v>62983</v>
      </c>
      <c t="s">
        <v>3093</v>
      </c>
      <c t="s">
        <v>62860</v>
      </c>
    </row>
    <row>
      <c t="s">
        <v>17594</v>
      </c>
      <c t="s">
        <v>61276</v>
      </c>
      <c t="s">
        <v>5456</v>
      </c>
      <c t="s">
        <v>7125</v>
      </c>
      <c t="s">
        <v>23297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692" s="1" t="str">
        <f ca="1">HYPERLINK("https://web.datatree.com/?/property?propertyId=32990544", "https://web.datatree.com/?/property?propertyId=32990544")</f>
        <v>https://web.datatree.com/?/property?propertyId=32990544</v>
      </c>
      <c r="Q2692" t="s">
        <v>316</v>
      </c>
      <c>
        <v>0.23</v>
      </c>
      <c t="s">
        <v>42044</v>
      </c>
      <c t="s">
        <v>64395</v>
      </c>
      <c t="s">
        <v>4789</v>
      </c>
      <c t="s">
        <v>64395</v>
      </c>
      <c t="s">
        <v>4789</v>
      </c>
      <c t="s">
        <v>27546</v>
      </c>
      <c t="s">
        <v>57064</v>
      </c>
      <c t="s">
        <v>2517</v>
      </c>
      <c t="s">
        <v>39289</v>
      </c>
      <c>
        <v>33909</v>
      </c>
      <c t="s">
        <v>31947</v>
      </c>
      <c t="s">
        <v>48794</v>
      </c>
      <c t="s">
        <v>26127</v>
      </c>
      <c>
        <v>1375</v>
      </c>
      <c r="AI2692" t="s">
        <v>30928</v>
      </c>
      <c t="s">
        <v>45393</v>
      </c>
      <c r="AL2692" t="s">
        <v>55393</v>
      </c>
      <c t="s">
        <v>55393</v>
      </c>
      <c t="s">
        <v>39289</v>
      </c>
      <c t="s">
        <v>46653</v>
      </c>
      <c t="s">
        <v>15968</v>
      </c>
      <c t="s">
        <v>3093</v>
      </c>
      <c t="s">
        <v>16055</v>
      </c>
    </row>
    <row>
      <c t="s">
        <v>17594</v>
      </c>
      <c t="s">
        <v>253</v>
      </c>
      <c t="s">
        <v>41976</v>
      </c>
      <c t="s">
        <v>23613</v>
      </c>
      <c t="s">
        <v>56794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2693" s="1" t="str">
        <f ca="1">HYPERLINK("https://web.datatree.com/?/property?propertyId=32991219", "https://web.datatree.com/?/property?propertyId=32991219")</f>
        <v>https://web.datatree.com/?/property?propertyId=32991219</v>
      </c>
      <c r="Q2693" t="s">
        <v>316</v>
      </c>
      <c>
        <v>0.227</v>
      </c>
      <c t="s">
        <v>5471</v>
      </c>
      <c t="s">
        <v>40487</v>
      </c>
      <c t="s">
        <v>44640</v>
      </c>
      <c t="s">
        <v>56577</v>
      </c>
      <c t="s">
        <v>5921</v>
      </c>
      <c t="s">
        <v>45893</v>
      </c>
      <c t="s">
        <v>40660</v>
      </c>
      <c t="s">
        <v>65059</v>
      </c>
      <c t="s">
        <v>39289</v>
      </c>
      <c>
        <v>33905</v>
      </c>
      <c t="s">
        <v>48595</v>
      </c>
      <c t="s">
        <v>48794</v>
      </c>
      <c t="s">
        <v>19118</v>
      </c>
      <c>
        <v>516</v>
      </c>
      <c r="AI2693" t="s">
        <v>21325</v>
      </c>
      <c t="s">
        <v>45620</v>
      </c>
      <c r="AL2693" t="s">
        <v>7275</v>
      </c>
      <c r="AN2693" t="s">
        <v>26016</v>
      </c>
      <c t="s">
        <v>51514</v>
      </c>
      <c t="s">
        <v>26242</v>
      </c>
      <c t="s">
        <v>3093</v>
      </c>
      <c t="s">
        <v>19408</v>
      </c>
    </row>
    <row>
      <c t="s">
        <v>17594</v>
      </c>
      <c t="s">
        <v>43608</v>
      </c>
      <c t="s">
        <v>11486</v>
      </c>
      <c t="s">
        <v>20947</v>
      </c>
      <c t="s">
        <v>46631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2694" s="1" t="str">
        <f ca="1">HYPERLINK("https://web.datatree.com/?/property?propertyId=32991569", "https://web.datatree.com/?/property?propertyId=32991569")</f>
        <v>https://web.datatree.com/?/property?propertyId=32991569</v>
      </c>
      <c r="Q2694" t="s">
        <v>316</v>
      </c>
      <c>
        <v>0.23</v>
      </c>
      <c t="s">
        <v>22490</v>
      </c>
      <c t="s">
        <v>31051</v>
      </c>
      <c t="s">
        <v>50854</v>
      </c>
      <c r="X2694" t="s">
        <v>35804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48016</v>
      </c>
      <c>
        <v>1415</v>
      </c>
      <c r="AI2694" t="s">
        <v>50120</v>
      </c>
      <c t="s">
        <v>45620</v>
      </c>
      <c r="AL2694" t="s">
        <v>59338</v>
      </c>
      <c r="AN2694" t="s">
        <v>39289</v>
      </c>
      <c t="s">
        <v>41050</v>
      </c>
      <c t="s">
        <v>702</v>
      </c>
      <c t="s">
        <v>3093</v>
      </c>
      <c t="s">
        <v>20771</v>
      </c>
    </row>
    <row>
      <c t="s">
        <v>17594</v>
      </c>
      <c t="s">
        <v>19087</v>
      </c>
      <c t="s">
        <v>30780</v>
      </c>
      <c t="s">
        <v>25030</v>
      </c>
      <c t="s">
        <v>7547</v>
      </c>
      <c s="3">
        <v>38645</v>
      </c>
      <c s="3">
        <v>38645</v>
      </c>
      <c s="3">
        <v>15044</v>
      </c>
      <c>
        <v>0</v>
      </c>
      <c s="3">
        <v>0</v>
      </c>
      <c s="3">
        <v>826.28</v>
      </c>
      <c s="3">
        <v>38645</v>
      </c>
      <c r="O2695" s="1" t="str">
        <f ca="1">HYPERLINK("https://web.datatree.com/?/property?propertyId=32992315", "https://web.datatree.com/?/property?propertyId=32992315")</f>
        <v>https://web.datatree.com/?/property?propertyId=32992315</v>
      </c>
      <c r="Q2695" t="s">
        <v>316</v>
      </c>
      <c>
        <v>0.27</v>
      </c>
      <c t="s">
        <v>6175</v>
      </c>
      <c t="s">
        <v>16200</v>
      </c>
      <c t="s">
        <v>57867</v>
      </c>
      <c t="s">
        <v>1805</v>
      </c>
      <c t="s">
        <v>57867</v>
      </c>
      <c t="s">
        <v>29649</v>
      </c>
      <c t="s">
        <v>30928</v>
      </c>
      <c t="s">
        <v>2517</v>
      </c>
      <c t="s">
        <v>39289</v>
      </c>
      <c>
        <v>33909</v>
      </c>
      <c t="s">
        <v>44919</v>
      </c>
      <c t="s">
        <v>48794</v>
      </c>
      <c t="s">
        <v>63654</v>
      </c>
      <c>
        <v>4401</v>
      </c>
      <c r="AH2695" t="s">
        <v>26580</v>
      </c>
      <c t="s">
        <v>31649</v>
      </c>
      <c t="s">
        <v>4985</v>
      </c>
      <c>
        <v>1407</v>
      </c>
      <c t="s">
        <v>11713</v>
      </c>
      <c t="s">
        <v>11713</v>
      </c>
      <c t="s">
        <v>39289</v>
      </c>
      <c t="s">
        <v>18718</v>
      </c>
      <c t="s">
        <v>21201</v>
      </c>
      <c t="s">
        <v>3093</v>
      </c>
      <c t="s">
        <v>16843</v>
      </c>
    </row>
    <row>
      <c t="s">
        <v>17594</v>
      </c>
      <c t="s">
        <v>11135</v>
      </c>
      <c t="s">
        <v>37821</v>
      </c>
      <c t="s">
        <v>39532</v>
      </c>
      <c t="s">
        <v>6558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696" s="1" t="str">
        <f ca="1">HYPERLINK("https://web.datatree.com/?/property?propertyId=32992669", "https://web.datatree.com/?/property?propertyId=32992669")</f>
        <v>https://web.datatree.com/?/property?propertyId=32992669</v>
      </c>
      <c r="Q2696" t="s">
        <v>316</v>
      </c>
      <c>
        <v>0.23</v>
      </c>
      <c t="s">
        <v>6175</v>
      </c>
      <c t="s">
        <v>64030</v>
      </c>
      <c t="s">
        <v>48196</v>
      </c>
      <c r="X2696" t="s">
        <v>38880</v>
      </c>
      <c t="s">
        <v>60363</v>
      </c>
      <c t="s">
        <v>2517</v>
      </c>
      <c t="s">
        <v>39289</v>
      </c>
      <c>
        <v>33909</v>
      </c>
      <c t="s">
        <v>11939</v>
      </c>
      <c t="s">
        <v>48794</v>
      </c>
      <c t="s">
        <v>41385</v>
      </c>
      <c>
        <v>4</v>
      </c>
      <c r="AI2696" t="s">
        <v>48794</v>
      </c>
      <c t="s">
        <v>40123</v>
      </c>
      <c r="AL2696" t="s">
        <v>47547</v>
      </c>
      <c r="AN2696" t="s">
        <v>50917</v>
      </c>
      <c t="s">
        <v>28678</v>
      </c>
      <c t="s">
        <v>5800</v>
      </c>
      <c t="s">
        <v>3093</v>
      </c>
      <c t="s">
        <v>9828</v>
      </c>
    </row>
    <row>
      <c t="s">
        <v>17594</v>
      </c>
      <c t="s">
        <v>60460</v>
      </c>
      <c t="s">
        <v>15239</v>
      </c>
      <c t="s">
        <v>48392</v>
      </c>
      <c t="s">
        <v>60335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2697" s="1" t="str">
        <f ca="1">HYPERLINK("https://web.datatree.com/?/property?propertyId=32992730", "https://web.datatree.com/?/property?propertyId=32992730")</f>
        <v>https://web.datatree.com/?/property?propertyId=32992730</v>
      </c>
      <c r="Q2697" t="s">
        <v>316</v>
      </c>
      <c>
        <v>0.23</v>
      </c>
      <c t="s">
        <v>6175</v>
      </c>
      <c t="s">
        <v>39768</v>
      </c>
      <c t="s">
        <v>22015</v>
      </c>
      <c r="X2697" t="s">
        <v>3311</v>
      </c>
      <c t="s">
        <v>10653</v>
      </c>
      <c t="s">
        <v>2517</v>
      </c>
      <c t="s">
        <v>39289</v>
      </c>
      <c>
        <v>33909</v>
      </c>
      <c t="s">
        <v>65652</v>
      </c>
      <c t="s">
        <v>48794</v>
      </c>
      <c t="s">
        <v>47365</v>
      </c>
      <c>
        <v>1557</v>
      </c>
      <c r="AI2697" t="s">
        <v>5578</v>
      </c>
      <c t="s">
        <v>45393</v>
      </c>
      <c r="AL2697" t="s">
        <v>32904</v>
      </c>
      <c r="AN2697" t="s">
        <v>51137</v>
      </c>
      <c t="s">
        <v>48802</v>
      </c>
      <c t="s">
        <v>11138</v>
      </c>
      <c t="s">
        <v>3093</v>
      </c>
      <c t="s">
        <v>11031</v>
      </c>
    </row>
    <row>
      <c t="s">
        <v>17594</v>
      </c>
      <c t="s">
        <v>56148</v>
      </c>
      <c t="s">
        <v>57577</v>
      </c>
      <c t="s">
        <v>62873</v>
      </c>
      <c t="s">
        <v>63582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2698" s="1" t="str">
        <f ca="1">HYPERLINK("https://web.datatree.com/?/property?propertyId=32993499", "https://web.datatree.com/?/property?propertyId=32993499")</f>
        <v>https://web.datatree.com/?/property?propertyId=32993499</v>
      </c>
      <c r="Q2698" t="s">
        <v>316</v>
      </c>
      <c>
        <v>0.23</v>
      </c>
      <c t="s">
        <v>22490</v>
      </c>
      <c t="s">
        <v>15424</v>
      </c>
      <c t="s">
        <v>45185</v>
      </c>
      <c t="s">
        <v>42506</v>
      </c>
      <c t="s">
        <v>54767</v>
      </c>
      <c t="s">
        <v>40232</v>
      </c>
      <c t="s">
        <v>59763</v>
      </c>
      <c t="s">
        <v>2517</v>
      </c>
      <c t="s">
        <v>39289</v>
      </c>
      <c>
        <v>33909</v>
      </c>
      <c>
        <v>33909</v>
      </c>
      <c t="s">
        <v>48794</v>
      </c>
      <c t="s">
        <v>23168</v>
      </c>
      <c>
        <v>2402</v>
      </c>
      <c r="AI2698" t="s">
        <v>33698</v>
      </c>
      <c t="s">
        <v>45620</v>
      </c>
      <c r="AL2698" t="s">
        <v>31785</v>
      </c>
      <c t="s">
        <v>40925</v>
      </c>
      <c t="s">
        <v>51087</v>
      </c>
      <c t="s">
        <v>33766</v>
      </c>
      <c t="s">
        <v>38085</v>
      </c>
      <c t="s">
        <v>3093</v>
      </c>
      <c t="s">
        <v>65144</v>
      </c>
    </row>
    <row>
      <c t="s">
        <v>17594</v>
      </c>
      <c t="s">
        <v>14381</v>
      </c>
      <c t="s">
        <v>16481</v>
      </c>
      <c t="s">
        <v>40898</v>
      </c>
      <c t="s">
        <v>36724</v>
      </c>
      <c s="3">
        <v>17521</v>
      </c>
      <c s="3">
        <v>17521</v>
      </c>
      <c s="3">
        <v>8470</v>
      </c>
      <c>
        <v>0</v>
      </c>
      <c s="3">
        <v>0</v>
      </c>
      <c s="3">
        <v>576.29</v>
      </c>
      <c s="3">
        <v>17521</v>
      </c>
      <c r="O2699" s="1" t="str">
        <f ca="1">HYPERLINK("https://web.datatree.com/?/property?propertyId=32993867", "https://web.datatree.com/?/property?propertyId=32993867")</f>
        <v>https://web.datatree.com/?/property?propertyId=32993867</v>
      </c>
      <c r="Q2699" t="s">
        <v>316</v>
      </c>
      <c>
        <v>0.246</v>
      </c>
      <c t="s">
        <v>6175</v>
      </c>
      <c t="s">
        <v>45491</v>
      </c>
      <c t="s">
        <v>18158</v>
      </c>
      <c r="X2699" t="s">
        <v>57388</v>
      </c>
      <c t="s">
        <v>53663</v>
      </c>
      <c t="s">
        <v>2517</v>
      </c>
      <c t="s">
        <v>39289</v>
      </c>
      <c>
        <v>33909</v>
      </c>
      <c t="s">
        <v>60714</v>
      </c>
      <c t="s">
        <v>48794</v>
      </c>
      <c t="s">
        <v>32240</v>
      </c>
      <c>
        <v>534</v>
      </c>
      <c r="AI2699" t="s">
        <v>40701</v>
      </c>
      <c t="s">
        <v>40123</v>
      </c>
      <c r="AL2699" t="s">
        <v>62687</v>
      </c>
      <c r="AN2699" t="s">
        <v>22275</v>
      </c>
      <c t="s">
        <v>44663</v>
      </c>
      <c t="s">
        <v>19978</v>
      </c>
      <c t="s">
        <v>3093</v>
      </c>
      <c t="s">
        <v>19411</v>
      </c>
    </row>
    <row>
      <c t="s">
        <v>17594</v>
      </c>
      <c t="s">
        <v>25868</v>
      </c>
      <c t="s">
        <v>45471</v>
      </c>
      <c t="s">
        <v>55462</v>
      </c>
      <c t="s">
        <v>37685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>
        <v>2021</v>
      </c>
      <c>
        <v>610.24</v>
      </c>
      <c s="1" t="str">
        <f ca="1">HYPERLINK("https://web.datatree.com/?/property?propertyId=32995022", "https://web.datatree.com/?/property?propertyId=32995022")</f>
        <v>https://web.datatree.com/?/property?propertyId=32995022</v>
      </c>
      <c r="Q2700" t="s">
        <v>316</v>
      </c>
      <c>
        <v>0.244</v>
      </c>
      <c t="s">
        <v>22490</v>
      </c>
      <c t="s">
        <v>9085</v>
      </c>
      <c t="s">
        <v>58627</v>
      </c>
      <c t="s">
        <v>25450</v>
      </c>
      <c t="s">
        <v>57300</v>
      </c>
      <c t="s">
        <v>52532</v>
      </c>
      <c t="s">
        <v>29190</v>
      </c>
      <c t="s">
        <v>2517</v>
      </c>
      <c t="s">
        <v>39289</v>
      </c>
      <c>
        <v>33909</v>
      </c>
      <c t="s">
        <v>10625</v>
      </c>
      <c t="s">
        <v>48794</v>
      </c>
      <c t="s">
        <v>43954</v>
      </c>
      <c>
        <v>250</v>
      </c>
      <c r="AH2700" t="s">
        <v>52165</v>
      </c>
      <c t="s">
        <v>35301</v>
      </c>
      <c t="s">
        <v>40123</v>
      </c>
      <c r="AL2700" t="s">
        <v>57278</v>
      </c>
      <c r="AN2700" t="s">
        <v>17134</v>
      </c>
      <c t="s">
        <v>34822</v>
      </c>
      <c t="s">
        <v>41946</v>
      </c>
      <c t="s">
        <v>3093</v>
      </c>
      <c t="s">
        <v>18348</v>
      </c>
    </row>
    <row>
      <c t="s">
        <v>17594</v>
      </c>
      <c t="s">
        <v>18077</v>
      </c>
      <c t="s">
        <v>39157</v>
      </c>
      <c t="s">
        <v>15539</v>
      </c>
      <c t="s">
        <v>22269</v>
      </c>
      <c s="3">
        <v>26158</v>
      </c>
      <c s="3">
        <v>26158</v>
      </c>
      <c s="3">
        <v>9433</v>
      </c>
      <c>
        <v>0</v>
      </c>
      <c s="3">
        <v>0</v>
      </c>
      <c s="3">
        <v>413.07</v>
      </c>
      <c s="3">
        <v>26158</v>
      </c>
      <c r="O2701" s="1" t="str">
        <f ca="1">HYPERLINK("https://web.datatree.com/?/property?propertyId=32995188", "https://web.datatree.com/?/property?propertyId=32995188")</f>
        <v>https://web.datatree.com/?/property?propertyId=32995188</v>
      </c>
      <c r="Q2701" t="s">
        <v>316</v>
      </c>
      <c>
        <v>0.228</v>
      </c>
      <c t="s">
        <v>5471</v>
      </c>
      <c t="s">
        <v>552</v>
      </c>
      <c t="s">
        <v>43617</v>
      </c>
      <c r="X2701" t="s">
        <v>41511</v>
      </c>
      <c t="s">
        <v>2216</v>
      </c>
      <c t="s">
        <v>65059</v>
      </c>
      <c t="s">
        <v>39289</v>
      </c>
      <c>
        <v>33905</v>
      </c>
      <c t="s">
        <v>6761</v>
      </c>
      <c t="s">
        <v>48794</v>
      </c>
      <c t="s">
        <v>37606</v>
      </c>
      <c>
        <v>10</v>
      </c>
      <c r="AI2701" t="s">
        <v>24865</v>
      </c>
      <c r="AL2701" t="s">
        <v>61282</v>
      </c>
      <c r="AN2701" t="s">
        <v>14509</v>
      </c>
      <c t="s">
        <v>58885</v>
      </c>
      <c t="s">
        <v>27410</v>
      </c>
      <c t="s">
        <v>3093</v>
      </c>
      <c t="s">
        <v>49908</v>
      </c>
    </row>
    <row>
      <c t="s">
        <v>17594</v>
      </c>
      <c t="s">
        <v>7080</v>
      </c>
      <c t="s">
        <v>39104</v>
      </c>
      <c t="s">
        <v>18599</v>
      </c>
      <c t="s">
        <v>24480</v>
      </c>
      <c s="3">
        <v>22264</v>
      </c>
      <c s="3">
        <v>22264</v>
      </c>
      <c s="3">
        <v>10511</v>
      </c>
      <c>
        <v>0</v>
      </c>
      <c s="3">
        <v>0</v>
      </c>
      <c s="3">
        <v>869.89</v>
      </c>
      <c s="3">
        <v>22264</v>
      </c>
      <c r="O2702" s="1" t="str">
        <f ca="1">HYPERLINK("https://web.datatree.com/?/property?propertyId=32995201", "https://web.datatree.com/?/property?propertyId=32995201")</f>
        <v>https://web.datatree.com/?/property?propertyId=32995201</v>
      </c>
      <c r="Q2702" t="s">
        <v>316</v>
      </c>
      <c>
        <v>0.272</v>
      </c>
      <c t="s">
        <v>42044</v>
      </c>
      <c r="U2702" t="s">
        <v>24257</v>
      </c>
      <c r="W2702" t="s">
        <v>22690</v>
      </c>
      <c t="s">
        <v>9117</v>
      </c>
      <c t="s">
        <v>8669</v>
      </c>
      <c t="s">
        <v>2517</v>
      </c>
      <c t="s">
        <v>39289</v>
      </c>
      <c>
        <v>33909</v>
      </c>
      <c>
        <v>33909</v>
      </c>
      <c t="s">
        <v>48794</v>
      </c>
      <c t="s">
        <v>24854</v>
      </c>
      <c>
        <v>14621</v>
      </c>
      <c r="AI2702" t="s">
        <v>37082</v>
      </c>
      <c t="s">
        <v>31192</v>
      </c>
      <c r="AL2702" t="s">
        <v>51555</v>
      </c>
      <c t="s">
        <v>51555</v>
      </c>
      <c t="s">
        <v>18236</v>
      </c>
      <c t="s">
        <v>49417</v>
      </c>
      <c t="s">
        <v>49977</v>
      </c>
      <c t="s">
        <v>3093</v>
      </c>
      <c t="s">
        <v>66618</v>
      </c>
    </row>
    <row>
      <c t="s">
        <v>17594</v>
      </c>
      <c t="s">
        <v>30448</v>
      </c>
      <c t="s">
        <v>24092</v>
      </c>
      <c t="s">
        <v>14455</v>
      </c>
      <c t="s">
        <v>33557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2703" s="1" t="str">
        <f ca="1">HYPERLINK("https://web.datatree.com/?/property?propertyId=32995561", "https://web.datatree.com/?/property?propertyId=32995561")</f>
        <v>https://web.datatree.com/?/property?propertyId=32995561</v>
      </c>
      <c r="Q2703" t="s">
        <v>316</v>
      </c>
      <c>
        <v>0.23</v>
      </c>
      <c t="s">
        <v>22490</v>
      </c>
      <c t="s">
        <v>24409</v>
      </c>
      <c t="s">
        <v>55586</v>
      </c>
      <c r="X2703" t="s">
        <v>59409</v>
      </c>
      <c t="s">
        <v>49674</v>
      </c>
      <c t="s">
        <v>2517</v>
      </c>
      <c t="s">
        <v>39289</v>
      </c>
      <c>
        <v>33909</v>
      </c>
      <c t="s">
        <v>32532</v>
      </c>
      <c t="s">
        <v>48794</v>
      </c>
      <c t="s">
        <v>46434</v>
      </c>
      <c>
        <v>1600</v>
      </c>
      <c r="AI2703" t="s">
        <v>19068</v>
      </c>
      <c t="s">
        <v>31192</v>
      </c>
      <c r="AL2703" t="s">
        <v>31785</v>
      </c>
      <c r="AN2703" t="s">
        <v>51087</v>
      </c>
      <c t="s">
        <v>1987</v>
      </c>
      <c t="s">
        <v>45980</v>
      </c>
      <c t="s">
        <v>3093</v>
      </c>
      <c t="s">
        <v>2280</v>
      </c>
    </row>
    <row>
      <c t="s">
        <v>17594</v>
      </c>
      <c t="s">
        <v>18024</v>
      </c>
      <c t="s">
        <v>58416</v>
      </c>
      <c t="s">
        <v>64712</v>
      </c>
      <c t="s">
        <v>6972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>
        <v>2021</v>
      </c>
      <c>
        <v>348.45</v>
      </c>
      <c s="1" t="str">
        <f ca="1">HYPERLINK("https://web.datatree.com/?/property?propertyId=32995833", "https://web.datatree.com/?/property?propertyId=32995833")</f>
        <v>https://web.datatree.com/?/property?propertyId=32995833</v>
      </c>
      <c r="Q2704" t="s">
        <v>316</v>
      </c>
      <c>
        <v>0.247</v>
      </c>
      <c t="s">
        <v>5471</v>
      </c>
      <c t="s">
        <v>17813</v>
      </c>
      <c t="s">
        <v>36280</v>
      </c>
      <c t="s">
        <v>47321</v>
      </c>
      <c t="s">
        <v>57395</v>
      </c>
      <c t="s">
        <v>28558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19573</v>
      </c>
      <c>
        <v>280</v>
      </c>
      <c r="AI2704" t="s">
        <v>61185</v>
      </c>
      <c t="s">
        <v>24900</v>
      </c>
      <c>
        <v>111</v>
      </c>
      <c t="s">
        <v>37127</v>
      </c>
      <c r="AN2704" t="s">
        <v>50917</v>
      </c>
      <c t="s">
        <v>50869</v>
      </c>
      <c t="s">
        <v>66620</v>
      </c>
      <c t="s">
        <v>3093</v>
      </c>
      <c t="s">
        <v>29255</v>
      </c>
    </row>
    <row>
      <c t="s">
        <v>17594</v>
      </c>
      <c t="s">
        <v>31150</v>
      </c>
      <c t="s">
        <v>17587</v>
      </c>
      <c t="s">
        <v>54511</v>
      </c>
      <c t="s">
        <v>2530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2705" s="1" t="str">
        <f ca="1">HYPERLINK("https://web.datatree.com/?/property?propertyId=32995970", "https://web.datatree.com/?/property?propertyId=32995970")</f>
        <v>https://web.datatree.com/?/property?propertyId=32995970</v>
      </c>
      <c r="Q2705" t="s">
        <v>316</v>
      </c>
      <c>
        <v>0.235</v>
      </c>
      <c t="s">
        <v>22490</v>
      </c>
      <c t="s">
        <v>19833</v>
      </c>
      <c t="s">
        <v>63014</v>
      </c>
      <c r="X2705" t="s">
        <v>1772</v>
      </c>
      <c t="s">
        <v>22731</v>
      </c>
      <c t="s">
        <v>2517</v>
      </c>
      <c t="s">
        <v>39289</v>
      </c>
      <c>
        <v>33909</v>
      </c>
      <c t="s">
        <v>35927</v>
      </c>
      <c t="s">
        <v>48794</v>
      </c>
      <c t="s">
        <v>28129</v>
      </c>
      <c>
        <v>1117</v>
      </c>
      <c r="AI2705" t="s">
        <v>39934</v>
      </c>
      <c t="s">
        <v>45393</v>
      </c>
      <c r="AL2705" t="s">
        <v>50455</v>
      </c>
      <c t="s">
        <v>50455</v>
      </c>
      <c t="s">
        <v>27222</v>
      </c>
      <c t="s">
        <v>45894</v>
      </c>
      <c t="s">
        <v>53476</v>
      </c>
      <c t="s">
        <v>3093</v>
      </c>
      <c t="s">
        <v>30685</v>
      </c>
    </row>
    <row>
      <c t="s">
        <v>17594</v>
      </c>
      <c t="s">
        <v>52172</v>
      </c>
      <c t="s">
        <v>24348</v>
      </c>
      <c t="s">
        <v>60245</v>
      </c>
      <c t="s">
        <v>57942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2706" s="1" t="str">
        <f ca="1">HYPERLINK("https://web.datatree.com/?/property?propertyId=32996085", "https://web.datatree.com/?/property?propertyId=32996085")</f>
        <v>https://web.datatree.com/?/property?propertyId=32996085</v>
      </c>
      <c r="Q2706" t="s">
        <v>316</v>
      </c>
      <c>
        <v>0.23</v>
      </c>
      <c t="s">
        <v>6175</v>
      </c>
      <c t="s">
        <v>42212</v>
      </c>
      <c t="s">
        <v>40780</v>
      </c>
      <c r="X2706" t="s">
        <v>14404</v>
      </c>
      <c t="s">
        <v>13065</v>
      </c>
      <c t="s">
        <v>2517</v>
      </c>
      <c t="s">
        <v>39289</v>
      </c>
      <c>
        <v>33909</v>
      </c>
      <c t="s">
        <v>27251</v>
      </c>
      <c t="s">
        <v>48794</v>
      </c>
      <c t="s">
        <v>3011</v>
      </c>
      <c>
        <v>60</v>
      </c>
      <c r="AI2706" t="s">
        <v>21128</v>
      </c>
      <c t="s">
        <v>24900</v>
      </c>
      <c r="AL2706" t="s">
        <v>12481</v>
      </c>
      <c r="AN2706" t="s">
        <v>17134</v>
      </c>
      <c t="s">
        <v>52890</v>
      </c>
      <c t="s">
        <v>1951</v>
      </c>
      <c t="s">
        <v>3093</v>
      </c>
      <c t="s">
        <v>44968</v>
      </c>
    </row>
    <row>
      <c t="s">
        <v>17594</v>
      </c>
      <c t="s">
        <v>5154</v>
      </c>
      <c t="s">
        <v>58286</v>
      </c>
      <c t="s">
        <v>17100</v>
      </c>
      <c t="s">
        <v>23675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707" s="1" t="str">
        <f ca="1">HYPERLINK("https://web.datatree.com/?/property?propertyId=32996147", "https://web.datatree.com/?/property?propertyId=32996147")</f>
        <v>https://web.datatree.com/?/property?propertyId=32996147</v>
      </c>
      <c r="Q2707" t="s">
        <v>316</v>
      </c>
      <c>
        <v>0.23</v>
      </c>
      <c t="s">
        <v>22490</v>
      </c>
      <c t="s">
        <v>35680</v>
      </c>
      <c t="s">
        <v>8633</v>
      </c>
      <c r="X2707" t="s">
        <v>3714</v>
      </c>
      <c t="s">
        <v>25017</v>
      </c>
      <c t="s">
        <v>2517</v>
      </c>
      <c t="s">
        <v>39289</v>
      </c>
      <c>
        <v>33909</v>
      </c>
      <c t="s">
        <v>63632</v>
      </c>
      <c t="s">
        <v>48794</v>
      </c>
      <c t="s">
        <v>48720</v>
      </c>
      <c>
        <v>6303</v>
      </c>
      <c r="AI2707" t="s">
        <v>26976</v>
      </c>
      <c t="s">
        <v>31192</v>
      </c>
      <c>
        <v>400</v>
      </c>
      <c t="s">
        <v>55393</v>
      </c>
      <c r="AN2707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41266</v>
      </c>
      <c t="s">
        <v>9291</v>
      </c>
      <c t="s">
        <v>14303</v>
      </c>
      <c t="s">
        <v>29265</v>
      </c>
      <c s="3">
        <v>18211</v>
      </c>
      <c s="3">
        <v>18211</v>
      </c>
      <c s="3">
        <v>8470</v>
      </c>
      <c>
        <v>0</v>
      </c>
      <c s="3">
        <v>0</v>
      </c>
      <c s="3">
        <v>583.05</v>
      </c>
      <c s="3">
        <v>18211</v>
      </c>
      <c r="O2708" s="1" t="str">
        <f ca="1">HYPERLINK("https://web.datatree.com/?/property?propertyId=32997070", "https://web.datatree.com/?/property?propertyId=32997070")</f>
        <v>https://web.datatree.com/?/property?propertyId=32997070</v>
      </c>
      <c r="Q2708" t="s">
        <v>316</v>
      </c>
      <c>
        <v>0.275</v>
      </c>
      <c t="s">
        <v>6175</v>
      </c>
      <c t="s">
        <v>34140</v>
      </c>
      <c t="s">
        <v>32018</v>
      </c>
      <c r="X2708" t="s">
        <v>28224</v>
      </c>
      <c t="s">
        <v>64331</v>
      </c>
      <c t="s">
        <v>2517</v>
      </c>
      <c t="s">
        <v>39289</v>
      </c>
      <c>
        <v>33909</v>
      </c>
      <c t="s">
        <v>44253</v>
      </c>
      <c t="s">
        <v>48794</v>
      </c>
      <c t="s">
        <v>18856</v>
      </c>
      <c>
        <v>11318</v>
      </c>
      <c r="AI2708" t="s">
        <v>54373</v>
      </c>
      <c t="s">
        <v>24900</v>
      </c>
      <c r="AL2708" t="s">
        <v>54202</v>
      </c>
      <c r="AN2708" t="s">
        <v>19878</v>
      </c>
      <c t="s">
        <v>7659</v>
      </c>
      <c t="s">
        <v>56028</v>
      </c>
      <c t="s">
        <v>3093</v>
      </c>
      <c t="s">
        <v>9301</v>
      </c>
    </row>
    <row>
      <c t="s">
        <v>17594</v>
      </c>
      <c t="s">
        <v>37854</v>
      </c>
      <c t="s">
        <v>16715</v>
      </c>
      <c t="s">
        <v>7429</v>
      </c>
      <c t="s">
        <v>58918</v>
      </c>
      <c s="3">
        <v>10600</v>
      </c>
      <c s="3">
        <v>10600</v>
      </c>
      <c s="3">
        <v>10600</v>
      </c>
      <c>
        <v>0</v>
      </c>
      <c s="3">
        <v>0</v>
      </c>
      <c s="3">
        <v>789.11</v>
      </c>
      <c s="3">
        <v>10600</v>
      </c>
      <c r="O2709" s="1" t="str">
        <f ca="1">HYPERLINK("https://web.datatree.com/?/property?propertyId=32997236", "https://web.datatree.com/?/property?propertyId=32997236")</f>
        <v>https://web.datatree.com/?/property?propertyId=32997236</v>
      </c>
      <c r="Q2709" t="s">
        <v>316</v>
      </c>
      <c>
        <v>0.23</v>
      </c>
      <c t="s">
        <v>6175</v>
      </c>
      <c t="s">
        <v>52880</v>
      </c>
      <c t="s">
        <v>45774</v>
      </c>
      <c r="X2709" t="s">
        <v>21231</v>
      </c>
      <c t="s">
        <v>10653</v>
      </c>
      <c t="s">
        <v>2517</v>
      </c>
      <c t="s">
        <v>39289</v>
      </c>
      <c>
        <v>33909</v>
      </c>
      <c t="s">
        <v>47043</v>
      </c>
      <c t="s">
        <v>48794</v>
      </c>
      <c t="s">
        <v>41405</v>
      </c>
      <c>
        <v>2181</v>
      </c>
      <c r="AI2709" t="s">
        <v>7594</v>
      </c>
      <c t="s">
        <v>45393</v>
      </c>
      <c t="s">
        <v>53325</v>
      </c>
      <c t="s">
        <v>8109</v>
      </c>
      <c t="s">
        <v>13397</v>
      </c>
      <c t="s">
        <v>50917</v>
      </c>
      <c t="s">
        <v>50261</v>
      </c>
      <c t="s">
        <v>15968</v>
      </c>
      <c t="s">
        <v>3093</v>
      </c>
      <c t="s">
        <v>4929</v>
      </c>
    </row>
    <row>
      <c t="s">
        <v>17594</v>
      </c>
      <c t="s">
        <v>18059</v>
      </c>
      <c t="s">
        <v>13219</v>
      </c>
      <c t="s">
        <v>56372</v>
      </c>
      <c t="s">
        <v>31763</v>
      </c>
      <c s="3">
        <v>111405</v>
      </c>
      <c s="3">
        <v>111405</v>
      </c>
      <c s="3">
        <v>103749</v>
      </c>
      <c>
        <v>0</v>
      </c>
      <c s="3">
        <v>0</v>
      </c>
      <c s="3">
        <v>2125.99</v>
      </c>
      <c s="3">
        <v>111405</v>
      </c>
      <c r="O2710" s="1" t="str">
        <f ca="1">HYPERLINK("https://web.datatree.com/?/property?propertyId=32998731", "https://web.datatree.com/?/property?propertyId=32998731")</f>
        <v>https://web.datatree.com/?/property?propertyId=32998731</v>
      </c>
      <c r="Q2710" t="s">
        <v>316</v>
      </c>
      <c>
        <v>0.266</v>
      </c>
      <c t="s">
        <v>22490</v>
      </c>
      <c t="s">
        <v>49272</v>
      </c>
      <c t="s">
        <v>46201</v>
      </c>
      <c t="s">
        <v>21379</v>
      </c>
      <c t="s">
        <v>46201</v>
      </c>
      <c t="s">
        <v>54080</v>
      </c>
      <c t="s">
        <v>24999</v>
      </c>
      <c t="s">
        <v>2517</v>
      </c>
      <c t="s">
        <v>39289</v>
      </c>
      <c>
        <v>33904</v>
      </c>
      <c t="s">
        <v>26113</v>
      </c>
      <c t="s">
        <v>48794</v>
      </c>
      <c t="s">
        <v>44963</v>
      </c>
      <c>
        <v>1276</v>
      </c>
      <c r="AI2710" t="s">
        <v>65283</v>
      </c>
      <c t="s">
        <v>40123</v>
      </c>
      <c r="AL2710" t="s">
        <v>30171</v>
      </c>
      <c r="AN2710" t="s">
        <v>51137</v>
      </c>
      <c t="s">
        <v>26154</v>
      </c>
      <c t="s">
        <v>5652</v>
      </c>
      <c t="s">
        <v>3093</v>
      </c>
      <c t="s">
        <v>14065</v>
      </c>
    </row>
    <row>
      <c t="s">
        <v>17594</v>
      </c>
      <c t="s">
        <v>11755</v>
      </c>
      <c t="s">
        <v>64324</v>
      </c>
      <c t="s">
        <v>6588</v>
      </c>
      <c t="s">
        <v>61361</v>
      </c>
      <c s="3">
        <v>18000</v>
      </c>
      <c s="3">
        <v>18000</v>
      </c>
      <c s="3">
        <v>17716</v>
      </c>
      <c>
        <v>0</v>
      </c>
      <c s="3">
        <v>0</v>
      </c>
      <c s="3">
        <v>305.14</v>
      </c>
      <c s="3">
        <v>18000</v>
      </c>
      <c r="O2711" s="1" t="str">
        <f ca="1">HYPERLINK("https://web.datatree.com/?/property?propertyId=32998966", "https://web.datatree.com/?/property?propertyId=32998966")</f>
        <v>https://web.datatree.com/?/property?propertyId=32998966</v>
      </c>
      <c r="Q2711" t="s">
        <v>316</v>
      </c>
      <c>
        <v>0.095</v>
      </c>
      <c t="s">
        <v>45526</v>
      </c>
      <c t="s">
        <v>3293</v>
      </c>
      <c t="s">
        <v>9137</v>
      </c>
      <c t="s">
        <v>6153</v>
      </c>
      <c t="s">
        <v>9137</v>
      </c>
      <c t="s">
        <v>63234</v>
      </c>
      <c t="s">
        <v>28651</v>
      </c>
      <c t="s">
        <v>54524</v>
      </c>
      <c t="s">
        <v>39289</v>
      </c>
      <c>
        <v>33903</v>
      </c>
      <c t="s">
        <v>31508</v>
      </c>
      <c t="s">
        <v>48794</v>
      </c>
      <c t="s">
        <v>4755</v>
      </c>
      <c>
        <v>543</v>
      </c>
      <c r="AI2711" t="s">
        <v>14917</v>
      </c>
      <c t="s">
        <v>45393</v>
      </c>
      <c r="AL2711" t="s">
        <v>28716</v>
      </c>
      <c r="AN2711" t="s">
        <v>10909</v>
      </c>
      <c t="s">
        <v>19188</v>
      </c>
      <c r="AQ2711" t="s">
        <v>27814</v>
      </c>
      <c t="s">
        <v>54562</v>
      </c>
    </row>
    <row>
      <c t="s">
        <v>17594</v>
      </c>
      <c t="s">
        <v>52548</v>
      </c>
      <c t="s">
        <v>62292</v>
      </c>
      <c t="s">
        <v>15196</v>
      </c>
      <c t="s">
        <v>28902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2712" s="1" t="str">
        <f ca="1">HYPERLINK("https://web.datatree.com/?/property?propertyId=32999003", "https://web.datatree.com/?/property?propertyId=32999003")</f>
        <v>https://web.datatree.com/?/property?propertyId=32999003</v>
      </c>
      <c r="Q2712" t="s">
        <v>316</v>
      </c>
      <c>
        <v>0.241</v>
      </c>
      <c t="s">
        <v>6175</v>
      </c>
      <c r="U2712" t="s">
        <v>855</v>
      </c>
      <c t="s">
        <v>16893</v>
      </c>
      <c t="s">
        <v>28771</v>
      </c>
      <c t="s">
        <v>24680</v>
      </c>
      <c t="s">
        <v>14534</v>
      </c>
      <c t="s">
        <v>2517</v>
      </c>
      <c t="s">
        <v>39289</v>
      </c>
      <c>
        <v>33909</v>
      </c>
      <c t="s">
        <v>14188</v>
      </c>
      <c t="s">
        <v>48794</v>
      </c>
      <c t="s">
        <v>16092</v>
      </c>
      <c>
        <v>5187</v>
      </c>
      <c r="AI2712" t="s">
        <v>30928</v>
      </c>
      <c t="s">
        <v>45393</v>
      </c>
      <c r="AL2712" t="s">
        <v>31478</v>
      </c>
      <c r="AN2712" t="s">
        <v>39289</v>
      </c>
      <c t="s">
        <v>46783</v>
      </c>
      <c t="s">
        <v>15968</v>
      </c>
      <c t="s">
        <v>3093</v>
      </c>
      <c t="s">
        <v>5025</v>
      </c>
    </row>
    <row>
      <c t="s">
        <v>17594</v>
      </c>
      <c t="s">
        <v>44794</v>
      </c>
      <c t="s">
        <v>32595</v>
      </c>
      <c t="s">
        <v>15504</v>
      </c>
      <c t="s">
        <v>6579</v>
      </c>
      <c s="3">
        <v>18938</v>
      </c>
      <c s="3">
        <v>18938</v>
      </c>
      <c s="3">
        <v>7656</v>
      </c>
      <c>
        <v>0</v>
      </c>
      <c s="3">
        <v>0</v>
      </c>
      <c s="3">
        <v>558.06</v>
      </c>
      <c s="3">
        <v>18938</v>
      </c>
      <c r="O2713" s="1" t="str">
        <f ca="1">HYPERLINK("https://web.datatree.com/?/property?propertyId=32999519", "https://web.datatree.com/?/property?propertyId=32999519")</f>
        <v>https://web.datatree.com/?/property?propertyId=32999519</v>
      </c>
      <c r="Q2713" t="s">
        <v>316</v>
      </c>
      <c>
        <v>0.23</v>
      </c>
      <c t="s">
        <v>22490</v>
      </c>
      <c t="s">
        <v>33698</v>
      </c>
      <c t="s">
        <v>33547</v>
      </c>
      <c r="X2713" t="s">
        <v>16916</v>
      </c>
      <c t="s">
        <v>49674</v>
      </c>
      <c t="s">
        <v>2517</v>
      </c>
      <c t="s">
        <v>39289</v>
      </c>
      <c>
        <v>33909</v>
      </c>
      <c t="s">
        <v>5644</v>
      </c>
      <c t="s">
        <v>48794</v>
      </c>
      <c t="s">
        <v>13957</v>
      </c>
      <c>
        <v>15720</v>
      </c>
      <c r="AI2713" t="s">
        <v>3042</v>
      </c>
      <c t="s">
        <v>40123</v>
      </c>
      <c r="AL2713" t="s">
        <v>62020</v>
      </c>
      <c t="s">
        <v>62020</v>
      </c>
      <c t="s">
        <v>39289</v>
      </c>
      <c t="s">
        <v>30430</v>
      </c>
      <c t="s">
        <v>49977</v>
      </c>
      <c t="s">
        <v>3093</v>
      </c>
      <c t="s">
        <v>28299</v>
      </c>
    </row>
    <row>
      <c t="s">
        <v>17594</v>
      </c>
      <c t="s">
        <v>46835</v>
      </c>
      <c t="s">
        <v>22378</v>
      </c>
      <c t="s">
        <v>37718</v>
      </c>
      <c t="s">
        <v>39306</v>
      </c>
      <c s="3">
        <v>13610</v>
      </c>
      <c s="3">
        <v>13610</v>
      </c>
      <c s="3">
        <v>2803</v>
      </c>
      <c>
        <v>0</v>
      </c>
      <c s="3">
        <v>0</v>
      </c>
      <c s="3">
        <v>104.82</v>
      </c>
      <c s="3">
        <v>13610</v>
      </c>
      <c r="O2714" s="1" t="str">
        <f ca="1">HYPERLINK("https://web.datatree.com/?/property?propertyId=32999570", "https://web.datatree.com/?/property?propertyId=32999570")</f>
        <v>https://web.datatree.com/?/property?propertyId=32999570</v>
      </c>
      <c r="Q2714" t="s">
        <v>316</v>
      </c>
      <c>
        <v>0.228</v>
      </c>
      <c t="s">
        <v>5471</v>
      </c>
      <c t="s">
        <v>21883</v>
      </c>
      <c t="s">
        <v>47452</v>
      </c>
      <c t="s">
        <v>20069</v>
      </c>
      <c t="s">
        <v>48907</v>
      </c>
      <c t="s">
        <v>53965</v>
      </c>
      <c t="s">
        <v>23193</v>
      </c>
      <c t="s">
        <v>54524</v>
      </c>
      <c t="s">
        <v>39289</v>
      </c>
      <c>
        <v>33903</v>
      </c>
      <c t="s">
        <v>38789</v>
      </c>
      <c t="s">
        <v>48794</v>
      </c>
      <c t="s">
        <v>16855</v>
      </c>
      <c>
        <v>216</v>
      </c>
      <c r="AI2714" t="s">
        <v>5105</v>
      </c>
      <c t="s">
        <v>45393</v>
      </c>
      <c r="AL2714" t="s">
        <v>66562</v>
      </c>
      <c r="AN2714" t="s">
        <v>17134</v>
      </c>
      <c t="s">
        <v>20011</v>
      </c>
      <c t="s">
        <v>61719</v>
      </c>
      <c t="s">
        <v>3093</v>
      </c>
      <c t="s">
        <v>25495</v>
      </c>
    </row>
    <row>
      <c t="s">
        <v>17594</v>
      </c>
      <c t="s">
        <v>26537</v>
      </c>
      <c t="s">
        <v>58286</v>
      </c>
      <c t="s">
        <v>33358</v>
      </c>
      <c t="s">
        <v>16629</v>
      </c>
      <c s="3">
        <v>35147</v>
      </c>
      <c s="3">
        <v>35147</v>
      </c>
      <c s="3">
        <v>12100</v>
      </c>
      <c>
        <v>0</v>
      </c>
      <c s="3">
        <v>0</v>
      </c>
      <c s="3">
        <v>790.85</v>
      </c>
      <c s="3">
        <v>35147</v>
      </c>
      <c r="O2715" s="1" t="str">
        <f ca="1">HYPERLINK("https://web.datatree.com/?/property?propertyId=33000110", "https://web.datatree.com/?/property?propertyId=33000110")</f>
        <v>https://web.datatree.com/?/property?propertyId=33000110</v>
      </c>
      <c r="Q2715" t="s">
        <v>316</v>
      </c>
      <c>
        <v>0.23</v>
      </c>
      <c t="s">
        <v>22490</v>
      </c>
      <c t="s">
        <v>19564</v>
      </c>
      <c t="s">
        <v>53821</v>
      </c>
      <c r="X2715" t="s">
        <v>8114</v>
      </c>
      <c t="s">
        <v>49122</v>
      </c>
      <c t="s">
        <v>2517</v>
      </c>
      <c t="s">
        <v>39289</v>
      </c>
      <c>
        <v>33909</v>
      </c>
      <c t="s">
        <v>62323</v>
      </c>
      <c t="s">
        <v>48794</v>
      </c>
      <c t="s">
        <v>60012</v>
      </c>
      <c>
        <v>6303</v>
      </c>
      <c r="AI2715" t="s">
        <v>26976</v>
      </c>
      <c t="s">
        <v>31192</v>
      </c>
      <c>
        <v>400</v>
      </c>
      <c t="s">
        <v>55393</v>
      </c>
      <c r="AN2715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38475</v>
      </c>
      <c t="s">
        <v>40573</v>
      </c>
      <c t="s">
        <v>12352</v>
      </c>
      <c t="s">
        <v>1395</v>
      </c>
      <c s="3">
        <v>96009</v>
      </c>
      <c s="3">
        <v>86250</v>
      </c>
      <c s="3">
        <v>82052</v>
      </c>
      <c>
        <v>0</v>
      </c>
      <c s="3">
        <v>0</v>
      </c>
      <c s="3">
        <v>1310.91</v>
      </c>
      <c s="3">
        <v>96009</v>
      </c>
      <c r="O2716" s="1" t="str">
        <f ca="1">HYPERLINK("https://web.datatree.com/?/property?propertyId=33000189", "https://web.datatree.com/?/property?propertyId=33000189")</f>
        <v>https://web.datatree.com/?/property?propertyId=33000189</v>
      </c>
      <c r="Q2716" t="s">
        <v>316</v>
      </c>
      <c>
        <v>0.095</v>
      </c>
      <c t="s">
        <v>26492</v>
      </c>
      <c t="s">
        <v>4886</v>
      </c>
      <c t="s">
        <v>37416</v>
      </c>
      <c t="s">
        <v>36321</v>
      </c>
      <c t="s">
        <v>37416</v>
      </c>
      <c t="s">
        <v>38485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13320</v>
      </c>
      <c>
        <v>79</v>
      </c>
      <c r="AI2716" t="s">
        <v>19565</v>
      </c>
      <c t="s">
        <v>31192</v>
      </c>
      <c r="AL2716" t="s">
        <v>7577</v>
      </c>
      <c t="s">
        <v>40227</v>
      </c>
      <c t="s">
        <v>22275</v>
      </c>
      <c t="s">
        <v>20755</v>
      </c>
      <c t="s">
        <v>35354</v>
      </c>
      <c t="s">
        <v>3093</v>
      </c>
      <c t="s">
        <v>41614</v>
      </c>
    </row>
    <row>
      <c t="s">
        <v>17594</v>
      </c>
      <c t="s">
        <v>18335</v>
      </c>
      <c t="s">
        <v>21295</v>
      </c>
      <c t="s">
        <v>34082</v>
      </c>
      <c t="s">
        <v>27053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2717" s="1" t="str">
        <f ca="1">HYPERLINK("https://web.datatree.com/?/property?propertyId=33000503", "https://web.datatree.com/?/property?propertyId=33000503")</f>
        <v>https://web.datatree.com/?/property?propertyId=33000503</v>
      </c>
      <c r="Q2717" t="s">
        <v>316</v>
      </c>
      <c>
        <v>0.236</v>
      </c>
      <c t="s">
        <v>22490</v>
      </c>
      <c t="s">
        <v>16080</v>
      </c>
      <c t="s">
        <v>39090</v>
      </c>
      <c r="X2717" t="s">
        <v>9288</v>
      </c>
      <c t="s">
        <v>41506</v>
      </c>
      <c t="s">
        <v>2517</v>
      </c>
      <c t="s">
        <v>39289</v>
      </c>
      <c>
        <v>33909</v>
      </c>
      <c t="s">
        <v>43020</v>
      </c>
      <c t="s">
        <v>48794</v>
      </c>
      <c t="s">
        <v>27817</v>
      </c>
      <c>
        <v>4</v>
      </c>
      <c r="AI2717" t="s">
        <v>54675</v>
      </c>
      <c r="AL2717" t="s">
        <v>22290</v>
      </c>
      <c r="AN2717" t="s">
        <v>63985</v>
      </c>
      <c>
        <v>69254</v>
      </c>
      <c r="AR2717" t="s">
        <v>59821</v>
      </c>
    </row>
    <row>
      <c t="s">
        <v>17594</v>
      </c>
      <c t="s">
        <v>7638</v>
      </c>
      <c s="7" t="s">
        <v>26348</v>
      </c>
      <c t="s">
        <v>14686</v>
      </c>
      <c t="s">
        <v>56998</v>
      </c>
      <c s="3">
        <v>17242</v>
      </c>
      <c s="3">
        <v>17242</v>
      </c>
      <c s="3">
        <v>8360</v>
      </c>
      <c>
        <v>0</v>
      </c>
      <c s="3">
        <v>0</v>
      </c>
      <c s="3">
        <v>556.09</v>
      </c>
      <c s="3">
        <v>17242</v>
      </c>
      <c r="O2718" s="1" t="str">
        <f ca="1">HYPERLINK("https://web.datatree.com/?/property?propertyId=33000806", "https://web.datatree.com/?/property?propertyId=33000806")</f>
        <v>https://web.datatree.com/?/property?propertyId=33000806</v>
      </c>
      <c r="Q2718" t="s">
        <v>316</v>
      </c>
      <c>
        <v>0.244</v>
      </c>
      <c t="s">
        <v>6175</v>
      </c>
      <c t="s">
        <v>35571</v>
      </c>
      <c t="s">
        <v>2263</v>
      </c>
      <c r="X2718" t="s">
        <v>53930</v>
      </c>
      <c t="s">
        <v>46469</v>
      </c>
      <c t="s">
        <v>2517</v>
      </c>
      <c t="s">
        <v>39289</v>
      </c>
      <c>
        <v>33909</v>
      </c>
      <c t="s">
        <v>314</v>
      </c>
      <c t="s">
        <v>48794</v>
      </c>
      <c t="s">
        <v>19164</v>
      </c>
      <c>
        <v>3</v>
      </c>
      <c r="AI2718" t="s">
        <v>4571</v>
      </c>
      <c t="s">
        <v>45620</v>
      </c>
      <c r="AL2718" t="s">
        <v>10537</v>
      </c>
      <c r="AN2718" t="s">
        <v>27747</v>
      </c>
      <c t="s">
        <v>4970</v>
      </c>
      <c t="s">
        <v>44573</v>
      </c>
      <c t="s">
        <v>3093</v>
      </c>
      <c s="7" t="s">
        <v>48474</v>
      </c>
    </row>
    <row>
      <c t="s">
        <v>17594</v>
      </c>
      <c t="s">
        <v>51175</v>
      </c>
      <c t="s">
        <v>2333</v>
      </c>
      <c t="s">
        <v>66992</v>
      </c>
      <c t="s">
        <v>62134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2719" s="1" t="str">
        <f ca="1">HYPERLINK("https://web.datatree.com/?/property?propertyId=33001398", "https://web.datatree.com/?/property?propertyId=33001398")</f>
        <v>https://web.datatree.com/?/property?propertyId=33001398</v>
      </c>
      <c r="Q2719" t="s">
        <v>316</v>
      </c>
      <c>
        <v>0.23</v>
      </c>
      <c t="s">
        <v>5471</v>
      </c>
      <c t="s">
        <v>2551</v>
      </c>
      <c t="s">
        <v>60947</v>
      </c>
      <c t="s">
        <v>4171</v>
      </c>
      <c t="s">
        <v>60947</v>
      </c>
      <c t="s">
        <v>2830</v>
      </c>
      <c t="s">
        <v>13500</v>
      </c>
      <c t="s">
        <v>65059</v>
      </c>
      <c t="s">
        <v>39289</v>
      </c>
      <c>
        <v>33905</v>
      </c>
      <c t="s">
        <v>23342</v>
      </c>
      <c t="s">
        <v>48794</v>
      </c>
      <c t="s">
        <v>62088</v>
      </c>
      <c>
        <v>6525</v>
      </c>
      <c r="AI2719" t="s">
        <v>49564</v>
      </c>
      <c t="s">
        <v>20615</v>
      </c>
      <c r="AL2719" t="s">
        <v>5341</v>
      </c>
      <c r="AN2719" t="s">
        <v>50917</v>
      </c>
      <c t="s">
        <v>38123</v>
      </c>
      <c t="s">
        <v>51249</v>
      </c>
      <c t="s">
        <v>3093</v>
      </c>
      <c t="s">
        <v>27378</v>
      </c>
    </row>
    <row>
      <c t="s">
        <v>17594</v>
      </c>
      <c t="s">
        <v>27950</v>
      </c>
      <c t="s">
        <v>52366</v>
      </c>
      <c t="s">
        <v>37332</v>
      </c>
      <c t="s">
        <v>37498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2720" s="1" t="str">
        <f ca="1">HYPERLINK("https://web.datatree.com/?/property?propertyId=33001562", "https://web.datatree.com/?/property?propertyId=33001562")</f>
        <v>https://web.datatree.com/?/property?propertyId=33001562</v>
      </c>
      <c r="Q2720" t="s">
        <v>316</v>
      </c>
      <c>
        <v>0.237</v>
      </c>
      <c t="s">
        <v>22490</v>
      </c>
      <c t="s">
        <v>7561</v>
      </c>
      <c t="s">
        <v>12693</v>
      </c>
      <c r="X2720" t="s">
        <v>44712</v>
      </c>
      <c t="s">
        <v>2619</v>
      </c>
      <c t="s">
        <v>2517</v>
      </c>
      <c t="s">
        <v>39289</v>
      </c>
      <c>
        <v>33909</v>
      </c>
      <c t="s">
        <v>49833</v>
      </c>
      <c t="s">
        <v>48794</v>
      </c>
      <c t="s">
        <v>37052</v>
      </c>
      <c>
        <v>5544</v>
      </c>
      <c r="AI2720" t="s">
        <v>31801</v>
      </c>
      <c t="s">
        <v>24900</v>
      </c>
      <c r="AL2720" t="s">
        <v>4859</v>
      </c>
      <c t="s">
        <v>4859</v>
      </c>
      <c t="s">
        <v>39289</v>
      </c>
      <c t="s">
        <v>1978</v>
      </c>
      <c t="s">
        <v>38014</v>
      </c>
      <c t="s">
        <v>3093</v>
      </c>
      <c t="s">
        <v>30756</v>
      </c>
    </row>
    <row>
      <c t="s">
        <v>17594</v>
      </c>
      <c t="s">
        <v>48217</v>
      </c>
      <c t="s">
        <v>45411</v>
      </c>
      <c t="s">
        <v>27432</v>
      </c>
      <c t="s">
        <v>4876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721" s="1" t="str">
        <f ca="1">HYPERLINK("https://web.datatree.com/?/property?propertyId=33001991", "https://web.datatree.com/?/property?propertyId=33001991")</f>
        <v>https://web.datatree.com/?/property?propertyId=33001991</v>
      </c>
      <c r="Q2721" t="s">
        <v>316</v>
      </c>
      <c>
        <v>0.23</v>
      </c>
      <c t="s">
        <v>6175</v>
      </c>
      <c t="s">
        <v>52701</v>
      </c>
      <c t="s">
        <v>29802</v>
      </c>
      <c t="s">
        <v>44610</v>
      </c>
      <c t="s">
        <v>51741</v>
      </c>
      <c t="s">
        <v>65624</v>
      </c>
      <c t="s">
        <v>58797</v>
      </c>
      <c t="s">
        <v>2517</v>
      </c>
      <c t="s">
        <v>39289</v>
      </c>
      <c>
        <v>33909</v>
      </c>
      <c t="s">
        <v>55793</v>
      </c>
      <c t="s">
        <v>48794</v>
      </c>
      <c t="s">
        <v>36555</v>
      </c>
      <c>
        <v>1004</v>
      </c>
      <c r="AI2721" t="s">
        <v>32096</v>
      </c>
      <c t="s">
        <v>40123</v>
      </c>
      <c r="AL2721" t="s">
        <v>55393</v>
      </c>
      <c t="s">
        <v>51647</v>
      </c>
      <c t="s">
        <v>39289</v>
      </c>
      <c t="s">
        <v>16547</v>
      </c>
      <c t="s">
        <v>13610</v>
      </c>
      <c t="s">
        <v>3093</v>
      </c>
      <c t="s">
        <v>60956</v>
      </c>
    </row>
    <row>
      <c t="s">
        <v>17594</v>
      </c>
      <c t="s">
        <v>21161</v>
      </c>
      <c t="s">
        <v>3219</v>
      </c>
      <c t="s">
        <v>31656</v>
      </c>
      <c t="s">
        <v>41925</v>
      </c>
      <c s="3">
        <v>83331</v>
      </c>
      <c s="3">
        <v>74250</v>
      </c>
      <c s="3">
        <v>79605</v>
      </c>
      <c>
        <v>0</v>
      </c>
      <c s="3">
        <v>0</v>
      </c>
      <c s="3">
        <v>1217.43</v>
      </c>
      <c s="3">
        <v>83331</v>
      </c>
      <c r="O2722" s="1" t="str">
        <f ca="1">HYPERLINK("https://web.datatree.com/?/property?propertyId=33002876", "https://web.datatree.com/?/property?propertyId=33002876")</f>
        <v>https://web.datatree.com/?/property?propertyId=33002876</v>
      </c>
      <c r="Q2722" t="s">
        <v>316</v>
      </c>
      <c>
        <v>0.095</v>
      </c>
      <c t="s">
        <v>26492</v>
      </c>
      <c r="U2722" t="s">
        <v>13653</v>
      </c>
      <c r="W2722" t="s">
        <v>15663</v>
      </c>
      <c t="s">
        <v>55266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33681</v>
      </c>
      <c>
        <v>2787</v>
      </c>
      <c r="AI2722" t="s">
        <v>41306</v>
      </c>
      <c t="s">
        <v>1671</v>
      </c>
      <c r="AL2722" t="s">
        <v>24336</v>
      </c>
      <c t="s">
        <v>40227</v>
      </c>
      <c t="s">
        <v>17134</v>
      </c>
      <c t="s">
        <v>66155</v>
      </c>
      <c t="s">
        <v>17246</v>
      </c>
      <c t="s">
        <v>3093</v>
      </c>
      <c t="s">
        <v>35421</v>
      </c>
    </row>
    <row>
      <c t="s">
        <v>17594</v>
      </c>
      <c t="s">
        <v>45403</v>
      </c>
      <c t="s">
        <v>19688</v>
      </c>
      <c t="s">
        <v>51518</v>
      </c>
      <c t="s">
        <v>12579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723" s="1" t="str">
        <f ca="1">HYPERLINK("https://web.datatree.com/?/property?propertyId=33002960", "https://web.datatree.com/?/property?propertyId=33002960")</f>
        <v>https://web.datatree.com/?/property?propertyId=33002960</v>
      </c>
      <c r="Q2723" t="s">
        <v>316</v>
      </c>
      <c>
        <v>0.23</v>
      </c>
      <c t="s">
        <v>22490</v>
      </c>
      <c t="s">
        <v>54854</v>
      </c>
      <c t="s">
        <v>46841</v>
      </c>
      <c t="s">
        <v>25518</v>
      </c>
      <c t="s">
        <v>46841</v>
      </c>
      <c t="s">
        <v>38165</v>
      </c>
      <c t="s">
        <v>49122</v>
      </c>
      <c t="s">
        <v>2517</v>
      </c>
      <c t="s">
        <v>39289</v>
      </c>
      <c>
        <v>33909</v>
      </c>
      <c t="s">
        <v>30091</v>
      </c>
      <c t="s">
        <v>48794</v>
      </c>
      <c t="s">
        <v>10242</v>
      </c>
      <c>
        <v>2633</v>
      </c>
      <c r="AI2723" t="s">
        <v>62357</v>
      </c>
      <c t="s">
        <v>45393</v>
      </c>
      <c r="AL2723" t="s">
        <v>2766</v>
      </c>
      <c r="AN2723" t="s">
        <v>17134</v>
      </c>
      <c t="s">
        <v>65659</v>
      </c>
      <c t="s">
        <v>44428</v>
      </c>
      <c t="s">
        <v>3093</v>
      </c>
      <c t="s">
        <v>48619</v>
      </c>
    </row>
    <row>
      <c t="s">
        <v>17594</v>
      </c>
      <c t="s">
        <v>46097</v>
      </c>
      <c t="s">
        <v>19392</v>
      </c>
      <c t="s">
        <v>7868</v>
      </c>
      <c t="s">
        <v>8359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724" s="1" t="str">
        <f ca="1">HYPERLINK("https://web.datatree.com/?/property?propertyId=33003106", "https://web.datatree.com/?/property?propertyId=33003106")</f>
        <v>https://web.datatree.com/?/property?propertyId=33003106</v>
      </c>
      <c r="Q2724" t="s">
        <v>316</v>
      </c>
      <c>
        <v>0.23</v>
      </c>
      <c t="s">
        <v>22490</v>
      </c>
      <c t="s">
        <v>32056</v>
      </c>
      <c t="s">
        <v>58543</v>
      </c>
      <c t="s">
        <v>60671</v>
      </c>
      <c t="s">
        <v>58543</v>
      </c>
      <c t="s">
        <v>11348</v>
      </c>
      <c t="s">
        <v>2619</v>
      </c>
      <c t="s">
        <v>2517</v>
      </c>
      <c t="s">
        <v>39289</v>
      </c>
      <c>
        <v>33909</v>
      </c>
      <c t="s">
        <v>16979</v>
      </c>
      <c t="s">
        <v>48794</v>
      </c>
      <c t="s">
        <v>32094</v>
      </c>
      <c>
        <v>972</v>
      </c>
      <c r="AI2724" t="s">
        <v>38221</v>
      </c>
      <c t="s">
        <v>31192</v>
      </c>
      <c r="AL2724" t="s">
        <v>39334</v>
      </c>
      <c t="s">
        <v>34007</v>
      </c>
      <c t="s">
        <v>50917</v>
      </c>
      <c t="s">
        <v>36785</v>
      </c>
      <c t="s">
        <v>7361</v>
      </c>
      <c t="s">
        <v>3093</v>
      </c>
      <c t="s">
        <v>14583</v>
      </c>
    </row>
    <row>
      <c t="s">
        <v>17594</v>
      </c>
      <c t="s">
        <v>53828</v>
      </c>
      <c t="s">
        <v>18416</v>
      </c>
      <c t="s">
        <v>51858</v>
      </c>
      <c t="s">
        <v>32603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2725" s="1" t="str">
        <f ca="1">HYPERLINK("https://web.datatree.com/?/property?propertyId=33003522", "https://web.datatree.com/?/property?propertyId=33003522")</f>
        <v>https://web.datatree.com/?/property?propertyId=33003522</v>
      </c>
      <c r="Q2725" t="s">
        <v>316</v>
      </c>
      <c>
        <v>0.231</v>
      </c>
      <c t="s">
        <v>22490</v>
      </c>
      <c t="s">
        <v>52691</v>
      </c>
      <c t="s">
        <v>35500</v>
      </c>
      <c t="s">
        <v>6623</v>
      </c>
      <c t="s">
        <v>53009</v>
      </c>
      <c t="s">
        <v>17465</v>
      </c>
      <c t="s">
        <v>39082</v>
      </c>
      <c t="s">
        <v>2517</v>
      </c>
      <c t="s">
        <v>39289</v>
      </c>
      <c>
        <v>33909</v>
      </c>
      <c t="s">
        <v>8345</v>
      </c>
      <c t="s">
        <v>48794</v>
      </c>
      <c t="s">
        <v>31210</v>
      </c>
      <c>
        <v>15</v>
      </c>
      <c r="AI2725" t="s">
        <v>48589</v>
      </c>
      <c t="s">
        <v>24900</v>
      </c>
      <c r="AL2725" t="s">
        <v>1501</v>
      </c>
      <c t="s">
        <v>1501</v>
      </c>
      <c t="s">
        <v>5982</v>
      </c>
      <c t="s">
        <v>26389</v>
      </c>
      <c t="s">
        <v>52247</v>
      </c>
      <c t="s">
        <v>3093</v>
      </c>
      <c t="s">
        <v>34110</v>
      </c>
    </row>
    <row>
      <c t="s">
        <v>17594</v>
      </c>
      <c t="s">
        <v>53783</v>
      </c>
      <c t="s">
        <v>20746</v>
      </c>
      <c t="s">
        <v>20402</v>
      </c>
      <c t="s">
        <v>55538</v>
      </c>
      <c s="3">
        <v>29983</v>
      </c>
      <c s="3">
        <v>29983</v>
      </c>
      <c s="3">
        <v>9079</v>
      </c>
      <c>
        <v>0</v>
      </c>
      <c s="3">
        <v>0</v>
      </c>
      <c s="3">
        <v>667.36</v>
      </c>
      <c s="3">
        <v>29983</v>
      </c>
      <c r="O2726" s="1" t="str">
        <f ca="1">HYPERLINK("https://web.datatree.com/?/property?propertyId=33003899", "https://web.datatree.com/?/property?propertyId=33003899")</f>
        <v>https://web.datatree.com/?/property?propertyId=33003899</v>
      </c>
      <c r="Q2726" t="s">
        <v>316</v>
      </c>
      <c>
        <v>0.257</v>
      </c>
      <c t="s">
        <v>37741</v>
      </c>
      <c t="s">
        <v>32044</v>
      </c>
      <c t="s">
        <v>13824</v>
      </c>
      <c r="X2726" t="s">
        <v>19555</v>
      </c>
      <c t="s">
        <v>25017</v>
      </c>
      <c t="s">
        <v>2517</v>
      </c>
      <c t="s">
        <v>39289</v>
      </c>
      <c>
        <v>33909</v>
      </c>
      <c t="s">
        <v>23307</v>
      </c>
      <c t="s">
        <v>48794</v>
      </c>
      <c t="s">
        <v>63059</v>
      </c>
      <c>
        <v>29</v>
      </c>
      <c r="AI2726" t="s">
        <v>40708</v>
      </c>
      <c t="s">
        <v>24900</v>
      </c>
      <c r="AL2726" t="s">
        <v>47510</v>
      </c>
      <c r="AN2726" t="s">
        <v>39289</v>
      </c>
      <c t="s">
        <v>47138</v>
      </c>
      <c t="s">
        <v>12241</v>
      </c>
      <c t="s">
        <v>3093</v>
      </c>
      <c t="s">
        <v>3341</v>
      </c>
    </row>
    <row>
      <c t="s">
        <v>17594</v>
      </c>
      <c t="s">
        <v>53668</v>
      </c>
      <c t="s">
        <v>14157</v>
      </c>
      <c t="s">
        <v>22197</v>
      </c>
      <c t="s">
        <v>9571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2727" s="1" t="str">
        <f ca="1">HYPERLINK("https://web.datatree.com/?/property?propertyId=33004334", "https://web.datatree.com/?/property?propertyId=33004334")</f>
        <v>https://web.datatree.com/?/property?propertyId=33004334</v>
      </c>
      <c r="Q2727" t="s">
        <v>316</v>
      </c>
      <c>
        <v>0.241</v>
      </c>
      <c t="s">
        <v>6175</v>
      </c>
      <c t="s">
        <v>24179</v>
      </c>
      <c t="s">
        <v>30937</v>
      </c>
      <c r="X2727" t="s">
        <v>42794</v>
      </c>
      <c t="s">
        <v>18679</v>
      </c>
      <c t="s">
        <v>2517</v>
      </c>
      <c t="s">
        <v>39289</v>
      </c>
      <c>
        <v>33909</v>
      </c>
      <c t="s">
        <v>19320</v>
      </c>
      <c t="s">
        <v>48794</v>
      </c>
      <c t="s">
        <v>46592</v>
      </c>
      <c>
        <v>827</v>
      </c>
      <c r="AI2727" t="s">
        <v>29251</v>
      </c>
      <c t="s">
        <v>40123</v>
      </c>
      <c r="AL2727" t="s">
        <v>6350</v>
      </c>
      <c r="AN2727" t="s">
        <v>39289</v>
      </c>
      <c t="s">
        <v>42683</v>
      </c>
      <c t="s">
        <v>38014</v>
      </c>
      <c t="s">
        <v>3093</v>
      </c>
      <c t="s">
        <v>21232</v>
      </c>
    </row>
    <row>
      <c t="s">
        <v>17594</v>
      </c>
      <c t="s">
        <v>20827</v>
      </c>
      <c t="s">
        <v>14513</v>
      </c>
      <c t="s">
        <v>63910</v>
      </c>
      <c t="s">
        <v>19903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2728" s="1" t="str">
        <f ca="1">HYPERLINK("https://web.datatree.com/?/property?propertyId=33004649", "https://web.datatree.com/?/property?propertyId=33004649")</f>
        <v>https://web.datatree.com/?/property?propertyId=33004649</v>
      </c>
      <c r="Q2728" t="s">
        <v>316</v>
      </c>
      <c>
        <v>0.23</v>
      </c>
      <c t="s">
        <v>6175</v>
      </c>
      <c t="s">
        <v>59244</v>
      </c>
      <c t="s">
        <v>13798</v>
      </c>
      <c r="X2728" t="s">
        <v>795</v>
      </c>
      <c t="s">
        <v>17022</v>
      </c>
      <c t="s">
        <v>2517</v>
      </c>
      <c t="s">
        <v>39289</v>
      </c>
      <c>
        <v>33909</v>
      </c>
      <c t="s">
        <v>15987</v>
      </c>
      <c t="s">
        <v>48794</v>
      </c>
      <c t="s">
        <v>59024</v>
      </c>
      <c>
        <v>11920</v>
      </c>
      <c r="AI2728" t="s">
        <v>7594</v>
      </c>
      <c t="s">
        <v>41372</v>
      </c>
      <c r="AL2728" t="s">
        <v>65608</v>
      </c>
      <c r="AN2728" t="s">
        <v>39289</v>
      </c>
      <c t="s">
        <v>38345</v>
      </c>
      <c t="s">
        <v>49977</v>
      </c>
      <c t="s">
        <v>3093</v>
      </c>
      <c t="s">
        <v>30358</v>
      </c>
    </row>
    <row>
      <c t="s">
        <v>17594</v>
      </c>
      <c t="s">
        <v>5053</v>
      </c>
      <c t="s">
        <v>33072</v>
      </c>
      <c t="s">
        <v>7249</v>
      </c>
      <c t="s">
        <v>14896</v>
      </c>
      <c s="3">
        <v>22115</v>
      </c>
      <c s="3">
        <v>22115</v>
      </c>
      <c s="3">
        <v>10450</v>
      </c>
      <c>
        <v>0</v>
      </c>
      <c s="3">
        <v>0</v>
      </c>
      <c s="3">
        <v>604.32</v>
      </c>
      <c s="3">
        <v>22115</v>
      </c>
      <c r="O2729" s="1" t="str">
        <f ca="1">HYPERLINK("https://web.datatree.com/?/property?propertyId=33004765", "https://web.datatree.com/?/property?propertyId=33004765")</f>
        <v>https://web.datatree.com/?/property?propertyId=33004765</v>
      </c>
      <c r="Q2729" t="s">
        <v>316</v>
      </c>
      <c>
        <v>0.23</v>
      </c>
      <c t="s">
        <v>22490</v>
      </c>
      <c t="s">
        <v>50705</v>
      </c>
      <c t="s">
        <v>12072</v>
      </c>
      <c r="X2729" t="s">
        <v>12098</v>
      </c>
      <c t="s">
        <v>52171</v>
      </c>
      <c t="s">
        <v>2517</v>
      </c>
      <c t="s">
        <v>39289</v>
      </c>
      <c>
        <v>33909</v>
      </c>
      <c t="s">
        <v>59333</v>
      </c>
      <c t="s">
        <v>48794</v>
      </c>
      <c t="s">
        <v>15156</v>
      </c>
      <c>
        <v>4</v>
      </c>
      <c r="AI2729" t="s">
        <v>133</v>
      </c>
      <c r="AL2729" t="s">
        <v>19159</v>
      </c>
      <c r="AN2729" t="s">
        <v>63985</v>
      </c>
      <c>
        <v>68782</v>
      </c>
      <c r="AR2729" t="s">
        <v>57273</v>
      </c>
    </row>
    <row>
      <c t="s">
        <v>17594</v>
      </c>
      <c t="s">
        <v>44673</v>
      </c>
      <c t="s">
        <v>11888</v>
      </c>
      <c t="s">
        <v>5348</v>
      </c>
      <c t="s">
        <v>49678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2730" s="1" t="str">
        <f ca="1">HYPERLINK("https://web.datatree.com/?/property?propertyId=33005903", "https://web.datatree.com/?/property?propertyId=33005903")</f>
        <v>https://web.datatree.com/?/property?propertyId=33005903</v>
      </c>
      <c r="Q2730" t="s">
        <v>316</v>
      </c>
      <c>
        <v>0.23</v>
      </c>
      <c t="s">
        <v>22490</v>
      </c>
      <c t="s">
        <v>61255</v>
      </c>
      <c t="s">
        <v>8943</v>
      </c>
      <c r="X2730" t="s">
        <v>66695</v>
      </c>
      <c t="s">
        <v>5115</v>
      </c>
      <c t="s">
        <v>2517</v>
      </c>
      <c t="s">
        <v>39289</v>
      </c>
      <c>
        <v>33909</v>
      </c>
      <c t="s">
        <v>48283</v>
      </c>
      <c t="s">
        <v>48794</v>
      </c>
      <c t="s">
        <v>25334</v>
      </c>
      <c>
        <v>1105</v>
      </c>
      <c r="AI2730" t="s">
        <v>3800</v>
      </c>
      <c t="s">
        <v>1671</v>
      </c>
      <c r="AL2730" t="s">
        <v>39524</v>
      </c>
      <c r="AN2730" t="s">
        <v>26016</v>
      </c>
      <c t="s">
        <v>7582</v>
      </c>
      <c t="s">
        <v>53660</v>
      </c>
      <c t="s">
        <v>3093</v>
      </c>
      <c t="s">
        <v>8556</v>
      </c>
    </row>
    <row>
      <c t="s">
        <v>17594</v>
      </c>
      <c t="s">
        <v>31201</v>
      </c>
      <c t="s">
        <v>48701</v>
      </c>
      <c t="s">
        <v>5337</v>
      </c>
      <c t="s">
        <v>51445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2731" s="1" t="str">
        <f ca="1">HYPERLINK("https://web.datatree.com/?/property?propertyId=33006243", "https://web.datatree.com/?/property?propertyId=33006243")</f>
        <v>https://web.datatree.com/?/property?propertyId=33006243</v>
      </c>
      <c r="Q2731" t="s">
        <v>316</v>
      </c>
      <c>
        <v>0.23</v>
      </c>
      <c t="s">
        <v>22490</v>
      </c>
      <c t="s">
        <v>25273</v>
      </c>
      <c t="s">
        <v>46944</v>
      </c>
      <c r="X2731" t="s">
        <v>57385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27090</v>
      </c>
      <c>
        <v>31192</v>
      </c>
      <c r="AI2731" t="s">
        <v>50610</v>
      </c>
      <c t="s">
        <v>41372</v>
      </c>
      <c r="AL2731" t="s">
        <v>18967</v>
      </c>
      <c t="s">
        <v>18967</v>
      </c>
      <c t="s">
        <v>65451</v>
      </c>
      <c t="s">
        <v>51276</v>
      </c>
      <c t="s">
        <v>41946</v>
      </c>
      <c t="s">
        <v>3093</v>
      </c>
      <c t="s">
        <v>29109</v>
      </c>
    </row>
    <row>
      <c t="s">
        <v>17594</v>
      </c>
      <c t="s">
        <v>60528</v>
      </c>
      <c t="s">
        <v>36170</v>
      </c>
      <c t="s">
        <v>53733</v>
      </c>
      <c t="s">
        <v>53906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2732" s="1" t="str">
        <f ca="1">HYPERLINK("https://web.datatree.com/?/property?propertyId=33006389", "https://web.datatree.com/?/property?propertyId=33006389")</f>
        <v>https://web.datatree.com/?/property?propertyId=33006389</v>
      </c>
      <c r="Q2732" t="s">
        <v>316</v>
      </c>
      <c>
        <v>0.242</v>
      </c>
      <c t="s">
        <v>5471</v>
      </c>
      <c t="s">
        <v>47977</v>
      </c>
      <c t="s">
        <v>28269</v>
      </c>
      <c t="s">
        <v>33621</v>
      </c>
      <c t="s">
        <v>28269</v>
      </c>
      <c t="s">
        <v>38263</v>
      </c>
      <c t="s">
        <v>10854</v>
      </c>
      <c t="s">
        <v>65059</v>
      </c>
      <c t="s">
        <v>39289</v>
      </c>
      <c>
        <v>33905</v>
      </c>
      <c t="s">
        <v>65255</v>
      </c>
      <c t="s">
        <v>48794</v>
      </c>
      <c t="s">
        <v>41468</v>
      </c>
      <c>
        <v>4214</v>
      </c>
      <c r="AI2732" t="s">
        <v>428</v>
      </c>
      <c t="s">
        <v>55910</v>
      </c>
      <c r="AL2732" t="s">
        <v>3402</v>
      </c>
      <c r="AN2732" t="s">
        <v>39289</v>
      </c>
      <c t="s">
        <v>50402</v>
      </c>
      <c t="s">
        <v>864</v>
      </c>
      <c t="s">
        <v>3093</v>
      </c>
      <c t="s">
        <v>61925</v>
      </c>
    </row>
    <row>
      <c t="s">
        <v>17594</v>
      </c>
      <c t="s">
        <v>49663</v>
      </c>
      <c t="s">
        <v>58266</v>
      </c>
      <c t="s">
        <v>42727</v>
      </c>
      <c t="s">
        <v>40892</v>
      </c>
      <c s="3">
        <v>25001</v>
      </c>
      <c s="3">
        <v>25001</v>
      </c>
      <c s="3">
        <v>8800</v>
      </c>
      <c>
        <v>0</v>
      </c>
      <c s="3">
        <v>0</v>
      </c>
      <c s="3">
        <v>663.07</v>
      </c>
      <c s="3">
        <v>25001</v>
      </c>
      <c r="O2733" s="1" t="str">
        <f ca="1">HYPERLINK("https://web.datatree.com/?/property?propertyId=33006617", "https://web.datatree.com/?/property?propertyId=33006617")</f>
        <v>https://web.datatree.com/?/property?propertyId=33006617</v>
      </c>
      <c r="Q2733" t="s">
        <v>316</v>
      </c>
      <c>
        <v>0.311</v>
      </c>
      <c t="s">
        <v>22490</v>
      </c>
      <c t="s">
        <v>12173</v>
      </c>
      <c t="s">
        <v>24620</v>
      </c>
      <c r="X2733" t="s">
        <v>46432</v>
      </c>
      <c t="s">
        <v>15510</v>
      </c>
      <c t="s">
        <v>2517</v>
      </c>
      <c t="s">
        <v>39289</v>
      </c>
      <c>
        <v>33909</v>
      </c>
      <c t="s">
        <v>3770</v>
      </c>
      <c t="s">
        <v>48794</v>
      </c>
      <c t="s">
        <v>5308</v>
      </c>
      <c>
        <v>14516</v>
      </c>
      <c r="AI2733" t="s">
        <v>5229</v>
      </c>
      <c t="s">
        <v>45393</v>
      </c>
      <c r="AL2733" t="s">
        <v>20194</v>
      </c>
      <c r="AN2733" t="s">
        <v>39289</v>
      </c>
      <c t="s">
        <v>46126</v>
      </c>
      <c t="s">
        <v>52247</v>
      </c>
      <c t="s">
        <v>3093</v>
      </c>
      <c t="s">
        <v>403</v>
      </c>
    </row>
    <row>
      <c t="s">
        <v>17594</v>
      </c>
      <c t="s">
        <v>24156</v>
      </c>
      <c t="s">
        <v>12357</v>
      </c>
      <c t="s">
        <v>19528</v>
      </c>
      <c t="s">
        <v>55057</v>
      </c>
      <c s="3">
        <v>40248</v>
      </c>
      <c s="3">
        <v>40248</v>
      </c>
      <c s="3">
        <v>39600</v>
      </c>
      <c>
        <v>0</v>
      </c>
      <c s="3">
        <v>0</v>
      </c>
      <c s="3">
        <v>550.26</v>
      </c>
      <c s="3">
        <v>40248</v>
      </c>
      <c r="O2734" s="1" t="str">
        <f ca="1">HYPERLINK("https://web.datatree.com/?/property?propertyId=33006639", "https://web.datatree.com/?/property?propertyId=33006639")</f>
        <v>https://web.datatree.com/?/property?propertyId=33006639</v>
      </c>
      <c r="Q2734" t="s">
        <v>316</v>
      </c>
      <c>
        <v>0.043</v>
      </c>
      <c t="s">
        <v>45526</v>
      </c>
      <c t="s">
        <v>3293</v>
      </c>
      <c t="s">
        <v>56704</v>
      </c>
      <c t="s">
        <v>11223</v>
      </c>
      <c t="s">
        <v>56704</v>
      </c>
      <c t="s">
        <v>16544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50467</v>
      </c>
      <c>
        <v>1249</v>
      </c>
      <c r="AI2734" t="s">
        <v>33367</v>
      </c>
      <c t="s">
        <v>45620</v>
      </c>
      <c r="AL2734" t="s">
        <v>50598</v>
      </c>
      <c r="AN2734" t="s">
        <v>3034</v>
      </c>
      <c t="s">
        <v>64621</v>
      </c>
      <c t="s">
        <v>37948</v>
      </c>
      <c t="s">
        <v>3093</v>
      </c>
      <c t="s">
        <v>42215</v>
      </c>
    </row>
    <row>
      <c t="s">
        <v>17594</v>
      </c>
      <c t="s">
        <v>32625</v>
      </c>
      <c t="s">
        <v>57524</v>
      </c>
      <c t="s">
        <v>5077</v>
      </c>
      <c t="s">
        <v>45556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735" s="1" t="str">
        <f ca="1">HYPERLINK("https://web.datatree.com/?/property?propertyId=33007223", "https://web.datatree.com/?/property?propertyId=33007223")</f>
        <v>https://web.datatree.com/?/property?propertyId=33007223</v>
      </c>
      <c r="Q2735" t="s">
        <v>316</v>
      </c>
      <c>
        <v>0.23</v>
      </c>
      <c t="s">
        <v>22490</v>
      </c>
      <c t="s">
        <v>35571</v>
      </c>
      <c t="s">
        <v>47727</v>
      </c>
      <c r="X2735" t="s">
        <v>683</v>
      </c>
      <c t="s">
        <v>25017</v>
      </c>
      <c t="s">
        <v>2517</v>
      </c>
      <c t="s">
        <v>39289</v>
      </c>
      <c>
        <v>33909</v>
      </c>
      <c t="s">
        <v>7411</v>
      </c>
      <c t="s">
        <v>48794</v>
      </c>
      <c t="s">
        <v>36082</v>
      </c>
      <c>
        <v>275</v>
      </c>
      <c r="AI2735" t="s">
        <v>48026</v>
      </c>
      <c t="s">
        <v>31192</v>
      </c>
      <c r="AL2735" t="s">
        <v>38206</v>
      </c>
      <c t="s">
        <v>38206</v>
      </c>
      <c t="s">
        <v>39289</v>
      </c>
      <c t="s">
        <v>26122</v>
      </c>
      <c t="s">
        <v>65529</v>
      </c>
      <c t="s">
        <v>3093</v>
      </c>
      <c t="s">
        <v>30407</v>
      </c>
    </row>
    <row>
      <c t="s">
        <v>17594</v>
      </c>
      <c t="s">
        <v>14252</v>
      </c>
      <c t="s">
        <v>39084</v>
      </c>
      <c t="s">
        <v>66654</v>
      </c>
      <c t="s">
        <v>30397</v>
      </c>
      <c s="3">
        <v>106147</v>
      </c>
      <c s="3">
        <v>106147</v>
      </c>
      <c s="3">
        <v>101200</v>
      </c>
      <c>
        <v>0</v>
      </c>
      <c s="3">
        <v>0</v>
      </c>
      <c s="3">
        <v>2257.84</v>
      </c>
      <c s="3">
        <v>106147</v>
      </c>
      <c r="O2736" s="1" t="str">
        <f ca="1">HYPERLINK("https://web.datatree.com/?/property?propertyId=33007719", "https://web.datatree.com/?/property?propertyId=33007719")</f>
        <v>https://web.datatree.com/?/property?propertyId=33007719</v>
      </c>
      <c r="Q2736" t="s">
        <v>316</v>
      </c>
      <c>
        <v>0.301</v>
      </c>
      <c t="s">
        <v>22490</v>
      </c>
      <c t="s">
        <v>44533</v>
      </c>
      <c t="s">
        <v>26926</v>
      </c>
      <c t="s">
        <v>1013</v>
      </c>
      <c t="s">
        <v>26926</v>
      </c>
      <c t="s">
        <v>29279</v>
      </c>
      <c t="s">
        <v>44129</v>
      </c>
      <c t="s">
        <v>2517</v>
      </c>
      <c t="s">
        <v>39289</v>
      </c>
      <c>
        <v>33904</v>
      </c>
      <c t="s">
        <v>12921</v>
      </c>
      <c t="s">
        <v>48794</v>
      </c>
      <c t="s">
        <v>61989</v>
      </c>
      <c>
        <v>19</v>
      </c>
      <c r="AI2736" t="s">
        <v>25384</v>
      </c>
      <c r="AL2736" t="s">
        <v>12153</v>
      </c>
      <c r="AN2736" t="s">
        <v>63985</v>
      </c>
      <c>
        <v>51147</v>
      </c>
      <c r="AR2736" t="s">
        <v>1738</v>
      </c>
    </row>
    <row>
      <c t="s">
        <v>17594</v>
      </c>
      <c t="s">
        <v>50352</v>
      </c>
      <c t="s">
        <v>55670</v>
      </c>
      <c t="s">
        <v>55226</v>
      </c>
      <c t="s">
        <v>20544</v>
      </c>
      <c s="3">
        <v>23623</v>
      </c>
      <c s="3">
        <v>23623</v>
      </c>
      <c s="3">
        <v>11000</v>
      </c>
      <c>
        <v>0</v>
      </c>
      <c s="3">
        <v>0</v>
      </c>
      <c s="3">
        <v>622.94</v>
      </c>
      <c s="3">
        <v>23623</v>
      </c>
      <c r="O2737" s="1" t="str">
        <f ca="1">HYPERLINK("https://web.datatree.com/?/property?propertyId=33007721", "https://web.datatree.com/?/property?propertyId=33007721")</f>
        <v>https://web.datatree.com/?/property?propertyId=33007721</v>
      </c>
      <c r="Q2737" t="s">
        <v>316</v>
      </c>
      <c>
        <v>0.23</v>
      </c>
      <c t="s">
        <v>22490</v>
      </c>
      <c t="s">
        <v>49153</v>
      </c>
      <c t="s">
        <v>24606</v>
      </c>
      <c r="X2737" t="s">
        <v>50195</v>
      </c>
      <c t="s">
        <v>53663</v>
      </c>
      <c t="s">
        <v>2517</v>
      </c>
      <c t="s">
        <v>39289</v>
      </c>
      <c>
        <v>33909</v>
      </c>
      <c t="s">
        <v>4239</v>
      </c>
      <c t="s">
        <v>48794</v>
      </c>
      <c t="s">
        <v>4664</v>
      </c>
      <c>
        <v>28</v>
      </c>
      <c r="AI2737" t="s">
        <v>34934</v>
      </c>
      <c r="AL2737" t="s">
        <v>58153</v>
      </c>
      <c t="s">
        <v>58153</v>
      </c>
      <c t="s">
        <v>18236</v>
      </c>
      <c>
        <v>75020</v>
      </c>
      <c r="AR2737" t="s">
        <v>49931</v>
      </c>
    </row>
    <row>
      <c t="s">
        <v>17594</v>
      </c>
      <c t="s">
        <v>57005</v>
      </c>
      <c t="s">
        <v>214</v>
      </c>
      <c t="s">
        <v>13490</v>
      </c>
      <c t="s">
        <v>2669</v>
      </c>
      <c s="3">
        <v>15000</v>
      </c>
      <c s="3">
        <v>15000</v>
      </c>
      <c s="3">
        <v>12100</v>
      </c>
      <c>
        <v>0</v>
      </c>
      <c s="3">
        <v>0</v>
      </c>
      <c s="3">
        <v>212.91</v>
      </c>
      <c s="3">
        <v>15000</v>
      </c>
      <c>
        <v>2020</v>
      </c>
      <c>
        <v>672.25</v>
      </c>
      <c s="1" t="str">
        <f ca="1">HYPERLINK("https://web.datatree.com/?/property?propertyId=33008345", "https://web.datatree.com/?/property?propertyId=33008345")</f>
        <v>https://web.datatree.com/?/property?propertyId=33008345</v>
      </c>
      <c r="Q2738" t="s">
        <v>316</v>
      </c>
      <c>
        <v>0.285</v>
      </c>
      <c t="s">
        <v>38539</v>
      </c>
      <c t="s">
        <v>39139</v>
      </c>
      <c t="s">
        <v>1044</v>
      </c>
      <c r="X2738" t="s">
        <v>27139</v>
      </c>
      <c t="s">
        <v>57654</v>
      </c>
      <c t="s">
        <v>54524</v>
      </c>
      <c t="s">
        <v>39289</v>
      </c>
      <c>
        <v>33903</v>
      </c>
      <c t="s">
        <v>60562</v>
      </c>
      <c t="s">
        <v>48794</v>
      </c>
      <c t="s">
        <v>43352</v>
      </c>
      <c>
        <v>4722</v>
      </c>
      <c r="AH2738" t="s">
        <v>57851</v>
      </c>
      <c t="s">
        <v>49122</v>
      </c>
      <c t="s">
        <v>45393</v>
      </c>
      <c r="AL2738" t="s">
        <v>3402</v>
      </c>
      <c r="AN2738" t="s">
        <v>39289</v>
      </c>
      <c t="s">
        <v>53316</v>
      </c>
      <c t="s">
        <v>4480</v>
      </c>
      <c t="s">
        <v>3093</v>
      </c>
      <c t="s">
        <v>51972</v>
      </c>
    </row>
    <row>
      <c t="s">
        <v>17594</v>
      </c>
      <c t="s">
        <v>45817</v>
      </c>
      <c t="s">
        <v>11388</v>
      </c>
      <c t="s">
        <v>1627</v>
      </c>
      <c t="s">
        <v>37339</v>
      </c>
      <c s="3">
        <v>221508</v>
      </c>
      <c s="3">
        <v>221508</v>
      </c>
      <c s="3">
        <v>221508</v>
      </c>
      <c>
        <v>0</v>
      </c>
      <c s="3">
        <v>0</v>
      </c>
      <c s="3">
        <v>5370.45</v>
      </c>
      <c s="3">
        <v>221508</v>
      </c>
      <c r="O2739" s="1" t="str">
        <f ca="1">HYPERLINK("https://web.datatree.com/?/property?propertyId=33008720", "https://web.datatree.com/?/property?propertyId=33008720")</f>
        <v>https://web.datatree.com/?/property?propertyId=33008720</v>
      </c>
      <c r="Q2739" t="s">
        <v>316</v>
      </c>
      <c>
        <v>0.25</v>
      </c>
      <c t="s">
        <v>3410</v>
      </c>
      <c t="s">
        <v>30261</v>
      </c>
      <c t="s">
        <v>928</v>
      </c>
      <c t="s">
        <v>22474</v>
      </c>
      <c t="s">
        <v>928</v>
      </c>
      <c t="s">
        <v>17288</v>
      </c>
      <c t="s">
        <v>29190</v>
      </c>
      <c t="s">
        <v>2517</v>
      </c>
      <c t="s">
        <v>39289</v>
      </c>
      <c>
        <v>33904</v>
      </c>
      <c>
        <v>33904</v>
      </c>
      <c t="s">
        <v>48794</v>
      </c>
      <c t="s">
        <v>64856</v>
      </c>
      <c>
        <v>1611</v>
      </c>
      <c r="AI2739" t="s">
        <v>45304</v>
      </c>
      <c t="s">
        <v>40123</v>
      </c>
      <c r="AL2739" t="s">
        <v>55393</v>
      </c>
      <c t="s">
        <v>523</v>
      </c>
      <c t="s">
        <v>39289</v>
      </c>
      <c t="s">
        <v>18732</v>
      </c>
      <c t="s">
        <v>12241</v>
      </c>
      <c t="s">
        <v>3093</v>
      </c>
      <c t="s">
        <v>26888</v>
      </c>
    </row>
    <row>
      <c t="s">
        <v>17594</v>
      </c>
      <c t="s">
        <v>17589</v>
      </c>
      <c t="s">
        <v>17139</v>
      </c>
      <c t="s">
        <v>23734</v>
      </c>
      <c t="s">
        <v>19629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2740" s="1" t="str">
        <f ca="1">HYPERLINK("https://web.datatree.com/?/property?propertyId=33008880", "https://web.datatree.com/?/property?propertyId=33008880")</f>
        <v>https://web.datatree.com/?/property?propertyId=33008880</v>
      </c>
      <c r="Q2740" t="s">
        <v>316</v>
      </c>
      <c>
        <v>0.244</v>
      </c>
      <c t="s">
        <v>6175</v>
      </c>
      <c t="s">
        <v>64030</v>
      </c>
      <c t="s">
        <v>4190</v>
      </c>
      <c t="s">
        <v>5941</v>
      </c>
      <c t="s">
        <v>54692</v>
      </c>
      <c t="s">
        <v>33285</v>
      </c>
      <c t="s">
        <v>61865</v>
      </c>
      <c t="s">
        <v>2517</v>
      </c>
      <c t="s">
        <v>39289</v>
      </c>
      <c>
        <v>33909</v>
      </c>
      <c t="s">
        <v>38126</v>
      </c>
      <c t="s">
        <v>48794</v>
      </c>
      <c t="s">
        <v>8035</v>
      </c>
      <c>
        <v>9</v>
      </c>
      <c r="AI2740" t="s">
        <v>66850</v>
      </c>
      <c t="s">
        <v>45393</v>
      </c>
      <c r="AL2740" t="s">
        <v>20632</v>
      </c>
      <c r="AN2740" t="s">
        <v>50917</v>
      </c>
      <c t="s">
        <v>57540</v>
      </c>
      <c t="s">
        <v>32746</v>
      </c>
      <c t="s">
        <v>3093</v>
      </c>
      <c t="s">
        <v>25003</v>
      </c>
    </row>
    <row>
      <c t="s">
        <v>17594</v>
      </c>
      <c t="s">
        <v>36494</v>
      </c>
      <c t="s">
        <v>43332</v>
      </c>
      <c t="s">
        <v>30337</v>
      </c>
      <c t="s">
        <v>11004</v>
      </c>
      <c s="3">
        <v>22874</v>
      </c>
      <c s="3">
        <v>22874</v>
      </c>
      <c s="3">
        <v>9433</v>
      </c>
      <c>
        <v>0</v>
      </c>
      <c s="3">
        <v>0</v>
      </c>
      <c s="3">
        <v>413.07</v>
      </c>
      <c s="3">
        <v>22874</v>
      </c>
      <c>
        <v>2021</v>
      </c>
      <c>
        <v>393.2</v>
      </c>
      <c s="1" t="str">
        <f ca="1">HYPERLINK("https://web.datatree.com/?/property?propertyId=33009226", "https://web.datatree.com/?/property?propertyId=33009226")</f>
        <v>https://web.datatree.com/?/property?propertyId=33009226</v>
      </c>
      <c r="Q2741" t="s">
        <v>316</v>
      </c>
      <c>
        <v>0.226</v>
      </c>
      <c t="s">
        <v>5471</v>
      </c>
      <c t="s">
        <v>37386</v>
      </c>
      <c t="s">
        <v>18314</v>
      </c>
      <c r="X2741" t="s">
        <v>53849</v>
      </c>
      <c t="s">
        <v>44457</v>
      </c>
      <c t="s">
        <v>65059</v>
      </c>
      <c t="s">
        <v>39289</v>
      </c>
      <c>
        <v>33905</v>
      </c>
      <c>
        <v>33905</v>
      </c>
      <c t="s">
        <v>48794</v>
      </c>
      <c t="s">
        <v>66046</v>
      </c>
      <c>
        <v>1609</v>
      </c>
      <c r="AI2741" t="s">
        <v>45617</v>
      </c>
      <c t="s">
        <v>24900</v>
      </c>
      <c r="AL2741" t="s">
        <v>53029</v>
      </c>
      <c t="s">
        <v>40227</v>
      </c>
      <c t="s">
        <v>39289</v>
      </c>
      <c t="s">
        <v>59893</v>
      </c>
      <c t="s">
        <v>1951</v>
      </c>
      <c t="s">
        <v>3093</v>
      </c>
      <c t="s">
        <v>17995</v>
      </c>
    </row>
    <row>
      <c t="s">
        <v>17594</v>
      </c>
      <c t="s">
        <v>2155</v>
      </c>
      <c t="s">
        <v>45017</v>
      </c>
      <c t="s">
        <v>48082</v>
      </c>
      <c t="s">
        <v>18677</v>
      </c>
      <c s="3">
        <v>7700</v>
      </c>
      <c s="3">
        <v>7700</v>
      </c>
      <c s="3">
        <v>7700</v>
      </c>
      <c>
        <v>0</v>
      </c>
      <c s="3">
        <v>0</v>
      </c>
      <c s="3">
        <v>593.83</v>
      </c>
      <c s="3">
        <v>7700</v>
      </c>
      <c r="O2742" s="1" t="str">
        <f ca="1">HYPERLINK("https://web.datatree.com/?/property?propertyId=33009431", "https://web.datatree.com/?/property?propertyId=33009431")</f>
        <v>https://web.datatree.com/?/property?propertyId=33009431</v>
      </c>
      <c r="Q2742" t="s">
        <v>316</v>
      </c>
      <c>
        <v>0.251</v>
      </c>
      <c t="s">
        <v>6175</v>
      </c>
      <c t="s">
        <v>50331</v>
      </c>
      <c t="s">
        <v>12312</v>
      </c>
      <c t="s">
        <v>11805</v>
      </c>
      <c t="s">
        <v>12312</v>
      </c>
      <c t="s">
        <v>59056</v>
      </c>
      <c t="s">
        <v>14917</v>
      </c>
      <c t="s">
        <v>2517</v>
      </c>
      <c t="s">
        <v>39289</v>
      </c>
      <c>
        <v>33909</v>
      </c>
      <c t="s">
        <v>10471</v>
      </c>
      <c t="s">
        <v>48794</v>
      </c>
      <c t="s">
        <v>7950</v>
      </c>
      <c>
        <v>1536</v>
      </c>
      <c r="AI2742" t="s">
        <v>50430</v>
      </c>
      <c t="s">
        <v>31192</v>
      </c>
      <c r="AL2742" t="s">
        <v>47465</v>
      </c>
      <c t="s">
        <v>63181</v>
      </c>
      <c t="s">
        <v>39289</v>
      </c>
      <c t="s">
        <v>55146</v>
      </c>
      <c t="s">
        <v>33856</v>
      </c>
      <c t="s">
        <v>3093</v>
      </c>
      <c t="s">
        <v>63954</v>
      </c>
    </row>
    <row>
      <c t="s">
        <v>17594</v>
      </c>
      <c t="s">
        <v>66128</v>
      </c>
      <c t="s">
        <v>17577</v>
      </c>
      <c t="s">
        <v>20418</v>
      </c>
      <c t="s">
        <v>990</v>
      </c>
      <c s="3">
        <v>10600</v>
      </c>
      <c s="3">
        <v>10600</v>
      </c>
      <c s="3">
        <v>9339</v>
      </c>
      <c>
        <v>0</v>
      </c>
      <c s="3">
        <v>0</v>
      </c>
      <c s="3">
        <v>2880.21</v>
      </c>
      <c s="3">
        <v>10600</v>
      </c>
      <c>
        <v>2021</v>
      </c>
      <c>
        <v>3158.11</v>
      </c>
      <c s="1" t="str">
        <f ca="1">HYPERLINK("https://web.datatree.com/?/property?propertyId=33010448", "https://web.datatree.com/?/property?propertyId=33010448")</f>
        <v>https://web.datatree.com/?/property?propertyId=33010448</v>
      </c>
      <c r="Q2743" t="s">
        <v>316</v>
      </c>
      <c>
        <v>0.23</v>
      </c>
      <c t="s">
        <v>6175</v>
      </c>
      <c t="s">
        <v>48755</v>
      </c>
      <c t="s">
        <v>16874</v>
      </c>
      <c t="s">
        <v>28873</v>
      </c>
      <c t="s">
        <v>16874</v>
      </c>
      <c t="s">
        <v>19797</v>
      </c>
      <c t="s">
        <v>18679</v>
      </c>
      <c t="s">
        <v>2517</v>
      </c>
      <c t="s">
        <v>39289</v>
      </c>
      <c>
        <v>33909</v>
      </c>
      <c t="s">
        <v>13240</v>
      </c>
      <c t="s">
        <v>48794</v>
      </c>
      <c t="s">
        <v>39095</v>
      </c>
      <c>
        <v>11807</v>
      </c>
      <c r="AH2743" t="s">
        <v>57851</v>
      </c>
      <c t="s">
        <v>15547</v>
      </c>
      <c t="s">
        <v>45620</v>
      </c>
      <c r="AL2743" t="s">
        <v>28771</v>
      </c>
      <c t="s">
        <v>40012</v>
      </c>
      <c t="s">
        <v>50829</v>
      </c>
      <c t="s">
        <v>15352</v>
      </c>
      <c t="s">
        <v>32746</v>
      </c>
      <c t="s">
        <v>3093</v>
      </c>
      <c t="s">
        <v>3717</v>
      </c>
    </row>
    <row>
      <c t="s">
        <v>17594</v>
      </c>
      <c t="s">
        <v>32502</v>
      </c>
      <c t="s">
        <v>66163</v>
      </c>
      <c t="s">
        <v>62883</v>
      </c>
      <c t="s">
        <v>57318</v>
      </c>
      <c s="3">
        <v>26752</v>
      </c>
      <c s="3">
        <v>26752</v>
      </c>
      <c s="3">
        <v>26752</v>
      </c>
      <c>
        <v>0</v>
      </c>
      <c s="3">
        <v>0</v>
      </c>
      <c s="3">
        <v>911.51</v>
      </c>
      <c s="3">
        <v>26752</v>
      </c>
      <c r="O2744" s="1" t="str">
        <f ca="1">HYPERLINK("https://web.datatree.com/?/property?propertyId=33010558", "https://web.datatree.com/?/property?propertyId=33010558")</f>
        <v>https://web.datatree.com/?/property?propertyId=33010558</v>
      </c>
      <c r="Q2744" t="s">
        <v>316</v>
      </c>
      <c>
        <v>0.344</v>
      </c>
      <c t="s">
        <v>22490</v>
      </c>
      <c t="s">
        <v>58703</v>
      </c>
      <c t="s">
        <v>29959</v>
      </c>
      <c t="s">
        <v>10361</v>
      </c>
      <c t="s">
        <v>29959</v>
      </c>
      <c t="s">
        <v>12468</v>
      </c>
      <c t="s">
        <v>49122</v>
      </c>
      <c t="s">
        <v>2517</v>
      </c>
      <c t="s">
        <v>39289</v>
      </c>
      <c>
        <v>33909</v>
      </c>
      <c t="s">
        <v>29860</v>
      </c>
      <c t="s">
        <v>48794</v>
      </c>
      <c t="s">
        <v>50955</v>
      </c>
      <c>
        <v>661</v>
      </c>
      <c r="AI2744" t="s">
        <v>42668</v>
      </c>
      <c t="s">
        <v>835</v>
      </c>
      <c r="AL2744" t="s">
        <v>25857</v>
      </c>
      <c t="s">
        <v>25857</v>
      </c>
      <c t="s">
        <v>39289</v>
      </c>
      <c t="s">
        <v>42736</v>
      </c>
      <c t="s">
        <v>42082</v>
      </c>
      <c t="s">
        <v>3093</v>
      </c>
      <c t="s">
        <v>16689</v>
      </c>
    </row>
    <row>
      <c t="s">
        <v>42103</v>
      </c>
      <c t="s">
        <v>4725</v>
      </c>
      <c t="s">
        <v>39472</v>
      </c>
      <c t="s">
        <v>6102</v>
      </c>
      <c t="s">
        <v>6578</v>
      </c>
      <c s="3">
        <v>41805</v>
      </c>
      <c s="3">
        <v>40698</v>
      </c>
      <c s="3">
        <v>29293</v>
      </c>
      <c>
        <v>0</v>
      </c>
      <c s="3">
        <v>0</v>
      </c>
      <c s="3">
        <v>505.67</v>
      </c>
      <c s="3">
        <v>41805</v>
      </c>
      <c r="O2745" s="1" t="str">
        <f ca="1">HYPERLINK("https://web.datatree.com/?/property?propertyId=33010585", "https://web.datatree.com/?/property?propertyId=33010585")</f>
        <v>https://web.datatree.com/?/property?propertyId=33010585</v>
      </c>
      <c r="Q2745" t="s">
        <v>316</v>
      </c>
      <c>
        <v>0.047</v>
      </c>
      <c t="s">
        <v>54329</v>
      </c>
      <c t="s">
        <v>10419</v>
      </c>
      <c t="s">
        <v>40259</v>
      </c>
      <c t="s">
        <v>65497</v>
      </c>
      <c t="s">
        <v>40259</v>
      </c>
      <c t="s">
        <v>6310</v>
      </c>
      <c t="s">
        <v>54795</v>
      </c>
      <c t="s">
        <v>54524</v>
      </c>
      <c t="s">
        <v>39289</v>
      </c>
      <c>
        <v>33903</v>
      </c>
      <c t="s">
        <v>52159</v>
      </c>
      <c t="s">
        <v>48794</v>
      </c>
      <c t="s">
        <v>14450</v>
      </c>
      <c r="AI2745" t="s">
        <v>51769</v>
      </c>
      <c r="AL2745" t="s">
        <v>9913</v>
      </c>
      <c t="s">
        <v>9913</v>
      </c>
      <c t="s">
        <v>51137</v>
      </c>
      <c>
        <v>49613</v>
      </c>
      <c t="s">
        <v>23536</v>
      </c>
      <c t="s">
        <v>3093</v>
      </c>
      <c t="s">
        <v>61480</v>
      </c>
      <c>
        <v>1984</v>
      </c>
    </row>
    <row>
      <c t="s">
        <v>17594</v>
      </c>
      <c t="s">
        <v>2405</v>
      </c>
      <c t="s">
        <v>45799</v>
      </c>
      <c t="s">
        <v>21425</v>
      </c>
      <c t="s">
        <v>12716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2746" s="1" t="str">
        <f ca="1">HYPERLINK("https://web.datatree.com/?/property?propertyId=33010767", "https://web.datatree.com/?/property?propertyId=33010767")</f>
        <v>https://web.datatree.com/?/property?propertyId=33010767</v>
      </c>
      <c r="Q2746" t="s">
        <v>316</v>
      </c>
      <c>
        <v>0.23</v>
      </c>
      <c t="s">
        <v>22490</v>
      </c>
      <c t="s">
        <v>36702</v>
      </c>
      <c t="s">
        <v>59713</v>
      </c>
      <c r="X2746" t="s">
        <v>45567</v>
      </c>
      <c t="s">
        <v>53675</v>
      </c>
      <c t="s">
        <v>2517</v>
      </c>
      <c t="s">
        <v>39289</v>
      </c>
      <c>
        <v>33909</v>
      </c>
      <c t="s">
        <v>10538</v>
      </c>
      <c t="s">
        <v>48794</v>
      </c>
      <c t="s">
        <v>38506</v>
      </c>
      <c>
        <v>13124</v>
      </c>
      <c r="AI2746" t="s">
        <v>29618</v>
      </c>
      <c t="s">
        <v>24900</v>
      </c>
      <c r="AL2746" t="s">
        <v>55393</v>
      </c>
      <c r="AN2746" t="s">
        <v>39289</v>
      </c>
      <c t="s">
        <v>15006</v>
      </c>
      <c t="s">
        <v>7361</v>
      </c>
      <c t="s">
        <v>3093</v>
      </c>
      <c t="s">
        <v>46100</v>
      </c>
    </row>
    <row>
      <c t="s">
        <v>17594</v>
      </c>
      <c t="s">
        <v>32487</v>
      </c>
      <c t="s">
        <v>43558</v>
      </c>
      <c t="s">
        <v>48344</v>
      </c>
      <c t="s">
        <v>23044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2747" s="1" t="str">
        <f ca="1">HYPERLINK("https://web.datatree.com/?/property?propertyId=33011110", "https://web.datatree.com/?/property?propertyId=33011110")</f>
        <v>https://web.datatree.com/?/property?propertyId=33011110</v>
      </c>
      <c r="Q2747" t="s">
        <v>316</v>
      </c>
      <c>
        <v>0.241</v>
      </c>
      <c t="s">
        <v>6175</v>
      </c>
      <c t="s">
        <v>37826</v>
      </c>
      <c t="s">
        <v>60390</v>
      </c>
      <c r="X2747" t="s">
        <v>43924</v>
      </c>
      <c t="s">
        <v>29190</v>
      </c>
      <c t="s">
        <v>2517</v>
      </c>
      <c t="s">
        <v>39289</v>
      </c>
      <c>
        <v>33909</v>
      </c>
      <c t="s">
        <v>64211</v>
      </c>
      <c t="s">
        <v>48794</v>
      </c>
      <c t="s">
        <v>63446</v>
      </c>
      <c>
        <v>13046</v>
      </c>
      <c r="AI2747" t="s">
        <v>39541</v>
      </c>
      <c t="s">
        <v>39321</v>
      </c>
      <c r="AL2747" t="s">
        <v>55393</v>
      </c>
      <c r="AN2747" t="s">
        <v>39289</v>
      </c>
      <c t="s">
        <v>7351</v>
      </c>
      <c t="s">
        <v>39566</v>
      </c>
      <c t="s">
        <v>3093</v>
      </c>
      <c t="s">
        <v>36648</v>
      </c>
    </row>
    <row>
      <c t="s">
        <v>17594</v>
      </c>
      <c t="s">
        <v>25043</v>
      </c>
      <c t="s">
        <v>64056</v>
      </c>
      <c t="s">
        <v>13198</v>
      </c>
      <c t="s">
        <v>62783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748" s="1" t="str">
        <f ca="1">HYPERLINK("https://web.datatree.com/?/property?propertyId=33011165", "https://web.datatree.com/?/property?propertyId=33011165")</f>
        <v>https://web.datatree.com/?/property?propertyId=33011165</v>
      </c>
      <c r="Q2748" t="s">
        <v>316</v>
      </c>
      <c>
        <v>0.23</v>
      </c>
      <c t="s">
        <v>22490</v>
      </c>
      <c t="s">
        <v>13860</v>
      </c>
      <c t="s">
        <v>6825</v>
      </c>
      <c r="X2748" t="s">
        <v>25478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65484</v>
      </c>
      <c>
        <v>12013</v>
      </c>
      <c r="AI2748" t="s">
        <v>40307</v>
      </c>
      <c t="s">
        <v>31192</v>
      </c>
      <c r="AL2748" t="s">
        <v>12112</v>
      </c>
      <c r="AN2748" t="s">
        <v>39289</v>
      </c>
      <c t="s">
        <v>57895</v>
      </c>
      <c t="s">
        <v>28673</v>
      </c>
      <c t="s">
        <v>3093</v>
      </c>
      <c t="s">
        <v>67085</v>
      </c>
    </row>
    <row>
      <c t="s">
        <v>17594</v>
      </c>
      <c t="s">
        <v>59089</v>
      </c>
      <c t="s">
        <v>9686</v>
      </c>
      <c t="s">
        <v>23289</v>
      </c>
      <c t="s">
        <v>54745</v>
      </c>
      <c s="3">
        <v>39960</v>
      </c>
      <c s="3">
        <v>39960</v>
      </c>
      <c s="3">
        <v>39600</v>
      </c>
      <c>
        <v>0</v>
      </c>
      <c s="3">
        <v>0</v>
      </c>
      <c s="3">
        <v>545.38</v>
      </c>
      <c s="3">
        <v>39960</v>
      </c>
      <c r="O2749" s="1" t="str">
        <f ca="1">HYPERLINK("https://web.datatree.com/?/property?propertyId=33011323", "https://web.datatree.com/?/property?propertyId=33011323")</f>
        <v>https://web.datatree.com/?/property?propertyId=33011323</v>
      </c>
      <c r="Q2749" t="s">
        <v>316</v>
      </c>
      <c>
        <v>0.041</v>
      </c>
      <c t="s">
        <v>45526</v>
      </c>
      <c t="s">
        <v>21668</v>
      </c>
      <c t="s">
        <v>7501</v>
      </c>
      <c t="s">
        <v>54971</v>
      </c>
      <c t="s">
        <v>7501</v>
      </c>
      <c t="s">
        <v>5137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29482</v>
      </c>
      <c>
        <v>431</v>
      </c>
      <c r="AI2749" t="s">
        <v>50130</v>
      </c>
      <c t="s">
        <v>31192</v>
      </c>
      <c r="AL2749" t="s">
        <v>61892</v>
      </c>
      <c t="s">
        <v>40925</v>
      </c>
      <c t="s">
        <v>39289</v>
      </c>
      <c t="s">
        <v>48472</v>
      </c>
      <c t="s">
        <v>52247</v>
      </c>
      <c t="s">
        <v>3093</v>
      </c>
      <c t="s">
        <v>18606</v>
      </c>
    </row>
    <row>
      <c t="s">
        <v>17594</v>
      </c>
      <c t="s">
        <v>35564</v>
      </c>
      <c t="s">
        <v>4352</v>
      </c>
      <c t="s">
        <v>11605</v>
      </c>
      <c t="s">
        <v>6119</v>
      </c>
      <c s="3">
        <v>250184</v>
      </c>
      <c s="3">
        <v>250184</v>
      </c>
      <c s="3">
        <v>121000</v>
      </c>
      <c>
        <v>0</v>
      </c>
      <c s="3">
        <v>0</v>
      </c>
      <c s="3">
        <v>2843.07</v>
      </c>
      <c s="3">
        <v>250184</v>
      </c>
      <c r="O2750" s="1" t="str">
        <f ca="1">HYPERLINK("https://web.datatree.com/?/property?propertyId=33011722", "https://web.datatree.com/?/property?propertyId=33011722")</f>
        <v>https://web.datatree.com/?/property?propertyId=33011722</v>
      </c>
      <c r="Q2750" t="s">
        <v>316</v>
      </c>
      <c>
        <v>0.23</v>
      </c>
      <c t="s">
        <v>22490</v>
      </c>
      <c t="s">
        <v>2140</v>
      </c>
      <c t="s">
        <v>41859</v>
      </c>
      <c r="X2750" t="s">
        <v>42595</v>
      </c>
      <c t="s">
        <v>22731</v>
      </c>
      <c t="s">
        <v>2517</v>
      </c>
      <c t="s">
        <v>39289</v>
      </c>
      <c>
        <v>33904</v>
      </c>
      <c t="s">
        <v>21694</v>
      </c>
      <c t="s">
        <v>48794</v>
      </c>
      <c t="s">
        <v>31112</v>
      </c>
      <c>
        <v>611</v>
      </c>
      <c r="AI2750" t="s">
        <v>13510</v>
      </c>
      <c t="s">
        <v>24900</v>
      </c>
      <c r="AL2750" t="s">
        <v>6144</v>
      </c>
      <c r="AN2750" t="s">
        <v>50917</v>
      </c>
      <c t="s">
        <v>4836</v>
      </c>
      <c t="s">
        <v>26242</v>
      </c>
      <c t="s">
        <v>3093</v>
      </c>
      <c t="s">
        <v>44115</v>
      </c>
    </row>
    <row>
      <c t="s">
        <v>17594</v>
      </c>
      <c t="s">
        <v>33287</v>
      </c>
      <c t="s">
        <v>11020</v>
      </c>
      <c t="s">
        <v>41074</v>
      </c>
      <c t="s">
        <v>27714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 r="O2751" s="1" t="str">
        <f ca="1">HYPERLINK("https://web.datatree.com/?/property?propertyId=33011759", "https://web.datatree.com/?/property?propertyId=33011759")</f>
        <v>https://web.datatree.com/?/property?propertyId=33011759</v>
      </c>
      <c r="Q2751" t="s">
        <v>316</v>
      </c>
      <c>
        <v>0.241</v>
      </c>
      <c t="s">
        <v>5471</v>
      </c>
      <c t="s">
        <v>50331</v>
      </c>
      <c t="s">
        <v>49175</v>
      </c>
      <c t="s">
        <v>42801</v>
      </c>
      <c t="s">
        <v>6226</v>
      </c>
      <c t="s">
        <v>20284</v>
      </c>
      <c t="s">
        <v>4408</v>
      </c>
      <c t="s">
        <v>65059</v>
      </c>
      <c t="s">
        <v>39289</v>
      </c>
      <c>
        <v>33905</v>
      </c>
      <c t="s">
        <v>21840</v>
      </c>
      <c t="s">
        <v>48794</v>
      </c>
      <c t="s">
        <v>9046</v>
      </c>
      <c>
        <v>262</v>
      </c>
      <c r="AI2751" t="s">
        <v>48388</v>
      </c>
      <c t="s">
        <v>45393</v>
      </c>
      <c r="AL2751" t="s">
        <v>62077</v>
      </c>
      <c r="AN2751" t="s">
        <v>50917</v>
      </c>
      <c t="s">
        <v>56024</v>
      </c>
      <c t="s">
        <v>11138</v>
      </c>
      <c t="s">
        <v>3093</v>
      </c>
      <c t="s">
        <v>37219</v>
      </c>
    </row>
    <row>
      <c t="s">
        <v>17594</v>
      </c>
      <c t="s">
        <v>54209</v>
      </c>
      <c t="s">
        <v>54631</v>
      </c>
      <c t="s">
        <v>2178</v>
      </c>
      <c t="s">
        <v>10989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2752" s="1" t="str">
        <f ca="1">HYPERLINK("https://web.datatree.com/?/property?propertyId=33012379", "https://web.datatree.com/?/property?propertyId=33012379")</f>
        <v>https://web.datatree.com/?/property?propertyId=33012379</v>
      </c>
      <c r="Q2752" t="s">
        <v>316</v>
      </c>
      <c>
        <v>0.23</v>
      </c>
      <c t="s">
        <v>22490</v>
      </c>
      <c r="U2752" t="s">
        <v>6901</v>
      </c>
      <c r="W2752" t="s">
        <v>32514</v>
      </c>
      <c t="s">
        <v>4293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32455</v>
      </c>
      <c>
        <v>7519</v>
      </c>
      <c r="AI2752" t="s">
        <v>13879</v>
      </c>
      <c r="AK2752" t="s">
        <v>55144</v>
      </c>
      <c t="s">
        <v>7812</v>
      </c>
      <c r="AN2752" t="s">
        <v>49572</v>
      </c>
      <c t="s">
        <v>26702</v>
      </c>
      <c t="s">
        <v>52393</v>
      </c>
      <c t="s">
        <v>3093</v>
      </c>
      <c t="s">
        <v>58912</v>
      </c>
    </row>
    <row>
      <c t="s">
        <v>17594</v>
      </c>
      <c t="s">
        <v>24456</v>
      </c>
      <c t="s">
        <v>9812</v>
      </c>
      <c t="s">
        <v>59152</v>
      </c>
      <c t="s">
        <v>26519</v>
      </c>
      <c s="3">
        <v>33300</v>
      </c>
      <c s="3">
        <v>33300</v>
      </c>
      <c s="3">
        <v>33000</v>
      </c>
      <c>
        <v>0</v>
      </c>
      <c s="3">
        <v>0</v>
      </c>
      <c s="3">
        <v>454.5</v>
      </c>
      <c s="3">
        <v>33300</v>
      </c>
      <c r="O2753" s="1" t="str">
        <f ca="1">HYPERLINK("https://web.datatree.com/?/property?propertyId=33012427", "https://web.datatree.com/?/property?propertyId=33012427")</f>
        <v>https://web.datatree.com/?/property?propertyId=33012427</v>
      </c>
      <c r="Q2753" t="s">
        <v>316</v>
      </c>
      <c>
        <v>0.046</v>
      </c>
      <c t="s">
        <v>54329</v>
      </c>
      <c t="s">
        <v>58113</v>
      </c>
      <c t="s">
        <v>50226</v>
      </c>
      <c t="s">
        <v>58927</v>
      </c>
      <c t="s">
        <v>50226</v>
      </c>
      <c t="s">
        <v>14726</v>
      </c>
      <c t="s">
        <v>32195</v>
      </c>
      <c t="s">
        <v>65059</v>
      </c>
      <c t="s">
        <v>39289</v>
      </c>
      <c>
        <v>33908</v>
      </c>
      <c>
        <v>33908</v>
      </c>
      <c t="s">
        <v>48794</v>
      </c>
      <c t="s">
        <v>44179</v>
      </c>
      <c>
        <v>9538</v>
      </c>
      <c r="AI2753" t="s">
        <v>55805</v>
      </c>
      <c t="s">
        <v>31192</v>
      </c>
      <c r="AL2753" t="s">
        <v>28400</v>
      </c>
      <c t="s">
        <v>28400</v>
      </c>
      <c t="s">
        <v>49572</v>
      </c>
      <c t="s">
        <v>62004</v>
      </c>
      <c t="s">
        <v>42945</v>
      </c>
      <c t="s">
        <v>3093</v>
      </c>
      <c t="s">
        <v>6577</v>
      </c>
    </row>
    <row>
      <c t="s">
        <v>17594</v>
      </c>
      <c t="s">
        <v>10691</v>
      </c>
      <c t="s">
        <v>4418</v>
      </c>
      <c t="s">
        <v>40891</v>
      </c>
      <c t="s">
        <v>45082</v>
      </c>
      <c s="3">
        <v>18502</v>
      </c>
      <c s="3">
        <v>18502</v>
      </c>
      <c s="3">
        <v>9130</v>
      </c>
      <c>
        <v>0</v>
      </c>
      <c s="3">
        <v>0</v>
      </c>
      <c s="3">
        <v>581.68</v>
      </c>
      <c s="3">
        <v>18502</v>
      </c>
      <c r="O2754" s="1" t="str">
        <f ca="1">HYPERLINK("https://web.datatree.com/?/property?propertyId=33013127", "https://web.datatree.com/?/property?propertyId=33013127")</f>
        <v>https://web.datatree.com/?/property?propertyId=33013127</v>
      </c>
      <c r="Q2754" t="s">
        <v>316</v>
      </c>
      <c>
        <v>0.233</v>
      </c>
      <c t="s">
        <v>45031</v>
      </c>
      <c t="s">
        <v>49241</v>
      </c>
      <c t="s">
        <v>31708</v>
      </c>
      <c r="X2754" t="s">
        <v>4129</v>
      </c>
      <c t="s">
        <v>29190</v>
      </c>
      <c t="s">
        <v>2517</v>
      </c>
      <c t="s">
        <v>39289</v>
      </c>
      <c>
        <v>33909</v>
      </c>
      <c t="s">
        <v>16765</v>
      </c>
      <c t="s">
        <v>48794</v>
      </c>
      <c t="s">
        <v>66621</v>
      </c>
      <c>
        <v>225</v>
      </c>
      <c r="AI2754" t="s">
        <v>66880</v>
      </c>
      <c t="s">
        <v>45620</v>
      </c>
      <c r="AL2754" t="s">
        <v>3186</v>
      </c>
      <c r="AN2754" t="s">
        <v>39289</v>
      </c>
      <c t="s">
        <v>21100</v>
      </c>
      <c t="s">
        <v>34162</v>
      </c>
      <c t="s">
        <v>3093</v>
      </c>
      <c t="s">
        <v>42250</v>
      </c>
    </row>
    <row>
      <c t="s">
        <v>17594</v>
      </c>
      <c t="s">
        <v>2007</v>
      </c>
      <c t="s">
        <v>60989</v>
      </c>
      <c t="s">
        <v>63992</v>
      </c>
      <c t="s">
        <v>21283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 r="O2755" s="1" t="str">
        <f ca="1">HYPERLINK("https://web.datatree.com/?/property?propertyId=33013506", "https://web.datatree.com/?/property?propertyId=33013506")</f>
        <v>https://web.datatree.com/?/property?propertyId=33013506</v>
      </c>
      <c r="Q2755" t="s">
        <v>316</v>
      </c>
      <c>
        <v>0.225</v>
      </c>
      <c t="s">
        <v>5471</v>
      </c>
      <c t="s">
        <v>28230</v>
      </c>
      <c t="s">
        <v>54798</v>
      </c>
      <c t="s">
        <v>552</v>
      </c>
      <c t="s">
        <v>32018</v>
      </c>
      <c t="s">
        <v>44390</v>
      </c>
      <c t="s">
        <v>12246</v>
      </c>
      <c t="s">
        <v>65059</v>
      </c>
      <c t="s">
        <v>39289</v>
      </c>
      <c>
        <v>33905</v>
      </c>
      <c t="s">
        <v>59511</v>
      </c>
      <c t="s">
        <v>48794</v>
      </c>
      <c t="s">
        <v>9705</v>
      </c>
      <c>
        <v>235</v>
      </c>
      <c r="AI2755" t="s">
        <v>27056</v>
      </c>
      <c t="s">
        <v>24900</v>
      </c>
      <c r="AL2755" t="s">
        <v>57063</v>
      </c>
      <c r="AN2755" t="s">
        <v>50917</v>
      </c>
      <c t="s">
        <v>20766</v>
      </c>
      <c t="s">
        <v>45980</v>
      </c>
      <c t="s">
        <v>3093</v>
      </c>
      <c t="s">
        <v>48948</v>
      </c>
    </row>
    <row>
      <c t="s">
        <v>17594</v>
      </c>
      <c t="s">
        <v>35078</v>
      </c>
      <c t="s">
        <v>56667</v>
      </c>
      <c t="s">
        <v>41689</v>
      </c>
      <c t="s">
        <v>49636</v>
      </c>
      <c s="3">
        <v>141550</v>
      </c>
      <c s="3">
        <v>141550</v>
      </c>
      <c s="3">
        <v>110068</v>
      </c>
      <c>
        <v>0</v>
      </c>
      <c s="3">
        <v>0</v>
      </c>
      <c s="3">
        <v>1971.56</v>
      </c>
      <c s="3">
        <v>141550</v>
      </c>
      <c r="O2756" s="1" t="str">
        <f ca="1">HYPERLINK("https://web.datatree.com/?/property?propertyId=33013707", "https://web.datatree.com/?/property?propertyId=33013707")</f>
        <v>https://web.datatree.com/?/property?propertyId=33013707</v>
      </c>
      <c r="Q2756" t="s">
        <v>316</v>
      </c>
      <c>
        <v>7.45</v>
      </c>
      <c t="s">
        <v>30497</v>
      </c>
      <c t="s">
        <v>54943</v>
      </c>
      <c t="s">
        <v>56292</v>
      </c>
      <c r="X2756" t="s">
        <v>51714</v>
      </c>
      <c t="s">
        <v>63942</v>
      </c>
      <c t="s">
        <v>54524</v>
      </c>
      <c t="s">
        <v>39289</v>
      </c>
      <c>
        <v>33903</v>
      </c>
      <c>
        <v>33903</v>
      </c>
      <c t="s">
        <v>48794</v>
      </c>
      <c t="s">
        <v>29314</v>
      </c>
      <c>
        <v>2324</v>
      </c>
      <c r="AH2756" t="s">
        <v>60953</v>
      </c>
      <c t="s">
        <v>48786</v>
      </c>
      <c t="s">
        <v>55842</v>
      </c>
      <c r="AL2756" t="s">
        <v>36662</v>
      </c>
      <c t="s">
        <v>65059</v>
      </c>
      <c t="s">
        <v>50829</v>
      </c>
      <c t="s">
        <v>24130</v>
      </c>
      <c t="s">
        <v>56028</v>
      </c>
      <c t="s">
        <v>3093</v>
      </c>
      <c t="s">
        <v>6947</v>
      </c>
    </row>
    <row>
      <c t="s">
        <v>17594</v>
      </c>
      <c t="s">
        <v>23092</v>
      </c>
      <c t="s">
        <v>46301</v>
      </c>
      <c t="s">
        <v>52547</v>
      </c>
      <c t="s">
        <v>65896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2757" s="1" t="str">
        <f ca="1">HYPERLINK("https://web.datatree.com/?/property?propertyId=33013725", "https://web.datatree.com/?/property?propertyId=33013725")</f>
        <v>https://web.datatree.com/?/property?propertyId=33013725</v>
      </c>
      <c r="Q2757" t="s">
        <v>316</v>
      </c>
      <c>
        <v>0.23</v>
      </c>
      <c t="s">
        <v>22490</v>
      </c>
      <c t="s">
        <v>51750</v>
      </c>
      <c t="s">
        <v>22869</v>
      </c>
      <c r="X2757" t="s">
        <v>60640</v>
      </c>
      <c t="s">
        <v>55273</v>
      </c>
      <c t="s">
        <v>2517</v>
      </c>
      <c t="s">
        <v>39289</v>
      </c>
      <c>
        <v>33909</v>
      </c>
      <c t="s">
        <v>55689</v>
      </c>
      <c t="s">
        <v>48794</v>
      </c>
      <c t="s">
        <v>57364</v>
      </c>
      <c>
        <v>2367</v>
      </c>
      <c r="AH2757" t="s">
        <v>12549</v>
      </c>
      <c>
        <v>6780</v>
      </c>
      <c r="AL2757" t="s">
        <v>34512</v>
      </c>
      <c t="s">
        <v>15867</v>
      </c>
      <c t="s">
        <v>47028</v>
      </c>
      <c t="s">
        <v>3548</v>
      </c>
      <c t="s">
        <v>15968</v>
      </c>
      <c t="s">
        <v>3093</v>
      </c>
      <c t="s">
        <v>65256</v>
      </c>
    </row>
    <row>
      <c t="s">
        <v>17594</v>
      </c>
      <c t="s">
        <v>14093</v>
      </c>
      <c t="s">
        <v>31042</v>
      </c>
      <c t="s">
        <v>55521</v>
      </c>
      <c t="s">
        <v>35300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2758" s="1" t="str">
        <f ca="1">HYPERLINK("https://web.datatree.com/?/property?propertyId=33013922", "https://web.datatree.com/?/property?propertyId=33013922")</f>
        <v>https://web.datatree.com/?/property?propertyId=33013922</v>
      </c>
      <c r="Q2758" t="s">
        <v>316</v>
      </c>
      <c>
        <v>0.23</v>
      </c>
      <c t="s">
        <v>6175</v>
      </c>
      <c t="s">
        <v>39139</v>
      </c>
      <c t="s">
        <v>24202</v>
      </c>
      <c r="X2758" t="s">
        <v>36823</v>
      </c>
      <c t="s">
        <v>49122</v>
      </c>
      <c t="s">
        <v>2517</v>
      </c>
      <c t="s">
        <v>39289</v>
      </c>
      <c>
        <v>33909</v>
      </c>
      <c t="s">
        <v>12956</v>
      </c>
      <c t="s">
        <v>48794</v>
      </c>
      <c t="s">
        <v>35867</v>
      </c>
      <c>
        <v>7516</v>
      </c>
      <c r="AI2758" t="s">
        <v>40648</v>
      </c>
      <c t="s">
        <v>31192</v>
      </c>
      <c r="AL2758" t="s">
        <v>6913</v>
      </c>
      <c t="s">
        <v>6913</v>
      </c>
      <c t="s">
        <v>65467</v>
      </c>
      <c t="s">
        <v>64181</v>
      </c>
      <c t="s">
        <v>51100</v>
      </c>
      <c t="s">
        <v>3093</v>
      </c>
      <c t="s">
        <v>51305</v>
      </c>
    </row>
    <row>
      <c t="s">
        <v>17594</v>
      </c>
      <c t="s">
        <v>18597</v>
      </c>
      <c t="s">
        <v>8215</v>
      </c>
      <c t="s">
        <v>64357</v>
      </c>
      <c t="s">
        <v>51062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597.9</v>
      </c>
      <c s="1" t="str">
        <f ca="1">HYPERLINK("https://web.datatree.com/?/property?propertyId=33014005", "https://web.datatree.com/?/property?propertyId=33014005")</f>
        <v>https://web.datatree.com/?/property?propertyId=33014005</v>
      </c>
      <c r="Q2759" t="s">
        <v>316</v>
      </c>
      <c>
        <v>0.23</v>
      </c>
      <c t="s">
        <v>42044</v>
      </c>
      <c t="s">
        <v>64119</v>
      </c>
      <c t="s">
        <v>63422</v>
      </c>
      <c r="X2759" t="s">
        <v>46451</v>
      </c>
      <c t="s">
        <v>38550</v>
      </c>
      <c t="s">
        <v>2517</v>
      </c>
      <c t="s">
        <v>39289</v>
      </c>
      <c>
        <v>33909</v>
      </c>
      <c t="s">
        <v>40103</v>
      </c>
      <c t="s">
        <v>48794</v>
      </c>
      <c t="s">
        <v>41580</v>
      </c>
      <c>
        <v>10260</v>
      </c>
      <c r="AI2759" t="s">
        <v>13464</v>
      </c>
      <c t="s">
        <v>39321</v>
      </c>
      <c>
        <v>214</v>
      </c>
      <c t="s">
        <v>46703</v>
      </c>
      <c r="AN2759" t="s">
        <v>39289</v>
      </c>
      <c t="s">
        <v>33504</v>
      </c>
      <c t="s">
        <v>40826</v>
      </c>
      <c t="s">
        <v>3093</v>
      </c>
      <c t="s">
        <v>59038</v>
      </c>
    </row>
    <row>
      <c t="s">
        <v>17594</v>
      </c>
      <c t="s">
        <v>28471</v>
      </c>
      <c t="s">
        <v>34533</v>
      </c>
      <c t="s">
        <v>12041</v>
      </c>
      <c t="s">
        <v>26788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760" s="1" t="str">
        <f ca="1">HYPERLINK("https://web.datatree.com/?/property?propertyId=33014352", "https://web.datatree.com/?/property?propertyId=33014352")</f>
        <v>https://web.datatree.com/?/property?propertyId=33014352</v>
      </c>
      <c r="Q2760" t="s">
        <v>316</v>
      </c>
      <c>
        <v>0.23</v>
      </c>
      <c t="s">
        <v>45031</v>
      </c>
      <c t="s">
        <v>50331</v>
      </c>
      <c t="s">
        <v>22121</v>
      </c>
      <c t="s">
        <v>18907</v>
      </c>
      <c t="s">
        <v>22121</v>
      </c>
      <c t="s">
        <v>6614</v>
      </c>
      <c t="s">
        <v>22731</v>
      </c>
      <c t="s">
        <v>2517</v>
      </c>
      <c t="s">
        <v>39289</v>
      </c>
      <c>
        <v>33909</v>
      </c>
      <c t="s">
        <v>3591</v>
      </c>
      <c t="s">
        <v>48794</v>
      </c>
      <c t="s">
        <v>7808</v>
      </c>
      <c>
        <v>1040</v>
      </c>
      <c r="AI2760" t="s">
        <v>12547</v>
      </c>
      <c t="s">
        <v>45620</v>
      </c>
      <c r="AL2760" t="s">
        <v>33469</v>
      </c>
      <c r="AN2760" t="s">
        <v>50917</v>
      </c>
      <c t="s">
        <v>42915</v>
      </c>
      <c t="s">
        <v>26242</v>
      </c>
      <c t="s">
        <v>3093</v>
      </c>
      <c t="s">
        <v>21657</v>
      </c>
    </row>
    <row>
      <c t="s">
        <v>17594</v>
      </c>
      <c t="s">
        <v>62655</v>
      </c>
      <c t="s">
        <v>60697</v>
      </c>
      <c t="s">
        <v>54659</v>
      </c>
      <c t="s">
        <v>24634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2761" s="1" t="str">
        <f ca="1">HYPERLINK("https://web.datatree.com/?/property?propertyId=33014805", "https://web.datatree.com/?/property?propertyId=33014805")</f>
        <v>https://web.datatree.com/?/property?propertyId=33014805</v>
      </c>
      <c r="Q2761" t="s">
        <v>316</v>
      </c>
      <c>
        <v>0.241</v>
      </c>
      <c t="s">
        <v>6175</v>
      </c>
      <c t="s">
        <v>44541</v>
      </c>
      <c t="s">
        <v>20597</v>
      </c>
      <c r="X2761" t="s">
        <v>3041</v>
      </c>
      <c t="s">
        <v>46469</v>
      </c>
      <c t="s">
        <v>2517</v>
      </c>
      <c t="s">
        <v>39289</v>
      </c>
      <c>
        <v>33909</v>
      </c>
      <c t="s">
        <v>2703</v>
      </c>
      <c t="s">
        <v>48794</v>
      </c>
      <c t="s">
        <v>19908</v>
      </c>
      <c>
        <v>4732</v>
      </c>
      <c r="AI2761" t="s">
        <v>9315</v>
      </c>
      <c t="s">
        <v>40123</v>
      </c>
      <c r="AL2761" t="s">
        <v>55393</v>
      </c>
      <c t="s">
        <v>46703</v>
      </c>
      <c t="s">
        <v>39289</v>
      </c>
      <c t="s">
        <v>4905</v>
      </c>
      <c t="s">
        <v>31626</v>
      </c>
      <c t="s">
        <v>3093</v>
      </c>
      <c t="s">
        <v>18137</v>
      </c>
    </row>
    <row>
      <c t="s">
        <v>17594</v>
      </c>
      <c t="s">
        <v>34853</v>
      </c>
      <c t="s">
        <v>2195</v>
      </c>
      <c t="s">
        <v>55300</v>
      </c>
      <c t="s">
        <v>54866</v>
      </c>
      <c s="3">
        <v>8400</v>
      </c>
      <c s="3">
        <v>8400</v>
      </c>
      <c s="3">
        <v>8400</v>
      </c>
      <c>
        <v>0</v>
      </c>
      <c s="3">
        <v>0</v>
      </c>
      <c s="3">
        <v>473.12</v>
      </c>
      <c s="3">
        <v>8400</v>
      </c>
      <c r="O2762" s="1" t="str">
        <f ca="1">HYPERLINK("https://web.datatree.com/?/property?propertyId=33015219", "https://web.datatree.com/?/property?propertyId=33015219")</f>
        <v>https://web.datatree.com/?/property?propertyId=33015219</v>
      </c>
      <c r="Q2762" t="s">
        <v>316</v>
      </c>
      <c>
        <v>0.244</v>
      </c>
      <c t="s">
        <v>6175</v>
      </c>
      <c t="s">
        <v>44457</v>
      </c>
      <c t="s">
        <v>9687</v>
      </c>
      <c t="s">
        <v>52701</v>
      </c>
      <c t="s">
        <v>9687</v>
      </c>
      <c t="s">
        <v>55843</v>
      </c>
      <c t="s">
        <v>61865</v>
      </c>
      <c t="s">
        <v>2517</v>
      </c>
      <c t="s">
        <v>39289</v>
      </c>
      <c>
        <v>33909</v>
      </c>
      <c t="s">
        <v>9730</v>
      </c>
      <c t="s">
        <v>48794</v>
      </c>
      <c t="s">
        <v>33946</v>
      </c>
      <c>
        <v>8005</v>
      </c>
      <c r="AI2762" t="s">
        <v>26550</v>
      </c>
      <c t="s">
        <v>4985</v>
      </c>
      <c r="AL2762" t="s">
        <v>11207</v>
      </c>
      <c t="s">
        <v>32270</v>
      </c>
      <c t="s">
        <v>39289</v>
      </c>
      <c t="s">
        <v>58745</v>
      </c>
      <c t="s">
        <v>56186</v>
      </c>
      <c t="s">
        <v>3093</v>
      </c>
      <c t="s">
        <v>13820</v>
      </c>
    </row>
    <row>
      <c t="s">
        <v>17594</v>
      </c>
      <c t="s">
        <v>21044</v>
      </c>
      <c t="s">
        <v>34824</v>
      </c>
      <c t="s">
        <v>20285</v>
      </c>
      <c t="s">
        <v>12745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763" s="1" t="str">
        <f ca="1">HYPERLINK("https://web.datatree.com/?/property?propertyId=33015254", "https://web.datatree.com/?/property?propertyId=33015254")</f>
        <v>https://web.datatree.com/?/property?propertyId=33015254</v>
      </c>
      <c r="Q2763" t="s">
        <v>316</v>
      </c>
      <c>
        <v>0.23</v>
      </c>
      <c t="s">
        <v>22490</v>
      </c>
      <c t="s">
        <v>44541</v>
      </c>
      <c t="s">
        <v>21564</v>
      </c>
      <c t="s">
        <v>66271</v>
      </c>
      <c t="s">
        <v>21564</v>
      </c>
      <c t="s">
        <v>19737</v>
      </c>
      <c t="s">
        <v>10653</v>
      </c>
      <c t="s">
        <v>2517</v>
      </c>
      <c t="s">
        <v>39289</v>
      </c>
      <c>
        <v>33909</v>
      </c>
      <c t="s">
        <v>6083</v>
      </c>
      <c t="s">
        <v>48794</v>
      </c>
      <c t="s">
        <v>22205</v>
      </c>
      <c>
        <v>52964</v>
      </c>
      <c r="AI2763" t="s">
        <v>41275</v>
      </c>
      <c t="s">
        <v>31192</v>
      </c>
      <c r="AL2763" t="s">
        <v>61005</v>
      </c>
      <c r="AN2763" t="s">
        <v>51137</v>
      </c>
      <c t="s">
        <v>63744</v>
      </c>
      <c t="s">
        <v>10847</v>
      </c>
      <c t="s">
        <v>3093</v>
      </c>
      <c t="s">
        <v>25762</v>
      </c>
    </row>
    <row>
      <c t="s">
        <v>17594</v>
      </c>
      <c t="s">
        <v>18994</v>
      </c>
      <c t="s">
        <v>15618</v>
      </c>
      <c t="s">
        <v>48492</v>
      </c>
      <c t="s">
        <v>13680</v>
      </c>
      <c s="3">
        <v>8689</v>
      </c>
      <c s="3">
        <v>8689</v>
      </c>
      <c s="3">
        <v>4972</v>
      </c>
      <c>
        <v>0</v>
      </c>
      <c s="3">
        <v>0</v>
      </c>
      <c s="3">
        <v>316.66</v>
      </c>
      <c s="3">
        <v>8689</v>
      </c>
      <c r="O2764" s="1" t="str">
        <f ca="1">HYPERLINK("https://web.datatree.com/?/property?propertyId=33016177", "https://web.datatree.com/?/property?propertyId=33016177")</f>
        <v>https://web.datatree.com/?/property?propertyId=33016177</v>
      </c>
      <c r="Q2764" t="s">
        <v>316</v>
      </c>
      <c>
        <v>0.243</v>
      </c>
      <c t="s">
        <v>5471</v>
      </c>
      <c t="s">
        <v>59595</v>
      </c>
      <c t="s">
        <v>34217</v>
      </c>
      <c r="X2764" t="s">
        <v>34051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1966</v>
      </c>
      <c>
        <v>9520</v>
      </c>
      <c r="AI2764" t="s">
        <v>4844</v>
      </c>
      <c t="s">
        <v>55842</v>
      </c>
      <c r="AL2764" t="s">
        <v>62149</v>
      </c>
      <c t="s">
        <v>62149</v>
      </c>
      <c t="s">
        <v>39289</v>
      </c>
      <c t="s">
        <v>58908</v>
      </c>
      <c t="s">
        <v>39566</v>
      </c>
      <c t="s">
        <v>3093</v>
      </c>
      <c t="s">
        <v>13496</v>
      </c>
    </row>
    <row>
      <c t="s">
        <v>17594</v>
      </c>
      <c t="s">
        <v>56740</v>
      </c>
      <c t="s">
        <v>28840</v>
      </c>
      <c t="s">
        <v>7257</v>
      </c>
      <c t="s">
        <v>52123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2765" s="1" t="str">
        <f ca="1">HYPERLINK("https://web.datatree.com/?/property?propertyId=33016788", "https://web.datatree.com/?/property?propertyId=33016788")</f>
        <v>https://web.datatree.com/?/property?propertyId=33016788</v>
      </c>
      <c r="Q2765" t="s">
        <v>316</v>
      </c>
      <c>
        <v>0.23</v>
      </c>
      <c t="s">
        <v>22490</v>
      </c>
      <c t="s">
        <v>47715</v>
      </c>
      <c t="s">
        <v>17348</v>
      </c>
      <c t="s">
        <v>15051</v>
      </c>
      <c t="s">
        <v>39977</v>
      </c>
      <c t="s">
        <v>38716</v>
      </c>
      <c t="s">
        <v>371</v>
      </c>
      <c t="s">
        <v>2517</v>
      </c>
      <c t="s">
        <v>39289</v>
      </c>
      <c>
        <v>33909</v>
      </c>
      <c t="s">
        <v>1440</v>
      </c>
      <c t="s">
        <v>48794</v>
      </c>
      <c t="s">
        <v>36139</v>
      </c>
      <c>
        <v>259</v>
      </c>
      <c r="AH2765" t="s">
        <v>52165</v>
      </c>
      <c t="s">
        <v>48390</v>
      </c>
      <c t="s">
        <v>24900</v>
      </c>
      <c r="AL2765" t="s">
        <v>216</v>
      </c>
      <c t="s">
        <v>216</v>
      </c>
      <c t="s">
        <v>66651</v>
      </c>
      <c t="s">
        <v>33631</v>
      </c>
      <c t="s">
        <v>12241</v>
      </c>
      <c t="s">
        <v>3093</v>
      </c>
      <c t="s">
        <v>32667</v>
      </c>
    </row>
    <row>
      <c t="s">
        <v>17594</v>
      </c>
      <c t="s">
        <v>52881</v>
      </c>
      <c t="s">
        <v>13916</v>
      </c>
      <c t="s">
        <v>37371</v>
      </c>
      <c t="s">
        <v>1875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>
        <v>2021</v>
      </c>
      <c>
        <v>591.97</v>
      </c>
      <c s="1" t="str">
        <f ca="1">HYPERLINK("https://web.datatree.com/?/property?propertyId=33017167", "https://web.datatree.com/?/property?propertyId=33017167")</f>
        <v>https://web.datatree.com/?/property?propertyId=33017167</v>
      </c>
      <c r="Q2766" t="s">
        <v>316</v>
      </c>
      <c>
        <v>0.23</v>
      </c>
      <c t="s">
        <v>22490</v>
      </c>
      <c t="s">
        <v>3293</v>
      </c>
      <c t="s">
        <v>61568</v>
      </c>
      <c r="X2766" t="s">
        <v>57076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37627</v>
      </c>
      <c>
        <v>2131</v>
      </c>
      <c r="AI2766" t="s">
        <v>29261</v>
      </c>
      <c t="s">
        <v>45620</v>
      </c>
      <c r="AL2766" t="s">
        <v>31151</v>
      </c>
      <c r="AN2766" t="s">
        <v>17134</v>
      </c>
      <c t="s">
        <v>43711</v>
      </c>
      <c t="s">
        <v>37948</v>
      </c>
      <c t="s">
        <v>3093</v>
      </c>
      <c t="s">
        <v>26031</v>
      </c>
    </row>
    <row>
      <c t="s">
        <v>17594</v>
      </c>
      <c t="s">
        <v>686</v>
      </c>
      <c t="s">
        <v>18069</v>
      </c>
      <c t="s">
        <v>34585</v>
      </c>
      <c t="s">
        <v>38386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767" s="1" t="str">
        <f ca="1">HYPERLINK("https://web.datatree.com/?/property?propertyId=33018026", "https://web.datatree.com/?/property?propertyId=33018026")</f>
        <v>https://web.datatree.com/?/property?propertyId=33018026</v>
      </c>
      <c r="Q2767" t="s">
        <v>316</v>
      </c>
      <c>
        <v>0.23</v>
      </c>
      <c t="s">
        <v>22490</v>
      </c>
      <c t="s">
        <v>14317</v>
      </c>
      <c t="s">
        <v>19806</v>
      </c>
      <c t="s">
        <v>51344</v>
      </c>
      <c t="s">
        <v>19806</v>
      </c>
      <c t="s">
        <v>27676</v>
      </c>
      <c t="s">
        <v>25017</v>
      </c>
      <c t="s">
        <v>2517</v>
      </c>
      <c t="s">
        <v>39289</v>
      </c>
      <c>
        <v>33909</v>
      </c>
      <c t="s">
        <v>12865</v>
      </c>
      <c t="s">
        <v>48794</v>
      </c>
      <c t="s">
        <v>58298</v>
      </c>
      <c>
        <v>70</v>
      </c>
      <c r="AI2767" t="s">
        <v>32884</v>
      </c>
      <c t="s">
        <v>31192</v>
      </c>
      <c r="AL2767" t="s">
        <v>34793</v>
      </c>
      <c r="AN2767" t="s">
        <v>27747</v>
      </c>
      <c t="s">
        <v>26740</v>
      </c>
      <c t="s">
        <v>44428</v>
      </c>
      <c t="s">
        <v>3093</v>
      </c>
      <c t="s">
        <v>22120</v>
      </c>
    </row>
    <row>
      <c t="s">
        <v>17594</v>
      </c>
      <c t="s">
        <v>19054</v>
      </c>
      <c t="s">
        <v>45397</v>
      </c>
      <c t="s">
        <v>871</v>
      </c>
      <c t="s">
        <v>19874</v>
      </c>
      <c s="3">
        <v>23352</v>
      </c>
      <c s="3">
        <v>23352</v>
      </c>
      <c s="3">
        <v>8800</v>
      </c>
      <c>
        <v>0</v>
      </c>
      <c s="3">
        <v>0</v>
      </c>
      <c s="3">
        <v>598.34</v>
      </c>
      <c s="3">
        <v>23352</v>
      </c>
      <c r="O2768" s="1" t="str">
        <f ca="1">HYPERLINK("https://web.datatree.com/?/property?propertyId=33018072", "https://web.datatree.com/?/property?propertyId=33018072")</f>
        <v>https://web.datatree.com/?/property?propertyId=33018072</v>
      </c>
      <c r="Q2768" t="s">
        <v>316</v>
      </c>
      <c>
        <v>0.244</v>
      </c>
      <c t="s">
        <v>22490</v>
      </c>
      <c t="s">
        <v>27181</v>
      </c>
      <c t="s">
        <v>15762</v>
      </c>
      <c t="s">
        <v>64201</v>
      </c>
      <c t="s">
        <v>1836</v>
      </c>
      <c t="s">
        <v>59453</v>
      </c>
      <c t="s">
        <v>46469</v>
      </c>
      <c t="s">
        <v>2517</v>
      </c>
      <c t="s">
        <v>39289</v>
      </c>
      <c>
        <v>33909</v>
      </c>
      <c t="s">
        <v>23015</v>
      </c>
      <c t="s">
        <v>48794</v>
      </c>
      <c t="s">
        <v>44207</v>
      </c>
      <c r="AI2768" t="s">
        <v>49480</v>
      </c>
      <c r="AK2768" s="4">
        <v>45174</v>
      </c>
      <c t="s">
        <v>45595</v>
      </c>
      <c r="AN2768" t="s">
        <v>19878</v>
      </c>
      <c>
        <v>71703</v>
      </c>
      <c r="AR2768" t="s">
        <v>26811</v>
      </c>
    </row>
    <row>
      <c t="s">
        <v>17594</v>
      </c>
      <c t="s">
        <v>36839</v>
      </c>
      <c t="s">
        <v>24404</v>
      </c>
      <c t="s">
        <v>54910</v>
      </c>
      <c t="s">
        <v>24924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769" s="1" t="str">
        <f ca="1">HYPERLINK("https://web.datatree.com/?/property?propertyId=33018141", "https://web.datatree.com/?/property?propertyId=33018141")</f>
        <v>https://web.datatree.com/?/property?propertyId=33018141</v>
      </c>
      <c r="Q2769" t="s">
        <v>316</v>
      </c>
      <c>
        <v>0.23</v>
      </c>
      <c t="s">
        <v>6175</v>
      </c>
      <c t="s">
        <v>56684</v>
      </c>
      <c t="s">
        <v>63609</v>
      </c>
      <c t="s">
        <v>48615</v>
      </c>
      <c t="s">
        <v>63609</v>
      </c>
      <c t="s">
        <v>55560</v>
      </c>
      <c t="s">
        <v>47150</v>
      </c>
      <c t="s">
        <v>2517</v>
      </c>
      <c t="s">
        <v>39289</v>
      </c>
      <c>
        <v>33909</v>
      </c>
      <c t="s">
        <v>11266</v>
      </c>
      <c t="s">
        <v>48794</v>
      </c>
      <c t="s">
        <v>33853</v>
      </c>
      <c>
        <v>269</v>
      </c>
      <c r="AI2769" t="s">
        <v>21446</v>
      </c>
      <c t="s">
        <v>24900</v>
      </c>
      <c r="AL2769" t="s">
        <v>66317</v>
      </c>
      <c r="AN2769" t="s">
        <v>50917</v>
      </c>
      <c t="s">
        <v>60404</v>
      </c>
      <c t="s">
        <v>34162</v>
      </c>
      <c t="s">
        <v>3093</v>
      </c>
      <c t="s">
        <v>38995</v>
      </c>
    </row>
    <row>
      <c t="s">
        <v>17594</v>
      </c>
      <c t="s">
        <v>64499</v>
      </c>
      <c t="s">
        <v>52713</v>
      </c>
      <c t="s">
        <v>23906</v>
      </c>
      <c t="s">
        <v>18536</v>
      </c>
      <c s="3">
        <v>10000</v>
      </c>
      <c s="3">
        <v>10000</v>
      </c>
      <c s="3">
        <v>6254</v>
      </c>
      <c>
        <v>0</v>
      </c>
      <c s="3">
        <v>0</v>
      </c>
      <c s="3">
        <v>133.15</v>
      </c>
      <c s="3">
        <v>10000</v>
      </c>
      <c r="O2770" s="1" t="str">
        <f ca="1">HYPERLINK("https://web.datatree.com/?/property?propertyId=33018512", "https://web.datatree.com/?/property?propertyId=33018512")</f>
        <v>https://web.datatree.com/?/property?propertyId=33018512</v>
      </c>
      <c r="Q2770" t="s">
        <v>316</v>
      </c>
      <c>
        <v>0.23</v>
      </c>
      <c t="s">
        <v>36917</v>
      </c>
      <c r="U2770" t="s">
        <v>9514</v>
      </c>
      <c t="s">
        <v>4868</v>
      </c>
      <c t="s">
        <v>58244</v>
      </c>
      <c t="s">
        <v>26712</v>
      </c>
      <c t="s">
        <v>60074</v>
      </c>
      <c t="s">
        <v>54524</v>
      </c>
      <c t="s">
        <v>39289</v>
      </c>
      <c>
        <v>33903</v>
      </c>
      <c t="s">
        <v>27590</v>
      </c>
      <c t="s">
        <v>48794</v>
      </c>
      <c t="s">
        <v>45878</v>
      </c>
      <c>
        <v>2985</v>
      </c>
      <c r="AI2770" t="s">
        <v>36225</v>
      </c>
      <c t="s">
        <v>31192</v>
      </c>
      <c r="AL2770" t="s">
        <v>607</v>
      </c>
      <c r="AN2770" t="s">
        <v>66651</v>
      </c>
      <c t="s">
        <v>11460</v>
      </c>
      <c t="s">
        <v>4797</v>
      </c>
      <c t="s">
        <v>3093</v>
      </c>
      <c t="s">
        <v>16977</v>
      </c>
    </row>
    <row>
      <c t="s">
        <v>17594</v>
      </c>
      <c t="s">
        <v>7510</v>
      </c>
      <c t="s">
        <v>39333</v>
      </c>
      <c t="s">
        <v>10239</v>
      </c>
      <c t="s">
        <v>18078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>
        <v>2019</v>
      </c>
      <c>
        <v>1762.37</v>
      </c>
      <c s="1" t="str">
        <f ca="1">HYPERLINK("https://web.datatree.com/?/property?propertyId=33018692", "https://web.datatree.com/?/property?propertyId=33018692")</f>
        <v>https://web.datatree.com/?/property?propertyId=33018692</v>
      </c>
      <c r="Q2771" t="s">
        <v>316</v>
      </c>
      <c>
        <v>0.23</v>
      </c>
      <c t="s">
        <v>22490</v>
      </c>
      <c t="s">
        <v>30169</v>
      </c>
      <c t="s">
        <v>48335</v>
      </c>
      <c t="s">
        <v>18302</v>
      </c>
      <c t="s">
        <v>2741</v>
      </c>
      <c t="s">
        <v>39526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12480</v>
      </c>
      <c>
        <v>11235</v>
      </c>
      <c r="AI2771" t="s">
        <v>66232</v>
      </c>
      <c t="s">
        <v>45620</v>
      </c>
      <c r="AL2771" t="s">
        <v>32837</v>
      </c>
      <c t="s">
        <v>32837</v>
      </c>
      <c t="s">
        <v>65451</v>
      </c>
      <c t="s">
        <v>39959</v>
      </c>
      <c t="s">
        <v>636</v>
      </c>
      <c t="s">
        <v>3093</v>
      </c>
      <c t="s">
        <v>18616</v>
      </c>
    </row>
    <row>
      <c t="s">
        <v>17594</v>
      </c>
      <c t="s">
        <v>19844</v>
      </c>
      <c t="s">
        <v>65229</v>
      </c>
      <c t="s">
        <v>43237</v>
      </c>
      <c t="s">
        <v>6113</v>
      </c>
      <c s="3">
        <v>30413</v>
      </c>
      <c s="3">
        <v>30413</v>
      </c>
      <c s="3">
        <v>9079</v>
      </c>
      <c>
        <v>0</v>
      </c>
      <c s="3">
        <v>0</v>
      </c>
      <c s="3">
        <v>2023.07</v>
      </c>
      <c s="3">
        <v>30413</v>
      </c>
      <c r="O2772" s="1" t="str">
        <f ca="1">HYPERLINK("https://web.datatree.com/?/property?propertyId=33018744", "https://web.datatree.com/?/property?propertyId=33018744")</f>
        <v>https://web.datatree.com/?/property?propertyId=33018744</v>
      </c>
      <c r="Q2772" t="s">
        <v>316</v>
      </c>
      <c>
        <v>0.264</v>
      </c>
      <c t="s">
        <v>6175</v>
      </c>
      <c t="s">
        <v>34344</v>
      </c>
      <c t="s">
        <v>10206</v>
      </c>
      <c r="X2772" t="s">
        <v>21371</v>
      </c>
      <c t="s">
        <v>58797</v>
      </c>
      <c t="s">
        <v>2517</v>
      </c>
      <c t="s">
        <v>39289</v>
      </c>
      <c>
        <v>33909</v>
      </c>
      <c t="s">
        <v>50365</v>
      </c>
      <c t="s">
        <v>48794</v>
      </c>
      <c t="s">
        <v>20749</v>
      </c>
      <c>
        <v>20</v>
      </c>
      <c r="AI2772" t="s">
        <v>6510</v>
      </c>
      <c t="s">
        <v>31192</v>
      </c>
      <c r="AL2772" t="s">
        <v>16815</v>
      </c>
      <c r="AN2772" t="s">
        <v>10909</v>
      </c>
      <c t="s">
        <v>45495</v>
      </c>
      <c r="AQ2772" t="s">
        <v>27814</v>
      </c>
      <c t="s">
        <v>31053</v>
      </c>
    </row>
    <row>
      <c t="s">
        <v>42103</v>
      </c>
      <c t="s">
        <v>24189</v>
      </c>
      <c t="s">
        <v>50173</v>
      </c>
      <c t="s">
        <v>64188</v>
      </c>
      <c t="s">
        <v>49094</v>
      </c>
      <c s="3">
        <v>25397</v>
      </c>
      <c s="3">
        <v>21538</v>
      </c>
      <c s="3">
        <v>15452</v>
      </c>
      <c>
        <v>0</v>
      </c>
      <c s="3">
        <v>0</v>
      </c>
      <c s="3">
        <v>257.68</v>
      </c>
      <c s="3">
        <v>25397</v>
      </c>
      <c r="O2773" s="1" t="str">
        <f ca="1">HYPERLINK("https://web.datatree.com/?/property?propertyId=33018975", "https://web.datatree.com/?/property?propertyId=33018975")</f>
        <v>https://web.datatree.com/?/property?propertyId=33018975</v>
      </c>
      <c r="Q2773" t="s">
        <v>316</v>
      </c>
      <c>
        <v>0.182</v>
      </c>
      <c t="s">
        <v>5471</v>
      </c>
      <c t="s">
        <v>1599</v>
      </c>
      <c t="s">
        <v>57278</v>
      </c>
      <c r="X2773" t="s">
        <v>65320</v>
      </c>
      <c t="s">
        <v>2626</v>
      </c>
      <c t="s">
        <v>65059</v>
      </c>
      <c t="s">
        <v>39289</v>
      </c>
      <c>
        <v>33905</v>
      </c>
      <c>
        <v>33905</v>
      </c>
      <c t="s">
        <v>48794</v>
      </c>
      <c t="s">
        <v>64391</v>
      </c>
      <c r="AI2773" t="s">
        <v>41596</v>
      </c>
      <c r="AL2773" t="s">
        <v>22887</v>
      </c>
      <c t="s">
        <v>40227</v>
      </c>
      <c t="s">
        <v>51137</v>
      </c>
      <c>
        <v>48014</v>
      </c>
      <c t="s">
        <v>67041</v>
      </c>
      <c t="s">
        <v>3093</v>
      </c>
      <c t="s">
        <v>51264</v>
      </c>
    </row>
    <row>
      <c t="s">
        <v>17594</v>
      </c>
      <c t="s">
        <v>60329</v>
      </c>
      <c t="s">
        <v>8388</v>
      </c>
      <c t="s">
        <v>26038</v>
      </c>
      <c t="s">
        <v>37010</v>
      </c>
      <c s="3">
        <v>31592</v>
      </c>
      <c s="3">
        <v>31592</v>
      </c>
      <c s="3">
        <v>31592</v>
      </c>
      <c>
        <v>0</v>
      </c>
      <c s="3">
        <v>0</v>
      </c>
      <c s="3">
        <v>3057</v>
      </c>
      <c s="3">
        <v>31592</v>
      </c>
      <c r="O2774" s="1" t="str">
        <f ca="1">HYPERLINK("https://web.datatree.com/?/property?propertyId=33019176", "https://web.datatree.com/?/property?propertyId=33019176")</f>
        <v>https://web.datatree.com/?/property?propertyId=33019176</v>
      </c>
      <c r="Q2774" t="s">
        <v>316</v>
      </c>
      <c>
        <v>0.23</v>
      </c>
      <c t="s">
        <v>22490</v>
      </c>
      <c t="s">
        <v>7996</v>
      </c>
      <c t="s">
        <v>63385</v>
      </c>
      <c t="s">
        <v>34124</v>
      </c>
      <c t="s">
        <v>63385</v>
      </c>
      <c t="s">
        <v>44789</v>
      </c>
      <c t="s">
        <v>25017</v>
      </c>
      <c t="s">
        <v>2517</v>
      </c>
      <c t="s">
        <v>39289</v>
      </c>
      <c>
        <v>33909</v>
      </c>
      <c t="s">
        <v>44469</v>
      </c>
      <c t="s">
        <v>48794</v>
      </c>
      <c t="s">
        <v>16527</v>
      </c>
      <c>
        <v>1905</v>
      </c>
      <c r="AI2774" t="s">
        <v>8270</v>
      </c>
      <c t="s">
        <v>40123</v>
      </c>
      <c r="AL2774" t="s">
        <v>7391</v>
      </c>
      <c t="s">
        <v>7391</v>
      </c>
      <c t="s">
        <v>19878</v>
      </c>
      <c t="s">
        <v>53688</v>
      </c>
      <c t="s">
        <v>864</v>
      </c>
      <c t="s">
        <v>3093</v>
      </c>
      <c t="s">
        <v>62008</v>
      </c>
    </row>
    <row>
      <c t="s">
        <v>17594</v>
      </c>
      <c t="s">
        <v>30245</v>
      </c>
      <c t="s">
        <v>24133</v>
      </c>
      <c t="s">
        <v>15985</v>
      </c>
      <c t="s">
        <v>4470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775" s="1" t="str">
        <f ca="1">HYPERLINK("https://web.datatree.com/?/property?propertyId=33019296", "https://web.datatree.com/?/property?propertyId=33019296")</f>
        <v>https://web.datatree.com/?/property?propertyId=33019296</v>
      </c>
      <c r="Q2775" t="s">
        <v>316</v>
      </c>
      <c>
        <v>0.23</v>
      </c>
      <c t="s">
        <v>22490</v>
      </c>
      <c t="s">
        <v>47922</v>
      </c>
      <c t="s">
        <v>48547</v>
      </c>
      <c t="s">
        <v>8637</v>
      </c>
      <c t="s">
        <v>48547</v>
      </c>
      <c t="s">
        <v>32344</v>
      </c>
      <c t="s">
        <v>15510</v>
      </c>
      <c t="s">
        <v>2517</v>
      </c>
      <c t="s">
        <v>39289</v>
      </c>
      <c>
        <v>33909</v>
      </c>
      <c t="s">
        <v>8780</v>
      </c>
      <c t="s">
        <v>48794</v>
      </c>
      <c t="s">
        <v>23511</v>
      </c>
      <c>
        <v>5112</v>
      </c>
      <c r="AI2775" t="s">
        <v>29356</v>
      </c>
      <c t="s">
        <v>45393</v>
      </c>
      <c>
        <v>1</v>
      </c>
      <c t="s">
        <v>23972</v>
      </c>
      <c r="AN2775" t="s">
        <v>19878</v>
      </c>
      <c t="s">
        <v>44913</v>
      </c>
      <c t="s">
        <v>22613</v>
      </c>
      <c t="s">
        <v>3093</v>
      </c>
      <c t="s">
        <v>40598</v>
      </c>
    </row>
    <row>
      <c t="s">
        <v>17594</v>
      </c>
      <c t="s">
        <v>23399</v>
      </c>
      <c t="s">
        <v>22861</v>
      </c>
      <c t="s">
        <v>20554</v>
      </c>
      <c t="s">
        <v>1506</v>
      </c>
      <c s="3">
        <v>8212</v>
      </c>
      <c s="3">
        <v>8212</v>
      </c>
      <c s="3">
        <v>8212</v>
      </c>
      <c>
        <v>0</v>
      </c>
      <c s="3">
        <v>0</v>
      </c>
      <c s="3">
        <v>131.16</v>
      </c>
      <c s="3">
        <v>8212</v>
      </c>
      <c r="O2776" s="1" t="str">
        <f ca="1">HYPERLINK("https://web.datatree.com/?/property?propertyId=33019477", "https://web.datatree.com/?/property?propertyId=33019477")</f>
        <v>https://web.datatree.com/?/property?propertyId=33019477</v>
      </c>
      <c r="Q2776" t="s">
        <v>316</v>
      </c>
      <c>
        <v>0.118</v>
      </c>
      <c t="s">
        <v>5471</v>
      </c>
      <c t="s">
        <v>2625</v>
      </c>
      <c t="s">
        <v>66141</v>
      </c>
      <c t="s">
        <v>12698</v>
      </c>
      <c t="s">
        <v>66141</v>
      </c>
      <c t="s">
        <v>6252</v>
      </c>
      <c t="s">
        <v>13255</v>
      </c>
      <c t="s">
        <v>54524</v>
      </c>
      <c t="s">
        <v>39289</v>
      </c>
      <c>
        <v>33903</v>
      </c>
      <c t="s">
        <v>29588</v>
      </c>
      <c t="s">
        <v>48794</v>
      </c>
      <c t="s">
        <v>55481</v>
      </c>
      <c>
        <v>1521</v>
      </c>
      <c r="AI2776" t="s">
        <v>23517</v>
      </c>
      <c t="s">
        <v>24900</v>
      </c>
      <c r="AL2776" t="s">
        <v>46989</v>
      </c>
      <c t="s">
        <v>46989</v>
      </c>
      <c t="s">
        <v>39289</v>
      </c>
      <c t="s">
        <v>8625</v>
      </c>
      <c t="s">
        <v>52393</v>
      </c>
      <c t="s">
        <v>3093</v>
      </c>
      <c t="s">
        <v>28349</v>
      </c>
    </row>
    <row>
      <c t="s">
        <v>17594</v>
      </c>
      <c t="s">
        <v>12800</v>
      </c>
      <c t="s">
        <v>34134</v>
      </c>
      <c t="s">
        <v>36837</v>
      </c>
      <c t="s">
        <v>16409</v>
      </c>
      <c s="3">
        <v>26249</v>
      </c>
      <c s="3">
        <v>26249</v>
      </c>
      <c s="3">
        <v>26249</v>
      </c>
      <c>
        <v>0</v>
      </c>
      <c s="3">
        <v>0</v>
      </c>
      <c s="3">
        <v>3000.24</v>
      </c>
      <c s="3">
        <v>26249</v>
      </c>
      <c>
        <v>2021</v>
      </c>
      <c>
        <v>3194.75</v>
      </c>
      <c s="1" t="str">
        <f ca="1">HYPERLINK("https://web.datatree.com/?/property?propertyId=33019546", "https://web.datatree.com/?/property?propertyId=33019546")</f>
        <v>https://web.datatree.com/?/property?propertyId=33019546</v>
      </c>
      <c r="Q2777" t="s">
        <v>316</v>
      </c>
      <c>
        <v>0.23</v>
      </c>
      <c t="s">
        <v>22490</v>
      </c>
      <c t="s">
        <v>37244</v>
      </c>
      <c t="s">
        <v>11403</v>
      </c>
      <c t="s">
        <v>26069</v>
      </c>
      <c t="s">
        <v>61367</v>
      </c>
      <c t="s">
        <v>42245</v>
      </c>
      <c t="s">
        <v>47150</v>
      </c>
      <c t="s">
        <v>2517</v>
      </c>
      <c t="s">
        <v>39289</v>
      </c>
      <c>
        <v>33909</v>
      </c>
      <c t="s">
        <v>14210</v>
      </c>
      <c t="s">
        <v>48794</v>
      </c>
      <c t="s">
        <v>5992</v>
      </c>
      <c>
        <v>2488</v>
      </c>
      <c r="AI2777" t="s">
        <v>43302</v>
      </c>
      <c t="s">
        <v>31192</v>
      </c>
      <c r="AL2777" t="s">
        <v>51404</v>
      </c>
      <c t="s">
        <v>51404</v>
      </c>
      <c t="s">
        <v>48152</v>
      </c>
      <c t="s">
        <v>2094</v>
      </c>
      <c t="s">
        <v>45980</v>
      </c>
      <c t="s">
        <v>3093</v>
      </c>
      <c t="s">
        <v>38558</v>
      </c>
    </row>
    <row>
      <c t="s">
        <v>17594</v>
      </c>
      <c t="s">
        <v>53268</v>
      </c>
      <c t="s">
        <v>58462</v>
      </c>
      <c t="s">
        <v>56225</v>
      </c>
      <c t="s">
        <v>33792</v>
      </c>
      <c s="3">
        <v>10600</v>
      </c>
      <c s="3">
        <v>10600</v>
      </c>
      <c s="3">
        <v>9680</v>
      </c>
      <c>
        <v>0</v>
      </c>
      <c s="3">
        <v>0</v>
      </c>
      <c s="3">
        <v>2883.7</v>
      </c>
      <c s="3">
        <v>10600</v>
      </c>
      <c r="O2778" s="1" t="str">
        <f ca="1">HYPERLINK("https://web.datatree.com/?/property?propertyId=33020122", "https://web.datatree.com/?/property?propertyId=33020122")</f>
        <v>https://web.datatree.com/?/property?propertyId=33020122</v>
      </c>
      <c r="Q2778" t="s">
        <v>316</v>
      </c>
      <c>
        <v>0.23</v>
      </c>
      <c t="s">
        <v>6175</v>
      </c>
      <c t="s">
        <v>53569</v>
      </c>
      <c t="s">
        <v>29802</v>
      </c>
      <c t="s">
        <v>52701</v>
      </c>
      <c t="s">
        <v>29802</v>
      </c>
      <c t="s">
        <v>13559</v>
      </c>
      <c t="s">
        <v>18679</v>
      </c>
      <c t="s">
        <v>2517</v>
      </c>
      <c t="s">
        <v>39289</v>
      </c>
      <c>
        <v>33909</v>
      </c>
      <c t="s">
        <v>45838</v>
      </c>
      <c t="s">
        <v>48794</v>
      </c>
      <c t="s">
        <v>50780</v>
      </c>
      <c>
        <v>1233</v>
      </c>
      <c r="AI2778" t="s">
        <v>51694</v>
      </c>
      <c t="s">
        <v>31192</v>
      </c>
      <c>
        <v>104</v>
      </c>
      <c t="s">
        <v>31482</v>
      </c>
      <c t="s">
        <v>31482</v>
      </c>
      <c t="s">
        <v>19878</v>
      </c>
      <c t="s">
        <v>43331</v>
      </c>
      <c t="s">
        <v>7361</v>
      </c>
      <c t="s">
        <v>3093</v>
      </c>
      <c t="s">
        <v>44817</v>
      </c>
    </row>
    <row>
      <c t="s">
        <v>17594</v>
      </c>
      <c t="s">
        <v>18400</v>
      </c>
      <c t="s">
        <v>51705</v>
      </c>
      <c t="s">
        <v>23357</v>
      </c>
      <c t="s">
        <v>826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2779" s="1" t="str">
        <f ca="1">HYPERLINK("https://web.datatree.com/?/property?propertyId=33020160", "https://web.datatree.com/?/property?propertyId=33020160")</f>
        <v>https://web.datatree.com/?/property?propertyId=33020160</v>
      </c>
      <c r="Q2779" t="s">
        <v>316</v>
      </c>
      <c>
        <v>0.231</v>
      </c>
      <c t="s">
        <v>6175</v>
      </c>
      <c t="s">
        <v>27219</v>
      </c>
      <c t="s">
        <v>57601</v>
      </c>
      <c r="X2779" t="s">
        <v>48836</v>
      </c>
      <c t="s">
        <v>46469</v>
      </c>
      <c t="s">
        <v>2517</v>
      </c>
      <c t="s">
        <v>39289</v>
      </c>
      <c>
        <v>33909</v>
      </c>
      <c t="s">
        <v>50418</v>
      </c>
      <c t="s">
        <v>48794</v>
      </c>
      <c t="s">
        <v>41498</v>
      </c>
      <c>
        <v>279</v>
      </c>
      <c r="AI2779" t="s">
        <v>38150</v>
      </c>
      <c t="s">
        <v>45620</v>
      </c>
      <c r="AL2779" t="s">
        <v>66317</v>
      </c>
      <c r="AN2779" t="s">
        <v>50917</v>
      </c>
      <c t="s">
        <v>38547</v>
      </c>
      <c t="s">
        <v>19978</v>
      </c>
      <c t="s">
        <v>3093</v>
      </c>
      <c t="s">
        <v>39372</v>
      </c>
    </row>
    <row>
      <c t="s">
        <v>17594</v>
      </c>
      <c t="s">
        <v>18839</v>
      </c>
      <c t="s">
        <v>25476</v>
      </c>
      <c t="s">
        <v>62706</v>
      </c>
      <c t="s">
        <v>28203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2780" s="1" t="str">
        <f ca="1">HYPERLINK("https://web.datatree.com/?/property?propertyId=33020491", "https://web.datatree.com/?/property?propertyId=33020491")</f>
        <v>https://web.datatree.com/?/property?propertyId=33020491</v>
      </c>
      <c r="Q2780" t="s">
        <v>316</v>
      </c>
      <c>
        <v>0.246</v>
      </c>
      <c t="s">
        <v>5471</v>
      </c>
      <c t="s">
        <v>44457</v>
      </c>
      <c t="s">
        <v>66975</v>
      </c>
      <c t="s">
        <v>42707</v>
      </c>
      <c t="s">
        <v>66975</v>
      </c>
      <c t="s">
        <v>57483</v>
      </c>
      <c t="s">
        <v>51938</v>
      </c>
      <c t="s">
        <v>65059</v>
      </c>
      <c t="s">
        <v>39289</v>
      </c>
      <c>
        <v>33905</v>
      </c>
      <c t="s">
        <v>8255</v>
      </c>
      <c t="s">
        <v>48794</v>
      </c>
      <c t="s">
        <v>59892</v>
      </c>
      <c>
        <v>810</v>
      </c>
      <c r="AH2780" t="s">
        <v>52165</v>
      </c>
      <c t="s">
        <v>18679</v>
      </c>
      <c t="s">
        <v>45393</v>
      </c>
      <c r="AL2780" t="s">
        <v>11713</v>
      </c>
      <c r="AN2780" t="s">
        <v>39289</v>
      </c>
      <c t="s">
        <v>42547</v>
      </c>
      <c t="s">
        <v>45860</v>
      </c>
      <c t="s">
        <v>3093</v>
      </c>
      <c t="s">
        <v>56742</v>
      </c>
    </row>
    <row>
      <c t="s">
        <v>17594</v>
      </c>
      <c t="s">
        <v>8577</v>
      </c>
      <c t="s">
        <v>42528</v>
      </c>
      <c t="s">
        <v>8238</v>
      </c>
      <c t="s">
        <v>63962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2781" s="1" t="str">
        <f ca="1">HYPERLINK("https://web.datatree.com/?/property?propertyId=33020836", "https://web.datatree.com/?/property?propertyId=33020836")</f>
        <v>https://web.datatree.com/?/property?propertyId=33020836</v>
      </c>
      <c r="Q2781" t="s">
        <v>316</v>
      </c>
      <c>
        <v>0.23</v>
      </c>
      <c t="s">
        <v>22490</v>
      </c>
      <c t="s">
        <v>25782</v>
      </c>
      <c t="s">
        <v>35500</v>
      </c>
      <c r="X2781" t="s">
        <v>13958</v>
      </c>
      <c t="s">
        <v>24999</v>
      </c>
      <c t="s">
        <v>2517</v>
      </c>
      <c t="s">
        <v>39289</v>
      </c>
      <c>
        <v>33904</v>
      </c>
      <c t="s">
        <v>11608</v>
      </c>
      <c t="s">
        <v>48794</v>
      </c>
      <c t="s">
        <v>56314</v>
      </c>
      <c>
        <v>564</v>
      </c>
      <c r="AH2781" t="s">
        <v>57851</v>
      </c>
      <c>
        <v>980</v>
      </c>
      <c r="AL2781" t="s">
        <v>42169</v>
      </c>
      <c t="s">
        <v>42169</v>
      </c>
      <c t="s">
        <v>47028</v>
      </c>
      <c t="s">
        <v>5434</v>
      </c>
      <c t="s">
        <v>66797</v>
      </c>
      <c t="s">
        <v>3093</v>
      </c>
      <c t="s">
        <v>14443</v>
      </c>
    </row>
    <row>
      <c t="s">
        <v>17594</v>
      </c>
      <c t="s">
        <v>22697</v>
      </c>
      <c t="s">
        <v>30080</v>
      </c>
      <c t="s">
        <v>12152</v>
      </c>
      <c t="s">
        <v>54456</v>
      </c>
      <c s="3">
        <v>17766</v>
      </c>
      <c s="3">
        <v>17766</v>
      </c>
      <c s="3">
        <v>17766</v>
      </c>
      <c>
        <v>0</v>
      </c>
      <c s="3">
        <v>0</v>
      </c>
      <c s="3">
        <v>791.69</v>
      </c>
      <c s="3">
        <v>17766</v>
      </c>
      <c r="O2782" s="1" t="str">
        <f ca="1">HYPERLINK("https://web.datatree.com/?/property?propertyId=33021769", "https://web.datatree.com/?/property?propertyId=33021769")</f>
        <v>https://web.datatree.com/?/property?propertyId=33021769</v>
      </c>
      <c r="Q2782" t="s">
        <v>316</v>
      </c>
      <c>
        <v>0.384</v>
      </c>
      <c t="s">
        <v>42044</v>
      </c>
      <c t="s">
        <v>42671</v>
      </c>
      <c t="s">
        <v>39287</v>
      </c>
      <c r="X2782" t="s">
        <v>61411</v>
      </c>
      <c t="s">
        <v>39777</v>
      </c>
      <c t="s">
        <v>2517</v>
      </c>
      <c t="s">
        <v>39289</v>
      </c>
      <c>
        <v>33909</v>
      </c>
      <c t="s">
        <v>19538</v>
      </c>
      <c t="s">
        <v>48794</v>
      </c>
      <c t="s">
        <v>14074</v>
      </c>
      <c>
        <v>345</v>
      </c>
      <c r="AI2782" t="s">
        <v>2649</v>
      </c>
      <c t="s">
        <v>53987</v>
      </c>
      <c r="AL2782" t="s">
        <v>29985</v>
      </c>
      <c t="s">
        <v>29985</v>
      </c>
      <c t="s">
        <v>39289</v>
      </c>
      <c t="s">
        <v>63850</v>
      </c>
      <c t="s">
        <v>35679</v>
      </c>
      <c t="s">
        <v>3093</v>
      </c>
      <c t="s">
        <v>52239</v>
      </c>
    </row>
    <row>
      <c t="s">
        <v>17594</v>
      </c>
      <c t="s">
        <v>35067</v>
      </c>
      <c t="s">
        <v>10456</v>
      </c>
      <c t="s">
        <v>22645</v>
      </c>
      <c t="s">
        <v>11648</v>
      </c>
      <c s="3">
        <v>58587</v>
      </c>
      <c s="3">
        <v>47380</v>
      </c>
      <c s="3">
        <v>56739</v>
      </c>
      <c>
        <v>0</v>
      </c>
      <c s="3">
        <v>0</v>
      </c>
      <c s="3">
        <v>859.76</v>
      </c>
      <c s="3">
        <v>58587</v>
      </c>
      <c r="O2783" s="1" t="str">
        <f ca="1">HYPERLINK("https://web.datatree.com/?/property?propertyId=33021999", "https://web.datatree.com/?/property?propertyId=33021999")</f>
        <v>https://web.datatree.com/?/property?propertyId=33021999</v>
      </c>
      <c r="Q2783" t="s">
        <v>316</v>
      </c>
      <c>
        <v>1.05</v>
      </c>
      <c t="s">
        <v>30497</v>
      </c>
      <c t="s">
        <v>32056</v>
      </c>
      <c t="s">
        <v>44640</v>
      </c>
      <c t="s">
        <v>9877</v>
      </c>
      <c t="s">
        <v>44640</v>
      </c>
      <c t="s">
        <v>11204</v>
      </c>
      <c t="s">
        <v>9779</v>
      </c>
      <c t="s">
        <v>65059</v>
      </c>
      <c t="s">
        <v>39289</v>
      </c>
      <c>
        <v>33905</v>
      </c>
      <c>
        <v>33905</v>
      </c>
      <c t="s">
        <v>48794</v>
      </c>
      <c t="s">
        <v>58150</v>
      </c>
      <c>
        <v>800</v>
      </c>
      <c r="AI2783" t="s">
        <v>11818</v>
      </c>
      <c t="s">
        <v>45620</v>
      </c>
      <c r="AL2783" t="s">
        <v>65052</v>
      </c>
      <c t="s">
        <v>40227</v>
      </c>
      <c t="s">
        <v>39289</v>
      </c>
      <c>
        <v>33935</v>
      </c>
      <c t="s">
        <v>56453</v>
      </c>
      <c t="s">
        <v>3093</v>
      </c>
      <c t="s">
        <v>14467</v>
      </c>
      <c>
        <v>1980</v>
      </c>
    </row>
    <row>
      <c t="s">
        <v>17594</v>
      </c>
      <c t="s">
        <v>62719</v>
      </c>
      <c t="s">
        <v>28827</v>
      </c>
      <c t="s">
        <v>14796</v>
      </c>
      <c t="s">
        <v>41247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784" s="1" t="str">
        <f ca="1">HYPERLINK("https://web.datatree.com/?/property?propertyId=33022228", "https://web.datatree.com/?/property?propertyId=33022228")</f>
        <v>https://web.datatree.com/?/property?propertyId=33022228</v>
      </c>
      <c r="Q2784" t="s">
        <v>316</v>
      </c>
      <c>
        <v>0.23</v>
      </c>
      <c t="s">
        <v>6175</v>
      </c>
      <c t="s">
        <v>47977</v>
      </c>
      <c t="s">
        <v>46622</v>
      </c>
      <c r="X2784" t="s">
        <v>44359</v>
      </c>
      <c t="s">
        <v>23517</v>
      </c>
      <c t="s">
        <v>2517</v>
      </c>
      <c t="s">
        <v>39289</v>
      </c>
      <c>
        <v>33909</v>
      </c>
      <c t="s">
        <v>1793</v>
      </c>
      <c t="s">
        <v>48794</v>
      </c>
      <c t="s">
        <v>27983</v>
      </c>
      <c>
        <v>1401</v>
      </c>
      <c r="AI2784" t="s">
        <v>32683</v>
      </c>
      <c t="s">
        <v>1671</v>
      </c>
      <c r="AL2784" t="s">
        <v>17711</v>
      </c>
      <c r="AN2784" t="s">
        <v>10909</v>
      </c>
      <c t="s">
        <v>42025</v>
      </c>
      <c r="AQ2784" t="s">
        <v>27814</v>
      </c>
      <c t="s">
        <v>8205</v>
      </c>
    </row>
    <row>
      <c t="s">
        <v>17594</v>
      </c>
      <c t="s">
        <v>16056</v>
      </c>
      <c t="s">
        <v>8212</v>
      </c>
      <c t="s">
        <v>29696</v>
      </c>
      <c t="s">
        <v>52319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2785" s="1" t="str">
        <f ca="1">HYPERLINK("https://web.datatree.com/?/property?propertyId=33022414", "https://web.datatree.com/?/property?propertyId=33022414")</f>
        <v>https://web.datatree.com/?/property?propertyId=33022414</v>
      </c>
      <c r="Q2785" t="s">
        <v>316</v>
      </c>
      <c>
        <v>0.23</v>
      </c>
      <c t="s">
        <v>22490</v>
      </c>
      <c t="s">
        <v>52880</v>
      </c>
      <c t="s">
        <v>12282</v>
      </c>
      <c r="X2785" t="s">
        <v>50333</v>
      </c>
      <c t="s">
        <v>29190</v>
      </c>
      <c t="s">
        <v>2517</v>
      </c>
      <c t="s">
        <v>39289</v>
      </c>
      <c>
        <v>33909</v>
      </c>
      <c t="s">
        <v>31204</v>
      </c>
      <c t="s">
        <v>48794</v>
      </c>
      <c t="s">
        <v>56457</v>
      </c>
      <c>
        <v>105</v>
      </c>
      <c r="AI2785" t="s">
        <v>20353</v>
      </c>
      <c t="s">
        <v>45393</v>
      </c>
      <c r="AL2785" t="s">
        <v>55646</v>
      </c>
      <c r="AN2785" t="s">
        <v>27747</v>
      </c>
      <c t="s">
        <v>3966</v>
      </c>
      <c t="s">
        <v>1863</v>
      </c>
      <c t="s">
        <v>3093</v>
      </c>
      <c t="s">
        <v>8629</v>
      </c>
    </row>
    <row>
      <c t="s">
        <v>17594</v>
      </c>
      <c t="s">
        <v>33616</v>
      </c>
      <c t="s">
        <v>55573</v>
      </c>
      <c t="s">
        <v>751</v>
      </c>
      <c t="s">
        <v>43876</v>
      </c>
      <c s="3">
        <v>24937</v>
      </c>
      <c s="3">
        <v>24937</v>
      </c>
      <c s="3">
        <v>9438</v>
      </c>
      <c>
        <v>0</v>
      </c>
      <c s="3">
        <v>0</v>
      </c>
      <c s="3">
        <v>2922.77</v>
      </c>
      <c s="3">
        <v>24937</v>
      </c>
      <c>
        <v>2019</v>
      </c>
      <c>
        <v>8409.19</v>
      </c>
      <c s="1" t="str">
        <f ca="1">HYPERLINK("https://web.datatree.com/?/property?propertyId=33022449", "https://web.datatree.com/?/property?propertyId=33022449")</f>
        <v>https://web.datatree.com/?/property?propertyId=33022449</v>
      </c>
      <c r="Q2786" t="s">
        <v>316</v>
      </c>
      <c>
        <v>0.232</v>
      </c>
      <c t="s">
        <v>42044</v>
      </c>
      <c t="s">
        <v>49741</v>
      </c>
      <c t="s">
        <v>25845</v>
      </c>
      <c r="X2786" t="s">
        <v>26116</v>
      </c>
      <c t="s">
        <v>33179</v>
      </c>
      <c t="s">
        <v>2517</v>
      </c>
      <c t="s">
        <v>39289</v>
      </c>
      <c>
        <v>33909</v>
      </c>
      <c t="s">
        <v>66833</v>
      </c>
      <c t="s">
        <v>48794</v>
      </c>
      <c t="s">
        <v>23262</v>
      </c>
      <c>
        <v>650</v>
      </c>
      <c r="AI2786" t="s">
        <v>38865</v>
      </c>
      <c t="s">
        <v>31192</v>
      </c>
      <c r="AL2786" t="s">
        <v>51776</v>
      </c>
      <c t="s">
        <v>51776</v>
      </c>
      <c t="s">
        <v>39289</v>
      </c>
      <c t="s">
        <v>42912</v>
      </c>
      <c t="s">
        <v>40645</v>
      </c>
      <c t="s">
        <v>3093</v>
      </c>
      <c t="s">
        <v>54295</v>
      </c>
    </row>
    <row>
      <c t="s">
        <v>17594</v>
      </c>
      <c t="s">
        <v>44365</v>
      </c>
      <c t="s">
        <v>43539</v>
      </c>
      <c t="s">
        <v>42957</v>
      </c>
      <c t="s">
        <v>3215</v>
      </c>
      <c s="3">
        <v>20002</v>
      </c>
      <c s="3">
        <v>20002</v>
      </c>
      <c s="3">
        <v>9339</v>
      </c>
      <c>
        <v>0</v>
      </c>
      <c s="3">
        <v>0</v>
      </c>
      <c s="3">
        <v>671.29</v>
      </c>
      <c s="3">
        <v>20002</v>
      </c>
      <c r="O2787" s="1" t="str">
        <f ca="1">HYPERLINK("https://web.datatree.com/?/property?propertyId=33022781", "https://web.datatree.com/?/property?propertyId=33022781")</f>
        <v>https://web.datatree.com/?/property?propertyId=33022781</v>
      </c>
      <c r="Q2787" t="s">
        <v>316</v>
      </c>
      <c>
        <v>0.23</v>
      </c>
      <c t="s">
        <v>65422</v>
      </c>
      <c t="s">
        <v>16200</v>
      </c>
      <c t="s">
        <v>2772</v>
      </c>
      <c r="X2787" t="s">
        <v>24024</v>
      </c>
      <c t="s">
        <v>61850</v>
      </c>
      <c t="s">
        <v>2517</v>
      </c>
      <c t="s">
        <v>39289</v>
      </c>
      <c>
        <v>33909</v>
      </c>
      <c t="s">
        <v>10011</v>
      </c>
      <c t="s">
        <v>48794</v>
      </c>
      <c t="s">
        <v>56535</v>
      </c>
      <c>
        <v>1720</v>
      </c>
      <c r="AI2787" t="s">
        <v>13020</v>
      </c>
      <c t="s">
        <v>45393</v>
      </c>
      <c r="AL2787" t="s">
        <v>17781</v>
      </c>
      <c t="s">
        <v>17781</v>
      </c>
      <c t="s">
        <v>39289</v>
      </c>
      <c t="s">
        <v>48698</v>
      </c>
      <c t="s">
        <v>25140</v>
      </c>
      <c t="s">
        <v>3093</v>
      </c>
      <c t="s">
        <v>14237</v>
      </c>
    </row>
    <row>
      <c t="s">
        <v>17594</v>
      </c>
      <c t="s">
        <v>54674</v>
      </c>
      <c t="s">
        <v>55272</v>
      </c>
      <c t="s">
        <v>13755</v>
      </c>
      <c t="s">
        <v>16743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2788" s="1" t="str">
        <f ca="1">HYPERLINK("https://web.datatree.com/?/property?propertyId=33023086", "https://web.datatree.com/?/property?propertyId=33023086")</f>
        <v>https://web.datatree.com/?/property?propertyId=33023086</v>
      </c>
      <c r="Q2788" t="s">
        <v>316</v>
      </c>
      <c>
        <v>0.23</v>
      </c>
      <c t="s">
        <v>6175</v>
      </c>
      <c t="s">
        <v>21379</v>
      </c>
      <c t="s">
        <v>17501</v>
      </c>
      <c r="X2788" t="s">
        <v>58877</v>
      </c>
      <c t="s">
        <v>50440</v>
      </c>
      <c t="s">
        <v>2517</v>
      </c>
      <c t="s">
        <v>39289</v>
      </c>
      <c>
        <v>33909</v>
      </c>
      <c t="s">
        <v>3511</v>
      </c>
      <c t="s">
        <v>48794</v>
      </c>
      <c t="s">
        <v>65860</v>
      </c>
      <c>
        <v>9715</v>
      </c>
      <c r="AH2788" t="s">
        <v>63047</v>
      </c>
      <c t="s">
        <v>55376</v>
      </c>
      <c t="s">
        <v>24900</v>
      </c>
      <c r="AL2788" t="s">
        <v>3402</v>
      </c>
      <c r="AN2788" t="s">
        <v>39289</v>
      </c>
      <c t="s">
        <v>754</v>
      </c>
      <c t="s">
        <v>13175</v>
      </c>
      <c t="s">
        <v>3093</v>
      </c>
      <c t="s">
        <v>15349</v>
      </c>
    </row>
    <row>
      <c t="s">
        <v>17594</v>
      </c>
      <c t="s">
        <v>37801</v>
      </c>
      <c t="s">
        <v>31370</v>
      </c>
      <c t="s">
        <v>7101</v>
      </c>
      <c t="s">
        <v>37841</v>
      </c>
      <c s="3">
        <v>7105</v>
      </c>
      <c s="3">
        <v>7105</v>
      </c>
      <c s="3">
        <v>7105</v>
      </c>
      <c>
        <v>0</v>
      </c>
      <c s="3">
        <v>0</v>
      </c>
      <c s="3">
        <v>122.99</v>
      </c>
      <c s="3">
        <v>7105</v>
      </c>
      <c r="O2789" s="1" t="str">
        <f ca="1">HYPERLINK("https://web.datatree.com/?/property?propertyId=33023346", "https://web.datatree.com/?/property?propertyId=33023346")</f>
        <v>https://web.datatree.com/?/property?propertyId=33023346</v>
      </c>
      <c r="Q2789" t="s">
        <v>316</v>
      </c>
      <c>
        <v>0.124</v>
      </c>
      <c t="s">
        <v>58519</v>
      </c>
      <c t="s">
        <v>36371</v>
      </c>
      <c t="s">
        <v>33440</v>
      </c>
      <c r="X2789" t="s">
        <v>8051</v>
      </c>
      <c t="s">
        <v>36114</v>
      </c>
      <c t="s">
        <v>65059</v>
      </c>
      <c t="s">
        <v>39289</v>
      </c>
      <c>
        <v>33901</v>
      </c>
      <c t="s">
        <v>32798</v>
      </c>
      <c t="s">
        <v>48794</v>
      </c>
      <c t="s">
        <v>24614</v>
      </c>
      <c>
        <v>3501</v>
      </c>
      <c r="AI2789" t="s">
        <v>23646</v>
      </c>
      <c t="s">
        <v>24900</v>
      </c>
      <c r="AL2789" t="s">
        <v>55393</v>
      </c>
      <c t="s">
        <v>523</v>
      </c>
      <c t="s">
        <v>39289</v>
      </c>
      <c t="s">
        <v>7023</v>
      </c>
      <c t="s">
        <v>31626</v>
      </c>
      <c t="s">
        <v>3093</v>
      </c>
      <c t="s">
        <v>12727</v>
      </c>
    </row>
    <row>
      <c t="s">
        <v>17594</v>
      </c>
      <c t="s">
        <v>22609</v>
      </c>
      <c t="s">
        <v>48674</v>
      </c>
      <c t="s">
        <v>40968</v>
      </c>
      <c t="s">
        <v>62907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2790" s="1" t="str">
        <f ca="1">HYPERLINK("https://web.datatree.com/?/property?propertyId=33023363", "https://web.datatree.com/?/property?propertyId=33023363")</f>
        <v>https://web.datatree.com/?/property?propertyId=33023363</v>
      </c>
      <c r="Q2790" t="s">
        <v>316</v>
      </c>
      <c>
        <v>0.23</v>
      </c>
      <c t="s">
        <v>22490</v>
      </c>
      <c t="s">
        <v>21379</v>
      </c>
      <c t="s">
        <v>50890</v>
      </c>
      <c r="X2790" t="s">
        <v>59791</v>
      </c>
      <c t="s">
        <v>53675</v>
      </c>
      <c t="s">
        <v>2517</v>
      </c>
      <c t="s">
        <v>39289</v>
      </c>
      <c>
        <v>33909</v>
      </c>
      <c t="s">
        <v>15795</v>
      </c>
      <c t="s">
        <v>48794</v>
      </c>
      <c t="s">
        <v>23631</v>
      </c>
      <c>
        <v>3</v>
      </c>
      <c r="AI2790" t="s">
        <v>46993</v>
      </c>
      <c t="s">
        <v>45393</v>
      </c>
      <c r="AL2790" t="s">
        <v>60193</v>
      </c>
      <c r="AN2790" t="s">
        <v>19878</v>
      </c>
      <c t="s">
        <v>45090</v>
      </c>
      <c t="s">
        <v>4797</v>
      </c>
      <c t="s">
        <v>3093</v>
      </c>
      <c t="s">
        <v>9027</v>
      </c>
    </row>
    <row>
      <c t="s">
        <v>17594</v>
      </c>
      <c t="s">
        <v>8775</v>
      </c>
      <c t="s">
        <v>17818</v>
      </c>
      <c t="s">
        <v>59897</v>
      </c>
      <c t="s">
        <v>6675</v>
      </c>
      <c s="3">
        <v>251395</v>
      </c>
      <c s="3">
        <v>251395</v>
      </c>
      <c s="3">
        <v>119196</v>
      </c>
      <c>
        <v>0</v>
      </c>
      <c s="3">
        <v>0</v>
      </c>
      <c s="3">
        <v>2519.23</v>
      </c>
      <c s="3">
        <v>251395</v>
      </c>
      <c r="O2791" s="1" t="str">
        <f ca="1">HYPERLINK("https://web.datatree.com/?/property?propertyId=33023433", "https://web.datatree.com/?/property?propertyId=33023433")</f>
        <v>https://web.datatree.com/?/property?propertyId=33023433</v>
      </c>
      <c r="Q2791" t="s">
        <v>316</v>
      </c>
      <c>
        <v>5.04</v>
      </c>
      <c t="s">
        <v>30497</v>
      </c>
      <c t="s">
        <v>39210</v>
      </c>
      <c t="s">
        <v>17537</v>
      </c>
      <c r="W2791" t="s">
        <v>60741</v>
      </c>
      <c t="s">
        <v>65817</v>
      </c>
      <c t="s">
        <v>13036</v>
      </c>
      <c t="s">
        <v>65059</v>
      </c>
      <c t="s">
        <v>39289</v>
      </c>
      <c>
        <v>33905</v>
      </c>
      <c t="s">
        <v>47559</v>
      </c>
      <c t="s">
        <v>48794</v>
      </c>
      <c t="s">
        <v>8058</v>
      </c>
      <c>
        <v>5214</v>
      </c>
      <c r="AI2791" t="s">
        <v>58045</v>
      </c>
      <c t="s">
        <v>55842</v>
      </c>
      <c r="AL2791" t="s">
        <v>15746</v>
      </c>
      <c t="s">
        <v>15746</v>
      </c>
      <c t="s">
        <v>39289</v>
      </c>
      <c t="s">
        <v>13866</v>
      </c>
      <c t="s">
        <v>44428</v>
      </c>
      <c t="s">
        <v>3093</v>
      </c>
      <c t="s">
        <v>2284</v>
      </c>
    </row>
    <row>
      <c t="s">
        <v>17594</v>
      </c>
      <c t="s">
        <v>15003</v>
      </c>
      <c t="s">
        <v>62825</v>
      </c>
      <c t="s">
        <v>64490</v>
      </c>
      <c t="s">
        <v>18758</v>
      </c>
      <c s="3">
        <v>2100</v>
      </c>
      <c s="3">
        <v>2100</v>
      </c>
      <c s="3">
        <v>310</v>
      </c>
      <c>
        <v>0</v>
      </c>
      <c s="3">
        <v>0</v>
      </c>
      <c s="3">
        <v>251.7</v>
      </c>
      <c s="3">
        <v>2100</v>
      </c>
      <c>
        <v>2014</v>
      </c>
      <c>
        <v>5070.29</v>
      </c>
      <c s="1" t="str">
        <f ca="1">HYPERLINK("https://web.datatree.com/?/property?propertyId=33023562", "https://web.datatree.com/?/property?propertyId=33023562")</f>
        <v>https://web.datatree.com/?/property?propertyId=33023562</v>
      </c>
      <c r="Q2792" t="s">
        <v>316</v>
      </c>
      <c>
        <v>0.072</v>
      </c>
      <c t="s">
        <v>42044</v>
      </c>
      <c t="s">
        <v>59201</v>
      </c>
      <c t="s">
        <v>50673</v>
      </c>
      <c t="s">
        <v>56411</v>
      </c>
      <c t="s">
        <v>50673</v>
      </c>
      <c t="s">
        <v>28228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27</v>
      </c>
      <c r="AI2792" t="s">
        <v>33910</v>
      </c>
      <c t="s">
        <v>24900</v>
      </c>
      <c r="AL2792" t="s">
        <v>24596</v>
      </c>
      <c r="AN2792" t="s">
        <v>50917</v>
      </c>
      <c t="s">
        <v>44496</v>
      </c>
      <c t="s">
        <v>48506</v>
      </c>
      <c t="s">
        <v>3093</v>
      </c>
      <c t="s">
        <v>22303</v>
      </c>
    </row>
    <row>
      <c t="s">
        <v>17594</v>
      </c>
      <c t="s">
        <v>17017</v>
      </c>
      <c t="s">
        <v>49997</v>
      </c>
      <c t="s">
        <v>23515</v>
      </c>
      <c t="s">
        <v>42274</v>
      </c>
      <c s="3">
        <v>20908</v>
      </c>
      <c s="3">
        <v>20908</v>
      </c>
      <c s="3">
        <v>8800</v>
      </c>
      <c>
        <v>0</v>
      </c>
      <c s="3">
        <v>0</v>
      </c>
      <c s="3">
        <v>598.34</v>
      </c>
      <c s="3">
        <v>20908</v>
      </c>
      <c r="O2793" s="1" t="str">
        <f ca="1">HYPERLINK("https://web.datatree.com/?/property?propertyId=33024005", "https://web.datatree.com/?/property?propertyId=33024005")</f>
        <v>https://web.datatree.com/?/property?propertyId=33024005</v>
      </c>
      <c r="Q2793" t="s">
        <v>316</v>
      </c>
      <c>
        <v>0.241</v>
      </c>
      <c t="s">
        <v>22490</v>
      </c>
      <c t="s">
        <v>20638</v>
      </c>
      <c t="s">
        <v>35583</v>
      </c>
      <c r="X2793" t="s">
        <v>39181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31052</v>
      </c>
      <c>
        <v>111</v>
      </c>
      <c r="AI2793" t="s">
        <v>58797</v>
      </c>
      <c t="s">
        <v>24900</v>
      </c>
      <c t="s">
        <v>41368</v>
      </c>
      <c t="s">
        <v>13397</v>
      </c>
      <c r="AN2793" t="s">
        <v>50917</v>
      </c>
      <c t="s">
        <v>7081</v>
      </c>
      <c t="s">
        <v>38085</v>
      </c>
      <c t="s">
        <v>3093</v>
      </c>
      <c t="s">
        <v>14754</v>
      </c>
    </row>
    <row>
      <c t="s">
        <v>17594</v>
      </c>
      <c t="s">
        <v>16404</v>
      </c>
      <c t="s">
        <v>63169</v>
      </c>
      <c t="s">
        <v>65452</v>
      </c>
      <c t="s">
        <v>6377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2794" s="1" t="str">
        <f ca="1">HYPERLINK("https://web.datatree.com/?/property?propertyId=33024355", "https://web.datatree.com/?/property?propertyId=33024355")</f>
        <v>https://web.datatree.com/?/property?propertyId=33024355</v>
      </c>
      <c r="Q2794" t="s">
        <v>316</v>
      </c>
      <c>
        <v>0.23</v>
      </c>
      <c t="s">
        <v>22490</v>
      </c>
      <c t="s">
        <v>10883</v>
      </c>
      <c t="s">
        <v>30886</v>
      </c>
      <c r="X2794" t="s">
        <v>45824</v>
      </c>
      <c t="s">
        <v>23517</v>
      </c>
      <c t="s">
        <v>2517</v>
      </c>
      <c t="s">
        <v>39289</v>
      </c>
      <c>
        <v>33909</v>
      </c>
      <c t="s">
        <v>65568</v>
      </c>
      <c t="s">
        <v>48794</v>
      </c>
      <c t="s">
        <v>47913</v>
      </c>
      <c>
        <v>26</v>
      </c>
      <c r="AI2794" t="s">
        <v>34261</v>
      </c>
      <c r="AL2794" t="s">
        <v>35329</v>
      </c>
      <c r="AN2794" t="s">
        <v>2120</v>
      </c>
      <c>
        <v>9366</v>
      </c>
      <c r="AQ2794" t="s">
        <v>3093</v>
      </c>
      <c t="s">
        <v>4444</v>
      </c>
    </row>
    <row>
      <c t="s">
        <v>17594</v>
      </c>
      <c t="s">
        <v>59793</v>
      </c>
      <c t="s">
        <v>66356</v>
      </c>
      <c t="s">
        <v>55224</v>
      </c>
      <c t="s">
        <v>2327</v>
      </c>
      <c s="3">
        <v>71087</v>
      </c>
      <c s="3">
        <v>63500</v>
      </c>
      <c s="3">
        <v>68846</v>
      </c>
      <c>
        <v>0</v>
      </c>
      <c s="3">
        <v>0</v>
      </c>
      <c s="3">
        <v>1048.07</v>
      </c>
      <c s="3">
        <v>71087</v>
      </c>
      <c r="O2795" s="1" t="str">
        <f ca="1">HYPERLINK("https://web.datatree.com/?/property?propertyId=33024358", "https://web.datatree.com/?/property?propertyId=33024358")</f>
        <v>https://web.datatree.com/?/property?propertyId=33024358</v>
      </c>
      <c r="Q2795" t="s">
        <v>316</v>
      </c>
      <c>
        <v>0.094</v>
      </c>
      <c t="s">
        <v>26492</v>
      </c>
      <c t="s">
        <v>60672</v>
      </c>
      <c t="s">
        <v>21147</v>
      </c>
      <c t="s">
        <v>60243</v>
      </c>
      <c t="s">
        <v>21175</v>
      </c>
      <c t="s">
        <v>7725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67091</v>
      </c>
      <c>
        <v>5081</v>
      </c>
      <c r="AI2795" t="s">
        <v>35296</v>
      </c>
      <c t="s">
        <v>29535</v>
      </c>
      <c>
        <v>407</v>
      </c>
      <c t="s">
        <v>33551</v>
      </c>
      <c t="s">
        <v>40227</v>
      </c>
      <c t="s">
        <v>58811</v>
      </c>
      <c t="s">
        <v>14994</v>
      </c>
      <c r="AQ2795" t="s">
        <v>27814</v>
      </c>
      <c t="s">
        <v>41966</v>
      </c>
    </row>
    <row>
      <c t="s">
        <v>17594</v>
      </c>
      <c t="s">
        <v>17012</v>
      </c>
      <c t="s">
        <v>45931</v>
      </c>
      <c t="s">
        <v>43189</v>
      </c>
      <c t="s">
        <v>34343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796" s="1" t="str">
        <f ca="1">HYPERLINK("https://web.datatree.com/?/property?propertyId=33024741", "https://web.datatree.com/?/property?propertyId=33024741")</f>
        <v>https://web.datatree.com/?/property?propertyId=33024741</v>
      </c>
      <c r="Q2796" t="s">
        <v>316</v>
      </c>
      <c>
        <v>0.23</v>
      </c>
      <c t="s">
        <v>6175</v>
      </c>
      <c t="s">
        <v>17609</v>
      </c>
      <c t="s">
        <v>203</v>
      </c>
      <c t="s">
        <v>64649</v>
      </c>
      <c t="s">
        <v>203</v>
      </c>
      <c t="s">
        <v>22538</v>
      </c>
      <c t="s">
        <v>49674</v>
      </c>
      <c t="s">
        <v>2517</v>
      </c>
      <c t="s">
        <v>39289</v>
      </c>
      <c>
        <v>33909</v>
      </c>
      <c t="s">
        <v>63952</v>
      </c>
      <c t="s">
        <v>48794</v>
      </c>
      <c t="s">
        <v>16324</v>
      </c>
      <c>
        <v>151</v>
      </c>
      <c r="AI2796" t="s">
        <v>64500</v>
      </c>
      <c t="s">
        <v>31192</v>
      </c>
      <c r="AL2796" t="s">
        <v>912</v>
      </c>
      <c r="AN2796" t="s">
        <v>22275</v>
      </c>
      <c t="s">
        <v>24495</v>
      </c>
      <c t="s">
        <v>22455</v>
      </c>
      <c t="s">
        <v>3093</v>
      </c>
      <c t="s">
        <v>49477</v>
      </c>
    </row>
    <row>
      <c t="s">
        <v>17594</v>
      </c>
      <c t="s">
        <v>29300</v>
      </c>
      <c t="s">
        <v>37346</v>
      </c>
      <c t="s">
        <v>41751</v>
      </c>
      <c t="s">
        <v>55857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2797" s="1" t="str">
        <f ca="1">HYPERLINK("https://web.datatree.com/?/property?propertyId=33024769", "https://web.datatree.com/?/property?propertyId=33024769")</f>
        <v>https://web.datatree.com/?/property?propertyId=33024769</v>
      </c>
      <c r="Q2797" t="s">
        <v>316</v>
      </c>
      <c>
        <v>0.246</v>
      </c>
      <c t="s">
        <v>5471</v>
      </c>
      <c t="s">
        <v>5343</v>
      </c>
      <c t="s">
        <v>65164</v>
      </c>
      <c t="s">
        <v>37928</v>
      </c>
      <c t="s">
        <v>30392</v>
      </c>
      <c t="s">
        <v>36817</v>
      </c>
      <c t="s">
        <v>61415</v>
      </c>
      <c t="s">
        <v>65059</v>
      </c>
      <c t="s">
        <v>39289</v>
      </c>
      <c>
        <v>33905</v>
      </c>
      <c t="s">
        <v>52937</v>
      </c>
      <c t="s">
        <v>48794</v>
      </c>
      <c t="s">
        <v>29841</v>
      </c>
      <c>
        <v>713</v>
      </c>
      <c r="AI2797" t="s">
        <v>22542</v>
      </c>
      <c t="s">
        <v>31192</v>
      </c>
      <c r="AL2797" t="s">
        <v>54122</v>
      </c>
      <c r="AN2797" t="s">
        <v>26443</v>
      </c>
      <c t="s">
        <v>40363</v>
      </c>
      <c t="s">
        <v>61564</v>
      </c>
      <c t="s">
        <v>3093</v>
      </c>
      <c t="s">
        <v>51220</v>
      </c>
    </row>
    <row>
      <c t="s">
        <v>17594</v>
      </c>
      <c t="s">
        <v>1340</v>
      </c>
      <c t="s">
        <v>8003</v>
      </c>
      <c t="s">
        <v>1405</v>
      </c>
      <c t="s">
        <v>8210</v>
      </c>
      <c s="3">
        <v>21600</v>
      </c>
      <c s="3">
        <v>21600</v>
      </c>
      <c s="3">
        <v>9900</v>
      </c>
      <c>
        <v>0</v>
      </c>
      <c s="3">
        <v>0</v>
      </c>
      <c s="3">
        <v>690.24</v>
      </c>
      <c s="3">
        <v>21600</v>
      </c>
      <c r="O2798" s="1" t="str">
        <f ca="1">HYPERLINK("https://web.datatree.com/?/property?propertyId=33025868", "https://web.datatree.com/?/property?propertyId=33025868")</f>
        <v>https://web.datatree.com/?/property?propertyId=33025868</v>
      </c>
      <c r="Q2798" t="s">
        <v>316</v>
      </c>
      <c>
        <v>0.344</v>
      </c>
      <c t="s">
        <v>6175</v>
      </c>
      <c t="s">
        <v>24179</v>
      </c>
      <c t="s">
        <v>20110</v>
      </c>
      <c t="s">
        <v>18654</v>
      </c>
      <c t="s">
        <v>20110</v>
      </c>
      <c t="s">
        <v>4888</v>
      </c>
      <c t="s">
        <v>66701</v>
      </c>
      <c t="s">
        <v>2517</v>
      </c>
      <c t="s">
        <v>39289</v>
      </c>
      <c>
        <v>33909</v>
      </c>
      <c t="s">
        <v>883</v>
      </c>
      <c t="s">
        <v>48794</v>
      </c>
      <c t="s">
        <v>44519</v>
      </c>
      <c>
        <v>7420</v>
      </c>
      <c r="AI2798" t="s">
        <v>452</v>
      </c>
      <c t="s">
        <v>45393</v>
      </c>
      <c r="AL2798" t="s">
        <v>35792</v>
      </c>
      <c r="AN2798" t="s">
        <v>51087</v>
      </c>
      <c t="s">
        <v>20520</v>
      </c>
      <c t="s">
        <v>4797</v>
      </c>
      <c t="s">
        <v>3093</v>
      </c>
      <c t="s">
        <v>58012</v>
      </c>
    </row>
    <row>
      <c t="s">
        <v>17594</v>
      </c>
      <c t="s">
        <v>13245</v>
      </c>
      <c t="s">
        <v>54337</v>
      </c>
      <c t="s">
        <v>47228</v>
      </c>
      <c t="s">
        <v>33645</v>
      </c>
      <c s="3">
        <v>16800</v>
      </c>
      <c s="3">
        <v>16800</v>
      </c>
      <c s="3">
        <v>16800</v>
      </c>
      <c>
        <v>0</v>
      </c>
      <c s="3">
        <v>0</v>
      </c>
      <c s="3">
        <v>1034.09</v>
      </c>
      <c s="3">
        <v>16800</v>
      </c>
      <c r="O2799" s="1" t="str">
        <f ca="1">HYPERLINK("https://web.datatree.com/?/property?propertyId=33025959", "https://web.datatree.com/?/property?propertyId=33025959")</f>
        <v>https://web.datatree.com/?/property?propertyId=33025959</v>
      </c>
      <c r="Q2799" t="s">
        <v>316</v>
      </c>
      <c>
        <v>0.585</v>
      </c>
      <c t="s">
        <v>42044</v>
      </c>
      <c t="s">
        <v>552</v>
      </c>
      <c t="s">
        <v>31111</v>
      </c>
      <c r="X2799" t="s">
        <v>56006</v>
      </c>
      <c t="s">
        <v>61850</v>
      </c>
      <c t="s">
        <v>2517</v>
      </c>
      <c t="s">
        <v>39289</v>
      </c>
      <c>
        <v>33909</v>
      </c>
      <c t="s">
        <v>18723</v>
      </c>
      <c t="s">
        <v>48794</v>
      </c>
      <c t="s">
        <v>13384</v>
      </c>
      <c>
        <v>1722</v>
      </c>
      <c r="AI2799" t="s">
        <v>21018</v>
      </c>
      <c t="s">
        <v>31192</v>
      </c>
      <c r="AL2799" t="s">
        <v>42128</v>
      </c>
      <c t="s">
        <v>42128</v>
      </c>
      <c t="s">
        <v>19878</v>
      </c>
      <c t="s">
        <v>20416</v>
      </c>
      <c t="s">
        <v>5652</v>
      </c>
      <c t="s">
        <v>3093</v>
      </c>
      <c t="s">
        <v>9873</v>
      </c>
    </row>
    <row>
      <c t="s">
        <v>17594</v>
      </c>
      <c t="s">
        <v>48043</v>
      </c>
      <c t="s">
        <v>11975</v>
      </c>
      <c t="s">
        <v>3964</v>
      </c>
      <c t="s">
        <v>35430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800" s="1" t="str">
        <f ca="1">HYPERLINK("https://web.datatree.com/?/property?propertyId=33026266", "https://web.datatree.com/?/property?propertyId=33026266")</f>
        <v>https://web.datatree.com/?/property?propertyId=33026266</v>
      </c>
      <c r="Q2800" t="s">
        <v>316</v>
      </c>
      <c>
        <v>0.23</v>
      </c>
      <c t="s">
        <v>22490</v>
      </c>
      <c t="s">
        <v>48545</v>
      </c>
      <c t="s">
        <v>53284</v>
      </c>
      <c t="s">
        <v>64043</v>
      </c>
      <c t="s">
        <v>53284</v>
      </c>
      <c t="s">
        <v>45275</v>
      </c>
      <c t="s">
        <v>15510</v>
      </c>
      <c t="s">
        <v>2517</v>
      </c>
      <c t="s">
        <v>39289</v>
      </c>
      <c>
        <v>33909</v>
      </c>
      <c t="s">
        <v>58320</v>
      </c>
      <c t="s">
        <v>48794</v>
      </c>
      <c t="s">
        <v>34682</v>
      </c>
      <c>
        <v>71</v>
      </c>
      <c r="AI2800" t="s">
        <v>37123</v>
      </c>
      <c t="s">
        <v>31192</v>
      </c>
      <c r="AL2800" t="s">
        <v>20144</v>
      </c>
      <c r="AN2800" t="s">
        <v>36633</v>
      </c>
      <c t="s">
        <v>17047</v>
      </c>
      <c t="s">
        <v>1951</v>
      </c>
      <c t="s">
        <v>3093</v>
      </c>
      <c t="s">
        <v>2118</v>
      </c>
    </row>
    <row>
      <c t="s">
        <v>17594</v>
      </c>
      <c t="s">
        <v>61795</v>
      </c>
      <c t="s">
        <v>61871</v>
      </c>
      <c t="s">
        <v>678</v>
      </c>
      <c t="s">
        <v>15411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2801" s="1" t="str">
        <f ca="1">HYPERLINK("https://web.datatree.com/?/property?propertyId=33026945", "https://web.datatree.com/?/property?propertyId=33026945")</f>
        <v>https://web.datatree.com/?/property?propertyId=33026945</v>
      </c>
      <c r="Q2801" t="s">
        <v>316</v>
      </c>
      <c>
        <v>0.23</v>
      </c>
      <c t="s">
        <v>6175</v>
      </c>
      <c t="s">
        <v>3293</v>
      </c>
      <c t="s">
        <v>1511</v>
      </c>
      <c t="s">
        <v>2036</v>
      </c>
      <c t="s">
        <v>1511</v>
      </c>
      <c t="s">
        <v>55048</v>
      </c>
      <c t="s">
        <v>2619</v>
      </c>
      <c t="s">
        <v>2517</v>
      </c>
      <c t="s">
        <v>39289</v>
      </c>
      <c>
        <v>33909</v>
      </c>
      <c t="s">
        <v>25157</v>
      </c>
      <c t="s">
        <v>48794</v>
      </c>
      <c t="s">
        <v>390</v>
      </c>
      <c>
        <v>18001</v>
      </c>
      <c r="AI2801" t="s">
        <v>41872</v>
      </c>
      <c t="s">
        <v>31192</v>
      </c>
      <c r="AL2801" t="s">
        <v>11713</v>
      </c>
      <c r="AN2801" t="s">
        <v>39289</v>
      </c>
      <c t="s">
        <v>2235</v>
      </c>
      <c t="s">
        <v>42847</v>
      </c>
      <c t="s">
        <v>3093</v>
      </c>
      <c t="s">
        <v>28365</v>
      </c>
    </row>
    <row>
      <c t="s">
        <v>17594</v>
      </c>
      <c t="s">
        <v>20124</v>
      </c>
      <c t="s">
        <v>19304</v>
      </c>
      <c t="s">
        <v>33402</v>
      </c>
      <c t="s">
        <v>42641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2802" s="1" t="str">
        <f ca="1">HYPERLINK("https://web.datatree.com/?/property?propertyId=33027736", "https://web.datatree.com/?/property?propertyId=33027736")</f>
        <v>https://web.datatree.com/?/property?propertyId=33027736</v>
      </c>
      <c r="Q2802" t="s">
        <v>316</v>
      </c>
      <c>
        <v>0.255</v>
      </c>
      <c t="s">
        <v>6175</v>
      </c>
      <c t="s">
        <v>54895</v>
      </c>
      <c t="s">
        <v>400</v>
      </c>
      <c t="s">
        <v>12670</v>
      </c>
      <c t="s">
        <v>20597</v>
      </c>
      <c t="s">
        <v>30287</v>
      </c>
      <c t="s">
        <v>34731</v>
      </c>
      <c t="s">
        <v>2517</v>
      </c>
      <c t="s">
        <v>39289</v>
      </c>
      <c>
        <v>33909</v>
      </c>
      <c t="s">
        <v>52021</v>
      </c>
      <c t="s">
        <v>48794</v>
      </c>
      <c t="s">
        <v>16773</v>
      </c>
      <c>
        <v>2664</v>
      </c>
      <c r="AI2802" t="s">
        <v>1031</v>
      </c>
      <c r="AK2802" t="s">
        <v>53402</v>
      </c>
      <c t="s">
        <v>6144</v>
      </c>
      <c r="AN2802" t="s">
        <v>50917</v>
      </c>
      <c t="s">
        <v>42216</v>
      </c>
      <c t="s">
        <v>11138</v>
      </c>
      <c t="s">
        <v>3093</v>
      </c>
      <c t="s">
        <v>51591</v>
      </c>
    </row>
    <row>
      <c t="s">
        <v>17594</v>
      </c>
      <c t="s">
        <v>61977</v>
      </c>
      <c t="s">
        <v>2928</v>
      </c>
      <c t="s">
        <v>48108</v>
      </c>
      <c t="s">
        <v>25091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2803" s="1" t="str">
        <f ca="1">HYPERLINK("https://web.datatree.com/?/property?propertyId=33027806", "https://web.datatree.com/?/property?propertyId=33027806")</f>
        <v>https://web.datatree.com/?/property?propertyId=33027806</v>
      </c>
      <c r="Q2803" t="s">
        <v>316</v>
      </c>
      <c>
        <v>0.23</v>
      </c>
      <c t="s">
        <v>6175</v>
      </c>
      <c t="s">
        <v>2140</v>
      </c>
      <c t="s">
        <v>7466</v>
      </c>
      <c t="s">
        <v>41648</v>
      </c>
      <c t="s">
        <v>7466</v>
      </c>
      <c t="s">
        <v>49550</v>
      </c>
      <c t="s">
        <v>34136</v>
      </c>
      <c t="s">
        <v>2517</v>
      </c>
      <c t="s">
        <v>39289</v>
      </c>
      <c>
        <v>33909</v>
      </c>
      <c t="s">
        <v>21605</v>
      </c>
      <c t="s">
        <v>48794</v>
      </c>
      <c t="s">
        <v>39370</v>
      </c>
      <c>
        <v>12824</v>
      </c>
      <c r="AI2803" t="s">
        <v>33312</v>
      </c>
      <c t="s">
        <v>45393</v>
      </c>
      <c r="AL2803" t="s">
        <v>25636</v>
      </c>
      <c r="AN2803" t="s">
        <v>14798</v>
      </c>
      <c t="s">
        <v>53912</v>
      </c>
      <c t="s">
        <v>50779</v>
      </c>
      <c t="s">
        <v>3093</v>
      </c>
      <c t="s">
        <v>55162</v>
      </c>
    </row>
    <row>
      <c t="s">
        <v>17594</v>
      </c>
      <c t="s">
        <v>50385</v>
      </c>
      <c t="s">
        <v>997</v>
      </c>
      <c t="s">
        <v>31641</v>
      </c>
      <c t="s">
        <v>14838</v>
      </c>
      <c s="3">
        <v>45000</v>
      </c>
      <c s="3">
        <v>45000</v>
      </c>
      <c s="3">
        <v>19800</v>
      </c>
      <c>
        <v>0</v>
      </c>
      <c s="3">
        <v>0</v>
      </c>
      <c s="3">
        <v>827.25</v>
      </c>
      <c s="3">
        <v>45000</v>
      </c>
      <c r="O2804" s="1" t="str">
        <f ca="1">HYPERLINK("https://web.datatree.com/?/property?propertyId=33027815", "https://web.datatree.com/?/property?propertyId=33027815")</f>
        <v>https://web.datatree.com/?/property?propertyId=33027815</v>
      </c>
      <c r="Q2804" t="s">
        <v>316</v>
      </c>
      <c>
        <v>0.23</v>
      </c>
      <c t="s">
        <v>22490</v>
      </c>
      <c t="s">
        <v>42321</v>
      </c>
      <c t="s">
        <v>37991</v>
      </c>
      <c t="s">
        <v>33213</v>
      </c>
      <c t="s">
        <v>37991</v>
      </c>
      <c t="s">
        <v>58304</v>
      </c>
      <c t="s">
        <v>53675</v>
      </c>
      <c t="s">
        <v>2517</v>
      </c>
      <c t="s">
        <v>39289</v>
      </c>
      <c>
        <v>33909</v>
      </c>
      <c t="s">
        <v>62395</v>
      </c>
      <c t="s">
        <v>48794</v>
      </c>
      <c t="s">
        <v>21511</v>
      </c>
      <c>
        <v>18290</v>
      </c>
      <c r="AI2804" t="s">
        <v>18679</v>
      </c>
      <c t="s">
        <v>45393</v>
      </c>
      <c r="AL2804" t="s">
        <v>25857</v>
      </c>
      <c t="s">
        <v>25857</v>
      </c>
      <c t="s">
        <v>39289</v>
      </c>
      <c t="s">
        <v>55758</v>
      </c>
      <c t="s">
        <v>17380</v>
      </c>
      <c t="s">
        <v>3093</v>
      </c>
      <c t="s">
        <v>57329</v>
      </c>
    </row>
    <row>
      <c t="s">
        <v>17594</v>
      </c>
      <c t="s">
        <v>63419</v>
      </c>
      <c t="s">
        <v>3531</v>
      </c>
      <c t="s">
        <v>17926</v>
      </c>
      <c t="s">
        <v>59514</v>
      </c>
      <c s="3">
        <v>24367</v>
      </c>
      <c s="3">
        <v>24367</v>
      </c>
      <c s="3">
        <v>9680</v>
      </c>
      <c>
        <v>0</v>
      </c>
      <c s="3">
        <v>0</v>
      </c>
      <c s="3">
        <v>702.43</v>
      </c>
      <c s="3">
        <v>24367</v>
      </c>
      <c r="O2805" s="1" t="str">
        <f ca="1">HYPERLINK("https://web.datatree.com/?/property?propertyId=33028303", "https://web.datatree.com/?/property?propertyId=33028303")</f>
        <v>https://web.datatree.com/?/property?propertyId=33028303</v>
      </c>
      <c r="Q2805" t="s">
        <v>316</v>
      </c>
      <c>
        <v>0.344</v>
      </c>
      <c t="s">
        <v>22490</v>
      </c>
      <c t="s">
        <v>17886</v>
      </c>
      <c t="s">
        <v>63624</v>
      </c>
      <c t="s">
        <v>60243</v>
      </c>
      <c t="s">
        <v>63624</v>
      </c>
      <c t="s">
        <v>16475</v>
      </c>
      <c t="s">
        <v>2626</v>
      </c>
      <c t="s">
        <v>2517</v>
      </c>
      <c t="s">
        <v>39289</v>
      </c>
      <c>
        <v>33909</v>
      </c>
      <c t="s">
        <v>13021</v>
      </c>
      <c t="s">
        <v>48794</v>
      </c>
      <c t="s">
        <v>24633</v>
      </c>
      <c>
        <v>64</v>
      </c>
      <c r="AI2805" t="s">
        <v>17797</v>
      </c>
      <c r="AL2805" t="s">
        <v>7897</v>
      </c>
      <c r="AN2805" t="s">
        <v>50917</v>
      </c>
      <c>
        <v>13122</v>
      </c>
      <c r="AR2805" t="s">
        <v>11089</v>
      </c>
    </row>
    <row>
      <c t="s">
        <v>17594</v>
      </c>
      <c t="s">
        <v>11165</v>
      </c>
      <c t="s">
        <v>26359</v>
      </c>
      <c t="s">
        <v>46068</v>
      </c>
      <c t="s">
        <v>51325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2806" s="1" t="str">
        <f ca="1">HYPERLINK("https://web.datatree.com/?/property?propertyId=33028406", "https://web.datatree.com/?/property?propertyId=33028406")</f>
        <v>https://web.datatree.com/?/property?propertyId=33028406</v>
      </c>
      <c r="Q2806" t="s">
        <v>316</v>
      </c>
      <c>
        <v>0.23</v>
      </c>
      <c t="s">
        <v>22490</v>
      </c>
      <c t="s">
        <v>30040</v>
      </c>
      <c t="s">
        <v>25189</v>
      </c>
      <c t="s">
        <v>56004</v>
      </c>
      <c t="s">
        <v>25189</v>
      </c>
      <c t="s">
        <v>46866</v>
      </c>
      <c t="s">
        <v>53675</v>
      </c>
      <c t="s">
        <v>2517</v>
      </c>
      <c t="s">
        <v>39289</v>
      </c>
      <c>
        <v>33909</v>
      </c>
      <c t="s">
        <v>2114</v>
      </c>
      <c t="s">
        <v>48794</v>
      </c>
      <c t="s">
        <v>53510</v>
      </c>
      <c>
        <v>616</v>
      </c>
      <c r="AI2806" t="s">
        <v>56570</v>
      </c>
      <c t="s">
        <v>45620</v>
      </c>
      <c r="AL2806" t="s">
        <v>20131</v>
      </c>
      <c r="AN2806" t="s">
        <v>26016</v>
      </c>
      <c t="s">
        <v>52693</v>
      </c>
      <c t="s">
        <v>14695</v>
      </c>
      <c t="s">
        <v>3093</v>
      </c>
      <c t="s">
        <v>61703</v>
      </c>
    </row>
    <row>
      <c t="s">
        <v>17594</v>
      </c>
      <c t="s">
        <v>44178</v>
      </c>
      <c t="s">
        <v>14730</v>
      </c>
      <c t="s">
        <v>36974</v>
      </c>
      <c t="s">
        <v>46745</v>
      </c>
      <c s="3">
        <v>19990</v>
      </c>
      <c s="3">
        <v>19990</v>
      </c>
      <c s="3">
        <v>10450</v>
      </c>
      <c>
        <v>0</v>
      </c>
      <c s="3">
        <v>0</v>
      </c>
      <c s="3">
        <v>597.57</v>
      </c>
      <c s="3">
        <v>19990</v>
      </c>
      <c r="O2807" s="1" t="str">
        <f ca="1">HYPERLINK("https://web.datatree.com/?/property?propertyId=33029611", "https://web.datatree.com/?/property?propertyId=33029611")</f>
        <v>https://web.datatree.com/?/property?propertyId=33029611</v>
      </c>
      <c r="Q2807" t="s">
        <v>316</v>
      </c>
      <c>
        <v>0.23</v>
      </c>
      <c t="s">
        <v>22490</v>
      </c>
      <c t="s">
        <v>552</v>
      </c>
      <c t="s">
        <v>52794</v>
      </c>
      <c r="X2807" t="s">
        <v>32680</v>
      </c>
      <c t="s">
        <v>44061</v>
      </c>
      <c t="s">
        <v>2517</v>
      </c>
      <c t="s">
        <v>39289</v>
      </c>
      <c>
        <v>33909</v>
      </c>
      <c t="s">
        <v>53541</v>
      </c>
      <c t="s">
        <v>48794</v>
      </c>
      <c t="s">
        <v>16007</v>
      </c>
      <c>
        <v>114</v>
      </c>
      <c r="AI2807" t="s">
        <v>32018</v>
      </c>
      <c t="s">
        <v>45620</v>
      </c>
      <c r="AL2807" t="s">
        <v>19948</v>
      </c>
      <c t="s">
        <v>19948</v>
      </c>
      <c t="s">
        <v>50917</v>
      </c>
      <c t="s">
        <v>39654</v>
      </c>
      <c t="s">
        <v>33029</v>
      </c>
      <c t="s">
        <v>3093</v>
      </c>
      <c t="s">
        <v>57600</v>
      </c>
    </row>
    <row>
      <c t="s">
        <v>17594</v>
      </c>
      <c t="s">
        <v>25457</v>
      </c>
      <c t="s">
        <v>15970</v>
      </c>
      <c t="s">
        <v>61580</v>
      </c>
      <c t="s">
        <v>11960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2808" s="1" t="str">
        <f ca="1">HYPERLINK("https://web.datatree.com/?/property?propertyId=33029680", "https://web.datatree.com/?/property?propertyId=33029680")</f>
        <v>https://web.datatree.com/?/property?propertyId=33029680</v>
      </c>
      <c r="Q2808" t="s">
        <v>316</v>
      </c>
      <c>
        <v>0.25</v>
      </c>
      <c t="s">
        <v>5471</v>
      </c>
      <c t="s">
        <v>32577</v>
      </c>
      <c t="s">
        <v>61472</v>
      </c>
      <c t="s">
        <v>7996</v>
      </c>
      <c t="s">
        <v>61472</v>
      </c>
      <c t="s">
        <v>17581</v>
      </c>
      <c t="s">
        <v>61415</v>
      </c>
      <c t="s">
        <v>65059</v>
      </c>
      <c t="s">
        <v>39289</v>
      </c>
      <c>
        <v>33905</v>
      </c>
      <c t="s">
        <v>56759</v>
      </c>
      <c t="s">
        <v>48794</v>
      </c>
      <c t="s">
        <v>10391</v>
      </c>
      <c>
        <v>1</v>
      </c>
      <c r="AI2808" t="s">
        <v>65985</v>
      </c>
      <c t="s">
        <v>31192</v>
      </c>
      <c r="AL2808" t="s">
        <v>26964</v>
      </c>
      <c r="AN2808" t="s">
        <v>50917</v>
      </c>
      <c t="s">
        <v>66702</v>
      </c>
      <c t="s">
        <v>61410</v>
      </c>
      <c t="s">
        <v>3093</v>
      </c>
      <c t="s">
        <v>60701</v>
      </c>
    </row>
    <row>
      <c t="s">
        <v>17594</v>
      </c>
      <c t="s">
        <v>26308</v>
      </c>
      <c t="s">
        <v>61657</v>
      </c>
      <c t="s">
        <v>38573</v>
      </c>
      <c t="s">
        <v>16274</v>
      </c>
      <c s="3">
        <v>125546</v>
      </c>
      <c s="3">
        <v>125546</v>
      </c>
      <c s="3">
        <v>108041</v>
      </c>
      <c>
        <v>0</v>
      </c>
      <c s="3">
        <v>0</v>
      </c>
      <c s="3">
        <v>2223.11</v>
      </c>
      <c s="3">
        <v>125546</v>
      </c>
      <c r="O2809" s="1" t="str">
        <f ca="1">HYPERLINK("https://web.datatree.com/?/property?propertyId=33030326", "https://web.datatree.com/?/property?propertyId=33030326")</f>
        <v>https://web.datatree.com/?/property?propertyId=33030326</v>
      </c>
      <c r="Q2809" t="s">
        <v>316</v>
      </c>
      <c>
        <v>0.236</v>
      </c>
      <c t="s">
        <v>22490</v>
      </c>
      <c r="U2809" t="s">
        <v>39009</v>
      </c>
      <c t="s">
        <v>58412</v>
      </c>
      <c t="s">
        <v>57413</v>
      </c>
      <c t="s">
        <v>53567</v>
      </c>
      <c t="s">
        <v>25017</v>
      </c>
      <c t="s">
        <v>2517</v>
      </c>
      <c t="s">
        <v>39289</v>
      </c>
      <c>
        <v>33904</v>
      </c>
      <c>
        <v>33904</v>
      </c>
      <c t="s">
        <v>48794</v>
      </c>
      <c t="s">
        <v>21748</v>
      </c>
      <c>
        <v>8216</v>
      </c>
      <c r="AI2809" t="s">
        <v>33178</v>
      </c>
      <c t="s">
        <v>24900</v>
      </c>
      <c r="AL2809" t="s">
        <v>46748</v>
      </c>
      <c t="s">
        <v>46748</v>
      </c>
      <c t="s">
        <v>19878</v>
      </c>
      <c t="s">
        <v>50645</v>
      </c>
      <c t="s">
        <v>66620</v>
      </c>
      <c t="s">
        <v>3093</v>
      </c>
      <c t="s">
        <v>2503</v>
      </c>
    </row>
    <row>
      <c t="s">
        <v>17594</v>
      </c>
      <c t="s">
        <v>4256</v>
      </c>
      <c t="s">
        <v>7063</v>
      </c>
      <c t="s">
        <v>41310</v>
      </c>
      <c t="s">
        <v>10065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 r="O2810" s="1" t="str">
        <f ca="1">HYPERLINK("https://web.datatree.com/?/property?propertyId=33030497", "https://web.datatree.com/?/property?propertyId=33030497")</f>
        <v>https://web.datatree.com/?/property?propertyId=33030497</v>
      </c>
      <c r="Q2810" t="s">
        <v>316</v>
      </c>
      <c>
        <v>0.302</v>
      </c>
      <c t="s">
        <v>37489</v>
      </c>
      <c t="s">
        <v>11819</v>
      </c>
      <c t="s">
        <v>24104</v>
      </c>
      <c r="X2810" t="s">
        <v>63512</v>
      </c>
      <c t="s">
        <v>20086</v>
      </c>
      <c t="s">
        <v>65059</v>
      </c>
      <c t="s">
        <v>39289</v>
      </c>
      <c>
        <v>33905</v>
      </c>
      <c>
        <v>33905</v>
      </c>
      <c t="s">
        <v>48794</v>
      </c>
      <c t="s">
        <v>26188</v>
      </c>
      <c>
        <v>1</v>
      </c>
      <c r="AI2810" t="s">
        <v>46800</v>
      </c>
      <c r="AL2810" t="s">
        <v>26721</v>
      </c>
      <c t="s">
        <v>40227</v>
      </c>
      <c t="s">
        <v>63985</v>
      </c>
      <c>
        <v>86391</v>
      </c>
      <c r="AR2810" t="s">
        <v>49080</v>
      </c>
    </row>
    <row>
      <c t="s">
        <v>17594</v>
      </c>
      <c t="s">
        <v>15862</v>
      </c>
      <c t="s">
        <v>62021</v>
      </c>
      <c t="s">
        <v>47075</v>
      </c>
      <c t="s">
        <v>9532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2021</v>
      </c>
      <c>
        <v>348.45</v>
      </c>
      <c s="1" t="str">
        <f ca="1">HYPERLINK("https://web.datatree.com/?/property?propertyId=33030580", "https://web.datatree.com/?/property?propertyId=33030580")</f>
        <v>https://web.datatree.com/?/property?propertyId=33030580</v>
      </c>
      <c r="Q2811" t="s">
        <v>316</v>
      </c>
      <c>
        <v>0.237</v>
      </c>
      <c t="s">
        <v>5471</v>
      </c>
      <c t="s">
        <v>35571</v>
      </c>
      <c t="s">
        <v>9859</v>
      </c>
      <c t="s">
        <v>16893</v>
      </c>
      <c t="s">
        <v>9859</v>
      </c>
      <c t="s">
        <v>64876</v>
      </c>
      <c t="s">
        <v>58047</v>
      </c>
      <c t="s">
        <v>65059</v>
      </c>
      <c t="s">
        <v>39289</v>
      </c>
      <c>
        <v>33905</v>
      </c>
      <c t="s">
        <v>31432</v>
      </c>
      <c t="s">
        <v>48794</v>
      </c>
      <c t="s">
        <v>60242</v>
      </c>
      <c>
        <v>3299</v>
      </c>
      <c r="AI2811" t="s">
        <v>36203</v>
      </c>
      <c t="s">
        <v>835</v>
      </c>
      <c r="AL2811" t="s">
        <v>16124</v>
      </c>
      <c t="s">
        <v>16124</v>
      </c>
      <c t="s">
        <v>51137</v>
      </c>
      <c t="s">
        <v>24383</v>
      </c>
      <c t="s">
        <v>48506</v>
      </c>
      <c t="s">
        <v>3093</v>
      </c>
      <c t="s">
        <v>845</v>
      </c>
    </row>
    <row>
      <c t="s">
        <v>17594</v>
      </c>
      <c t="s">
        <v>9866</v>
      </c>
      <c t="s">
        <v>32726</v>
      </c>
      <c t="s">
        <v>60841</v>
      </c>
      <c t="s">
        <v>56009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812" s="1" t="str">
        <f ca="1">HYPERLINK("https://web.datatree.com/?/property?propertyId=33031439", "https://web.datatree.com/?/property?propertyId=33031439")</f>
        <v>https://web.datatree.com/?/property?propertyId=33031439</v>
      </c>
      <c r="Q2812" t="s">
        <v>316</v>
      </c>
      <c>
        <v>0.23</v>
      </c>
      <c t="s">
        <v>22490</v>
      </c>
      <c t="s">
        <v>63348</v>
      </c>
      <c t="s">
        <v>13335</v>
      </c>
      <c r="X2812" t="s">
        <v>12405</v>
      </c>
      <c t="s">
        <v>25017</v>
      </c>
      <c t="s">
        <v>2517</v>
      </c>
      <c t="s">
        <v>39289</v>
      </c>
      <c>
        <v>33909</v>
      </c>
      <c t="s">
        <v>12865</v>
      </c>
      <c t="s">
        <v>48794</v>
      </c>
      <c t="s">
        <v>36471</v>
      </c>
      <c>
        <v>2070</v>
      </c>
      <c r="AI2812" t="s">
        <v>1074</v>
      </c>
      <c t="s">
        <v>45620</v>
      </c>
      <c>
        <v>111</v>
      </c>
      <c t="s">
        <v>2602</v>
      </c>
      <c r="AN2812" t="s">
        <v>10909</v>
      </c>
      <c t="s">
        <v>46403</v>
      </c>
      <c r="AQ2812" t="s">
        <v>27814</v>
      </c>
      <c t="s">
        <v>28611</v>
      </c>
    </row>
    <row>
      <c t="s">
        <v>42103</v>
      </c>
      <c t="s">
        <v>59471</v>
      </c>
      <c t="s">
        <v>20505</v>
      </c>
      <c t="s">
        <v>49654</v>
      </c>
      <c t="s">
        <v>63369</v>
      </c>
      <c s="3">
        <v>47625</v>
      </c>
      <c s="3">
        <v>47625</v>
      </c>
      <c s="3">
        <v>20749</v>
      </c>
      <c>
        <v>0</v>
      </c>
      <c s="3">
        <v>0</v>
      </c>
      <c s="3">
        <v>1660.08</v>
      </c>
      <c s="3">
        <v>47625</v>
      </c>
      <c r="O2813" s="1" t="str">
        <f ca="1">HYPERLINK("https://web.datatree.com/?/property?propertyId=33031661", "https://web.datatree.com/?/property?propertyId=33031661")</f>
        <v>https://web.datatree.com/?/property?propertyId=33031661</v>
      </c>
      <c r="Q2813" t="s">
        <v>316</v>
      </c>
      <c>
        <v>0.23</v>
      </c>
      <c t="s">
        <v>22490</v>
      </c>
      <c t="s">
        <v>16200</v>
      </c>
      <c t="s">
        <v>10269</v>
      </c>
      <c t="s">
        <v>54926</v>
      </c>
      <c t="s">
        <v>10269</v>
      </c>
      <c t="s">
        <v>45886</v>
      </c>
      <c t="s">
        <v>61850</v>
      </c>
      <c t="s">
        <v>2517</v>
      </c>
      <c t="s">
        <v>39289</v>
      </c>
      <c>
        <v>33909</v>
      </c>
      <c t="s">
        <v>63674</v>
      </c>
      <c t="s">
        <v>48794</v>
      </c>
      <c t="s">
        <v>25015</v>
      </c>
      <c r="AI2813" t="s">
        <v>11654</v>
      </c>
      <c r="AL2813" t="s">
        <v>60106</v>
      </c>
      <c r="AN2813" t="s">
        <v>26016</v>
      </c>
      <c>
        <v>8324</v>
      </c>
      <c t="s">
        <v>39363</v>
      </c>
      <c t="s">
        <v>3093</v>
      </c>
      <c t="s">
        <v>53560</v>
      </c>
    </row>
    <row>
      <c t="s">
        <v>17594</v>
      </c>
      <c t="s">
        <v>24739</v>
      </c>
      <c t="s">
        <v>17334</v>
      </c>
      <c t="s">
        <v>63819</v>
      </c>
      <c t="s">
        <v>20008</v>
      </c>
      <c s="3">
        <v>12743</v>
      </c>
      <c s="3">
        <v>12743</v>
      </c>
      <c s="3">
        <v>6921</v>
      </c>
      <c>
        <v>0</v>
      </c>
      <c s="3">
        <v>0</v>
      </c>
      <c s="3">
        <v>130.62</v>
      </c>
      <c s="3">
        <v>12743</v>
      </c>
      <c r="O2814" s="1" t="str">
        <f ca="1">HYPERLINK("https://web.datatree.com/?/property?propertyId=33031944", "https://web.datatree.com/?/property?propertyId=33031944")</f>
        <v>https://web.datatree.com/?/property?propertyId=33031944</v>
      </c>
      <c r="Q2814" t="s">
        <v>316</v>
      </c>
      <c>
        <v>0.162</v>
      </c>
      <c r="T2814" t="s">
        <v>49241</v>
      </c>
      <c t="s">
        <v>8558</v>
      </c>
      <c t="s">
        <v>2140</v>
      </c>
      <c t="s">
        <v>8558</v>
      </c>
      <c t="s">
        <v>21226</v>
      </c>
      <c t="s">
        <v>42540</v>
      </c>
      <c t="s">
        <v>65059</v>
      </c>
      <c t="s">
        <v>39289</v>
      </c>
      <c>
        <v>33907</v>
      </c>
      <c>
        <v>33907</v>
      </c>
      <c t="s">
        <v>48794</v>
      </c>
      <c t="s">
        <v>11790</v>
      </c>
      <c>
        <v>2300</v>
      </c>
      <c r="AH2814" t="s">
        <v>60953</v>
      </c>
      <c t="s">
        <v>34898</v>
      </c>
      <c t="s">
        <v>45393</v>
      </c>
      <c r="AL2814" t="s">
        <v>17773</v>
      </c>
      <c t="s">
        <v>19621</v>
      </c>
      <c t="s">
        <v>17134</v>
      </c>
      <c t="s">
        <v>37340</v>
      </c>
      <c t="s">
        <v>44573</v>
      </c>
      <c t="s">
        <v>3093</v>
      </c>
      <c t="s">
        <v>57140</v>
      </c>
    </row>
    <row>
      <c t="s">
        <v>17594</v>
      </c>
      <c t="s">
        <v>8328</v>
      </c>
      <c t="s">
        <v>38291</v>
      </c>
      <c t="s">
        <v>10353</v>
      </c>
      <c t="s">
        <v>18359</v>
      </c>
      <c s="3">
        <v>18189</v>
      </c>
      <c s="3">
        <v>18189</v>
      </c>
      <c s="3">
        <v>7040</v>
      </c>
      <c>
        <v>0</v>
      </c>
      <c s="3">
        <v>0</v>
      </c>
      <c s="3">
        <v>569.94</v>
      </c>
      <c s="3">
        <v>18189</v>
      </c>
      <c r="O2815" s="1" t="str">
        <f ca="1">HYPERLINK("https://web.datatree.com/?/property?propertyId=33032168", "https://web.datatree.com/?/property?propertyId=33032168")</f>
        <v>https://web.datatree.com/?/property?propertyId=33032168</v>
      </c>
      <c r="Q2815" t="s">
        <v>316</v>
      </c>
      <c>
        <v>0.258</v>
      </c>
      <c t="s">
        <v>22490</v>
      </c>
      <c t="s">
        <v>53257</v>
      </c>
      <c t="s">
        <v>22882</v>
      </c>
      <c r="X2815" t="s">
        <v>66784</v>
      </c>
      <c t="s">
        <v>33335</v>
      </c>
      <c t="s">
        <v>2517</v>
      </c>
      <c t="s">
        <v>39289</v>
      </c>
      <c>
        <v>33909</v>
      </c>
      <c t="s">
        <v>43027</v>
      </c>
      <c t="s">
        <v>48794</v>
      </c>
      <c t="s">
        <v>3754</v>
      </c>
      <c>
        <v>3230</v>
      </c>
      <c r="AI2815" t="s">
        <v>41142</v>
      </c>
      <c t="s">
        <v>4985</v>
      </c>
      <c>
        <v>211</v>
      </c>
      <c t="s">
        <v>3186</v>
      </c>
      <c t="s">
        <v>3186</v>
      </c>
      <c t="s">
        <v>39289</v>
      </c>
      <c t="s">
        <v>39130</v>
      </c>
      <c t="s">
        <v>3364</v>
      </c>
      <c t="s">
        <v>3093</v>
      </c>
      <c t="s">
        <v>27962</v>
      </c>
    </row>
    <row>
      <c t="s">
        <v>17594</v>
      </c>
      <c t="s">
        <v>9426</v>
      </c>
      <c t="s">
        <v>4649</v>
      </c>
      <c t="s">
        <v>29981</v>
      </c>
      <c t="s">
        <v>24553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2816" s="1" t="str">
        <f ca="1">HYPERLINK("https://web.datatree.com/?/property?propertyId=33032763", "https://web.datatree.com/?/property?propertyId=33032763")</f>
        <v>https://web.datatree.com/?/property?propertyId=33032763</v>
      </c>
      <c r="Q2816" t="s">
        <v>316</v>
      </c>
      <c>
        <v>0.23</v>
      </c>
      <c t="s">
        <v>6175</v>
      </c>
      <c t="s">
        <v>23807</v>
      </c>
      <c t="s">
        <v>43112</v>
      </c>
      <c r="X2816" t="s">
        <v>55598</v>
      </c>
      <c t="s">
        <v>23517</v>
      </c>
      <c t="s">
        <v>2517</v>
      </c>
      <c t="s">
        <v>39289</v>
      </c>
      <c>
        <v>33909</v>
      </c>
      <c t="s">
        <v>1293</v>
      </c>
      <c t="s">
        <v>48794</v>
      </c>
      <c t="s">
        <v>7224</v>
      </c>
      <c>
        <v>3282</v>
      </c>
      <c r="AI2816" t="s">
        <v>14248</v>
      </c>
      <c t="s">
        <v>31192</v>
      </c>
      <c r="AL2816" t="s">
        <v>36080</v>
      </c>
      <c t="s">
        <v>43433</v>
      </c>
      <c t="s">
        <v>39289</v>
      </c>
      <c t="s">
        <v>37253</v>
      </c>
      <c t="s">
        <v>62701</v>
      </c>
      <c t="s">
        <v>3093</v>
      </c>
      <c t="s">
        <v>67194</v>
      </c>
    </row>
    <row>
      <c t="s">
        <v>17594</v>
      </c>
      <c t="s">
        <v>34012</v>
      </c>
      <c t="s">
        <v>3525</v>
      </c>
      <c t="s">
        <v>6567</v>
      </c>
      <c t="s">
        <v>27414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2817" s="1" t="str">
        <f ca="1">HYPERLINK("https://web.datatree.com/?/property?propertyId=33033302", "https://web.datatree.com/?/property?propertyId=33033302")</f>
        <v>https://web.datatree.com/?/property?propertyId=33033302</v>
      </c>
      <c r="Q2817" t="s">
        <v>316</v>
      </c>
      <c>
        <v>0.23</v>
      </c>
      <c t="s">
        <v>6175</v>
      </c>
      <c t="s">
        <v>10361</v>
      </c>
      <c t="s">
        <v>62304</v>
      </c>
      <c t="s">
        <v>61517</v>
      </c>
      <c t="s">
        <v>62304</v>
      </c>
      <c t="s">
        <v>62317</v>
      </c>
      <c t="s">
        <v>10653</v>
      </c>
      <c t="s">
        <v>2517</v>
      </c>
      <c t="s">
        <v>39289</v>
      </c>
      <c>
        <v>33909</v>
      </c>
      <c t="s">
        <v>27657</v>
      </c>
      <c t="s">
        <v>48794</v>
      </c>
      <c t="s">
        <v>10397</v>
      </c>
      <c>
        <v>2855</v>
      </c>
      <c r="AI2817" t="s">
        <v>41338</v>
      </c>
      <c t="s">
        <v>31192</v>
      </c>
      <c>
        <v>510</v>
      </c>
      <c t="s">
        <v>4859</v>
      </c>
      <c t="s">
        <v>4859</v>
      </c>
      <c t="s">
        <v>39289</v>
      </c>
      <c t="s">
        <v>33994</v>
      </c>
      <c t="s">
        <v>44573</v>
      </c>
      <c t="s">
        <v>3093</v>
      </c>
      <c t="s">
        <v>9468</v>
      </c>
    </row>
    <row>
      <c t="s">
        <v>17594</v>
      </c>
      <c t="s">
        <v>6000</v>
      </c>
      <c t="s">
        <v>5572</v>
      </c>
      <c t="s">
        <v>21989</v>
      </c>
      <c t="s">
        <v>24365</v>
      </c>
      <c s="3">
        <v>20640</v>
      </c>
      <c s="3">
        <v>20640</v>
      </c>
      <c s="3">
        <v>8030</v>
      </c>
      <c>
        <v>0</v>
      </c>
      <c s="3">
        <v>0</v>
      </c>
      <c s="3">
        <v>590.65</v>
      </c>
      <c s="3">
        <v>20640</v>
      </c>
      <c r="O2818" s="1" t="str">
        <f ca="1">HYPERLINK("https://web.datatree.com/?/property?propertyId=33033421", "https://web.datatree.com/?/property?propertyId=33033421")</f>
        <v>https://web.datatree.com/?/property?propertyId=33033421</v>
      </c>
      <c r="Q2818" t="s">
        <v>316</v>
      </c>
      <c>
        <v>0.26</v>
      </c>
      <c t="s">
        <v>22490</v>
      </c>
      <c t="s">
        <v>4055</v>
      </c>
      <c t="s">
        <v>59270</v>
      </c>
      <c r="X2818" t="s">
        <v>6274</v>
      </c>
      <c t="s">
        <v>53675</v>
      </c>
      <c t="s">
        <v>2517</v>
      </c>
      <c t="s">
        <v>39289</v>
      </c>
      <c>
        <v>33909</v>
      </c>
      <c t="s">
        <v>2968</v>
      </c>
      <c t="s">
        <v>48794</v>
      </c>
      <c t="s">
        <v>53166</v>
      </c>
      <c>
        <v>10218</v>
      </c>
      <c r="AI2818" t="s">
        <v>7647</v>
      </c>
      <c t="s">
        <v>31192</v>
      </c>
      <c r="AL2818" t="s">
        <v>55005</v>
      </c>
      <c r="AN2818" t="s">
        <v>39289</v>
      </c>
      <c t="s">
        <v>37119</v>
      </c>
      <c t="s">
        <v>34162</v>
      </c>
      <c t="s">
        <v>3093</v>
      </c>
      <c t="s">
        <v>2126</v>
      </c>
    </row>
    <row>
      <c t="s">
        <v>17594</v>
      </c>
      <c t="s">
        <v>43946</v>
      </c>
      <c t="s">
        <v>56287</v>
      </c>
      <c t="s">
        <v>63074</v>
      </c>
      <c t="s">
        <v>39313</v>
      </c>
      <c s="3">
        <v>17210</v>
      </c>
      <c s="3">
        <v>17210</v>
      </c>
      <c s="3">
        <v>9075</v>
      </c>
      <c>
        <v>0</v>
      </c>
      <c s="3">
        <v>0</v>
      </c>
      <c s="3">
        <v>557.94</v>
      </c>
      <c s="3">
        <v>17210</v>
      </c>
      <c r="O2819" s="1" t="str">
        <f ca="1">HYPERLINK("https://web.datatree.com/?/property?propertyId=33034389", "https://web.datatree.com/?/property?propertyId=33034389")</f>
        <v>https://web.datatree.com/?/property?propertyId=33034389</v>
      </c>
      <c r="Q2819" t="s">
        <v>316</v>
      </c>
      <c>
        <v>0.244</v>
      </c>
      <c t="s">
        <v>6175</v>
      </c>
      <c t="s">
        <v>52701</v>
      </c>
      <c t="s">
        <v>37503</v>
      </c>
      <c r="X2819" t="s">
        <v>41843</v>
      </c>
      <c t="s">
        <v>61865</v>
      </c>
      <c t="s">
        <v>2517</v>
      </c>
      <c t="s">
        <v>39289</v>
      </c>
      <c>
        <v>33909</v>
      </c>
      <c t="s">
        <v>43059</v>
      </c>
      <c t="s">
        <v>48794</v>
      </c>
      <c t="s">
        <v>22221</v>
      </c>
      <c>
        <v>3036</v>
      </c>
      <c r="AI2819" t="s">
        <v>3543</v>
      </c>
      <c t="s">
        <v>45393</v>
      </c>
      <c>
        <v>518</v>
      </c>
      <c t="s">
        <v>64737</v>
      </c>
      <c r="AN2819" t="s">
        <v>10909</v>
      </c>
      <c t="s">
        <v>9999</v>
      </c>
      <c r="AQ2819" t="s">
        <v>27814</v>
      </c>
      <c t="s">
        <v>55319</v>
      </c>
    </row>
    <row>
      <c t="s">
        <v>17594</v>
      </c>
      <c t="s">
        <v>21543</v>
      </c>
      <c t="s">
        <v>55209</v>
      </c>
      <c t="s">
        <v>3509</v>
      </c>
      <c t="s">
        <v>8165</v>
      </c>
      <c s="3">
        <v>17200</v>
      </c>
      <c s="3">
        <v>17200</v>
      </c>
      <c s="3">
        <v>17200</v>
      </c>
      <c>
        <v>0</v>
      </c>
      <c s="3">
        <v>0</v>
      </c>
      <c s="3">
        <v>2767.44</v>
      </c>
      <c s="3">
        <v>17200</v>
      </c>
      <c r="O2820" s="1" t="str">
        <f ca="1">HYPERLINK("https://web.datatree.com/?/property?propertyId=33034706", "https://web.datatree.com/?/property?propertyId=33034706")</f>
        <v>https://web.datatree.com/?/property?propertyId=33034706</v>
      </c>
      <c r="Q2820" t="s">
        <v>316</v>
      </c>
      <c>
        <v>0.459</v>
      </c>
      <c t="s">
        <v>6175</v>
      </c>
      <c t="s">
        <v>27351</v>
      </c>
      <c t="s">
        <v>4206</v>
      </c>
      <c r="X2820" t="s">
        <v>29511</v>
      </c>
      <c t="s">
        <v>59356</v>
      </c>
      <c t="s">
        <v>2517</v>
      </c>
      <c t="s">
        <v>39289</v>
      </c>
      <c>
        <v>33909</v>
      </c>
      <c t="s">
        <v>59973</v>
      </c>
      <c t="s">
        <v>48794</v>
      </c>
      <c t="s">
        <v>54277</v>
      </c>
      <c>
        <v>275</v>
      </c>
      <c r="AI2820" t="s">
        <v>62125</v>
      </c>
      <c t="s">
        <v>45393</v>
      </c>
      <c r="AL2820" t="s">
        <v>34565</v>
      </c>
      <c r="AN2820" t="s">
        <v>10909</v>
      </c>
      <c t="s">
        <v>27435</v>
      </c>
      <c r="AQ2820" t="s">
        <v>27814</v>
      </c>
      <c t="s">
        <v>62750</v>
      </c>
    </row>
    <row>
      <c t="s">
        <v>17594</v>
      </c>
      <c t="s">
        <v>31991</v>
      </c>
      <c t="s">
        <v>61243</v>
      </c>
      <c t="s">
        <v>66218</v>
      </c>
      <c t="s">
        <v>53809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821" s="1" t="str">
        <f ca="1">HYPERLINK("https://web.datatree.com/?/property?propertyId=33035149", "https://web.datatree.com/?/property?propertyId=33035149")</f>
        <v>https://web.datatree.com/?/property?propertyId=33035149</v>
      </c>
      <c r="Q2821" t="s">
        <v>316</v>
      </c>
      <c>
        <v>0.23</v>
      </c>
      <c t="s">
        <v>22490</v>
      </c>
      <c t="s">
        <v>10045</v>
      </c>
      <c t="s">
        <v>43289</v>
      </c>
      <c t="s">
        <v>18093</v>
      </c>
      <c t="s">
        <v>1953</v>
      </c>
      <c t="s">
        <v>36552</v>
      </c>
      <c t="s">
        <v>29190</v>
      </c>
      <c t="s">
        <v>2517</v>
      </c>
      <c t="s">
        <v>39289</v>
      </c>
      <c>
        <v>33909</v>
      </c>
      <c t="s">
        <v>56020</v>
      </c>
      <c t="s">
        <v>48794</v>
      </c>
      <c t="s">
        <v>47608</v>
      </c>
      <c>
        <v>3</v>
      </c>
      <c r="AI2821" t="s">
        <v>53352</v>
      </c>
      <c r="AL2821" t="s">
        <v>45118</v>
      </c>
      <c r="AN2821" t="s">
        <v>63985</v>
      </c>
      <c>
        <v>85774</v>
      </c>
      <c r="AR2821" t="s">
        <v>22620</v>
      </c>
    </row>
    <row>
      <c t="s">
        <v>17594</v>
      </c>
      <c t="s">
        <v>40850</v>
      </c>
      <c t="s">
        <v>29394</v>
      </c>
      <c t="s">
        <v>65909</v>
      </c>
      <c t="s">
        <v>34137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2822" s="1" t="str">
        <f ca="1">HYPERLINK("https://web.datatree.com/?/property?propertyId=33035407", "https://web.datatree.com/?/property?propertyId=33035407")</f>
        <v>https://web.datatree.com/?/property?propertyId=33035407</v>
      </c>
      <c r="Q2822" t="s">
        <v>316</v>
      </c>
      <c>
        <v>0.241</v>
      </c>
      <c t="s">
        <v>6175</v>
      </c>
      <c t="s">
        <v>22154</v>
      </c>
      <c t="s">
        <v>22770</v>
      </c>
      <c t="s">
        <v>65461</v>
      </c>
      <c t="s">
        <v>22770</v>
      </c>
      <c t="s">
        <v>14419</v>
      </c>
      <c t="s">
        <v>61850</v>
      </c>
      <c t="s">
        <v>2517</v>
      </c>
      <c t="s">
        <v>39289</v>
      </c>
      <c>
        <v>33909</v>
      </c>
      <c t="s">
        <v>17498</v>
      </c>
      <c t="s">
        <v>48794</v>
      </c>
      <c t="s">
        <v>35388</v>
      </c>
      <c>
        <v>212</v>
      </c>
      <c r="AI2822" t="s">
        <v>29275</v>
      </c>
      <c t="s">
        <v>45393</v>
      </c>
      <c>
        <v>1175</v>
      </c>
      <c t="s">
        <v>23972</v>
      </c>
      <c r="AN2822" t="s">
        <v>19878</v>
      </c>
      <c t="s">
        <v>24861</v>
      </c>
      <c t="s">
        <v>19978</v>
      </c>
      <c t="s">
        <v>3093</v>
      </c>
      <c t="s">
        <v>10977</v>
      </c>
    </row>
    <row>
      <c t="s">
        <v>17594</v>
      </c>
      <c t="s">
        <v>55201</v>
      </c>
      <c t="s">
        <v>5706</v>
      </c>
      <c t="s">
        <v>52281</v>
      </c>
      <c t="s">
        <v>6572</v>
      </c>
      <c s="3">
        <v>8760</v>
      </c>
      <c s="3">
        <v>8760</v>
      </c>
      <c s="3">
        <v>8760</v>
      </c>
      <c>
        <v>0</v>
      </c>
      <c s="3">
        <v>0</v>
      </c>
      <c s="3">
        <v>697.52</v>
      </c>
      <c s="3">
        <v>8760</v>
      </c>
      <c r="O2823" s="1" t="str">
        <f ca="1">HYPERLINK("https://web.datatree.com/?/property?propertyId=33035528", "https://web.datatree.com/?/property?propertyId=33035528")</f>
        <v>https://web.datatree.com/?/property?propertyId=33035528</v>
      </c>
      <c r="Q2823" t="s">
        <v>316</v>
      </c>
      <c>
        <v>0.344</v>
      </c>
      <c t="s">
        <v>22490</v>
      </c>
      <c t="s">
        <v>64568</v>
      </c>
      <c t="s">
        <v>1087</v>
      </c>
      <c t="s">
        <v>10849</v>
      </c>
      <c t="s">
        <v>41454</v>
      </c>
      <c t="s">
        <v>44255</v>
      </c>
      <c t="s">
        <v>10653</v>
      </c>
      <c t="s">
        <v>2517</v>
      </c>
      <c t="s">
        <v>39289</v>
      </c>
      <c>
        <v>33909</v>
      </c>
      <c t="s">
        <v>30438</v>
      </c>
      <c t="s">
        <v>48794</v>
      </c>
      <c t="s">
        <v>66857</v>
      </c>
      <c>
        <v>45</v>
      </c>
      <c r="AI2823" t="s">
        <v>2920</v>
      </c>
      <c t="s">
        <v>1671</v>
      </c>
      <c>
        <v>1202</v>
      </c>
      <c t="s">
        <v>2602</v>
      </c>
      <c r="AN2823" t="s">
        <v>10909</v>
      </c>
      <c t="s">
        <v>57662</v>
      </c>
      <c r="AQ2823" t="s">
        <v>27814</v>
      </c>
      <c t="s">
        <v>28105</v>
      </c>
    </row>
    <row>
      <c t="s">
        <v>17594</v>
      </c>
      <c t="s">
        <v>2268</v>
      </c>
      <c t="s">
        <v>55975</v>
      </c>
      <c t="s">
        <v>23450</v>
      </c>
      <c t="s">
        <v>56177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824" s="1" t="str">
        <f ca="1">HYPERLINK("https://web.datatree.com/?/property?propertyId=33035708", "https://web.datatree.com/?/property?propertyId=33035708")</f>
        <v>https://web.datatree.com/?/property?propertyId=33035708</v>
      </c>
      <c r="Q2824" t="s">
        <v>316</v>
      </c>
      <c>
        <v>0.23</v>
      </c>
      <c t="s">
        <v>22490</v>
      </c>
      <c t="s">
        <v>7996</v>
      </c>
      <c t="s">
        <v>63478</v>
      </c>
      <c t="s">
        <v>67058</v>
      </c>
      <c t="s">
        <v>61048</v>
      </c>
      <c t="s">
        <v>17230</v>
      </c>
      <c t="s">
        <v>29190</v>
      </c>
      <c t="s">
        <v>2517</v>
      </c>
      <c t="s">
        <v>39289</v>
      </c>
      <c>
        <v>33909</v>
      </c>
      <c t="s">
        <v>56020</v>
      </c>
      <c t="s">
        <v>48794</v>
      </c>
      <c t="s">
        <v>2720</v>
      </c>
      <c>
        <v>484</v>
      </c>
      <c r="AI2824" t="s">
        <v>34136</v>
      </c>
      <c t="s">
        <v>45393</v>
      </c>
      <c r="AL2824" t="s">
        <v>29515</v>
      </c>
      <c r="AN2824" t="s">
        <v>39289</v>
      </c>
      <c t="s">
        <v>3637</v>
      </c>
      <c t="s">
        <v>13449</v>
      </c>
      <c t="s">
        <v>3093</v>
      </c>
      <c t="s">
        <v>32097</v>
      </c>
    </row>
    <row>
      <c t="s">
        <v>17594</v>
      </c>
      <c t="s">
        <v>52968</v>
      </c>
      <c t="s">
        <v>16772</v>
      </c>
      <c t="s">
        <v>40467</v>
      </c>
      <c t="s">
        <v>29156</v>
      </c>
      <c s="3">
        <v>47000</v>
      </c>
      <c s="3">
        <v>47000</v>
      </c>
      <c s="3">
        <v>47000</v>
      </c>
      <c>
        <v>0</v>
      </c>
      <c s="3">
        <v>0</v>
      </c>
      <c s="3">
        <v>1211.34</v>
      </c>
      <c s="3">
        <v>47000</v>
      </c>
      <c r="O2825" s="1" t="str">
        <f ca="1">HYPERLINK("https://web.datatree.com/?/property?propertyId=33035858", "https://web.datatree.com/?/property?propertyId=33035858")</f>
        <v>https://web.datatree.com/?/property?propertyId=33035858</v>
      </c>
      <c r="Q2825" t="s">
        <v>316</v>
      </c>
      <c>
        <v>0.413</v>
      </c>
      <c t="s">
        <v>42044</v>
      </c>
      <c t="s">
        <v>51089</v>
      </c>
      <c t="s">
        <v>39982</v>
      </c>
      <c t="s">
        <v>33280</v>
      </c>
      <c t="s">
        <v>39982</v>
      </c>
      <c t="s">
        <v>23390</v>
      </c>
      <c t="s">
        <v>8669</v>
      </c>
      <c t="s">
        <v>2517</v>
      </c>
      <c t="s">
        <v>39289</v>
      </c>
      <c>
        <v>33909</v>
      </c>
      <c t="s">
        <v>28217</v>
      </c>
      <c t="s">
        <v>48794</v>
      </c>
      <c t="s">
        <v>56988</v>
      </c>
      <c>
        <v>7777</v>
      </c>
      <c r="AI2825" t="s">
        <v>33179</v>
      </c>
      <c t="s">
        <v>45393</v>
      </c>
      <c r="AL2825" t="s">
        <v>55393</v>
      </c>
      <c t="s">
        <v>18365</v>
      </c>
      <c t="s">
        <v>39289</v>
      </c>
      <c t="s">
        <v>24945</v>
      </c>
      <c t="s">
        <v>51249</v>
      </c>
      <c t="s">
        <v>3093</v>
      </c>
      <c t="s">
        <v>65669</v>
      </c>
    </row>
    <row>
      <c t="s">
        <v>17594</v>
      </c>
      <c t="s">
        <v>26429</v>
      </c>
      <c t="s">
        <v>4723</v>
      </c>
      <c t="s">
        <v>9997</v>
      </c>
      <c t="s">
        <v>9299</v>
      </c>
      <c s="3">
        <v>21563</v>
      </c>
      <c s="3">
        <v>21563</v>
      </c>
      <c s="3">
        <v>21563</v>
      </c>
      <c>
        <v>0</v>
      </c>
      <c s="3">
        <v>0</v>
      </c>
      <c s="3">
        <v>715.07</v>
      </c>
      <c s="3">
        <v>21563</v>
      </c>
      <c r="O2826" s="1" t="str">
        <f ca="1">HYPERLINK("https://web.datatree.com/?/property?propertyId=33036896", "https://web.datatree.com/?/property?propertyId=33036896")</f>
        <v>https://web.datatree.com/?/property?propertyId=33036896</v>
      </c>
      <c r="Q2826" t="s">
        <v>316</v>
      </c>
      <c>
        <v>0.23</v>
      </c>
      <c t="s">
        <v>22490</v>
      </c>
      <c t="s">
        <v>61272</v>
      </c>
      <c t="s">
        <v>53416</v>
      </c>
      <c t="s">
        <v>29178</v>
      </c>
      <c t="s">
        <v>53416</v>
      </c>
      <c t="s">
        <v>4464</v>
      </c>
      <c t="s">
        <v>22731</v>
      </c>
      <c t="s">
        <v>2517</v>
      </c>
      <c t="s">
        <v>39289</v>
      </c>
      <c>
        <v>33909</v>
      </c>
      <c t="s">
        <v>55947</v>
      </c>
      <c t="s">
        <v>48794</v>
      </c>
      <c t="s">
        <v>17747</v>
      </c>
      <c>
        <v>4341</v>
      </c>
      <c r="AI2826" t="s">
        <v>27487</v>
      </c>
      <c t="s">
        <v>24900</v>
      </c>
      <c r="AL2826" t="s">
        <v>42897</v>
      </c>
      <c t="s">
        <v>42897</v>
      </c>
      <c t="s">
        <v>65451</v>
      </c>
      <c t="s">
        <v>29826</v>
      </c>
      <c t="s">
        <v>61410</v>
      </c>
      <c t="s">
        <v>3093</v>
      </c>
      <c t="s">
        <v>50159</v>
      </c>
    </row>
    <row>
      <c t="s">
        <v>17594</v>
      </c>
      <c t="s">
        <v>18121</v>
      </c>
      <c t="s">
        <v>21599</v>
      </c>
      <c t="s">
        <v>8798</v>
      </c>
      <c t="s">
        <v>14502</v>
      </c>
      <c s="3">
        <v>9900</v>
      </c>
      <c s="3">
        <v>9900</v>
      </c>
      <c s="3">
        <v>9900</v>
      </c>
      <c>
        <v>0</v>
      </c>
      <c s="3">
        <v>0</v>
      </c>
      <c s="3">
        <v>761.07</v>
      </c>
      <c s="3">
        <v>9900</v>
      </c>
      <c>
        <v>2021</v>
      </c>
      <c>
        <v>730.54</v>
      </c>
      <c s="1" t="str">
        <f ca="1">HYPERLINK("https://web.datatree.com/?/property?propertyId=33037004", "https://web.datatree.com/?/property?propertyId=33037004")</f>
        <v>https://web.datatree.com/?/property?propertyId=33037004</v>
      </c>
      <c r="Q2827" t="s">
        <v>316</v>
      </c>
      <c>
        <v>0.344</v>
      </c>
      <c t="s">
        <v>33269</v>
      </c>
      <c t="s">
        <v>21668</v>
      </c>
      <c t="s">
        <v>14902</v>
      </c>
      <c t="s">
        <v>20440</v>
      </c>
      <c t="s">
        <v>14902</v>
      </c>
      <c t="s">
        <v>47822</v>
      </c>
      <c t="s">
        <v>13478</v>
      </c>
      <c t="s">
        <v>2517</v>
      </c>
      <c t="s">
        <v>39289</v>
      </c>
      <c>
        <v>33909</v>
      </c>
      <c t="s">
        <v>13630</v>
      </c>
      <c t="s">
        <v>48794</v>
      </c>
      <c t="s">
        <v>3909</v>
      </c>
      <c>
        <v>721</v>
      </c>
      <c r="AI2827" t="s">
        <v>59763</v>
      </c>
      <c t="s">
        <v>45393</v>
      </c>
      <c r="AL2827" t="s">
        <v>29515</v>
      </c>
      <c t="s">
        <v>29515</v>
      </c>
      <c t="s">
        <v>39289</v>
      </c>
      <c t="s">
        <v>58534</v>
      </c>
      <c t="s">
        <v>13449</v>
      </c>
      <c t="s">
        <v>3093</v>
      </c>
      <c t="s">
        <v>32320</v>
      </c>
    </row>
    <row>
      <c t="s">
        <v>17594</v>
      </c>
      <c t="s">
        <v>20837</v>
      </c>
      <c t="s">
        <v>36658</v>
      </c>
      <c t="s">
        <v>45485</v>
      </c>
      <c t="s">
        <v>45457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2828" s="1" t="str">
        <f ca="1">HYPERLINK("https://web.datatree.com/?/property?propertyId=33037331", "https://web.datatree.com/?/property?propertyId=33037331")</f>
        <v>https://web.datatree.com/?/property?propertyId=33037331</v>
      </c>
      <c r="Q2828" t="s">
        <v>316</v>
      </c>
      <c>
        <v>0.23</v>
      </c>
      <c t="s">
        <v>22490</v>
      </c>
      <c t="s">
        <v>2873</v>
      </c>
      <c t="s">
        <v>37940</v>
      </c>
      <c t="s">
        <v>64990</v>
      </c>
      <c t="s">
        <v>37940</v>
      </c>
      <c t="s">
        <v>31366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59111</v>
      </c>
      <c>
        <v>39332</v>
      </c>
      <c r="AI2828" t="s">
        <v>57853</v>
      </c>
      <c t="s">
        <v>45393</v>
      </c>
      <c r="AL2828" t="s">
        <v>12652</v>
      </c>
      <c t="s">
        <v>12652</v>
      </c>
      <c t="s">
        <v>65451</v>
      </c>
      <c t="s">
        <v>24143</v>
      </c>
      <c t="s">
        <v>3364</v>
      </c>
      <c t="s">
        <v>3093</v>
      </c>
      <c t="s">
        <v>7198</v>
      </c>
    </row>
    <row>
      <c t="s">
        <v>17594</v>
      </c>
      <c t="s">
        <v>50272</v>
      </c>
      <c t="s">
        <v>17337</v>
      </c>
      <c t="s">
        <v>22717</v>
      </c>
      <c t="s">
        <v>49228</v>
      </c>
      <c s="3">
        <v>35272</v>
      </c>
      <c s="3">
        <v>35272</v>
      </c>
      <c s="3">
        <v>22824</v>
      </c>
      <c>
        <v>0</v>
      </c>
      <c s="3">
        <v>0</v>
      </c>
      <c s="3">
        <v>842.73</v>
      </c>
      <c s="3">
        <v>35272</v>
      </c>
      <c r="O2829" s="1" t="str">
        <f ca="1">HYPERLINK("https://web.datatree.com/?/property?propertyId=33037418", "https://web.datatree.com/?/property?propertyId=33037418")</f>
        <v>https://web.datatree.com/?/property?propertyId=33037418</v>
      </c>
      <c r="Q2829" t="s">
        <v>316</v>
      </c>
      <c>
        <v>0.23</v>
      </c>
      <c t="s">
        <v>6175</v>
      </c>
      <c t="s">
        <v>6361</v>
      </c>
      <c t="s">
        <v>63796</v>
      </c>
      <c t="s">
        <v>65928</v>
      </c>
      <c t="s">
        <v>63796</v>
      </c>
      <c t="s">
        <v>64936</v>
      </c>
      <c t="s">
        <v>59763</v>
      </c>
      <c t="s">
        <v>2517</v>
      </c>
      <c t="s">
        <v>39289</v>
      </c>
      <c>
        <v>33904</v>
      </c>
      <c t="s">
        <v>42843</v>
      </c>
      <c t="s">
        <v>48794</v>
      </c>
      <c t="s">
        <v>55546</v>
      </c>
      <c>
        <v>165</v>
      </c>
      <c r="AI2829" t="s">
        <v>13794</v>
      </c>
      <c t="s">
        <v>45393</v>
      </c>
      <c r="AL2829" t="s">
        <v>62077</v>
      </c>
      <c r="AN2829" t="s">
        <v>50917</v>
      </c>
      <c t="s">
        <v>10558</v>
      </c>
      <c t="s">
        <v>66620</v>
      </c>
      <c t="s">
        <v>3093</v>
      </c>
      <c t="s">
        <v>8221</v>
      </c>
    </row>
    <row>
      <c t="s">
        <v>17594</v>
      </c>
      <c t="s">
        <v>31392</v>
      </c>
      <c t="s">
        <v>40766</v>
      </c>
      <c t="s">
        <v>27419</v>
      </c>
      <c t="s">
        <v>61331</v>
      </c>
      <c s="3">
        <v>25947</v>
      </c>
      <c s="3">
        <v>25947</v>
      </c>
      <c s="3">
        <v>10395</v>
      </c>
      <c>
        <v>0</v>
      </c>
      <c s="3">
        <v>0</v>
      </c>
      <c s="3">
        <v>654.72</v>
      </c>
      <c s="3">
        <v>25947</v>
      </c>
      <c r="O2830" s="1" t="str">
        <f ca="1">HYPERLINK("https://web.datatree.com/?/property?propertyId=33037669", "https://web.datatree.com/?/property?propertyId=33037669")</f>
        <v>https://web.datatree.com/?/property?propertyId=33037669</v>
      </c>
      <c r="Q2830" t="s">
        <v>316</v>
      </c>
      <c>
        <v>0.271</v>
      </c>
      <c t="s">
        <v>22490</v>
      </c>
      <c t="s">
        <v>43815</v>
      </c>
      <c t="s">
        <v>19502</v>
      </c>
      <c t="s">
        <v>4868</v>
      </c>
      <c t="s">
        <v>19502</v>
      </c>
      <c t="s">
        <v>14734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14229</v>
      </c>
      <c>
        <v>1912</v>
      </c>
      <c r="AI2830" t="s">
        <v>2420</v>
      </c>
      <c t="s">
        <v>24900</v>
      </c>
      <c r="AL2830" t="s">
        <v>30741</v>
      </c>
      <c r="AN2830" t="s">
        <v>26016</v>
      </c>
      <c t="s">
        <v>64087</v>
      </c>
      <c t="s">
        <v>49977</v>
      </c>
      <c t="s">
        <v>3093</v>
      </c>
      <c t="s">
        <v>42997</v>
      </c>
    </row>
    <row>
      <c t="s">
        <v>17594</v>
      </c>
      <c t="s">
        <v>31687</v>
      </c>
      <c t="s">
        <v>5858</v>
      </c>
      <c t="s">
        <v>23394</v>
      </c>
      <c t="s">
        <v>36017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831" s="1" t="str">
        <f ca="1">HYPERLINK("https://web.datatree.com/?/property?propertyId=33037943", "https://web.datatree.com/?/property?propertyId=33037943")</f>
        <v>https://web.datatree.com/?/property?propertyId=33037943</v>
      </c>
      <c r="Q2831" t="s">
        <v>316</v>
      </c>
      <c>
        <v>0.23</v>
      </c>
      <c t="s">
        <v>6175</v>
      </c>
      <c t="s">
        <v>32056</v>
      </c>
      <c t="s">
        <v>3009</v>
      </c>
      <c r="X2831" t="s">
        <v>3142</v>
      </c>
      <c t="s">
        <v>15510</v>
      </c>
      <c t="s">
        <v>2517</v>
      </c>
      <c t="s">
        <v>39289</v>
      </c>
      <c>
        <v>33909</v>
      </c>
      <c t="s">
        <v>1853</v>
      </c>
      <c t="s">
        <v>48794</v>
      </c>
      <c t="s">
        <v>42724</v>
      </c>
      <c>
        <v>569</v>
      </c>
      <c r="AI2831" t="s">
        <v>64846</v>
      </c>
      <c t="s">
        <v>31192</v>
      </c>
      <c r="AL2831" t="s">
        <v>37818</v>
      </c>
      <c r="AN2831" t="s">
        <v>50917</v>
      </c>
      <c t="s">
        <v>41705</v>
      </c>
      <c t="s">
        <v>42082</v>
      </c>
      <c t="s">
        <v>3093</v>
      </c>
      <c t="s">
        <v>53162</v>
      </c>
    </row>
    <row>
      <c t="s">
        <v>17594</v>
      </c>
      <c t="s">
        <v>53086</v>
      </c>
      <c t="s">
        <v>46694</v>
      </c>
      <c t="s">
        <v>25809</v>
      </c>
      <c t="s">
        <v>56790</v>
      </c>
      <c s="3">
        <v>137412</v>
      </c>
      <c s="3">
        <v>137412</v>
      </c>
      <c s="3">
        <v>137412</v>
      </c>
      <c>
        <v>0</v>
      </c>
      <c s="3">
        <v>0</v>
      </c>
      <c s="3">
        <v>2583.87</v>
      </c>
      <c s="3">
        <v>137412</v>
      </c>
      <c r="O2832" s="1" t="str">
        <f ca="1">HYPERLINK("https://web.datatree.com/?/property?propertyId=33038355", "https://web.datatree.com/?/property?propertyId=33038355")</f>
        <v>https://web.datatree.com/?/property?propertyId=33038355</v>
      </c>
      <c r="Q2832" t="s">
        <v>316</v>
      </c>
      <c>
        <v>0.23</v>
      </c>
      <c t="s">
        <v>22490</v>
      </c>
      <c t="s">
        <v>18409</v>
      </c>
      <c t="s">
        <v>37991</v>
      </c>
      <c r="X2832" t="s">
        <v>39683</v>
      </c>
      <c t="s">
        <v>49074</v>
      </c>
      <c t="s">
        <v>2517</v>
      </c>
      <c t="s">
        <v>39289</v>
      </c>
      <c>
        <v>33904</v>
      </c>
      <c>
        <v>33904</v>
      </c>
      <c t="s">
        <v>48794</v>
      </c>
      <c t="s">
        <v>19116</v>
      </c>
      <c>
        <v>612</v>
      </c>
      <c r="AI2832" t="s">
        <v>57064</v>
      </c>
      <c t="s">
        <v>24900</v>
      </c>
      <c r="AL2832" t="s">
        <v>55393</v>
      </c>
      <c t="s">
        <v>55393</v>
      </c>
      <c t="s">
        <v>39289</v>
      </c>
      <c t="s">
        <v>33752</v>
      </c>
      <c t="s">
        <v>44726</v>
      </c>
      <c t="s">
        <v>3093</v>
      </c>
      <c t="s">
        <v>31812</v>
      </c>
    </row>
    <row>
      <c t="s">
        <v>17594</v>
      </c>
      <c t="s">
        <v>17760</v>
      </c>
      <c t="s">
        <v>55380</v>
      </c>
      <c t="s">
        <v>14180</v>
      </c>
      <c t="s">
        <v>31807</v>
      </c>
      <c s="3">
        <v>12544</v>
      </c>
      <c s="3">
        <v>12544</v>
      </c>
      <c s="3">
        <v>4972</v>
      </c>
      <c>
        <v>0</v>
      </c>
      <c s="3">
        <v>0</v>
      </c>
      <c s="3">
        <v>320.56</v>
      </c>
      <c s="3">
        <v>12544</v>
      </c>
      <c r="O2833" s="1" t="str">
        <f ca="1">HYPERLINK("https://web.datatree.com/?/property?propertyId=33038659", "https://web.datatree.com/?/property?propertyId=33038659")</f>
        <v>https://web.datatree.com/?/property?propertyId=33038659</v>
      </c>
      <c r="Q2833" t="s">
        <v>316</v>
      </c>
      <c>
        <v>0.266</v>
      </c>
      <c t="s">
        <v>5471</v>
      </c>
      <c t="s">
        <v>63659</v>
      </c>
      <c t="s">
        <v>36874</v>
      </c>
      <c t="s">
        <v>51329</v>
      </c>
      <c t="s">
        <v>36874</v>
      </c>
      <c t="s">
        <v>46178</v>
      </c>
      <c t="s">
        <v>52508</v>
      </c>
      <c t="s">
        <v>65059</v>
      </c>
      <c t="s">
        <v>39289</v>
      </c>
      <c>
        <v>33905</v>
      </c>
      <c t="s">
        <v>20796</v>
      </c>
      <c t="s">
        <v>48794</v>
      </c>
      <c t="s">
        <v>42729</v>
      </c>
      <c>
        <v>4466</v>
      </c>
      <c r="AI2833" t="s">
        <v>8788</v>
      </c>
      <c t="s">
        <v>40123</v>
      </c>
      <c r="AL2833" t="s">
        <v>63384</v>
      </c>
      <c r="AN2833" t="s">
        <v>66651</v>
      </c>
      <c t="s">
        <v>31940</v>
      </c>
      <c t="s">
        <v>3068</v>
      </c>
      <c t="s">
        <v>3093</v>
      </c>
      <c t="s">
        <v>64456</v>
      </c>
    </row>
    <row>
      <c t="s">
        <v>17594</v>
      </c>
      <c t="s">
        <v>30801</v>
      </c>
      <c t="s">
        <v>13008</v>
      </c>
      <c t="s">
        <v>16449</v>
      </c>
      <c t="s">
        <v>973</v>
      </c>
      <c s="3">
        <v>286886</v>
      </c>
      <c s="3">
        <v>286886</v>
      </c>
      <c s="3">
        <v>243814</v>
      </c>
      <c>
        <v>0</v>
      </c>
      <c s="3">
        <v>0</v>
      </c>
      <c s="3">
        <v>3645.88</v>
      </c>
      <c s="3">
        <v>286886</v>
      </c>
      <c r="O2834" s="1" t="str">
        <f ca="1">HYPERLINK("https://web.datatree.com/?/property?propertyId=33040295", "https://web.datatree.com/?/property?propertyId=33040295")</f>
        <v>https://web.datatree.com/?/property?propertyId=33040295</v>
      </c>
      <c r="Q2834" t="s">
        <v>316</v>
      </c>
      <c>
        <v>0.412</v>
      </c>
      <c t="s">
        <v>29818</v>
      </c>
      <c t="s">
        <v>39635</v>
      </c>
      <c t="s">
        <v>22932</v>
      </c>
      <c r="X2834" t="s">
        <v>17232</v>
      </c>
      <c t="s">
        <v>24194</v>
      </c>
      <c t="s">
        <v>65059</v>
      </c>
      <c t="s">
        <v>39289</v>
      </c>
      <c>
        <v>33908</v>
      </c>
      <c t="s">
        <v>28864</v>
      </c>
      <c t="s">
        <v>48794</v>
      </c>
      <c t="s">
        <v>44930</v>
      </c>
      <c>
        <v>137</v>
      </c>
      <c r="AH2834" t="s">
        <v>63047</v>
      </c>
      <c t="s">
        <v>48501</v>
      </c>
      <c t="s">
        <v>31192</v>
      </c>
      <c r="AL2834" t="s">
        <v>11713</v>
      </c>
      <c r="AN2834" t="s">
        <v>39289</v>
      </c>
      <c t="s">
        <v>27749</v>
      </c>
      <c t="s">
        <v>14695</v>
      </c>
      <c t="s">
        <v>3093</v>
      </c>
      <c t="s">
        <v>11797</v>
      </c>
    </row>
    <row>
      <c t="s">
        <v>17594</v>
      </c>
      <c t="s">
        <v>64386</v>
      </c>
      <c t="s">
        <v>33087</v>
      </c>
      <c t="s">
        <v>23710</v>
      </c>
      <c t="s">
        <v>34944</v>
      </c>
      <c s="3">
        <v>25590</v>
      </c>
      <c s="3">
        <v>25590</v>
      </c>
      <c s="3">
        <v>11413</v>
      </c>
      <c>
        <v>0</v>
      </c>
      <c s="3">
        <v>0</v>
      </c>
      <c s="3">
        <v>4106.82</v>
      </c>
      <c s="3">
        <v>25590</v>
      </c>
      <c r="O2835" s="1" t="str">
        <f ca="1">HYPERLINK("https://web.datatree.com/?/property?propertyId=33040813", "https://web.datatree.com/?/property?propertyId=33040813")</f>
        <v>https://web.datatree.com/?/property?propertyId=33040813</v>
      </c>
      <c r="Q2835" t="s">
        <v>316</v>
      </c>
      <c>
        <v>0.483</v>
      </c>
      <c t="s">
        <v>22490</v>
      </c>
      <c t="s">
        <v>24625</v>
      </c>
      <c t="s">
        <v>21765</v>
      </c>
      <c t="s">
        <v>25330</v>
      </c>
      <c t="s">
        <v>59018</v>
      </c>
      <c t="s">
        <v>27702</v>
      </c>
      <c t="s">
        <v>18679</v>
      </c>
      <c t="s">
        <v>2517</v>
      </c>
      <c t="s">
        <v>39289</v>
      </c>
      <c>
        <v>33909</v>
      </c>
      <c t="s">
        <v>65424</v>
      </c>
      <c t="s">
        <v>48794</v>
      </c>
      <c t="s">
        <v>52954</v>
      </c>
      <c>
        <v>247</v>
      </c>
      <c r="AI2835" t="s">
        <v>28744</v>
      </c>
      <c t="s">
        <v>24900</v>
      </c>
      <c r="AL2835" t="s">
        <v>33217</v>
      </c>
      <c r="AN2835" t="s">
        <v>26016</v>
      </c>
      <c t="s">
        <v>4244</v>
      </c>
      <c t="s">
        <v>44843</v>
      </c>
      <c t="s">
        <v>3093</v>
      </c>
      <c t="s">
        <v>9005</v>
      </c>
    </row>
    <row>
      <c t="s">
        <v>17594</v>
      </c>
      <c t="s">
        <v>5694</v>
      </c>
      <c t="s">
        <v>27341</v>
      </c>
      <c t="s">
        <v>28786</v>
      </c>
      <c t="s">
        <v>20878</v>
      </c>
      <c s="3">
        <v>73333</v>
      </c>
      <c s="3">
        <v>63500</v>
      </c>
      <c s="3">
        <v>71654</v>
      </c>
      <c>
        <v>0</v>
      </c>
      <c s="3">
        <v>0</v>
      </c>
      <c s="3">
        <v>1086.99</v>
      </c>
      <c s="3">
        <v>73333</v>
      </c>
      <c r="O2836" s="1" t="str">
        <f ca="1">HYPERLINK("https://web.datatree.com/?/property?propertyId=33041317", "https://web.datatree.com/?/property?propertyId=33041317")</f>
        <v>https://web.datatree.com/?/property?propertyId=33041317</v>
      </c>
      <c r="Q2836" t="s">
        <v>316</v>
      </c>
      <c>
        <v>0.103</v>
      </c>
      <c t="s">
        <v>26492</v>
      </c>
      <c t="s">
        <v>2140</v>
      </c>
      <c t="s">
        <v>32018</v>
      </c>
      <c t="s">
        <v>773</v>
      </c>
      <c t="s">
        <v>32018</v>
      </c>
      <c t="s">
        <v>63539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62009</v>
      </c>
      <c>
        <v>437</v>
      </c>
      <c r="AI2836" t="s">
        <v>33940</v>
      </c>
      <c t="s">
        <v>31192</v>
      </c>
      <c r="AL2836" t="s">
        <v>6799</v>
      </c>
      <c t="s">
        <v>40227</v>
      </c>
      <c t="s">
        <v>10804</v>
      </c>
      <c t="s">
        <v>20019</v>
      </c>
      <c t="s">
        <v>44573</v>
      </c>
      <c t="s">
        <v>3093</v>
      </c>
      <c t="s">
        <v>29948</v>
      </c>
    </row>
    <row>
      <c t="s">
        <v>17594</v>
      </c>
      <c t="s">
        <v>23500</v>
      </c>
      <c t="s">
        <v>42287</v>
      </c>
      <c t="s">
        <v>888</v>
      </c>
      <c t="s">
        <v>37421</v>
      </c>
      <c s="3">
        <v>74859</v>
      </c>
      <c s="3">
        <v>23000</v>
      </c>
      <c s="3">
        <v>62314</v>
      </c>
      <c>
        <v>0</v>
      </c>
      <c s="3">
        <v>0</v>
      </c>
      <c s="3">
        <v>966.18</v>
      </c>
      <c s="3">
        <v>74859</v>
      </c>
      <c r="O2837" s="1" t="str">
        <f ca="1">HYPERLINK("https://web.datatree.com/?/property?propertyId=33041439", "https://web.datatree.com/?/property?propertyId=33041439")</f>
        <v>https://web.datatree.com/?/property?propertyId=33041439</v>
      </c>
      <c>
        <v>1058</v>
      </c>
      <c t="s">
        <v>316</v>
      </c>
      <c>
        <v>0.062</v>
      </c>
      <c t="s">
        <v>54329</v>
      </c>
      <c t="s">
        <v>27704</v>
      </c>
      <c t="s">
        <v>15112</v>
      </c>
      <c t="s">
        <v>6153</v>
      </c>
      <c t="s">
        <v>15112</v>
      </c>
      <c t="s">
        <v>39626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52083</v>
      </c>
      <c>
        <v>48</v>
      </c>
      <c r="AI2837" t="s">
        <v>17039</v>
      </c>
      <c t="s">
        <v>835</v>
      </c>
      <c r="AL2837" t="s">
        <v>51149</v>
      </c>
      <c t="s">
        <v>51149</v>
      </c>
      <c t="s">
        <v>50917</v>
      </c>
      <c t="s">
        <v>4137</v>
      </c>
      <c t="s">
        <v>42082</v>
      </c>
      <c t="s">
        <v>3093</v>
      </c>
      <c t="s">
        <v>23413</v>
      </c>
      <c>
        <v>1989</v>
      </c>
    </row>
    <row>
      <c t="s">
        <v>42103</v>
      </c>
      <c t="s">
        <v>65921</v>
      </c>
      <c t="s">
        <v>37869</v>
      </c>
      <c t="s">
        <v>36607</v>
      </c>
      <c t="s">
        <v>40984</v>
      </c>
      <c s="3">
        <v>23012</v>
      </c>
      <c s="3">
        <v>23012</v>
      </c>
      <c s="3">
        <v>10450</v>
      </c>
      <c>
        <v>0</v>
      </c>
      <c s="3">
        <v>0</v>
      </c>
      <c s="3">
        <v>656.51</v>
      </c>
      <c s="3">
        <v>23012</v>
      </c>
      <c r="O2838" s="1" t="str">
        <f ca="1">HYPERLINK("https://web.datatree.com/?/property?propertyId=33041829", "https://web.datatree.com/?/property?propertyId=33041829")</f>
        <v>https://web.datatree.com/?/property?propertyId=33041829</v>
      </c>
      <c r="Q2838" t="s">
        <v>316</v>
      </c>
      <c>
        <v>0.292</v>
      </c>
      <c t="s">
        <v>45031</v>
      </c>
      <c t="s">
        <v>60286</v>
      </c>
      <c t="s">
        <v>59864</v>
      </c>
      <c t="s">
        <v>50331</v>
      </c>
      <c t="s">
        <v>59864</v>
      </c>
      <c t="s">
        <v>30822</v>
      </c>
      <c t="s">
        <v>29190</v>
      </c>
      <c t="s">
        <v>2517</v>
      </c>
      <c t="s">
        <v>39289</v>
      </c>
      <c>
        <v>33909</v>
      </c>
      <c t="s">
        <v>7838</v>
      </c>
      <c t="s">
        <v>48794</v>
      </c>
      <c t="s">
        <v>1320</v>
      </c>
      <c r="AI2838" t="s">
        <v>10668</v>
      </c>
      <c r="AL2838" t="s">
        <v>29494</v>
      </c>
      <c t="s">
        <v>29494</v>
      </c>
      <c t="s">
        <v>5982</v>
      </c>
      <c>
        <v>4224</v>
      </c>
      <c t="s">
        <v>39363</v>
      </c>
      <c t="s">
        <v>3093</v>
      </c>
      <c t="s">
        <v>36267</v>
      </c>
    </row>
    <row>
      <c t="s">
        <v>17594</v>
      </c>
      <c t="s">
        <v>17434</v>
      </c>
      <c t="s">
        <v>9412</v>
      </c>
      <c t="s">
        <v>40374</v>
      </c>
      <c t="s">
        <v>60866</v>
      </c>
      <c s="3">
        <v>18472</v>
      </c>
      <c s="3">
        <v>18472</v>
      </c>
      <c s="3">
        <v>8712</v>
      </c>
      <c>
        <v>0</v>
      </c>
      <c s="3">
        <v>0</v>
      </c>
      <c s="3">
        <v>574.36</v>
      </c>
      <c s="3">
        <v>18472</v>
      </c>
      <c>
        <v>2021</v>
      </c>
      <c>
        <v>603.94</v>
      </c>
      <c s="1" t="str">
        <f ca="1">HYPERLINK("https://web.datatree.com/?/property?propertyId=33042430", "https://web.datatree.com/?/property?propertyId=33042430")</f>
        <v>https://web.datatree.com/?/property?propertyId=33042430</v>
      </c>
      <c r="Q2839" t="s">
        <v>316</v>
      </c>
      <c>
        <v>0.247</v>
      </c>
      <c t="s">
        <v>6175</v>
      </c>
      <c t="s">
        <v>2798</v>
      </c>
      <c t="s">
        <v>45445</v>
      </c>
      <c r="X2839" t="s">
        <v>65366</v>
      </c>
      <c t="s">
        <v>53675</v>
      </c>
      <c t="s">
        <v>2517</v>
      </c>
      <c t="s">
        <v>39289</v>
      </c>
      <c>
        <v>33909</v>
      </c>
      <c t="s">
        <v>32309</v>
      </c>
      <c t="s">
        <v>48794</v>
      </c>
      <c t="s">
        <v>42365</v>
      </c>
      <c>
        <v>615</v>
      </c>
      <c r="AI2839" t="s">
        <v>33629</v>
      </c>
      <c t="s">
        <v>45620</v>
      </c>
      <c r="AL2839" t="s">
        <v>30742</v>
      </c>
      <c r="AN2839" t="s">
        <v>26016</v>
      </c>
      <c t="s">
        <v>58546</v>
      </c>
      <c t="s">
        <v>45980</v>
      </c>
      <c t="s">
        <v>3093</v>
      </c>
      <c t="s">
        <v>31456</v>
      </c>
    </row>
    <row>
      <c t="s">
        <v>17594</v>
      </c>
      <c t="s">
        <v>21658</v>
      </c>
      <c t="s">
        <v>35858</v>
      </c>
      <c t="s">
        <v>24666</v>
      </c>
      <c t="s">
        <v>5530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>
        <v>2020</v>
      </c>
      <c>
        <v>1084.29</v>
      </c>
      <c s="1" t="str">
        <f ca="1">HYPERLINK("https://web.datatree.com/?/property?propertyId=33043785", "https://web.datatree.com/?/property?propertyId=33043785")</f>
        <v>https://web.datatree.com/?/property?propertyId=33043785</v>
      </c>
      <c r="Q2840" t="s">
        <v>316</v>
      </c>
      <c>
        <v>0.23</v>
      </c>
      <c t="s">
        <v>6175</v>
      </c>
      <c t="s">
        <v>21668</v>
      </c>
      <c t="s">
        <v>34193</v>
      </c>
      <c t="s">
        <v>33224</v>
      </c>
      <c t="s">
        <v>34193</v>
      </c>
      <c t="s">
        <v>67010</v>
      </c>
      <c t="s">
        <v>5115</v>
      </c>
      <c t="s">
        <v>2517</v>
      </c>
      <c t="s">
        <v>39289</v>
      </c>
      <c>
        <v>33909</v>
      </c>
      <c>
        <v>33909</v>
      </c>
      <c t="s">
        <v>48794</v>
      </c>
      <c t="s">
        <v>14241</v>
      </c>
      <c>
        <v>170</v>
      </c>
      <c r="AI2840" t="s">
        <v>40859</v>
      </c>
      <c t="s">
        <v>55842</v>
      </c>
      <c r="AL2840" t="s">
        <v>51069</v>
      </c>
      <c r="AN2840" t="s">
        <v>66651</v>
      </c>
      <c t="s">
        <v>49956</v>
      </c>
      <c t="s">
        <v>21054</v>
      </c>
      <c t="s">
        <v>3093</v>
      </c>
      <c t="s">
        <v>11429</v>
      </c>
    </row>
    <row>
      <c t="s">
        <v>17594</v>
      </c>
      <c t="s">
        <v>11263</v>
      </c>
      <c t="s">
        <v>30620</v>
      </c>
      <c t="s">
        <v>50337</v>
      </c>
      <c t="s">
        <v>67011</v>
      </c>
      <c s="3">
        <v>8195</v>
      </c>
      <c s="3">
        <v>8195</v>
      </c>
      <c s="3">
        <v>4972</v>
      </c>
      <c>
        <v>0</v>
      </c>
      <c s="3">
        <v>0</v>
      </c>
      <c s="3">
        <v>316.66</v>
      </c>
      <c s="3">
        <v>8195</v>
      </c>
      <c r="O2841" s="1" t="str">
        <f ca="1">HYPERLINK("https://web.datatree.com/?/property?propertyId=33043867", "https://web.datatree.com/?/property?propertyId=33043867")</f>
        <v>https://web.datatree.com/?/property?propertyId=33043867</v>
      </c>
      <c r="Q2841" t="s">
        <v>316</v>
      </c>
      <c>
        <v>0.242</v>
      </c>
      <c t="s">
        <v>5471</v>
      </c>
      <c t="s">
        <v>64736</v>
      </c>
      <c t="s">
        <v>9592</v>
      </c>
      <c r="X2841" t="s">
        <v>41495</v>
      </c>
      <c t="s">
        <v>64631</v>
      </c>
      <c t="s">
        <v>65059</v>
      </c>
      <c t="s">
        <v>39289</v>
      </c>
      <c>
        <v>33905</v>
      </c>
      <c t="s">
        <v>58732</v>
      </c>
      <c t="s">
        <v>48794</v>
      </c>
      <c t="s">
        <v>39974</v>
      </c>
      <c>
        <v>4433</v>
      </c>
      <c r="AI2841" t="s">
        <v>61472</v>
      </c>
      <c t="s">
        <v>24900</v>
      </c>
      <c r="AL2841" t="s">
        <v>6144</v>
      </c>
      <c r="AN2841" t="s">
        <v>50917</v>
      </c>
      <c t="s">
        <v>63313</v>
      </c>
      <c t="s">
        <v>27780</v>
      </c>
      <c t="s">
        <v>3093</v>
      </c>
      <c t="s">
        <v>48439</v>
      </c>
    </row>
    <row>
      <c t="s">
        <v>17594</v>
      </c>
      <c t="s">
        <v>48979</v>
      </c>
      <c t="s">
        <v>60228</v>
      </c>
      <c t="s">
        <v>45451</v>
      </c>
      <c t="s">
        <v>23398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2842" s="1" t="str">
        <f ca="1">HYPERLINK("https://web.datatree.com/?/property?propertyId=33044531", "https://web.datatree.com/?/property?propertyId=33044531")</f>
        <v>https://web.datatree.com/?/property?propertyId=33044531</v>
      </c>
      <c r="Q2842" t="s">
        <v>316</v>
      </c>
      <c>
        <v>0.245</v>
      </c>
      <c t="s">
        <v>5471</v>
      </c>
      <c t="s">
        <v>24110</v>
      </c>
      <c t="s">
        <v>62556</v>
      </c>
      <c t="s">
        <v>66617</v>
      </c>
      <c t="s">
        <v>62556</v>
      </c>
      <c t="s">
        <v>25483</v>
      </c>
      <c t="s">
        <v>54532</v>
      </c>
      <c t="s">
        <v>65059</v>
      </c>
      <c t="s">
        <v>39289</v>
      </c>
      <c>
        <v>33905</v>
      </c>
      <c t="s">
        <v>48887</v>
      </c>
      <c t="s">
        <v>48794</v>
      </c>
      <c t="s">
        <v>55543</v>
      </c>
      <c>
        <v>7089</v>
      </c>
      <c r="AI2842" t="s">
        <v>24472</v>
      </c>
      <c t="s">
        <v>39321</v>
      </c>
      <c r="AL2842" t="s">
        <v>41399</v>
      </c>
      <c r="AN2842" t="s">
        <v>39289</v>
      </c>
      <c t="s">
        <v>22874</v>
      </c>
      <c t="s">
        <v>42945</v>
      </c>
      <c t="s">
        <v>3093</v>
      </c>
      <c t="s">
        <v>15116</v>
      </c>
    </row>
    <row>
      <c t="s">
        <v>17594</v>
      </c>
      <c t="s">
        <v>42552</v>
      </c>
      <c t="s">
        <v>49992</v>
      </c>
      <c t="s">
        <v>14384</v>
      </c>
      <c t="s">
        <v>40447</v>
      </c>
      <c s="3">
        <v>90796</v>
      </c>
      <c s="3">
        <v>79500</v>
      </c>
      <c s="3">
        <v>86702</v>
      </c>
      <c>
        <v>0</v>
      </c>
      <c s="3">
        <v>0</v>
      </c>
      <c s="3">
        <v>1325.72</v>
      </c>
      <c s="3">
        <v>90796</v>
      </c>
      <c r="O2843" s="1" t="str">
        <f ca="1">HYPERLINK("https://web.datatree.com/?/property?propertyId=33044564", "https://web.datatree.com/?/property?propertyId=33044564")</f>
        <v>https://web.datatree.com/?/property?propertyId=33044564</v>
      </c>
      <c r="Q2843" t="s">
        <v>316</v>
      </c>
      <c>
        <v>0.116</v>
      </c>
      <c t="s">
        <v>26492</v>
      </c>
      <c t="s">
        <v>4886</v>
      </c>
      <c t="s">
        <v>25636</v>
      </c>
      <c t="s">
        <v>1611</v>
      </c>
      <c t="s">
        <v>25636</v>
      </c>
      <c t="s">
        <v>13069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52114</v>
      </c>
      <c>
        <v>5753</v>
      </c>
      <c r="AH2843" t="s">
        <v>26580</v>
      </c>
      <c t="s">
        <v>32180</v>
      </c>
      <c r="AL2843" t="s">
        <v>19330</v>
      </c>
      <c t="s">
        <v>40227</v>
      </c>
      <c t="s">
        <v>39289</v>
      </c>
      <c t="s">
        <v>61371</v>
      </c>
      <c t="s">
        <v>15070</v>
      </c>
      <c t="s">
        <v>3093</v>
      </c>
      <c t="s">
        <v>39178</v>
      </c>
      <c>
        <v>2005</v>
      </c>
    </row>
    <row>
      <c t="s">
        <v>17594</v>
      </c>
      <c t="s">
        <v>41687</v>
      </c>
      <c t="s">
        <v>1285</v>
      </c>
      <c t="s">
        <v>14240</v>
      </c>
      <c t="s">
        <v>4072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844" s="1" t="str">
        <f ca="1">HYPERLINK("https://web.datatree.com/?/property?propertyId=33044600", "https://web.datatree.com/?/property?propertyId=33044600")</f>
        <v>https://web.datatree.com/?/property?propertyId=33044600</v>
      </c>
      <c r="Q2844" t="s">
        <v>316</v>
      </c>
      <c>
        <v>0.23</v>
      </c>
      <c t="s">
        <v>22490</v>
      </c>
      <c t="s">
        <v>33168</v>
      </c>
      <c t="s">
        <v>16583</v>
      </c>
      <c t="s">
        <v>33748</v>
      </c>
      <c t="s">
        <v>16583</v>
      </c>
      <c t="s">
        <v>27684</v>
      </c>
      <c t="s">
        <v>15510</v>
      </c>
      <c t="s">
        <v>2517</v>
      </c>
      <c t="s">
        <v>39289</v>
      </c>
      <c>
        <v>33909</v>
      </c>
      <c t="s">
        <v>7104</v>
      </c>
      <c t="s">
        <v>48794</v>
      </c>
      <c t="s">
        <v>7167</v>
      </c>
      <c>
        <v>1735</v>
      </c>
      <c r="AI2844" t="s">
        <v>50898</v>
      </c>
      <c t="s">
        <v>40123</v>
      </c>
      <c r="AL2844" t="s">
        <v>29050</v>
      </c>
      <c r="AN2844" t="s">
        <v>65451</v>
      </c>
      <c t="s">
        <v>67205</v>
      </c>
      <c t="s">
        <v>14695</v>
      </c>
      <c t="s">
        <v>3093</v>
      </c>
      <c t="s">
        <v>45257</v>
      </c>
    </row>
    <row>
      <c t="s">
        <v>17594</v>
      </c>
      <c t="s">
        <v>37409</v>
      </c>
      <c t="s">
        <v>14064</v>
      </c>
      <c t="s">
        <v>58716</v>
      </c>
      <c t="s">
        <v>33063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>
        <v>2021</v>
      </c>
      <c>
        <v>602.4</v>
      </c>
      <c s="1" t="str">
        <f ca="1">HYPERLINK("https://web.datatree.com/?/property?propertyId=33045279", "https://web.datatree.com/?/property?propertyId=33045279")</f>
        <v>https://web.datatree.com/?/property?propertyId=33045279</v>
      </c>
      <c r="Q2845" t="s">
        <v>316</v>
      </c>
      <c>
        <v>0.241</v>
      </c>
      <c t="s">
        <v>6175</v>
      </c>
      <c t="s">
        <v>57458</v>
      </c>
      <c t="s">
        <v>25238</v>
      </c>
      <c r="X2845" t="s">
        <v>10472</v>
      </c>
      <c t="s">
        <v>66701</v>
      </c>
      <c t="s">
        <v>2517</v>
      </c>
      <c t="s">
        <v>39289</v>
      </c>
      <c>
        <v>33909</v>
      </c>
      <c t="s">
        <v>59929</v>
      </c>
      <c t="s">
        <v>48794</v>
      </c>
      <c t="s">
        <v>7342</v>
      </c>
      <c>
        <v>1105</v>
      </c>
      <c r="AH2845" t="s">
        <v>26580</v>
      </c>
      <c t="s">
        <v>56489</v>
      </c>
      <c r="AK2845" t="s">
        <v>25384</v>
      </c>
      <c t="s">
        <v>17648</v>
      </c>
      <c r="AN2845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10684</v>
      </c>
      <c t="s">
        <v>44842</v>
      </c>
      <c t="s">
        <v>29550</v>
      </c>
      <c t="s">
        <v>58058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 r="O2846" s="1" t="str">
        <f ca="1">HYPERLINK("https://web.datatree.com/?/property?propertyId=33045433", "https://web.datatree.com/?/property?propertyId=33045433")</f>
        <v>https://web.datatree.com/?/property?propertyId=33045433</v>
      </c>
      <c r="Q2846" t="s">
        <v>316</v>
      </c>
      <c>
        <v>0.23</v>
      </c>
      <c t="s">
        <v>45031</v>
      </c>
      <c t="s">
        <v>37194</v>
      </c>
      <c t="s">
        <v>15083</v>
      </c>
      <c t="s">
        <v>55321</v>
      </c>
      <c t="s">
        <v>15083</v>
      </c>
      <c t="s">
        <v>10355</v>
      </c>
      <c t="s">
        <v>47150</v>
      </c>
      <c t="s">
        <v>2517</v>
      </c>
      <c t="s">
        <v>39289</v>
      </c>
      <c>
        <v>33909</v>
      </c>
      <c t="s">
        <v>48312</v>
      </c>
      <c t="s">
        <v>48794</v>
      </c>
      <c t="s">
        <v>57073</v>
      </c>
      <c>
        <v>185</v>
      </c>
      <c r="AI2846" t="s">
        <v>2452</v>
      </c>
      <c t="s">
        <v>31192</v>
      </c>
      <c r="AL2846" t="s">
        <v>12829</v>
      </c>
      <c t="s">
        <v>49085</v>
      </c>
      <c t="s">
        <v>50917</v>
      </c>
      <c t="s">
        <v>37771</v>
      </c>
      <c t="s">
        <v>33029</v>
      </c>
      <c t="s">
        <v>3093</v>
      </c>
      <c t="s">
        <v>48622</v>
      </c>
    </row>
    <row>
      <c t="s">
        <v>17594</v>
      </c>
      <c t="s">
        <v>1879</v>
      </c>
      <c t="s">
        <v>49535</v>
      </c>
      <c t="s">
        <v>25239</v>
      </c>
      <c t="s">
        <v>33156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847" s="1" t="str">
        <f ca="1">HYPERLINK("https://web.datatree.com/?/property?propertyId=33046118", "https://web.datatree.com/?/property?propertyId=33046118")</f>
        <v>https://web.datatree.com/?/property?propertyId=33046118</v>
      </c>
      <c r="Q2847" t="s">
        <v>316</v>
      </c>
      <c>
        <v>0.23</v>
      </c>
      <c t="s">
        <v>22490</v>
      </c>
      <c t="s">
        <v>27398</v>
      </c>
      <c t="s">
        <v>24432</v>
      </c>
      <c t="s">
        <v>33847</v>
      </c>
      <c t="s">
        <v>4015</v>
      </c>
      <c t="s">
        <v>31109</v>
      </c>
      <c t="s">
        <v>49674</v>
      </c>
      <c t="s">
        <v>2517</v>
      </c>
      <c t="s">
        <v>39289</v>
      </c>
      <c>
        <v>33909</v>
      </c>
      <c t="s">
        <v>48438</v>
      </c>
      <c t="s">
        <v>48794</v>
      </c>
      <c t="s">
        <v>696</v>
      </c>
      <c>
        <v>12486</v>
      </c>
      <c r="AI2847" t="s">
        <v>14596</v>
      </c>
      <c t="s">
        <v>20615</v>
      </c>
      <c r="AL2847" t="s">
        <v>37773</v>
      </c>
      <c r="AN2847" t="s">
        <v>17331</v>
      </c>
      <c t="s">
        <v>67117</v>
      </c>
      <c t="s">
        <v>22455</v>
      </c>
      <c t="s">
        <v>3093</v>
      </c>
      <c t="s">
        <v>31398</v>
      </c>
    </row>
    <row>
      <c t="s">
        <v>17594</v>
      </c>
      <c t="s">
        <v>45671</v>
      </c>
      <c t="s">
        <v>49732</v>
      </c>
      <c t="s">
        <v>34694</v>
      </c>
      <c t="s">
        <v>64460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2848" s="1" t="str">
        <f ca="1">HYPERLINK("https://web.datatree.com/?/property?propertyId=33046425", "https://web.datatree.com/?/property?propertyId=33046425")</f>
        <v>https://web.datatree.com/?/property?propertyId=33046425</v>
      </c>
      <c r="Q2848" t="s">
        <v>316</v>
      </c>
      <c>
        <v>0.23</v>
      </c>
      <c t="s">
        <v>6175</v>
      </c>
      <c t="s">
        <v>2140</v>
      </c>
      <c t="s">
        <v>20493</v>
      </c>
      <c r="W2848" t="s">
        <v>36924</v>
      </c>
      <c t="s">
        <v>53051</v>
      </c>
      <c t="s">
        <v>22731</v>
      </c>
      <c t="s">
        <v>2517</v>
      </c>
      <c t="s">
        <v>39289</v>
      </c>
      <c>
        <v>33909</v>
      </c>
      <c t="s">
        <v>55947</v>
      </c>
      <c t="s">
        <v>48794</v>
      </c>
      <c t="s">
        <v>50501</v>
      </c>
      <c t="s">
        <v>42367</v>
      </c>
      <c r="AI2848" t="s">
        <v>20493</v>
      </c>
      <c t="s">
        <v>45620</v>
      </c>
      <c r="AL2848" t="s">
        <v>63096</v>
      </c>
      <c r="AN2848" t="s">
        <v>27481</v>
      </c>
      <c t="s">
        <v>4088</v>
      </c>
      <c t="s">
        <v>22152</v>
      </c>
      <c t="s">
        <v>3093</v>
      </c>
      <c t="s">
        <v>4010</v>
      </c>
    </row>
    <row>
      <c t="s">
        <v>17594</v>
      </c>
      <c t="s">
        <v>8456</v>
      </c>
      <c t="s">
        <v>28045</v>
      </c>
      <c t="s">
        <v>37136</v>
      </c>
      <c t="s">
        <v>7734</v>
      </c>
      <c s="3">
        <v>124205</v>
      </c>
      <c s="3">
        <v>114500</v>
      </c>
      <c s="3">
        <v>124205</v>
      </c>
      <c>
        <v>0</v>
      </c>
      <c s="3">
        <v>0</v>
      </c>
      <c s="3">
        <v>1864.44</v>
      </c>
      <c s="3">
        <v>124205</v>
      </c>
      <c r="O2849" s="1" t="str">
        <f ca="1">HYPERLINK("https://web.datatree.com/?/property?propertyId=33047281", "https://web.datatree.com/?/property?propertyId=33047281")</f>
        <v>https://web.datatree.com/?/property?propertyId=33047281</v>
      </c>
      <c r="Q2849" t="s">
        <v>316</v>
      </c>
      <c>
        <v>0.125</v>
      </c>
      <c t="s">
        <v>26492</v>
      </c>
      <c r="U2849" t="s">
        <v>12027</v>
      </c>
      <c r="W2849" t="s">
        <v>32699</v>
      </c>
      <c t="s">
        <v>66615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40510</v>
      </c>
      <c>
        <v>5918</v>
      </c>
      <c r="AI2849" t="s">
        <v>9136</v>
      </c>
      <c t="s">
        <v>31192</v>
      </c>
      <c r="AL2849" t="s">
        <v>20419</v>
      </c>
      <c t="s">
        <v>66467</v>
      </c>
      <c t="s">
        <v>39289</v>
      </c>
      <c t="s">
        <v>35998</v>
      </c>
      <c t="s">
        <v>51100</v>
      </c>
      <c t="s">
        <v>3093</v>
      </c>
      <c t="s">
        <v>2775</v>
      </c>
    </row>
    <row>
      <c t="s">
        <v>42103</v>
      </c>
      <c t="s">
        <v>60633</v>
      </c>
      <c t="s">
        <v>59188</v>
      </c>
      <c t="s">
        <v>57755</v>
      </c>
      <c t="s">
        <v>55643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850" s="1" t="str">
        <f ca="1">HYPERLINK("https://web.datatree.com/?/property?propertyId=33047430", "https://web.datatree.com/?/property?propertyId=33047430")</f>
        <v>https://web.datatree.com/?/property?propertyId=33047430</v>
      </c>
      <c r="Q2850" t="s">
        <v>316</v>
      </c>
      <c>
        <v>0.23</v>
      </c>
      <c t="s">
        <v>6175</v>
      </c>
      <c t="s">
        <v>52254</v>
      </c>
      <c t="s">
        <v>13824</v>
      </c>
      <c t="s">
        <v>43131</v>
      </c>
      <c t="s">
        <v>13824</v>
      </c>
      <c t="s">
        <v>39412</v>
      </c>
      <c t="s">
        <v>23517</v>
      </c>
      <c t="s">
        <v>2517</v>
      </c>
      <c t="s">
        <v>39289</v>
      </c>
      <c>
        <v>33909</v>
      </c>
      <c t="s">
        <v>63841</v>
      </c>
      <c t="s">
        <v>48794</v>
      </c>
      <c t="s">
        <v>45048</v>
      </c>
      <c r="AI2850" t="s">
        <v>13691</v>
      </c>
      <c r="AK2850">
        <v>18</v>
      </c>
      <c t="s">
        <v>40690</v>
      </c>
      <c r="AN2850" t="s">
        <v>9533</v>
      </c>
      <c t="s">
        <v>46871</v>
      </c>
      <c t="s">
        <v>57762</v>
      </c>
      <c t="s">
        <v>3093</v>
      </c>
      <c t="s">
        <v>21155</v>
      </c>
    </row>
    <row>
      <c t="s">
        <v>17594</v>
      </c>
      <c t="s">
        <v>9853</v>
      </c>
      <c t="s">
        <v>14064</v>
      </c>
      <c t="s">
        <v>64934</v>
      </c>
      <c t="s">
        <v>5808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2851" s="1" t="str">
        <f ca="1">HYPERLINK("https://web.datatree.com/?/property?propertyId=33047861", "https://web.datatree.com/?/property?propertyId=33047861")</f>
        <v>https://web.datatree.com/?/property?propertyId=33047861</v>
      </c>
      <c r="Q2851" t="s">
        <v>316</v>
      </c>
      <c>
        <v>0.244</v>
      </c>
      <c t="s">
        <v>6175</v>
      </c>
      <c t="s">
        <v>60243</v>
      </c>
      <c t="s">
        <v>14591</v>
      </c>
      <c r="W2851" t="s">
        <v>29423</v>
      </c>
      <c t="s">
        <v>64729</v>
      </c>
      <c t="s">
        <v>13065</v>
      </c>
      <c t="s">
        <v>2517</v>
      </c>
      <c t="s">
        <v>39289</v>
      </c>
      <c>
        <v>33909</v>
      </c>
      <c t="s">
        <v>18531</v>
      </c>
      <c t="s">
        <v>48794</v>
      </c>
      <c t="s">
        <v>45042</v>
      </c>
      <c>
        <v>1105</v>
      </c>
      <c r="AH2851" t="s">
        <v>26580</v>
      </c>
      <c t="s">
        <v>56489</v>
      </c>
      <c r="AK2851" t="s">
        <v>25384</v>
      </c>
      <c t="s">
        <v>17648</v>
      </c>
      <c r="AN2851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37402</v>
      </c>
      <c t="s">
        <v>57162</v>
      </c>
      <c t="s">
        <v>27757</v>
      </c>
      <c t="s">
        <v>34861</v>
      </c>
      <c s="3">
        <v>39191</v>
      </c>
      <c s="3">
        <v>39191</v>
      </c>
      <c s="3">
        <v>15044</v>
      </c>
      <c>
        <v>0</v>
      </c>
      <c s="3">
        <v>0</v>
      </c>
      <c s="3">
        <v>794.88</v>
      </c>
      <c s="3">
        <v>39191</v>
      </c>
      <c r="O2852" s="1" t="str">
        <f ca="1">HYPERLINK("https://web.datatree.com/?/property?propertyId=33048555", "https://web.datatree.com/?/property?propertyId=33048555")</f>
        <v>https://web.datatree.com/?/property?propertyId=33048555</v>
      </c>
      <c r="Q2852" t="s">
        <v>316</v>
      </c>
      <c>
        <v>0.23</v>
      </c>
      <c t="s">
        <v>6175</v>
      </c>
      <c t="s">
        <v>4868</v>
      </c>
      <c t="s">
        <v>67153</v>
      </c>
      <c r="X2852" t="s">
        <v>29848</v>
      </c>
      <c t="s">
        <v>38550</v>
      </c>
      <c t="s">
        <v>2517</v>
      </c>
      <c t="s">
        <v>39289</v>
      </c>
      <c>
        <v>33909</v>
      </c>
      <c t="s">
        <v>66257</v>
      </c>
      <c t="s">
        <v>48794</v>
      </c>
      <c t="s">
        <v>46849</v>
      </c>
      <c>
        <v>1103</v>
      </c>
      <c r="AI2852" t="s">
        <v>13255</v>
      </c>
      <c t="s">
        <v>31192</v>
      </c>
      <c r="AL2852" t="s">
        <v>9949</v>
      </c>
      <c r="AN2852" t="s">
        <v>27481</v>
      </c>
      <c t="s">
        <v>58778</v>
      </c>
      <c t="s">
        <v>4797</v>
      </c>
      <c t="s">
        <v>3093</v>
      </c>
      <c t="s">
        <v>20076</v>
      </c>
    </row>
    <row>
      <c t="s">
        <v>17594</v>
      </c>
      <c t="s">
        <v>55103</v>
      </c>
      <c t="s">
        <v>35843</v>
      </c>
      <c t="s">
        <v>2838</v>
      </c>
      <c t="s">
        <v>13418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853" s="1" t="str">
        <f ca="1">HYPERLINK("https://web.datatree.com/?/property?propertyId=33049202", "https://web.datatree.com/?/property?propertyId=33049202")</f>
        <v>https://web.datatree.com/?/property?propertyId=33049202</v>
      </c>
      <c r="Q2853" t="s">
        <v>316</v>
      </c>
      <c>
        <v>0.23</v>
      </c>
      <c t="s">
        <v>22490</v>
      </c>
      <c t="s">
        <v>552</v>
      </c>
      <c t="s">
        <v>5446</v>
      </c>
      <c t="s">
        <v>19425</v>
      </c>
      <c t="s">
        <v>5446</v>
      </c>
      <c t="s">
        <v>59212</v>
      </c>
      <c t="s">
        <v>49674</v>
      </c>
      <c t="s">
        <v>2517</v>
      </c>
      <c t="s">
        <v>39289</v>
      </c>
      <c>
        <v>33909</v>
      </c>
      <c t="s">
        <v>49443</v>
      </c>
      <c t="s">
        <v>48794</v>
      </c>
      <c t="s">
        <v>64057</v>
      </c>
      <c>
        <v>1</v>
      </c>
      <c r="AI2853" t="s">
        <v>25384</v>
      </c>
      <c r="AL2853" t="s">
        <v>44680</v>
      </c>
      <c r="AN2853" t="s">
        <v>26443</v>
      </c>
      <c>
        <v>52074</v>
      </c>
      <c r="AR2853" t="s">
        <v>19630</v>
      </c>
    </row>
    <row>
      <c t="s">
        <v>17594</v>
      </c>
      <c t="s">
        <v>29647</v>
      </c>
      <c t="s">
        <v>17844</v>
      </c>
      <c t="s">
        <v>16110</v>
      </c>
      <c t="s">
        <v>58677</v>
      </c>
      <c s="3">
        <v>18361</v>
      </c>
      <c s="3">
        <v>18361</v>
      </c>
      <c s="3">
        <v>9339</v>
      </c>
      <c>
        <v>0</v>
      </c>
      <c s="3">
        <v>0</v>
      </c>
      <c s="3">
        <v>575.99</v>
      </c>
      <c s="3">
        <v>18361</v>
      </c>
      <c>
        <v>2021</v>
      </c>
      <c>
        <v>541.3</v>
      </c>
      <c s="1" t="str">
        <f ca="1">HYPERLINK("https://web.datatree.com/?/property?propertyId=33049259", "https://web.datatree.com/?/property?propertyId=33049259")</f>
        <v>https://web.datatree.com/?/property?propertyId=33049259</v>
      </c>
      <c r="Q2854" t="s">
        <v>316</v>
      </c>
      <c>
        <v>0.23</v>
      </c>
      <c t="s">
        <v>6175</v>
      </c>
      <c t="s">
        <v>59191</v>
      </c>
      <c t="s">
        <v>61958</v>
      </c>
      <c r="X2854" t="s">
        <v>4250</v>
      </c>
      <c t="s">
        <v>46469</v>
      </c>
      <c t="s">
        <v>2517</v>
      </c>
      <c t="s">
        <v>39289</v>
      </c>
      <c>
        <v>33909</v>
      </c>
      <c t="s">
        <v>38214</v>
      </c>
      <c t="s">
        <v>48794</v>
      </c>
      <c t="s">
        <v>26610</v>
      </c>
      <c>
        <v>1119</v>
      </c>
      <c r="AI2854" t="s">
        <v>61678</v>
      </c>
      <c t="s">
        <v>55842</v>
      </c>
      <c r="AL2854" t="s">
        <v>5977</v>
      </c>
      <c r="AN2854" t="s">
        <v>39289</v>
      </c>
      <c t="s">
        <v>40696</v>
      </c>
      <c t="s">
        <v>35679</v>
      </c>
      <c t="s">
        <v>3093</v>
      </c>
      <c t="s">
        <v>30121</v>
      </c>
    </row>
    <row>
      <c t="s">
        <v>17594</v>
      </c>
      <c t="s">
        <v>66165</v>
      </c>
      <c t="s">
        <v>14715</v>
      </c>
      <c t="s">
        <v>39826</v>
      </c>
      <c t="s">
        <v>26851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2855" s="1" t="str">
        <f ca="1">HYPERLINK("https://web.datatree.com/?/property?propertyId=33049271", "https://web.datatree.com/?/property?propertyId=33049271")</f>
        <v>https://web.datatree.com/?/property?propertyId=33049271</v>
      </c>
      <c r="Q2855" t="s">
        <v>316</v>
      </c>
      <c>
        <v>0.23</v>
      </c>
      <c t="s">
        <v>22490</v>
      </c>
      <c t="s">
        <v>3293</v>
      </c>
      <c t="s">
        <v>7138</v>
      </c>
      <c t="s">
        <v>6302</v>
      </c>
      <c t="s">
        <v>7138</v>
      </c>
      <c t="s">
        <v>32993</v>
      </c>
      <c t="s">
        <v>2626</v>
      </c>
      <c t="s">
        <v>2517</v>
      </c>
      <c t="s">
        <v>39289</v>
      </c>
      <c>
        <v>33909</v>
      </c>
      <c t="s">
        <v>164</v>
      </c>
      <c t="s">
        <v>48794</v>
      </c>
      <c t="s">
        <v>28088</v>
      </c>
      <c>
        <v>21753</v>
      </c>
      <c r="AI2855" t="s">
        <v>14439</v>
      </c>
      <c t="s">
        <v>45620</v>
      </c>
      <c r="AL2855" t="s">
        <v>17717</v>
      </c>
      <c t="s">
        <v>17717</v>
      </c>
      <c t="s">
        <v>65451</v>
      </c>
      <c>
        <v>90275</v>
      </c>
      <c r="AQ2855" t="s">
        <v>3093</v>
      </c>
      <c t="s">
        <v>10326</v>
      </c>
    </row>
    <row>
      <c t="s">
        <v>17594</v>
      </c>
      <c t="s">
        <v>56827</v>
      </c>
      <c t="s">
        <v>53566</v>
      </c>
      <c t="s">
        <v>21990</v>
      </c>
      <c t="s">
        <v>44875</v>
      </c>
      <c s="3">
        <v>17399</v>
      </c>
      <c s="3">
        <v>17399</v>
      </c>
      <c s="3">
        <v>8470</v>
      </c>
      <c>
        <v>0</v>
      </c>
      <c s="3">
        <v>0</v>
      </c>
      <c s="3">
        <v>576.29</v>
      </c>
      <c s="3">
        <v>17399</v>
      </c>
      <c r="O2856" s="1" t="str">
        <f ca="1">HYPERLINK("https://web.datatree.com/?/property?propertyId=33049306", "https://web.datatree.com/?/property?propertyId=33049306")</f>
        <v>https://web.datatree.com/?/property?propertyId=33049306</v>
      </c>
      <c r="Q2856" t="s">
        <v>316</v>
      </c>
      <c>
        <v>0.243</v>
      </c>
      <c t="s">
        <v>6175</v>
      </c>
      <c t="s">
        <v>12385</v>
      </c>
      <c t="s">
        <v>22081</v>
      </c>
      <c r="X2856" t="s">
        <v>14721</v>
      </c>
      <c t="s">
        <v>14534</v>
      </c>
      <c t="s">
        <v>2517</v>
      </c>
      <c t="s">
        <v>39289</v>
      </c>
      <c>
        <v>33909</v>
      </c>
      <c t="s">
        <v>51682</v>
      </c>
      <c t="s">
        <v>48794</v>
      </c>
      <c t="s">
        <v>31137</v>
      </c>
      <c>
        <v>1435</v>
      </c>
      <c r="AI2856" t="s">
        <v>5578</v>
      </c>
      <c t="s">
        <v>24900</v>
      </c>
      <c r="AL2856" t="s">
        <v>8109</v>
      </c>
      <c r="AN2856" t="s">
        <v>50917</v>
      </c>
      <c t="s">
        <v>46173</v>
      </c>
      <c t="s">
        <v>1951</v>
      </c>
      <c t="s">
        <v>3093</v>
      </c>
      <c t="s">
        <v>576</v>
      </c>
    </row>
    <row>
      <c t="s">
        <v>17594</v>
      </c>
      <c t="s">
        <v>5586</v>
      </c>
      <c t="s">
        <v>54318</v>
      </c>
      <c t="s">
        <v>24916</v>
      </c>
      <c t="s">
        <v>52845</v>
      </c>
      <c s="3">
        <v>10080</v>
      </c>
      <c s="3">
        <v>10080</v>
      </c>
      <c s="3">
        <v>10080</v>
      </c>
      <c>
        <v>0</v>
      </c>
      <c s="3">
        <v>0</v>
      </c>
      <c s="3">
        <v>713.88</v>
      </c>
      <c s="3">
        <v>10080</v>
      </c>
      <c r="O2857" s="1" t="str">
        <f ca="1">HYPERLINK("https://web.datatree.com/?/property?propertyId=33049551", "https://web.datatree.com/?/property?propertyId=33049551")</f>
        <v>https://web.datatree.com/?/property?propertyId=33049551</v>
      </c>
      <c r="Q2857" t="s">
        <v>316</v>
      </c>
      <c>
        <v>0.344</v>
      </c>
      <c t="s">
        <v>22490</v>
      </c>
      <c t="s">
        <v>18380</v>
      </c>
      <c t="s">
        <v>54517</v>
      </c>
      <c t="s">
        <v>12173</v>
      </c>
      <c t="s">
        <v>54517</v>
      </c>
      <c t="s">
        <v>9739</v>
      </c>
      <c t="s">
        <v>2619</v>
      </c>
      <c t="s">
        <v>2517</v>
      </c>
      <c t="s">
        <v>39289</v>
      </c>
      <c>
        <v>33909</v>
      </c>
      <c t="s">
        <v>49833</v>
      </c>
      <c t="s">
        <v>48794</v>
      </c>
      <c t="s">
        <v>41011</v>
      </c>
      <c>
        <v>212</v>
      </c>
      <c r="AI2857" t="s">
        <v>50888</v>
      </c>
      <c t="s">
        <v>45620</v>
      </c>
      <c r="AL2857" t="s">
        <v>21376</v>
      </c>
      <c r="AN2857" t="s">
        <v>49572</v>
      </c>
      <c t="s">
        <v>65917</v>
      </c>
      <c t="s">
        <v>44843</v>
      </c>
      <c t="s">
        <v>3093</v>
      </c>
      <c t="s">
        <v>37830</v>
      </c>
    </row>
    <row>
      <c t="s">
        <v>17594</v>
      </c>
      <c t="s">
        <v>4786</v>
      </c>
      <c t="s">
        <v>44006</v>
      </c>
      <c t="s">
        <v>45597</v>
      </c>
      <c t="s">
        <v>27284</v>
      </c>
      <c s="3">
        <v>8640</v>
      </c>
      <c s="3">
        <v>8640</v>
      </c>
      <c s="3">
        <v>4972</v>
      </c>
      <c>
        <v>0</v>
      </c>
      <c s="3">
        <v>0</v>
      </c>
      <c s="3">
        <v>316.66</v>
      </c>
      <c s="3">
        <v>8640</v>
      </c>
      <c r="O2858" s="1" t="str">
        <f ca="1">HYPERLINK("https://web.datatree.com/?/property?propertyId=33049736", "https://web.datatree.com/?/property?propertyId=33049736")</f>
        <v>https://web.datatree.com/?/property?propertyId=33049736</v>
      </c>
      <c r="Q2858" t="s">
        <v>316</v>
      </c>
      <c>
        <v>0.237</v>
      </c>
      <c t="s">
        <v>5471</v>
      </c>
      <c t="s">
        <v>66344</v>
      </c>
      <c t="s">
        <v>18889</v>
      </c>
      <c r="X2858" t="s">
        <v>59208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33874</v>
      </c>
      <c t="s">
        <v>58252</v>
      </c>
      <c r="AI2858" t="s">
        <v>35967</v>
      </c>
      <c r="AK2858">
        <v>30</v>
      </c>
      <c t="s">
        <v>60998</v>
      </c>
      <c r="AN2858" t="s">
        <v>14798</v>
      </c>
      <c r="AR2858" t="s">
        <v>21302</v>
      </c>
    </row>
    <row>
      <c t="s">
        <v>42103</v>
      </c>
      <c t="s">
        <v>35245</v>
      </c>
      <c t="s">
        <v>35094</v>
      </c>
      <c t="s">
        <v>49201</v>
      </c>
      <c t="s">
        <v>20700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>
        <v>2021</v>
      </c>
      <c>
        <v>534.29</v>
      </c>
      <c s="1" t="str">
        <f ca="1">HYPERLINK("https://web.datatree.com/?/property?propertyId=33049803", "https://web.datatree.com/?/property?propertyId=33049803")</f>
        <v>https://web.datatree.com/?/property?propertyId=33049803</v>
      </c>
      <c r="Q2859" t="s">
        <v>316</v>
      </c>
      <c>
        <v>0.23</v>
      </c>
      <c t="s">
        <v>6175</v>
      </c>
      <c t="s">
        <v>65878</v>
      </c>
      <c t="s">
        <v>43949</v>
      </c>
      <c r="X2859" t="s">
        <v>18879</v>
      </c>
      <c t="s">
        <v>15510</v>
      </c>
      <c t="s">
        <v>2517</v>
      </c>
      <c t="s">
        <v>39289</v>
      </c>
      <c>
        <v>33909</v>
      </c>
      <c t="s">
        <v>30704</v>
      </c>
      <c t="s">
        <v>48794</v>
      </c>
      <c t="s">
        <v>63338</v>
      </c>
      <c r="AI2859" t="s">
        <v>58220</v>
      </c>
      <c r="AK2859" t="s">
        <v>10124</v>
      </c>
      <c t="s">
        <v>47808</v>
      </c>
      <c r="AN2859" t="s">
        <v>14798</v>
      </c>
      <c r="AQ2859" t="s">
        <v>3093</v>
      </c>
      <c t="s">
        <v>37564</v>
      </c>
    </row>
    <row>
      <c t="s">
        <v>17594</v>
      </c>
      <c t="s">
        <v>51396</v>
      </c>
      <c t="s">
        <v>24731</v>
      </c>
      <c t="s">
        <v>29113</v>
      </c>
      <c t="s">
        <v>613</v>
      </c>
      <c s="3">
        <v>47435</v>
      </c>
      <c s="3">
        <v>47435</v>
      </c>
      <c s="3">
        <v>47435</v>
      </c>
      <c>
        <v>0</v>
      </c>
      <c s="3">
        <v>0</v>
      </c>
      <c s="3">
        <v>1347.84</v>
      </c>
      <c s="3">
        <v>47435</v>
      </c>
      <c r="O2860" s="1" t="str">
        <f ca="1">HYPERLINK("https://web.datatree.com/?/property?propertyId=33050248", "https://web.datatree.com/?/property?propertyId=33050248")</f>
        <v>https://web.datatree.com/?/property?propertyId=33050248</v>
      </c>
      <c r="Q2860" t="s">
        <v>316</v>
      </c>
      <c>
        <v>0.344</v>
      </c>
      <c t="s">
        <v>22490</v>
      </c>
      <c t="s">
        <v>12732</v>
      </c>
      <c t="s">
        <v>35477</v>
      </c>
      <c t="s">
        <v>58699</v>
      </c>
      <c t="s">
        <v>19843</v>
      </c>
      <c t="s">
        <v>42241</v>
      </c>
      <c t="s">
        <v>38550</v>
      </c>
      <c t="s">
        <v>2517</v>
      </c>
      <c t="s">
        <v>39289</v>
      </c>
      <c>
        <v>33909</v>
      </c>
      <c t="s">
        <v>19466</v>
      </c>
      <c t="s">
        <v>48794</v>
      </c>
      <c t="s">
        <v>10060</v>
      </c>
      <c>
        <v>7642</v>
      </c>
      <c r="AI2860" t="s">
        <v>62468</v>
      </c>
      <c t="s">
        <v>20615</v>
      </c>
      <c r="AL2860" t="s">
        <v>16865</v>
      </c>
      <c t="s">
        <v>6188</v>
      </c>
      <c t="s">
        <v>27481</v>
      </c>
      <c t="s">
        <v>40818</v>
      </c>
      <c t="s">
        <v>39566</v>
      </c>
      <c t="s">
        <v>3093</v>
      </c>
      <c t="s">
        <v>60960</v>
      </c>
    </row>
    <row>
      <c t="s">
        <v>17594</v>
      </c>
      <c t="s">
        <v>20417</v>
      </c>
      <c t="s">
        <v>36099</v>
      </c>
      <c t="s">
        <v>4778</v>
      </c>
      <c t="s">
        <v>47375</v>
      </c>
      <c s="3">
        <v>96485</v>
      </c>
      <c s="3">
        <v>86250</v>
      </c>
      <c s="3">
        <v>82672</v>
      </c>
      <c>
        <v>0</v>
      </c>
      <c s="3">
        <v>0</v>
      </c>
      <c s="3">
        <v>1319.39</v>
      </c>
      <c s="3">
        <v>96485</v>
      </c>
      <c r="O2861" s="1" t="str">
        <f ca="1">HYPERLINK("https://web.datatree.com/?/property?propertyId=33050413", "https://web.datatree.com/?/property?propertyId=33050413")</f>
        <v>https://web.datatree.com/?/property?propertyId=33050413</v>
      </c>
      <c r="Q2861" t="s">
        <v>316</v>
      </c>
      <c>
        <v>0.111</v>
      </c>
      <c t="s">
        <v>26492</v>
      </c>
      <c t="s">
        <v>13273</v>
      </c>
      <c t="s">
        <v>10916</v>
      </c>
      <c r="X2861" t="s">
        <v>60844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27832</v>
      </c>
      <c>
        <v>518</v>
      </c>
      <c r="AI2861" t="s">
        <v>49799</v>
      </c>
      <c t="s">
        <v>835</v>
      </c>
      <c r="AL2861" t="s">
        <v>42587</v>
      </c>
      <c t="s">
        <v>42587</v>
      </c>
      <c t="s">
        <v>63985</v>
      </c>
      <c t="s">
        <v>41502</v>
      </c>
      <c t="s">
        <v>49977</v>
      </c>
      <c t="s">
        <v>3093</v>
      </c>
      <c t="s">
        <v>15056</v>
      </c>
    </row>
    <row>
      <c t="s">
        <v>17594</v>
      </c>
      <c t="s">
        <v>56889</v>
      </c>
      <c t="s">
        <v>49880</v>
      </c>
      <c t="s">
        <v>31704</v>
      </c>
      <c t="s">
        <v>51107</v>
      </c>
      <c s="3">
        <v>46512</v>
      </c>
      <c s="3">
        <v>46512</v>
      </c>
      <c s="3">
        <v>22824</v>
      </c>
      <c>
        <v>0</v>
      </c>
      <c s="3">
        <v>0</v>
      </c>
      <c s="3">
        <v>962.03</v>
      </c>
      <c s="3">
        <v>46512</v>
      </c>
      <c r="O2862" s="1" t="str">
        <f ca="1">HYPERLINK("https://web.datatree.com/?/property?propertyId=33050414", "https://web.datatree.com/?/property?propertyId=33050414")</f>
        <v>https://web.datatree.com/?/property?propertyId=33050414</v>
      </c>
      <c r="Q2862" t="s">
        <v>316</v>
      </c>
      <c>
        <v>0.286</v>
      </c>
      <c t="s">
        <v>43534</v>
      </c>
      <c t="s">
        <v>9157</v>
      </c>
      <c t="s">
        <v>32265</v>
      </c>
      <c t="s">
        <v>11839</v>
      </c>
      <c t="s">
        <v>32265</v>
      </c>
      <c t="s">
        <v>64217</v>
      </c>
      <c t="s">
        <v>28635</v>
      </c>
      <c t="s">
        <v>2517</v>
      </c>
      <c t="s">
        <v>39289</v>
      </c>
      <c>
        <v>33904</v>
      </c>
      <c t="s">
        <v>18311</v>
      </c>
      <c t="s">
        <v>48794</v>
      </c>
      <c t="s">
        <v>36762</v>
      </c>
      <c r="AI2862" t="s">
        <v>45555</v>
      </c>
      <c r="AL2862" t="s">
        <v>23914</v>
      </c>
      <c t="s">
        <v>23914</v>
      </c>
      <c t="s">
        <v>10804</v>
      </c>
      <c>
        <v>28816</v>
      </c>
      <c r="AR2862" t="s">
        <v>9480</v>
      </c>
    </row>
    <row>
      <c t="s">
        <v>17594</v>
      </c>
      <c t="s">
        <v>18648</v>
      </c>
      <c t="s">
        <v>3855</v>
      </c>
      <c t="s">
        <v>58785</v>
      </c>
      <c t="s">
        <v>39493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2863" s="1" t="str">
        <f ca="1">HYPERLINK("https://web.datatree.com/?/property?propertyId=33050442", "https://web.datatree.com/?/property?propertyId=33050442")</f>
        <v>https://web.datatree.com/?/property?propertyId=33050442</v>
      </c>
      <c r="Q2863" t="s">
        <v>316</v>
      </c>
      <c>
        <v>0.241</v>
      </c>
      <c t="s">
        <v>6175</v>
      </c>
      <c t="s">
        <v>11374</v>
      </c>
      <c t="s">
        <v>38948</v>
      </c>
      <c t="s">
        <v>42532</v>
      </c>
      <c t="s">
        <v>38948</v>
      </c>
      <c t="s">
        <v>27105</v>
      </c>
      <c t="s">
        <v>25017</v>
      </c>
      <c t="s">
        <v>2517</v>
      </c>
      <c t="s">
        <v>39289</v>
      </c>
      <c>
        <v>33909</v>
      </c>
      <c t="s">
        <v>64834</v>
      </c>
      <c t="s">
        <v>48794</v>
      </c>
      <c t="s">
        <v>768</v>
      </c>
      <c>
        <v>2288</v>
      </c>
      <c r="AI2863" t="s">
        <v>58467</v>
      </c>
      <c t="s">
        <v>56275</v>
      </c>
      <c r="AL2863" t="s">
        <v>36153</v>
      </c>
      <c t="s">
        <v>36153</v>
      </c>
      <c t="s">
        <v>40451</v>
      </c>
      <c t="s">
        <v>60521</v>
      </c>
      <c t="s">
        <v>35354</v>
      </c>
      <c t="s">
        <v>3093</v>
      </c>
      <c t="s">
        <v>38132</v>
      </c>
    </row>
    <row>
      <c t="s">
        <v>17594</v>
      </c>
      <c t="s">
        <v>45890</v>
      </c>
      <c t="s">
        <v>38861</v>
      </c>
      <c t="s">
        <v>45253</v>
      </c>
      <c t="s">
        <v>25158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2864" s="1" t="str">
        <f ca="1">HYPERLINK("https://web.datatree.com/?/property?propertyId=33050658", "https://web.datatree.com/?/property?propertyId=33050658")</f>
        <v>https://web.datatree.com/?/property?propertyId=33050658</v>
      </c>
      <c r="Q2864" t="s">
        <v>316</v>
      </c>
      <c>
        <v>0.23</v>
      </c>
      <c t="s">
        <v>48908</v>
      </c>
      <c t="s">
        <v>50174</v>
      </c>
      <c t="s">
        <v>57248</v>
      </c>
      <c r="X2864" t="s">
        <v>40678</v>
      </c>
      <c t="s">
        <v>53675</v>
      </c>
      <c t="s">
        <v>2517</v>
      </c>
      <c t="s">
        <v>39289</v>
      </c>
      <c>
        <v>33909</v>
      </c>
      <c t="s">
        <v>21686</v>
      </c>
      <c t="s">
        <v>48794</v>
      </c>
      <c t="s">
        <v>37133</v>
      </c>
      <c>
        <v>15</v>
      </c>
      <c r="AI2864" t="s">
        <v>11665</v>
      </c>
      <c t="s">
        <v>55842</v>
      </c>
      <c r="AL2864" t="s">
        <v>22171</v>
      </c>
      <c r="AN2864" t="s">
        <v>7157</v>
      </c>
      <c>
        <v>106</v>
      </c>
      <c r="AR2864" t="s">
        <v>24906</v>
      </c>
    </row>
    <row>
      <c t="s">
        <v>17594</v>
      </c>
      <c t="s">
        <v>56669</v>
      </c>
      <c t="s">
        <v>20320</v>
      </c>
      <c t="s">
        <v>36990</v>
      </c>
      <c t="s">
        <v>48999</v>
      </c>
      <c s="3">
        <v>26249</v>
      </c>
      <c s="3">
        <v>26249</v>
      </c>
      <c s="3">
        <v>9339</v>
      </c>
      <c>
        <v>0</v>
      </c>
      <c s="3">
        <v>0</v>
      </c>
      <c s="3">
        <v>731.25</v>
      </c>
      <c s="3">
        <v>26249</v>
      </c>
      <c r="O2865" s="1" t="str">
        <f ca="1">HYPERLINK("https://web.datatree.com/?/property?propertyId=33050978", "https://web.datatree.com/?/property?propertyId=33050978")</f>
        <v>https://web.datatree.com/?/property?propertyId=33050978</v>
      </c>
      <c r="Q2865" t="s">
        <v>316</v>
      </c>
      <c>
        <v>0.23</v>
      </c>
      <c t="s">
        <v>65422</v>
      </c>
      <c t="s">
        <v>16388</v>
      </c>
      <c t="s">
        <v>3986</v>
      </c>
      <c r="X2865" t="s">
        <v>34010</v>
      </c>
      <c t="s">
        <v>39082</v>
      </c>
      <c t="s">
        <v>2517</v>
      </c>
      <c t="s">
        <v>39289</v>
      </c>
      <c>
        <v>33909</v>
      </c>
      <c t="s">
        <v>61346</v>
      </c>
      <c t="s">
        <v>48794</v>
      </c>
      <c t="s">
        <v>38532</v>
      </c>
      <c>
        <v>22607</v>
      </c>
      <c r="AI2865" t="s">
        <v>19732</v>
      </c>
      <c t="s">
        <v>26125</v>
      </c>
      <c r="AL2865" t="s">
        <v>51148</v>
      </c>
      <c r="AN2865" t="s">
        <v>39289</v>
      </c>
      <c t="s">
        <v>28115</v>
      </c>
      <c t="s">
        <v>56186</v>
      </c>
      <c t="s">
        <v>3093</v>
      </c>
      <c t="s">
        <v>52857</v>
      </c>
    </row>
    <row>
      <c t="s">
        <v>17594</v>
      </c>
      <c t="s">
        <v>6187</v>
      </c>
      <c t="s">
        <v>34997</v>
      </c>
      <c t="s">
        <v>57449</v>
      </c>
      <c t="s">
        <v>3308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2866" s="1" t="str">
        <f ca="1">HYPERLINK("https://web.datatree.com/?/property?propertyId=33051139", "https://web.datatree.com/?/property?propertyId=33051139")</f>
        <v>https://web.datatree.com/?/property?propertyId=33051139</v>
      </c>
      <c r="Q2866" t="s">
        <v>316</v>
      </c>
      <c>
        <v>0.23</v>
      </c>
      <c t="s">
        <v>22490</v>
      </c>
      <c t="s">
        <v>59751</v>
      </c>
      <c t="s">
        <v>7968</v>
      </c>
      <c r="X2866" t="s">
        <v>45605</v>
      </c>
      <c t="s">
        <v>39082</v>
      </c>
      <c t="s">
        <v>2517</v>
      </c>
      <c t="s">
        <v>39289</v>
      </c>
      <c>
        <v>33909</v>
      </c>
      <c t="s">
        <v>39109</v>
      </c>
      <c t="s">
        <v>48794</v>
      </c>
      <c t="s">
        <v>34646</v>
      </c>
      <c>
        <v>121</v>
      </c>
      <c r="AI2866" t="s">
        <v>56196</v>
      </c>
      <c t="s">
        <v>55842</v>
      </c>
      <c r="AL2866" t="s">
        <v>11720</v>
      </c>
      <c r="AN2866" t="s">
        <v>10804</v>
      </c>
      <c t="s">
        <v>31331</v>
      </c>
      <c t="s">
        <v>5652</v>
      </c>
      <c t="s">
        <v>3093</v>
      </c>
      <c t="s">
        <v>38184</v>
      </c>
    </row>
    <row>
      <c t="s">
        <v>17594</v>
      </c>
      <c t="s">
        <v>43851</v>
      </c>
      <c t="s">
        <v>36430</v>
      </c>
      <c t="s">
        <v>28948</v>
      </c>
      <c t="s">
        <v>9567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2867" s="1" t="str">
        <f ca="1">HYPERLINK("https://web.datatree.com/?/property?propertyId=33051409", "https://web.datatree.com/?/property?propertyId=33051409")</f>
        <v>https://web.datatree.com/?/property?propertyId=33051409</v>
      </c>
      <c r="Q2867" t="s">
        <v>316</v>
      </c>
      <c>
        <v>0.23</v>
      </c>
      <c t="s">
        <v>22490</v>
      </c>
      <c t="s">
        <v>59722</v>
      </c>
      <c t="s">
        <v>20751</v>
      </c>
      <c r="X2867" t="s">
        <v>26932</v>
      </c>
      <c t="s">
        <v>49674</v>
      </c>
      <c t="s">
        <v>2517</v>
      </c>
      <c t="s">
        <v>39289</v>
      </c>
      <c>
        <v>33909</v>
      </c>
      <c t="s">
        <v>4274</v>
      </c>
      <c t="s">
        <v>48794</v>
      </c>
      <c t="s">
        <v>44690</v>
      </c>
      <c>
        <v>4265</v>
      </c>
      <c r="AI2867" t="s">
        <v>11498</v>
      </c>
      <c t="s">
        <v>45620</v>
      </c>
      <c>
        <v>322</v>
      </c>
      <c t="s">
        <v>27266</v>
      </c>
      <c t="s">
        <v>27266</v>
      </c>
      <c t="s">
        <v>65451</v>
      </c>
      <c t="s">
        <v>8600</v>
      </c>
      <c t="s">
        <v>17380</v>
      </c>
      <c t="s">
        <v>3093</v>
      </c>
      <c t="s">
        <v>21807</v>
      </c>
    </row>
    <row>
      <c t="s">
        <v>42103</v>
      </c>
      <c t="s">
        <v>21420</v>
      </c>
      <c t="s">
        <v>41380</v>
      </c>
      <c t="s">
        <v>24640</v>
      </c>
      <c t="s">
        <v>31741</v>
      </c>
      <c s="3">
        <v>34102</v>
      </c>
      <c s="3">
        <v>34102</v>
      </c>
      <c s="3">
        <v>26160</v>
      </c>
      <c>
        <v>0</v>
      </c>
      <c s="3">
        <v>0</v>
      </c>
      <c s="3">
        <v>85.39</v>
      </c>
      <c s="3">
        <v>34102</v>
      </c>
      <c r="O2868" s="1" t="str">
        <f ca="1">HYPERLINK("https://web.datatree.com/?/property?propertyId=33051748", "https://web.datatree.com/?/property?propertyId=33051748")</f>
        <v>https://web.datatree.com/?/property?propertyId=33051748</v>
      </c>
      <c r="Q2868" t="s">
        <v>316</v>
      </c>
      <c>
        <v>0.095</v>
      </c>
      <c t="s">
        <v>23582</v>
      </c>
      <c t="s">
        <v>46990</v>
      </c>
      <c t="s">
        <v>54744</v>
      </c>
      <c t="s">
        <v>2864</v>
      </c>
      <c t="s">
        <v>54744</v>
      </c>
      <c t="s">
        <v>39079</v>
      </c>
      <c t="s">
        <v>31245</v>
      </c>
      <c t="s">
        <v>65059</v>
      </c>
      <c t="s">
        <v>39289</v>
      </c>
      <c>
        <v>33908</v>
      </c>
      <c t="s">
        <v>3386</v>
      </c>
      <c t="s">
        <v>48794</v>
      </c>
      <c t="s">
        <v>31430</v>
      </c>
      <c r="AI2868" t="s">
        <v>60981</v>
      </c>
      <c r="AL2868" t="s">
        <v>2207</v>
      </c>
      <c t="s">
        <v>2207</v>
      </c>
      <c t="s">
        <v>26443</v>
      </c>
      <c>
        <v>51521</v>
      </c>
      <c t="s">
        <v>61207</v>
      </c>
      <c t="s">
        <v>3093</v>
      </c>
      <c t="s">
        <v>38843</v>
      </c>
    </row>
    <row>
      <c t="s">
        <v>17594</v>
      </c>
      <c t="s">
        <v>30716</v>
      </c>
      <c t="s">
        <v>29711</v>
      </c>
      <c t="s">
        <v>4079</v>
      </c>
      <c t="s">
        <v>580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2869" s="1" t="str">
        <f ca="1">HYPERLINK("https://web.datatree.com/?/property?propertyId=33051948", "https://web.datatree.com/?/property?propertyId=33051948")</f>
        <v>https://web.datatree.com/?/property?propertyId=33051948</v>
      </c>
      <c r="Q2869" t="s">
        <v>316</v>
      </c>
      <c>
        <v>0.244</v>
      </c>
      <c t="s">
        <v>6175</v>
      </c>
      <c t="s">
        <v>56333</v>
      </c>
      <c t="s">
        <v>46676</v>
      </c>
      <c t="s">
        <v>47872</v>
      </c>
      <c t="s">
        <v>46676</v>
      </c>
      <c t="s">
        <v>33974</v>
      </c>
      <c t="s">
        <v>53663</v>
      </c>
      <c t="s">
        <v>2517</v>
      </c>
      <c t="s">
        <v>39289</v>
      </c>
      <c>
        <v>33909</v>
      </c>
      <c t="s">
        <v>55153</v>
      </c>
      <c t="s">
        <v>48794</v>
      </c>
      <c t="s">
        <v>29758</v>
      </c>
      <c>
        <v>1030</v>
      </c>
      <c r="AI2869" t="s">
        <v>3920</v>
      </c>
      <c t="s">
        <v>45393</v>
      </c>
      <c r="AL2869" t="s">
        <v>43004</v>
      </c>
      <c r="AN2869" t="s">
        <v>65451</v>
      </c>
      <c t="s">
        <v>62677</v>
      </c>
      <c t="s">
        <v>25140</v>
      </c>
      <c t="s">
        <v>3093</v>
      </c>
      <c t="s">
        <v>37749</v>
      </c>
    </row>
    <row>
      <c t="s">
        <v>17594</v>
      </c>
      <c t="s">
        <v>53527</v>
      </c>
      <c t="s">
        <v>56423</v>
      </c>
      <c t="s">
        <v>63475</v>
      </c>
      <c t="s">
        <v>43227</v>
      </c>
      <c s="3">
        <v>36210</v>
      </c>
      <c s="3">
        <v>36210</v>
      </c>
      <c s="3">
        <v>9339</v>
      </c>
      <c>
        <v>0</v>
      </c>
      <c s="3">
        <v>0</v>
      </c>
      <c s="3">
        <v>696.91</v>
      </c>
      <c s="3">
        <v>36210</v>
      </c>
      <c r="O2870" s="1" t="str">
        <f ca="1">HYPERLINK("https://web.datatree.com/?/property?propertyId=33052284", "https://web.datatree.com/?/property?propertyId=33052284")</f>
        <v>https://web.datatree.com/?/property?propertyId=33052284</v>
      </c>
      <c r="Q2870" t="s">
        <v>316</v>
      </c>
      <c>
        <v>0.27</v>
      </c>
      <c t="s">
        <v>65422</v>
      </c>
      <c t="s">
        <v>51344</v>
      </c>
      <c t="s">
        <v>49664</v>
      </c>
      <c r="X2870" t="s">
        <v>47060</v>
      </c>
      <c t="s">
        <v>8669</v>
      </c>
      <c t="s">
        <v>2517</v>
      </c>
      <c t="s">
        <v>39289</v>
      </c>
      <c>
        <v>33909</v>
      </c>
      <c>
        <v>33909</v>
      </c>
      <c t="s">
        <v>48794</v>
      </c>
      <c t="s">
        <v>19402</v>
      </c>
      <c>
        <v>5805</v>
      </c>
      <c r="AI2870" t="s">
        <v>47150</v>
      </c>
      <c t="s">
        <v>40123</v>
      </c>
      <c r="AL2870" t="s">
        <v>29515</v>
      </c>
      <c r="AN2870" t="s">
        <v>39289</v>
      </c>
      <c t="s">
        <v>52147</v>
      </c>
      <c t="s">
        <v>66620</v>
      </c>
      <c t="s">
        <v>3093</v>
      </c>
      <c t="s">
        <v>17332</v>
      </c>
    </row>
    <row>
      <c t="s">
        <v>17594</v>
      </c>
      <c t="s">
        <v>44069</v>
      </c>
      <c t="s">
        <v>22917</v>
      </c>
      <c t="s">
        <v>4432</v>
      </c>
      <c t="s">
        <v>24598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2871" s="1" t="str">
        <f ca="1">HYPERLINK("https://web.datatree.com/?/property?propertyId=33052364", "https://web.datatree.com/?/property?propertyId=33052364")</f>
        <v>https://web.datatree.com/?/property?propertyId=33052364</v>
      </c>
      <c r="Q2871" t="s">
        <v>316</v>
      </c>
      <c>
        <v>0.23</v>
      </c>
      <c t="s">
        <v>54449</v>
      </c>
      <c t="s">
        <v>66812</v>
      </c>
      <c t="s">
        <v>39982</v>
      </c>
      <c t="s">
        <v>64704</v>
      </c>
      <c t="s">
        <v>39982</v>
      </c>
      <c t="s">
        <v>60856</v>
      </c>
      <c t="s">
        <v>38550</v>
      </c>
      <c t="s">
        <v>2517</v>
      </c>
      <c t="s">
        <v>39289</v>
      </c>
      <c>
        <v>33909</v>
      </c>
      <c t="s">
        <v>59657</v>
      </c>
      <c t="s">
        <v>48794</v>
      </c>
      <c t="s">
        <v>34497</v>
      </c>
      <c>
        <v>8144</v>
      </c>
      <c r="AI2871" t="s">
        <v>59465</v>
      </c>
      <c t="s">
        <v>39321</v>
      </c>
      <c r="AL2871" t="s">
        <v>1121</v>
      </c>
      <c r="AN2871" t="s">
        <v>39289</v>
      </c>
      <c t="s">
        <v>57953</v>
      </c>
      <c t="s">
        <v>35679</v>
      </c>
      <c t="s">
        <v>3093</v>
      </c>
      <c t="s">
        <v>60039</v>
      </c>
    </row>
    <row>
      <c t="s">
        <v>17594</v>
      </c>
      <c t="s">
        <v>42350</v>
      </c>
      <c t="s">
        <v>1321</v>
      </c>
      <c t="s">
        <v>62667</v>
      </c>
      <c t="s">
        <v>13294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2872" s="1" t="str">
        <f ca="1">HYPERLINK("https://web.datatree.com/?/property?propertyId=33052535", "https://web.datatree.com/?/property?propertyId=33052535")</f>
        <v>https://web.datatree.com/?/property?propertyId=33052535</v>
      </c>
      <c r="Q2872" t="s">
        <v>316</v>
      </c>
      <c>
        <v>0.23</v>
      </c>
      <c t="s">
        <v>6175</v>
      </c>
      <c t="s">
        <v>552</v>
      </c>
      <c t="s">
        <v>53610</v>
      </c>
      <c r="X2872" t="s">
        <v>33464</v>
      </c>
      <c t="s">
        <v>10653</v>
      </c>
      <c t="s">
        <v>2517</v>
      </c>
      <c t="s">
        <v>39289</v>
      </c>
      <c>
        <v>33909</v>
      </c>
      <c t="s">
        <v>10927</v>
      </c>
      <c t="s">
        <v>48794</v>
      </c>
      <c t="s">
        <v>45095</v>
      </c>
      <c>
        <v>6900</v>
      </c>
      <c r="AI2872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55344</v>
      </c>
      <c t="s">
        <v>14981</v>
      </c>
      <c t="s">
        <v>61233</v>
      </c>
      <c t="s">
        <v>138</v>
      </c>
      <c s="3">
        <v>116280</v>
      </c>
      <c s="3">
        <v>116280</v>
      </c>
      <c s="3">
        <v>116280</v>
      </c>
      <c>
        <v>0</v>
      </c>
      <c s="3">
        <v>0</v>
      </c>
      <c s="3">
        <v>1711.84</v>
      </c>
      <c s="3">
        <v>116280</v>
      </c>
      <c r="O2873" s="1" t="str">
        <f ca="1">HYPERLINK("https://web.datatree.com/?/property?propertyId=33052728", "https://web.datatree.com/?/property?propertyId=33052728")</f>
        <v>https://web.datatree.com/?/property?propertyId=33052728</v>
      </c>
      <c r="Q2873" t="s">
        <v>316</v>
      </c>
      <c>
        <v>0.187</v>
      </c>
      <c t="s">
        <v>5471</v>
      </c>
      <c t="s">
        <v>11223</v>
      </c>
      <c t="s">
        <v>17442</v>
      </c>
      <c t="s">
        <v>60671</v>
      </c>
      <c t="s">
        <v>7454</v>
      </c>
      <c t="s">
        <v>46140</v>
      </c>
      <c t="s">
        <v>43312</v>
      </c>
      <c t="s">
        <v>54524</v>
      </c>
      <c t="s">
        <v>39289</v>
      </c>
      <c>
        <v>33903</v>
      </c>
      <c t="s">
        <v>706</v>
      </c>
      <c t="s">
        <v>48794</v>
      </c>
      <c t="s">
        <v>43532</v>
      </c>
      <c>
        <v>638</v>
      </c>
      <c r="AI2873" t="s">
        <v>41068</v>
      </c>
      <c t="s">
        <v>4985</v>
      </c>
      <c r="AL2873" t="s">
        <v>6408</v>
      </c>
      <c t="s">
        <v>6408</v>
      </c>
      <c t="s">
        <v>26016</v>
      </c>
      <c t="s">
        <v>28488</v>
      </c>
      <c t="s">
        <v>24707</v>
      </c>
      <c t="s">
        <v>3093</v>
      </c>
      <c t="s">
        <v>58068</v>
      </c>
    </row>
    <row>
      <c t="s">
        <v>17594</v>
      </c>
      <c t="s">
        <v>369</v>
      </c>
      <c t="s">
        <v>66896</v>
      </c>
      <c t="s">
        <v>8330</v>
      </c>
      <c t="s">
        <v>62794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>
        <v>2021</v>
      </c>
      <c>
        <v>525.35</v>
      </c>
      <c s="1" t="str">
        <f ca="1">HYPERLINK("https://web.datatree.com/?/property?propertyId=33053828", "https://web.datatree.com/?/property?propertyId=33053828")</f>
        <v>https://web.datatree.com/?/property?propertyId=33053828</v>
      </c>
      <c r="Q2874" t="s">
        <v>316</v>
      </c>
      <c>
        <v>0.23</v>
      </c>
      <c t="s">
        <v>6175</v>
      </c>
      <c t="s">
        <v>29382</v>
      </c>
      <c t="s">
        <v>743</v>
      </c>
      <c r="X2874" t="s">
        <v>37053</v>
      </c>
      <c t="s">
        <v>13829</v>
      </c>
      <c t="s">
        <v>2517</v>
      </c>
      <c t="s">
        <v>39289</v>
      </c>
      <c>
        <v>33909</v>
      </c>
      <c t="s">
        <v>18755</v>
      </c>
      <c t="s">
        <v>48794</v>
      </c>
      <c t="s">
        <v>25677</v>
      </c>
      <c>
        <v>276</v>
      </c>
      <c r="AI2874" t="s">
        <v>24964</v>
      </c>
      <c t="s">
        <v>24900</v>
      </c>
      <c r="AL2874" t="s">
        <v>61009</v>
      </c>
      <c r="AN2874" t="s">
        <v>26016</v>
      </c>
      <c t="s">
        <v>16635</v>
      </c>
      <c t="s">
        <v>26242</v>
      </c>
      <c t="s">
        <v>3093</v>
      </c>
      <c t="s">
        <v>39863</v>
      </c>
    </row>
    <row>
      <c t="s">
        <v>17594</v>
      </c>
      <c t="s">
        <v>61885</v>
      </c>
      <c t="s">
        <v>37954</v>
      </c>
      <c t="s">
        <v>30853</v>
      </c>
      <c t="s">
        <v>58511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2875" s="1" t="str">
        <f ca="1">HYPERLINK("https://web.datatree.com/?/property?propertyId=33054070", "https://web.datatree.com/?/property?propertyId=33054070")</f>
        <v>https://web.datatree.com/?/property?propertyId=33054070</v>
      </c>
      <c r="Q2875" t="s">
        <v>316</v>
      </c>
      <c>
        <v>0.23</v>
      </c>
      <c t="s">
        <v>6175</v>
      </c>
      <c t="s">
        <v>2140</v>
      </c>
      <c t="s">
        <v>20585</v>
      </c>
      <c t="s">
        <v>13419</v>
      </c>
      <c t="s">
        <v>20585</v>
      </c>
      <c t="s">
        <v>65989</v>
      </c>
      <c t="s">
        <v>2626</v>
      </c>
      <c t="s">
        <v>2517</v>
      </c>
      <c t="s">
        <v>39289</v>
      </c>
      <c>
        <v>33909</v>
      </c>
      <c t="s">
        <v>45229</v>
      </c>
      <c t="s">
        <v>48794</v>
      </c>
      <c t="s">
        <v>52102</v>
      </c>
      <c>
        <v>80</v>
      </c>
      <c r="AI2875" t="s">
        <v>35635</v>
      </c>
      <c t="s">
        <v>45393</v>
      </c>
      <c r="AL2875" t="s">
        <v>3014</v>
      </c>
      <c r="AN2875" t="s">
        <v>27747</v>
      </c>
      <c t="s">
        <v>37077</v>
      </c>
      <c t="s">
        <v>33029</v>
      </c>
      <c t="s">
        <v>3093</v>
      </c>
      <c t="s">
        <v>4468</v>
      </c>
    </row>
    <row>
      <c t="s">
        <v>17594</v>
      </c>
      <c t="s">
        <v>57355</v>
      </c>
      <c t="s">
        <v>42281</v>
      </c>
      <c t="s">
        <v>33458</v>
      </c>
      <c t="s">
        <v>10621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2876" s="1" t="str">
        <f ca="1">HYPERLINK("https://web.datatree.com/?/property?propertyId=33055102", "https://web.datatree.com/?/property?propertyId=33055102")</f>
        <v>https://web.datatree.com/?/property?propertyId=33055102</v>
      </c>
      <c r="Q2876" t="s">
        <v>316</v>
      </c>
      <c>
        <v>0.244</v>
      </c>
      <c t="s">
        <v>6175</v>
      </c>
      <c t="s">
        <v>52701</v>
      </c>
      <c t="s">
        <v>37460</v>
      </c>
      <c t="s">
        <v>18654</v>
      </c>
      <c t="s">
        <v>37460</v>
      </c>
      <c t="s">
        <v>2329</v>
      </c>
      <c t="s">
        <v>13478</v>
      </c>
      <c t="s">
        <v>2517</v>
      </c>
      <c t="s">
        <v>39289</v>
      </c>
      <c>
        <v>33909</v>
      </c>
      <c t="s">
        <v>45441</v>
      </c>
      <c t="s">
        <v>48794</v>
      </c>
      <c t="s">
        <v>12710</v>
      </c>
      <c>
        <v>124</v>
      </c>
      <c r="AI2876" t="s">
        <v>46201</v>
      </c>
      <c t="s">
        <v>41372</v>
      </c>
      <c r="AL2876" t="s">
        <v>66317</v>
      </c>
      <c r="AN2876" t="s">
        <v>50917</v>
      </c>
      <c t="s">
        <v>7778</v>
      </c>
      <c t="s">
        <v>12241</v>
      </c>
      <c t="s">
        <v>3093</v>
      </c>
      <c t="s">
        <v>27185</v>
      </c>
    </row>
    <row>
      <c t="s">
        <v>17594</v>
      </c>
      <c t="s">
        <v>28046</v>
      </c>
      <c t="s">
        <v>60738</v>
      </c>
      <c t="s">
        <v>54533</v>
      </c>
      <c t="s">
        <v>55700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2877" s="1" t="str">
        <f ca="1">HYPERLINK("https://web.datatree.com/?/property?propertyId=33055152", "https://web.datatree.com/?/property?propertyId=33055152")</f>
        <v>https://web.datatree.com/?/property?propertyId=33055152</v>
      </c>
      <c r="Q2877" t="s">
        <v>316</v>
      </c>
      <c>
        <v>0.23</v>
      </c>
      <c t="s">
        <v>22490</v>
      </c>
      <c t="s">
        <v>13491</v>
      </c>
      <c t="s">
        <v>23999</v>
      </c>
      <c r="X2877" t="s">
        <v>37295</v>
      </c>
      <c t="s">
        <v>2619</v>
      </c>
      <c t="s">
        <v>2517</v>
      </c>
      <c t="s">
        <v>39289</v>
      </c>
      <c>
        <v>33909</v>
      </c>
      <c t="s">
        <v>49833</v>
      </c>
      <c t="s">
        <v>48794</v>
      </c>
      <c t="s">
        <v>59382</v>
      </c>
      <c>
        <v>24</v>
      </c>
      <c r="AI2877" t="s">
        <v>33026</v>
      </c>
      <c t="s">
        <v>45620</v>
      </c>
      <c r="AL2877" t="s">
        <v>2578</v>
      </c>
      <c r="AN2877" t="s">
        <v>50917</v>
      </c>
      <c t="s">
        <v>57070</v>
      </c>
      <c t="s">
        <v>52247</v>
      </c>
      <c t="s">
        <v>3093</v>
      </c>
      <c t="s">
        <v>63497</v>
      </c>
    </row>
    <row>
      <c t="s">
        <v>17594</v>
      </c>
      <c t="s">
        <v>2411</v>
      </c>
      <c t="s">
        <v>21416</v>
      </c>
      <c t="s">
        <v>25808</v>
      </c>
      <c t="s">
        <v>40626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2878" s="1" t="str">
        <f ca="1">HYPERLINK("https://web.datatree.com/?/property?propertyId=33055484", "https://web.datatree.com/?/property?propertyId=33055484")</f>
        <v>https://web.datatree.com/?/property?propertyId=33055484</v>
      </c>
      <c r="Q2878" t="s">
        <v>316</v>
      </c>
      <c>
        <v>0.23</v>
      </c>
      <c t="s">
        <v>22490</v>
      </c>
      <c t="s">
        <v>17886</v>
      </c>
      <c t="s">
        <v>37079</v>
      </c>
      <c t="s">
        <v>56743</v>
      </c>
      <c t="s">
        <v>37079</v>
      </c>
      <c t="s">
        <v>38894</v>
      </c>
      <c t="s">
        <v>53675</v>
      </c>
      <c t="s">
        <v>2517</v>
      </c>
      <c t="s">
        <v>39289</v>
      </c>
      <c>
        <v>33909</v>
      </c>
      <c t="s">
        <v>4594</v>
      </c>
      <c t="s">
        <v>48794</v>
      </c>
      <c t="s">
        <v>11746</v>
      </c>
      <c r="AI2878" t="s">
        <v>26918</v>
      </c>
      <c r="AL2878" t="s">
        <v>32301</v>
      </c>
      <c r="AN2878" t="s">
        <v>13328</v>
      </c>
      <c>
        <v>0</v>
      </c>
      <c r="AR2878" t="s">
        <v>23633</v>
      </c>
    </row>
    <row>
      <c t="s">
        <v>17594</v>
      </c>
      <c t="s">
        <v>46848</v>
      </c>
      <c t="s">
        <v>50462</v>
      </c>
      <c t="s">
        <v>14413</v>
      </c>
      <c t="s">
        <v>56885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2879" s="1" t="str">
        <f ca="1">HYPERLINK("https://web.datatree.com/?/property?propertyId=33055783", "https://web.datatree.com/?/property?propertyId=33055783")</f>
        <v>https://web.datatree.com/?/property?propertyId=33055783</v>
      </c>
      <c r="Q2879" t="s">
        <v>316</v>
      </c>
      <c>
        <v>0.23</v>
      </c>
      <c t="s">
        <v>42044</v>
      </c>
      <c t="s">
        <v>30728</v>
      </c>
      <c t="s">
        <v>31276</v>
      </c>
      <c r="X2879" t="s">
        <v>9955</v>
      </c>
      <c t="s">
        <v>64331</v>
      </c>
      <c t="s">
        <v>2517</v>
      </c>
      <c t="s">
        <v>39289</v>
      </c>
      <c>
        <v>33909</v>
      </c>
      <c>
        <v>33909</v>
      </c>
      <c t="s">
        <v>48794</v>
      </c>
      <c t="s">
        <v>33123</v>
      </c>
      <c>
        <v>6882</v>
      </c>
      <c r="AI2879" t="s">
        <v>8225</v>
      </c>
      <c t="s">
        <v>45620</v>
      </c>
      <c r="AL2879" t="s">
        <v>15179</v>
      </c>
      <c r="AN2879" t="s">
        <v>39289</v>
      </c>
      <c t="s">
        <v>15875</v>
      </c>
      <c t="s">
        <v>33856</v>
      </c>
      <c t="s">
        <v>3093</v>
      </c>
      <c t="s">
        <v>36380</v>
      </c>
    </row>
    <row>
      <c t="s">
        <v>17594</v>
      </c>
      <c t="s">
        <v>50634</v>
      </c>
      <c t="s">
        <v>38917</v>
      </c>
      <c t="s">
        <v>5782</v>
      </c>
      <c t="s">
        <v>51687</v>
      </c>
      <c s="3">
        <v>108664</v>
      </c>
      <c s="3">
        <v>108664</v>
      </c>
      <c s="3">
        <v>18862</v>
      </c>
      <c>
        <v>0</v>
      </c>
      <c s="3">
        <v>0</v>
      </c>
      <c s="3">
        <v>1362.9</v>
      </c>
      <c s="3">
        <v>108664</v>
      </c>
      <c>
        <v>2021</v>
      </c>
      <c>
        <v>1310.38</v>
      </c>
      <c s="1" t="str">
        <f ca="1">HYPERLINK("https://web.datatree.com/?/property?propertyId=33056268", "https://web.datatree.com/?/property?propertyId=33056268")</f>
        <v>https://web.datatree.com/?/property?propertyId=33056268</v>
      </c>
      <c r="Q2880" t="s">
        <v>316</v>
      </c>
      <c>
        <v>0.551</v>
      </c>
      <c t="s">
        <v>42044</v>
      </c>
      <c t="s">
        <v>41819</v>
      </c>
      <c t="s">
        <v>53740</v>
      </c>
      <c r="X2880" t="s">
        <v>17109</v>
      </c>
      <c t="s">
        <v>8669</v>
      </c>
      <c t="s">
        <v>2517</v>
      </c>
      <c t="s">
        <v>39289</v>
      </c>
      <c>
        <v>33909</v>
      </c>
      <c t="s">
        <v>25516</v>
      </c>
      <c t="s">
        <v>48794</v>
      </c>
      <c t="s">
        <v>9885</v>
      </c>
      <c>
        <v>10809</v>
      </c>
      <c r="AI2880" t="s">
        <v>61865</v>
      </c>
      <c t="s">
        <v>45393</v>
      </c>
      <c>
        <v>21</v>
      </c>
      <c t="s">
        <v>55393</v>
      </c>
      <c r="AN2880" t="s">
        <v>39289</v>
      </c>
      <c t="s">
        <v>52414</v>
      </c>
      <c t="s">
        <v>8434</v>
      </c>
      <c t="s">
        <v>3093</v>
      </c>
      <c t="s">
        <v>34256</v>
      </c>
    </row>
    <row>
      <c t="s">
        <v>42103</v>
      </c>
      <c t="s">
        <v>67019</v>
      </c>
      <c t="s">
        <v>65459</v>
      </c>
      <c t="s">
        <v>24444</v>
      </c>
      <c t="s">
        <v>40711</v>
      </c>
      <c s="3">
        <v>57334</v>
      </c>
      <c s="3">
        <v>57334</v>
      </c>
      <c s="3">
        <v>49379</v>
      </c>
      <c>
        <v>0</v>
      </c>
      <c s="3">
        <v>0</v>
      </c>
      <c s="3">
        <v>764.25</v>
      </c>
      <c s="3">
        <v>57334</v>
      </c>
      <c r="O2881" s="1" t="str">
        <f ca="1">HYPERLINK("https://web.datatree.com/?/property?propertyId=33057821", "https://web.datatree.com/?/property?propertyId=33057821")</f>
        <v>https://web.datatree.com/?/property?propertyId=33057821</v>
      </c>
      <c r="Q2881" t="s">
        <v>316</v>
      </c>
      <c>
        <v>0.338</v>
      </c>
      <c t="s">
        <v>30497</v>
      </c>
      <c t="s">
        <v>30490</v>
      </c>
      <c t="s">
        <v>58264</v>
      </c>
      <c r="X2881" t="s">
        <v>25732</v>
      </c>
      <c t="s">
        <v>37839</v>
      </c>
      <c t="s">
        <v>65059</v>
      </c>
      <c t="s">
        <v>39289</v>
      </c>
      <c>
        <v>33905</v>
      </c>
      <c t="s">
        <v>19222</v>
      </c>
      <c t="s">
        <v>48794</v>
      </c>
      <c t="s">
        <v>27802</v>
      </c>
      <c r="AI2881" t="s">
        <v>15226</v>
      </c>
      <c r="AL2881" t="s">
        <v>55393</v>
      </c>
      <c r="AN2881" t="s">
        <v>39289</v>
      </c>
      <c t="s">
        <v>47725</v>
      </c>
      <c t="s">
        <v>52359</v>
      </c>
      <c t="s">
        <v>3093</v>
      </c>
      <c t="s">
        <v>10957</v>
      </c>
    </row>
    <row>
      <c t="s">
        <v>17594</v>
      </c>
      <c t="s">
        <v>10949</v>
      </c>
      <c t="s">
        <v>33542</v>
      </c>
      <c t="s">
        <v>14418</v>
      </c>
      <c t="s">
        <v>44747</v>
      </c>
      <c s="3">
        <v>20733</v>
      </c>
      <c s="3">
        <v>20733</v>
      </c>
      <c s="3">
        <v>10450</v>
      </c>
      <c>
        <v>0</v>
      </c>
      <c s="3">
        <v>0</v>
      </c>
      <c s="3">
        <v>613.35</v>
      </c>
      <c s="3">
        <v>20733</v>
      </c>
      <c r="O2882" s="1" t="str">
        <f ca="1">HYPERLINK("https://web.datatree.com/?/property?propertyId=33057940", "https://web.datatree.com/?/property?propertyId=33057940")</f>
        <v>https://web.datatree.com/?/property?propertyId=33057940</v>
      </c>
      <c r="Q2882" t="s">
        <v>316</v>
      </c>
      <c>
        <v>0.244</v>
      </c>
      <c t="s">
        <v>16350</v>
      </c>
      <c t="s">
        <v>981</v>
      </c>
      <c t="s">
        <v>63913</v>
      </c>
      <c r="X2882" t="s">
        <v>41322</v>
      </c>
      <c t="s">
        <v>38550</v>
      </c>
      <c t="s">
        <v>2517</v>
      </c>
      <c t="s">
        <v>39289</v>
      </c>
      <c>
        <v>33909</v>
      </c>
      <c t="s">
        <v>37536</v>
      </c>
      <c t="s">
        <v>48794</v>
      </c>
      <c t="s">
        <v>37517</v>
      </c>
      <c>
        <v>7</v>
      </c>
      <c r="AI2882" t="s">
        <v>11552</v>
      </c>
      <c r="AL2882" t="s">
        <v>27193</v>
      </c>
      <c r="AN2882" t="s">
        <v>32840</v>
      </c>
      <c r="AR2882" t="s">
        <v>35596</v>
      </c>
    </row>
    <row>
      <c t="s">
        <v>17594</v>
      </c>
      <c t="s">
        <v>53494</v>
      </c>
      <c t="s">
        <v>52879</v>
      </c>
      <c t="s">
        <v>55788</v>
      </c>
      <c t="s">
        <v>35216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2883" s="1" t="str">
        <f ca="1">HYPERLINK("https://web.datatree.com/?/property?propertyId=33058281", "https://web.datatree.com/?/property?propertyId=33058281")</f>
        <v>https://web.datatree.com/?/property?propertyId=33058281</v>
      </c>
      <c r="Q2883" t="s">
        <v>316</v>
      </c>
      <c>
        <v>0.235</v>
      </c>
      <c t="s">
        <v>22490</v>
      </c>
      <c t="s">
        <v>1995</v>
      </c>
      <c t="s">
        <v>45794</v>
      </c>
      <c r="X2883" t="s">
        <v>7056</v>
      </c>
      <c t="s">
        <v>22731</v>
      </c>
      <c t="s">
        <v>2517</v>
      </c>
      <c t="s">
        <v>39289</v>
      </c>
      <c>
        <v>33909</v>
      </c>
      <c t="s">
        <v>35927</v>
      </c>
      <c t="s">
        <v>48794</v>
      </c>
      <c t="s">
        <v>59834</v>
      </c>
      <c>
        <v>6306</v>
      </c>
      <c r="AI2883" t="s">
        <v>33928</v>
      </c>
      <c t="s">
        <v>31192</v>
      </c>
      <c r="AL2883" t="s">
        <v>6449</v>
      </c>
      <c t="s">
        <v>6449</v>
      </c>
      <c t="s">
        <v>18236</v>
      </c>
      <c t="s">
        <v>28165</v>
      </c>
      <c t="s">
        <v>40496</v>
      </c>
      <c t="s">
        <v>3093</v>
      </c>
      <c t="s">
        <v>52663</v>
      </c>
    </row>
    <row>
      <c t="s">
        <v>17594</v>
      </c>
      <c t="s">
        <v>38077</v>
      </c>
      <c t="s">
        <v>46152</v>
      </c>
      <c t="s">
        <v>27689</v>
      </c>
      <c t="s">
        <v>1245</v>
      </c>
      <c s="3">
        <v>18082</v>
      </c>
      <c s="3">
        <v>18082</v>
      </c>
      <c s="3">
        <v>7865</v>
      </c>
      <c>
        <v>0</v>
      </c>
      <c s="3">
        <v>0</v>
      </c>
      <c s="3">
        <v>492.2</v>
      </c>
      <c s="3">
        <v>18082</v>
      </c>
      <c r="O2884" s="1" t="str">
        <f ca="1">HYPERLINK("https://web.datatree.com/?/property?propertyId=33058296", "https://web.datatree.com/?/property?propertyId=33058296")</f>
        <v>https://web.datatree.com/?/property?propertyId=33058296</v>
      </c>
      <c r="Q2884" t="s">
        <v>316</v>
      </c>
      <c>
        <v>0.244</v>
      </c>
      <c t="s">
        <v>6175</v>
      </c>
      <c t="s">
        <v>53622</v>
      </c>
      <c t="s">
        <v>20982</v>
      </c>
      <c r="X2884" t="s">
        <v>49184</v>
      </c>
      <c t="s">
        <v>59763</v>
      </c>
      <c t="s">
        <v>2517</v>
      </c>
      <c t="s">
        <v>39289</v>
      </c>
      <c>
        <v>33909</v>
      </c>
      <c t="s">
        <v>18448</v>
      </c>
      <c t="s">
        <v>48794</v>
      </c>
      <c t="s">
        <v>37142</v>
      </c>
      <c>
        <v>25</v>
      </c>
      <c r="AH2884" t="s">
        <v>26580</v>
      </c>
      <c t="s">
        <v>46412</v>
      </c>
      <c r="AL2884" t="s">
        <v>46314</v>
      </c>
      <c r="AN2884" t="s">
        <v>49572</v>
      </c>
      <c t="s">
        <v>8725</v>
      </c>
      <c t="s">
        <v>14695</v>
      </c>
      <c t="s">
        <v>3093</v>
      </c>
      <c t="s">
        <v>24094</v>
      </c>
    </row>
    <row>
      <c t="s">
        <v>17594</v>
      </c>
      <c t="s">
        <v>55746</v>
      </c>
      <c t="s">
        <v>30810</v>
      </c>
      <c t="s">
        <v>29810</v>
      </c>
      <c t="s">
        <v>56598</v>
      </c>
      <c s="3">
        <v>8700</v>
      </c>
      <c s="3">
        <v>8700</v>
      </c>
      <c s="3">
        <v>8700</v>
      </c>
      <c>
        <v>0</v>
      </c>
      <c s="3">
        <v>0</v>
      </c>
      <c s="3">
        <v>606.84</v>
      </c>
      <c s="3">
        <v>8700</v>
      </c>
      <c r="O2885" s="1" t="str">
        <f ca="1">HYPERLINK("https://web.datatree.com/?/property?propertyId=33059386", "https://web.datatree.com/?/property?propertyId=33059386")</f>
        <v>https://web.datatree.com/?/property?propertyId=33059386</v>
      </c>
      <c r="Q2885" t="s">
        <v>316</v>
      </c>
      <c>
        <v>0.263</v>
      </c>
      <c t="s">
        <v>6175</v>
      </c>
      <c t="s">
        <v>34513</v>
      </c>
      <c t="s">
        <v>8366</v>
      </c>
      <c t="s">
        <v>12142</v>
      </c>
      <c t="s">
        <v>8366</v>
      </c>
      <c t="s">
        <v>53022</v>
      </c>
      <c t="s">
        <v>18679</v>
      </c>
      <c t="s">
        <v>2517</v>
      </c>
      <c t="s">
        <v>39289</v>
      </c>
      <c>
        <v>33909</v>
      </c>
      <c t="s">
        <v>60812</v>
      </c>
      <c t="s">
        <v>48794</v>
      </c>
      <c t="s">
        <v>360</v>
      </c>
      <c>
        <v>56</v>
      </c>
      <c r="AI2885" t="s">
        <v>59561</v>
      </c>
      <c t="s">
        <v>45620</v>
      </c>
      <c r="AL2885" t="s">
        <v>20632</v>
      </c>
      <c r="AN2885" t="s">
        <v>50917</v>
      </c>
      <c t="s">
        <v>14162</v>
      </c>
      <c t="s">
        <v>38085</v>
      </c>
      <c t="s">
        <v>3093</v>
      </c>
      <c t="s">
        <v>52877</v>
      </c>
    </row>
    <row>
      <c t="s">
        <v>17594</v>
      </c>
      <c t="s">
        <v>65655</v>
      </c>
      <c t="s">
        <v>21186</v>
      </c>
      <c t="s">
        <v>7842</v>
      </c>
      <c t="s">
        <v>3216</v>
      </c>
      <c s="3">
        <v>84235</v>
      </c>
      <c s="3">
        <v>82306</v>
      </c>
      <c s="3">
        <v>80631</v>
      </c>
      <c>
        <v>0</v>
      </c>
      <c s="3">
        <v>0</v>
      </c>
      <c s="3">
        <v>1232.1</v>
      </c>
      <c s="3">
        <v>84235</v>
      </c>
      <c r="O2886" s="1" t="str">
        <f ca="1">HYPERLINK("https://web.datatree.com/?/property?propertyId=33059987", "https://web.datatree.com/?/property?propertyId=33059987")</f>
        <v>https://web.datatree.com/?/property?propertyId=33059987</v>
      </c>
      <c r="Q2886" t="s">
        <v>316</v>
      </c>
      <c>
        <v>0.095</v>
      </c>
      <c t="s">
        <v>26492</v>
      </c>
      <c t="s">
        <v>13593</v>
      </c>
      <c t="s">
        <v>6548</v>
      </c>
      <c t="s">
        <v>17266</v>
      </c>
      <c t="s">
        <v>6548</v>
      </c>
      <c t="s">
        <v>7040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14387</v>
      </c>
      <c>
        <v>121</v>
      </c>
      <c r="AI2886" t="s">
        <v>44932</v>
      </c>
      <c t="s">
        <v>31192</v>
      </c>
      <c r="AL2886" t="s">
        <v>30013</v>
      </c>
      <c t="s">
        <v>40227</v>
      </c>
      <c t="s">
        <v>32576</v>
      </c>
      <c t="s">
        <v>33330</v>
      </c>
      <c t="s">
        <v>22455</v>
      </c>
      <c t="s">
        <v>3093</v>
      </c>
      <c t="s">
        <v>4456</v>
      </c>
    </row>
    <row>
      <c t="s">
        <v>17594</v>
      </c>
      <c t="s">
        <v>32324</v>
      </c>
      <c s="7" t="s">
        <v>12918</v>
      </c>
      <c t="s">
        <v>20486</v>
      </c>
      <c t="s">
        <v>7856</v>
      </c>
      <c s="3">
        <v>10600</v>
      </c>
      <c s="3">
        <v>10600</v>
      </c>
      <c s="3">
        <v>9339</v>
      </c>
      <c>
        <v>0</v>
      </c>
      <c s="3">
        <v>0</v>
      </c>
      <c s="3">
        <v>2880.21</v>
      </c>
      <c s="3">
        <v>10600</v>
      </c>
      <c r="O2887" s="1" t="str">
        <f ca="1">HYPERLINK("https://web.datatree.com/?/property?propertyId=33060741", "https://web.datatree.com/?/property?propertyId=33060741")</f>
        <v>https://web.datatree.com/?/property?propertyId=33060741</v>
      </c>
      <c r="Q2887" t="s">
        <v>316</v>
      </c>
      <c>
        <v>0.23</v>
      </c>
      <c t="s">
        <v>6175</v>
      </c>
      <c t="s">
        <v>47859</v>
      </c>
      <c t="s">
        <v>57665</v>
      </c>
      <c r="X2887" t="s">
        <v>17343</v>
      </c>
      <c t="s">
        <v>55273</v>
      </c>
      <c t="s">
        <v>2517</v>
      </c>
      <c t="s">
        <v>39289</v>
      </c>
      <c>
        <v>33909</v>
      </c>
      <c t="s">
        <v>66471</v>
      </c>
      <c t="s">
        <v>48794</v>
      </c>
      <c t="s">
        <v>16857</v>
      </c>
      <c>
        <v>8</v>
      </c>
      <c r="AI2887" t="s">
        <v>43721</v>
      </c>
      <c t="s">
        <v>45393</v>
      </c>
      <c r="AL2887" t="s">
        <v>8523</v>
      </c>
      <c t="s">
        <v>8523</v>
      </c>
      <c t="s">
        <v>50917</v>
      </c>
      <c t="s">
        <v>10744</v>
      </c>
      <c t="s">
        <v>33029</v>
      </c>
      <c t="s">
        <v>3093</v>
      </c>
      <c s="7" t="s">
        <v>57537</v>
      </c>
    </row>
    <row>
      <c t="s">
        <v>17594</v>
      </c>
      <c t="s">
        <v>38617</v>
      </c>
      <c t="s">
        <v>30375</v>
      </c>
      <c t="s">
        <v>54739</v>
      </c>
      <c t="s">
        <v>41927</v>
      </c>
      <c s="3">
        <v>18068</v>
      </c>
      <c s="3">
        <v>18068</v>
      </c>
      <c s="3">
        <v>12862</v>
      </c>
      <c>
        <v>0</v>
      </c>
      <c s="3">
        <v>0</v>
      </c>
      <c s="3">
        <v>113.51</v>
      </c>
      <c s="3">
        <v>18068</v>
      </c>
      <c r="O2888" s="1" t="str">
        <f ca="1">HYPERLINK("https://web.datatree.com/?/property?propertyId=33060908", "https://web.datatree.com/?/property?propertyId=33060908")</f>
        <v>https://web.datatree.com/?/property?propertyId=33060908</v>
      </c>
      <c r="Q2888" t="s">
        <v>316</v>
      </c>
      <c>
        <v>0.157</v>
      </c>
      <c t="s">
        <v>23582</v>
      </c>
      <c t="s">
        <v>21379</v>
      </c>
      <c t="s">
        <v>38730</v>
      </c>
      <c t="s">
        <v>552</v>
      </c>
      <c t="s">
        <v>38730</v>
      </c>
      <c t="s">
        <v>25682</v>
      </c>
      <c t="s">
        <v>60758</v>
      </c>
      <c t="s">
        <v>65059</v>
      </c>
      <c t="s">
        <v>39289</v>
      </c>
      <c>
        <v>33905</v>
      </c>
      <c t="s">
        <v>48730</v>
      </c>
      <c t="s">
        <v>48794</v>
      </c>
      <c t="s">
        <v>55254</v>
      </c>
      <c>
        <v>201</v>
      </c>
      <c r="AI2888" t="s">
        <v>12622</v>
      </c>
      <c t="s">
        <v>31192</v>
      </c>
      <c t="s">
        <v>55144</v>
      </c>
      <c t="s">
        <v>29838</v>
      </c>
      <c r="AN2888" t="s">
        <v>32576</v>
      </c>
      <c t="s">
        <v>17994</v>
      </c>
      <c t="s">
        <v>50779</v>
      </c>
      <c t="s">
        <v>3093</v>
      </c>
      <c t="s">
        <v>42623</v>
      </c>
    </row>
    <row>
      <c t="s">
        <v>17594</v>
      </c>
      <c t="s">
        <v>16035</v>
      </c>
      <c t="s">
        <v>13779</v>
      </c>
      <c t="s">
        <v>34886</v>
      </c>
      <c t="s">
        <v>51527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2889" s="1" t="str">
        <f ca="1">HYPERLINK("https://web.datatree.com/?/property?propertyId=33061698", "https://web.datatree.com/?/property?propertyId=33061698")</f>
        <v>https://web.datatree.com/?/property?propertyId=33061698</v>
      </c>
      <c r="Q2889" t="s">
        <v>316</v>
      </c>
      <c>
        <v>0.23</v>
      </c>
      <c t="s">
        <v>22490</v>
      </c>
      <c t="s">
        <v>44889</v>
      </c>
      <c t="s">
        <v>18552</v>
      </c>
      <c r="X2889" t="s">
        <v>45677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49032</v>
      </c>
      <c>
        <v>5371</v>
      </c>
      <c r="AI2889" t="s">
        <v>38220</v>
      </c>
      <c t="s">
        <v>31192</v>
      </c>
      <c r="AL2889" t="s">
        <v>16712</v>
      </c>
      <c t="s">
        <v>16712</v>
      </c>
      <c t="s">
        <v>14798</v>
      </c>
      <c t="s">
        <v>27996</v>
      </c>
      <c t="s">
        <v>37774</v>
      </c>
      <c t="s">
        <v>3093</v>
      </c>
      <c t="s">
        <v>1127</v>
      </c>
    </row>
    <row>
      <c t="s">
        <v>17594</v>
      </c>
      <c t="s">
        <v>51782</v>
      </c>
      <c t="s">
        <v>43963</v>
      </c>
      <c t="s">
        <v>24893</v>
      </c>
      <c t="s">
        <v>22574</v>
      </c>
      <c s="3">
        <v>138000</v>
      </c>
      <c s="3">
        <v>138000</v>
      </c>
      <c s="3">
        <v>138000</v>
      </c>
      <c>
        <v>0</v>
      </c>
      <c s="3">
        <v>0</v>
      </c>
      <c s="3">
        <v>2593.16</v>
      </c>
      <c s="3">
        <v>138000</v>
      </c>
      <c r="O2890" s="1" t="str">
        <f ca="1">HYPERLINK("https://web.datatree.com/?/property?propertyId=33062775", "https://web.datatree.com/?/property?propertyId=33062775")</f>
        <v>https://web.datatree.com/?/property?propertyId=33062775</v>
      </c>
      <c r="Q2890" t="s">
        <v>316</v>
      </c>
      <c>
        <v>0.228</v>
      </c>
      <c t="s">
        <v>22490</v>
      </c>
      <c t="s">
        <v>32355</v>
      </c>
      <c t="s">
        <v>54764</v>
      </c>
      <c t="s">
        <v>51891</v>
      </c>
      <c t="s">
        <v>54764</v>
      </c>
      <c t="s">
        <v>19077</v>
      </c>
      <c t="s">
        <v>49122</v>
      </c>
      <c t="s">
        <v>2517</v>
      </c>
      <c t="s">
        <v>39289</v>
      </c>
      <c>
        <v>33904</v>
      </c>
      <c t="s">
        <v>51471</v>
      </c>
      <c t="s">
        <v>48794</v>
      </c>
      <c t="s">
        <v>6560</v>
      </c>
      <c>
        <v>18</v>
      </c>
      <c r="AI2890" t="s">
        <v>54607</v>
      </c>
      <c r="AL2890" t="s">
        <v>16612</v>
      </c>
      <c r="AN2890" t="s">
        <v>13328</v>
      </c>
      <c>
        <v>8546</v>
      </c>
      <c r="AR2890" t="s">
        <v>2834</v>
      </c>
    </row>
    <row>
      <c t="s">
        <v>17594</v>
      </c>
      <c t="s">
        <v>41071</v>
      </c>
      <c t="s">
        <v>3051</v>
      </c>
      <c t="s">
        <v>61856</v>
      </c>
      <c t="s">
        <v>26206</v>
      </c>
      <c s="3">
        <v>19428</v>
      </c>
      <c s="3">
        <v>19428</v>
      </c>
      <c s="3">
        <v>7865</v>
      </c>
      <c>
        <v>0</v>
      </c>
      <c s="3">
        <v>0</v>
      </c>
      <c s="3">
        <v>539.39</v>
      </c>
      <c s="3">
        <v>19428</v>
      </c>
      <c r="O2891" s="1" t="str">
        <f ca="1">HYPERLINK("https://web.datatree.com/?/property?propertyId=33062808", "https://web.datatree.com/?/property?propertyId=33062808")</f>
        <v>https://web.datatree.com/?/property?propertyId=33062808</v>
      </c>
      <c r="Q2891" t="s">
        <v>316</v>
      </c>
      <c>
        <v>0.303</v>
      </c>
      <c t="s">
        <v>6175</v>
      </c>
      <c t="s">
        <v>33698</v>
      </c>
      <c t="s">
        <v>30156</v>
      </c>
      <c r="X2891" t="s">
        <v>20465</v>
      </c>
      <c t="s">
        <v>23050</v>
      </c>
      <c t="s">
        <v>2517</v>
      </c>
      <c t="s">
        <v>39289</v>
      </c>
      <c>
        <v>33909</v>
      </c>
      <c t="s">
        <v>42248</v>
      </c>
      <c t="s">
        <v>48794</v>
      </c>
      <c t="s">
        <v>50942</v>
      </c>
      <c>
        <v>22941</v>
      </c>
      <c r="AI2891" t="s">
        <v>36695</v>
      </c>
      <c t="s">
        <v>24900</v>
      </c>
      <c r="AL2891" t="s">
        <v>52434</v>
      </c>
      <c r="AN2891" t="s">
        <v>39289</v>
      </c>
      <c t="s">
        <v>55778</v>
      </c>
      <c t="s">
        <v>48506</v>
      </c>
      <c t="s">
        <v>3093</v>
      </c>
      <c t="s">
        <v>57328</v>
      </c>
    </row>
    <row>
      <c t="s">
        <v>17594</v>
      </c>
      <c t="s">
        <v>11523</v>
      </c>
      <c t="s">
        <v>11410</v>
      </c>
      <c t="s">
        <v>43154</v>
      </c>
      <c t="s">
        <v>21589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582.14</v>
      </c>
      <c s="1" t="str">
        <f ca="1">HYPERLINK("https://web.datatree.com/?/property?propertyId=33063235", "https://web.datatree.com/?/property?propertyId=33063235")</f>
        <v>https://web.datatree.com/?/property?propertyId=33063235</v>
      </c>
      <c r="Q2892" t="s">
        <v>316</v>
      </c>
      <c>
        <v>0.23</v>
      </c>
      <c t="s">
        <v>42044</v>
      </c>
      <c t="s">
        <v>38815</v>
      </c>
      <c t="s">
        <v>45662</v>
      </c>
      <c t="s">
        <v>13860</v>
      </c>
      <c t="s">
        <v>710</v>
      </c>
      <c t="s">
        <v>23384</v>
      </c>
      <c t="s">
        <v>66701</v>
      </c>
      <c t="s">
        <v>2517</v>
      </c>
      <c t="s">
        <v>39289</v>
      </c>
      <c>
        <v>33909</v>
      </c>
      <c t="s">
        <v>37694</v>
      </c>
      <c t="s">
        <v>48794</v>
      </c>
      <c t="s">
        <v>40478</v>
      </c>
      <c>
        <v>8275</v>
      </c>
      <c r="AH2892" t="s">
        <v>63047</v>
      </c>
      <c t="s">
        <v>50341</v>
      </c>
      <c t="s">
        <v>45393</v>
      </c>
      <c>
        <v>308</v>
      </c>
      <c t="s">
        <v>59060</v>
      </c>
      <c r="AN2892" t="s">
        <v>10909</v>
      </c>
      <c t="s">
        <v>58161</v>
      </c>
      <c r="AQ2892" t="s">
        <v>27814</v>
      </c>
      <c t="s">
        <v>23755</v>
      </c>
    </row>
    <row>
      <c t="s">
        <v>17594</v>
      </c>
      <c t="s">
        <v>58342</v>
      </c>
      <c t="s">
        <v>24938</v>
      </c>
      <c t="s">
        <v>22644</v>
      </c>
      <c t="s">
        <v>25510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2893" s="1" t="str">
        <f ca="1">HYPERLINK("https://web.datatree.com/?/property?propertyId=33063604", "https://web.datatree.com/?/property?propertyId=33063604")</f>
        <v>https://web.datatree.com/?/property?propertyId=33063604</v>
      </c>
      <c r="Q2893" t="s">
        <v>316</v>
      </c>
      <c>
        <v>0.232</v>
      </c>
      <c t="s">
        <v>22490</v>
      </c>
      <c t="s">
        <v>58699</v>
      </c>
      <c t="s">
        <v>54756</v>
      </c>
      <c t="s">
        <v>58575</v>
      </c>
      <c t="s">
        <v>54756</v>
      </c>
      <c t="s">
        <v>37871</v>
      </c>
      <c t="s">
        <v>22731</v>
      </c>
      <c t="s">
        <v>2517</v>
      </c>
      <c t="s">
        <v>39289</v>
      </c>
      <c>
        <v>33909</v>
      </c>
      <c t="s">
        <v>43284</v>
      </c>
      <c t="s">
        <v>48794</v>
      </c>
      <c t="s">
        <v>10421</v>
      </c>
      <c>
        <v>31</v>
      </c>
      <c r="AI2893" t="s">
        <v>9865</v>
      </c>
      <c t="s">
        <v>4151</v>
      </c>
      <c r="AL2893" t="s">
        <v>4554</v>
      </c>
      <c r="AN2893" t="s">
        <v>10909</v>
      </c>
      <c t="s">
        <v>8906</v>
      </c>
      <c r="AQ2893" t="s">
        <v>27814</v>
      </c>
      <c t="s">
        <v>13201</v>
      </c>
    </row>
    <row>
      <c t="s">
        <v>17594</v>
      </c>
      <c t="s">
        <v>48978</v>
      </c>
      <c t="s">
        <v>51437</v>
      </c>
      <c t="s">
        <v>4943</v>
      </c>
      <c t="s">
        <v>30319</v>
      </c>
      <c s="3">
        <v>39960</v>
      </c>
      <c s="3">
        <v>39960</v>
      </c>
      <c s="3">
        <v>39600</v>
      </c>
      <c>
        <v>0</v>
      </c>
      <c s="3">
        <v>0</v>
      </c>
      <c s="3">
        <v>545.38</v>
      </c>
      <c s="3">
        <v>39960</v>
      </c>
      <c r="O2894" s="1" t="str">
        <f ca="1">HYPERLINK("https://web.datatree.com/?/property?propertyId=33064199", "https://web.datatree.com/?/property?propertyId=33064199")</f>
        <v>https://web.datatree.com/?/property?propertyId=33064199</v>
      </c>
      <c r="Q2894" t="s">
        <v>316</v>
      </c>
      <c>
        <v>0.041</v>
      </c>
      <c t="s">
        <v>45526</v>
      </c>
      <c t="s">
        <v>24692</v>
      </c>
      <c t="s">
        <v>43786</v>
      </c>
      <c t="s">
        <v>4047</v>
      </c>
      <c t="s">
        <v>43786</v>
      </c>
      <c t="s">
        <v>64801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60598</v>
      </c>
      <c>
        <v>9615</v>
      </c>
      <c r="AI2894" t="s">
        <v>4512</v>
      </c>
      <c t="s">
        <v>31192</v>
      </c>
      <c r="AL2894" t="s">
        <v>19225</v>
      </c>
      <c t="s">
        <v>14316</v>
      </c>
      <c t="s">
        <v>19878</v>
      </c>
      <c t="s">
        <v>65267</v>
      </c>
      <c t="s">
        <v>40645</v>
      </c>
      <c t="s">
        <v>3093</v>
      </c>
      <c t="s">
        <v>43061</v>
      </c>
    </row>
    <row>
      <c t="s">
        <v>17594</v>
      </c>
      <c t="s">
        <v>4363</v>
      </c>
      <c t="s">
        <v>47735</v>
      </c>
      <c t="s">
        <v>38900</v>
      </c>
      <c t="s">
        <v>6345</v>
      </c>
      <c s="3">
        <v>12544</v>
      </c>
      <c s="3">
        <v>12544</v>
      </c>
      <c s="3">
        <v>6113</v>
      </c>
      <c>
        <v>0</v>
      </c>
      <c s="3">
        <v>0</v>
      </c>
      <c s="3">
        <v>325.28</v>
      </c>
      <c s="3">
        <v>12544</v>
      </c>
      <c r="O2895" s="1" t="str">
        <f ca="1">HYPERLINK("https://web.datatree.com/?/property?propertyId=33064283", "https://web.datatree.com/?/property?propertyId=33064283")</f>
        <v>https://web.datatree.com/?/property?propertyId=33064283</v>
      </c>
      <c r="Q2895" t="s">
        <v>316</v>
      </c>
      <c>
        <v>0.247</v>
      </c>
      <c t="s">
        <v>5471</v>
      </c>
      <c t="s">
        <v>12497</v>
      </c>
      <c t="s">
        <v>53702</v>
      </c>
      <c t="s">
        <v>29901</v>
      </c>
      <c t="s">
        <v>53702</v>
      </c>
      <c t="s">
        <v>26109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14769</v>
      </c>
      <c>
        <v>5833</v>
      </c>
      <c r="AI2895" t="s">
        <v>61096</v>
      </c>
      <c t="s">
        <v>39321</v>
      </c>
      <c r="AL2895" t="s">
        <v>55393</v>
      </c>
      <c r="AN2895" t="s">
        <v>39289</v>
      </c>
      <c t="s">
        <v>53630</v>
      </c>
      <c t="s">
        <v>26242</v>
      </c>
      <c t="s">
        <v>3093</v>
      </c>
      <c t="s">
        <v>51019</v>
      </c>
    </row>
    <row>
      <c t="s">
        <v>17594</v>
      </c>
      <c t="s">
        <v>52940</v>
      </c>
      <c t="s">
        <v>46882</v>
      </c>
      <c t="s">
        <v>60387</v>
      </c>
      <c t="s">
        <v>11042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896" s="1" t="str">
        <f ca="1">HYPERLINK("https://web.datatree.com/?/property?propertyId=33064629", "https://web.datatree.com/?/property?propertyId=33064629")</f>
        <v>https://web.datatree.com/?/property?propertyId=33064629</v>
      </c>
      <c r="Q2896" t="s">
        <v>316</v>
      </c>
      <c>
        <v>0.23</v>
      </c>
      <c t="s">
        <v>22490</v>
      </c>
      <c t="s">
        <v>43468</v>
      </c>
      <c t="s">
        <v>4772</v>
      </c>
      <c r="X2896" t="s">
        <v>59669</v>
      </c>
      <c t="s">
        <v>47150</v>
      </c>
      <c t="s">
        <v>2517</v>
      </c>
      <c t="s">
        <v>39289</v>
      </c>
      <c>
        <v>33909</v>
      </c>
      <c t="s">
        <v>64184</v>
      </c>
      <c t="s">
        <v>48794</v>
      </c>
      <c t="s">
        <v>43350</v>
      </c>
      <c>
        <v>3862</v>
      </c>
      <c r="AI2896" t="s">
        <v>18649</v>
      </c>
      <c t="s">
        <v>31192</v>
      </c>
      <c>
        <v>202</v>
      </c>
      <c t="s">
        <v>62497</v>
      </c>
      <c r="AN2896" t="s">
        <v>32657</v>
      </c>
      <c t="s">
        <v>34339</v>
      </c>
      <c t="s">
        <v>5652</v>
      </c>
      <c t="s">
        <v>3093</v>
      </c>
      <c t="s">
        <v>59829</v>
      </c>
    </row>
    <row>
      <c t="s">
        <v>17594</v>
      </c>
      <c t="s">
        <v>34436</v>
      </c>
      <c t="s">
        <v>10359</v>
      </c>
      <c t="s">
        <v>4221</v>
      </c>
      <c t="s">
        <v>6495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>
        <v>2021</v>
      </c>
      <c>
        <v>599.85</v>
      </c>
      <c s="1" t="str">
        <f ca="1">HYPERLINK("https://web.datatree.com/?/property?propertyId=33065347", "https://web.datatree.com/?/property?propertyId=33065347")</f>
        <v>https://web.datatree.com/?/property?propertyId=33065347</v>
      </c>
      <c r="Q2897" t="s">
        <v>316</v>
      </c>
      <c>
        <v>0.23</v>
      </c>
      <c t="s">
        <v>22490</v>
      </c>
      <c t="s">
        <v>35227</v>
      </c>
      <c t="s">
        <v>65920</v>
      </c>
      <c r="X2897" t="s">
        <v>35373</v>
      </c>
      <c t="s">
        <v>52171</v>
      </c>
      <c t="s">
        <v>2517</v>
      </c>
      <c t="s">
        <v>39289</v>
      </c>
      <c>
        <v>33909</v>
      </c>
      <c t="s">
        <v>27331</v>
      </c>
      <c t="s">
        <v>48794</v>
      </c>
      <c t="s">
        <v>15219</v>
      </c>
      <c>
        <v>1590</v>
      </c>
      <c r="AI2897" t="s">
        <v>34731</v>
      </c>
      <c t="s">
        <v>24900</v>
      </c>
      <c t="s">
        <v>7525</v>
      </c>
      <c t="s">
        <v>13397</v>
      </c>
      <c r="AN2897" t="s">
        <v>50917</v>
      </c>
      <c t="s">
        <v>10254</v>
      </c>
      <c t="s">
        <v>62830</v>
      </c>
      <c t="s">
        <v>3093</v>
      </c>
      <c t="s">
        <v>40142</v>
      </c>
    </row>
    <row>
      <c t="s">
        <v>17594</v>
      </c>
      <c t="s">
        <v>31453</v>
      </c>
      <c t="s">
        <v>3571</v>
      </c>
      <c t="s">
        <v>22010</v>
      </c>
      <c t="s">
        <v>58386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898" s="1" t="str">
        <f ca="1">HYPERLINK("https://web.datatree.com/?/property?propertyId=33065842", "https://web.datatree.com/?/property?propertyId=33065842")</f>
        <v>https://web.datatree.com/?/property?propertyId=33065842</v>
      </c>
      <c r="Q2898" t="s">
        <v>316</v>
      </c>
      <c>
        <v>0.23</v>
      </c>
      <c t="s">
        <v>6175</v>
      </c>
      <c t="s">
        <v>44973</v>
      </c>
      <c t="s">
        <v>59886</v>
      </c>
      <c r="X2898" t="s">
        <v>36485</v>
      </c>
      <c t="s">
        <v>13829</v>
      </c>
      <c t="s">
        <v>2517</v>
      </c>
      <c t="s">
        <v>39289</v>
      </c>
      <c>
        <v>33909</v>
      </c>
      <c t="s">
        <v>63226</v>
      </c>
      <c t="s">
        <v>48794</v>
      </c>
      <c t="s">
        <v>22261</v>
      </c>
      <c>
        <v>2715</v>
      </c>
      <c r="AH2898" t="s">
        <v>63047</v>
      </c>
      <c t="s">
        <v>43017</v>
      </c>
      <c t="s">
        <v>24900</v>
      </c>
      <c t="s">
        <v>59902</v>
      </c>
      <c t="s">
        <v>21313</v>
      </c>
      <c r="AN2898" t="s">
        <v>4477</v>
      </c>
      <c t="s">
        <v>58812</v>
      </c>
      <c t="s">
        <v>15686</v>
      </c>
      <c t="s">
        <v>3093</v>
      </c>
      <c t="s">
        <v>27616</v>
      </c>
    </row>
    <row>
      <c t="s">
        <v>17594</v>
      </c>
      <c t="s">
        <v>25603</v>
      </c>
      <c t="s">
        <v>54393</v>
      </c>
      <c t="s">
        <v>53039</v>
      </c>
      <c t="s">
        <v>23163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2899" s="1" t="str">
        <f ca="1">HYPERLINK("https://web.datatree.com/?/property?propertyId=33065936", "https://web.datatree.com/?/property?propertyId=33065936")</f>
        <v>https://web.datatree.com/?/property?propertyId=33065936</v>
      </c>
      <c r="Q2899" t="s">
        <v>316</v>
      </c>
      <c>
        <v>0.23</v>
      </c>
      <c t="s">
        <v>45031</v>
      </c>
      <c t="s">
        <v>59767</v>
      </c>
      <c t="s">
        <v>65478</v>
      </c>
      <c r="X2899" t="s">
        <v>65432</v>
      </c>
      <c t="s">
        <v>10653</v>
      </c>
      <c t="s">
        <v>2517</v>
      </c>
      <c t="s">
        <v>39289</v>
      </c>
      <c>
        <v>33909</v>
      </c>
      <c t="s">
        <v>57010</v>
      </c>
      <c t="s">
        <v>48794</v>
      </c>
      <c t="s">
        <v>29616</v>
      </c>
      <c>
        <v>32</v>
      </c>
      <c r="AI2899" t="s">
        <v>43991</v>
      </c>
      <c t="s">
        <v>29535</v>
      </c>
      <c r="AL2899" t="s">
        <v>50931</v>
      </c>
      <c r="AN2899" t="s">
        <v>32840</v>
      </c>
      <c r="AR2899" t="s">
        <v>63367</v>
      </c>
    </row>
    <row>
      <c t="s">
        <v>17594</v>
      </c>
      <c t="s">
        <v>10861</v>
      </c>
      <c t="s">
        <v>10172</v>
      </c>
      <c t="s">
        <v>7398</v>
      </c>
      <c t="s">
        <v>7185</v>
      </c>
      <c s="3">
        <v>18026</v>
      </c>
      <c s="3">
        <v>18026</v>
      </c>
      <c s="3">
        <v>7865</v>
      </c>
      <c>
        <v>0</v>
      </c>
      <c s="3">
        <v>0</v>
      </c>
      <c s="3">
        <v>407.38</v>
      </c>
      <c s="3">
        <v>18026</v>
      </c>
      <c r="O2900" s="1" t="str">
        <f ca="1">HYPERLINK("https://web.datatree.com/?/property?propertyId=33066864", "https://web.datatree.com/?/property?propertyId=33066864")</f>
        <v>https://web.datatree.com/?/property?propertyId=33066864</v>
      </c>
      <c r="Q2900" t="s">
        <v>316</v>
      </c>
      <c>
        <v>0.241</v>
      </c>
      <c t="s">
        <v>6175</v>
      </c>
      <c t="s">
        <v>26140</v>
      </c>
      <c t="s">
        <v>15787</v>
      </c>
      <c r="X2900" t="s">
        <v>25040</v>
      </c>
      <c t="s">
        <v>33893</v>
      </c>
      <c t="s">
        <v>2517</v>
      </c>
      <c t="s">
        <v>39289</v>
      </c>
      <c>
        <v>33909</v>
      </c>
      <c t="s">
        <v>46945</v>
      </c>
      <c t="s">
        <v>48794</v>
      </c>
      <c t="s">
        <v>30909</v>
      </c>
      <c>
        <v>3661</v>
      </c>
      <c r="AI2900" t="s">
        <v>34832</v>
      </c>
      <c r="AL2900" t="s">
        <v>17107</v>
      </c>
      <c r="AN2900" t="s">
        <v>65451</v>
      </c>
      <c t="s">
        <v>61102</v>
      </c>
      <c t="s">
        <v>15968</v>
      </c>
      <c t="s">
        <v>3093</v>
      </c>
      <c t="s">
        <v>30377</v>
      </c>
    </row>
    <row>
      <c t="s">
        <v>17594</v>
      </c>
      <c t="s">
        <v>28169</v>
      </c>
      <c t="s">
        <v>14064</v>
      </c>
      <c t="s">
        <v>54647</v>
      </c>
      <c t="s">
        <v>3213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901" s="1" t="str">
        <f ca="1">HYPERLINK("https://web.datatree.com/?/property?propertyId=33067013", "https://web.datatree.com/?/property?propertyId=33067013")</f>
        <v>https://web.datatree.com/?/property?propertyId=33067013</v>
      </c>
      <c r="Q2901" t="s">
        <v>316</v>
      </c>
      <c>
        <v>0.23</v>
      </c>
      <c t="s">
        <v>16350</v>
      </c>
      <c t="s">
        <v>63342</v>
      </c>
      <c t="s">
        <v>38335</v>
      </c>
      <c r="W2901" t="s">
        <v>21555</v>
      </c>
      <c t="s">
        <v>35719</v>
      </c>
      <c t="s">
        <v>38550</v>
      </c>
      <c t="s">
        <v>2517</v>
      </c>
      <c t="s">
        <v>39289</v>
      </c>
      <c>
        <v>33909</v>
      </c>
      <c t="s">
        <v>59657</v>
      </c>
      <c t="s">
        <v>48794</v>
      </c>
      <c t="s">
        <v>54184</v>
      </c>
      <c>
        <v>1105</v>
      </c>
      <c r="AH2901" t="s">
        <v>26580</v>
      </c>
      <c t="s">
        <v>56489</v>
      </c>
      <c r="AK2901" t="s">
        <v>25384</v>
      </c>
      <c t="s">
        <v>17648</v>
      </c>
      <c r="AN2901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54948</v>
      </c>
      <c t="s">
        <v>44331</v>
      </c>
      <c t="s">
        <v>49190</v>
      </c>
      <c t="s">
        <v>58430</v>
      </c>
      <c s="3">
        <v>24566</v>
      </c>
      <c s="3">
        <v>24566</v>
      </c>
      <c s="3">
        <v>10956</v>
      </c>
      <c>
        <v>0</v>
      </c>
      <c s="3">
        <v>0</v>
      </c>
      <c s="3">
        <v>721.56</v>
      </c>
      <c s="3">
        <v>24566</v>
      </c>
      <c r="O2902" s="1" t="str">
        <f ca="1">HYPERLINK("https://web.datatree.com/?/property?propertyId=33067215", "https://web.datatree.com/?/property?propertyId=33067215")</f>
        <v>https://web.datatree.com/?/property?propertyId=33067215</v>
      </c>
      <c r="Q2902" t="s">
        <v>316</v>
      </c>
      <c>
        <v>0.356</v>
      </c>
      <c t="s">
        <v>45031</v>
      </c>
      <c t="s">
        <v>39066</v>
      </c>
      <c t="s">
        <v>60168</v>
      </c>
      <c r="X2902" t="s">
        <v>57141</v>
      </c>
      <c t="s">
        <v>22731</v>
      </c>
      <c t="s">
        <v>2517</v>
      </c>
      <c t="s">
        <v>39289</v>
      </c>
      <c>
        <v>33909</v>
      </c>
      <c t="s">
        <v>45364</v>
      </c>
      <c t="s">
        <v>48794</v>
      </c>
      <c t="s">
        <v>25146</v>
      </c>
      <c>
        <v>8</v>
      </c>
      <c r="AI2902" t="s">
        <v>45206</v>
      </c>
      <c t="s">
        <v>24900</v>
      </c>
      <c r="AL2902" t="s">
        <v>7107</v>
      </c>
      <c t="s">
        <v>7107</v>
      </c>
      <c t="s">
        <v>27747</v>
      </c>
      <c t="s">
        <v>56120</v>
      </c>
      <c t="s">
        <v>11138</v>
      </c>
      <c t="s">
        <v>3093</v>
      </c>
      <c t="s">
        <v>23147</v>
      </c>
    </row>
    <row>
      <c t="s">
        <v>17594</v>
      </c>
      <c t="s">
        <v>41428</v>
      </c>
      <c t="s">
        <v>61150</v>
      </c>
      <c t="s">
        <v>2242</v>
      </c>
      <c t="s">
        <v>43272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2903" s="1" t="str">
        <f ca="1">HYPERLINK("https://web.datatree.com/?/property?propertyId=33067310", "https://web.datatree.com/?/property?propertyId=33067310")</f>
        <v>https://web.datatree.com/?/property?propertyId=33067310</v>
      </c>
      <c r="Q2903" t="s">
        <v>316</v>
      </c>
      <c>
        <v>0.23</v>
      </c>
      <c t="s">
        <v>22490</v>
      </c>
      <c t="s">
        <v>2140</v>
      </c>
      <c t="s">
        <v>34496</v>
      </c>
      <c r="X2903" t="s">
        <v>27735</v>
      </c>
      <c t="s">
        <v>22731</v>
      </c>
      <c t="s">
        <v>2517</v>
      </c>
      <c t="s">
        <v>39289</v>
      </c>
      <c>
        <v>33909</v>
      </c>
      <c t="s">
        <v>15810</v>
      </c>
      <c t="s">
        <v>48794</v>
      </c>
      <c t="s">
        <v>8167</v>
      </c>
      <c>
        <v>3943</v>
      </c>
      <c r="AI2903" t="s">
        <v>34996</v>
      </c>
      <c t="s">
        <v>41372</v>
      </c>
      <c r="AL2903" t="s">
        <v>18908</v>
      </c>
      <c r="AN2903" t="s">
        <v>58733</v>
      </c>
      <c t="s">
        <v>62115</v>
      </c>
      <c t="s">
        <v>31626</v>
      </c>
      <c t="s">
        <v>3093</v>
      </c>
      <c t="s">
        <v>55773</v>
      </c>
    </row>
    <row>
      <c t="s">
        <v>17594</v>
      </c>
      <c t="s">
        <v>12250</v>
      </c>
      <c t="s">
        <v>40071</v>
      </c>
      <c t="s">
        <v>34260</v>
      </c>
      <c t="s">
        <v>41610</v>
      </c>
      <c s="3">
        <v>232283</v>
      </c>
      <c s="3">
        <v>226288</v>
      </c>
      <c s="3">
        <v>124845</v>
      </c>
      <c>
        <v>0</v>
      </c>
      <c s="3">
        <v>0</v>
      </c>
      <c s="3">
        <v>2594.61</v>
      </c>
      <c s="3">
        <v>232283</v>
      </c>
      <c r="O2904" s="1" t="str">
        <f ca="1">HYPERLINK("https://web.datatree.com/?/property?propertyId=33068055", "https://web.datatree.com/?/property?propertyId=33068055")</f>
        <v>https://web.datatree.com/?/property?propertyId=33068055</v>
      </c>
      <c r="Q2904" t="s">
        <v>316</v>
      </c>
      <c>
        <v>5</v>
      </c>
      <c t="s">
        <v>30497</v>
      </c>
      <c t="s">
        <v>3293</v>
      </c>
      <c t="s">
        <v>8239</v>
      </c>
      <c t="s">
        <v>14719</v>
      </c>
      <c t="s">
        <v>8239</v>
      </c>
      <c t="s">
        <v>18160</v>
      </c>
      <c t="s">
        <v>48415</v>
      </c>
      <c t="s">
        <v>65059</v>
      </c>
      <c t="s">
        <v>39289</v>
      </c>
      <c>
        <v>33905</v>
      </c>
      <c t="s">
        <v>53678</v>
      </c>
      <c t="s">
        <v>48794</v>
      </c>
      <c t="s">
        <v>40606</v>
      </c>
      <c>
        <v>25107</v>
      </c>
      <c r="AI2904" t="s">
        <v>4371</v>
      </c>
      <c t="s">
        <v>55842</v>
      </c>
      <c r="AL2904" t="s">
        <v>27584</v>
      </c>
      <c r="AN2904" t="s">
        <v>18236</v>
      </c>
      <c t="s">
        <v>25628</v>
      </c>
      <c t="s">
        <v>60333</v>
      </c>
      <c t="s">
        <v>3093</v>
      </c>
      <c t="s">
        <v>16856</v>
      </c>
    </row>
    <row>
      <c t="s">
        <v>17594</v>
      </c>
      <c t="s">
        <v>24481</v>
      </c>
      <c t="s">
        <v>38713</v>
      </c>
      <c t="s">
        <v>63749</v>
      </c>
      <c t="s">
        <v>60704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>
        <v>2021</v>
      </c>
      <c>
        <v>599.45</v>
      </c>
      <c s="1" t="str">
        <f ca="1">HYPERLINK("https://web.datatree.com/?/property?propertyId=33068968", "https://web.datatree.com/?/property?propertyId=33068968")</f>
        <v>https://web.datatree.com/?/property?propertyId=33068968</v>
      </c>
      <c r="Q2905" t="s">
        <v>316</v>
      </c>
      <c>
        <v>0.241</v>
      </c>
      <c t="s">
        <v>6175</v>
      </c>
      <c t="s">
        <v>21379</v>
      </c>
      <c t="s">
        <v>9733</v>
      </c>
      <c t="s">
        <v>56498</v>
      </c>
      <c t="s">
        <v>52386</v>
      </c>
      <c t="s">
        <v>63912</v>
      </c>
      <c t="s">
        <v>61865</v>
      </c>
      <c t="s">
        <v>2517</v>
      </c>
      <c t="s">
        <v>39289</v>
      </c>
      <c>
        <v>33909</v>
      </c>
      <c t="s">
        <v>50477</v>
      </c>
      <c t="s">
        <v>48794</v>
      </c>
      <c t="s">
        <v>27989</v>
      </c>
      <c>
        <v>920</v>
      </c>
      <c r="AI2905" t="s">
        <v>9566</v>
      </c>
      <c t="s">
        <v>31192</v>
      </c>
      <c t="s">
        <v>27330</v>
      </c>
      <c t="s">
        <v>37473</v>
      </c>
      <c r="AN2905" t="s">
        <v>19878</v>
      </c>
      <c t="s">
        <v>51386</v>
      </c>
      <c t="s">
        <v>27553</v>
      </c>
      <c t="s">
        <v>3093</v>
      </c>
      <c t="s">
        <v>11760</v>
      </c>
    </row>
    <row>
      <c t="s">
        <v>17594</v>
      </c>
      <c t="s">
        <v>26374</v>
      </c>
      <c t="s">
        <v>8361</v>
      </c>
      <c t="s">
        <v>63705</v>
      </c>
      <c t="s">
        <v>17944</v>
      </c>
      <c s="3">
        <v>18571</v>
      </c>
      <c s="3">
        <v>18571</v>
      </c>
      <c s="3">
        <v>7865</v>
      </c>
      <c>
        <v>0</v>
      </c>
      <c s="3">
        <v>0</v>
      </c>
      <c s="3">
        <v>513.78</v>
      </c>
      <c s="3">
        <v>18571</v>
      </c>
      <c r="O2906" s="1" t="str">
        <f ca="1">HYPERLINK("https://web.datatree.com/?/property?propertyId=33069172", "https://web.datatree.com/?/property?propertyId=33069172")</f>
        <v>https://web.datatree.com/?/property?propertyId=33069172</v>
      </c>
      <c r="Q2906" t="s">
        <v>316</v>
      </c>
      <c>
        <v>0.265</v>
      </c>
      <c t="s">
        <v>6175</v>
      </c>
      <c t="s">
        <v>42212</v>
      </c>
      <c t="s">
        <v>46341</v>
      </c>
      <c r="X2906" t="s">
        <v>23640</v>
      </c>
      <c t="s">
        <v>47150</v>
      </c>
      <c t="s">
        <v>2517</v>
      </c>
      <c t="s">
        <v>39289</v>
      </c>
      <c>
        <v>33909</v>
      </c>
      <c t="s">
        <v>4243</v>
      </c>
      <c t="s">
        <v>48794</v>
      </c>
      <c t="s">
        <v>24763</v>
      </c>
      <c>
        <v>152</v>
      </c>
      <c r="AI2906" t="s">
        <v>23651</v>
      </c>
      <c t="s">
        <v>40123</v>
      </c>
      <c r="AL2906" t="s">
        <v>46171</v>
      </c>
      <c t="s">
        <v>46171</v>
      </c>
      <c t="s">
        <v>19878</v>
      </c>
      <c t="s">
        <v>24784</v>
      </c>
      <c t="s">
        <v>60160</v>
      </c>
      <c t="s">
        <v>3093</v>
      </c>
      <c t="s">
        <v>32512</v>
      </c>
    </row>
    <row>
      <c t="s">
        <v>17594</v>
      </c>
      <c t="s">
        <v>19371</v>
      </c>
      <c t="s">
        <v>23100</v>
      </c>
      <c t="s">
        <v>21920</v>
      </c>
      <c t="s">
        <v>66057</v>
      </c>
      <c s="3">
        <v>9470</v>
      </c>
      <c s="3">
        <v>9470</v>
      </c>
      <c s="3">
        <v>4972</v>
      </c>
      <c>
        <v>0</v>
      </c>
      <c s="3">
        <v>0</v>
      </c>
      <c s="3">
        <v>323.16</v>
      </c>
      <c s="3">
        <v>9470</v>
      </c>
      <c r="O2907" s="1" t="str">
        <f ca="1">HYPERLINK("https://web.datatree.com/?/property?propertyId=33069215", "https://web.datatree.com/?/property?propertyId=33069215")</f>
        <v>https://web.datatree.com/?/property?propertyId=33069215</v>
      </c>
      <c r="Q2907" t="s">
        <v>316</v>
      </c>
      <c>
        <v>0.293</v>
      </c>
      <c t="s">
        <v>5471</v>
      </c>
      <c t="s">
        <v>20889</v>
      </c>
      <c t="s">
        <v>32403</v>
      </c>
      <c r="X2907" t="s">
        <v>8670</v>
      </c>
      <c t="s">
        <v>18225</v>
      </c>
      <c t="s">
        <v>65059</v>
      </c>
      <c t="s">
        <v>39289</v>
      </c>
      <c>
        <v>33905</v>
      </c>
      <c t="s">
        <v>1710</v>
      </c>
      <c t="s">
        <v>48794</v>
      </c>
      <c t="s">
        <v>46596</v>
      </c>
      <c>
        <v>25</v>
      </c>
      <c r="AI2907" t="s">
        <v>51753</v>
      </c>
      <c t="s">
        <v>31192</v>
      </c>
      <c r="AL2907" t="s">
        <v>27533</v>
      </c>
      <c t="s">
        <v>66686</v>
      </c>
      <c t="s">
        <v>24792</v>
      </c>
      <c t="s">
        <v>58258</v>
      </c>
      <c t="s">
        <v>49977</v>
      </c>
      <c t="s">
        <v>3093</v>
      </c>
      <c t="s">
        <v>2388</v>
      </c>
    </row>
    <row>
      <c t="s">
        <v>17594</v>
      </c>
      <c t="s">
        <v>38276</v>
      </c>
      <c t="s">
        <v>12006</v>
      </c>
      <c t="s">
        <v>41395</v>
      </c>
      <c t="s">
        <v>56236</v>
      </c>
      <c s="3">
        <v>72296</v>
      </c>
      <c s="3">
        <v>63500</v>
      </c>
      <c s="3">
        <v>70483</v>
      </c>
      <c>
        <v>0</v>
      </c>
      <c s="3">
        <v>0</v>
      </c>
      <c s="3">
        <v>1070.21</v>
      </c>
      <c s="3">
        <v>72296</v>
      </c>
      <c r="O2908" s="1" t="str">
        <f ca="1">HYPERLINK("https://web.datatree.com/?/property?propertyId=33069382", "https://web.datatree.com/?/property?propertyId=33069382")</f>
        <v>https://web.datatree.com/?/property?propertyId=33069382</v>
      </c>
      <c r="Q2908" t="s">
        <v>316</v>
      </c>
      <c>
        <v>0.095</v>
      </c>
      <c t="s">
        <v>26492</v>
      </c>
      <c r="U2908" t="s">
        <v>17898</v>
      </c>
      <c t="s">
        <v>4868</v>
      </c>
      <c t="s">
        <v>26892</v>
      </c>
      <c t="s">
        <v>31320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58026</v>
      </c>
      <c>
        <v>3010</v>
      </c>
      <c r="AH2908" t="s">
        <v>6851</v>
      </c>
      <c t="s">
        <v>58120</v>
      </c>
      <c t="s">
        <v>31192</v>
      </c>
      <c r="AL2908" t="s">
        <v>12830</v>
      </c>
      <c t="s">
        <v>1160</v>
      </c>
      <c t="s">
        <v>51137</v>
      </c>
      <c t="s">
        <v>18884</v>
      </c>
      <c t="s">
        <v>61719</v>
      </c>
      <c t="s">
        <v>3093</v>
      </c>
      <c t="s">
        <v>26252</v>
      </c>
    </row>
    <row>
      <c t="s">
        <v>17594</v>
      </c>
      <c t="s">
        <v>53451</v>
      </c>
      <c t="s">
        <v>62776</v>
      </c>
      <c t="s">
        <v>34972</v>
      </c>
      <c t="s">
        <v>11381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2909" s="1" t="str">
        <f ca="1">HYPERLINK("https://web.datatree.com/?/property?propertyId=33069932", "https://web.datatree.com/?/property?propertyId=33069932")</f>
        <v>https://web.datatree.com/?/property?propertyId=33069932</v>
      </c>
      <c r="Q2909" t="s">
        <v>316</v>
      </c>
      <c>
        <v>0.23</v>
      </c>
      <c t="s">
        <v>6175</v>
      </c>
      <c t="s">
        <v>10361</v>
      </c>
      <c t="s">
        <v>5323</v>
      </c>
      <c r="X2909" t="s">
        <v>48361</v>
      </c>
      <c t="s">
        <v>53663</v>
      </c>
      <c t="s">
        <v>2517</v>
      </c>
      <c t="s">
        <v>39289</v>
      </c>
      <c>
        <v>33909</v>
      </c>
      <c t="s">
        <v>35190</v>
      </c>
      <c t="s">
        <v>48794</v>
      </c>
      <c t="s">
        <v>37151</v>
      </c>
      <c>
        <v>4426</v>
      </c>
      <c r="AI2909" t="s">
        <v>29275</v>
      </c>
      <c t="s">
        <v>45393</v>
      </c>
      <c r="AL2909" t="s">
        <v>65299</v>
      </c>
      <c t="s">
        <v>65299</v>
      </c>
      <c t="s">
        <v>50917</v>
      </c>
      <c>
        <v>14559</v>
      </c>
      <c r="AQ2909" t="s">
        <v>3093</v>
      </c>
      <c t="s">
        <v>8776</v>
      </c>
    </row>
    <row>
      <c t="s">
        <v>17594</v>
      </c>
      <c t="s">
        <v>147</v>
      </c>
      <c t="s">
        <v>28846</v>
      </c>
      <c t="s">
        <v>62043</v>
      </c>
      <c t="s">
        <v>45593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2910" s="1" t="str">
        <f ca="1">HYPERLINK("https://web.datatree.com/?/property?propertyId=33070319", "https://web.datatree.com/?/property?propertyId=33070319")</f>
        <v>https://web.datatree.com/?/property?propertyId=33070319</v>
      </c>
      <c r="Q2910" t="s">
        <v>316</v>
      </c>
      <c>
        <v>0.244</v>
      </c>
      <c t="s">
        <v>22490</v>
      </c>
      <c t="s">
        <v>52192</v>
      </c>
      <c t="s">
        <v>24508</v>
      </c>
      <c t="s">
        <v>2609</v>
      </c>
      <c t="s">
        <v>40102</v>
      </c>
      <c t="s">
        <v>16289</v>
      </c>
      <c t="s">
        <v>53675</v>
      </c>
      <c t="s">
        <v>2517</v>
      </c>
      <c t="s">
        <v>39289</v>
      </c>
      <c>
        <v>33909</v>
      </c>
      <c t="s">
        <v>5939</v>
      </c>
      <c t="s">
        <v>48794</v>
      </c>
      <c t="s">
        <v>56155</v>
      </c>
      <c>
        <v>1231</v>
      </c>
      <c r="AI2910" t="s">
        <v>14786</v>
      </c>
      <c t="s">
        <v>835</v>
      </c>
      <c r="AL2910" t="s">
        <v>1837</v>
      </c>
      <c t="s">
        <v>1837</v>
      </c>
      <c t="s">
        <v>39289</v>
      </c>
      <c t="s">
        <v>28205</v>
      </c>
      <c t="s">
        <v>14695</v>
      </c>
      <c t="s">
        <v>3093</v>
      </c>
      <c t="s">
        <v>45180</v>
      </c>
    </row>
    <row>
      <c t="s">
        <v>17594</v>
      </c>
      <c t="s">
        <v>46561</v>
      </c>
      <c t="s">
        <v>28639</v>
      </c>
      <c t="s">
        <v>33674</v>
      </c>
      <c t="s">
        <v>25433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2911" s="1" t="str">
        <f ca="1">HYPERLINK("https://web.datatree.com/?/property?propertyId=33070462", "https://web.datatree.com/?/property?propertyId=33070462")</f>
        <v>https://web.datatree.com/?/property?propertyId=33070462</v>
      </c>
      <c r="Q2911" t="s">
        <v>316</v>
      </c>
      <c>
        <v>0.23</v>
      </c>
      <c t="s">
        <v>22490</v>
      </c>
      <c t="s">
        <v>56203</v>
      </c>
      <c t="s">
        <v>36650</v>
      </c>
      <c r="X2911" t="s">
        <v>3587</v>
      </c>
      <c t="s">
        <v>24999</v>
      </c>
      <c t="s">
        <v>2517</v>
      </c>
      <c t="s">
        <v>39289</v>
      </c>
      <c>
        <v>33909</v>
      </c>
      <c t="s">
        <v>61205</v>
      </c>
      <c t="s">
        <v>48794</v>
      </c>
      <c t="s">
        <v>22604</v>
      </c>
      <c>
        <v>2330</v>
      </c>
      <c r="AI2911" t="s">
        <v>8737</v>
      </c>
      <c t="s">
        <v>24900</v>
      </c>
      <c r="AL2911" t="s">
        <v>65608</v>
      </c>
      <c r="AN2911" t="s">
        <v>39289</v>
      </c>
      <c t="s">
        <v>21776</v>
      </c>
      <c t="s">
        <v>19978</v>
      </c>
      <c t="s">
        <v>3093</v>
      </c>
      <c t="s">
        <v>39030</v>
      </c>
    </row>
    <row>
      <c t="s">
        <v>17594</v>
      </c>
      <c t="s">
        <v>59093</v>
      </c>
      <c t="s">
        <v>1128</v>
      </c>
      <c t="s">
        <v>45321</v>
      </c>
      <c t="s">
        <v>1333</v>
      </c>
      <c s="3">
        <v>8807</v>
      </c>
      <c s="3">
        <v>8807</v>
      </c>
      <c s="3">
        <v>4972</v>
      </c>
      <c>
        <v>0</v>
      </c>
      <c s="3">
        <v>0</v>
      </c>
      <c s="3">
        <v>316.66</v>
      </c>
      <c s="3">
        <v>8807</v>
      </c>
      <c r="O2912" s="1" t="str">
        <f ca="1">HYPERLINK("https://web.datatree.com/?/property?propertyId=33071123", "https://web.datatree.com/?/property?propertyId=33071123")</f>
        <v>https://web.datatree.com/?/property?propertyId=33071123</v>
      </c>
      <c r="Q2912" t="s">
        <v>316</v>
      </c>
      <c>
        <v>0.239</v>
      </c>
      <c t="s">
        <v>5471</v>
      </c>
      <c t="s">
        <v>12691</v>
      </c>
      <c t="s">
        <v>30547</v>
      </c>
      <c r="X2912" t="s">
        <v>19881</v>
      </c>
      <c t="s">
        <v>3747</v>
      </c>
      <c t="s">
        <v>65059</v>
      </c>
      <c t="s">
        <v>39289</v>
      </c>
      <c>
        <v>33905</v>
      </c>
      <c t="s">
        <v>61499</v>
      </c>
      <c t="s">
        <v>48794</v>
      </c>
      <c t="s">
        <v>32511</v>
      </c>
      <c>
        <v>11</v>
      </c>
      <c r="AI2912" t="s">
        <v>4141</v>
      </c>
      <c t="s">
        <v>45620</v>
      </c>
      <c r="AL2912" t="s">
        <v>44956</v>
      </c>
      <c r="AN2912" t="s">
        <v>14509</v>
      </c>
      <c t="s">
        <v>30753</v>
      </c>
      <c t="s">
        <v>49977</v>
      </c>
      <c t="s">
        <v>3093</v>
      </c>
      <c t="s">
        <v>61599</v>
      </c>
    </row>
    <row>
      <c t="s">
        <v>17594</v>
      </c>
      <c t="s">
        <v>41675</v>
      </c>
      <c t="s">
        <v>32846</v>
      </c>
      <c t="s">
        <v>53553</v>
      </c>
      <c t="s">
        <v>32267</v>
      </c>
      <c s="3">
        <v>8400</v>
      </c>
      <c s="3">
        <v>8400</v>
      </c>
      <c s="3">
        <v>8400</v>
      </c>
      <c>
        <v>0</v>
      </c>
      <c s="3">
        <v>0</v>
      </c>
      <c s="3">
        <v>715.85</v>
      </c>
      <c s="3">
        <v>8400</v>
      </c>
      <c r="O2913" s="1" t="str">
        <f ca="1">HYPERLINK("https://web.datatree.com/?/property?propertyId=33071597", "https://web.datatree.com/?/property?propertyId=33071597")</f>
        <v>https://web.datatree.com/?/property?propertyId=33071597</v>
      </c>
      <c r="Q2913" t="s">
        <v>316</v>
      </c>
      <c>
        <v>0.263</v>
      </c>
      <c t="s">
        <v>22490</v>
      </c>
      <c t="s">
        <v>39139</v>
      </c>
      <c t="s">
        <v>2168</v>
      </c>
      <c t="s">
        <v>29235</v>
      </c>
      <c t="s">
        <v>2168</v>
      </c>
      <c t="s">
        <v>61555</v>
      </c>
      <c t="s">
        <v>10653</v>
      </c>
      <c t="s">
        <v>2517</v>
      </c>
      <c t="s">
        <v>39289</v>
      </c>
      <c>
        <v>33904</v>
      </c>
      <c t="s">
        <v>18321</v>
      </c>
      <c t="s">
        <v>48794</v>
      </c>
      <c t="s">
        <v>65266</v>
      </c>
      <c>
        <v>2015</v>
      </c>
      <c r="AI2913" t="s">
        <v>11223</v>
      </c>
      <c t="s">
        <v>41372</v>
      </c>
      <c r="AL2913" t="s">
        <v>35554</v>
      </c>
      <c t="s">
        <v>35554</v>
      </c>
      <c t="s">
        <v>65451</v>
      </c>
      <c t="s">
        <v>14670</v>
      </c>
      <c t="s">
        <v>22455</v>
      </c>
      <c t="s">
        <v>3093</v>
      </c>
      <c t="s">
        <v>5650</v>
      </c>
    </row>
    <row>
      <c t="s">
        <v>17594</v>
      </c>
      <c t="s">
        <v>9643</v>
      </c>
      <c t="s">
        <v>16907</v>
      </c>
      <c t="s">
        <v>27170</v>
      </c>
      <c t="s">
        <v>29830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914" s="1" t="str">
        <f ca="1">HYPERLINK("https://web.datatree.com/?/property?propertyId=33073214", "https://web.datatree.com/?/property?propertyId=33073214")</f>
        <v>https://web.datatree.com/?/property?propertyId=33073214</v>
      </c>
      <c r="Q2914" t="s">
        <v>316</v>
      </c>
      <c>
        <v>0.23</v>
      </c>
      <c t="s">
        <v>6175</v>
      </c>
      <c t="s">
        <v>42333</v>
      </c>
      <c t="s">
        <v>46930</v>
      </c>
      <c t="s">
        <v>56577</v>
      </c>
      <c t="s">
        <v>53641</v>
      </c>
      <c t="s">
        <v>11251</v>
      </c>
      <c t="s">
        <v>34731</v>
      </c>
      <c t="s">
        <v>2517</v>
      </c>
      <c t="s">
        <v>39289</v>
      </c>
      <c>
        <v>33909</v>
      </c>
      <c t="s">
        <v>26632</v>
      </c>
      <c t="s">
        <v>48794</v>
      </c>
      <c t="s">
        <v>11117</v>
      </c>
      <c>
        <v>5409</v>
      </c>
      <c r="AI2914" t="s">
        <v>50341</v>
      </c>
      <c t="s">
        <v>45393</v>
      </c>
      <c r="AL2914" t="s">
        <v>11121</v>
      </c>
      <c t="s">
        <v>11121</v>
      </c>
      <c t="s">
        <v>58733</v>
      </c>
      <c t="s">
        <v>46680</v>
      </c>
      <c t="s">
        <v>45980</v>
      </c>
      <c t="s">
        <v>3093</v>
      </c>
      <c t="s">
        <v>15151</v>
      </c>
    </row>
    <row>
      <c t="s">
        <v>17594</v>
      </c>
      <c t="s">
        <v>60026</v>
      </c>
      <c t="s">
        <v>28735</v>
      </c>
      <c t="s">
        <v>30286</v>
      </c>
      <c t="s">
        <v>4269</v>
      </c>
      <c s="3">
        <v>16324</v>
      </c>
      <c s="3">
        <v>16000</v>
      </c>
      <c s="3">
        <v>10374</v>
      </c>
      <c>
        <v>0</v>
      </c>
      <c s="3">
        <v>0</v>
      </c>
      <c s="3">
        <v>188.38</v>
      </c>
      <c s="3">
        <v>16324</v>
      </c>
      <c r="O2915" s="1" t="str">
        <f ca="1">HYPERLINK("https://web.datatree.com/?/property?propertyId=33073299", "https://web.datatree.com/?/property?propertyId=33073299")</f>
        <v>https://web.datatree.com/?/property?propertyId=33073299</v>
      </c>
      <c>
        <v>1665</v>
      </c>
      <c t="s">
        <v>316</v>
      </c>
      <c>
        <v>0.365</v>
      </c>
      <c t="s">
        <v>36245</v>
      </c>
      <c t="s">
        <v>64030</v>
      </c>
      <c t="s">
        <v>37625</v>
      </c>
      <c r="X2915" t="s">
        <v>42137</v>
      </c>
      <c t="s">
        <v>40227</v>
      </c>
      <c t="s">
        <v>65059</v>
      </c>
      <c t="s">
        <v>39289</v>
      </c>
      <c>
        <v>33905</v>
      </c>
      <c>
        <v>33905</v>
      </c>
      <c t="s">
        <v>48794</v>
      </c>
      <c t="s">
        <v>35681</v>
      </c>
      <c>
        <v>594</v>
      </c>
      <c r="AI2915" t="s">
        <v>16863</v>
      </c>
      <c t="s">
        <v>55842</v>
      </c>
      <c r="AL2915" t="s">
        <v>11713</v>
      </c>
      <c t="s">
        <v>40227</v>
      </c>
      <c t="s">
        <v>39289</v>
      </c>
      <c t="s">
        <v>38691</v>
      </c>
      <c t="s">
        <v>40826</v>
      </c>
      <c t="s">
        <v>3093</v>
      </c>
      <c t="s">
        <v>46967</v>
      </c>
      <c>
        <v>1940</v>
      </c>
    </row>
    <row>
      <c t="s">
        <v>17594</v>
      </c>
      <c t="s">
        <v>60860</v>
      </c>
      <c t="s">
        <v>53766</v>
      </c>
      <c t="s">
        <v>52839</v>
      </c>
      <c t="s">
        <v>6978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2916" s="1" t="str">
        <f ca="1">HYPERLINK("https://web.datatree.com/?/property?propertyId=33074314", "https://web.datatree.com/?/property?propertyId=33074314")</f>
        <v>https://web.datatree.com/?/property?propertyId=33074314</v>
      </c>
      <c r="Q2916" t="s">
        <v>316</v>
      </c>
      <c>
        <v>0.241</v>
      </c>
      <c t="s">
        <v>6175</v>
      </c>
      <c t="s">
        <v>52308</v>
      </c>
      <c t="s">
        <v>13993</v>
      </c>
      <c r="X2916" t="s">
        <v>46336</v>
      </c>
      <c t="s">
        <v>13065</v>
      </c>
      <c t="s">
        <v>2517</v>
      </c>
      <c t="s">
        <v>39289</v>
      </c>
      <c>
        <v>33909</v>
      </c>
      <c t="s">
        <v>28657</v>
      </c>
      <c t="s">
        <v>48794</v>
      </c>
      <c t="s">
        <v>56679</v>
      </c>
      <c r="AI2916" t="s">
        <v>47001</v>
      </c>
      <c r="AL2916" t="s">
        <v>4412</v>
      </c>
      <c t="s">
        <v>4412</v>
      </c>
      <c t="s">
        <v>27747</v>
      </c>
      <c>
        <v>1060</v>
      </c>
      <c r="AR2916" t="s">
        <v>66910</v>
      </c>
    </row>
    <row>
      <c t="s">
        <v>17594</v>
      </c>
      <c t="s">
        <v>18107</v>
      </c>
      <c t="s">
        <v>61698</v>
      </c>
      <c t="s">
        <v>31036</v>
      </c>
      <c t="s">
        <v>40011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2917" s="1" t="str">
        <f ca="1">HYPERLINK("https://web.datatree.com/?/property?propertyId=33074338", "https://web.datatree.com/?/property?propertyId=33074338")</f>
        <v>https://web.datatree.com/?/property?propertyId=33074338</v>
      </c>
      <c r="Q2917" t="s">
        <v>316</v>
      </c>
      <c>
        <v>0.23</v>
      </c>
      <c t="s">
        <v>22490</v>
      </c>
      <c t="s">
        <v>4699</v>
      </c>
      <c t="s">
        <v>1132</v>
      </c>
      <c r="X2917" t="s">
        <v>66295</v>
      </c>
      <c t="s">
        <v>29190</v>
      </c>
      <c t="s">
        <v>2517</v>
      </c>
      <c t="s">
        <v>39289</v>
      </c>
      <c>
        <v>33909</v>
      </c>
      <c t="s">
        <v>15520</v>
      </c>
      <c t="s">
        <v>48794</v>
      </c>
      <c t="s">
        <v>26992</v>
      </c>
      <c>
        <v>26</v>
      </c>
      <c r="AI2917" t="s">
        <v>459</v>
      </c>
      <c r="AL2917" t="s">
        <v>56787</v>
      </c>
      <c r="AN2917" t="s">
        <v>32840</v>
      </c>
      <c r="AR2917" t="s">
        <v>45896</v>
      </c>
    </row>
    <row>
      <c t="s">
        <v>17594</v>
      </c>
      <c t="s">
        <v>5167</v>
      </c>
      <c t="s">
        <v>48766</v>
      </c>
      <c t="s">
        <v>41475</v>
      </c>
      <c t="s">
        <v>35924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918" s="1" t="str">
        <f ca="1">HYPERLINK("https://web.datatree.com/?/property?propertyId=33074619", "https://web.datatree.com/?/property?propertyId=33074619")</f>
        <v>https://web.datatree.com/?/property?propertyId=33074619</v>
      </c>
      <c r="Q2918" t="s">
        <v>316</v>
      </c>
      <c>
        <v>0.23</v>
      </c>
      <c t="s">
        <v>6175</v>
      </c>
      <c t="s">
        <v>8599</v>
      </c>
      <c t="s">
        <v>33547</v>
      </c>
      <c t="s">
        <v>54618</v>
      </c>
      <c t="s">
        <v>33547</v>
      </c>
      <c t="s">
        <v>37067</v>
      </c>
      <c t="s">
        <v>33335</v>
      </c>
      <c t="s">
        <v>2517</v>
      </c>
      <c t="s">
        <v>39289</v>
      </c>
      <c>
        <v>33909</v>
      </c>
      <c t="s">
        <v>30561</v>
      </c>
      <c t="s">
        <v>48794</v>
      </c>
      <c t="s">
        <v>14942</v>
      </c>
      <c>
        <v>1024</v>
      </c>
      <c r="AI2918" t="s">
        <v>18679</v>
      </c>
      <c t="s">
        <v>45393</v>
      </c>
      <c r="AL2918" t="s">
        <v>55393</v>
      </c>
      <c r="AN2918" t="s">
        <v>39289</v>
      </c>
      <c t="s">
        <v>15264</v>
      </c>
      <c t="s">
        <v>636</v>
      </c>
      <c t="s">
        <v>3093</v>
      </c>
      <c t="s">
        <v>30680</v>
      </c>
    </row>
    <row>
      <c t="s">
        <v>17594</v>
      </c>
      <c t="s">
        <v>59343</v>
      </c>
      <c t="s">
        <v>15842</v>
      </c>
      <c t="s">
        <v>60781</v>
      </c>
      <c t="s">
        <v>53010</v>
      </c>
      <c s="3">
        <v>8212</v>
      </c>
      <c s="3">
        <v>8212</v>
      </c>
      <c s="3">
        <v>8212</v>
      </c>
      <c>
        <v>0</v>
      </c>
      <c s="3">
        <v>0</v>
      </c>
      <c s="3">
        <v>131.16</v>
      </c>
      <c s="3">
        <v>8212</v>
      </c>
      <c r="O2919" s="1" t="str">
        <f ca="1">HYPERLINK("https://web.datatree.com/?/property?propertyId=33075239", "https://web.datatree.com/?/property?propertyId=33075239")</f>
        <v>https://web.datatree.com/?/property?propertyId=33075239</v>
      </c>
      <c r="Q2919" t="s">
        <v>316</v>
      </c>
      <c>
        <v>0.117</v>
      </c>
      <c t="s">
        <v>5471</v>
      </c>
      <c t="s">
        <v>51229</v>
      </c>
      <c t="s">
        <v>31813</v>
      </c>
      <c r="X2919" t="s">
        <v>12308</v>
      </c>
      <c t="s">
        <v>13255</v>
      </c>
      <c t="s">
        <v>54524</v>
      </c>
      <c t="s">
        <v>39289</v>
      </c>
      <c>
        <v>33903</v>
      </c>
      <c t="s">
        <v>29588</v>
      </c>
      <c t="s">
        <v>48794</v>
      </c>
      <c t="s">
        <v>19591</v>
      </c>
      <c>
        <v>6590</v>
      </c>
      <c r="AI2919" t="s">
        <v>2626</v>
      </c>
      <c t="s">
        <v>45393</v>
      </c>
      <c r="AL2919" t="s">
        <v>54231</v>
      </c>
      <c t="s">
        <v>54231</v>
      </c>
      <c t="s">
        <v>39289</v>
      </c>
      <c t="s">
        <v>52068</v>
      </c>
      <c t="s">
        <v>32746</v>
      </c>
      <c t="s">
        <v>3093</v>
      </c>
      <c t="s">
        <v>6369</v>
      </c>
    </row>
    <row>
      <c t="s">
        <v>17594</v>
      </c>
      <c t="s">
        <v>63365</v>
      </c>
      <c t="s">
        <v>40197</v>
      </c>
      <c t="s">
        <v>41374</v>
      </c>
      <c t="s">
        <v>52969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582.14</v>
      </c>
      <c s="1" t="str">
        <f ca="1">HYPERLINK("https://web.datatree.com/?/property?propertyId=33075931", "https://web.datatree.com/?/property?propertyId=33075931")</f>
        <v>https://web.datatree.com/?/property?propertyId=33075931</v>
      </c>
      <c r="Q2920" t="s">
        <v>316</v>
      </c>
      <c>
        <v>0.23</v>
      </c>
      <c t="s">
        <v>6175</v>
      </c>
      <c t="s">
        <v>5100</v>
      </c>
      <c t="s">
        <v>48923</v>
      </c>
      <c t="s">
        <v>10179</v>
      </c>
      <c t="s">
        <v>48923</v>
      </c>
      <c t="s">
        <v>45089</v>
      </c>
      <c t="s">
        <v>61865</v>
      </c>
      <c t="s">
        <v>2517</v>
      </c>
      <c t="s">
        <v>39289</v>
      </c>
      <c>
        <v>33909</v>
      </c>
      <c t="s">
        <v>26501</v>
      </c>
      <c t="s">
        <v>48794</v>
      </c>
      <c t="s">
        <v>50970</v>
      </c>
      <c>
        <v>10832</v>
      </c>
      <c r="AI2920" t="s">
        <v>21250</v>
      </c>
      <c t="s">
        <v>39321</v>
      </c>
      <c r="AL2920" t="s">
        <v>55393</v>
      </c>
      <c r="AN2920" t="s">
        <v>39289</v>
      </c>
      <c t="s">
        <v>38981</v>
      </c>
      <c t="s">
        <v>26416</v>
      </c>
      <c t="s">
        <v>3093</v>
      </c>
      <c t="s">
        <v>10225</v>
      </c>
    </row>
    <row>
      <c t="s">
        <v>17594</v>
      </c>
      <c t="s">
        <v>21727</v>
      </c>
      <c t="s">
        <v>7438</v>
      </c>
      <c t="s">
        <v>55845</v>
      </c>
      <c t="s">
        <v>35909</v>
      </c>
      <c s="3">
        <v>56856</v>
      </c>
      <c s="3">
        <v>56856</v>
      </c>
      <c s="3">
        <v>56856</v>
      </c>
      <c>
        <v>0</v>
      </c>
      <c s="3">
        <v>0</v>
      </c>
      <c s="3">
        <v>1424.88</v>
      </c>
      <c s="3">
        <v>56856</v>
      </c>
      <c r="O2921" s="1" t="str">
        <f ca="1">HYPERLINK("https://web.datatree.com/?/property?propertyId=33076236", "https://web.datatree.com/?/property?propertyId=33076236")</f>
        <v>https://web.datatree.com/?/property?propertyId=33076236</v>
      </c>
      <c r="Q2921" t="s">
        <v>316</v>
      </c>
      <c>
        <v>0.344</v>
      </c>
      <c t="s">
        <v>6175</v>
      </c>
      <c t="s">
        <v>56743</v>
      </c>
      <c t="s">
        <v>46201</v>
      </c>
      <c t="s">
        <v>33321</v>
      </c>
      <c t="s">
        <v>46201</v>
      </c>
      <c t="s">
        <v>32491</v>
      </c>
      <c t="s">
        <v>49122</v>
      </c>
      <c t="s">
        <v>2517</v>
      </c>
      <c t="s">
        <v>39289</v>
      </c>
      <c>
        <v>33904</v>
      </c>
      <c t="s">
        <v>61792</v>
      </c>
      <c t="s">
        <v>48794</v>
      </c>
      <c t="s">
        <v>60423</v>
      </c>
      <c>
        <v>306</v>
      </c>
      <c r="AI2921" t="s">
        <v>36708</v>
      </c>
      <c t="s">
        <v>31192</v>
      </c>
      <c r="AL2921" t="s">
        <v>2453</v>
      </c>
      <c t="s">
        <v>2453</v>
      </c>
      <c t="s">
        <v>26016</v>
      </c>
      <c t="s">
        <v>4224</v>
      </c>
      <c t="s">
        <v>30106</v>
      </c>
      <c t="s">
        <v>3093</v>
      </c>
      <c t="s">
        <v>46644</v>
      </c>
    </row>
    <row>
      <c t="s">
        <v>17594</v>
      </c>
      <c t="s">
        <v>29287</v>
      </c>
      <c t="s">
        <v>50611</v>
      </c>
      <c t="s">
        <v>36809</v>
      </c>
      <c t="s">
        <v>13959</v>
      </c>
      <c s="3">
        <v>12544</v>
      </c>
      <c s="3">
        <v>12544</v>
      </c>
      <c s="3">
        <v>7700</v>
      </c>
      <c>
        <v>0</v>
      </c>
      <c s="3">
        <v>0</v>
      </c>
      <c s="3">
        <v>332.83</v>
      </c>
      <c s="3">
        <v>12544</v>
      </c>
      <c r="O2922" s="1" t="str">
        <f ca="1">HYPERLINK("https://web.datatree.com/?/property?propertyId=33076285", "https://web.datatree.com/?/property?propertyId=33076285")</f>
        <v>https://web.datatree.com/?/property?propertyId=33076285</v>
      </c>
      <c r="Q2922" t="s">
        <v>316</v>
      </c>
      <c>
        <v>0.226</v>
      </c>
      <c t="s">
        <v>5471</v>
      </c>
      <c t="s">
        <v>57643</v>
      </c>
      <c t="s">
        <v>50793</v>
      </c>
      <c t="s">
        <v>8762</v>
      </c>
      <c t="s">
        <v>30413</v>
      </c>
      <c t="s">
        <v>5769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11305</v>
      </c>
      <c>
        <v>2462</v>
      </c>
      <c r="AI2922" t="s">
        <v>41697</v>
      </c>
      <c t="s">
        <v>55842</v>
      </c>
      <c r="AL2922" t="s">
        <v>2960</v>
      </c>
      <c t="s">
        <v>2960</v>
      </c>
      <c t="s">
        <v>14798</v>
      </c>
      <c t="s">
        <v>53265</v>
      </c>
      <c t="s">
        <v>39566</v>
      </c>
      <c t="s">
        <v>3093</v>
      </c>
      <c t="s">
        <v>56678</v>
      </c>
    </row>
    <row>
      <c t="s">
        <v>17594</v>
      </c>
      <c t="s">
        <v>21847</v>
      </c>
      <c t="s">
        <v>49088</v>
      </c>
      <c t="s">
        <v>63421</v>
      </c>
      <c t="s">
        <v>61428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2923" s="1" t="str">
        <f ca="1">HYPERLINK("https://web.datatree.com/?/property?propertyId=33076488", "https://web.datatree.com/?/property?propertyId=33076488")</f>
        <v>https://web.datatree.com/?/property?propertyId=33076488</v>
      </c>
      <c r="Q2923" t="s">
        <v>316</v>
      </c>
      <c>
        <v>0.23</v>
      </c>
      <c t="s">
        <v>6175</v>
      </c>
      <c t="s">
        <v>57425</v>
      </c>
      <c t="s">
        <v>54681</v>
      </c>
      <c r="X2923" t="s">
        <v>31161</v>
      </c>
      <c t="s">
        <v>61850</v>
      </c>
      <c t="s">
        <v>2517</v>
      </c>
      <c t="s">
        <v>39289</v>
      </c>
      <c>
        <v>33909</v>
      </c>
      <c t="s">
        <v>65646</v>
      </c>
      <c t="s">
        <v>48794</v>
      </c>
      <c t="s">
        <v>3166</v>
      </c>
      <c>
        <v>800</v>
      </c>
      <c r="AI2923" t="s">
        <v>5105</v>
      </c>
      <c t="s">
        <v>45393</v>
      </c>
      <c r="AL2923" t="s">
        <v>49611</v>
      </c>
      <c r="AN2923" t="s">
        <v>32576</v>
      </c>
      <c t="s">
        <v>53781</v>
      </c>
      <c t="s">
        <v>26242</v>
      </c>
      <c t="s">
        <v>3093</v>
      </c>
      <c t="s">
        <v>10670</v>
      </c>
    </row>
    <row>
      <c t="s">
        <v>17594</v>
      </c>
      <c t="s">
        <v>53126</v>
      </c>
      <c t="s">
        <v>17681</v>
      </c>
      <c t="s">
        <v>56170</v>
      </c>
      <c t="s">
        <v>28524</v>
      </c>
      <c s="3">
        <v>21147</v>
      </c>
      <c s="3">
        <v>21147</v>
      </c>
      <c s="3">
        <v>9599</v>
      </c>
      <c>
        <v>0</v>
      </c>
      <c s="3">
        <v>0</v>
      </c>
      <c s="3">
        <v>683.7</v>
      </c>
      <c s="3">
        <v>21147</v>
      </c>
      <c r="O2924" s="1" t="str">
        <f ca="1">HYPERLINK("https://web.datatree.com/?/property?propertyId=33077662", "https://web.datatree.com/?/property?propertyId=33077662")</f>
        <v>https://web.datatree.com/?/property?propertyId=33077662</v>
      </c>
      <c r="Q2924" t="s">
        <v>316</v>
      </c>
      <c>
        <v>0.37</v>
      </c>
      <c t="s">
        <v>6175</v>
      </c>
      <c r="U2924" t="s">
        <v>60462</v>
      </c>
      <c r="W2924" t="s">
        <v>3732</v>
      </c>
      <c t="s">
        <v>5684</v>
      </c>
      <c t="s">
        <v>14534</v>
      </c>
      <c t="s">
        <v>2517</v>
      </c>
      <c t="s">
        <v>39289</v>
      </c>
      <c>
        <v>33909</v>
      </c>
      <c t="s">
        <v>21946</v>
      </c>
      <c t="s">
        <v>48794</v>
      </c>
      <c t="s">
        <v>45308</v>
      </c>
      <c>
        <v>10905</v>
      </c>
      <c r="AI2924" t="s">
        <v>11016</v>
      </c>
      <c t="s">
        <v>55842</v>
      </c>
      <c r="AL2924" t="s">
        <v>52434</v>
      </c>
      <c r="AN2924" t="s">
        <v>39289</v>
      </c>
      <c t="s">
        <v>34049</v>
      </c>
      <c t="s">
        <v>23744</v>
      </c>
      <c t="s">
        <v>3093</v>
      </c>
      <c t="s">
        <v>36752</v>
      </c>
    </row>
    <row>
      <c t="s">
        <v>17594</v>
      </c>
      <c t="s">
        <v>30767</v>
      </c>
      <c t="s">
        <v>17364</v>
      </c>
      <c t="s">
        <v>4903</v>
      </c>
      <c t="s">
        <v>10160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2925" s="1" t="str">
        <f ca="1">HYPERLINK("https://web.datatree.com/?/property?propertyId=33078083", "https://web.datatree.com/?/property?propertyId=33078083")</f>
        <v>https://web.datatree.com/?/property?propertyId=33078083</v>
      </c>
      <c r="Q2925" t="s">
        <v>316</v>
      </c>
      <c>
        <v>0.233</v>
      </c>
      <c t="s">
        <v>22490</v>
      </c>
      <c r="U2925" t="s">
        <v>48630</v>
      </c>
      <c r="W2925" t="s">
        <v>65161</v>
      </c>
      <c t="s">
        <v>30444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11899</v>
      </c>
      <c>
        <v>1711</v>
      </c>
      <c r="AI2925" t="s">
        <v>50856</v>
      </c>
      <c t="s">
        <v>31192</v>
      </c>
      <c r="AL2925" t="s">
        <v>48982</v>
      </c>
      <c r="AN2925" t="s">
        <v>39289</v>
      </c>
      <c t="s">
        <v>21704</v>
      </c>
      <c t="s">
        <v>4632</v>
      </c>
      <c t="s">
        <v>3093</v>
      </c>
      <c t="s">
        <v>45293</v>
      </c>
    </row>
    <row>
      <c t="s">
        <v>17594</v>
      </c>
      <c t="s">
        <v>13405</v>
      </c>
      <c t="s">
        <v>62731</v>
      </c>
      <c t="s">
        <v>2753</v>
      </c>
      <c t="s">
        <v>38782</v>
      </c>
      <c s="3">
        <v>28860</v>
      </c>
      <c s="3">
        <v>28860</v>
      </c>
      <c s="3">
        <v>28600</v>
      </c>
      <c>
        <v>0</v>
      </c>
      <c s="3">
        <v>0</v>
      </c>
      <c s="3">
        <v>393.89</v>
      </c>
      <c s="3">
        <v>28860</v>
      </c>
      <c r="O2926" s="1" t="str">
        <f ca="1">HYPERLINK("https://web.datatree.com/?/property?propertyId=33078207", "https://web.datatree.com/?/property?propertyId=33078207")</f>
        <v>https://web.datatree.com/?/property?propertyId=33078207</v>
      </c>
      <c r="Q2926" t="s">
        <v>316</v>
      </c>
      <c>
        <v>0.043</v>
      </c>
      <c t="s">
        <v>54329</v>
      </c>
      <c t="s">
        <v>35571</v>
      </c>
      <c t="s">
        <v>25102</v>
      </c>
      <c t="s">
        <v>16558</v>
      </c>
      <c t="s">
        <v>35571</v>
      </c>
      <c t="s">
        <v>61769</v>
      </c>
      <c t="s">
        <v>30855</v>
      </c>
      <c t="s">
        <v>65059</v>
      </c>
      <c t="s">
        <v>39289</v>
      </c>
      <c>
        <v>33908</v>
      </c>
      <c t="s">
        <v>61026</v>
      </c>
      <c t="s">
        <v>48794</v>
      </c>
      <c t="s">
        <v>35281</v>
      </c>
      <c>
        <v>2880</v>
      </c>
      <c r="AI2926" t="s">
        <v>18719</v>
      </c>
      <c t="s">
        <v>31192</v>
      </c>
      <c r="AL2926" t="s">
        <v>40956</v>
      </c>
      <c t="s">
        <v>53482</v>
      </c>
      <c t="s">
        <v>66651</v>
      </c>
      <c t="s">
        <v>24000</v>
      </c>
      <c t="s">
        <v>33856</v>
      </c>
      <c t="s">
        <v>3093</v>
      </c>
      <c t="s">
        <v>5457</v>
      </c>
    </row>
    <row>
      <c t="s">
        <v>17594</v>
      </c>
      <c t="s">
        <v>39774</v>
      </c>
      <c t="s">
        <v>33559</v>
      </c>
      <c t="s">
        <v>30589</v>
      </c>
      <c t="s">
        <v>54214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>
        <v>2021</v>
      </c>
      <c>
        <v>652.38</v>
      </c>
      <c s="1" t="str">
        <f ca="1">HYPERLINK("https://web.datatree.com/?/property?propertyId=33078982", "https://web.datatree.com/?/property?propertyId=33078982")</f>
        <v>https://web.datatree.com/?/property?propertyId=33078982</v>
      </c>
      <c r="Q2927" t="s">
        <v>316</v>
      </c>
      <c>
        <v>0.23</v>
      </c>
      <c t="s">
        <v>22490</v>
      </c>
      <c t="s">
        <v>37541</v>
      </c>
      <c t="s">
        <v>47598</v>
      </c>
      <c t="s">
        <v>61675</v>
      </c>
      <c t="s">
        <v>47598</v>
      </c>
      <c t="s">
        <v>66899</v>
      </c>
      <c t="s">
        <v>53675</v>
      </c>
      <c t="s">
        <v>2517</v>
      </c>
      <c t="s">
        <v>39289</v>
      </c>
      <c>
        <v>33909</v>
      </c>
      <c t="s">
        <v>4594</v>
      </c>
      <c t="s">
        <v>48794</v>
      </c>
      <c t="s">
        <v>56316</v>
      </c>
      <c>
        <v>21</v>
      </c>
      <c r="AI2927" t="s">
        <v>2289</v>
      </c>
      <c r="AL2927" t="s">
        <v>20312</v>
      </c>
      <c r="AN2927" t="s">
        <v>32840</v>
      </c>
      <c r="AR2927" t="s">
        <v>20727</v>
      </c>
    </row>
    <row>
      <c t="s">
        <v>17594</v>
      </c>
      <c t="s">
        <v>49513</v>
      </c>
      <c t="s">
        <v>52449</v>
      </c>
      <c t="s">
        <v>56971</v>
      </c>
      <c t="s">
        <v>34220</v>
      </c>
      <c s="3">
        <v>9466</v>
      </c>
      <c s="3">
        <v>9466</v>
      </c>
      <c s="3">
        <v>4972</v>
      </c>
      <c>
        <v>0</v>
      </c>
      <c s="3">
        <v>0</v>
      </c>
      <c s="3">
        <v>317.96</v>
      </c>
      <c s="3">
        <v>9466</v>
      </c>
      <c r="O2928" s="1" t="str">
        <f ca="1">HYPERLINK("https://web.datatree.com/?/property?propertyId=33079434", "https://web.datatree.com/?/property?propertyId=33079434")</f>
        <v>https://web.datatree.com/?/property?propertyId=33079434</v>
      </c>
      <c r="Q2928" t="s">
        <v>316</v>
      </c>
      <c>
        <v>0.25</v>
      </c>
      <c t="s">
        <v>5471</v>
      </c>
      <c t="s">
        <v>32056</v>
      </c>
      <c t="s">
        <v>56809</v>
      </c>
      <c r="X2928" t="s">
        <v>32926</v>
      </c>
      <c t="s">
        <v>23113</v>
      </c>
      <c t="s">
        <v>65059</v>
      </c>
      <c t="s">
        <v>39289</v>
      </c>
      <c>
        <v>33905</v>
      </c>
      <c t="s">
        <v>66487</v>
      </c>
      <c t="s">
        <v>48794</v>
      </c>
      <c t="s">
        <v>22189</v>
      </c>
      <c>
        <v>37</v>
      </c>
      <c r="AI2928" t="s">
        <v>48794</v>
      </c>
      <c t="s">
        <v>24900</v>
      </c>
      <c r="AL2928" t="s">
        <v>46985</v>
      </c>
      <c r="AN2928" t="s">
        <v>50917</v>
      </c>
      <c t="s">
        <v>46838</v>
      </c>
      <c t="s">
        <v>38085</v>
      </c>
      <c t="s">
        <v>3093</v>
      </c>
      <c t="s">
        <v>42659</v>
      </c>
    </row>
    <row>
      <c t="s">
        <v>17594</v>
      </c>
      <c t="s">
        <v>26573</v>
      </c>
      <c t="s">
        <v>14075</v>
      </c>
      <c t="s">
        <v>6296</v>
      </c>
      <c t="s">
        <v>60480</v>
      </c>
      <c s="3">
        <v>18472</v>
      </c>
      <c s="3">
        <v>18472</v>
      </c>
      <c s="3">
        <v>9599</v>
      </c>
      <c>
        <v>0</v>
      </c>
      <c s="3">
        <v>0</v>
      </c>
      <c s="3">
        <v>687.13</v>
      </c>
      <c s="3">
        <v>18472</v>
      </c>
      <c r="O2929" s="1" t="str">
        <f ca="1">HYPERLINK("https://web.datatree.com/?/property?propertyId=33080350", "https://web.datatree.com/?/property?propertyId=33080350")</f>
        <v>https://web.datatree.com/?/property?propertyId=33080350</v>
      </c>
      <c r="Q2929" t="s">
        <v>316</v>
      </c>
      <c>
        <v>0.344</v>
      </c>
      <c t="s">
        <v>6175</v>
      </c>
      <c t="s">
        <v>26823</v>
      </c>
      <c t="s">
        <v>46201</v>
      </c>
      <c t="s">
        <v>32963</v>
      </c>
      <c t="s">
        <v>46201</v>
      </c>
      <c t="s">
        <v>761</v>
      </c>
      <c t="s">
        <v>39082</v>
      </c>
      <c t="s">
        <v>2517</v>
      </c>
      <c t="s">
        <v>39289</v>
      </c>
      <c>
        <v>33909</v>
      </c>
      <c t="s">
        <v>53571</v>
      </c>
      <c t="s">
        <v>48794</v>
      </c>
      <c t="s">
        <v>52721</v>
      </c>
      <c>
        <v>90</v>
      </c>
      <c r="AI2929" t="s">
        <v>32108</v>
      </c>
      <c t="s">
        <v>19768</v>
      </c>
      <c>
        <v>1</v>
      </c>
      <c t="s">
        <v>38609</v>
      </c>
      <c t="s">
        <v>38609</v>
      </c>
      <c t="s">
        <v>26016</v>
      </c>
      <c t="s">
        <v>4822</v>
      </c>
      <c t="s">
        <v>22152</v>
      </c>
      <c t="s">
        <v>3093</v>
      </c>
      <c t="s">
        <v>23759</v>
      </c>
    </row>
    <row>
      <c t="s">
        <v>17594</v>
      </c>
      <c t="s">
        <v>41544</v>
      </c>
      <c t="s">
        <v>13507</v>
      </c>
      <c t="s">
        <v>6096</v>
      </c>
      <c t="s">
        <v>30856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2930" s="1" t="str">
        <f ca="1">HYPERLINK("https://web.datatree.com/?/property?propertyId=33080857", "https://web.datatree.com/?/property?propertyId=33080857")</f>
        <v>https://web.datatree.com/?/property?propertyId=33080857</v>
      </c>
      <c r="Q2930" t="s">
        <v>316</v>
      </c>
      <c>
        <v>0.23</v>
      </c>
      <c t="s">
        <v>6175</v>
      </c>
      <c t="s">
        <v>60671</v>
      </c>
      <c t="s">
        <v>11837</v>
      </c>
      <c r="X2930" t="s">
        <v>15282</v>
      </c>
      <c t="s">
        <v>38550</v>
      </c>
      <c t="s">
        <v>2517</v>
      </c>
      <c t="s">
        <v>39289</v>
      </c>
      <c>
        <v>33909</v>
      </c>
      <c t="s">
        <v>41696</v>
      </c>
      <c t="s">
        <v>48794</v>
      </c>
      <c t="s">
        <v>5699</v>
      </c>
      <c>
        <v>116</v>
      </c>
      <c r="AI2930" t="s">
        <v>3853</v>
      </c>
      <c t="s">
        <v>24900</v>
      </c>
      <c r="AL2930" t="s">
        <v>29634</v>
      </c>
      <c r="AN2930" t="s">
        <v>50917</v>
      </c>
      <c t="s">
        <v>27339</v>
      </c>
      <c t="s">
        <v>26242</v>
      </c>
      <c t="s">
        <v>3093</v>
      </c>
      <c t="s">
        <v>52439</v>
      </c>
    </row>
    <row>
      <c t="s">
        <v>17594</v>
      </c>
      <c t="s">
        <v>26782</v>
      </c>
      <c t="s">
        <v>27100</v>
      </c>
      <c t="s">
        <v>51916</v>
      </c>
      <c t="s">
        <v>2845</v>
      </c>
      <c s="3">
        <v>18105</v>
      </c>
      <c s="3">
        <v>18105</v>
      </c>
      <c s="3">
        <v>4671</v>
      </c>
      <c>
        <v>0</v>
      </c>
      <c s="3">
        <v>0</v>
      </c>
      <c s="3">
        <v>522.84</v>
      </c>
      <c s="3">
        <v>18105</v>
      </c>
      <c r="O2931" s="1" t="str">
        <f ca="1">HYPERLINK("https://web.datatree.com/?/property?propertyId=33081396", "https://web.datatree.com/?/property?propertyId=33081396")</f>
        <v>https://web.datatree.com/?/property?propertyId=33081396</v>
      </c>
      <c r="Q2931" t="s">
        <v>316</v>
      </c>
      <c>
        <v>0.23</v>
      </c>
      <c t="s">
        <v>65422</v>
      </c>
      <c t="s">
        <v>64030</v>
      </c>
      <c t="s">
        <v>64091</v>
      </c>
      <c r="W2931" t="s">
        <v>34409</v>
      </c>
      <c t="s">
        <v>36039</v>
      </c>
      <c t="s">
        <v>17022</v>
      </c>
      <c t="s">
        <v>2517</v>
      </c>
      <c t="s">
        <v>39289</v>
      </c>
      <c>
        <v>33909</v>
      </c>
      <c t="s">
        <v>4824</v>
      </c>
      <c t="s">
        <v>48794</v>
      </c>
      <c t="s">
        <v>3360</v>
      </c>
      <c>
        <v>6322</v>
      </c>
      <c r="AI2931" t="s">
        <v>39541</v>
      </c>
      <c t="s">
        <v>40123</v>
      </c>
      <c r="AL2931" t="s">
        <v>55393</v>
      </c>
      <c t="s">
        <v>13701</v>
      </c>
      <c t="s">
        <v>39289</v>
      </c>
      <c t="s">
        <v>48002</v>
      </c>
      <c t="s">
        <v>26242</v>
      </c>
      <c t="s">
        <v>3093</v>
      </c>
      <c t="s">
        <v>10448</v>
      </c>
    </row>
    <row>
      <c t="s">
        <v>17594</v>
      </c>
      <c t="s">
        <v>57696</v>
      </c>
      <c t="s">
        <v>8955</v>
      </c>
      <c t="s">
        <v>6964</v>
      </c>
      <c t="s">
        <v>58994</v>
      </c>
      <c s="3">
        <v>22115</v>
      </c>
      <c s="3">
        <v>22115</v>
      </c>
      <c s="3">
        <v>10450</v>
      </c>
      <c>
        <v>0</v>
      </c>
      <c s="3">
        <v>0</v>
      </c>
      <c s="3">
        <v>647.48</v>
      </c>
      <c s="3">
        <v>22115</v>
      </c>
      <c r="O2932" s="1" t="str">
        <f ca="1">HYPERLINK("https://web.datatree.com/?/property?propertyId=33082027", "https://web.datatree.com/?/property?propertyId=33082027")</f>
        <v>https://web.datatree.com/?/property?propertyId=33082027</v>
      </c>
      <c r="Q2932" t="s">
        <v>316</v>
      </c>
      <c>
        <v>0.281</v>
      </c>
      <c t="s">
        <v>22490</v>
      </c>
      <c t="s">
        <v>2140</v>
      </c>
      <c t="s">
        <v>25116</v>
      </c>
      <c t="s">
        <v>27351</v>
      </c>
      <c t="s">
        <v>32985</v>
      </c>
      <c t="s">
        <v>11378</v>
      </c>
      <c t="s">
        <v>52171</v>
      </c>
      <c t="s">
        <v>2517</v>
      </c>
      <c t="s">
        <v>39289</v>
      </c>
      <c>
        <v>33909</v>
      </c>
      <c>
        <v>33909</v>
      </c>
      <c t="s">
        <v>48794</v>
      </c>
      <c t="s">
        <v>9211</v>
      </c>
      <c>
        <v>4200</v>
      </c>
      <c r="AI2932" t="s">
        <v>30507</v>
      </c>
      <c t="s">
        <v>31192</v>
      </c>
      <c r="AL2932" t="s">
        <v>62170</v>
      </c>
      <c r="AN2932" t="s">
        <v>51137</v>
      </c>
      <c t="s">
        <v>67130</v>
      </c>
      <c t="s">
        <v>63972</v>
      </c>
      <c t="s">
        <v>3093</v>
      </c>
      <c t="s">
        <v>50064</v>
      </c>
    </row>
    <row>
      <c t="s">
        <v>17594</v>
      </c>
      <c t="s">
        <v>39779</v>
      </c>
      <c t="s">
        <v>56662</v>
      </c>
      <c t="s">
        <v>46908</v>
      </c>
      <c t="s">
        <v>58089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2933" s="1" t="str">
        <f ca="1">HYPERLINK("https://web.datatree.com/?/property?propertyId=33082497", "https://web.datatree.com/?/property?propertyId=33082497")</f>
        <v>https://web.datatree.com/?/property?propertyId=33082497</v>
      </c>
      <c r="Q2933" t="s">
        <v>316</v>
      </c>
      <c>
        <v>0.244</v>
      </c>
      <c t="s">
        <v>6175</v>
      </c>
      <c r="U2933" t="s">
        <v>42563</v>
      </c>
      <c r="W2933" t="s">
        <v>15956</v>
      </c>
      <c t="s">
        <v>63742</v>
      </c>
      <c t="s">
        <v>2619</v>
      </c>
      <c t="s">
        <v>2517</v>
      </c>
      <c t="s">
        <v>39289</v>
      </c>
      <c>
        <v>33909</v>
      </c>
      <c t="s">
        <v>18325</v>
      </c>
      <c t="s">
        <v>48794</v>
      </c>
      <c t="s">
        <v>35733</v>
      </c>
      <c>
        <v>114</v>
      </c>
      <c r="AI2933" t="s">
        <v>50678</v>
      </c>
      <c t="s">
        <v>1671</v>
      </c>
      <c r="AL2933" t="s">
        <v>41671</v>
      </c>
      <c r="AN2933" t="s">
        <v>22275</v>
      </c>
      <c t="s">
        <v>37096</v>
      </c>
      <c t="s">
        <v>52247</v>
      </c>
      <c t="s">
        <v>3093</v>
      </c>
      <c t="s">
        <v>12612</v>
      </c>
    </row>
    <row>
      <c t="s">
        <v>42103</v>
      </c>
      <c t="s">
        <v>11865</v>
      </c>
      <c t="s">
        <v>28370</v>
      </c>
      <c t="s">
        <v>22240</v>
      </c>
      <c t="s">
        <v>63561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2934" s="1" t="str">
        <f ca="1">HYPERLINK("https://web.datatree.com/?/property?propertyId=33082876", "https://web.datatree.com/?/property?propertyId=33082876")</f>
        <v>https://web.datatree.com/?/property?propertyId=33082876</v>
      </c>
      <c r="Q2934" t="s">
        <v>316</v>
      </c>
      <c>
        <v>0.23</v>
      </c>
      <c t="s">
        <v>65422</v>
      </c>
      <c t="s">
        <v>51968</v>
      </c>
      <c t="s">
        <v>46701</v>
      </c>
      <c r="X2934" t="s">
        <v>28322</v>
      </c>
      <c t="s">
        <v>39082</v>
      </c>
      <c t="s">
        <v>2517</v>
      </c>
      <c t="s">
        <v>39289</v>
      </c>
      <c>
        <v>33909</v>
      </c>
      <c t="s">
        <v>61346</v>
      </c>
      <c t="s">
        <v>48794</v>
      </c>
      <c t="s">
        <v>15587</v>
      </c>
      <c r="AI2934" t="s">
        <v>64551</v>
      </c>
      <c r="AL2934" t="s">
        <v>33911</v>
      </c>
      <c t="s">
        <v>33911</v>
      </c>
      <c t="s">
        <v>51137</v>
      </c>
      <c>
        <v>48170</v>
      </c>
      <c t="s">
        <v>7624</v>
      </c>
      <c t="s">
        <v>3093</v>
      </c>
      <c t="s">
        <v>65637</v>
      </c>
    </row>
    <row>
      <c t="s">
        <v>17594</v>
      </c>
      <c t="s">
        <v>11603</v>
      </c>
      <c t="s">
        <v>51221</v>
      </c>
      <c t="s">
        <v>40505</v>
      </c>
      <c t="s">
        <v>36123</v>
      </c>
      <c s="3">
        <v>33600</v>
      </c>
      <c s="3">
        <v>33600</v>
      </c>
      <c s="3">
        <v>13310</v>
      </c>
      <c>
        <v>0</v>
      </c>
      <c s="3">
        <v>0</v>
      </c>
      <c s="3">
        <v>791.83</v>
      </c>
      <c s="3">
        <v>33600</v>
      </c>
      <c r="O2935" s="1" t="str">
        <f ca="1">HYPERLINK("https://web.datatree.com/?/property?propertyId=33083292", "https://web.datatree.com/?/property?propertyId=33083292")</f>
        <v>https://web.datatree.com/?/property?propertyId=33083292</v>
      </c>
      <c r="Q2935" t="s">
        <v>316</v>
      </c>
      <c>
        <v>0.344</v>
      </c>
      <c t="s">
        <v>45031</v>
      </c>
      <c t="s">
        <v>15645</v>
      </c>
      <c t="s">
        <v>40386</v>
      </c>
      <c t="s">
        <v>11741</v>
      </c>
      <c t="s">
        <v>40386</v>
      </c>
      <c t="s">
        <v>27789</v>
      </c>
      <c t="s">
        <v>39082</v>
      </c>
      <c t="s">
        <v>2517</v>
      </c>
      <c t="s">
        <v>39289</v>
      </c>
      <c>
        <v>33909</v>
      </c>
      <c t="s">
        <v>23683</v>
      </c>
      <c t="s">
        <v>48794</v>
      </c>
      <c t="s">
        <v>37612</v>
      </c>
      <c>
        <v>9428</v>
      </c>
      <c r="AI2935" t="s">
        <v>371</v>
      </c>
      <c t="s">
        <v>45393</v>
      </c>
      <c r="AL2935" t="s">
        <v>55130</v>
      </c>
      <c r="AN2935" t="s">
        <v>27481</v>
      </c>
      <c t="s">
        <v>65751</v>
      </c>
      <c t="s">
        <v>22455</v>
      </c>
      <c t="s">
        <v>3093</v>
      </c>
      <c t="s">
        <v>36120</v>
      </c>
    </row>
    <row>
      <c t="s">
        <v>17594</v>
      </c>
      <c t="s">
        <v>63544</v>
      </c>
      <c t="s">
        <v>31271</v>
      </c>
      <c t="s">
        <v>46012</v>
      </c>
      <c t="s">
        <v>59908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936" s="1" t="str">
        <f ca="1">HYPERLINK("https://web.datatree.com/?/property?propertyId=33083633", "https://web.datatree.com/?/property?propertyId=33083633")</f>
        <v>https://web.datatree.com/?/property?propertyId=33083633</v>
      </c>
      <c r="Q2936" t="s">
        <v>316</v>
      </c>
      <c>
        <v>0.23</v>
      </c>
      <c t="s">
        <v>22490</v>
      </c>
      <c t="s">
        <v>34210</v>
      </c>
      <c t="s">
        <v>33172</v>
      </c>
      <c t="s">
        <v>54959</v>
      </c>
      <c t="s">
        <v>33172</v>
      </c>
      <c t="s">
        <v>66083</v>
      </c>
      <c t="s">
        <v>24999</v>
      </c>
      <c t="s">
        <v>2517</v>
      </c>
      <c t="s">
        <v>39289</v>
      </c>
      <c>
        <v>33909</v>
      </c>
      <c>
        <v>33909</v>
      </c>
      <c t="s">
        <v>48794</v>
      </c>
      <c t="s">
        <v>51676</v>
      </c>
      <c>
        <v>560</v>
      </c>
      <c r="AI2936" t="s">
        <v>62649</v>
      </c>
      <c t="s">
        <v>31192</v>
      </c>
      <c r="AL2936" t="s">
        <v>29122</v>
      </c>
      <c r="AN2936" t="s">
        <v>10909</v>
      </c>
      <c t="s">
        <v>42290</v>
      </c>
      <c r="AQ2936" t="s">
        <v>27814</v>
      </c>
      <c t="s">
        <v>11329</v>
      </c>
    </row>
    <row>
      <c t="s">
        <v>17594</v>
      </c>
      <c t="s">
        <v>49639</v>
      </c>
      <c t="s">
        <v>7701</v>
      </c>
      <c t="s">
        <v>54977</v>
      </c>
      <c t="s">
        <v>46143</v>
      </c>
      <c s="3">
        <v>46344</v>
      </c>
      <c s="3">
        <v>46344</v>
      </c>
      <c s="3">
        <v>9339</v>
      </c>
      <c>
        <v>0</v>
      </c>
      <c s="3">
        <v>0</v>
      </c>
      <c s="3">
        <v>2991.87</v>
      </c>
      <c s="3">
        <v>46344</v>
      </c>
      <c r="O2937" s="1" t="str">
        <f ca="1">HYPERLINK("https://web.datatree.com/?/property?propertyId=33083666", "https://web.datatree.com/?/property?propertyId=33083666")</f>
        <v>https://web.datatree.com/?/property?propertyId=33083666</v>
      </c>
      <c r="Q2937" t="s">
        <v>316</v>
      </c>
      <c>
        <v>0.23</v>
      </c>
      <c t="s">
        <v>65422</v>
      </c>
      <c t="s">
        <v>56193</v>
      </c>
      <c t="s">
        <v>49238</v>
      </c>
      <c t="s">
        <v>18963</v>
      </c>
      <c t="s">
        <v>49238</v>
      </c>
      <c t="s">
        <v>66272</v>
      </c>
      <c t="s">
        <v>17022</v>
      </c>
      <c t="s">
        <v>2517</v>
      </c>
      <c t="s">
        <v>39289</v>
      </c>
      <c>
        <v>33909</v>
      </c>
      <c t="s">
        <v>473</v>
      </c>
      <c t="s">
        <v>48794</v>
      </c>
      <c t="s">
        <v>56593</v>
      </c>
      <c>
        <v>33</v>
      </c>
      <c r="AI2937" t="s">
        <v>62766</v>
      </c>
      <c t="s">
        <v>45620</v>
      </c>
      <c r="AL2937" t="s">
        <v>16336</v>
      </c>
      <c r="AN2937" t="s">
        <v>26016</v>
      </c>
      <c t="s">
        <v>57043</v>
      </c>
      <c t="s">
        <v>49084</v>
      </c>
      <c t="s">
        <v>3093</v>
      </c>
      <c t="s">
        <v>31963</v>
      </c>
    </row>
    <row>
      <c t="s">
        <v>17594</v>
      </c>
      <c t="s">
        <v>32923</v>
      </c>
      <c t="s">
        <v>41054</v>
      </c>
      <c t="s">
        <v>34090</v>
      </c>
      <c t="s">
        <v>44332</v>
      </c>
      <c s="3">
        <v>28000</v>
      </c>
      <c s="3">
        <v>28000</v>
      </c>
      <c s="3">
        <v>28000</v>
      </c>
      <c>
        <v>0</v>
      </c>
      <c s="3">
        <v>0</v>
      </c>
      <c s="3">
        <v>3081.02</v>
      </c>
      <c s="3">
        <v>28000</v>
      </c>
      <c r="O2938" s="1" t="str">
        <f ca="1">HYPERLINK("https://web.datatree.com/?/property?propertyId=33084982", "https://web.datatree.com/?/property?propertyId=33084982")</f>
        <v>https://web.datatree.com/?/property?propertyId=33084982</v>
      </c>
      <c r="Q2938" t="s">
        <v>316</v>
      </c>
      <c>
        <v>0.23</v>
      </c>
      <c t="s">
        <v>45031</v>
      </c>
      <c t="s">
        <v>2140</v>
      </c>
      <c t="s">
        <v>37930</v>
      </c>
      <c r="X2938" t="s">
        <v>14205</v>
      </c>
      <c t="s">
        <v>18679</v>
      </c>
      <c t="s">
        <v>2517</v>
      </c>
      <c t="s">
        <v>39289</v>
      </c>
      <c>
        <v>33909</v>
      </c>
      <c t="s">
        <v>63886</v>
      </c>
      <c t="s">
        <v>48794</v>
      </c>
      <c t="s">
        <v>17690</v>
      </c>
      <c>
        <v>37</v>
      </c>
      <c r="AI2938" t="s">
        <v>12979</v>
      </c>
      <c t="s">
        <v>45393</v>
      </c>
      <c r="AL2938" t="s">
        <v>17662</v>
      </c>
      <c r="AN2938" t="s">
        <v>19878</v>
      </c>
      <c>
        <v>49222</v>
      </c>
      <c r="AQ2938" t="s">
        <v>3093</v>
      </c>
      <c t="s">
        <v>62591</v>
      </c>
    </row>
    <row>
      <c t="s">
        <v>17594</v>
      </c>
      <c t="s">
        <v>29673</v>
      </c>
      <c t="s">
        <v>12239</v>
      </c>
      <c t="s">
        <v>27036</v>
      </c>
      <c t="s">
        <v>50171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2939" s="1" t="str">
        <f ca="1">HYPERLINK("https://web.datatree.com/?/property?propertyId=33085326", "https://web.datatree.com/?/property?propertyId=33085326")</f>
        <v>https://web.datatree.com/?/property?propertyId=33085326</v>
      </c>
      <c r="Q2939" t="s">
        <v>316</v>
      </c>
      <c>
        <v>0.23</v>
      </c>
      <c t="s">
        <v>6175</v>
      </c>
      <c t="s">
        <v>61517</v>
      </c>
      <c t="s">
        <v>45565</v>
      </c>
      <c t="s">
        <v>64990</v>
      </c>
      <c t="s">
        <v>45565</v>
      </c>
      <c t="s">
        <v>27563</v>
      </c>
      <c t="s">
        <v>53675</v>
      </c>
      <c t="s">
        <v>2517</v>
      </c>
      <c t="s">
        <v>39289</v>
      </c>
      <c>
        <v>33909</v>
      </c>
      <c t="s">
        <v>52410</v>
      </c>
      <c t="s">
        <v>48794</v>
      </c>
      <c t="s">
        <v>44807</v>
      </c>
      <c>
        <v>161</v>
      </c>
      <c r="AI2939" t="s">
        <v>21299</v>
      </c>
      <c r="AL2939" t="s">
        <v>4412</v>
      </c>
      <c t="s">
        <v>4412</v>
      </c>
      <c t="s">
        <v>27747</v>
      </c>
      <c>
        <v>1060</v>
      </c>
      <c r="AR2939" t="s">
        <v>53288</v>
      </c>
    </row>
    <row>
      <c t="s">
        <v>17594</v>
      </c>
      <c t="s">
        <v>25266</v>
      </c>
      <c t="s">
        <v>15974</v>
      </c>
      <c t="s">
        <v>12104</v>
      </c>
      <c t="s">
        <v>48839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2940" s="1" t="str">
        <f ca="1">HYPERLINK("https://web.datatree.com/?/property?propertyId=33085348", "https://web.datatree.com/?/property?propertyId=33085348")</f>
        <v>https://web.datatree.com/?/property?propertyId=33085348</v>
      </c>
      <c r="Q2940" t="s">
        <v>316</v>
      </c>
      <c>
        <v>0.23</v>
      </c>
      <c t="s">
        <v>22490</v>
      </c>
      <c t="s">
        <v>21668</v>
      </c>
      <c t="s">
        <v>46131</v>
      </c>
      <c t="s">
        <v>29147</v>
      </c>
      <c t="s">
        <v>46131</v>
      </c>
      <c t="s">
        <v>29631</v>
      </c>
      <c t="s">
        <v>49674</v>
      </c>
      <c t="s">
        <v>2517</v>
      </c>
      <c t="s">
        <v>39289</v>
      </c>
      <c>
        <v>33909</v>
      </c>
      <c t="s">
        <v>58389</v>
      </c>
      <c t="s">
        <v>48794</v>
      </c>
      <c t="s">
        <v>30373</v>
      </c>
      <c>
        <v>38</v>
      </c>
      <c r="AI2940" t="s">
        <v>7469</v>
      </c>
      <c r="AL2940" t="s">
        <v>43087</v>
      </c>
      <c r="AN2940" t="s">
        <v>32840</v>
      </c>
      <c r="AR2940" t="s">
        <v>63756</v>
      </c>
    </row>
    <row>
      <c t="s">
        <v>17594</v>
      </c>
      <c t="s">
        <v>53122</v>
      </c>
      <c t="s">
        <v>958</v>
      </c>
      <c t="s">
        <v>6398</v>
      </c>
      <c t="s">
        <v>506</v>
      </c>
      <c s="3">
        <v>72199</v>
      </c>
      <c s="3">
        <v>63500</v>
      </c>
      <c s="3">
        <v>70367</v>
      </c>
      <c>
        <v>0</v>
      </c>
      <c s="3">
        <v>0</v>
      </c>
      <c s="3">
        <v>1068.57</v>
      </c>
      <c s="3">
        <v>72199</v>
      </c>
      <c r="O2941" s="1" t="str">
        <f ca="1">HYPERLINK("https://web.datatree.com/?/property?propertyId=33085743", "https://web.datatree.com/?/property?propertyId=33085743")</f>
        <v>https://web.datatree.com/?/property?propertyId=33085743</v>
      </c>
      <c r="Q2941" t="s">
        <v>316</v>
      </c>
      <c>
        <v>0.095</v>
      </c>
      <c t="s">
        <v>26492</v>
      </c>
      <c t="s">
        <v>51891</v>
      </c>
      <c t="s">
        <v>38143</v>
      </c>
      <c t="s">
        <v>65985</v>
      </c>
      <c t="s">
        <v>49949</v>
      </c>
      <c t="s">
        <v>35991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6012</v>
      </c>
      <c>
        <v>4754</v>
      </c>
      <c r="AI2941" t="s">
        <v>66103</v>
      </c>
      <c t="s">
        <v>31192</v>
      </c>
      <c r="AL2941" t="s">
        <v>34265</v>
      </c>
      <c t="s">
        <v>34265</v>
      </c>
      <c t="s">
        <v>14798</v>
      </c>
      <c t="s">
        <v>23002</v>
      </c>
      <c t="s">
        <v>34171</v>
      </c>
      <c t="s">
        <v>3093</v>
      </c>
      <c t="s">
        <v>19500</v>
      </c>
    </row>
    <row>
      <c t="s">
        <v>42103</v>
      </c>
      <c t="s">
        <v>19823</v>
      </c>
      <c t="s">
        <v>2882</v>
      </c>
      <c t="s">
        <v>48636</v>
      </c>
      <c t="s">
        <v>37345</v>
      </c>
      <c s="3">
        <v>9100</v>
      </c>
      <c s="3">
        <v>9100</v>
      </c>
      <c s="3">
        <v>9100</v>
      </c>
      <c>
        <v>0</v>
      </c>
      <c s="3">
        <v>0</v>
      </c>
      <c s="3">
        <v>593.63</v>
      </c>
      <c s="3">
        <v>9100</v>
      </c>
      <c r="O2942" s="1" t="str">
        <f ca="1">HYPERLINK("https://web.datatree.com/?/property?propertyId=33086580", "https://web.datatree.com/?/property?propertyId=33086580")</f>
        <v>https://web.datatree.com/?/property?propertyId=33086580</v>
      </c>
      <c r="Q2942" t="s">
        <v>316</v>
      </c>
      <c>
        <v>0.23</v>
      </c>
      <c t="s">
        <v>65422</v>
      </c>
      <c r="U2942" t="s">
        <v>29078</v>
      </c>
      <c r="X2942" t="s">
        <v>59927</v>
      </c>
      <c t="s">
        <v>61850</v>
      </c>
      <c t="s">
        <v>2517</v>
      </c>
      <c t="s">
        <v>39289</v>
      </c>
      <c>
        <v>33909</v>
      </c>
      <c t="s">
        <v>55749</v>
      </c>
      <c t="s">
        <v>48794</v>
      </c>
      <c t="s">
        <v>47811</v>
      </c>
      <c r="AI2942" t="s">
        <v>60022</v>
      </c>
      <c r="AL2942" t="s">
        <v>48150</v>
      </c>
      <c t="s">
        <v>48150</v>
      </c>
      <c t="s">
        <v>39289</v>
      </c>
      <c>
        <v>34232</v>
      </c>
      <c t="s">
        <v>37957</v>
      </c>
      <c t="s">
        <v>3093</v>
      </c>
      <c t="s">
        <v>8201</v>
      </c>
    </row>
    <row>
      <c t="s">
        <v>17594</v>
      </c>
      <c t="s">
        <v>9024</v>
      </c>
      <c t="s">
        <v>17268</v>
      </c>
      <c t="s">
        <v>53115</v>
      </c>
      <c t="s">
        <v>3315</v>
      </c>
      <c s="3">
        <v>18673</v>
      </c>
      <c s="3">
        <v>18673</v>
      </c>
      <c s="3">
        <v>13269</v>
      </c>
      <c>
        <v>0</v>
      </c>
      <c s="3">
        <v>0</v>
      </c>
      <c s="3">
        <v>225.37</v>
      </c>
      <c s="3">
        <v>18673</v>
      </c>
      <c r="O2943" s="1" t="str">
        <f ca="1">HYPERLINK("https://web.datatree.com/?/property?propertyId=33086980", "https://web.datatree.com/?/property?propertyId=33086980")</f>
        <v>https://web.datatree.com/?/property?propertyId=33086980</v>
      </c>
      <c r="Q2943" t="s">
        <v>316</v>
      </c>
      <c>
        <v>0.198</v>
      </c>
      <c t="s">
        <v>23582</v>
      </c>
      <c t="s">
        <v>16064</v>
      </c>
      <c t="s">
        <v>50750</v>
      </c>
      <c t="s">
        <v>43826</v>
      </c>
      <c t="s">
        <v>50750</v>
      </c>
      <c t="s">
        <v>1068</v>
      </c>
      <c t="s">
        <v>51647</v>
      </c>
      <c t="s">
        <v>54524</v>
      </c>
      <c t="s">
        <v>39289</v>
      </c>
      <c>
        <v>33903</v>
      </c>
      <c t="s">
        <v>40831</v>
      </c>
      <c t="s">
        <v>48794</v>
      </c>
      <c t="s">
        <v>21516</v>
      </c>
      <c>
        <v>3007</v>
      </c>
      <c r="AI2943" t="s">
        <v>53663</v>
      </c>
      <c t="s">
        <v>45393</v>
      </c>
      <c r="AL2943" t="s">
        <v>28771</v>
      </c>
      <c t="s">
        <v>65059</v>
      </c>
      <c t="s">
        <v>51137</v>
      </c>
      <c t="s">
        <v>13486</v>
      </c>
      <c t="s">
        <v>51100</v>
      </c>
      <c t="s">
        <v>3093</v>
      </c>
      <c t="s">
        <v>41311</v>
      </c>
    </row>
    <row>
      <c t="s">
        <v>17594</v>
      </c>
      <c t="s">
        <v>37487</v>
      </c>
      <c t="s">
        <v>274</v>
      </c>
      <c t="s">
        <v>16801</v>
      </c>
      <c t="s">
        <v>52676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2944" s="1" t="str">
        <f ca="1">HYPERLINK("https://web.datatree.com/?/property?propertyId=33087202", "https://web.datatree.com/?/property?propertyId=33087202")</f>
        <v>https://web.datatree.com/?/property?propertyId=33087202</v>
      </c>
      <c r="Q2944" t="s">
        <v>316</v>
      </c>
      <c>
        <v>0.23</v>
      </c>
      <c t="s">
        <v>22490</v>
      </c>
      <c t="s">
        <v>7394</v>
      </c>
      <c t="s">
        <v>32383</v>
      </c>
      <c r="X2944" t="s">
        <v>65988</v>
      </c>
      <c t="s">
        <v>53675</v>
      </c>
      <c t="s">
        <v>2517</v>
      </c>
      <c t="s">
        <v>39289</v>
      </c>
      <c>
        <v>33909</v>
      </c>
      <c t="s">
        <v>10538</v>
      </c>
      <c t="s">
        <v>48794</v>
      </c>
      <c t="s">
        <v>67049</v>
      </c>
      <c>
        <v>3031</v>
      </c>
      <c r="AI2944" t="s">
        <v>41387</v>
      </c>
      <c t="s">
        <v>31192</v>
      </c>
      <c r="AL2944" t="s">
        <v>19425</v>
      </c>
      <c r="AN2944" t="s">
        <v>66651</v>
      </c>
      <c t="s">
        <v>25119</v>
      </c>
      <c t="s">
        <v>5800</v>
      </c>
      <c t="s">
        <v>3093</v>
      </c>
      <c t="s">
        <v>41481</v>
      </c>
    </row>
    <row>
      <c t="s">
        <v>17594</v>
      </c>
      <c t="s">
        <v>2817</v>
      </c>
      <c t="s">
        <v>39257</v>
      </c>
      <c t="s">
        <v>42615</v>
      </c>
      <c t="s">
        <v>30957</v>
      </c>
      <c s="3">
        <v>124577</v>
      </c>
      <c s="3">
        <v>124577</v>
      </c>
      <c s="3">
        <v>106842</v>
      </c>
      <c>
        <v>0</v>
      </c>
      <c s="3">
        <v>0</v>
      </c>
      <c s="3">
        <v>2199.46</v>
      </c>
      <c s="3">
        <v>124577</v>
      </c>
      <c r="O2945" s="1" t="str">
        <f ca="1">HYPERLINK("https://web.datatree.com/?/property?propertyId=33088515", "https://web.datatree.com/?/property?propertyId=33088515")</f>
        <v>https://web.datatree.com/?/property?propertyId=33088515</v>
      </c>
      <c r="Q2945" t="s">
        <v>316</v>
      </c>
      <c>
        <v>0.23</v>
      </c>
      <c t="s">
        <v>22490</v>
      </c>
      <c t="s">
        <v>17758</v>
      </c>
      <c t="s">
        <v>2608</v>
      </c>
      <c t="s">
        <v>2176</v>
      </c>
      <c t="s">
        <v>2608</v>
      </c>
      <c t="s">
        <v>65093</v>
      </c>
      <c t="s">
        <v>61850</v>
      </c>
      <c t="s">
        <v>2517</v>
      </c>
      <c t="s">
        <v>39289</v>
      </c>
      <c>
        <v>33904</v>
      </c>
      <c>
        <v>33904</v>
      </c>
      <c t="s">
        <v>48794</v>
      </c>
      <c t="s">
        <v>52504</v>
      </c>
      <c r="AI2945" t="s">
        <v>25153</v>
      </c>
      <c r="AL2945" t="s">
        <v>14122</v>
      </c>
      <c r="AN2945" t="s">
        <v>63985</v>
      </c>
      <c>
        <v>23714</v>
      </c>
      <c r="AR2945" t="s">
        <v>3660</v>
      </c>
    </row>
    <row>
      <c t="s">
        <v>17594</v>
      </c>
      <c t="s">
        <v>47837</v>
      </c>
      <c t="s">
        <v>63253</v>
      </c>
      <c t="s">
        <v>34506</v>
      </c>
      <c t="s">
        <v>47014</v>
      </c>
      <c s="3">
        <v>22231</v>
      </c>
      <c s="3">
        <v>22231</v>
      </c>
      <c s="3">
        <v>7073</v>
      </c>
      <c>
        <v>0</v>
      </c>
      <c s="3">
        <v>0</v>
      </c>
      <c s="3">
        <v>393.39</v>
      </c>
      <c s="3">
        <v>22231</v>
      </c>
      <c r="O2946" s="1" t="str">
        <f ca="1">HYPERLINK("https://web.datatree.com/?/property?propertyId=33089055", "https://web.datatree.com/?/property?propertyId=33089055")</f>
        <v>https://web.datatree.com/?/property?propertyId=33089055</v>
      </c>
      <c r="Q2946" t="s">
        <v>316</v>
      </c>
      <c>
        <v>0.423</v>
      </c>
      <c t="s">
        <v>37489</v>
      </c>
      <c t="s">
        <v>64943</v>
      </c>
      <c t="s">
        <v>37646</v>
      </c>
      <c r="X2946" t="s">
        <v>13576</v>
      </c>
      <c t="s">
        <v>18019</v>
      </c>
      <c t="s">
        <v>65059</v>
      </c>
      <c t="s">
        <v>39289</v>
      </c>
      <c>
        <v>33905</v>
      </c>
      <c t="s">
        <v>39571</v>
      </c>
      <c t="s">
        <v>48794</v>
      </c>
      <c t="s">
        <v>25339</v>
      </c>
      <c>
        <v>10522</v>
      </c>
      <c r="AI2946" t="s">
        <v>44583</v>
      </c>
      <c t="s">
        <v>56275</v>
      </c>
      <c r="AL2946" t="s">
        <v>62555</v>
      </c>
      <c t="s">
        <v>35362</v>
      </c>
      <c t="s">
        <v>18236</v>
      </c>
      <c t="s">
        <v>33500</v>
      </c>
      <c t="s">
        <v>56028</v>
      </c>
      <c t="s">
        <v>3093</v>
      </c>
      <c t="s">
        <v>48227</v>
      </c>
    </row>
    <row>
      <c t="s">
        <v>17594</v>
      </c>
      <c t="s">
        <v>42505</v>
      </c>
      <c t="s">
        <v>22444</v>
      </c>
      <c t="s">
        <v>38972</v>
      </c>
      <c t="s">
        <v>54488</v>
      </c>
      <c s="3">
        <v>35147</v>
      </c>
      <c s="3">
        <v>35147</v>
      </c>
      <c s="3">
        <v>12100</v>
      </c>
      <c>
        <v>0</v>
      </c>
      <c s="3">
        <v>0</v>
      </c>
      <c s="3">
        <v>790.85</v>
      </c>
      <c s="3">
        <v>35147</v>
      </c>
      <c r="O2947" s="1" t="str">
        <f ca="1">HYPERLINK("https://web.datatree.com/?/property?propertyId=33089249", "https://web.datatree.com/?/property?propertyId=33089249")</f>
        <v>https://web.datatree.com/?/property?propertyId=33089249</v>
      </c>
      <c r="Q2947" t="s">
        <v>316</v>
      </c>
      <c>
        <v>0.23</v>
      </c>
      <c t="s">
        <v>22490</v>
      </c>
      <c t="s">
        <v>12691</v>
      </c>
      <c t="s">
        <v>51008</v>
      </c>
      <c r="X2947" t="s">
        <v>6441</v>
      </c>
      <c t="s">
        <v>53663</v>
      </c>
      <c t="s">
        <v>2517</v>
      </c>
      <c t="s">
        <v>39289</v>
      </c>
      <c>
        <v>33904</v>
      </c>
      <c t="s">
        <v>41157</v>
      </c>
      <c t="s">
        <v>48794</v>
      </c>
      <c t="s">
        <v>20116</v>
      </c>
      <c>
        <v>3206</v>
      </c>
      <c r="AI2947" t="s">
        <v>64820</v>
      </c>
      <c t="s">
        <v>40123</v>
      </c>
      <c r="AL2947" t="s">
        <v>2466</v>
      </c>
      <c r="AN2947" t="s">
        <v>66651</v>
      </c>
      <c t="s">
        <v>53502</v>
      </c>
      <c t="s">
        <v>32895</v>
      </c>
      <c t="s">
        <v>3093</v>
      </c>
      <c t="s">
        <v>65380</v>
      </c>
    </row>
    <row>
      <c t="s">
        <v>17594</v>
      </c>
      <c t="s">
        <v>11148</v>
      </c>
      <c t="s">
        <v>5663</v>
      </c>
      <c t="s">
        <v>32255</v>
      </c>
      <c t="s">
        <v>52018</v>
      </c>
      <c s="3">
        <v>28280</v>
      </c>
      <c s="3">
        <v>28280</v>
      </c>
      <c s="3">
        <v>12221</v>
      </c>
      <c>
        <v>0</v>
      </c>
      <c s="3">
        <v>0</v>
      </c>
      <c s="3">
        <v>854.81</v>
      </c>
      <c s="3">
        <v>28280</v>
      </c>
      <c r="O2948" s="1" t="str">
        <f ca="1">HYPERLINK("https://web.datatree.com/?/property?propertyId=33089767", "https://web.datatree.com/?/property?propertyId=33089767")</f>
        <v>https://web.datatree.com/?/property?propertyId=33089767</v>
      </c>
      <c r="Q2948" t="s">
        <v>316</v>
      </c>
      <c>
        <v>0.278</v>
      </c>
      <c t="s">
        <v>58725</v>
      </c>
      <c t="s">
        <v>18547</v>
      </c>
      <c t="s">
        <v>4190</v>
      </c>
      <c t="s">
        <v>6278</v>
      </c>
      <c t="s">
        <v>2337</v>
      </c>
      <c t="s">
        <v>59085</v>
      </c>
      <c t="s">
        <v>8669</v>
      </c>
      <c t="s">
        <v>2517</v>
      </c>
      <c t="s">
        <v>39289</v>
      </c>
      <c>
        <v>33909</v>
      </c>
      <c t="s">
        <v>37344</v>
      </c>
      <c t="s">
        <v>48794</v>
      </c>
      <c t="s">
        <v>24844</v>
      </c>
      <c>
        <v>3108</v>
      </c>
      <c r="AI2948" t="s">
        <v>13964</v>
      </c>
      <c t="s">
        <v>45393</v>
      </c>
      <c r="AL2948" t="s">
        <v>55393</v>
      </c>
      <c t="s">
        <v>32304</v>
      </c>
      <c t="s">
        <v>39289</v>
      </c>
      <c t="s">
        <v>47434</v>
      </c>
      <c t="s">
        <v>49977</v>
      </c>
      <c t="s">
        <v>3093</v>
      </c>
      <c t="s">
        <v>32986</v>
      </c>
    </row>
    <row>
      <c t="s">
        <v>17594</v>
      </c>
      <c t="s">
        <v>9880</v>
      </c>
      <c t="s">
        <v>35039</v>
      </c>
      <c t="s">
        <v>10079</v>
      </c>
      <c t="s">
        <v>6133</v>
      </c>
      <c s="3">
        <v>8089</v>
      </c>
      <c s="3">
        <v>8089</v>
      </c>
      <c s="3">
        <v>4972</v>
      </c>
      <c>
        <v>0</v>
      </c>
      <c s="3">
        <v>0</v>
      </c>
      <c s="3">
        <v>315.35</v>
      </c>
      <c s="3">
        <v>8089</v>
      </c>
      <c>
        <v>2014</v>
      </c>
      <c>
        <v>2197.67</v>
      </c>
      <c s="1" t="str">
        <f ca="1">HYPERLINK("https://web.datatree.com/?/property?propertyId=33090226", "https://web.datatree.com/?/property?propertyId=33090226")</f>
        <v>https://web.datatree.com/?/property?propertyId=33090226</v>
      </c>
      <c r="Q2949" t="s">
        <v>316</v>
      </c>
      <c>
        <v>0.233</v>
      </c>
      <c t="s">
        <v>5471</v>
      </c>
      <c t="s">
        <v>1949</v>
      </c>
      <c t="s">
        <v>56812</v>
      </c>
      <c r="X2949" t="s">
        <v>50412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14231</v>
      </c>
      <c>
        <v>1810</v>
      </c>
      <c r="AI2949" t="s">
        <v>15611</v>
      </c>
      <c t="s">
        <v>24900</v>
      </c>
      <c r="AL2949" t="s">
        <v>55393</v>
      </c>
      <c t="s">
        <v>55393</v>
      </c>
      <c t="s">
        <v>39289</v>
      </c>
      <c>
        <v>33129</v>
      </c>
      <c r="AQ2949" t="s">
        <v>3093</v>
      </c>
      <c t="s">
        <v>4260</v>
      </c>
    </row>
    <row>
      <c t="s">
        <v>17594</v>
      </c>
      <c t="s">
        <v>25016</v>
      </c>
      <c t="s">
        <v>44962</v>
      </c>
      <c t="s">
        <v>14029</v>
      </c>
      <c t="s">
        <v>37860</v>
      </c>
      <c s="3">
        <v>26250</v>
      </c>
      <c s="3">
        <v>26250</v>
      </c>
      <c s="3">
        <v>9433</v>
      </c>
      <c>
        <v>0</v>
      </c>
      <c s="3">
        <v>0</v>
      </c>
      <c s="3">
        <v>415.68</v>
      </c>
      <c s="3">
        <v>26250</v>
      </c>
      <c r="O2950" s="1" t="str">
        <f ca="1">HYPERLINK("https://web.datatree.com/?/property?propertyId=33090317", "https://web.datatree.com/?/property?propertyId=33090317")</f>
        <v>https://web.datatree.com/?/property?propertyId=33090317</v>
      </c>
      <c r="Q2950" t="s">
        <v>316</v>
      </c>
      <c>
        <v>0.248</v>
      </c>
      <c t="s">
        <v>5471</v>
      </c>
      <c t="s">
        <v>29191</v>
      </c>
      <c t="s">
        <v>36714</v>
      </c>
      <c r="X2950" t="s">
        <v>12116</v>
      </c>
      <c t="s">
        <v>31198</v>
      </c>
      <c t="s">
        <v>65059</v>
      </c>
      <c t="s">
        <v>39289</v>
      </c>
      <c>
        <v>33905</v>
      </c>
      <c t="s">
        <v>4173</v>
      </c>
      <c t="s">
        <v>48794</v>
      </c>
      <c t="s">
        <v>24948</v>
      </c>
      <c t="s">
        <v>22988</v>
      </c>
      <c r="AI2950" t="s">
        <v>6636</v>
      </c>
      <c t="s">
        <v>45620</v>
      </c>
      <c r="AL2950" t="s">
        <v>25247</v>
      </c>
      <c r="AN2950" t="s">
        <v>7157</v>
      </c>
      <c>
        <v>333</v>
      </c>
      <c r="AR2950" t="s">
        <v>52537</v>
      </c>
    </row>
    <row>
      <c t="s">
        <v>17594</v>
      </c>
      <c t="s">
        <v>17698</v>
      </c>
      <c t="s">
        <v>6321</v>
      </c>
      <c t="s">
        <v>47878</v>
      </c>
      <c t="s">
        <v>16118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2951" s="1" t="str">
        <f ca="1">HYPERLINK("https://web.datatree.com/?/property?propertyId=33090341", "https://web.datatree.com/?/property?propertyId=33090341")</f>
        <v>https://web.datatree.com/?/property?propertyId=33090341</v>
      </c>
      <c r="Q2951" t="s">
        <v>316</v>
      </c>
      <c>
        <v>0.23</v>
      </c>
      <c t="s">
        <v>22490</v>
      </c>
      <c t="s">
        <v>13918</v>
      </c>
      <c t="s">
        <v>63275</v>
      </c>
      <c r="X2951" t="s">
        <v>55760</v>
      </c>
      <c t="s">
        <v>66701</v>
      </c>
      <c t="s">
        <v>2517</v>
      </c>
      <c t="s">
        <v>39289</v>
      </c>
      <c>
        <v>33909</v>
      </c>
      <c t="s">
        <v>18329</v>
      </c>
      <c t="s">
        <v>48794</v>
      </c>
      <c t="s">
        <v>38830</v>
      </c>
      <c>
        <v>18412</v>
      </c>
      <c r="AI2951" t="s">
        <v>51533</v>
      </c>
      <c t="s">
        <v>31192</v>
      </c>
      <c r="AL2951" t="s">
        <v>44587</v>
      </c>
      <c t="s">
        <v>44587</v>
      </c>
      <c t="s">
        <v>18236</v>
      </c>
      <c t="s">
        <v>61184</v>
      </c>
      <c t="s">
        <v>45700</v>
      </c>
      <c t="s">
        <v>3093</v>
      </c>
      <c t="s">
        <v>4232</v>
      </c>
    </row>
    <row>
      <c t="s">
        <v>17594</v>
      </c>
      <c t="s">
        <v>46055</v>
      </c>
      <c t="s">
        <v>60293</v>
      </c>
      <c t="s">
        <v>42977</v>
      </c>
      <c t="s">
        <v>40272</v>
      </c>
      <c s="3">
        <v>49341</v>
      </c>
      <c s="3">
        <v>49341</v>
      </c>
      <c s="3">
        <v>31360</v>
      </c>
      <c>
        <v>0</v>
      </c>
      <c s="3">
        <v>0</v>
      </c>
      <c s="3">
        <v>2511.9</v>
      </c>
      <c s="3">
        <v>49341</v>
      </c>
      <c r="O2952" s="1" t="str">
        <f ca="1">HYPERLINK("https://web.datatree.com/?/property?propertyId=33090647", "https://web.datatree.com/?/property?propertyId=33090647")</f>
        <v>https://web.datatree.com/?/property?propertyId=33090647</v>
      </c>
      <c r="Q2952" t="s">
        <v>316</v>
      </c>
      <c>
        <v>0.354</v>
      </c>
      <c t="s">
        <v>22490</v>
      </c>
      <c t="s">
        <v>18654</v>
      </c>
      <c t="s">
        <v>46773</v>
      </c>
      <c r="X2952" t="s">
        <v>52884</v>
      </c>
      <c t="s">
        <v>18679</v>
      </c>
      <c t="s">
        <v>2517</v>
      </c>
      <c t="s">
        <v>39289</v>
      </c>
      <c>
        <v>33909</v>
      </c>
      <c t="s">
        <v>54790</v>
      </c>
      <c t="s">
        <v>48794</v>
      </c>
      <c t="s">
        <v>48050</v>
      </c>
      <c>
        <v>230</v>
      </c>
      <c r="AI2952" t="s">
        <v>17004</v>
      </c>
      <c t="s">
        <v>24900</v>
      </c>
      <c r="AL2952" t="s">
        <v>21385</v>
      </c>
      <c r="AN2952" t="s">
        <v>9636</v>
      </c>
      <c t="s">
        <v>32754</v>
      </c>
      <c t="s">
        <v>34162</v>
      </c>
      <c t="s">
        <v>3093</v>
      </c>
      <c t="s">
        <v>54693</v>
      </c>
    </row>
    <row>
      <c t="s">
        <v>17594</v>
      </c>
      <c t="s">
        <v>16985</v>
      </c>
      <c t="s">
        <v>59008</v>
      </c>
      <c t="s">
        <v>54721</v>
      </c>
      <c t="s">
        <v>33634</v>
      </c>
      <c s="3">
        <v>12544</v>
      </c>
      <c s="3">
        <v>12544</v>
      </c>
      <c s="3">
        <v>6389</v>
      </c>
      <c>
        <v>0</v>
      </c>
      <c s="3">
        <v>0</v>
      </c>
      <c s="3">
        <v>333.57</v>
      </c>
      <c s="3">
        <v>12544</v>
      </c>
      <c r="O2953" s="1" t="str">
        <f ca="1">HYPERLINK("https://web.datatree.com/?/property?propertyId=33091034", "https://web.datatree.com/?/property?propertyId=33091034")</f>
        <v>https://web.datatree.com/?/property?propertyId=33091034</v>
      </c>
      <c r="Q2953" t="s">
        <v>316</v>
      </c>
      <c>
        <v>0.299</v>
      </c>
      <c t="s">
        <v>37489</v>
      </c>
      <c t="s">
        <v>49120</v>
      </c>
      <c t="s">
        <v>21022</v>
      </c>
      <c r="X2953" t="s">
        <v>32760</v>
      </c>
      <c t="s">
        <v>65695</v>
      </c>
      <c t="s">
        <v>65059</v>
      </c>
      <c t="s">
        <v>39289</v>
      </c>
      <c>
        <v>33905</v>
      </c>
      <c t="s">
        <v>5780</v>
      </c>
      <c t="s">
        <v>48794</v>
      </c>
      <c t="s">
        <v>20995</v>
      </c>
      <c>
        <v>6322</v>
      </c>
      <c r="AH2953" t="s">
        <v>12549</v>
      </c>
      <c t="s">
        <v>21721</v>
      </c>
      <c t="s">
        <v>4985</v>
      </c>
      <c>
        <v>906</v>
      </c>
      <c t="s">
        <v>51960</v>
      </c>
      <c t="s">
        <v>36436</v>
      </c>
      <c t="s">
        <v>39289</v>
      </c>
      <c t="s">
        <v>63240</v>
      </c>
      <c t="s">
        <v>55071</v>
      </c>
      <c t="s">
        <v>3093</v>
      </c>
      <c t="s">
        <v>17485</v>
      </c>
    </row>
    <row>
      <c t="s">
        <v>17594</v>
      </c>
      <c t="s">
        <v>36913</v>
      </c>
      <c t="s">
        <v>59838</v>
      </c>
      <c t="s">
        <v>26387</v>
      </c>
      <c t="s">
        <v>32809</v>
      </c>
      <c s="3">
        <v>39960</v>
      </c>
      <c s="3">
        <v>39960</v>
      </c>
      <c s="3">
        <v>28551</v>
      </c>
      <c>
        <v>0</v>
      </c>
      <c s="3">
        <v>0</v>
      </c>
      <c s="3">
        <v>460.06</v>
      </c>
      <c s="3">
        <v>39960</v>
      </c>
      <c r="O2954" s="1" t="str">
        <f ca="1">HYPERLINK("https://web.datatree.com/?/property?propertyId=33091320", "https://web.datatree.com/?/property?propertyId=33091320")</f>
        <v>https://web.datatree.com/?/property?propertyId=33091320</v>
      </c>
      <c r="Q2954" t="s">
        <v>316</v>
      </c>
      <c>
        <v>0.042</v>
      </c>
      <c t="s">
        <v>45526</v>
      </c>
      <c r="U2954" t="s">
        <v>29444</v>
      </c>
      <c r="W2954" t="s">
        <v>64537</v>
      </c>
      <c t="s">
        <v>45871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43582</v>
      </c>
      <c>
        <v>9700</v>
      </c>
      <c r="AI2954" t="s">
        <v>752</v>
      </c>
      <c r="AL2954" t="s">
        <v>63597</v>
      </c>
      <c r="AN2954" t="s">
        <v>51137</v>
      </c>
      <c t="s">
        <v>57177</v>
      </c>
      <c t="s">
        <v>44428</v>
      </c>
      <c t="s">
        <v>3093</v>
      </c>
      <c t="s">
        <v>35956</v>
      </c>
    </row>
    <row>
      <c t="s">
        <v>17594</v>
      </c>
      <c t="s">
        <v>48448</v>
      </c>
      <c t="s">
        <v>9058</v>
      </c>
      <c t="s">
        <v>17839</v>
      </c>
      <c t="s">
        <v>29842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 r="O2955" s="1" t="str">
        <f ca="1">HYPERLINK("https://web.datatree.com/?/property?propertyId=33092071", "https://web.datatree.com/?/property?propertyId=33092071")</f>
        <v>https://web.datatree.com/?/property?propertyId=33092071</v>
      </c>
      <c r="Q2955" t="s">
        <v>316</v>
      </c>
      <c>
        <v>0.23</v>
      </c>
      <c t="s">
        <v>16350</v>
      </c>
      <c t="s">
        <v>16080</v>
      </c>
      <c t="s">
        <v>39090</v>
      </c>
      <c r="X2955" t="s">
        <v>9288</v>
      </c>
      <c t="s">
        <v>38550</v>
      </c>
      <c t="s">
        <v>2517</v>
      </c>
      <c t="s">
        <v>39289</v>
      </c>
      <c>
        <v>33909</v>
      </c>
      <c t="s">
        <v>59657</v>
      </c>
      <c t="s">
        <v>48794</v>
      </c>
      <c t="s">
        <v>6906</v>
      </c>
      <c>
        <v>4</v>
      </c>
      <c r="AI2955" t="s">
        <v>54675</v>
      </c>
      <c r="AL2955" t="s">
        <v>22253</v>
      </c>
      <c r="AN2955" t="s">
        <v>63985</v>
      </c>
      <c>
        <v>69254</v>
      </c>
      <c r="AQ2955" t="s">
        <v>3093</v>
      </c>
      <c t="s">
        <v>59821</v>
      </c>
    </row>
    <row>
      <c t="s">
        <v>17594</v>
      </c>
      <c t="s">
        <v>30145</v>
      </c>
      <c t="s">
        <v>51557</v>
      </c>
      <c t="s">
        <v>44010</v>
      </c>
      <c t="s">
        <v>49758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2956" s="1" t="str">
        <f ca="1">HYPERLINK("https://web.datatree.com/?/property?propertyId=33092595", "https://web.datatree.com/?/property?propertyId=33092595")</f>
        <v>https://web.datatree.com/?/property?propertyId=33092595</v>
      </c>
      <c r="Q2956" t="s">
        <v>316</v>
      </c>
      <c>
        <v>0.23</v>
      </c>
      <c t="s">
        <v>6175</v>
      </c>
      <c t="s">
        <v>56333</v>
      </c>
      <c t="s">
        <v>49379</v>
      </c>
      <c t="s">
        <v>48320</v>
      </c>
      <c t="s">
        <v>49379</v>
      </c>
      <c t="s">
        <v>66018</v>
      </c>
      <c t="s">
        <v>33179</v>
      </c>
      <c t="s">
        <v>2517</v>
      </c>
      <c t="s">
        <v>39289</v>
      </c>
      <c>
        <v>33909</v>
      </c>
      <c t="s">
        <v>60011</v>
      </c>
      <c t="s">
        <v>48794</v>
      </c>
      <c t="s">
        <v>58552</v>
      </c>
      <c>
        <v>548</v>
      </c>
      <c r="AI2956" t="s">
        <v>10419</v>
      </c>
      <c t="s">
        <v>45393</v>
      </c>
      <c>
        <v>2</v>
      </c>
      <c t="s">
        <v>8109</v>
      </c>
      <c r="AN2956" t="s">
        <v>50917</v>
      </c>
      <c t="s">
        <v>20061</v>
      </c>
      <c t="s">
        <v>19978</v>
      </c>
      <c t="s">
        <v>3093</v>
      </c>
      <c t="s">
        <v>38560</v>
      </c>
    </row>
    <row>
      <c t="s">
        <v>17594</v>
      </c>
      <c t="s">
        <v>22355</v>
      </c>
      <c t="s">
        <v>15204</v>
      </c>
      <c t="s">
        <v>2733</v>
      </c>
      <c t="s">
        <v>39829</v>
      </c>
      <c s="3">
        <v>8400</v>
      </c>
      <c s="3">
        <v>8400</v>
      </c>
      <c s="3">
        <v>8400</v>
      </c>
      <c>
        <v>0</v>
      </c>
      <c s="3">
        <v>0</v>
      </c>
      <c s="3">
        <v>694.27</v>
      </c>
      <c s="3">
        <v>8400</v>
      </c>
      <c r="O2957" s="1" t="str">
        <f ca="1">HYPERLINK("https://web.datatree.com/?/property?propertyId=33093529", "https://web.datatree.com/?/property?propertyId=33093529")</f>
        <v>https://web.datatree.com/?/property?propertyId=33093529</v>
      </c>
      <c r="Q2957" t="s">
        <v>316</v>
      </c>
      <c>
        <v>0.238</v>
      </c>
      <c t="s">
        <v>22490</v>
      </c>
      <c t="s">
        <v>32235</v>
      </c>
      <c t="s">
        <v>16239</v>
      </c>
      <c r="X2957" t="s">
        <v>42533</v>
      </c>
      <c t="s">
        <v>2619</v>
      </c>
      <c t="s">
        <v>2517</v>
      </c>
      <c t="s">
        <v>39289</v>
      </c>
      <c>
        <v>33909</v>
      </c>
      <c t="s">
        <v>43005</v>
      </c>
      <c t="s">
        <v>48794</v>
      </c>
      <c t="s">
        <v>14835</v>
      </c>
      <c>
        <v>42</v>
      </c>
      <c r="AI2957" t="s">
        <v>37463</v>
      </c>
      <c t="s">
        <v>31192</v>
      </c>
      <c r="AL2957" t="s">
        <v>52221</v>
      </c>
      <c r="AN2957" t="s">
        <v>14509</v>
      </c>
      <c t="s">
        <v>55117</v>
      </c>
      <c t="s">
        <v>2198</v>
      </c>
      <c t="s">
        <v>3093</v>
      </c>
      <c t="s">
        <v>41100</v>
      </c>
    </row>
    <row>
      <c t="s">
        <v>17594</v>
      </c>
      <c t="s">
        <v>34495</v>
      </c>
      <c t="s">
        <v>41613</v>
      </c>
      <c t="s">
        <v>56724</v>
      </c>
      <c t="s">
        <v>10407</v>
      </c>
      <c s="3">
        <v>8500</v>
      </c>
      <c s="3">
        <v>8500</v>
      </c>
      <c s="3">
        <v>8500</v>
      </c>
      <c>
        <v>0</v>
      </c>
      <c s="3">
        <v>0</v>
      </c>
      <c s="3">
        <v>644.76</v>
      </c>
      <c s="3">
        <v>8500</v>
      </c>
      <c r="O2958" s="1" t="str">
        <f ca="1">HYPERLINK("https://web.datatree.com/?/property?propertyId=33093543", "https://web.datatree.com/?/property?propertyId=33093543")</f>
        <v>https://web.datatree.com/?/property?propertyId=33093543</v>
      </c>
      <c r="Q2958" t="s">
        <v>316</v>
      </c>
      <c>
        <v>0.311</v>
      </c>
      <c t="s">
        <v>6175</v>
      </c>
      <c t="s">
        <v>9900</v>
      </c>
      <c t="s">
        <v>24298</v>
      </c>
      <c t="s">
        <v>21379</v>
      </c>
      <c t="s">
        <v>24298</v>
      </c>
      <c t="s">
        <v>21578</v>
      </c>
      <c t="s">
        <v>46469</v>
      </c>
      <c t="s">
        <v>2517</v>
      </c>
      <c t="s">
        <v>39289</v>
      </c>
      <c>
        <v>33909</v>
      </c>
      <c t="s">
        <v>24412</v>
      </c>
      <c t="s">
        <v>48794</v>
      </c>
      <c t="s">
        <v>35358</v>
      </c>
      <c>
        <v>50</v>
      </c>
      <c r="AI2958" t="s">
        <v>58797</v>
      </c>
      <c t="s">
        <v>24900</v>
      </c>
      <c r="AL2958" t="s">
        <v>54220</v>
      </c>
      <c r="AN2958" t="s">
        <v>22275</v>
      </c>
      <c t="s">
        <v>66945</v>
      </c>
      <c t="s">
        <v>26242</v>
      </c>
      <c t="s">
        <v>3093</v>
      </c>
      <c t="s">
        <v>14864</v>
      </c>
    </row>
    <row>
      <c t="s">
        <v>17594</v>
      </c>
      <c t="s">
        <v>63428</v>
      </c>
      <c t="s">
        <v>21556</v>
      </c>
      <c t="s">
        <v>51478</v>
      </c>
      <c t="s">
        <v>21451</v>
      </c>
      <c s="3">
        <v>38750</v>
      </c>
      <c s="3">
        <v>38750</v>
      </c>
      <c s="3">
        <v>17050</v>
      </c>
      <c>
        <v>0</v>
      </c>
      <c s="3">
        <v>0</v>
      </c>
      <c s="3">
        <v>768.4</v>
      </c>
      <c s="3">
        <v>38750</v>
      </c>
      <c r="O2959" s="1" t="str">
        <f ca="1">HYPERLINK("https://web.datatree.com/?/property?propertyId=33093643", "https://web.datatree.com/?/property?propertyId=33093643")</f>
        <v>https://web.datatree.com/?/property?propertyId=33093643</v>
      </c>
      <c r="Q2959" t="s">
        <v>316</v>
      </c>
      <c>
        <v>0.244</v>
      </c>
      <c t="s">
        <v>22490</v>
      </c>
      <c t="s">
        <v>49814</v>
      </c>
      <c t="s">
        <v>57803</v>
      </c>
      <c r="X2959" t="s">
        <v>29071</v>
      </c>
      <c t="s">
        <v>13065</v>
      </c>
      <c t="s">
        <v>2517</v>
      </c>
      <c t="s">
        <v>39289</v>
      </c>
      <c>
        <v>33909</v>
      </c>
      <c t="s">
        <v>61961</v>
      </c>
      <c t="s">
        <v>48794</v>
      </c>
      <c t="s">
        <v>50316</v>
      </c>
      <c>
        <v>8</v>
      </c>
      <c r="AI2959" t="s">
        <v>15235</v>
      </c>
      <c r="AL2959" t="s">
        <v>52788</v>
      </c>
      <c r="AN2959" t="s">
        <v>63985</v>
      </c>
      <c>
        <v>75239</v>
      </c>
      <c r="AR2959" t="s">
        <v>60088</v>
      </c>
    </row>
    <row>
      <c t="s">
        <v>17594</v>
      </c>
      <c t="s">
        <v>11886</v>
      </c>
      <c t="s">
        <v>24420</v>
      </c>
      <c t="s">
        <v>2971</v>
      </c>
      <c t="s">
        <v>11435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960" s="1" t="str">
        <f ca="1">HYPERLINK("https://web.datatree.com/?/property?propertyId=33094086", "https://web.datatree.com/?/property?propertyId=33094086")</f>
        <v>https://web.datatree.com/?/property?propertyId=33094086</v>
      </c>
      <c r="Q2960" t="s">
        <v>316</v>
      </c>
      <c>
        <v>0.23</v>
      </c>
      <c t="s">
        <v>6175</v>
      </c>
      <c t="s">
        <v>3429</v>
      </c>
      <c t="s">
        <v>63861</v>
      </c>
      <c t="s">
        <v>38610</v>
      </c>
      <c t="s">
        <v>39139</v>
      </c>
      <c t="s">
        <v>22242</v>
      </c>
      <c t="s">
        <v>24999</v>
      </c>
      <c t="s">
        <v>2517</v>
      </c>
      <c t="s">
        <v>39289</v>
      </c>
      <c>
        <v>33909</v>
      </c>
      <c t="s">
        <v>59699</v>
      </c>
      <c t="s">
        <v>48794</v>
      </c>
      <c t="s">
        <v>9962</v>
      </c>
      <c>
        <v>1995</v>
      </c>
      <c r="AI2960" t="s">
        <v>41911</v>
      </c>
      <c t="s">
        <v>24900</v>
      </c>
      <c t="s">
        <v>32665</v>
      </c>
      <c t="s">
        <v>6144</v>
      </c>
      <c t="s">
        <v>13397</v>
      </c>
      <c t="s">
        <v>50917</v>
      </c>
      <c t="s">
        <v>9499</v>
      </c>
      <c t="s">
        <v>26242</v>
      </c>
      <c t="s">
        <v>3093</v>
      </c>
      <c t="s">
        <v>1065</v>
      </c>
    </row>
    <row>
      <c t="s">
        <v>17594</v>
      </c>
      <c t="s">
        <v>11122</v>
      </c>
      <c t="s">
        <v>3436</v>
      </c>
      <c t="s">
        <v>26437</v>
      </c>
      <c t="s">
        <v>24758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961" s="1" t="str">
        <f ca="1">HYPERLINK("https://web.datatree.com/?/property?propertyId=33094504", "https://web.datatree.com/?/property?propertyId=33094504")</f>
        <v>https://web.datatree.com/?/property?propertyId=33094504</v>
      </c>
      <c r="Q2961" t="s">
        <v>316</v>
      </c>
      <c>
        <v>0.23</v>
      </c>
      <c t="s">
        <v>22490</v>
      </c>
      <c t="s">
        <v>31309</v>
      </c>
      <c t="s">
        <v>22934</v>
      </c>
      <c r="X2961" t="s">
        <v>42298</v>
      </c>
      <c t="s">
        <v>24999</v>
      </c>
      <c t="s">
        <v>2517</v>
      </c>
      <c t="s">
        <v>39289</v>
      </c>
      <c>
        <v>33909</v>
      </c>
      <c>
        <v>33909</v>
      </c>
      <c t="s">
        <v>48794</v>
      </c>
      <c t="s">
        <v>29383</v>
      </c>
      <c>
        <v>13</v>
      </c>
      <c r="AI2961" t="s">
        <v>38865</v>
      </c>
      <c t="s">
        <v>31192</v>
      </c>
      <c r="AL2961" t="s">
        <v>25446</v>
      </c>
      <c t="s">
        <v>25446</v>
      </c>
      <c t="s">
        <v>26016</v>
      </c>
      <c t="s">
        <v>40858</v>
      </c>
      <c t="s">
        <v>23744</v>
      </c>
      <c t="s">
        <v>3093</v>
      </c>
      <c t="s">
        <v>20813</v>
      </c>
    </row>
    <row>
      <c t="s">
        <v>17594</v>
      </c>
      <c t="s">
        <v>57778</v>
      </c>
      <c t="s">
        <v>46630</v>
      </c>
      <c t="s">
        <v>21217</v>
      </c>
      <c t="s">
        <v>8524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2962" s="1" t="str">
        <f ca="1">HYPERLINK("https://web.datatree.com/?/property?propertyId=33094831", "https://web.datatree.com/?/property?propertyId=33094831")</f>
        <v>https://web.datatree.com/?/property?propertyId=33094831</v>
      </c>
      <c r="Q2962" t="s">
        <v>316</v>
      </c>
      <c>
        <v>0.23</v>
      </c>
      <c t="s">
        <v>6175</v>
      </c>
      <c t="s">
        <v>50343</v>
      </c>
      <c t="s">
        <v>48003</v>
      </c>
      <c r="X2962" t="s">
        <v>41417</v>
      </c>
      <c t="s">
        <v>23517</v>
      </c>
      <c t="s">
        <v>2517</v>
      </c>
      <c t="s">
        <v>39289</v>
      </c>
      <c>
        <v>33909</v>
      </c>
      <c t="s">
        <v>65350</v>
      </c>
      <c t="s">
        <v>48794</v>
      </c>
      <c t="s">
        <v>40074</v>
      </c>
      <c>
        <v>20</v>
      </c>
      <c r="AI2962" t="s">
        <v>55138</v>
      </c>
      <c t="s">
        <v>45393</v>
      </c>
      <c r="AL2962" t="s">
        <v>40703</v>
      </c>
      <c r="AN2962" t="s">
        <v>27747</v>
      </c>
      <c t="s">
        <v>4872</v>
      </c>
      <c t="s">
        <v>11138</v>
      </c>
      <c t="s">
        <v>3093</v>
      </c>
      <c t="s">
        <v>20822</v>
      </c>
    </row>
    <row>
      <c t="s">
        <v>17594</v>
      </c>
      <c t="s">
        <v>47446</v>
      </c>
      <c t="s">
        <v>24322</v>
      </c>
      <c t="s">
        <v>39254</v>
      </c>
      <c t="s">
        <v>57469</v>
      </c>
      <c s="3">
        <v>249276</v>
      </c>
      <c s="3">
        <v>245382</v>
      </c>
      <c s="3">
        <v>172583</v>
      </c>
      <c>
        <v>0</v>
      </c>
      <c s="3">
        <v>0</v>
      </c>
      <c s="3">
        <v>3300.61</v>
      </c>
      <c s="3">
        <v>249276</v>
      </c>
      <c r="O2963" s="1" t="str">
        <f ca="1">HYPERLINK("https://web.datatree.com/?/property?propertyId=33095298", "https://web.datatree.com/?/property?propertyId=33095298")</f>
        <v>https://web.datatree.com/?/property?propertyId=33095298</v>
      </c>
      <c r="Q2963" t="s">
        <v>316</v>
      </c>
      <c>
        <v>0.23</v>
      </c>
      <c t="s">
        <v>22490</v>
      </c>
      <c t="s">
        <v>43826</v>
      </c>
      <c t="s">
        <v>60045</v>
      </c>
      <c r="X2963" t="s">
        <v>15718</v>
      </c>
      <c t="s">
        <v>52171</v>
      </c>
      <c t="s">
        <v>2517</v>
      </c>
      <c t="s">
        <v>39289</v>
      </c>
      <c>
        <v>33904</v>
      </c>
      <c>
        <v>33904</v>
      </c>
      <c t="s">
        <v>48794</v>
      </c>
      <c t="s">
        <v>62055</v>
      </c>
      <c>
        <v>8902</v>
      </c>
      <c r="AI2963" t="s">
        <v>51495</v>
      </c>
      <c t="s">
        <v>31192</v>
      </c>
      <c r="AL2963" t="s">
        <v>14873</v>
      </c>
      <c t="s">
        <v>14873</v>
      </c>
      <c t="s">
        <v>18236</v>
      </c>
      <c t="s">
        <v>45093</v>
      </c>
      <c t="s">
        <v>56198</v>
      </c>
      <c t="s">
        <v>3093</v>
      </c>
      <c t="s">
        <v>11875</v>
      </c>
    </row>
    <row>
      <c t="s">
        <v>17594</v>
      </c>
      <c t="s">
        <v>41977</v>
      </c>
      <c t="s">
        <v>43471</v>
      </c>
      <c t="s">
        <v>8285</v>
      </c>
      <c t="s">
        <v>29961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2964" s="1" t="str">
        <f ca="1">HYPERLINK("https://web.datatree.com/?/property?propertyId=33095316", "https://web.datatree.com/?/property?propertyId=33095316")</f>
        <v>https://web.datatree.com/?/property?propertyId=33095316</v>
      </c>
      <c r="Q2964" t="s">
        <v>316</v>
      </c>
      <c>
        <v>0.23</v>
      </c>
      <c t="s">
        <v>22490</v>
      </c>
      <c t="s">
        <v>47299</v>
      </c>
      <c t="s">
        <v>57180</v>
      </c>
      <c t="s">
        <v>65533</v>
      </c>
      <c t="s">
        <v>57180</v>
      </c>
      <c t="s">
        <v>36957</v>
      </c>
      <c t="s">
        <v>23517</v>
      </c>
      <c t="s">
        <v>2517</v>
      </c>
      <c t="s">
        <v>39289</v>
      </c>
      <c>
        <v>33909</v>
      </c>
      <c t="s">
        <v>58741</v>
      </c>
      <c t="s">
        <v>48794</v>
      </c>
      <c t="s">
        <v>19526</v>
      </c>
      <c>
        <v>4</v>
      </c>
      <c r="AI2964" t="s">
        <v>53795</v>
      </c>
      <c r="AL2964" t="s">
        <v>23411</v>
      </c>
      <c r="AN2964" t="s">
        <v>17331</v>
      </c>
      <c>
        <v>35580</v>
      </c>
      <c r="AR2964" t="s">
        <v>31876</v>
      </c>
    </row>
    <row>
      <c t="s">
        <v>17594</v>
      </c>
      <c t="s">
        <v>24372</v>
      </c>
      <c t="s">
        <v>35841</v>
      </c>
      <c t="s">
        <v>47719</v>
      </c>
      <c t="s">
        <v>48019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2965" s="1" t="str">
        <f ca="1">HYPERLINK("https://web.datatree.com/?/property?propertyId=33095922", "https://web.datatree.com/?/property?propertyId=33095922")</f>
        <v>https://web.datatree.com/?/property?propertyId=33095922</v>
      </c>
      <c r="Q2965" t="s">
        <v>316</v>
      </c>
      <c>
        <v>0.236</v>
      </c>
      <c t="s">
        <v>22490</v>
      </c>
      <c t="s">
        <v>1859</v>
      </c>
      <c t="s">
        <v>44495</v>
      </c>
      <c t="s">
        <v>43826</v>
      </c>
      <c t="s">
        <v>44495</v>
      </c>
      <c t="s">
        <v>20742</v>
      </c>
      <c t="s">
        <v>22731</v>
      </c>
      <c t="s">
        <v>2517</v>
      </c>
      <c t="s">
        <v>39289</v>
      </c>
      <c>
        <v>33909</v>
      </c>
      <c t="s">
        <v>35927</v>
      </c>
      <c t="s">
        <v>48794</v>
      </c>
      <c t="s">
        <v>62911</v>
      </c>
      <c>
        <v>1</v>
      </c>
      <c r="AI2965" t="s">
        <v>21073</v>
      </c>
      <c t="s">
        <v>40123</v>
      </c>
      <c r="AL2965" t="s">
        <v>11813</v>
      </c>
      <c r="AN2965" t="s">
        <v>50917</v>
      </c>
      <c t="s">
        <v>3468</v>
      </c>
      <c t="s">
        <v>26242</v>
      </c>
      <c t="s">
        <v>3093</v>
      </c>
      <c t="s">
        <v>23535</v>
      </c>
    </row>
    <row>
      <c t="s">
        <v>17594</v>
      </c>
      <c t="s">
        <v>57772</v>
      </c>
      <c t="s">
        <v>10241</v>
      </c>
      <c t="s">
        <v>25325</v>
      </c>
      <c t="s">
        <v>153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2966" s="1" t="str">
        <f ca="1">HYPERLINK("https://web.datatree.com/?/property?propertyId=33096176", "https://web.datatree.com/?/property?propertyId=33096176")</f>
        <v>https://web.datatree.com/?/property?propertyId=33096176</v>
      </c>
      <c r="Q2966" t="s">
        <v>316</v>
      </c>
      <c>
        <v>0.23</v>
      </c>
      <c t="s">
        <v>22490</v>
      </c>
      <c t="s">
        <v>251</v>
      </c>
      <c t="s">
        <v>1756</v>
      </c>
      <c t="s">
        <v>22718</v>
      </c>
      <c t="s">
        <v>1756</v>
      </c>
      <c t="s">
        <v>38571</v>
      </c>
      <c t="s">
        <v>30928</v>
      </c>
      <c t="s">
        <v>2517</v>
      </c>
      <c t="s">
        <v>39289</v>
      </c>
      <c>
        <v>33909</v>
      </c>
      <c t="s">
        <v>58845</v>
      </c>
      <c t="s">
        <v>48794</v>
      </c>
      <c t="s">
        <v>28987</v>
      </c>
      <c>
        <v>5005</v>
      </c>
      <c r="AI2966" t="s">
        <v>9974</v>
      </c>
      <c t="s">
        <v>39321</v>
      </c>
      <c r="AL2966" t="s">
        <v>41781</v>
      </c>
      <c r="AN2966" t="s">
        <v>39289</v>
      </c>
      <c t="s">
        <v>50014</v>
      </c>
      <c t="s">
        <v>13449</v>
      </c>
      <c t="s">
        <v>3093</v>
      </c>
      <c t="s">
        <v>11677</v>
      </c>
    </row>
    <row>
      <c t="s">
        <v>17594</v>
      </c>
      <c t="s">
        <v>33516</v>
      </c>
      <c t="s">
        <v>14274</v>
      </c>
      <c t="s">
        <v>48239</v>
      </c>
      <c t="s">
        <v>7021</v>
      </c>
      <c s="3">
        <v>248692</v>
      </c>
      <c s="3">
        <v>245382</v>
      </c>
      <c s="3">
        <v>171941</v>
      </c>
      <c>
        <v>0</v>
      </c>
      <c s="3">
        <v>0</v>
      </c>
      <c s="3">
        <v>3290.78</v>
      </c>
      <c s="3">
        <v>248692</v>
      </c>
      <c r="O2967" s="1" t="str">
        <f ca="1">HYPERLINK("https://web.datatree.com/?/property?propertyId=33097236", "https://web.datatree.com/?/property?propertyId=33097236")</f>
        <v>https://web.datatree.com/?/property?propertyId=33097236</v>
      </c>
      <c r="Q2967" t="s">
        <v>316</v>
      </c>
      <c>
        <v>0.23</v>
      </c>
      <c t="s">
        <v>22490</v>
      </c>
      <c r="U2967" t="s">
        <v>1764</v>
      </c>
      <c r="W2967" t="s">
        <v>18362</v>
      </c>
      <c t="s">
        <v>50114</v>
      </c>
      <c t="s">
        <v>44061</v>
      </c>
      <c t="s">
        <v>2517</v>
      </c>
      <c t="s">
        <v>39289</v>
      </c>
      <c>
        <v>33904</v>
      </c>
      <c>
        <v>33904</v>
      </c>
      <c t="s">
        <v>48794</v>
      </c>
      <c t="s">
        <v>59315</v>
      </c>
      <c>
        <v>30145</v>
      </c>
      <c r="AI2967" t="s">
        <v>19735</v>
      </c>
      <c t="s">
        <v>45620</v>
      </c>
      <c r="AL2967" t="s">
        <v>46821</v>
      </c>
      <c r="AN2967" t="s">
        <v>63985</v>
      </c>
      <c t="s">
        <v>61345</v>
      </c>
      <c t="s">
        <v>62713</v>
      </c>
      <c t="s">
        <v>3093</v>
      </c>
      <c t="s">
        <v>11097</v>
      </c>
    </row>
    <row>
      <c t="s">
        <v>17594</v>
      </c>
      <c t="s">
        <v>18257</v>
      </c>
      <c t="s">
        <v>63399</v>
      </c>
      <c t="s">
        <v>32008</v>
      </c>
      <c t="s">
        <v>11041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2968" s="1" t="str">
        <f ca="1">HYPERLINK("https://web.datatree.com/?/property?propertyId=33097742", "https://web.datatree.com/?/property?propertyId=33097742")</f>
        <v>https://web.datatree.com/?/property?propertyId=33097742</v>
      </c>
      <c r="Q2968" t="s">
        <v>316</v>
      </c>
      <c>
        <v>0.23</v>
      </c>
      <c t="s">
        <v>6175</v>
      </c>
      <c t="s">
        <v>9900</v>
      </c>
      <c t="s">
        <v>25102</v>
      </c>
      <c t="s">
        <v>43378</v>
      </c>
      <c t="s">
        <v>25102</v>
      </c>
      <c t="s">
        <v>22347</v>
      </c>
      <c t="s">
        <v>61865</v>
      </c>
      <c t="s">
        <v>2517</v>
      </c>
      <c t="s">
        <v>39289</v>
      </c>
      <c>
        <v>33909</v>
      </c>
      <c t="s">
        <v>66740</v>
      </c>
      <c t="s">
        <v>48794</v>
      </c>
      <c t="s">
        <v>12929</v>
      </c>
      <c>
        <v>730</v>
      </c>
      <c r="AI2968" t="s">
        <v>43463</v>
      </c>
      <c t="s">
        <v>45620</v>
      </c>
      <c r="AL2968" t="s">
        <v>15760</v>
      </c>
      <c r="AN2968" t="s">
        <v>36633</v>
      </c>
      <c>
        <v>25564</v>
      </c>
      <c r="AQ2968" t="s">
        <v>3093</v>
      </c>
      <c t="s">
        <v>29485</v>
      </c>
    </row>
    <row>
      <c t="s">
        <v>17594</v>
      </c>
      <c t="s">
        <v>29617</v>
      </c>
      <c t="s">
        <v>47862</v>
      </c>
      <c t="s">
        <v>32040</v>
      </c>
      <c t="s">
        <v>49920</v>
      </c>
      <c s="3">
        <v>76846</v>
      </c>
      <c s="3">
        <v>63500</v>
      </c>
      <c s="3">
        <v>74436</v>
      </c>
      <c>
        <v>0</v>
      </c>
      <c s="3">
        <v>0</v>
      </c>
      <c s="3">
        <v>1132.71</v>
      </c>
      <c s="3">
        <v>76846</v>
      </c>
      <c r="O2969" s="1" t="str">
        <f ca="1">HYPERLINK("https://web.datatree.com/?/property?propertyId=33098177", "https://web.datatree.com/?/property?propertyId=33098177")</f>
        <v>https://web.datatree.com/?/property?propertyId=33098177</v>
      </c>
      <c r="Q2969" t="s">
        <v>316</v>
      </c>
      <c>
        <v>0.108</v>
      </c>
      <c t="s">
        <v>26492</v>
      </c>
      <c t="s">
        <v>15209</v>
      </c>
      <c t="s">
        <v>39805</v>
      </c>
      <c t="s">
        <v>1272</v>
      </c>
      <c t="s">
        <v>39805</v>
      </c>
      <c t="s">
        <v>5122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54368</v>
      </c>
      <c>
        <v>1445</v>
      </c>
      <c r="AI2969" t="s">
        <v>1688</v>
      </c>
      <c r="AL2969" t="s">
        <v>32896</v>
      </c>
      <c t="s">
        <v>40227</v>
      </c>
      <c t="s">
        <v>56381</v>
      </c>
      <c t="s">
        <v>56818</v>
      </c>
      <c r="AQ2969" t="s">
        <v>27814</v>
      </c>
      <c t="s">
        <v>22982</v>
      </c>
    </row>
    <row>
      <c t="s">
        <v>42103</v>
      </c>
      <c t="s">
        <v>47643</v>
      </c>
      <c t="s">
        <v>14655</v>
      </c>
      <c t="s">
        <v>64212</v>
      </c>
      <c t="s">
        <v>63285</v>
      </c>
      <c s="3">
        <v>28210</v>
      </c>
      <c s="3">
        <v>28210</v>
      </c>
      <c s="3">
        <v>9079</v>
      </c>
      <c>
        <v>0</v>
      </c>
      <c s="3">
        <v>0</v>
      </c>
      <c s="3">
        <v>2910.05</v>
      </c>
      <c s="3">
        <v>28210</v>
      </c>
      <c r="O2970" s="1" t="str">
        <f ca="1">HYPERLINK("https://web.datatree.com/?/property?propertyId=33098295", "https://web.datatree.com/?/property?propertyId=33098295")</f>
        <v>https://web.datatree.com/?/property?propertyId=33098295</v>
      </c>
      <c r="Q2970" t="s">
        <v>316</v>
      </c>
      <c>
        <v>0.23</v>
      </c>
      <c t="s">
        <v>6175</v>
      </c>
      <c t="s">
        <v>60671</v>
      </c>
      <c t="s">
        <v>13041</v>
      </c>
      <c r="X2970" t="s">
        <v>62487</v>
      </c>
      <c t="s">
        <v>61865</v>
      </c>
      <c t="s">
        <v>2517</v>
      </c>
      <c t="s">
        <v>39289</v>
      </c>
      <c>
        <v>33909</v>
      </c>
      <c t="s">
        <v>16913</v>
      </c>
      <c t="s">
        <v>48794</v>
      </c>
      <c t="s">
        <v>47291</v>
      </c>
      <c r="AI2970" t="s">
        <v>25167</v>
      </c>
      <c r="AL2970" t="s">
        <v>16199</v>
      </c>
      <c r="AN2970" t="s">
        <v>50917</v>
      </c>
      <c>
        <v>10984</v>
      </c>
      <c t="s">
        <v>23536</v>
      </c>
      <c t="s">
        <v>3093</v>
      </c>
      <c t="s">
        <v>59530</v>
      </c>
    </row>
    <row>
      <c t="s">
        <v>17594</v>
      </c>
      <c t="s">
        <v>12982</v>
      </c>
      <c t="s">
        <v>54687</v>
      </c>
      <c t="s">
        <v>56934</v>
      </c>
      <c t="s">
        <v>28422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2971" s="1" t="str">
        <f ca="1">HYPERLINK("https://web.datatree.com/?/property?propertyId=33098411", "https://web.datatree.com/?/property?propertyId=33098411")</f>
        <v>https://web.datatree.com/?/property?propertyId=33098411</v>
      </c>
      <c r="Q2971" t="s">
        <v>316</v>
      </c>
      <c>
        <v>0.23</v>
      </c>
      <c t="s">
        <v>22490</v>
      </c>
      <c t="s">
        <v>37194</v>
      </c>
      <c t="s">
        <v>783</v>
      </c>
      <c t="s">
        <v>247</v>
      </c>
      <c t="s">
        <v>783</v>
      </c>
      <c t="s">
        <v>38094</v>
      </c>
      <c t="s">
        <v>38550</v>
      </c>
      <c t="s">
        <v>2517</v>
      </c>
      <c t="s">
        <v>39289</v>
      </c>
      <c>
        <v>33909</v>
      </c>
      <c t="s">
        <v>50393</v>
      </c>
      <c t="s">
        <v>48794</v>
      </c>
      <c t="s">
        <v>6359</v>
      </c>
      <c>
        <v>105</v>
      </c>
      <c r="AI2971" t="s">
        <v>15995</v>
      </c>
      <c t="s">
        <v>45393</v>
      </c>
      <c>
        <v>1</v>
      </c>
      <c t="s">
        <v>61009</v>
      </c>
      <c r="AN2971" t="s">
        <v>26016</v>
      </c>
      <c t="s">
        <v>10488</v>
      </c>
      <c t="s">
        <v>34342</v>
      </c>
      <c t="s">
        <v>3093</v>
      </c>
      <c t="s">
        <v>23874</v>
      </c>
    </row>
    <row>
      <c t="s">
        <v>17594</v>
      </c>
      <c t="s">
        <v>44367</v>
      </c>
      <c t="s">
        <v>38461</v>
      </c>
      <c t="s">
        <v>30544</v>
      </c>
      <c t="s">
        <v>3984</v>
      </c>
      <c s="3">
        <v>9856</v>
      </c>
      <c s="3">
        <v>9856</v>
      </c>
      <c s="3">
        <v>3727</v>
      </c>
      <c>
        <v>0</v>
      </c>
      <c s="3">
        <v>0</v>
      </c>
      <c s="3">
        <v>287.23</v>
      </c>
      <c s="3">
        <v>9856</v>
      </c>
      <c r="O2972" s="1" t="str">
        <f ca="1">HYPERLINK("https://web.datatree.com/?/property?propertyId=33098474", "https://web.datatree.com/?/property?propertyId=33098474")</f>
        <v>https://web.datatree.com/?/property?propertyId=33098474</v>
      </c>
      <c r="Q2972" t="s">
        <v>316</v>
      </c>
      <c>
        <v>0.192</v>
      </c>
      <c t="s">
        <v>37489</v>
      </c>
      <c t="s">
        <v>15209</v>
      </c>
      <c t="s">
        <v>66394</v>
      </c>
      <c t="s">
        <v>32199</v>
      </c>
      <c t="s">
        <v>30536</v>
      </c>
      <c t="s">
        <v>5034</v>
      </c>
      <c t="s">
        <v>18019</v>
      </c>
      <c t="s">
        <v>65059</v>
      </c>
      <c t="s">
        <v>39289</v>
      </c>
      <c>
        <v>33905</v>
      </c>
      <c t="s">
        <v>47423</v>
      </c>
      <c t="s">
        <v>48794</v>
      </c>
      <c t="s">
        <v>9660</v>
      </c>
      <c>
        <v>232</v>
      </c>
      <c r="AI2972" t="s">
        <v>34954</v>
      </c>
      <c t="s">
        <v>45620</v>
      </c>
      <c r="AL2972" t="s">
        <v>61009</v>
      </c>
      <c r="AN2972" t="s">
        <v>26016</v>
      </c>
      <c t="s">
        <v>20201</v>
      </c>
      <c t="s">
        <v>47183</v>
      </c>
      <c t="s">
        <v>3093</v>
      </c>
      <c t="s">
        <v>64971</v>
      </c>
    </row>
    <row>
      <c t="s">
        <v>17594</v>
      </c>
      <c t="s">
        <v>16082</v>
      </c>
      <c t="s">
        <v>767</v>
      </c>
      <c t="s">
        <v>31233</v>
      </c>
      <c t="s">
        <v>34648</v>
      </c>
      <c s="3">
        <v>26290</v>
      </c>
      <c s="3">
        <v>26290</v>
      </c>
      <c s="3">
        <v>12650</v>
      </c>
      <c>
        <v>0</v>
      </c>
      <c s="3">
        <v>0</v>
      </c>
      <c s="3">
        <v>671.63</v>
      </c>
      <c s="3">
        <v>26290</v>
      </c>
      <c r="O2973" s="1" t="str">
        <f ca="1">HYPERLINK("https://web.datatree.com/?/property?propertyId=33098602", "https://web.datatree.com/?/property?propertyId=33098602")</f>
        <v>https://web.datatree.com/?/property?propertyId=33098602</v>
      </c>
      <c r="Q2973" t="s">
        <v>316</v>
      </c>
      <c>
        <v>0.258</v>
      </c>
      <c t="s">
        <v>6175</v>
      </c>
      <c t="s">
        <v>44319</v>
      </c>
      <c t="s">
        <v>29213</v>
      </c>
      <c r="X2973" t="s">
        <v>2677</v>
      </c>
      <c t="s">
        <v>10653</v>
      </c>
      <c t="s">
        <v>2517</v>
      </c>
      <c t="s">
        <v>39289</v>
      </c>
      <c>
        <v>33909</v>
      </c>
      <c t="s">
        <v>11160</v>
      </c>
      <c t="s">
        <v>48794</v>
      </c>
      <c t="s">
        <v>59213</v>
      </c>
      <c>
        <v>1890</v>
      </c>
      <c r="AI2973" t="s">
        <v>28635</v>
      </c>
      <c t="s">
        <v>45620</v>
      </c>
      <c r="AL2973" t="s">
        <v>7957</v>
      </c>
      <c t="s">
        <v>7957</v>
      </c>
      <c t="s">
        <v>65451</v>
      </c>
      <c t="s">
        <v>32012</v>
      </c>
      <c t="s">
        <v>12399</v>
      </c>
      <c t="s">
        <v>3093</v>
      </c>
      <c t="s">
        <v>52004</v>
      </c>
    </row>
    <row>
      <c t="s">
        <v>17594</v>
      </c>
      <c t="s">
        <v>14881</v>
      </c>
      <c t="s">
        <v>9262</v>
      </c>
      <c t="s">
        <v>10542</v>
      </c>
      <c t="s">
        <v>26392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2974" s="1" t="str">
        <f ca="1">HYPERLINK("https://web.datatree.com/?/property?propertyId=33098901", "https://web.datatree.com/?/property?propertyId=33098901")</f>
        <v>https://web.datatree.com/?/property?propertyId=33098901</v>
      </c>
      <c r="Q2974" t="s">
        <v>316</v>
      </c>
      <c>
        <v>0.23</v>
      </c>
      <c t="s">
        <v>22490</v>
      </c>
      <c t="s">
        <v>10772</v>
      </c>
      <c t="s">
        <v>32295</v>
      </c>
      <c t="s">
        <v>49698</v>
      </c>
      <c t="s">
        <v>32295</v>
      </c>
      <c t="s">
        <v>30694</v>
      </c>
      <c t="s">
        <v>30928</v>
      </c>
      <c t="s">
        <v>2517</v>
      </c>
      <c t="s">
        <v>39289</v>
      </c>
      <c>
        <v>33909</v>
      </c>
      <c t="s">
        <v>52093</v>
      </c>
      <c t="s">
        <v>48794</v>
      </c>
      <c t="s">
        <v>27248</v>
      </c>
      <c>
        <v>117</v>
      </c>
      <c r="AI2974" t="s">
        <v>1899</v>
      </c>
      <c t="s">
        <v>24900</v>
      </c>
      <c r="AL2974" t="s">
        <v>63249</v>
      </c>
      <c t="s">
        <v>63249</v>
      </c>
      <c t="s">
        <v>65451</v>
      </c>
      <c>
        <v>94930</v>
      </c>
      <c r="AQ2974" t="s">
        <v>3093</v>
      </c>
      <c t="s">
        <v>18628</v>
      </c>
    </row>
    <row>
      <c t="s">
        <v>17594</v>
      </c>
      <c t="s">
        <v>15003</v>
      </c>
      <c t="s">
        <v>41742</v>
      </c>
      <c t="s">
        <v>2478</v>
      </c>
      <c t="s">
        <v>47729</v>
      </c>
      <c s="3">
        <v>4420</v>
      </c>
      <c s="3">
        <v>4420</v>
      </c>
      <c s="3">
        <v>2310</v>
      </c>
      <c>
        <v>0</v>
      </c>
      <c s="3">
        <v>0</v>
      </c>
      <c s="3">
        <v>270.05</v>
      </c>
      <c s="3">
        <v>4420</v>
      </c>
      <c>
        <v>2020</v>
      </c>
      <c>
        <v>944.48</v>
      </c>
      <c s="1" t="str">
        <f ca="1">HYPERLINK("https://web.datatree.com/?/property?propertyId=33099771", "https://web.datatree.com/?/property?propertyId=33099771")</f>
        <v>https://web.datatree.com/?/property?propertyId=33099771</v>
      </c>
      <c r="Q2975" t="s">
        <v>316</v>
      </c>
      <c>
        <v>0.072</v>
      </c>
      <c t="s">
        <v>42044</v>
      </c>
      <c t="s">
        <v>33168</v>
      </c>
      <c t="s">
        <v>57931</v>
      </c>
      <c t="s">
        <v>64649</v>
      </c>
      <c t="s">
        <v>57931</v>
      </c>
      <c t="s">
        <v>8908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8051</v>
      </c>
      <c r="AI2975" t="s">
        <v>34300</v>
      </c>
      <c r="AL2975" t="s">
        <v>60127</v>
      </c>
      <c r="AN2975" t="s">
        <v>39289</v>
      </c>
      <c t="s">
        <v>36687</v>
      </c>
      <c t="s">
        <v>52247</v>
      </c>
      <c t="s">
        <v>3093</v>
      </c>
      <c t="s">
        <v>29139</v>
      </c>
    </row>
    <row>
      <c t="s">
        <v>17594</v>
      </c>
      <c t="s">
        <v>51973</v>
      </c>
      <c t="s">
        <v>38101</v>
      </c>
      <c t="s">
        <v>11338</v>
      </c>
      <c t="s">
        <v>11124</v>
      </c>
      <c s="3">
        <v>8500</v>
      </c>
      <c s="3">
        <v>8500</v>
      </c>
      <c s="3">
        <v>8500</v>
      </c>
      <c>
        <v>0</v>
      </c>
      <c s="3">
        <v>0</v>
      </c>
      <c s="3">
        <v>580.14</v>
      </c>
      <c s="3">
        <v>8500</v>
      </c>
      <c r="O2976" s="1" t="str">
        <f ca="1">HYPERLINK("https://web.datatree.com/?/property?propertyId=33100138", "https://web.datatree.com/?/property?propertyId=33100138")</f>
        <v>https://web.datatree.com/?/property?propertyId=33100138</v>
      </c>
      <c r="Q2976" t="s">
        <v>316</v>
      </c>
      <c>
        <v>0.246</v>
      </c>
      <c t="s">
        <v>6175</v>
      </c>
      <c t="s">
        <v>20042</v>
      </c>
      <c t="s">
        <v>26324</v>
      </c>
      <c r="X2976" t="s">
        <v>36763</v>
      </c>
      <c t="s">
        <v>53663</v>
      </c>
      <c t="s">
        <v>2517</v>
      </c>
      <c t="s">
        <v>39289</v>
      </c>
      <c>
        <v>33909</v>
      </c>
      <c t="s">
        <v>15660</v>
      </c>
      <c t="s">
        <v>48794</v>
      </c>
      <c t="s">
        <v>44220</v>
      </c>
      <c>
        <v>621</v>
      </c>
      <c r="AI2976" t="s">
        <v>49122</v>
      </c>
      <c t="s">
        <v>24900</v>
      </c>
      <c r="AL2976" t="s">
        <v>7634</v>
      </c>
      <c t="s">
        <v>7634</v>
      </c>
      <c t="s">
        <v>39289</v>
      </c>
      <c t="s">
        <v>26215</v>
      </c>
      <c t="s">
        <v>43446</v>
      </c>
      <c t="s">
        <v>3093</v>
      </c>
      <c t="s">
        <v>14904</v>
      </c>
    </row>
    <row>
      <c t="s">
        <v>17594</v>
      </c>
      <c t="s">
        <v>37418</v>
      </c>
      <c t="s">
        <v>1162</v>
      </c>
      <c t="s">
        <v>53033</v>
      </c>
      <c t="s">
        <v>52065</v>
      </c>
      <c s="3">
        <v>29279</v>
      </c>
      <c s="3">
        <v>29279</v>
      </c>
      <c s="3">
        <v>21204</v>
      </c>
      <c>
        <v>0</v>
      </c>
      <c s="3">
        <v>0</v>
      </c>
      <c s="3">
        <v>341.15</v>
      </c>
      <c s="3">
        <v>29279</v>
      </c>
      <c r="O2977" s="1" t="str">
        <f ca="1">HYPERLINK("https://web.datatree.com/?/property?propertyId=33100622", "https://web.datatree.com/?/property?propertyId=33100622")</f>
        <v>https://web.datatree.com/?/property?propertyId=33100622</v>
      </c>
      <c r="Q2977" t="s">
        <v>316</v>
      </c>
      <c>
        <v>0.29</v>
      </c>
      <c t="s">
        <v>5471</v>
      </c>
      <c t="s">
        <v>50331</v>
      </c>
      <c t="s">
        <v>34935</v>
      </c>
      <c t="s">
        <v>60327</v>
      </c>
      <c t="s">
        <v>50879</v>
      </c>
      <c t="s">
        <v>37290</v>
      </c>
      <c t="s">
        <v>34463</v>
      </c>
      <c t="s">
        <v>65059</v>
      </c>
      <c t="s">
        <v>39289</v>
      </c>
      <c>
        <v>33908</v>
      </c>
      <c t="s">
        <v>55086</v>
      </c>
      <c t="s">
        <v>48794</v>
      </c>
      <c t="s">
        <v>63454</v>
      </c>
      <c>
        <v>7181</v>
      </c>
      <c r="AI2977" t="s">
        <v>57052</v>
      </c>
      <c t="s">
        <v>63316</v>
      </c>
      <c r="AL2977" t="s">
        <v>29560</v>
      </c>
      <c r="AN2977" t="s">
        <v>39289</v>
      </c>
      <c t="s">
        <v>54254</v>
      </c>
      <c t="s">
        <v>54605</v>
      </c>
      <c t="s">
        <v>3093</v>
      </c>
      <c t="s">
        <v>61006</v>
      </c>
    </row>
    <row>
      <c t="s">
        <v>17594</v>
      </c>
      <c t="s">
        <v>49939</v>
      </c>
      <c t="s">
        <v>19846</v>
      </c>
      <c t="s">
        <v>55399</v>
      </c>
      <c t="s">
        <v>62744</v>
      </c>
      <c s="3">
        <v>98192</v>
      </c>
      <c s="3">
        <v>98192</v>
      </c>
      <c s="3">
        <v>83600</v>
      </c>
      <c>
        <v>0</v>
      </c>
      <c s="3">
        <v>0</v>
      </c>
      <c s="3">
        <v>1695.48</v>
      </c>
      <c s="3">
        <v>98192</v>
      </c>
      <c r="O2978" s="1" t="str">
        <f ca="1">HYPERLINK("https://web.datatree.com/?/property?propertyId=33100959", "https://web.datatree.com/?/property?propertyId=33100959")</f>
        <v>https://web.datatree.com/?/property?propertyId=33100959</v>
      </c>
      <c r="Q2978" t="s">
        <v>316</v>
      </c>
      <c>
        <v>0.23</v>
      </c>
      <c t="s">
        <v>22490</v>
      </c>
      <c t="s">
        <v>21312</v>
      </c>
      <c t="s">
        <v>5145</v>
      </c>
      <c t="s">
        <v>40231</v>
      </c>
      <c t="s">
        <v>5145</v>
      </c>
      <c t="s">
        <v>12107</v>
      </c>
      <c t="s">
        <v>371</v>
      </c>
      <c t="s">
        <v>2517</v>
      </c>
      <c t="s">
        <v>39289</v>
      </c>
      <c>
        <v>33904</v>
      </c>
      <c t="s">
        <v>46789</v>
      </c>
      <c t="s">
        <v>48794</v>
      </c>
      <c t="s">
        <v>7861</v>
      </c>
      <c>
        <v>385</v>
      </c>
      <c r="AI2978" t="s">
        <v>13419</v>
      </c>
      <c t="s">
        <v>31192</v>
      </c>
      <c r="AL2978" t="s">
        <v>51270</v>
      </c>
      <c t="s">
        <v>51270</v>
      </c>
      <c t="s">
        <v>19878</v>
      </c>
      <c t="s">
        <v>60118</v>
      </c>
      <c t="s">
        <v>22455</v>
      </c>
      <c t="s">
        <v>3093</v>
      </c>
      <c t="s">
        <v>50697</v>
      </c>
    </row>
    <row>
      <c t="s">
        <v>17594</v>
      </c>
      <c t="s">
        <v>63941</v>
      </c>
      <c t="s">
        <v>58206</v>
      </c>
      <c t="s">
        <v>10704</v>
      </c>
      <c t="s">
        <v>21382</v>
      </c>
      <c s="3">
        <v>12743</v>
      </c>
      <c s="3">
        <v>12743</v>
      </c>
      <c s="3">
        <v>2593</v>
      </c>
      <c>
        <v>0</v>
      </c>
      <c s="3">
        <v>0</v>
      </c>
      <c s="3">
        <v>93.23</v>
      </c>
      <c s="3">
        <v>12743</v>
      </c>
      <c>
        <v>2021</v>
      </c>
      <c>
        <v>112.92</v>
      </c>
      <c s="1" t="str">
        <f ca="1">HYPERLINK("https://web.datatree.com/?/property?propertyId=33101902", "https://web.datatree.com/?/property?propertyId=33101902")</f>
        <v>https://web.datatree.com/?/property?propertyId=33101902</v>
      </c>
      <c r="Q2979" t="s">
        <v>316</v>
      </c>
      <c>
        <v>0.142</v>
      </c>
      <c r="T2979" t="s">
        <v>20634</v>
      </c>
      <c t="s">
        <v>48003</v>
      </c>
      <c t="s">
        <v>55050</v>
      </c>
      <c t="s">
        <v>49610</v>
      </c>
      <c t="s">
        <v>9078</v>
      </c>
      <c t="s">
        <v>48518</v>
      </c>
      <c t="s">
        <v>65059</v>
      </c>
      <c t="s">
        <v>39289</v>
      </c>
      <c>
        <v>33907</v>
      </c>
      <c>
        <v>33907</v>
      </c>
      <c t="s">
        <v>48794</v>
      </c>
      <c t="s">
        <v>54106</v>
      </c>
      <c>
        <v>650</v>
      </c>
      <c r="AH2979" t="s">
        <v>15376</v>
      </c>
      <c t="s">
        <v>34893</v>
      </c>
      <c t="s">
        <v>45393</v>
      </c>
      <c r="AL2979" t="s">
        <v>16806</v>
      </c>
      <c t="s">
        <v>16806</v>
      </c>
      <c t="s">
        <v>39289</v>
      </c>
      <c t="s">
        <v>55993</v>
      </c>
      <c t="s">
        <v>50258</v>
      </c>
      <c t="s">
        <v>3093</v>
      </c>
      <c t="s">
        <v>27381</v>
      </c>
    </row>
    <row>
      <c t="s">
        <v>17594</v>
      </c>
      <c t="s">
        <v>40786</v>
      </c>
      <c t="s">
        <v>63610</v>
      </c>
      <c t="s">
        <v>30805</v>
      </c>
      <c t="s">
        <v>9175</v>
      </c>
      <c s="3">
        <v>18464</v>
      </c>
      <c s="3">
        <v>18464</v>
      </c>
      <c s="3">
        <v>7865</v>
      </c>
      <c>
        <v>0</v>
      </c>
      <c s="3">
        <v>0</v>
      </c>
      <c s="3">
        <v>513.78</v>
      </c>
      <c s="3">
        <v>18464</v>
      </c>
      <c r="O2980" s="1" t="str">
        <f ca="1">HYPERLINK("https://web.datatree.com/?/property?propertyId=33102066", "https://web.datatree.com/?/property?propertyId=33102066")</f>
        <v>https://web.datatree.com/?/property?propertyId=33102066</v>
      </c>
      <c r="Q2980" t="s">
        <v>316</v>
      </c>
      <c>
        <v>0.26</v>
      </c>
      <c t="s">
        <v>6175</v>
      </c>
      <c t="s">
        <v>50343</v>
      </c>
      <c t="s">
        <v>14876</v>
      </c>
      <c r="X2980" t="s">
        <v>45535</v>
      </c>
      <c t="s">
        <v>50440</v>
      </c>
      <c t="s">
        <v>2517</v>
      </c>
      <c t="s">
        <v>39289</v>
      </c>
      <c>
        <v>33909</v>
      </c>
      <c t="s">
        <v>11294</v>
      </c>
      <c t="s">
        <v>48794</v>
      </c>
      <c t="s">
        <v>6360</v>
      </c>
      <c>
        <v>1569</v>
      </c>
      <c r="AI2980" t="s">
        <v>6708</v>
      </c>
      <c t="s">
        <v>45620</v>
      </c>
      <c r="AL2980" t="s">
        <v>46292</v>
      </c>
      <c r="AN2980" t="s">
        <v>65467</v>
      </c>
      <c t="s">
        <v>57692</v>
      </c>
      <c t="s">
        <v>35354</v>
      </c>
      <c t="s">
        <v>3093</v>
      </c>
      <c t="s">
        <v>56514</v>
      </c>
    </row>
    <row>
      <c t="s">
        <v>17594</v>
      </c>
      <c t="s">
        <v>56135</v>
      </c>
      <c t="s">
        <v>14068</v>
      </c>
      <c t="s">
        <v>11646</v>
      </c>
      <c t="s">
        <v>42046</v>
      </c>
      <c s="3">
        <v>39960</v>
      </c>
      <c s="3">
        <v>39960</v>
      </c>
      <c s="3">
        <v>39600</v>
      </c>
      <c>
        <v>0</v>
      </c>
      <c s="3">
        <v>0</v>
      </c>
      <c s="3">
        <v>550.26</v>
      </c>
      <c s="3">
        <v>39960</v>
      </c>
      <c r="O2981" s="1" t="str">
        <f ca="1">HYPERLINK("https://web.datatree.com/?/property?propertyId=33102345", "https://web.datatree.com/?/property?propertyId=33102345")</f>
        <v>https://web.datatree.com/?/property?propertyId=33102345</v>
      </c>
      <c r="Q2981" t="s">
        <v>316</v>
      </c>
      <c>
        <v>0.042</v>
      </c>
      <c t="s">
        <v>45526</v>
      </c>
      <c t="s">
        <v>552</v>
      </c>
      <c t="s">
        <v>25500</v>
      </c>
      <c t="s">
        <v>3581</v>
      </c>
      <c r="X2981" t="s">
        <v>8905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54689</v>
      </c>
      <c>
        <v>132</v>
      </c>
      <c r="AI2981" t="s">
        <v>57283</v>
      </c>
      <c t="s">
        <v>45393</v>
      </c>
      <c r="AL2981" t="s">
        <v>12075</v>
      </c>
      <c t="s">
        <v>12075</v>
      </c>
      <c t="s">
        <v>27481</v>
      </c>
      <c t="s">
        <v>17421</v>
      </c>
      <c t="s">
        <v>4797</v>
      </c>
      <c t="s">
        <v>3093</v>
      </c>
      <c t="s">
        <v>6143</v>
      </c>
    </row>
    <row>
      <c t="s">
        <v>17594</v>
      </c>
      <c t="s">
        <v>27123</v>
      </c>
      <c t="s">
        <v>55585</v>
      </c>
      <c t="s">
        <v>37483</v>
      </c>
      <c t="s">
        <v>43741</v>
      </c>
      <c s="3">
        <v>289443</v>
      </c>
      <c s="3">
        <v>289443</v>
      </c>
      <c s="3">
        <v>289443</v>
      </c>
      <c>
        <v>0</v>
      </c>
      <c s="3">
        <v>0</v>
      </c>
      <c s="3">
        <v>4913.33</v>
      </c>
      <c s="3">
        <v>289443</v>
      </c>
      <c r="O2982" s="1" t="str">
        <f ca="1">HYPERLINK("https://web.datatree.com/?/property?propertyId=33102519", "https://web.datatree.com/?/property?propertyId=33102519")</f>
        <v>https://web.datatree.com/?/property?propertyId=33102519</v>
      </c>
      <c r="Q2982" t="s">
        <v>316</v>
      </c>
      <c>
        <v>0.24</v>
      </c>
      <c t="s">
        <v>22490</v>
      </c>
      <c t="s">
        <v>45883</v>
      </c>
      <c t="s">
        <v>21884</v>
      </c>
      <c t="s">
        <v>58575</v>
      </c>
      <c t="s">
        <v>21884</v>
      </c>
      <c t="s">
        <v>56219</v>
      </c>
      <c t="s">
        <v>19991</v>
      </c>
      <c t="s">
        <v>2517</v>
      </c>
      <c t="s">
        <v>39289</v>
      </c>
      <c>
        <v>33904</v>
      </c>
      <c t="s">
        <v>20157</v>
      </c>
      <c t="s">
        <v>48794</v>
      </c>
      <c t="s">
        <v>6239</v>
      </c>
      <c>
        <v>200</v>
      </c>
      <c r="AI2982" t="s">
        <v>19389</v>
      </c>
      <c t="s">
        <v>45393</v>
      </c>
      <c r="AL2982" t="s">
        <v>57242</v>
      </c>
      <c r="AN2982" t="s">
        <v>26016</v>
      </c>
      <c t="s">
        <v>7085</v>
      </c>
      <c t="s">
        <v>52247</v>
      </c>
      <c t="s">
        <v>3093</v>
      </c>
      <c t="s">
        <v>45772</v>
      </c>
    </row>
    <row>
      <c t="s">
        <v>17594</v>
      </c>
      <c t="s">
        <v>56846</v>
      </c>
      <c t="s">
        <v>22591</v>
      </c>
      <c t="s">
        <v>1971</v>
      </c>
      <c t="s">
        <v>23023</v>
      </c>
      <c s="3">
        <v>30450</v>
      </c>
      <c s="3">
        <v>30450</v>
      </c>
      <c s="3">
        <v>15001</v>
      </c>
      <c>
        <v>0</v>
      </c>
      <c s="3">
        <v>0</v>
      </c>
      <c s="3">
        <v>290.64</v>
      </c>
      <c s="3">
        <v>30450</v>
      </c>
      <c r="O2983" s="1" t="str">
        <f ca="1">HYPERLINK("https://web.datatree.com/?/property?propertyId=33102529", "https://web.datatree.com/?/property?propertyId=33102529")</f>
        <v>https://web.datatree.com/?/property?propertyId=33102529</v>
      </c>
      <c r="Q2983" t="s">
        <v>316</v>
      </c>
      <c>
        <v>0.425</v>
      </c>
      <c t="s">
        <v>5471</v>
      </c>
      <c t="s">
        <v>13152</v>
      </c>
      <c t="s">
        <v>42770</v>
      </c>
      <c r="X2983" t="s">
        <v>64320</v>
      </c>
      <c t="s">
        <v>2871</v>
      </c>
      <c t="s">
        <v>65059</v>
      </c>
      <c t="s">
        <v>39289</v>
      </c>
      <c>
        <v>33905</v>
      </c>
      <c t="s">
        <v>61515</v>
      </c>
      <c t="s">
        <v>48794</v>
      </c>
      <c t="s">
        <v>28760</v>
      </c>
      <c>
        <v>4324</v>
      </c>
      <c r="AH2983" t="s">
        <v>15376</v>
      </c>
      <c t="s">
        <v>30928</v>
      </c>
      <c t="s">
        <v>24900</v>
      </c>
      <c r="AL2983" t="s">
        <v>11713</v>
      </c>
      <c t="s">
        <v>21507</v>
      </c>
      <c t="s">
        <v>39289</v>
      </c>
      <c t="s">
        <v>33322</v>
      </c>
      <c t="s">
        <v>4797</v>
      </c>
      <c t="s">
        <v>3093</v>
      </c>
      <c t="s">
        <v>63528</v>
      </c>
    </row>
    <row>
      <c t="s">
        <v>17594</v>
      </c>
      <c t="s">
        <v>47114</v>
      </c>
      <c t="s">
        <v>27609</v>
      </c>
      <c t="s">
        <v>25858</v>
      </c>
      <c t="s">
        <v>24153</v>
      </c>
      <c s="3">
        <v>56330</v>
      </c>
      <c s="3">
        <v>56330</v>
      </c>
      <c s="3">
        <v>39930</v>
      </c>
      <c>
        <v>0</v>
      </c>
      <c s="3">
        <v>0</v>
      </c>
      <c s="3">
        <v>1166.35</v>
      </c>
      <c s="3">
        <v>56330</v>
      </c>
      <c r="O2984" s="1" t="str">
        <f ca="1">HYPERLINK("https://web.datatree.com/?/property?propertyId=33103309", "https://web.datatree.com/?/property?propertyId=33103309")</f>
        <v>https://web.datatree.com/?/property?propertyId=33103309</v>
      </c>
      <c r="Q2984" t="s">
        <v>316</v>
      </c>
      <c>
        <v>0.262</v>
      </c>
      <c t="s">
        <v>22490</v>
      </c>
      <c t="s">
        <v>30772</v>
      </c>
      <c t="s">
        <v>66806</v>
      </c>
      <c t="s">
        <v>49899</v>
      </c>
      <c t="s">
        <v>28143</v>
      </c>
      <c t="s">
        <v>56817</v>
      </c>
      <c t="s">
        <v>30928</v>
      </c>
      <c t="s">
        <v>2517</v>
      </c>
      <c t="s">
        <v>39289</v>
      </c>
      <c>
        <v>33909</v>
      </c>
      <c t="s">
        <v>59230</v>
      </c>
      <c t="s">
        <v>48794</v>
      </c>
      <c t="s">
        <v>1232</v>
      </c>
      <c r="AL2984" t="s">
        <v>24309</v>
      </c>
      <c r="AN2984" t="s">
        <v>32840</v>
      </c>
    </row>
    <row>
      <c t="s">
        <v>17594</v>
      </c>
      <c t="s">
        <v>12360</v>
      </c>
      <c t="s">
        <v>29720</v>
      </c>
      <c t="s">
        <v>26707</v>
      </c>
      <c t="s">
        <v>65247</v>
      </c>
      <c s="3">
        <v>8400</v>
      </c>
      <c s="3">
        <v>8400</v>
      </c>
      <c s="3">
        <v>8400</v>
      </c>
      <c>
        <v>0</v>
      </c>
      <c s="3">
        <v>0</v>
      </c>
      <c s="3">
        <v>683.32</v>
      </c>
      <c s="3">
        <v>8400</v>
      </c>
      <c r="O2985" s="1" t="str">
        <f ca="1">HYPERLINK("https://web.datatree.com/?/property?propertyId=33103355", "https://web.datatree.com/?/property?propertyId=33103355")</f>
        <v>https://web.datatree.com/?/property?propertyId=33103355</v>
      </c>
      <c r="Q2985" t="s">
        <v>316</v>
      </c>
      <c>
        <v>0.23</v>
      </c>
      <c t="s">
        <v>42044</v>
      </c>
      <c t="s">
        <v>58563</v>
      </c>
      <c t="s">
        <v>2813</v>
      </c>
      <c r="X2985" t="s">
        <v>25211</v>
      </c>
      <c t="s">
        <v>39777</v>
      </c>
      <c t="s">
        <v>2517</v>
      </c>
      <c t="s">
        <v>39289</v>
      </c>
      <c>
        <v>33909</v>
      </c>
      <c t="s">
        <v>14487</v>
      </c>
      <c t="s">
        <v>48794</v>
      </c>
      <c t="s">
        <v>29312</v>
      </c>
      <c>
        <v>1610</v>
      </c>
      <c r="AI2985" t="s">
        <v>52710</v>
      </c>
      <c t="s">
        <v>45620</v>
      </c>
      <c r="AL2985" t="s">
        <v>59550</v>
      </c>
      <c t="s">
        <v>59550</v>
      </c>
      <c t="s">
        <v>66651</v>
      </c>
      <c t="s">
        <v>34945</v>
      </c>
      <c t="s">
        <v>44573</v>
      </c>
      <c t="s">
        <v>3093</v>
      </c>
      <c t="s">
        <v>7777</v>
      </c>
    </row>
    <row>
      <c t="s">
        <v>17594</v>
      </c>
      <c t="s">
        <v>27939</v>
      </c>
      <c t="s">
        <v>46381</v>
      </c>
      <c t="s">
        <v>17549</v>
      </c>
      <c t="s">
        <v>851</v>
      </c>
      <c s="3">
        <v>8456</v>
      </c>
      <c s="3">
        <v>8456</v>
      </c>
      <c s="3">
        <v>3474</v>
      </c>
      <c>
        <v>0</v>
      </c>
      <c s="3">
        <v>0</v>
      </c>
      <c s="3">
        <v>83.18</v>
      </c>
      <c s="3">
        <v>8456</v>
      </c>
      <c r="O2986" s="1" t="str">
        <f ca="1">HYPERLINK("https://web.datatree.com/?/property?propertyId=33104452", "https://web.datatree.com/?/property?propertyId=33104452")</f>
        <v>https://web.datatree.com/?/property?propertyId=33104452</v>
      </c>
      <c r="Q2986" t="s">
        <v>316</v>
      </c>
      <c>
        <v>0.121</v>
      </c>
      <c t="s">
        <v>5471</v>
      </c>
      <c t="s">
        <v>27181</v>
      </c>
      <c t="s">
        <v>8997</v>
      </c>
      <c t="s">
        <v>1599</v>
      </c>
      <c t="s">
        <v>8997</v>
      </c>
      <c t="s">
        <v>53370</v>
      </c>
      <c t="s">
        <v>58404</v>
      </c>
      <c t="s">
        <v>54524</v>
      </c>
      <c t="s">
        <v>39289</v>
      </c>
      <c>
        <v>33903</v>
      </c>
      <c t="s">
        <v>61525</v>
      </c>
      <c t="s">
        <v>48794</v>
      </c>
      <c t="s">
        <v>56727</v>
      </c>
      <c>
        <v>1302</v>
      </c>
      <c r="AI2986" t="s">
        <v>21822</v>
      </c>
      <c t="s">
        <v>24900</v>
      </c>
      <c r="AL2986" t="s">
        <v>27398</v>
      </c>
      <c t="s">
        <v>27398</v>
      </c>
      <c t="s">
        <v>39289</v>
      </c>
      <c t="s">
        <v>44196</v>
      </c>
      <c t="s">
        <v>27780</v>
      </c>
      <c t="s">
        <v>3093</v>
      </c>
      <c t="s">
        <v>40867</v>
      </c>
    </row>
    <row>
      <c t="s">
        <v>17594</v>
      </c>
      <c t="s">
        <v>11918</v>
      </c>
      <c t="s">
        <v>2359</v>
      </c>
      <c t="s">
        <v>6829</v>
      </c>
      <c t="s">
        <v>47473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2987" s="1" t="str">
        <f ca="1">HYPERLINK("https://web.datatree.com/?/property?propertyId=33104492", "https://web.datatree.com/?/property?propertyId=33104492")</f>
        <v>https://web.datatree.com/?/property?propertyId=33104492</v>
      </c>
      <c r="Q2987" t="s">
        <v>316</v>
      </c>
      <c>
        <v>0.23</v>
      </c>
      <c t="s">
        <v>6175</v>
      </c>
      <c t="s">
        <v>51229</v>
      </c>
      <c t="s">
        <v>25326</v>
      </c>
      <c r="X2987" t="s">
        <v>53128</v>
      </c>
      <c t="s">
        <v>14917</v>
      </c>
      <c t="s">
        <v>2517</v>
      </c>
      <c t="s">
        <v>39289</v>
      </c>
      <c>
        <v>33909</v>
      </c>
      <c t="s">
        <v>26841</v>
      </c>
      <c t="s">
        <v>48794</v>
      </c>
      <c t="s">
        <v>32500</v>
      </c>
      <c>
        <v>1632</v>
      </c>
      <c r="AI2987" t="s">
        <v>36362</v>
      </c>
      <c t="s">
        <v>45393</v>
      </c>
      <c r="AL2987" t="s">
        <v>5138</v>
      </c>
      <c r="AN2987" t="s">
        <v>39289</v>
      </c>
      <c t="s">
        <v>66814</v>
      </c>
      <c t="s">
        <v>31626</v>
      </c>
      <c t="s">
        <v>3093</v>
      </c>
      <c t="s">
        <v>52044</v>
      </c>
    </row>
    <row>
      <c t="s">
        <v>17594</v>
      </c>
      <c t="s">
        <v>3620</v>
      </c>
      <c t="s">
        <v>44795</v>
      </c>
      <c t="s">
        <v>11727</v>
      </c>
      <c t="s">
        <v>12441</v>
      </c>
      <c s="3">
        <v>70849</v>
      </c>
      <c s="3">
        <v>63500</v>
      </c>
      <c s="3">
        <v>67753</v>
      </c>
      <c>
        <v>0</v>
      </c>
      <c s="3">
        <v>0</v>
      </c>
      <c s="3">
        <v>1036.47</v>
      </c>
      <c s="3">
        <v>70849</v>
      </c>
      <c r="O2988" s="1" t="str">
        <f ca="1">HYPERLINK("https://web.datatree.com/?/property?propertyId=33104571", "https://web.datatree.com/?/property?propertyId=33104571")</f>
        <v>https://web.datatree.com/?/property?propertyId=33104571</v>
      </c>
      <c r="Q2988" t="s">
        <v>316</v>
      </c>
      <c>
        <v>0.095</v>
      </c>
      <c t="s">
        <v>26492</v>
      </c>
      <c t="s">
        <v>44541</v>
      </c>
      <c t="s">
        <v>23807</v>
      </c>
      <c t="s">
        <v>33720</v>
      </c>
      <c t="s">
        <v>23807</v>
      </c>
      <c t="s">
        <v>34290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43448</v>
      </c>
      <c>
        <v>686</v>
      </c>
      <c r="AI2988" t="s">
        <v>39266</v>
      </c>
      <c t="s">
        <v>40123</v>
      </c>
      <c r="AL2988" t="s">
        <v>569</v>
      </c>
      <c t="s">
        <v>40227</v>
      </c>
      <c t="s">
        <v>17134</v>
      </c>
      <c t="s">
        <v>44252</v>
      </c>
      <c t="s">
        <v>35354</v>
      </c>
      <c t="s">
        <v>3093</v>
      </c>
      <c t="s">
        <v>19682</v>
      </c>
    </row>
    <row>
      <c t="s">
        <v>17594</v>
      </c>
      <c t="s">
        <v>12674</v>
      </c>
      <c t="s">
        <v>12266</v>
      </c>
      <c t="s">
        <v>63617</v>
      </c>
      <c t="s">
        <v>38911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2989" s="1" t="str">
        <f ca="1">HYPERLINK("https://web.datatree.com/?/property?propertyId=33105220", "https://web.datatree.com/?/property?propertyId=33105220")</f>
        <v>https://web.datatree.com/?/property?propertyId=33105220</v>
      </c>
      <c r="Q2989" t="s">
        <v>316</v>
      </c>
      <c>
        <v>0.23</v>
      </c>
      <c t="s">
        <v>22490</v>
      </c>
      <c t="s">
        <v>10754</v>
      </c>
      <c t="s">
        <v>66520</v>
      </c>
      <c t="s">
        <v>552</v>
      </c>
      <c t="s">
        <v>7695</v>
      </c>
      <c t="s">
        <v>25358</v>
      </c>
      <c t="s">
        <v>38550</v>
      </c>
      <c t="s">
        <v>2517</v>
      </c>
      <c t="s">
        <v>39289</v>
      </c>
      <c>
        <v>33909</v>
      </c>
      <c t="s">
        <v>47835</v>
      </c>
      <c t="s">
        <v>48794</v>
      </c>
      <c t="s">
        <v>1281</v>
      </c>
      <c r="AI2989" t="s">
        <v>28556</v>
      </c>
      <c r="AL2989" t="s">
        <v>30044</v>
      </c>
      <c r="AN2989" t="s">
        <v>13328</v>
      </c>
      <c>
        <v>0</v>
      </c>
      <c r="AR2989" t="s">
        <v>26148</v>
      </c>
    </row>
    <row>
      <c t="s">
        <v>17594</v>
      </c>
      <c t="s">
        <v>22484</v>
      </c>
      <c t="s">
        <v>27297</v>
      </c>
      <c t="s">
        <v>8986</v>
      </c>
      <c t="s">
        <v>46667</v>
      </c>
      <c s="3">
        <v>31830</v>
      </c>
      <c s="3">
        <v>31830</v>
      </c>
      <c s="3">
        <v>31830</v>
      </c>
      <c>
        <v>0</v>
      </c>
      <c s="3">
        <v>0</v>
      </c>
      <c s="3">
        <v>915.84</v>
      </c>
      <c s="3">
        <v>31830</v>
      </c>
      <c r="O2990" s="1" t="str">
        <f ca="1">HYPERLINK("https://web.datatree.com/?/property?propertyId=33105781", "https://web.datatree.com/?/property?propertyId=33105781")</f>
        <v>https://web.datatree.com/?/property?propertyId=33105781</v>
      </c>
      <c r="Q2990" t="s">
        <v>316</v>
      </c>
      <c>
        <v>0.233</v>
      </c>
      <c t="s">
        <v>6175</v>
      </c>
      <c t="s">
        <v>54943</v>
      </c>
      <c t="s">
        <v>31119</v>
      </c>
      <c t="s">
        <v>38164</v>
      </c>
      <c t="s">
        <v>31119</v>
      </c>
      <c t="s">
        <v>58122</v>
      </c>
      <c t="s">
        <v>18679</v>
      </c>
      <c t="s">
        <v>2517</v>
      </c>
      <c t="s">
        <v>39289</v>
      </c>
      <c>
        <v>33904</v>
      </c>
      <c t="s">
        <v>17359</v>
      </c>
      <c t="s">
        <v>48794</v>
      </c>
      <c t="s">
        <v>38348</v>
      </c>
      <c>
        <v>330</v>
      </c>
      <c r="AI2990" t="s">
        <v>59765</v>
      </c>
      <c t="s">
        <v>24900</v>
      </c>
      <c>
        <v>302</v>
      </c>
      <c t="s">
        <v>18908</v>
      </c>
      <c t="s">
        <v>34932</v>
      </c>
      <c t="s">
        <v>58733</v>
      </c>
      <c t="s">
        <v>54133</v>
      </c>
      <c t="s">
        <v>17380</v>
      </c>
      <c t="s">
        <v>3093</v>
      </c>
      <c t="s">
        <v>52268</v>
      </c>
    </row>
    <row>
      <c t="s">
        <v>17594</v>
      </c>
      <c t="s">
        <v>55354</v>
      </c>
      <c t="s">
        <v>14488</v>
      </c>
      <c t="s">
        <v>26179</v>
      </c>
      <c t="s">
        <v>18609</v>
      </c>
      <c s="3">
        <v>24937</v>
      </c>
      <c s="3">
        <v>24937</v>
      </c>
      <c s="3">
        <v>9079</v>
      </c>
      <c>
        <v>0</v>
      </c>
      <c s="3">
        <v>0</v>
      </c>
      <c s="3">
        <v>2968.56</v>
      </c>
      <c s="3">
        <v>24937</v>
      </c>
      <c r="O2991" s="1" t="str">
        <f ca="1">HYPERLINK("https://web.datatree.com/?/property?propertyId=33106202", "https://web.datatree.com/?/property?propertyId=33106202")</f>
        <v>https://web.datatree.com/?/property?propertyId=33106202</v>
      </c>
      <c r="Q2991" t="s">
        <v>316</v>
      </c>
      <c>
        <v>0.244</v>
      </c>
      <c t="s">
        <v>37741</v>
      </c>
      <c r="U2991" t="s">
        <v>19851</v>
      </c>
      <c t="s">
        <v>552</v>
      </c>
      <c t="s">
        <v>55874</v>
      </c>
      <c t="s">
        <v>56465</v>
      </c>
      <c t="s">
        <v>61865</v>
      </c>
      <c t="s">
        <v>2517</v>
      </c>
      <c t="s">
        <v>39289</v>
      </c>
      <c>
        <v>33909</v>
      </c>
      <c t="s">
        <v>29906</v>
      </c>
      <c t="s">
        <v>48794</v>
      </c>
      <c t="s">
        <v>17579</v>
      </c>
      <c>
        <v>1520</v>
      </c>
      <c r="AH2991" t="s">
        <v>6851</v>
      </c>
      <c t="s">
        <v>9409</v>
      </c>
      <c t="s">
        <v>31192</v>
      </c>
      <c r="AL2991" t="s">
        <v>12830</v>
      </c>
      <c t="s">
        <v>12830</v>
      </c>
      <c t="s">
        <v>51137</v>
      </c>
      <c t="s">
        <v>24144</v>
      </c>
      <c t="s">
        <v>1951</v>
      </c>
      <c t="s">
        <v>3093</v>
      </c>
      <c t="s">
        <v>51482</v>
      </c>
    </row>
    <row>
      <c t="s">
        <v>17594</v>
      </c>
      <c t="s">
        <v>48706</v>
      </c>
      <c t="s">
        <v>18693</v>
      </c>
      <c t="s">
        <v>66953</v>
      </c>
      <c t="s">
        <v>2248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2992" s="1" t="str">
        <f ca="1">HYPERLINK("https://web.datatree.com/?/property?propertyId=33106795", "https://web.datatree.com/?/property?propertyId=33106795")</f>
        <v>https://web.datatree.com/?/property?propertyId=33106795</v>
      </c>
      <c r="Q2992" t="s">
        <v>316</v>
      </c>
      <c>
        <v>0.23</v>
      </c>
      <c t="s">
        <v>22490</v>
      </c>
      <c t="s">
        <v>44927</v>
      </c>
      <c t="s">
        <v>35383</v>
      </c>
      <c t="s">
        <v>64372</v>
      </c>
      <c t="s">
        <v>35383</v>
      </c>
      <c t="s">
        <v>4616</v>
      </c>
      <c t="s">
        <v>49122</v>
      </c>
      <c t="s">
        <v>2517</v>
      </c>
      <c t="s">
        <v>39289</v>
      </c>
      <c>
        <v>33909</v>
      </c>
      <c t="s">
        <v>20508</v>
      </c>
      <c t="s">
        <v>48794</v>
      </c>
      <c t="s">
        <v>19514</v>
      </c>
      <c>
        <v>6067</v>
      </c>
      <c r="AI2992" t="s">
        <v>5525</v>
      </c>
      <c t="s">
        <v>24900</v>
      </c>
      <c r="AL2992" t="s">
        <v>52636</v>
      </c>
      <c r="AN2992" t="s">
        <v>58811</v>
      </c>
      <c t="s">
        <v>42861</v>
      </c>
      <c r="AQ2992" t="s">
        <v>27814</v>
      </c>
      <c t="s">
        <v>59455</v>
      </c>
    </row>
    <row>
      <c t="s">
        <v>17594</v>
      </c>
      <c t="s">
        <v>67062</v>
      </c>
      <c t="s">
        <v>13252</v>
      </c>
      <c t="s">
        <v>38544</v>
      </c>
      <c t="s">
        <v>34636</v>
      </c>
      <c s="3">
        <v>26249</v>
      </c>
      <c s="3">
        <v>26249</v>
      </c>
      <c s="3">
        <v>9339</v>
      </c>
      <c>
        <v>0</v>
      </c>
      <c s="3">
        <v>0</v>
      </c>
      <c s="3">
        <v>2799.43</v>
      </c>
      <c s="3">
        <v>26249</v>
      </c>
      <c r="O2993" s="1" t="str">
        <f ca="1">HYPERLINK("https://web.datatree.com/?/property?propertyId=33107201", "https://web.datatree.com/?/property?propertyId=33107201")</f>
        <v>https://web.datatree.com/?/property?propertyId=33107201</v>
      </c>
      <c r="Q2993" t="s">
        <v>316</v>
      </c>
      <c>
        <v>0.23</v>
      </c>
      <c t="s">
        <v>6175</v>
      </c>
      <c t="s">
        <v>10361</v>
      </c>
      <c t="s">
        <v>62573</v>
      </c>
      <c r="X2993" t="s">
        <v>33273</v>
      </c>
      <c t="s">
        <v>18679</v>
      </c>
      <c t="s">
        <v>2517</v>
      </c>
      <c t="s">
        <v>39289</v>
      </c>
      <c>
        <v>33909</v>
      </c>
      <c t="s">
        <v>3301</v>
      </c>
      <c t="s">
        <v>48794</v>
      </c>
      <c t="s">
        <v>19741</v>
      </c>
      <c>
        <v>545</v>
      </c>
      <c r="AI2993" t="s">
        <v>61397</v>
      </c>
      <c t="s">
        <v>45393</v>
      </c>
      <c>
        <v>2301</v>
      </c>
      <c t="s">
        <v>43162</v>
      </c>
      <c r="AN2993" t="s">
        <v>65451</v>
      </c>
      <c t="s">
        <v>11351</v>
      </c>
      <c t="s">
        <v>52551</v>
      </c>
      <c t="s">
        <v>3093</v>
      </c>
      <c t="s">
        <v>35369</v>
      </c>
    </row>
    <row>
      <c t="s">
        <v>17594</v>
      </c>
      <c t="s">
        <v>21041</v>
      </c>
      <c t="s">
        <v>54055</v>
      </c>
      <c t="s">
        <v>55122</v>
      </c>
      <c t="s">
        <v>36098</v>
      </c>
      <c s="3">
        <v>47586</v>
      </c>
      <c s="3">
        <v>47586</v>
      </c>
      <c s="3">
        <v>20986</v>
      </c>
      <c>
        <v>0</v>
      </c>
      <c s="3">
        <v>0</v>
      </c>
      <c s="3">
        <v>892.33</v>
      </c>
      <c s="3">
        <v>47586</v>
      </c>
      <c r="O2994" s="1" t="str">
        <f ca="1">HYPERLINK("https://web.datatree.com/?/property?propertyId=33107292", "https://web.datatree.com/?/property?propertyId=33107292")</f>
        <v>https://web.datatree.com/?/property?propertyId=33107292</v>
      </c>
      <c r="Q2994" t="s">
        <v>316</v>
      </c>
      <c>
        <v>0.23</v>
      </c>
      <c t="s">
        <v>6175</v>
      </c>
      <c r="U2994" t="s">
        <v>51852</v>
      </c>
      <c r="W2994" t="s">
        <v>24556</v>
      </c>
      <c t="s">
        <v>61001</v>
      </c>
      <c t="s">
        <v>34676</v>
      </c>
      <c t="s">
        <v>2517</v>
      </c>
      <c t="s">
        <v>39289</v>
      </c>
      <c>
        <v>33904</v>
      </c>
      <c t="s">
        <v>8479</v>
      </c>
      <c t="s">
        <v>48794</v>
      </c>
      <c t="s">
        <v>40281</v>
      </c>
      <c>
        <v>1615</v>
      </c>
      <c r="AI2994" t="s">
        <v>44560</v>
      </c>
      <c t="s">
        <v>45393</v>
      </c>
      <c r="AL2994" t="s">
        <v>5138</v>
      </c>
      <c r="AN2994" t="s">
        <v>39289</v>
      </c>
      <c t="s">
        <v>53979</v>
      </c>
      <c t="s">
        <v>31626</v>
      </c>
      <c t="s">
        <v>3093</v>
      </c>
      <c t="s">
        <v>49416</v>
      </c>
    </row>
    <row>
      <c t="s">
        <v>17594</v>
      </c>
      <c t="s">
        <v>17848</v>
      </c>
      <c t="s">
        <v>66709</v>
      </c>
      <c t="s">
        <v>32575</v>
      </c>
      <c t="s">
        <v>52975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2995" s="1" t="str">
        <f ca="1">HYPERLINK("https://web.datatree.com/?/property?propertyId=33107305", "https://web.datatree.com/?/property?propertyId=33107305")</f>
        <v>https://web.datatree.com/?/property?propertyId=33107305</v>
      </c>
      <c r="Q2995" t="s">
        <v>316</v>
      </c>
      <c>
        <v>0.23</v>
      </c>
      <c t="s">
        <v>6175</v>
      </c>
      <c t="s">
        <v>13419</v>
      </c>
      <c t="s">
        <v>28708</v>
      </c>
      <c t="s">
        <v>46916</v>
      </c>
      <c t="s">
        <v>28708</v>
      </c>
      <c t="s">
        <v>48041</v>
      </c>
      <c t="s">
        <v>23517</v>
      </c>
      <c t="s">
        <v>2517</v>
      </c>
      <c t="s">
        <v>39289</v>
      </c>
      <c>
        <v>33909</v>
      </c>
      <c t="s">
        <v>19830</v>
      </c>
      <c t="s">
        <v>48794</v>
      </c>
      <c t="s">
        <v>33829</v>
      </c>
      <c>
        <v>15837</v>
      </c>
      <c r="AI2995" t="s">
        <v>28828</v>
      </c>
      <c t="s">
        <v>45393</v>
      </c>
      <c r="AL2995" t="s">
        <v>55393</v>
      </c>
      <c r="AN2995" t="s">
        <v>39289</v>
      </c>
      <c t="s">
        <v>35504</v>
      </c>
      <c t="s">
        <v>45700</v>
      </c>
      <c t="s">
        <v>3093</v>
      </c>
      <c t="s">
        <v>2727</v>
      </c>
    </row>
    <row>
      <c t="s">
        <v>17594</v>
      </c>
      <c t="s">
        <v>38436</v>
      </c>
      <c t="s">
        <v>24826</v>
      </c>
      <c t="s">
        <v>65193</v>
      </c>
      <c t="s">
        <v>36089</v>
      </c>
      <c s="3">
        <v>20579</v>
      </c>
      <c s="3">
        <v>20579</v>
      </c>
      <c s="3">
        <v>10467</v>
      </c>
      <c>
        <v>0</v>
      </c>
      <c s="3">
        <v>0</v>
      </c>
      <c s="3">
        <v>705.52</v>
      </c>
      <c s="3">
        <v>20579</v>
      </c>
      <c r="O2996" s="1" t="str">
        <f ca="1">HYPERLINK("https://web.datatree.com/?/property?propertyId=33108350", "https://web.datatree.com/?/property?propertyId=33108350")</f>
        <v>https://web.datatree.com/?/property?propertyId=33108350</v>
      </c>
      <c r="Q2996" t="s">
        <v>316</v>
      </c>
      <c>
        <v>0.344</v>
      </c>
      <c t="s">
        <v>6175</v>
      </c>
      <c t="s">
        <v>44177</v>
      </c>
      <c t="s">
        <v>19461</v>
      </c>
      <c r="X2996" t="s">
        <v>10628</v>
      </c>
      <c t="s">
        <v>25017</v>
      </c>
      <c t="s">
        <v>2517</v>
      </c>
      <c t="s">
        <v>39289</v>
      </c>
      <c>
        <v>33909</v>
      </c>
      <c>
        <v>33909</v>
      </c>
      <c t="s">
        <v>48794</v>
      </c>
      <c t="s">
        <v>13729</v>
      </c>
      <c>
        <v>6876</v>
      </c>
      <c r="AI2996" t="s">
        <v>30670</v>
      </c>
      <c t="s">
        <v>40123</v>
      </c>
      <c r="AL2996" t="s">
        <v>15179</v>
      </c>
      <c r="AN2996" t="s">
        <v>39289</v>
      </c>
      <c t="s">
        <v>9820</v>
      </c>
      <c t="s">
        <v>13315</v>
      </c>
      <c t="s">
        <v>3093</v>
      </c>
      <c t="s">
        <v>26649</v>
      </c>
    </row>
    <row>
      <c t="s">
        <v>17594</v>
      </c>
      <c t="s">
        <v>35514</v>
      </c>
      <c s="2" t="s">
        <v>15336</v>
      </c>
      <c t="s">
        <v>14871</v>
      </c>
      <c t="s">
        <v>17386</v>
      </c>
      <c s="3">
        <v>15574</v>
      </c>
      <c s="3">
        <v>15574</v>
      </c>
      <c s="3">
        <v>9075</v>
      </c>
      <c>
        <v>0</v>
      </c>
      <c s="3">
        <v>0</v>
      </c>
      <c s="3">
        <v>575.48</v>
      </c>
      <c s="3">
        <v>15574</v>
      </c>
      <c r="O2997" s="1" t="str">
        <f ca="1">HYPERLINK("https://web.datatree.com/?/property?propertyId=33108382", "https://web.datatree.com/?/property?propertyId=33108382")</f>
        <v>https://web.datatree.com/?/property?propertyId=33108382</v>
      </c>
      <c r="Q2997" t="s">
        <v>316</v>
      </c>
      <c>
        <v>0.255</v>
      </c>
      <c t="s">
        <v>6175</v>
      </c>
      <c t="s">
        <v>3367</v>
      </c>
      <c t="s">
        <v>10285</v>
      </c>
      <c r="X2997" t="s">
        <v>60312</v>
      </c>
      <c t="s">
        <v>34731</v>
      </c>
      <c t="s">
        <v>2517</v>
      </c>
      <c t="s">
        <v>39289</v>
      </c>
      <c>
        <v>33909</v>
      </c>
      <c t="s">
        <v>41553</v>
      </c>
      <c t="s">
        <v>48794</v>
      </c>
      <c t="s">
        <v>26521</v>
      </c>
      <c>
        <v>6851</v>
      </c>
      <c r="AI2997" t="s">
        <v>62566</v>
      </c>
      <c t="s">
        <v>31192</v>
      </c>
      <c r="AL2997" t="s">
        <v>3968</v>
      </c>
      <c t="s">
        <v>3968</v>
      </c>
      <c t="s">
        <v>39289</v>
      </c>
      <c t="s">
        <v>57178</v>
      </c>
      <c t="s">
        <v>54605</v>
      </c>
      <c t="s">
        <v>3093</v>
      </c>
      <c s="2" t="s">
        <v>26920</v>
      </c>
    </row>
    <row>
      <c t="s">
        <v>17594</v>
      </c>
      <c t="s">
        <v>1493</v>
      </c>
      <c t="s">
        <v>1321</v>
      </c>
      <c t="s">
        <v>9732</v>
      </c>
      <c t="s">
        <v>42756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2998" s="1" t="str">
        <f ca="1">HYPERLINK("https://web.datatree.com/?/property?propertyId=33109056", "https://web.datatree.com/?/property?propertyId=33109056")</f>
        <v>https://web.datatree.com/?/property?propertyId=33109056</v>
      </c>
      <c r="Q2998" t="s">
        <v>316</v>
      </c>
      <c>
        <v>0.238</v>
      </c>
      <c t="s">
        <v>6175</v>
      </c>
      <c r="U2998" t="s">
        <v>855</v>
      </c>
      <c t="s">
        <v>34714</v>
      </c>
      <c t="s">
        <v>52696</v>
      </c>
      <c t="s">
        <v>41324</v>
      </c>
      <c t="s">
        <v>53675</v>
      </c>
      <c t="s">
        <v>2517</v>
      </c>
      <c t="s">
        <v>39289</v>
      </c>
      <c>
        <v>33909</v>
      </c>
      <c t="s">
        <v>24542</v>
      </c>
      <c t="s">
        <v>48794</v>
      </c>
      <c t="s">
        <v>57142</v>
      </c>
      <c>
        <v>6900</v>
      </c>
      <c r="AI2998" t="s">
        <v>42233</v>
      </c>
      <c t="s">
        <v>31192</v>
      </c>
      <c>
        <v>603</v>
      </c>
      <c t="s">
        <v>38297</v>
      </c>
      <c r="AN2998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61680</v>
      </c>
      <c t="s">
        <v>59822</v>
      </c>
      <c t="s">
        <v>50714</v>
      </c>
      <c t="s">
        <v>33222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2999" s="1" t="str">
        <f ca="1">HYPERLINK("https://web.datatree.com/?/property?propertyId=33109400", "https://web.datatree.com/?/property?propertyId=33109400")</f>
        <v>https://web.datatree.com/?/property?propertyId=33109400</v>
      </c>
      <c r="Q2999" t="s">
        <v>316</v>
      </c>
      <c>
        <v>0.244</v>
      </c>
      <c t="s">
        <v>6175</v>
      </c>
      <c t="s">
        <v>44150</v>
      </c>
      <c t="s">
        <v>48196</v>
      </c>
      <c t="s">
        <v>47892</v>
      </c>
      <c t="s">
        <v>63003</v>
      </c>
      <c t="s">
        <v>38784</v>
      </c>
      <c t="s">
        <v>47150</v>
      </c>
      <c t="s">
        <v>2517</v>
      </c>
      <c t="s">
        <v>39289</v>
      </c>
      <c>
        <v>33909</v>
      </c>
      <c t="s">
        <v>1040</v>
      </c>
      <c t="s">
        <v>48794</v>
      </c>
      <c t="s">
        <v>52076</v>
      </c>
      <c>
        <v>13</v>
      </c>
      <c r="AI2999" t="s">
        <v>35346</v>
      </c>
      <c t="s">
        <v>45393</v>
      </c>
      <c r="AL2999" t="s">
        <v>39334</v>
      </c>
      <c t="s">
        <v>39334</v>
      </c>
      <c t="s">
        <v>50917</v>
      </c>
      <c t="s">
        <v>43630</v>
      </c>
      <c t="s">
        <v>53660</v>
      </c>
      <c t="s">
        <v>3093</v>
      </c>
      <c t="s">
        <v>45957</v>
      </c>
    </row>
    <row>
      <c t="s">
        <v>17594</v>
      </c>
      <c t="s">
        <v>41823</v>
      </c>
      <c t="s">
        <v>29230</v>
      </c>
      <c t="s">
        <v>36812</v>
      </c>
      <c t="s">
        <v>61671</v>
      </c>
      <c s="3">
        <v>31592</v>
      </c>
      <c s="3">
        <v>31592</v>
      </c>
      <c s="3">
        <v>11858</v>
      </c>
      <c>
        <v>0</v>
      </c>
      <c s="3">
        <v>0</v>
      </c>
      <c s="3">
        <v>2935.69</v>
      </c>
      <c s="3">
        <v>31592</v>
      </c>
      <c r="O3000" s="1" t="str">
        <f ca="1">HYPERLINK("https://web.datatree.com/?/property?propertyId=33109621", "https://web.datatree.com/?/property?propertyId=33109621")</f>
        <v>https://web.datatree.com/?/property?propertyId=33109621</v>
      </c>
      <c r="Q3000" t="s">
        <v>316</v>
      </c>
      <c>
        <v>0.23</v>
      </c>
      <c t="s">
        <v>22490</v>
      </c>
      <c t="s">
        <v>22878</v>
      </c>
      <c t="s">
        <v>14394</v>
      </c>
      <c r="X3000" t="s">
        <v>7697</v>
      </c>
      <c t="s">
        <v>2626</v>
      </c>
      <c t="s">
        <v>2517</v>
      </c>
      <c t="s">
        <v>39289</v>
      </c>
      <c>
        <v>33909</v>
      </c>
      <c t="s">
        <v>28709</v>
      </c>
      <c t="s">
        <v>48794</v>
      </c>
      <c t="s">
        <v>41792</v>
      </c>
      <c>
        <v>125</v>
      </c>
      <c r="AI3000" t="s">
        <v>56001</v>
      </c>
      <c t="s">
        <v>40123</v>
      </c>
      <c r="AL3000" t="s">
        <v>216</v>
      </c>
      <c r="AN3000" t="s">
        <v>66651</v>
      </c>
      <c t="s">
        <v>17069</v>
      </c>
      <c t="s">
        <v>49977</v>
      </c>
      <c t="s">
        <v>3093</v>
      </c>
      <c t="s">
        <v>18865</v>
      </c>
    </row>
    <row>
      <c t="s">
        <v>17594</v>
      </c>
      <c t="s">
        <v>12560</v>
      </c>
      <c t="s">
        <v>63718</v>
      </c>
      <c t="s">
        <v>29636</v>
      </c>
      <c t="s">
        <v>53266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>
        <v>2019</v>
      </c>
      <c>
        <v>1170.23</v>
      </c>
      <c s="1" t="str">
        <f ca="1">HYPERLINK("https://web.datatree.com/?/property?propertyId=33110208", "https://web.datatree.com/?/property?propertyId=33110208")</f>
        <v>https://web.datatree.com/?/property?propertyId=33110208</v>
      </c>
      <c r="Q3001" t="s">
        <v>316</v>
      </c>
      <c>
        <v>0.23</v>
      </c>
      <c t="s">
        <v>22490</v>
      </c>
      <c t="s">
        <v>38259</v>
      </c>
      <c t="s">
        <v>42721</v>
      </c>
      <c t="s">
        <v>15144</v>
      </c>
      <c t="s">
        <v>42721</v>
      </c>
      <c t="s">
        <v>12274</v>
      </c>
      <c t="s">
        <v>34136</v>
      </c>
      <c t="s">
        <v>2517</v>
      </c>
      <c t="s">
        <v>39289</v>
      </c>
      <c>
        <v>33909</v>
      </c>
      <c t="s">
        <v>29496</v>
      </c>
      <c t="s">
        <v>48794</v>
      </c>
      <c t="s">
        <v>10814</v>
      </c>
      <c>
        <v>7</v>
      </c>
      <c r="AI3001" t="s">
        <v>26023</v>
      </c>
      <c t="s">
        <v>45393</v>
      </c>
      <c r="AL3001" t="s">
        <v>57023</v>
      </c>
      <c r="AN3001" t="s">
        <v>26016</v>
      </c>
      <c t="s">
        <v>31289</v>
      </c>
      <c t="s">
        <v>34162</v>
      </c>
      <c t="s">
        <v>3093</v>
      </c>
      <c t="s">
        <v>26644</v>
      </c>
    </row>
    <row>
      <c t="s">
        <v>17594</v>
      </c>
      <c t="s">
        <v>66276</v>
      </c>
      <c t="s">
        <v>1409</v>
      </c>
      <c t="s">
        <v>16566</v>
      </c>
      <c t="s">
        <v>21984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002" s="1" t="str">
        <f ca="1">HYPERLINK("https://web.datatree.com/?/property?propertyId=33110215", "https://web.datatree.com/?/property?propertyId=33110215")</f>
        <v>https://web.datatree.com/?/property?propertyId=33110215</v>
      </c>
      <c r="Q3002" t="s">
        <v>316</v>
      </c>
      <c>
        <v>0.23</v>
      </c>
      <c t="s">
        <v>22490</v>
      </c>
      <c t="s">
        <v>52701</v>
      </c>
      <c t="s">
        <v>9489</v>
      </c>
      <c t="s">
        <v>26934</v>
      </c>
      <c t="s">
        <v>9489</v>
      </c>
      <c t="s">
        <v>2014</v>
      </c>
      <c t="s">
        <v>66701</v>
      </c>
      <c t="s">
        <v>2517</v>
      </c>
      <c t="s">
        <v>39289</v>
      </c>
      <c>
        <v>33909</v>
      </c>
      <c t="s">
        <v>61226</v>
      </c>
      <c t="s">
        <v>48794</v>
      </c>
      <c t="s">
        <v>6612</v>
      </c>
      <c>
        <v>97</v>
      </c>
      <c r="AI3002" t="s">
        <v>35790</v>
      </c>
      <c t="s">
        <v>24900</v>
      </c>
      <c r="AL3002" t="s">
        <v>48094</v>
      </c>
      <c r="AN3002" t="s">
        <v>26016</v>
      </c>
      <c t="s">
        <v>32335</v>
      </c>
      <c t="s">
        <v>49977</v>
      </c>
      <c t="s">
        <v>3093</v>
      </c>
      <c t="s">
        <v>34402</v>
      </c>
    </row>
    <row>
      <c t="s">
        <v>17594</v>
      </c>
      <c t="s">
        <v>55959</v>
      </c>
      <c t="s">
        <v>32465</v>
      </c>
      <c t="s">
        <v>57789</v>
      </c>
      <c t="s">
        <v>15397</v>
      </c>
      <c s="3">
        <v>111676</v>
      </c>
      <c s="3">
        <v>102500</v>
      </c>
      <c s="3">
        <v>111676</v>
      </c>
      <c>
        <v>0</v>
      </c>
      <c s="3">
        <v>0</v>
      </c>
      <c s="3">
        <v>1676.89</v>
      </c>
      <c s="3">
        <v>111676</v>
      </c>
      <c r="O3003" s="1" t="str">
        <f ca="1">HYPERLINK("https://web.datatree.com/?/property?propertyId=33110364", "https://web.datatree.com/?/property?propertyId=33110364")</f>
        <v>https://web.datatree.com/?/property?propertyId=33110364</v>
      </c>
      <c r="Q3003" t="s">
        <v>316</v>
      </c>
      <c>
        <v>0.119</v>
      </c>
      <c t="s">
        <v>26492</v>
      </c>
      <c t="s">
        <v>28242</v>
      </c>
      <c t="s">
        <v>28770</v>
      </c>
      <c t="s">
        <v>33523</v>
      </c>
      <c t="s">
        <v>28770</v>
      </c>
      <c t="s">
        <v>3772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38003</v>
      </c>
      <c>
        <v>8905</v>
      </c>
      <c r="AI3003" t="s">
        <v>9566</v>
      </c>
      <c t="s">
        <v>31192</v>
      </c>
      <c r="AL3003" t="s">
        <v>62109</v>
      </c>
      <c t="s">
        <v>62109</v>
      </c>
      <c t="s">
        <v>40451</v>
      </c>
      <c t="s">
        <v>49312</v>
      </c>
      <c t="s">
        <v>57360</v>
      </c>
      <c t="s">
        <v>3093</v>
      </c>
      <c t="s">
        <v>60821</v>
      </c>
      <c>
        <v>2005</v>
      </c>
    </row>
    <row>
      <c t="s">
        <v>17594</v>
      </c>
      <c t="s">
        <v>9440</v>
      </c>
      <c t="s">
        <v>43281</v>
      </c>
      <c t="s">
        <v>65819</v>
      </c>
      <c t="s">
        <v>17642</v>
      </c>
      <c s="3">
        <v>7125</v>
      </c>
      <c s="3">
        <v>7125</v>
      </c>
      <c s="3">
        <v>7125</v>
      </c>
      <c>
        <v>0</v>
      </c>
      <c s="3">
        <v>0</v>
      </c>
      <c s="3">
        <v>538.03</v>
      </c>
      <c s="3">
        <v>7125</v>
      </c>
      <c r="O3004" s="1" t="str">
        <f ca="1">HYPERLINK("https://web.datatree.com/?/property?propertyId=33110497", "https://web.datatree.com/?/property?propertyId=33110497")</f>
        <v>https://web.datatree.com/?/property?propertyId=33110497</v>
      </c>
      <c r="Q3004" t="s">
        <v>316</v>
      </c>
      <c>
        <v>0.23</v>
      </c>
      <c t="s">
        <v>42044</v>
      </c>
      <c t="s">
        <v>7354</v>
      </c>
      <c t="s">
        <v>19007</v>
      </c>
      <c r="X3004" t="s">
        <v>18962</v>
      </c>
      <c t="s">
        <v>61865</v>
      </c>
      <c t="s">
        <v>2517</v>
      </c>
      <c t="s">
        <v>39289</v>
      </c>
      <c>
        <v>33909</v>
      </c>
      <c t="s">
        <v>46189</v>
      </c>
      <c t="s">
        <v>48794</v>
      </c>
      <c t="s">
        <v>58862</v>
      </c>
      <c>
        <v>22</v>
      </c>
      <c r="AI3004" t="s">
        <v>19781</v>
      </c>
      <c t="s">
        <v>45393</v>
      </c>
      <c r="AL3004" t="s">
        <v>21237</v>
      </c>
      <c r="AN3004" t="s">
        <v>14509</v>
      </c>
      <c t="s">
        <v>2529</v>
      </c>
      <c t="s">
        <v>51249</v>
      </c>
      <c t="s">
        <v>3093</v>
      </c>
      <c t="s">
        <v>62638</v>
      </c>
    </row>
    <row>
      <c t="s">
        <v>17594</v>
      </c>
      <c t="s">
        <v>53495</v>
      </c>
      <c t="s">
        <v>60277</v>
      </c>
      <c t="s">
        <v>33089</v>
      </c>
      <c t="s">
        <v>1760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005" s="1" t="str">
        <f ca="1">HYPERLINK("https://web.datatree.com/?/property?propertyId=33110512", "https://web.datatree.com/?/property?propertyId=33110512")</f>
        <v>https://web.datatree.com/?/property?propertyId=33110512</v>
      </c>
      <c r="Q3005" t="s">
        <v>316</v>
      </c>
      <c>
        <v>0.23</v>
      </c>
      <c t="s">
        <v>22490</v>
      </c>
      <c t="s">
        <v>46806</v>
      </c>
      <c t="s">
        <v>41187</v>
      </c>
      <c t="s">
        <v>60672</v>
      </c>
      <c t="s">
        <v>32885</v>
      </c>
      <c t="s">
        <v>20238</v>
      </c>
      <c t="s">
        <v>25017</v>
      </c>
      <c t="s">
        <v>2517</v>
      </c>
      <c t="s">
        <v>39289</v>
      </c>
      <c>
        <v>33909</v>
      </c>
      <c t="s">
        <v>38189</v>
      </c>
      <c t="s">
        <v>48794</v>
      </c>
      <c t="s">
        <v>16910</v>
      </c>
      <c>
        <v>2</v>
      </c>
      <c r="AI3005" t="s">
        <v>40792</v>
      </c>
      <c r="AL3005" t="s">
        <v>1135</v>
      </c>
      <c r="AN3005" t="s">
        <v>27481</v>
      </c>
      <c>
        <v>54610</v>
      </c>
      <c r="AR3005" t="s">
        <v>22976</v>
      </c>
    </row>
    <row>
      <c t="s">
        <v>17594</v>
      </c>
      <c t="s">
        <v>4163</v>
      </c>
      <c t="s">
        <v>10736</v>
      </c>
      <c t="s">
        <v>14912</v>
      </c>
      <c t="s">
        <v>23563</v>
      </c>
      <c s="3">
        <v>17781</v>
      </c>
      <c s="3">
        <v>17781</v>
      </c>
      <c s="3">
        <v>17781</v>
      </c>
      <c>
        <v>0</v>
      </c>
      <c s="3">
        <v>0</v>
      </c>
      <c s="3">
        <v>601.67</v>
      </c>
      <c s="3">
        <v>17781</v>
      </c>
      <c r="O3006" s="1" t="str">
        <f ca="1">HYPERLINK("https://web.datatree.com/?/property?propertyId=33110876", "https://web.datatree.com/?/property?propertyId=33110876")</f>
        <v>https://web.datatree.com/?/property?propertyId=33110876</v>
      </c>
      <c r="Q3006" t="s">
        <v>316</v>
      </c>
      <c>
        <v>0.241</v>
      </c>
      <c t="s">
        <v>6175</v>
      </c>
      <c t="s">
        <v>24671</v>
      </c>
      <c t="s">
        <v>29145</v>
      </c>
      <c t="s">
        <v>34493</v>
      </c>
      <c t="s">
        <v>20097</v>
      </c>
      <c t="s">
        <v>14271</v>
      </c>
      <c t="s">
        <v>23517</v>
      </c>
      <c t="s">
        <v>2517</v>
      </c>
      <c t="s">
        <v>39289</v>
      </c>
      <c>
        <v>33909</v>
      </c>
      <c t="s">
        <v>7124</v>
      </c>
      <c t="s">
        <v>48794</v>
      </c>
      <c t="s">
        <v>55638</v>
      </c>
      <c>
        <v>1440</v>
      </c>
      <c r="AI3006" t="s">
        <v>23517</v>
      </c>
      <c t="s">
        <v>45393</v>
      </c>
      <c r="AL3006" t="s">
        <v>23746</v>
      </c>
      <c t="s">
        <v>23746</v>
      </c>
      <c t="s">
        <v>54650</v>
      </c>
      <c t="s">
        <v>15991</v>
      </c>
      <c t="s">
        <v>3364</v>
      </c>
      <c t="s">
        <v>3093</v>
      </c>
      <c t="s">
        <v>55638</v>
      </c>
    </row>
    <row>
      <c t="s">
        <v>17594</v>
      </c>
      <c t="s">
        <v>29626</v>
      </c>
      <c t="s">
        <v>7341</v>
      </c>
      <c t="s">
        <v>34696</v>
      </c>
      <c t="s">
        <v>59690</v>
      </c>
      <c s="3">
        <v>26158</v>
      </c>
      <c s="3">
        <v>26158</v>
      </c>
      <c s="3">
        <v>9433</v>
      </c>
      <c>
        <v>0</v>
      </c>
      <c s="3">
        <v>0</v>
      </c>
      <c s="3">
        <v>416.98</v>
      </c>
      <c s="3">
        <v>26158</v>
      </c>
      <c r="O3007" s="1" t="str">
        <f ca="1">HYPERLINK("https://web.datatree.com/?/property?propertyId=33111216", "https://web.datatree.com/?/property?propertyId=33111216")</f>
        <v>https://web.datatree.com/?/property?propertyId=33111216</v>
      </c>
      <c r="Q3007" t="s">
        <v>316</v>
      </c>
      <c>
        <v>0.258</v>
      </c>
      <c t="s">
        <v>5471</v>
      </c>
      <c t="s">
        <v>15645</v>
      </c>
      <c t="s">
        <v>54455</v>
      </c>
      <c r="X3007" t="s">
        <v>48325</v>
      </c>
      <c t="s">
        <v>31198</v>
      </c>
      <c t="s">
        <v>65059</v>
      </c>
      <c t="s">
        <v>39289</v>
      </c>
      <c>
        <v>33905</v>
      </c>
      <c t="s">
        <v>4173</v>
      </c>
      <c t="s">
        <v>48794</v>
      </c>
      <c t="s">
        <v>14727</v>
      </c>
      <c>
        <v>103</v>
      </c>
      <c r="AI3007" t="s">
        <v>33162</v>
      </c>
      <c t="s">
        <v>45620</v>
      </c>
      <c r="AL3007" t="s">
        <v>45832</v>
      </c>
      <c r="AN3007" t="s">
        <v>50917</v>
      </c>
      <c t="s">
        <v>10540</v>
      </c>
      <c t="s">
        <v>53800</v>
      </c>
      <c t="s">
        <v>3093</v>
      </c>
      <c t="s">
        <v>39657</v>
      </c>
    </row>
    <row>
      <c t="s">
        <v>17594</v>
      </c>
      <c t="s">
        <v>31755</v>
      </c>
      <c t="s">
        <v>26391</v>
      </c>
      <c t="s">
        <v>50153</v>
      </c>
      <c t="s">
        <v>64843</v>
      </c>
      <c s="3">
        <v>25687</v>
      </c>
      <c s="3">
        <v>25687</v>
      </c>
      <c s="3">
        <v>9680</v>
      </c>
      <c>
        <v>0</v>
      </c>
      <c s="3">
        <v>0</v>
      </c>
      <c s="3">
        <v>659.46</v>
      </c>
      <c s="3">
        <v>25687</v>
      </c>
      <c r="O3008" s="1" t="str">
        <f ca="1">HYPERLINK("https://web.datatree.com/?/property?propertyId=33112085", "https://web.datatree.com/?/property?propertyId=33112085")</f>
        <v>https://web.datatree.com/?/property?propertyId=33112085</v>
      </c>
      <c r="Q3008" t="s">
        <v>316</v>
      </c>
      <c>
        <v>0.281</v>
      </c>
      <c t="s">
        <v>22490</v>
      </c>
      <c t="s">
        <v>26624</v>
      </c>
      <c t="s">
        <v>7695</v>
      </c>
      <c t="s">
        <v>58876</v>
      </c>
      <c t="s">
        <v>7695</v>
      </c>
      <c t="s">
        <v>60512</v>
      </c>
      <c t="s">
        <v>49122</v>
      </c>
      <c t="s">
        <v>2517</v>
      </c>
      <c t="s">
        <v>39289</v>
      </c>
      <c>
        <v>33909</v>
      </c>
      <c t="s">
        <v>53067</v>
      </c>
      <c t="s">
        <v>48794</v>
      </c>
      <c t="s">
        <v>45330</v>
      </c>
      <c r="AI3008" t="s">
        <v>33104</v>
      </c>
      <c r="AL3008" t="s">
        <v>44350</v>
      </c>
      <c r="AN3008" t="s">
        <v>13328</v>
      </c>
      <c>
        <v>0</v>
      </c>
      <c r="AR3008" t="s">
        <v>62368</v>
      </c>
    </row>
    <row>
      <c t="s">
        <v>17594</v>
      </c>
      <c t="s">
        <v>1444</v>
      </c>
      <c t="s">
        <v>45898</v>
      </c>
      <c t="s">
        <v>43583</v>
      </c>
      <c t="s">
        <v>33315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3009" s="1" t="str">
        <f ca="1">HYPERLINK("https://web.datatree.com/?/property?propertyId=33112998", "https://web.datatree.com/?/property?propertyId=33112998")</f>
        <v>https://web.datatree.com/?/property?propertyId=33112998</v>
      </c>
      <c r="Q3009" t="s">
        <v>316</v>
      </c>
      <c>
        <v>0.104</v>
      </c>
      <c t="s">
        <v>26492</v>
      </c>
      <c t="s">
        <v>13593</v>
      </c>
      <c t="s">
        <v>51876</v>
      </c>
      <c t="s">
        <v>37985</v>
      </c>
      <c t="s">
        <v>51876</v>
      </c>
      <c t="s">
        <v>50513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34423</v>
      </c>
      <c>
        <v>3081</v>
      </c>
      <c r="AI3009" t="s">
        <v>30647</v>
      </c>
      <c t="s">
        <v>45620</v>
      </c>
      <c r="AL3009" t="s">
        <v>24734</v>
      </c>
      <c t="s">
        <v>40227</v>
      </c>
      <c t="s">
        <v>17134</v>
      </c>
      <c t="s">
        <v>36144</v>
      </c>
      <c t="s">
        <v>44428</v>
      </c>
      <c t="s">
        <v>3093</v>
      </c>
      <c t="s">
        <v>13588</v>
      </c>
    </row>
    <row>
      <c t="s">
        <v>17594</v>
      </c>
      <c t="s">
        <v>31562</v>
      </c>
      <c t="s">
        <v>59984</v>
      </c>
      <c t="s">
        <v>19170</v>
      </c>
      <c t="s">
        <v>24341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3010" s="1" t="str">
        <f ca="1">HYPERLINK("https://web.datatree.com/?/property?propertyId=33113528", "https://web.datatree.com/?/property?propertyId=33113528")</f>
        <v>https://web.datatree.com/?/property?propertyId=33113528</v>
      </c>
      <c r="Q3010" t="s">
        <v>316</v>
      </c>
      <c>
        <v>0.244</v>
      </c>
      <c t="s">
        <v>22490</v>
      </c>
      <c t="s">
        <v>50343</v>
      </c>
      <c t="s">
        <v>43620</v>
      </c>
      <c t="s">
        <v>63896</v>
      </c>
      <c t="s">
        <v>43620</v>
      </c>
      <c t="s">
        <v>46142</v>
      </c>
      <c t="s">
        <v>24999</v>
      </c>
      <c t="s">
        <v>2517</v>
      </c>
      <c t="s">
        <v>39289</v>
      </c>
      <c>
        <v>33909</v>
      </c>
      <c>
        <v>33909</v>
      </c>
      <c t="s">
        <v>48794</v>
      </c>
      <c t="s">
        <v>38769</v>
      </c>
      <c>
        <v>7</v>
      </c>
      <c r="AI3010" t="s">
        <v>38044</v>
      </c>
      <c t="s">
        <v>41372</v>
      </c>
      <c r="AL3010" t="s">
        <v>33937</v>
      </c>
      <c r="AN3010" t="s">
        <v>49658</v>
      </c>
      <c t="s">
        <v>38671</v>
      </c>
      <c r="AQ3010" t="s">
        <v>27814</v>
      </c>
      <c t="s">
        <v>64081</v>
      </c>
    </row>
    <row>
      <c t="s">
        <v>17594</v>
      </c>
      <c t="s">
        <v>60028</v>
      </c>
      <c t="s">
        <v>33491</v>
      </c>
      <c t="s">
        <v>9924</v>
      </c>
      <c t="s">
        <v>50438</v>
      </c>
      <c s="3">
        <v>26250</v>
      </c>
      <c s="3">
        <v>26250</v>
      </c>
      <c s="3">
        <v>9433</v>
      </c>
      <c>
        <v>0</v>
      </c>
      <c s="3">
        <v>0</v>
      </c>
      <c s="3">
        <v>418.28</v>
      </c>
      <c s="3">
        <v>26250</v>
      </c>
      <c r="O3011" s="1" t="str">
        <f ca="1">HYPERLINK("https://web.datatree.com/?/property?propertyId=33114053", "https://web.datatree.com/?/property?propertyId=33114053")</f>
        <v>https://web.datatree.com/?/property?propertyId=33114053</v>
      </c>
      <c r="Q3011" t="s">
        <v>316</v>
      </c>
      <c>
        <v>0.274</v>
      </c>
      <c t="s">
        <v>5471</v>
      </c>
      <c t="s">
        <v>63205</v>
      </c>
      <c t="s">
        <v>53082</v>
      </c>
      <c t="s">
        <v>56333</v>
      </c>
      <c t="s">
        <v>50560</v>
      </c>
      <c t="s">
        <v>31716</v>
      </c>
      <c t="s">
        <v>17217</v>
      </c>
      <c t="s">
        <v>65059</v>
      </c>
      <c t="s">
        <v>39289</v>
      </c>
      <c>
        <v>33905</v>
      </c>
      <c t="s">
        <v>42709</v>
      </c>
      <c t="s">
        <v>48794</v>
      </c>
      <c t="s">
        <v>35139</v>
      </c>
      <c>
        <v>6933</v>
      </c>
      <c r="AI3011" t="s">
        <v>52835</v>
      </c>
      <c t="s">
        <v>24900</v>
      </c>
      <c r="AL3011" t="s">
        <v>56386</v>
      </c>
      <c r="AN3011" t="s">
        <v>50917</v>
      </c>
      <c t="s">
        <v>26642</v>
      </c>
      <c t="s">
        <v>4480</v>
      </c>
      <c t="s">
        <v>3093</v>
      </c>
      <c t="s">
        <v>32171</v>
      </c>
    </row>
    <row>
      <c t="s">
        <v>17594</v>
      </c>
      <c t="s">
        <v>54938</v>
      </c>
      <c t="s">
        <v>58474</v>
      </c>
      <c t="s">
        <v>35253</v>
      </c>
      <c t="s">
        <v>27495</v>
      </c>
      <c s="3">
        <v>7500</v>
      </c>
      <c s="3">
        <v>7500</v>
      </c>
      <c s="3">
        <v>7500</v>
      </c>
      <c>
        <v>0</v>
      </c>
      <c s="3">
        <v>0</v>
      </c>
      <c s="3">
        <v>465.87</v>
      </c>
      <c s="3">
        <v>7500</v>
      </c>
      <c r="O3012" s="1" t="str">
        <f ca="1">HYPERLINK("https://web.datatree.com/?/property?propertyId=33115014", "https://web.datatree.com/?/property?propertyId=33115014")</f>
        <v>https://web.datatree.com/?/property?propertyId=33115014</v>
      </c>
      <c r="Q3012" t="s">
        <v>316</v>
      </c>
      <c>
        <v>0.23</v>
      </c>
      <c t="s">
        <v>6175</v>
      </c>
      <c t="s">
        <v>38212</v>
      </c>
      <c t="s">
        <v>38949</v>
      </c>
      <c r="X3012" t="s">
        <v>55764</v>
      </c>
      <c t="s">
        <v>58797</v>
      </c>
      <c t="s">
        <v>2517</v>
      </c>
      <c t="s">
        <v>39289</v>
      </c>
      <c>
        <v>33909</v>
      </c>
      <c t="s">
        <v>39112</v>
      </c>
      <c t="s">
        <v>48794</v>
      </c>
      <c t="s">
        <v>2158</v>
      </c>
      <c>
        <v>530</v>
      </c>
      <c r="AI3012" t="s">
        <v>1214</v>
      </c>
      <c t="s">
        <v>835</v>
      </c>
      <c r="AL3012" t="s">
        <v>4180</v>
      </c>
      <c t="s">
        <v>4180</v>
      </c>
      <c t="s">
        <v>27222</v>
      </c>
      <c t="s">
        <v>60309</v>
      </c>
      <c t="s">
        <v>35205</v>
      </c>
      <c t="s">
        <v>3093</v>
      </c>
      <c t="s">
        <v>3492</v>
      </c>
    </row>
    <row>
      <c t="s">
        <v>17594</v>
      </c>
      <c t="s">
        <v>40804</v>
      </c>
      <c t="s">
        <v>17931</v>
      </c>
      <c t="s">
        <v>46686</v>
      </c>
      <c t="s">
        <v>4794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3013" s="1" t="str">
        <f ca="1">HYPERLINK("https://web.datatree.com/?/property?propertyId=33115191", "https://web.datatree.com/?/property?propertyId=33115191")</f>
        <v>https://web.datatree.com/?/property?propertyId=33115191</v>
      </c>
      <c r="Q3013" t="s">
        <v>316</v>
      </c>
      <c>
        <v>0.23</v>
      </c>
      <c t="s">
        <v>22490</v>
      </c>
      <c t="s">
        <v>44541</v>
      </c>
      <c t="s">
        <v>9679</v>
      </c>
      <c t="s">
        <v>3429</v>
      </c>
      <c t="s">
        <v>9679</v>
      </c>
      <c t="s">
        <v>22853</v>
      </c>
      <c t="s">
        <v>25017</v>
      </c>
      <c t="s">
        <v>2517</v>
      </c>
      <c t="s">
        <v>39289</v>
      </c>
      <c>
        <v>33909</v>
      </c>
      <c t="s">
        <v>56847</v>
      </c>
      <c t="s">
        <v>48794</v>
      </c>
      <c t="s">
        <v>47796</v>
      </c>
      <c>
        <v>42</v>
      </c>
      <c r="AI3013" t="s">
        <v>1878</v>
      </c>
      <c t="s">
        <v>31192</v>
      </c>
      <c r="AL3013" t="s">
        <v>43887</v>
      </c>
      <c r="AN3013" t="s">
        <v>50917</v>
      </c>
      <c t="s">
        <v>39295</v>
      </c>
      <c t="s">
        <v>26416</v>
      </c>
      <c t="s">
        <v>3093</v>
      </c>
      <c t="s">
        <v>22014</v>
      </c>
    </row>
    <row>
      <c t="s">
        <v>17594</v>
      </c>
      <c t="s">
        <v>27392</v>
      </c>
      <c t="s">
        <v>55648</v>
      </c>
      <c t="s">
        <v>12214</v>
      </c>
      <c t="s">
        <v>43236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014" s="1" t="str">
        <f ca="1">HYPERLINK("https://web.datatree.com/?/property?propertyId=33115267", "https://web.datatree.com/?/property?propertyId=33115267")</f>
        <v>https://web.datatree.com/?/property?propertyId=33115267</v>
      </c>
      <c r="Q3014" t="s">
        <v>316</v>
      </c>
      <c>
        <v>0.23</v>
      </c>
      <c t="s">
        <v>6175</v>
      </c>
      <c t="s">
        <v>18298</v>
      </c>
      <c t="s">
        <v>38259</v>
      </c>
      <c t="s">
        <v>29901</v>
      </c>
      <c t="s">
        <v>38259</v>
      </c>
      <c t="s">
        <v>61395</v>
      </c>
      <c t="s">
        <v>371</v>
      </c>
      <c t="s">
        <v>2517</v>
      </c>
      <c t="s">
        <v>39289</v>
      </c>
      <c>
        <v>33909</v>
      </c>
      <c t="s">
        <v>3382</v>
      </c>
      <c t="s">
        <v>48794</v>
      </c>
      <c t="s">
        <v>46593</v>
      </c>
      <c>
        <v>871</v>
      </c>
      <c r="AI3014" t="s">
        <v>19832</v>
      </c>
      <c t="s">
        <v>24900</v>
      </c>
      <c r="AL3014" t="s">
        <v>47510</v>
      </c>
      <c r="AN3014" t="s">
        <v>39289</v>
      </c>
      <c t="s">
        <v>5429</v>
      </c>
      <c t="s">
        <v>42082</v>
      </c>
      <c t="s">
        <v>3093</v>
      </c>
      <c t="s">
        <v>975</v>
      </c>
    </row>
    <row>
      <c t="s">
        <v>17594</v>
      </c>
      <c t="s">
        <v>5417</v>
      </c>
      <c t="s">
        <v>61110</v>
      </c>
      <c t="s">
        <v>7870</v>
      </c>
      <c t="s">
        <v>48867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015" s="1" t="str">
        <f ca="1">HYPERLINK("https://web.datatree.com/?/property?propertyId=33116346", "https://web.datatree.com/?/property?propertyId=33116346")</f>
        <v>https://web.datatree.com/?/property?propertyId=33116346</v>
      </c>
      <c r="Q3015" t="s">
        <v>316</v>
      </c>
      <c>
        <v>0.23</v>
      </c>
      <c t="s">
        <v>22490</v>
      </c>
      <c t="s">
        <v>45545</v>
      </c>
      <c t="s">
        <v>50671</v>
      </c>
      <c t="s">
        <v>16298</v>
      </c>
      <c t="s">
        <v>53374</v>
      </c>
      <c t="s">
        <v>50506</v>
      </c>
      <c t="s">
        <v>53663</v>
      </c>
      <c t="s">
        <v>2517</v>
      </c>
      <c t="s">
        <v>39289</v>
      </c>
      <c>
        <v>33909</v>
      </c>
      <c t="s">
        <v>4239</v>
      </c>
      <c t="s">
        <v>48794</v>
      </c>
      <c t="s">
        <v>21972</v>
      </c>
      <c>
        <v>7</v>
      </c>
      <c r="AI3015" t="s">
        <v>11342</v>
      </c>
      <c r="AL3015" t="s">
        <v>64556</v>
      </c>
      <c r="AN3015" t="s">
        <v>21017</v>
      </c>
      <c>
        <v>71263</v>
      </c>
      <c r="AR3015" t="s">
        <v>65639</v>
      </c>
    </row>
    <row>
      <c t="s">
        <v>17594</v>
      </c>
      <c t="s">
        <v>52664</v>
      </c>
      <c t="s">
        <v>20871</v>
      </c>
      <c t="s">
        <v>53290</v>
      </c>
      <c t="s">
        <v>7800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3016" s="1" t="str">
        <f ca="1">HYPERLINK("https://web.datatree.com/?/property?propertyId=33116568", "https://web.datatree.com/?/property?propertyId=33116568")</f>
        <v>https://web.datatree.com/?/property?propertyId=33116568</v>
      </c>
      <c r="Q3016" t="s">
        <v>316</v>
      </c>
      <c>
        <v>0.23</v>
      </c>
      <c t="s">
        <v>22490</v>
      </c>
      <c r="U3016" t="s">
        <v>51939</v>
      </c>
      <c t="s">
        <v>10361</v>
      </c>
      <c t="s">
        <v>40266</v>
      </c>
      <c t="s">
        <v>520</v>
      </c>
      <c t="s">
        <v>41506</v>
      </c>
      <c t="s">
        <v>2517</v>
      </c>
      <c t="s">
        <v>39289</v>
      </c>
      <c>
        <v>33909</v>
      </c>
      <c t="s">
        <v>6606</v>
      </c>
      <c t="s">
        <v>48794</v>
      </c>
      <c t="s">
        <v>47689</v>
      </c>
      <c>
        <v>1</v>
      </c>
      <c r="AI3016" t="s">
        <v>51394</v>
      </c>
      <c t="s">
        <v>835</v>
      </c>
      <c r="AL3016" t="s">
        <v>1709</v>
      </c>
      <c t="s">
        <v>1709</v>
      </c>
      <c t="s">
        <v>17134</v>
      </c>
      <c t="s">
        <v>31691</v>
      </c>
      <c t="s">
        <v>34162</v>
      </c>
      <c t="s">
        <v>3093</v>
      </c>
      <c t="s">
        <v>8303</v>
      </c>
    </row>
    <row>
      <c t="s">
        <v>17594</v>
      </c>
      <c t="s">
        <v>26278</v>
      </c>
      <c t="s">
        <v>12669</v>
      </c>
      <c t="s">
        <v>19397</v>
      </c>
      <c t="s">
        <v>33587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 r="O3017" s="1" t="str">
        <f ca="1">HYPERLINK("https://web.datatree.com/?/property?propertyId=33118357", "https://web.datatree.com/?/property?propertyId=33118357")</f>
        <v>https://web.datatree.com/?/property?propertyId=33118357</v>
      </c>
      <c r="Q3017" t="s">
        <v>316</v>
      </c>
      <c>
        <v>0.297</v>
      </c>
      <c t="s">
        <v>5471</v>
      </c>
      <c t="s">
        <v>17266</v>
      </c>
      <c t="s">
        <v>24206</v>
      </c>
      <c r="X3017" t="s">
        <v>3141</v>
      </c>
      <c t="s">
        <v>51938</v>
      </c>
      <c t="s">
        <v>65059</v>
      </c>
      <c t="s">
        <v>39289</v>
      </c>
      <c>
        <v>33905</v>
      </c>
      <c t="s">
        <v>44549</v>
      </c>
      <c t="s">
        <v>48794</v>
      </c>
      <c t="s">
        <v>39107</v>
      </c>
      <c>
        <v>7889</v>
      </c>
      <c r="AI3017" t="s">
        <v>29618</v>
      </c>
      <c t="s">
        <v>45393</v>
      </c>
      <c>
        <v>2010</v>
      </c>
      <c t="s">
        <v>28400</v>
      </c>
      <c t="s">
        <v>28400</v>
      </c>
      <c t="s">
        <v>49572</v>
      </c>
      <c t="s">
        <v>12057</v>
      </c>
      <c t="s">
        <v>61719</v>
      </c>
      <c t="s">
        <v>3093</v>
      </c>
      <c t="s">
        <v>4584</v>
      </c>
    </row>
    <row>
      <c t="s">
        <v>17594</v>
      </c>
      <c t="s">
        <v>3942</v>
      </c>
      <c t="s">
        <v>50769</v>
      </c>
      <c t="s">
        <v>13139</v>
      </c>
      <c t="s">
        <v>27287</v>
      </c>
      <c s="3">
        <v>31548</v>
      </c>
      <c s="3">
        <v>31548</v>
      </c>
      <c s="3">
        <v>15180</v>
      </c>
      <c>
        <v>0</v>
      </c>
      <c s="3">
        <v>0</v>
      </c>
      <c s="3">
        <v>3517.8</v>
      </c>
      <c s="3">
        <v>31548</v>
      </c>
      <c r="O3018" s="1" t="str">
        <f ca="1">HYPERLINK("https://web.datatree.com/?/property?propertyId=33118376", "https://web.datatree.com/?/property?propertyId=33118376")</f>
        <v>https://web.datatree.com/?/property?propertyId=33118376</v>
      </c>
      <c r="Q3018" t="s">
        <v>316</v>
      </c>
      <c>
        <v>0.344</v>
      </c>
      <c t="s">
        <v>22490</v>
      </c>
      <c t="s">
        <v>45390</v>
      </c>
      <c t="s">
        <v>57927</v>
      </c>
      <c t="s">
        <v>13824</v>
      </c>
      <c r="X3018" t="s">
        <v>46555</v>
      </c>
      <c t="s">
        <v>25017</v>
      </c>
      <c t="s">
        <v>2517</v>
      </c>
      <c t="s">
        <v>39289</v>
      </c>
      <c>
        <v>33909</v>
      </c>
      <c t="s">
        <v>51954</v>
      </c>
      <c t="s">
        <v>48794</v>
      </c>
      <c t="s">
        <v>57144</v>
      </c>
      <c>
        <v>3619</v>
      </c>
      <c r="AH3018" t="s">
        <v>26580</v>
      </c>
      <c t="s">
        <v>16137</v>
      </c>
      <c r="AL3018" t="s">
        <v>12437</v>
      </c>
      <c t="s">
        <v>13211</v>
      </c>
      <c t="s">
        <v>39289</v>
      </c>
      <c>
        <v>33714</v>
      </c>
      <c t="s">
        <v>49977</v>
      </c>
      <c t="s">
        <v>3093</v>
      </c>
      <c t="s">
        <v>60057</v>
      </c>
    </row>
    <row>
      <c t="s">
        <v>17594</v>
      </c>
      <c t="s">
        <v>39783</v>
      </c>
      <c t="s">
        <v>9080</v>
      </c>
      <c t="s">
        <v>1363</v>
      </c>
      <c t="s">
        <v>38028</v>
      </c>
      <c s="3">
        <v>20612</v>
      </c>
      <c s="3">
        <v>20612</v>
      </c>
      <c s="3">
        <v>9339</v>
      </c>
      <c>
        <v>0</v>
      </c>
      <c s="3">
        <v>0</v>
      </c>
      <c s="3">
        <v>585.26</v>
      </c>
      <c s="3">
        <v>20612</v>
      </c>
      <c r="O3019" s="1" t="str">
        <f ca="1">HYPERLINK("https://web.datatree.com/?/property?propertyId=33118836", "https://web.datatree.com/?/property?propertyId=33118836")</f>
        <v>https://web.datatree.com/?/property?propertyId=33118836</v>
      </c>
      <c r="Q3019" t="s">
        <v>316</v>
      </c>
      <c>
        <v>0.241</v>
      </c>
      <c t="s">
        <v>6175</v>
      </c>
      <c r="U3019" t="s">
        <v>35192</v>
      </c>
      <c r="W3019" t="s">
        <v>55401</v>
      </c>
      <c t="s">
        <v>2792</v>
      </c>
      <c t="s">
        <v>30928</v>
      </c>
      <c t="s">
        <v>2517</v>
      </c>
      <c t="s">
        <v>39289</v>
      </c>
      <c>
        <v>33909</v>
      </c>
      <c t="s">
        <v>43604</v>
      </c>
      <c t="s">
        <v>48794</v>
      </c>
      <c t="s">
        <v>54316</v>
      </c>
      <c>
        <v>3419</v>
      </c>
      <c r="AI3019" t="s">
        <v>41142</v>
      </c>
      <c t="s">
        <v>4985</v>
      </c>
      <c t="s">
        <v>33269</v>
      </c>
      <c t="s">
        <v>44084</v>
      </c>
      <c t="s">
        <v>44084</v>
      </c>
      <c t="s">
        <v>39289</v>
      </c>
      <c t="s">
        <v>53054</v>
      </c>
      <c t="s">
        <v>14845</v>
      </c>
      <c t="s">
        <v>3093</v>
      </c>
      <c t="s">
        <v>56606</v>
      </c>
    </row>
    <row>
      <c t="s">
        <v>17594</v>
      </c>
      <c t="s">
        <v>48919</v>
      </c>
      <c t="s">
        <v>46525</v>
      </c>
      <c t="s">
        <v>18262</v>
      </c>
      <c t="s">
        <v>66483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020" s="1" t="str">
        <f ca="1">HYPERLINK("https://web.datatree.com/?/property?propertyId=33118896", "https://web.datatree.com/?/property?propertyId=33118896")</f>
        <v>https://web.datatree.com/?/property?propertyId=33118896</v>
      </c>
      <c r="Q3020" t="s">
        <v>316</v>
      </c>
      <c>
        <v>0.23</v>
      </c>
      <c t="s">
        <v>6175</v>
      </c>
      <c t="s">
        <v>24179</v>
      </c>
      <c t="s">
        <v>58809</v>
      </c>
      <c t="s">
        <v>16298</v>
      </c>
      <c t="s">
        <v>58809</v>
      </c>
      <c t="s">
        <v>18543</v>
      </c>
      <c t="s">
        <v>25017</v>
      </c>
      <c t="s">
        <v>2517</v>
      </c>
      <c t="s">
        <v>39289</v>
      </c>
      <c>
        <v>33909</v>
      </c>
      <c t="s">
        <v>61933</v>
      </c>
      <c t="s">
        <v>48794</v>
      </c>
      <c t="s">
        <v>42292</v>
      </c>
      <c>
        <v>4827</v>
      </c>
      <c r="AI3020" t="s">
        <v>38131</v>
      </c>
      <c t="s">
        <v>45161</v>
      </c>
      <c r="AL3020" t="s">
        <v>62996</v>
      </c>
      <c r="AN3020" t="s">
        <v>50917</v>
      </c>
      <c t="s">
        <v>64981</v>
      </c>
      <c t="s">
        <v>26242</v>
      </c>
      <c t="s">
        <v>3093</v>
      </c>
      <c t="s">
        <v>19594</v>
      </c>
    </row>
    <row>
      <c t="s">
        <v>17594</v>
      </c>
      <c t="s">
        <v>33826</v>
      </c>
      <c t="s">
        <v>35471</v>
      </c>
      <c t="s">
        <v>35109</v>
      </c>
      <c t="s">
        <v>4966</v>
      </c>
      <c s="3">
        <v>23969</v>
      </c>
      <c s="3">
        <v>23969</v>
      </c>
      <c s="3">
        <v>12650</v>
      </c>
      <c>
        <v>0</v>
      </c>
      <c s="3">
        <v>0</v>
      </c>
      <c s="3">
        <v>658.13</v>
      </c>
      <c s="3">
        <v>23969</v>
      </c>
      <c r="O3021" s="1" t="str">
        <f ca="1">HYPERLINK("https://web.datatree.com/?/property?propertyId=33120092", "https://web.datatree.com/?/property?propertyId=33120092")</f>
        <v>https://web.datatree.com/?/property?propertyId=33120092</v>
      </c>
      <c r="Q3021" t="s">
        <v>316</v>
      </c>
      <c>
        <v>0.251</v>
      </c>
      <c t="s">
        <v>22490</v>
      </c>
      <c t="s">
        <v>10361</v>
      </c>
      <c t="s">
        <v>16937</v>
      </c>
      <c t="s">
        <v>26059</v>
      </c>
      <c t="s">
        <v>16937</v>
      </c>
      <c t="s">
        <v>48059</v>
      </c>
      <c t="s">
        <v>2626</v>
      </c>
      <c t="s">
        <v>2517</v>
      </c>
      <c t="s">
        <v>39289</v>
      </c>
      <c>
        <v>33909</v>
      </c>
      <c t="s">
        <v>164</v>
      </c>
      <c t="s">
        <v>48794</v>
      </c>
      <c t="s">
        <v>56701</v>
      </c>
      <c>
        <v>419</v>
      </c>
      <c r="AI3021" t="s">
        <v>50669</v>
      </c>
      <c t="s">
        <v>39321</v>
      </c>
      <c r="AL3021" t="s">
        <v>16420</v>
      </c>
      <c t="s">
        <v>16420</v>
      </c>
      <c t="s">
        <v>65451</v>
      </c>
      <c t="s">
        <v>38031</v>
      </c>
      <c t="s">
        <v>61410</v>
      </c>
      <c t="s">
        <v>3093</v>
      </c>
      <c t="s">
        <v>61111</v>
      </c>
    </row>
    <row>
      <c t="s">
        <v>17594</v>
      </c>
      <c t="s">
        <v>32805</v>
      </c>
      <c t="s">
        <v>52962</v>
      </c>
      <c t="s">
        <v>14454</v>
      </c>
      <c t="s">
        <v>49640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022" s="1" t="str">
        <f ca="1">HYPERLINK("https://web.datatree.com/?/property?propertyId=33120955", "https://web.datatree.com/?/property?propertyId=33120955")</f>
        <v>https://web.datatree.com/?/property?propertyId=33120955</v>
      </c>
      <c r="Q3022" t="s">
        <v>316</v>
      </c>
      <c>
        <v>0.23</v>
      </c>
      <c t="s">
        <v>6175</v>
      </c>
      <c t="s">
        <v>50331</v>
      </c>
      <c t="s">
        <v>6233</v>
      </c>
      <c t="s">
        <v>3626</v>
      </c>
      <c t="s">
        <v>6233</v>
      </c>
      <c t="s">
        <v>12931</v>
      </c>
      <c t="s">
        <v>55273</v>
      </c>
      <c t="s">
        <v>2517</v>
      </c>
      <c t="s">
        <v>39289</v>
      </c>
      <c>
        <v>33909</v>
      </c>
      <c t="s">
        <v>12421</v>
      </c>
      <c t="s">
        <v>48794</v>
      </c>
      <c t="s">
        <v>42664</v>
      </c>
      <c>
        <v>625</v>
      </c>
      <c r="AH3022" t="s">
        <v>60953</v>
      </c>
      <c t="s">
        <v>50151</v>
      </c>
      <c t="s">
        <v>24900</v>
      </c>
      <c r="AL3022" t="s">
        <v>57278</v>
      </c>
      <c r="AN3022" t="s">
        <v>17134</v>
      </c>
      <c t="s">
        <v>13130</v>
      </c>
      <c t="s">
        <v>27553</v>
      </c>
      <c t="s">
        <v>3093</v>
      </c>
      <c t="s">
        <v>55533</v>
      </c>
    </row>
    <row>
      <c t="s">
        <v>17594</v>
      </c>
      <c t="s">
        <v>61452</v>
      </c>
      <c t="s">
        <v>8142</v>
      </c>
      <c t="s">
        <v>29862</v>
      </c>
      <c t="s">
        <v>64462</v>
      </c>
      <c s="3">
        <v>20258</v>
      </c>
      <c s="3">
        <v>20258</v>
      </c>
      <c s="3">
        <v>8591</v>
      </c>
      <c>
        <v>0</v>
      </c>
      <c s="3">
        <v>0</v>
      </c>
      <c s="3">
        <v>671.14</v>
      </c>
      <c s="3">
        <v>20258</v>
      </c>
      <c r="O3023" s="1" t="str">
        <f ca="1">HYPERLINK("https://web.datatree.com/?/property?propertyId=33121153", "https://web.datatree.com/?/property?propertyId=33121153")</f>
        <v>https://web.datatree.com/?/property?propertyId=33121153</v>
      </c>
      <c r="Q3023" t="s">
        <v>316</v>
      </c>
      <c>
        <v>0.344</v>
      </c>
      <c t="s">
        <v>6175</v>
      </c>
      <c t="s">
        <v>44541</v>
      </c>
      <c t="s">
        <v>4190</v>
      </c>
      <c r="X3023" t="s">
        <v>50952</v>
      </c>
      <c t="s">
        <v>59763</v>
      </c>
      <c t="s">
        <v>2517</v>
      </c>
      <c t="s">
        <v>39289</v>
      </c>
      <c>
        <v>33909</v>
      </c>
      <c t="s">
        <v>18448</v>
      </c>
      <c t="s">
        <v>48794</v>
      </c>
      <c t="s">
        <v>43300</v>
      </c>
      <c>
        <v>19201</v>
      </c>
      <c r="AI3023" t="s">
        <v>44061</v>
      </c>
      <c t="s">
        <v>40123</v>
      </c>
      <c r="AL3023" t="s">
        <v>21676</v>
      </c>
      <c r="AN3023" t="s">
        <v>39289</v>
      </c>
      <c t="s">
        <v>16873</v>
      </c>
      <c t="s">
        <v>6928</v>
      </c>
      <c t="s">
        <v>3093</v>
      </c>
      <c t="s">
        <v>65707</v>
      </c>
    </row>
    <row>
      <c t="s">
        <v>17594</v>
      </c>
      <c t="s">
        <v>6435</v>
      </c>
      <c t="s">
        <v>20336</v>
      </c>
      <c t="s">
        <v>52198</v>
      </c>
      <c t="s">
        <v>22837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024" s="1" t="str">
        <f ca="1">HYPERLINK("https://web.datatree.com/?/property?propertyId=33121342", "https://web.datatree.com/?/property?propertyId=33121342")</f>
        <v>https://web.datatree.com/?/property?propertyId=33121342</v>
      </c>
      <c r="Q3024" t="s">
        <v>316</v>
      </c>
      <c>
        <v>0.23</v>
      </c>
      <c t="s">
        <v>6175</v>
      </c>
      <c t="s">
        <v>34140</v>
      </c>
      <c t="s">
        <v>13171</v>
      </c>
      <c t="s">
        <v>21379</v>
      </c>
      <c t="s">
        <v>13171</v>
      </c>
      <c t="s">
        <v>15817</v>
      </c>
      <c t="s">
        <v>24999</v>
      </c>
      <c t="s">
        <v>2517</v>
      </c>
      <c t="s">
        <v>39289</v>
      </c>
      <c>
        <v>33909</v>
      </c>
      <c t="s">
        <v>31107</v>
      </c>
      <c t="s">
        <v>48794</v>
      </c>
      <c t="s">
        <v>37610</v>
      </c>
      <c>
        <v>24064</v>
      </c>
      <c r="AI3024" t="s">
        <v>51761</v>
      </c>
      <c t="s">
        <v>45620</v>
      </c>
      <c r="AL3024" t="s">
        <v>65107</v>
      </c>
      <c r="AN3024" t="s">
        <v>51137</v>
      </c>
      <c t="s">
        <v>35715</v>
      </c>
      <c t="s">
        <v>52247</v>
      </c>
      <c t="s">
        <v>3093</v>
      </c>
      <c t="s">
        <v>51253</v>
      </c>
    </row>
    <row>
      <c t="s">
        <v>17594</v>
      </c>
      <c t="s">
        <v>45142</v>
      </c>
      <c t="s">
        <v>16029</v>
      </c>
      <c t="s">
        <v>15287</v>
      </c>
      <c t="s">
        <v>59468</v>
      </c>
      <c s="3">
        <v>24937</v>
      </c>
      <c s="3">
        <v>24937</v>
      </c>
      <c s="3">
        <v>24937</v>
      </c>
      <c>
        <v>0</v>
      </c>
      <c s="3">
        <v>0</v>
      </c>
      <c s="3">
        <v>3154.85</v>
      </c>
      <c s="3">
        <v>24937</v>
      </c>
      <c>
        <v>2021</v>
      </c>
      <c>
        <v>3171.97</v>
      </c>
      <c s="1" t="str">
        <f ca="1">HYPERLINK("https://web.datatree.com/?/property?propertyId=33121695", "https://web.datatree.com/?/property?propertyId=33121695")</f>
        <v>https://web.datatree.com/?/property?propertyId=33121695</v>
      </c>
      <c r="Q3025" t="s">
        <v>316</v>
      </c>
      <c>
        <v>0.231</v>
      </c>
      <c t="s">
        <v>6175</v>
      </c>
      <c t="s">
        <v>41769</v>
      </c>
      <c t="s">
        <v>67022</v>
      </c>
      <c r="X3025" t="s">
        <v>20901</v>
      </c>
      <c t="s">
        <v>13478</v>
      </c>
      <c t="s">
        <v>2517</v>
      </c>
      <c t="s">
        <v>39289</v>
      </c>
      <c>
        <v>33909</v>
      </c>
      <c t="s">
        <v>38945</v>
      </c>
      <c t="s">
        <v>48794</v>
      </c>
      <c t="s">
        <v>38128</v>
      </c>
      <c>
        <v>7885</v>
      </c>
      <c r="AI3025" t="s">
        <v>60815</v>
      </c>
      <c t="s">
        <v>45393</v>
      </c>
      <c r="AL3025" t="s">
        <v>29515</v>
      </c>
      <c t="s">
        <v>25469</v>
      </c>
      <c t="s">
        <v>39289</v>
      </c>
      <c t="s">
        <v>59522</v>
      </c>
      <c t="s">
        <v>26242</v>
      </c>
      <c t="s">
        <v>3093</v>
      </c>
      <c t="s">
        <v>10426</v>
      </c>
    </row>
    <row>
      <c t="s">
        <v>17594</v>
      </c>
      <c t="s">
        <v>13781</v>
      </c>
      <c t="s">
        <v>17323</v>
      </c>
      <c t="s">
        <v>2029</v>
      </c>
      <c t="s">
        <v>40920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3026" s="1" t="str">
        <f ca="1">HYPERLINK("https://web.datatree.com/?/property?propertyId=33122006", "https://web.datatree.com/?/property?propertyId=33122006")</f>
        <v>https://web.datatree.com/?/property?propertyId=33122006</v>
      </c>
      <c r="Q3026" t="s">
        <v>316</v>
      </c>
      <c>
        <v>0.23</v>
      </c>
      <c t="s">
        <v>42044</v>
      </c>
      <c t="s">
        <v>30591</v>
      </c>
      <c t="s">
        <v>65509</v>
      </c>
      <c r="X3026" t="s">
        <v>42007</v>
      </c>
      <c t="s">
        <v>13478</v>
      </c>
      <c t="s">
        <v>2517</v>
      </c>
      <c t="s">
        <v>39289</v>
      </c>
      <c>
        <v>33909</v>
      </c>
      <c t="s">
        <v>13632</v>
      </c>
      <c t="s">
        <v>48794</v>
      </c>
      <c t="s">
        <v>61955</v>
      </c>
      <c>
        <v>85</v>
      </c>
      <c r="AI3026" t="s">
        <v>15818</v>
      </c>
      <c t="s">
        <v>45620</v>
      </c>
      <c r="AL3026" t="s">
        <v>12831</v>
      </c>
      <c r="AN3026" t="s">
        <v>50917</v>
      </c>
      <c t="s">
        <v>24389</v>
      </c>
      <c t="s">
        <v>30106</v>
      </c>
      <c t="s">
        <v>3093</v>
      </c>
      <c t="s">
        <v>5675</v>
      </c>
    </row>
    <row>
      <c t="s">
        <v>17594</v>
      </c>
      <c t="s">
        <v>29690</v>
      </c>
      <c t="s">
        <v>12439</v>
      </c>
      <c t="s">
        <v>36616</v>
      </c>
      <c t="s">
        <v>8295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027" s="1" t="str">
        <f ca="1">HYPERLINK("https://web.datatree.com/?/property?propertyId=33122176", "https://web.datatree.com/?/property?propertyId=33122176")</f>
        <v>https://web.datatree.com/?/property?propertyId=33122176</v>
      </c>
      <c r="Q3027" t="s">
        <v>316</v>
      </c>
      <c>
        <v>0.23</v>
      </c>
      <c t="s">
        <v>6175</v>
      </c>
      <c t="s">
        <v>35754</v>
      </c>
      <c t="s">
        <v>56720</v>
      </c>
      <c r="X3027" t="s">
        <v>16216</v>
      </c>
      <c t="s">
        <v>13829</v>
      </c>
      <c t="s">
        <v>2517</v>
      </c>
      <c t="s">
        <v>39289</v>
      </c>
      <c>
        <v>33909</v>
      </c>
      <c t="s">
        <v>898</v>
      </c>
      <c t="s">
        <v>48794</v>
      </c>
      <c t="s">
        <v>38174</v>
      </c>
      <c>
        <v>507</v>
      </c>
      <c r="AI3027" t="s">
        <v>15325</v>
      </c>
      <c t="s">
        <v>45393</v>
      </c>
      <c r="AL3027" t="s">
        <v>66317</v>
      </c>
      <c r="AN3027" t="s">
        <v>50917</v>
      </c>
      <c t="s">
        <v>16551</v>
      </c>
      <c t="s">
        <v>12241</v>
      </c>
      <c t="s">
        <v>3093</v>
      </c>
      <c t="s">
        <v>7756</v>
      </c>
    </row>
    <row>
      <c t="s">
        <v>17594</v>
      </c>
      <c t="s">
        <v>21121</v>
      </c>
      <c t="s">
        <v>65710</v>
      </c>
      <c t="s">
        <v>19749</v>
      </c>
      <c t="s">
        <v>65796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>
        <v>2020</v>
      </c>
      <c>
        <v>1827.63</v>
      </c>
      <c s="1" t="str">
        <f ca="1">HYPERLINK("https://web.datatree.com/?/property?propertyId=33122388", "https://web.datatree.com/?/property?propertyId=33122388")</f>
        <v>https://web.datatree.com/?/property?propertyId=33122388</v>
      </c>
      <c r="Q3028" t="s">
        <v>316</v>
      </c>
      <c>
        <v>0.23</v>
      </c>
      <c t="s">
        <v>22490</v>
      </c>
      <c t="s">
        <v>51891</v>
      </c>
      <c t="s">
        <v>18426</v>
      </c>
      <c t="s">
        <v>37665</v>
      </c>
      <c t="s">
        <v>45445</v>
      </c>
      <c t="s">
        <v>59853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30402</v>
      </c>
      <c t="str">
        <f>"19-75"</f>
        <v>19-75</v>
      </c>
      <c r="AI3028" t="s">
        <v>66576</v>
      </c>
      <c r="AL3028" t="s">
        <v>19220</v>
      </c>
      <c r="AN3028" t="s">
        <v>14798</v>
      </c>
      <c r="AR3028" t="s">
        <v>35007</v>
      </c>
    </row>
    <row>
      <c t="s">
        <v>17594</v>
      </c>
      <c t="s">
        <v>62482</v>
      </c>
      <c t="s">
        <v>8414</v>
      </c>
      <c t="s">
        <v>3736</v>
      </c>
      <c t="s">
        <v>31324</v>
      </c>
      <c s="3">
        <v>31830</v>
      </c>
      <c s="3">
        <v>31830</v>
      </c>
      <c s="3">
        <v>31830</v>
      </c>
      <c>
        <v>0</v>
      </c>
      <c s="3">
        <v>0</v>
      </c>
      <c s="3">
        <v>915.84</v>
      </c>
      <c s="3">
        <v>31830</v>
      </c>
      <c>
        <v>2020</v>
      </c>
      <c>
        <v>3118.91</v>
      </c>
      <c s="1" t="str">
        <f ca="1">HYPERLINK("https://web.datatree.com/?/property?propertyId=33122865", "https://web.datatree.com/?/property?propertyId=33122865")</f>
        <v>https://web.datatree.com/?/property?propertyId=33122865</v>
      </c>
      <c r="Q3029" t="s">
        <v>316</v>
      </c>
      <c>
        <v>0.23</v>
      </c>
      <c t="s">
        <v>6175</v>
      </c>
      <c t="s">
        <v>43271</v>
      </c>
      <c t="s">
        <v>19420</v>
      </c>
      <c r="X3029" t="s">
        <v>28437</v>
      </c>
      <c t="s">
        <v>33335</v>
      </c>
      <c t="s">
        <v>2517</v>
      </c>
      <c t="s">
        <v>39289</v>
      </c>
      <c>
        <v>33904</v>
      </c>
      <c t="s">
        <v>8421</v>
      </c>
      <c t="s">
        <v>48794</v>
      </c>
      <c t="s">
        <v>46098</v>
      </c>
      <c>
        <v>1401</v>
      </c>
      <c r="AI3029" t="s">
        <v>55720</v>
      </c>
      <c t="s">
        <v>31192</v>
      </c>
      <c>
        <v>506</v>
      </c>
      <c t="s">
        <v>3586</v>
      </c>
      <c t="s">
        <v>3586</v>
      </c>
      <c t="s">
        <v>49730</v>
      </c>
      <c t="s">
        <v>44603</v>
      </c>
      <c t="s">
        <v>18829</v>
      </c>
      <c t="s">
        <v>3093</v>
      </c>
      <c t="s">
        <v>58140</v>
      </c>
    </row>
    <row>
      <c t="s">
        <v>42103</v>
      </c>
      <c t="s">
        <v>9431</v>
      </c>
      <c t="s">
        <v>24585</v>
      </c>
      <c t="s">
        <v>20981</v>
      </c>
      <c t="s">
        <v>34246</v>
      </c>
      <c s="3">
        <v>106441</v>
      </c>
      <c s="3">
        <v>106441</v>
      </c>
      <c s="3">
        <v>106441</v>
      </c>
      <c>
        <v>0</v>
      </c>
      <c s="3">
        <v>0</v>
      </c>
      <c s="3">
        <v>1809.15</v>
      </c>
      <c s="3">
        <v>106441</v>
      </c>
      <c r="O3030" s="1" t="str">
        <f ca="1">HYPERLINK("https://web.datatree.com/?/property?propertyId=33122927", "https://web.datatree.com/?/property?propertyId=33122927")</f>
        <v>https://web.datatree.com/?/property?propertyId=33122927</v>
      </c>
      <c r="Q3030" t="s">
        <v>316</v>
      </c>
      <c>
        <v>6.43</v>
      </c>
      <c t="s">
        <v>30497</v>
      </c>
      <c r="U3030" t="s">
        <v>53976</v>
      </c>
      <c t="s">
        <v>7107</v>
      </c>
      <c t="s">
        <v>27591</v>
      </c>
      <c t="s">
        <v>24892</v>
      </c>
      <c t="s">
        <v>45355</v>
      </c>
      <c t="s">
        <v>65059</v>
      </c>
      <c t="s">
        <v>39289</v>
      </c>
      <c>
        <v>33905</v>
      </c>
      <c>
        <v>33905</v>
      </c>
      <c t="s">
        <v>48794</v>
      </c>
      <c t="s">
        <v>20830</v>
      </c>
      <c>
        <v>625</v>
      </c>
      <c r="AI3030" t="s">
        <v>8034</v>
      </c>
      <c t="s">
        <v>24900</v>
      </c>
      <c r="AL3030" t="s">
        <v>27398</v>
      </c>
      <c t="s">
        <v>56455</v>
      </c>
      <c t="s">
        <v>39289</v>
      </c>
      <c t="s">
        <v>32133</v>
      </c>
      <c t="s">
        <v>34162</v>
      </c>
      <c t="s">
        <v>3093</v>
      </c>
      <c t="s">
        <v>55268</v>
      </c>
    </row>
    <row>
      <c t="s">
        <v>42103</v>
      </c>
      <c t="s">
        <v>6303</v>
      </c>
      <c t="s">
        <v>30691</v>
      </c>
      <c t="s">
        <v>57631</v>
      </c>
      <c t="s">
        <v>66320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3031" s="1" t="str">
        <f ca="1">HYPERLINK("https://web.datatree.com/?/property?propertyId=33123970", "https://web.datatree.com/?/property?propertyId=33123970")</f>
        <v>https://web.datatree.com/?/property?propertyId=33123970</v>
      </c>
      <c r="Q3031" t="s">
        <v>316</v>
      </c>
      <c>
        <v>0.23</v>
      </c>
      <c t="s">
        <v>6175</v>
      </c>
      <c t="s">
        <v>773</v>
      </c>
      <c t="s">
        <v>13398</v>
      </c>
      <c r="X3031" t="s">
        <v>55492</v>
      </c>
      <c t="s">
        <v>33179</v>
      </c>
      <c t="s">
        <v>2517</v>
      </c>
      <c t="s">
        <v>39289</v>
      </c>
      <c>
        <v>33909</v>
      </c>
      <c t="s">
        <v>35461</v>
      </c>
      <c t="s">
        <v>48794</v>
      </c>
      <c t="s">
        <v>15191</v>
      </c>
      <c r="AI3031" t="s">
        <v>32461</v>
      </c>
      <c r="AL3031" t="s">
        <v>13931</v>
      </c>
      <c r="AN3031" t="s">
        <v>50917</v>
      </c>
      <c>
        <v>13608</v>
      </c>
      <c t="s">
        <v>39363</v>
      </c>
      <c t="s">
        <v>3093</v>
      </c>
      <c t="s">
        <v>1001</v>
      </c>
    </row>
    <row>
      <c t="s">
        <v>17594</v>
      </c>
      <c t="s">
        <v>62930</v>
      </c>
      <c t="s">
        <v>58286</v>
      </c>
      <c t="s">
        <v>14508</v>
      </c>
      <c t="s">
        <v>36879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2021</v>
      </c>
      <c>
        <v>594.94</v>
      </c>
      <c s="1" t="str">
        <f ca="1">HYPERLINK("https://web.datatree.com/?/property?propertyId=33124959", "https://web.datatree.com/?/property?propertyId=33124959")</f>
        <v>https://web.datatree.com/?/property?propertyId=33124959</v>
      </c>
      <c r="Q3032" t="s">
        <v>316</v>
      </c>
      <c>
        <v>0.23</v>
      </c>
      <c t="s">
        <v>6175</v>
      </c>
      <c t="s">
        <v>20050</v>
      </c>
      <c t="s">
        <v>38143</v>
      </c>
      <c r="X3032" t="s">
        <v>52653</v>
      </c>
      <c t="s">
        <v>55273</v>
      </c>
      <c t="s">
        <v>2517</v>
      </c>
      <c t="s">
        <v>39289</v>
      </c>
      <c>
        <v>33909</v>
      </c>
      <c t="s">
        <v>12421</v>
      </c>
      <c t="s">
        <v>48794</v>
      </c>
      <c t="s">
        <v>6585</v>
      </c>
      <c>
        <v>6303</v>
      </c>
      <c r="AI3032" t="s">
        <v>26976</v>
      </c>
      <c t="s">
        <v>31192</v>
      </c>
      <c>
        <v>400</v>
      </c>
      <c t="s">
        <v>55393</v>
      </c>
      <c r="AN3032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43418</v>
      </c>
      <c t="s">
        <v>49310</v>
      </c>
      <c t="s">
        <v>16927</v>
      </c>
      <c t="s">
        <v>40890</v>
      </c>
      <c s="3">
        <v>55793</v>
      </c>
      <c s="3">
        <v>55793</v>
      </c>
      <c s="3">
        <v>17448</v>
      </c>
      <c>
        <v>0</v>
      </c>
      <c s="3">
        <v>0</v>
      </c>
      <c s="3">
        <v>857.63</v>
      </c>
      <c s="3">
        <v>55793</v>
      </c>
      <c r="O3033" s="1" t="str">
        <f ca="1">HYPERLINK("https://web.datatree.com/?/property?propertyId=33125267", "https://web.datatree.com/?/property?propertyId=33125267")</f>
        <v>https://web.datatree.com/?/property?propertyId=33125267</v>
      </c>
      <c r="Q3033" t="s">
        <v>316</v>
      </c>
      <c>
        <v>0.23</v>
      </c>
      <c t="s">
        <v>6175</v>
      </c>
      <c t="s">
        <v>52701</v>
      </c>
      <c t="s">
        <v>43112</v>
      </c>
      <c r="X3033" t="s">
        <v>15447</v>
      </c>
      <c t="s">
        <v>2542</v>
      </c>
      <c t="s">
        <v>2517</v>
      </c>
      <c t="s">
        <v>39289</v>
      </c>
      <c>
        <v>33904</v>
      </c>
      <c t="s">
        <v>28100</v>
      </c>
      <c t="s">
        <v>48794</v>
      </c>
      <c t="s">
        <v>56014</v>
      </c>
      <c r="AI3033" t="s">
        <v>25196</v>
      </c>
      <c r="AL3033" t="s">
        <v>13708</v>
      </c>
      <c r="AN3033" t="s">
        <v>9533</v>
      </c>
      <c>
        <v>646</v>
      </c>
      <c r="AQ3033" t="s">
        <v>3093</v>
      </c>
      <c t="s">
        <v>6922</v>
      </c>
    </row>
    <row>
      <c t="s">
        <v>17594</v>
      </c>
      <c t="s">
        <v>41924</v>
      </c>
      <c t="s">
        <v>60577</v>
      </c>
      <c t="s">
        <v>39714</v>
      </c>
      <c t="s">
        <v>3323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034" s="1" t="str">
        <f ca="1">HYPERLINK("https://web.datatree.com/?/property?propertyId=33125466", "https://web.datatree.com/?/property?propertyId=33125466")</f>
        <v>https://web.datatree.com/?/property?propertyId=33125466</v>
      </c>
      <c r="Q3034" t="s">
        <v>316</v>
      </c>
      <c>
        <v>0.23</v>
      </c>
      <c t="s">
        <v>6175</v>
      </c>
      <c t="s">
        <v>10361</v>
      </c>
      <c t="s">
        <v>52144</v>
      </c>
      <c r="X3034" t="s">
        <v>48429</v>
      </c>
      <c t="s">
        <v>39082</v>
      </c>
      <c t="s">
        <v>2517</v>
      </c>
      <c t="s">
        <v>39289</v>
      </c>
      <c>
        <v>33909</v>
      </c>
      <c t="s">
        <v>46454</v>
      </c>
      <c t="s">
        <v>48794</v>
      </c>
      <c t="s">
        <v>48351</v>
      </c>
      <c>
        <v>441</v>
      </c>
      <c r="AI3034" t="s">
        <v>11544</v>
      </c>
      <c t="s">
        <v>31192</v>
      </c>
      <c r="AL3034" t="s">
        <v>63249</v>
      </c>
      <c t="s">
        <v>63249</v>
      </c>
      <c t="s">
        <v>26443</v>
      </c>
      <c t="s">
        <v>43489</v>
      </c>
      <c t="s">
        <v>35085</v>
      </c>
      <c t="s">
        <v>3093</v>
      </c>
      <c t="s">
        <v>46692</v>
      </c>
    </row>
    <row>
      <c t="s">
        <v>17594</v>
      </c>
      <c t="s">
        <v>26010</v>
      </c>
      <c t="s">
        <v>774</v>
      </c>
      <c t="s">
        <v>25485</v>
      </c>
      <c t="s">
        <v>65102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>
        <v>2021</v>
      </c>
      <c>
        <v>615.73</v>
      </c>
      <c s="1" t="str">
        <f ca="1">HYPERLINK("https://web.datatree.com/?/property?propertyId=33126657", "https://web.datatree.com/?/property?propertyId=33126657")</f>
        <v>https://web.datatree.com/?/property?propertyId=33126657</v>
      </c>
      <c r="Q3035" t="s">
        <v>316</v>
      </c>
      <c>
        <v>0.23</v>
      </c>
      <c t="s">
        <v>6175</v>
      </c>
      <c t="s">
        <v>66812</v>
      </c>
      <c t="s">
        <v>37460</v>
      </c>
      <c t="s">
        <v>61409</v>
      </c>
      <c t="s">
        <v>37460</v>
      </c>
      <c t="s">
        <v>13735</v>
      </c>
      <c t="s">
        <v>47150</v>
      </c>
      <c t="s">
        <v>2517</v>
      </c>
      <c t="s">
        <v>39289</v>
      </c>
      <c>
        <v>33909</v>
      </c>
      <c t="s">
        <v>7595</v>
      </c>
      <c t="s">
        <v>48794</v>
      </c>
      <c t="s">
        <v>37369</v>
      </c>
      <c>
        <v>33</v>
      </c>
      <c r="AI3035" t="s">
        <v>51468</v>
      </c>
      <c t="s">
        <v>45620</v>
      </c>
      <c r="AL3035" t="s">
        <v>25529</v>
      </c>
      <c r="AN3035" t="s">
        <v>50917</v>
      </c>
      <c t="s">
        <v>7823</v>
      </c>
      <c t="s">
        <v>62830</v>
      </c>
      <c t="s">
        <v>3093</v>
      </c>
      <c t="s">
        <v>43766</v>
      </c>
    </row>
    <row>
      <c t="s">
        <v>17594</v>
      </c>
      <c t="s">
        <v>7654</v>
      </c>
      <c t="s">
        <v>15978</v>
      </c>
      <c t="s">
        <v>21845</v>
      </c>
      <c t="s">
        <v>28535</v>
      </c>
      <c s="3">
        <v>10600</v>
      </c>
      <c s="3">
        <v>10600</v>
      </c>
      <c s="3">
        <v>9339</v>
      </c>
      <c>
        <v>0</v>
      </c>
      <c s="3">
        <v>0</v>
      </c>
      <c s="3">
        <v>663.14</v>
      </c>
      <c s="3">
        <v>10600</v>
      </c>
      <c r="O3036" s="1" t="str">
        <f ca="1">HYPERLINK("https://web.datatree.com/?/property?propertyId=33126730", "https://web.datatree.com/?/property?propertyId=33126730")</f>
        <v>https://web.datatree.com/?/property?propertyId=33126730</v>
      </c>
      <c r="Q3036" t="s">
        <v>316</v>
      </c>
      <c>
        <v>0.284</v>
      </c>
      <c t="s">
        <v>6175</v>
      </c>
      <c t="s">
        <v>64322</v>
      </c>
      <c t="s">
        <v>58955</v>
      </c>
      <c t="s">
        <v>54573</v>
      </c>
      <c t="s">
        <v>58955</v>
      </c>
      <c t="s">
        <v>60019</v>
      </c>
      <c t="s">
        <v>10653</v>
      </c>
      <c t="s">
        <v>2517</v>
      </c>
      <c t="s">
        <v>39289</v>
      </c>
      <c>
        <v>33909</v>
      </c>
      <c t="s">
        <v>12165</v>
      </c>
      <c t="s">
        <v>48794</v>
      </c>
      <c t="s">
        <v>14974</v>
      </c>
      <c>
        <v>26056</v>
      </c>
      <c r="AI3036" t="s">
        <v>56384</v>
      </c>
      <c t="s">
        <v>31192</v>
      </c>
      <c r="AL3036" t="s">
        <v>47361</v>
      </c>
      <c r="AN3036" t="s">
        <v>19878</v>
      </c>
      <c t="s">
        <v>51480</v>
      </c>
      <c t="s">
        <v>52247</v>
      </c>
      <c t="s">
        <v>3093</v>
      </c>
      <c t="s">
        <v>4670</v>
      </c>
    </row>
    <row>
      <c t="s">
        <v>17594</v>
      </c>
      <c t="s">
        <v>48583</v>
      </c>
      <c t="s">
        <v>10930</v>
      </c>
      <c t="s">
        <v>48750</v>
      </c>
      <c t="s">
        <v>15814</v>
      </c>
      <c s="3">
        <v>25012</v>
      </c>
      <c s="3">
        <v>25012</v>
      </c>
      <c s="3">
        <v>10395</v>
      </c>
      <c>
        <v>0</v>
      </c>
      <c s="3">
        <v>0</v>
      </c>
      <c s="3">
        <v>668.22</v>
      </c>
      <c s="3">
        <v>25012</v>
      </c>
      <c r="O3037" s="1" t="str">
        <f ca="1">HYPERLINK("https://web.datatree.com/?/property?propertyId=33126855", "https://web.datatree.com/?/property?propertyId=33126855")</f>
        <v>https://web.datatree.com/?/property?propertyId=33126855</v>
      </c>
      <c r="Q3037" t="s">
        <v>316</v>
      </c>
      <c>
        <v>0.281</v>
      </c>
      <c t="s">
        <v>22490</v>
      </c>
      <c t="s">
        <v>42338</v>
      </c>
      <c t="s">
        <v>40690</v>
      </c>
      <c r="X3037" t="s">
        <v>51877</v>
      </c>
      <c t="s">
        <v>22731</v>
      </c>
      <c t="s">
        <v>2517</v>
      </c>
      <c t="s">
        <v>39289</v>
      </c>
      <c>
        <v>33909</v>
      </c>
      <c t="s">
        <v>55947</v>
      </c>
      <c t="s">
        <v>48794</v>
      </c>
      <c t="s">
        <v>52119</v>
      </c>
      <c>
        <v>181</v>
      </c>
      <c r="AI3037" t="s">
        <v>39682</v>
      </c>
      <c t="s">
        <v>24900</v>
      </c>
      <c r="AL3037" t="s">
        <v>22964</v>
      </c>
      <c r="AN3037" t="s">
        <v>50917</v>
      </c>
      <c t="s">
        <v>36916</v>
      </c>
      <c t="s">
        <v>17380</v>
      </c>
      <c t="s">
        <v>3093</v>
      </c>
      <c t="s">
        <v>35308</v>
      </c>
    </row>
    <row>
      <c t="s">
        <v>17594</v>
      </c>
      <c t="s">
        <v>56689</v>
      </c>
      <c t="s">
        <v>61269</v>
      </c>
      <c t="s">
        <v>64595</v>
      </c>
      <c t="s">
        <v>65503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3038" s="1" t="str">
        <f ca="1">HYPERLINK("https://web.datatree.com/?/property?propertyId=33126872", "https://web.datatree.com/?/property?propertyId=33126872")</f>
        <v>https://web.datatree.com/?/property?propertyId=33126872</v>
      </c>
      <c r="Q3038" t="s">
        <v>316</v>
      </c>
      <c>
        <v>0.241</v>
      </c>
      <c t="s">
        <v>6175</v>
      </c>
      <c t="s">
        <v>47715</v>
      </c>
      <c t="s">
        <v>32448</v>
      </c>
      <c t="s">
        <v>16200</v>
      </c>
      <c t="s">
        <v>43803</v>
      </c>
      <c t="s">
        <v>40683</v>
      </c>
      <c t="s">
        <v>60363</v>
      </c>
      <c t="s">
        <v>2517</v>
      </c>
      <c t="s">
        <v>39289</v>
      </c>
      <c>
        <v>33909</v>
      </c>
      <c t="s">
        <v>32515</v>
      </c>
      <c t="s">
        <v>48794</v>
      </c>
      <c t="s">
        <v>33639</v>
      </c>
      <c>
        <v>4071</v>
      </c>
      <c r="AI3038" t="s">
        <v>9756</v>
      </c>
      <c t="s">
        <v>31192</v>
      </c>
      <c r="AL3038" t="s">
        <v>20817</v>
      </c>
      <c r="AN3038" t="s">
        <v>66651</v>
      </c>
      <c t="s">
        <v>58448</v>
      </c>
      <c t="s">
        <v>17380</v>
      </c>
      <c t="s">
        <v>3093</v>
      </c>
      <c t="s">
        <v>11937</v>
      </c>
    </row>
    <row>
      <c t="s">
        <v>17594</v>
      </c>
      <c t="s">
        <v>66561</v>
      </c>
      <c t="s">
        <v>3893</v>
      </c>
      <c t="s">
        <v>62988</v>
      </c>
      <c t="s">
        <v>65722</v>
      </c>
      <c s="3">
        <v>7743</v>
      </c>
      <c s="3">
        <v>7743</v>
      </c>
      <c s="3">
        <v>4972</v>
      </c>
      <c>
        <v>0</v>
      </c>
      <c s="3">
        <v>0</v>
      </c>
      <c s="3">
        <v>316.66</v>
      </c>
      <c s="3">
        <v>7743</v>
      </c>
      <c>
        <v>2015</v>
      </c>
      <c>
        <v>2523.09</v>
      </c>
      <c s="1" t="str">
        <f ca="1">HYPERLINK("https://web.datatree.com/?/property?propertyId=33127035", "https://web.datatree.com/?/property?propertyId=33127035")</f>
        <v>https://web.datatree.com/?/property?propertyId=33127035</v>
      </c>
      <c r="Q3039" t="s">
        <v>316</v>
      </c>
      <c>
        <v>0.236</v>
      </c>
      <c t="s">
        <v>5471</v>
      </c>
      <c t="s">
        <v>3152</v>
      </c>
      <c t="s">
        <v>65635</v>
      </c>
      <c r="X3039" t="s">
        <v>37406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1890</v>
      </c>
      <c>
        <v>300</v>
      </c>
      <c r="AI3039" t="s">
        <v>38191</v>
      </c>
      <c t="s">
        <v>45620</v>
      </c>
      <c t="s">
        <v>36266</v>
      </c>
      <c t="s">
        <v>47384</v>
      </c>
      <c r="AN3039" t="s">
        <v>27747</v>
      </c>
      <c t="s">
        <v>22393</v>
      </c>
      <c t="s">
        <v>43294</v>
      </c>
      <c t="s">
        <v>3093</v>
      </c>
      <c t="s">
        <v>21528</v>
      </c>
    </row>
    <row>
      <c t="s">
        <v>17594</v>
      </c>
      <c t="s">
        <v>8721</v>
      </c>
      <c t="s">
        <v>43667</v>
      </c>
      <c t="s">
        <v>57357</v>
      </c>
      <c t="s">
        <v>2204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3040" s="1" t="str">
        <f ca="1">HYPERLINK("https://web.datatree.com/?/property?propertyId=33127095", "https://web.datatree.com/?/property?propertyId=33127095")</f>
        <v>https://web.datatree.com/?/property?propertyId=33127095</v>
      </c>
      <c r="Q3040" t="s">
        <v>316</v>
      </c>
      <c>
        <v>0.244</v>
      </c>
      <c t="s">
        <v>6175</v>
      </c>
      <c t="s">
        <v>3293</v>
      </c>
      <c t="s">
        <v>33878</v>
      </c>
      <c t="s">
        <v>48320</v>
      </c>
      <c t="s">
        <v>33878</v>
      </c>
      <c t="s">
        <v>16849</v>
      </c>
      <c t="s">
        <v>13829</v>
      </c>
      <c t="s">
        <v>2517</v>
      </c>
      <c t="s">
        <v>39289</v>
      </c>
      <c>
        <v>33909</v>
      </c>
      <c t="s">
        <v>163</v>
      </c>
      <c t="s">
        <v>48794</v>
      </c>
      <c t="s">
        <v>51132</v>
      </c>
      <c>
        <v>2640</v>
      </c>
      <c r="AH3040" t="s">
        <v>57851</v>
      </c>
      <c t="s">
        <v>33985</v>
      </c>
      <c t="s">
        <v>31192</v>
      </c>
      <c>
        <v>506</v>
      </c>
      <c t="s">
        <v>46797</v>
      </c>
      <c r="AN3040" t="s">
        <v>39289</v>
      </c>
      <c t="s">
        <v>43838</v>
      </c>
      <c t="s">
        <v>34025</v>
      </c>
      <c t="s">
        <v>3093</v>
      </c>
      <c t="s">
        <v>24902</v>
      </c>
    </row>
    <row>
      <c t="s">
        <v>17594</v>
      </c>
      <c t="s">
        <v>61054</v>
      </c>
      <c t="s">
        <v>35696</v>
      </c>
      <c t="s">
        <v>52747</v>
      </c>
      <c t="s">
        <v>26720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041" s="1" t="str">
        <f ca="1">HYPERLINK("https://web.datatree.com/?/property?propertyId=33127976", "https://web.datatree.com/?/property?propertyId=33127976")</f>
        <v>https://web.datatree.com/?/property?propertyId=33127976</v>
      </c>
      <c r="Q3041" t="s">
        <v>316</v>
      </c>
      <c>
        <v>0.23</v>
      </c>
      <c t="s">
        <v>22490</v>
      </c>
      <c t="s">
        <v>552</v>
      </c>
      <c t="s">
        <v>61364</v>
      </c>
      <c t="s">
        <v>66929</v>
      </c>
      <c t="s">
        <v>61364</v>
      </c>
      <c t="s">
        <v>5827</v>
      </c>
      <c t="s">
        <v>39082</v>
      </c>
      <c t="s">
        <v>2517</v>
      </c>
      <c t="s">
        <v>39289</v>
      </c>
      <c>
        <v>33909</v>
      </c>
      <c t="s">
        <v>8914</v>
      </c>
      <c t="s">
        <v>48794</v>
      </c>
      <c t="s">
        <v>140</v>
      </c>
      <c>
        <v>171</v>
      </c>
      <c r="AI3041" t="s">
        <v>1170</v>
      </c>
      <c t="s">
        <v>45620</v>
      </c>
      <c r="AL3041" t="s">
        <v>51145</v>
      </c>
      <c r="AN3041" t="s">
        <v>22275</v>
      </c>
      <c t="s">
        <v>41693</v>
      </c>
      <c t="s">
        <v>702</v>
      </c>
      <c t="s">
        <v>3093</v>
      </c>
      <c t="s">
        <v>8260</v>
      </c>
    </row>
    <row>
      <c t="s">
        <v>17594</v>
      </c>
      <c t="s">
        <v>55866</v>
      </c>
      <c t="s">
        <v>54933</v>
      </c>
      <c t="s">
        <v>67178</v>
      </c>
      <c t="s">
        <v>51815</v>
      </c>
      <c s="3">
        <v>135000</v>
      </c>
      <c s="3">
        <v>135000</v>
      </c>
      <c s="3">
        <v>135000</v>
      </c>
      <c>
        <v>0</v>
      </c>
      <c s="3">
        <v>0</v>
      </c>
      <c s="3">
        <v>5591.94</v>
      </c>
      <c s="3">
        <v>135000</v>
      </c>
      <c r="O3042" s="1" t="str">
        <f ca="1">HYPERLINK("https://web.datatree.com/?/property?propertyId=33128647", "https://web.datatree.com/?/property?propertyId=33128647")</f>
        <v>https://web.datatree.com/?/property?propertyId=33128647</v>
      </c>
      <c r="Q3042" t="s">
        <v>316</v>
      </c>
      <c>
        <v>0.376</v>
      </c>
      <c t="s">
        <v>60849</v>
      </c>
      <c t="s">
        <v>58113</v>
      </c>
      <c t="s">
        <v>23841</v>
      </c>
      <c t="s">
        <v>66587</v>
      </c>
      <c t="s">
        <v>23841</v>
      </c>
      <c t="s">
        <v>42579</v>
      </c>
      <c t="s">
        <v>62467</v>
      </c>
      <c t="s">
        <v>65059</v>
      </c>
      <c t="s">
        <v>39289</v>
      </c>
      <c>
        <v>33905</v>
      </c>
      <c t="s">
        <v>50784</v>
      </c>
      <c t="s">
        <v>48794</v>
      </c>
      <c t="s">
        <v>14809</v>
      </c>
      <c>
        <v>111</v>
      </c>
      <c r="AI3042" t="s">
        <v>65597</v>
      </c>
      <c t="s">
        <v>24900</v>
      </c>
      <c r="AL3042" t="s">
        <v>19114</v>
      </c>
      <c t="s">
        <v>19114</v>
      </c>
      <c t="s">
        <v>26016</v>
      </c>
      <c t="s">
        <v>16331</v>
      </c>
      <c t="s">
        <v>53660</v>
      </c>
      <c t="s">
        <v>3093</v>
      </c>
      <c t="s">
        <v>23470</v>
      </c>
    </row>
    <row>
      <c t="s">
        <v>17594</v>
      </c>
      <c t="s">
        <v>56682</v>
      </c>
      <c t="s">
        <v>25303</v>
      </c>
      <c t="s">
        <v>19201</v>
      </c>
      <c t="s">
        <v>1905</v>
      </c>
      <c s="3">
        <v>22990</v>
      </c>
      <c s="3">
        <v>22990</v>
      </c>
      <c s="3">
        <v>11495</v>
      </c>
      <c>
        <v>0</v>
      </c>
      <c s="3">
        <v>0</v>
      </c>
      <c s="3">
        <v>663.05</v>
      </c>
      <c s="3">
        <v>22990</v>
      </c>
      <c r="O3043" s="1" t="str">
        <f ca="1">HYPERLINK("https://web.datatree.com/?/property?propertyId=33128794", "https://web.datatree.com/?/property?propertyId=33128794")</f>
        <v>https://web.datatree.com/?/property?propertyId=33128794</v>
      </c>
      <c r="Q3043" t="s">
        <v>316</v>
      </c>
      <c>
        <v>0.281</v>
      </c>
      <c t="s">
        <v>22490</v>
      </c>
      <c t="s">
        <v>1859</v>
      </c>
      <c t="s">
        <v>60955</v>
      </c>
      <c t="s">
        <v>35506</v>
      </c>
      <c t="s">
        <v>60955</v>
      </c>
      <c t="s">
        <v>39456</v>
      </c>
      <c t="s">
        <v>50440</v>
      </c>
      <c t="s">
        <v>2517</v>
      </c>
      <c t="s">
        <v>39289</v>
      </c>
      <c>
        <v>33904</v>
      </c>
      <c t="s">
        <v>59964</v>
      </c>
      <c t="s">
        <v>48794</v>
      </c>
      <c t="s">
        <v>44576</v>
      </c>
      <c>
        <v>22</v>
      </c>
      <c r="AI3043" t="s">
        <v>51034</v>
      </c>
      <c r="AL3043" t="s">
        <v>28414</v>
      </c>
      <c r="AN3043" t="s">
        <v>27481</v>
      </c>
      <c>
        <v>54750</v>
      </c>
      <c r="AR3043" t="s">
        <v>60893</v>
      </c>
    </row>
    <row>
      <c t="s">
        <v>17594</v>
      </c>
      <c t="s">
        <v>23614</v>
      </c>
      <c t="s">
        <v>34244</v>
      </c>
      <c t="s">
        <v>24883</v>
      </c>
      <c t="s">
        <v>14386</v>
      </c>
      <c s="3">
        <v>13610</v>
      </c>
      <c s="3">
        <v>13610</v>
      </c>
      <c s="3">
        <v>2803</v>
      </c>
      <c>
        <v>0</v>
      </c>
      <c s="3">
        <v>0</v>
      </c>
      <c s="3">
        <v>104.82</v>
      </c>
      <c s="3">
        <v>13610</v>
      </c>
      <c r="O3044" s="1" t="str">
        <f ca="1">HYPERLINK("https://web.datatree.com/?/property?propertyId=33128956", "https://web.datatree.com/?/property?propertyId=33128956")</f>
        <v>https://web.datatree.com/?/property?propertyId=33128956</v>
      </c>
      <c r="Q3044" t="s">
        <v>316</v>
      </c>
      <c>
        <v>0.228</v>
      </c>
      <c t="s">
        <v>5471</v>
      </c>
      <c t="s">
        <v>33621</v>
      </c>
      <c t="s">
        <v>3470</v>
      </c>
      <c r="X3044" t="s">
        <v>32364</v>
      </c>
      <c t="s">
        <v>23193</v>
      </c>
      <c t="s">
        <v>54524</v>
      </c>
      <c t="s">
        <v>39289</v>
      </c>
      <c>
        <v>33903</v>
      </c>
      <c t="s">
        <v>30908</v>
      </c>
      <c t="s">
        <v>48794</v>
      </c>
      <c t="s">
        <v>64317</v>
      </c>
      <c>
        <v>18</v>
      </c>
      <c r="AI3044" t="s">
        <v>51168</v>
      </c>
      <c t="s">
        <v>24900</v>
      </c>
      <c r="AL3044" t="s">
        <v>57358</v>
      </c>
      <c r="AN3044" t="s">
        <v>26016</v>
      </c>
      <c t="s">
        <v>34267</v>
      </c>
      <c t="s">
        <v>23744</v>
      </c>
      <c t="s">
        <v>3093</v>
      </c>
      <c t="s">
        <v>14270</v>
      </c>
    </row>
    <row>
      <c t="s">
        <v>17594</v>
      </c>
      <c t="s">
        <v>14136</v>
      </c>
      <c t="s">
        <v>13765</v>
      </c>
      <c t="s">
        <v>37629</v>
      </c>
      <c t="s">
        <v>30642</v>
      </c>
      <c s="3">
        <v>9664</v>
      </c>
      <c s="3">
        <v>9664</v>
      </c>
      <c s="3">
        <v>6490</v>
      </c>
      <c>
        <v>0</v>
      </c>
      <c s="3">
        <v>0</v>
      </c>
      <c s="3">
        <v>118.71</v>
      </c>
      <c s="3">
        <v>9664</v>
      </c>
      <c r="O3045" s="1" t="str">
        <f ca="1">HYPERLINK("https://web.datatree.com/?/property?propertyId=33129483", "https://web.datatree.com/?/property?propertyId=33129483")</f>
        <v>https://web.datatree.com/?/property?propertyId=33129483</v>
      </c>
      <c r="Q3045" t="s">
        <v>316</v>
      </c>
      <c>
        <v>0.166</v>
      </c>
      <c t="s">
        <v>5471</v>
      </c>
      <c t="s">
        <v>66736</v>
      </c>
      <c t="s">
        <v>40611</v>
      </c>
      <c r="X3045" t="s">
        <v>63195</v>
      </c>
      <c t="s">
        <v>6510</v>
      </c>
      <c t="s">
        <v>65059</v>
      </c>
      <c t="s">
        <v>39289</v>
      </c>
      <c>
        <v>33905</v>
      </c>
      <c t="s">
        <v>5038</v>
      </c>
      <c t="s">
        <v>48794</v>
      </c>
      <c t="s">
        <v>64361</v>
      </c>
      <c>
        <v>9918</v>
      </c>
      <c r="AI3045" t="s">
        <v>46141</v>
      </c>
      <c t="s">
        <v>4985</v>
      </c>
      <c>
        <v>303</v>
      </c>
      <c t="s">
        <v>36080</v>
      </c>
      <c t="s">
        <v>13492</v>
      </c>
      <c t="s">
        <v>39289</v>
      </c>
      <c t="s">
        <v>939</v>
      </c>
      <c t="s">
        <v>44428</v>
      </c>
      <c t="s">
        <v>3093</v>
      </c>
      <c t="s">
        <v>50457</v>
      </c>
    </row>
    <row>
      <c t="s">
        <v>17594</v>
      </c>
      <c t="s">
        <v>37676</v>
      </c>
      <c t="s">
        <v>44401</v>
      </c>
      <c t="s">
        <v>49457</v>
      </c>
      <c t="s">
        <v>18031</v>
      </c>
      <c s="3">
        <v>111405</v>
      </c>
      <c s="3">
        <v>111405</v>
      </c>
      <c s="3">
        <v>111405</v>
      </c>
      <c>
        <v>0</v>
      </c>
      <c s="3">
        <v>0</v>
      </c>
      <c s="3">
        <v>2173.01</v>
      </c>
      <c s="3">
        <v>111405</v>
      </c>
      <c r="O3046" s="1" t="str">
        <f ca="1">HYPERLINK("https://web.datatree.com/?/property?propertyId=33130375", "https://web.datatree.com/?/property?propertyId=33130375")</f>
        <v>https://web.datatree.com/?/property?propertyId=33130375</v>
      </c>
      <c r="Q3046" t="s">
        <v>316</v>
      </c>
      <c>
        <v>0.235</v>
      </c>
      <c t="s">
        <v>22490</v>
      </c>
      <c t="s">
        <v>65985</v>
      </c>
      <c t="s">
        <v>12924</v>
      </c>
      <c t="s">
        <v>46605</v>
      </c>
      <c t="s">
        <v>12924</v>
      </c>
      <c t="s">
        <v>2471</v>
      </c>
      <c t="s">
        <v>64331</v>
      </c>
      <c t="s">
        <v>2517</v>
      </c>
      <c t="s">
        <v>39289</v>
      </c>
      <c>
        <v>33904</v>
      </c>
      <c t="s">
        <v>4420</v>
      </c>
      <c t="s">
        <v>48794</v>
      </c>
      <c t="s">
        <v>32468</v>
      </c>
      <c>
        <v>2695</v>
      </c>
      <c r="AI3046" t="s">
        <v>30230</v>
      </c>
      <c t="s">
        <v>1671</v>
      </c>
      <c r="AL3046" t="s">
        <v>2960</v>
      </c>
      <c t="s">
        <v>2960</v>
      </c>
      <c t="s">
        <v>14798</v>
      </c>
      <c t="s">
        <v>48489</v>
      </c>
      <c t="s">
        <v>39566</v>
      </c>
      <c t="s">
        <v>3093</v>
      </c>
      <c t="s">
        <v>46351</v>
      </c>
    </row>
    <row>
      <c t="s">
        <v>17594</v>
      </c>
      <c t="s">
        <v>1884</v>
      </c>
      <c t="s">
        <v>22989</v>
      </c>
      <c t="s">
        <v>32506</v>
      </c>
      <c t="s">
        <v>24777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3047" s="1" t="str">
        <f ca="1">HYPERLINK("https://web.datatree.com/?/property?propertyId=33131028", "https://web.datatree.com/?/property?propertyId=33131028")</f>
        <v>https://web.datatree.com/?/property?propertyId=33131028</v>
      </c>
      <c r="Q3047" t="s">
        <v>316</v>
      </c>
      <c>
        <v>0.241</v>
      </c>
      <c t="s">
        <v>6175</v>
      </c>
      <c t="s">
        <v>13877</v>
      </c>
      <c t="s">
        <v>60219</v>
      </c>
      <c t="s">
        <v>1149</v>
      </c>
      <c t="s">
        <v>60219</v>
      </c>
      <c t="s">
        <v>53147</v>
      </c>
      <c t="s">
        <v>38550</v>
      </c>
      <c t="s">
        <v>2517</v>
      </c>
      <c t="s">
        <v>39289</v>
      </c>
      <c>
        <v>33909</v>
      </c>
      <c t="s">
        <v>55455</v>
      </c>
      <c t="s">
        <v>48794</v>
      </c>
      <c t="s">
        <v>64544</v>
      </c>
      <c>
        <v>60</v>
      </c>
      <c r="AI3047" t="s">
        <v>2308</v>
      </c>
      <c t="s">
        <v>20615</v>
      </c>
      <c r="AL3047" t="s">
        <v>8109</v>
      </c>
      <c r="AN3047" t="s">
        <v>50917</v>
      </c>
      <c t="s">
        <v>45604</v>
      </c>
      <c t="s">
        <v>4480</v>
      </c>
      <c t="s">
        <v>3093</v>
      </c>
      <c t="s">
        <v>28402</v>
      </c>
    </row>
    <row>
      <c t="s">
        <v>17594</v>
      </c>
      <c t="s">
        <v>45292</v>
      </c>
      <c t="s">
        <v>26025</v>
      </c>
      <c t="s">
        <v>27693</v>
      </c>
      <c t="s">
        <v>36699</v>
      </c>
      <c s="3">
        <v>41000</v>
      </c>
      <c s="3">
        <v>41000</v>
      </c>
      <c s="3">
        <v>41000</v>
      </c>
      <c>
        <v>0</v>
      </c>
      <c s="3">
        <v>0</v>
      </c>
      <c s="3">
        <v>1022.16</v>
      </c>
      <c s="3">
        <v>41000</v>
      </c>
      <c r="O3048" s="1" t="str">
        <f ca="1">HYPERLINK("https://web.datatree.com/?/property?propertyId=33131724", "https://web.datatree.com/?/property?propertyId=33131724")</f>
        <v>https://web.datatree.com/?/property?propertyId=33131724</v>
      </c>
      <c r="Q3048" t="s">
        <v>316</v>
      </c>
      <c>
        <v>0.23</v>
      </c>
      <c t="s">
        <v>14479</v>
      </c>
      <c t="s">
        <v>52345</v>
      </c>
      <c t="s">
        <v>27594</v>
      </c>
      <c t="s">
        <v>28262</v>
      </c>
      <c t="s">
        <v>12671</v>
      </c>
      <c t="s">
        <v>51124</v>
      </c>
      <c t="s">
        <v>39082</v>
      </c>
      <c t="s">
        <v>2517</v>
      </c>
      <c t="s">
        <v>39289</v>
      </c>
      <c>
        <v>33909</v>
      </c>
      <c t="s">
        <v>64059</v>
      </c>
      <c t="s">
        <v>48794</v>
      </c>
      <c t="s">
        <v>19278</v>
      </c>
      <c>
        <v>790</v>
      </c>
      <c r="AI3048" t="s">
        <v>53507</v>
      </c>
      <c t="s">
        <v>1289</v>
      </c>
      <c>
        <v>102</v>
      </c>
      <c t="s">
        <v>58736</v>
      </c>
      <c t="s">
        <v>58736</v>
      </c>
      <c t="s">
        <v>17331</v>
      </c>
      <c t="s">
        <v>35903</v>
      </c>
      <c t="s">
        <v>15968</v>
      </c>
      <c t="s">
        <v>3093</v>
      </c>
      <c t="s">
        <v>35592</v>
      </c>
    </row>
    <row>
      <c t="s">
        <v>17594</v>
      </c>
      <c t="s">
        <v>51334</v>
      </c>
      <c t="s">
        <v>17916</v>
      </c>
      <c t="s">
        <v>22596</v>
      </c>
      <c t="s">
        <v>7075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049" s="1" t="str">
        <f ca="1">HYPERLINK("https://web.datatree.com/?/property?propertyId=33132326", "https://web.datatree.com/?/property?propertyId=33132326")</f>
        <v>https://web.datatree.com/?/property?propertyId=33132326</v>
      </c>
      <c r="Q3049" t="s">
        <v>316</v>
      </c>
      <c>
        <v>0.23</v>
      </c>
      <c t="s">
        <v>22490</v>
      </c>
      <c t="s">
        <v>34706</v>
      </c>
      <c t="s">
        <v>10285</v>
      </c>
      <c r="X3049" t="s">
        <v>5653</v>
      </c>
      <c t="s">
        <v>44061</v>
      </c>
      <c t="s">
        <v>2517</v>
      </c>
      <c t="s">
        <v>39289</v>
      </c>
      <c>
        <v>33909</v>
      </c>
      <c t="s">
        <v>65575</v>
      </c>
      <c t="s">
        <v>48794</v>
      </c>
      <c t="s">
        <v>49243</v>
      </c>
      <c>
        <v>19053</v>
      </c>
      <c r="AI3049" t="s">
        <v>33179</v>
      </c>
      <c t="s">
        <v>45393</v>
      </c>
      <c>
        <v>2</v>
      </c>
      <c t="s">
        <v>55393</v>
      </c>
      <c t="s">
        <v>18365</v>
      </c>
      <c t="s">
        <v>39289</v>
      </c>
      <c>
        <v>33174</v>
      </c>
      <c r="AQ3049" t="s">
        <v>3093</v>
      </c>
      <c t="s">
        <v>9930</v>
      </c>
    </row>
    <row>
      <c t="s">
        <v>17594</v>
      </c>
      <c t="s">
        <v>3958</v>
      </c>
      <c t="s">
        <v>60559</v>
      </c>
      <c t="s">
        <v>20943</v>
      </c>
      <c t="s">
        <v>2964</v>
      </c>
      <c s="3">
        <v>18079</v>
      </c>
      <c s="3">
        <v>18079</v>
      </c>
      <c s="3">
        <v>9130</v>
      </c>
      <c>
        <v>0</v>
      </c>
      <c s="3">
        <v>0</v>
      </c>
      <c s="3">
        <v>581.68</v>
      </c>
      <c s="3">
        <v>18079</v>
      </c>
      <c r="O3050" s="1" t="str">
        <f ca="1">HYPERLINK("https://web.datatree.com/?/property?propertyId=33133115", "https://web.datatree.com/?/property?propertyId=33133115")</f>
        <v>https://web.datatree.com/?/property?propertyId=33133115</v>
      </c>
      <c r="Q3050" t="s">
        <v>316</v>
      </c>
      <c>
        <v>0.226</v>
      </c>
      <c t="s">
        <v>45031</v>
      </c>
      <c t="s">
        <v>27351</v>
      </c>
      <c t="s">
        <v>49622</v>
      </c>
      <c r="X3050" t="s">
        <v>22912</v>
      </c>
      <c t="s">
        <v>22731</v>
      </c>
      <c t="s">
        <v>2517</v>
      </c>
      <c t="s">
        <v>39289</v>
      </c>
      <c>
        <v>33909</v>
      </c>
      <c t="s">
        <v>53151</v>
      </c>
      <c t="s">
        <v>48794</v>
      </c>
      <c t="s">
        <v>25928</v>
      </c>
      <c>
        <v>215</v>
      </c>
      <c r="AI3050" t="s">
        <v>26827</v>
      </c>
      <c t="s">
        <v>31192</v>
      </c>
      <c r="AL3050" t="s">
        <v>50455</v>
      </c>
      <c r="AN3050" t="s">
        <v>27222</v>
      </c>
      <c t="s">
        <v>34439</v>
      </c>
      <c t="s">
        <v>1951</v>
      </c>
      <c t="s">
        <v>3093</v>
      </c>
      <c t="s">
        <v>28455</v>
      </c>
    </row>
    <row>
      <c t="s">
        <v>17594</v>
      </c>
      <c t="s">
        <v>47687</v>
      </c>
      <c t="s">
        <v>57480</v>
      </c>
      <c t="s">
        <v>35114</v>
      </c>
      <c t="s">
        <v>53310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3051" s="1" t="str">
        <f ca="1">HYPERLINK("https://web.datatree.com/?/property?propertyId=33133169", "https://web.datatree.com/?/property?propertyId=33133169")</f>
        <v>https://web.datatree.com/?/property?propertyId=33133169</v>
      </c>
      <c r="Q3051" t="s">
        <v>316</v>
      </c>
      <c>
        <v>0.241</v>
      </c>
      <c t="s">
        <v>6175</v>
      </c>
      <c t="s">
        <v>16200</v>
      </c>
      <c t="s">
        <v>28747</v>
      </c>
      <c t="s">
        <v>16558</v>
      </c>
      <c t="s">
        <v>28747</v>
      </c>
      <c t="s">
        <v>36528</v>
      </c>
      <c t="s">
        <v>23517</v>
      </c>
      <c t="s">
        <v>2517</v>
      </c>
      <c t="s">
        <v>39289</v>
      </c>
      <c>
        <v>33909</v>
      </c>
      <c t="s">
        <v>23360</v>
      </c>
      <c t="s">
        <v>48794</v>
      </c>
      <c t="s">
        <v>10243</v>
      </c>
      <c>
        <v>708</v>
      </c>
      <c r="AI3051" t="s">
        <v>8819</v>
      </c>
      <c t="s">
        <v>45620</v>
      </c>
      <c r="AL3051" t="s">
        <v>8195</v>
      </c>
      <c r="AN3051" t="s">
        <v>65467</v>
      </c>
      <c t="s">
        <v>58565</v>
      </c>
      <c t="s">
        <v>12399</v>
      </c>
      <c t="s">
        <v>3093</v>
      </c>
      <c t="s">
        <v>36437</v>
      </c>
    </row>
    <row>
      <c t="s">
        <v>17594</v>
      </c>
      <c t="s">
        <v>43514</v>
      </c>
      <c t="s">
        <v>57366</v>
      </c>
      <c t="s">
        <v>24818</v>
      </c>
      <c t="s">
        <v>23190</v>
      </c>
      <c s="3">
        <v>145350</v>
      </c>
      <c s="3">
        <v>145350</v>
      </c>
      <c s="3">
        <v>145350</v>
      </c>
      <c>
        <v>0</v>
      </c>
      <c s="3">
        <v>0</v>
      </c>
      <c s="3">
        <v>4208</v>
      </c>
      <c s="3">
        <v>145350</v>
      </c>
      <c r="O3052" s="1" t="str">
        <f ca="1">HYPERLINK("https://web.datatree.com/?/property?propertyId=33133660", "https://web.datatree.com/?/property?propertyId=33133660")</f>
        <v>https://web.datatree.com/?/property?propertyId=33133660</v>
      </c>
      <c r="Q3052" t="s">
        <v>316</v>
      </c>
      <c>
        <v>0.383</v>
      </c>
      <c t="s">
        <v>60849</v>
      </c>
      <c r="U3052" t="s">
        <v>14832</v>
      </c>
      <c t="s">
        <v>64201</v>
      </c>
      <c t="s">
        <v>49933</v>
      </c>
      <c t="s">
        <v>28551</v>
      </c>
      <c t="s">
        <v>47461</v>
      </c>
      <c t="s">
        <v>65059</v>
      </c>
      <c t="s">
        <v>39289</v>
      </c>
      <c>
        <v>33905</v>
      </c>
      <c t="s">
        <v>37677</v>
      </c>
      <c t="s">
        <v>48794</v>
      </c>
      <c t="s">
        <v>48182</v>
      </c>
      <c>
        <v>1240</v>
      </c>
      <c r="AI3052" t="s">
        <v>34731</v>
      </c>
      <c t="s">
        <v>45393</v>
      </c>
      <c>
        <v>1302</v>
      </c>
      <c t="s">
        <v>21604</v>
      </c>
      <c t="s">
        <v>21604</v>
      </c>
      <c t="s">
        <v>50829</v>
      </c>
      <c t="s">
        <v>49651</v>
      </c>
      <c t="s">
        <v>5948</v>
      </c>
      <c t="s">
        <v>3093</v>
      </c>
      <c t="s">
        <v>42888</v>
      </c>
    </row>
    <row>
      <c t="s">
        <v>17594</v>
      </c>
      <c t="s">
        <v>9158</v>
      </c>
      <c t="s">
        <v>29792</v>
      </c>
      <c t="s">
        <v>14425</v>
      </c>
      <c t="s">
        <v>18801</v>
      </c>
      <c s="3">
        <v>61791</v>
      </c>
      <c s="3">
        <v>61791</v>
      </c>
      <c s="3">
        <v>7425</v>
      </c>
      <c>
        <v>0</v>
      </c>
      <c s="3">
        <v>0</v>
      </c>
      <c s="3">
        <v>135.79</v>
      </c>
      <c s="3">
        <v>61791</v>
      </c>
      <c>
        <v>2017</v>
      </c>
      <c>
        <v>1502.5</v>
      </c>
      <c s="1" t="str">
        <f ca="1">HYPERLINK("https://web.datatree.com/?/property?propertyId=33134070", "https://web.datatree.com/?/property?propertyId=33134070")</f>
        <v>https://web.datatree.com/?/property?propertyId=33134070</v>
      </c>
      <c r="Q3053" t="s">
        <v>316</v>
      </c>
      <c>
        <v>0.194</v>
      </c>
      <c t="s">
        <v>5471</v>
      </c>
      <c t="s">
        <v>44541</v>
      </c>
      <c t="s">
        <v>7889</v>
      </c>
      <c r="X3053" t="s">
        <v>39241</v>
      </c>
      <c t="s">
        <v>14937</v>
      </c>
      <c t="s">
        <v>65059</v>
      </c>
      <c t="s">
        <v>39289</v>
      </c>
      <c>
        <v>33905</v>
      </c>
      <c t="s">
        <v>54348</v>
      </c>
      <c t="s">
        <v>48794</v>
      </c>
      <c t="s">
        <v>34545</v>
      </c>
      <c>
        <v>3360</v>
      </c>
      <c r="AI3053" t="s">
        <v>41142</v>
      </c>
      <c t="s">
        <v>4985</v>
      </c>
      <c t="s">
        <v>46834</v>
      </c>
      <c t="s">
        <v>3186</v>
      </c>
      <c r="AN3053" t="s">
        <v>39289</v>
      </c>
      <c t="s">
        <v>13512</v>
      </c>
      <c t="s">
        <v>62830</v>
      </c>
      <c t="s">
        <v>3093</v>
      </c>
      <c t="s">
        <v>38459</v>
      </c>
    </row>
    <row>
      <c t="s">
        <v>17594</v>
      </c>
      <c t="s">
        <v>5797</v>
      </c>
      <c t="s">
        <v>50684</v>
      </c>
      <c t="s">
        <v>61903</v>
      </c>
      <c t="s">
        <v>54908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3054" s="1" t="str">
        <f ca="1">HYPERLINK("https://web.datatree.com/?/property?propertyId=33134303", "https://web.datatree.com/?/property?propertyId=33134303")</f>
        <v>https://web.datatree.com/?/property?propertyId=33134303</v>
      </c>
      <c r="Q3054" t="s">
        <v>316</v>
      </c>
      <c>
        <v>0.23</v>
      </c>
      <c t="s">
        <v>6175</v>
      </c>
      <c t="s">
        <v>27631</v>
      </c>
      <c t="s">
        <v>51416</v>
      </c>
      <c r="X3054" t="s">
        <v>33195</v>
      </c>
      <c t="s">
        <v>38550</v>
      </c>
      <c t="s">
        <v>2517</v>
      </c>
      <c t="s">
        <v>39289</v>
      </c>
      <c>
        <v>33909</v>
      </c>
      <c t="s">
        <v>47285</v>
      </c>
      <c t="s">
        <v>48794</v>
      </c>
      <c t="s">
        <v>44135</v>
      </c>
      <c>
        <v>76</v>
      </c>
      <c r="AI3054" t="s">
        <v>6660</v>
      </c>
      <c t="s">
        <v>31192</v>
      </c>
      <c r="AL3054" t="s">
        <v>26964</v>
      </c>
      <c r="AN3054" t="s">
        <v>50917</v>
      </c>
      <c t="s">
        <v>20296</v>
      </c>
      <c t="s">
        <v>52247</v>
      </c>
      <c t="s">
        <v>3093</v>
      </c>
      <c t="s">
        <v>43654</v>
      </c>
    </row>
    <row>
      <c t="s">
        <v>17594</v>
      </c>
      <c t="s">
        <v>51436</v>
      </c>
      <c t="s">
        <v>57397</v>
      </c>
      <c t="s">
        <v>64200</v>
      </c>
      <c t="s">
        <v>31306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3055" s="1" t="str">
        <f ca="1">HYPERLINK("https://web.datatree.com/?/property?propertyId=33134511", "https://web.datatree.com/?/property?propertyId=33134511")</f>
        <v>https://web.datatree.com/?/property?propertyId=33134511</v>
      </c>
      <c r="Q3055" t="s">
        <v>316</v>
      </c>
      <c>
        <v>0.244</v>
      </c>
      <c t="s">
        <v>6175</v>
      </c>
      <c t="s">
        <v>2140</v>
      </c>
      <c t="s">
        <v>66460</v>
      </c>
      <c t="s">
        <v>44541</v>
      </c>
      <c t="s">
        <v>49427</v>
      </c>
      <c t="s">
        <v>32533</v>
      </c>
      <c t="s">
        <v>30928</v>
      </c>
      <c t="s">
        <v>2517</v>
      </c>
      <c t="s">
        <v>39289</v>
      </c>
      <c>
        <v>33909</v>
      </c>
      <c t="s">
        <v>23707</v>
      </c>
      <c t="s">
        <v>48794</v>
      </c>
      <c t="s">
        <v>40728</v>
      </c>
      <c>
        <v>71</v>
      </c>
      <c r="AI3055" t="s">
        <v>53212</v>
      </c>
      <c t="s">
        <v>45620</v>
      </c>
      <c r="AL3055" t="s">
        <v>60079</v>
      </c>
      <c r="AN3055" t="s">
        <v>50917</v>
      </c>
      <c t="s">
        <v>10870</v>
      </c>
      <c t="s">
        <v>48506</v>
      </c>
      <c t="s">
        <v>3093</v>
      </c>
      <c t="s">
        <v>41183</v>
      </c>
    </row>
    <row>
      <c t="s">
        <v>17594</v>
      </c>
      <c t="s">
        <v>42901</v>
      </c>
      <c t="s">
        <v>64328</v>
      </c>
      <c t="s">
        <v>3185</v>
      </c>
      <c t="s">
        <v>22442</v>
      </c>
      <c s="3">
        <v>29525</v>
      </c>
      <c s="3">
        <v>29525</v>
      </c>
      <c s="3">
        <v>29332</v>
      </c>
      <c>
        <v>0</v>
      </c>
      <c s="3">
        <v>0</v>
      </c>
      <c s="3">
        <v>408.45</v>
      </c>
      <c s="3">
        <v>29525</v>
      </c>
      <c r="O3056" s="1" t="str">
        <f ca="1">HYPERLINK("https://web.datatree.com/?/property?propertyId=33135027", "https://web.datatree.com/?/property?propertyId=33135027")</f>
        <v>https://web.datatree.com/?/property?propertyId=33135027</v>
      </c>
      <c r="Q3056" t="s">
        <v>316</v>
      </c>
      <c>
        <v>0.056</v>
      </c>
      <c t="s">
        <v>54329</v>
      </c>
      <c t="s">
        <v>35852</v>
      </c>
      <c t="s">
        <v>19338</v>
      </c>
      <c t="s">
        <v>17005</v>
      </c>
      <c t="s">
        <v>19338</v>
      </c>
      <c t="s">
        <v>45144</v>
      </c>
      <c t="s">
        <v>17602</v>
      </c>
      <c t="s">
        <v>65059</v>
      </c>
      <c t="s">
        <v>39289</v>
      </c>
      <c>
        <v>33908</v>
      </c>
      <c t="s">
        <v>34952</v>
      </c>
      <c t="s">
        <v>48794</v>
      </c>
      <c t="s">
        <v>54431</v>
      </c>
      <c>
        <v>2801</v>
      </c>
      <c r="AI3056" t="s">
        <v>13914</v>
      </c>
      <c t="s">
        <v>45620</v>
      </c>
      <c r="AL3056" t="s">
        <v>8041</v>
      </c>
      <c t="s">
        <v>53482</v>
      </c>
      <c t="s">
        <v>17134</v>
      </c>
      <c t="s">
        <v>48285</v>
      </c>
      <c t="s">
        <v>37948</v>
      </c>
      <c t="s">
        <v>3093</v>
      </c>
      <c t="s">
        <v>4286</v>
      </c>
    </row>
    <row>
      <c t="s">
        <v>17594</v>
      </c>
      <c t="s">
        <v>57027</v>
      </c>
      <c t="s">
        <v>46248</v>
      </c>
      <c t="s">
        <v>48010</v>
      </c>
      <c t="s">
        <v>1358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3057" s="1" t="str">
        <f ca="1">HYPERLINK("https://web.datatree.com/?/property?propertyId=33135454", "https://web.datatree.com/?/property?propertyId=33135454")</f>
        <v>https://web.datatree.com/?/property?propertyId=33135454</v>
      </c>
      <c r="Q3057" t="s">
        <v>316</v>
      </c>
      <c>
        <v>0.242</v>
      </c>
      <c t="s">
        <v>6175</v>
      </c>
      <c r="U3057" t="s">
        <v>56378</v>
      </c>
      <c r="W3057" t="s">
        <v>18106</v>
      </c>
      <c t="s">
        <v>63020</v>
      </c>
      <c t="s">
        <v>46469</v>
      </c>
      <c t="s">
        <v>2517</v>
      </c>
      <c t="s">
        <v>39289</v>
      </c>
      <c>
        <v>33909</v>
      </c>
      <c t="s">
        <v>14128</v>
      </c>
      <c t="s">
        <v>48794</v>
      </c>
      <c t="s">
        <v>21892</v>
      </c>
      <c>
        <v>10111</v>
      </c>
      <c r="AI3057" t="s">
        <v>66701</v>
      </c>
      <c t="s">
        <v>50321</v>
      </c>
      <c r="AL3057" t="s">
        <v>4859</v>
      </c>
      <c r="AN3057" t="s">
        <v>39289</v>
      </c>
      <c t="s">
        <v>11670</v>
      </c>
      <c t="s">
        <v>3364</v>
      </c>
      <c t="s">
        <v>3093</v>
      </c>
      <c t="s">
        <v>58356</v>
      </c>
    </row>
    <row>
      <c t="s">
        <v>17594</v>
      </c>
      <c t="s">
        <v>3422</v>
      </c>
      <c t="s">
        <v>6065</v>
      </c>
      <c t="s">
        <v>46568</v>
      </c>
      <c t="s">
        <v>44601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2020</v>
      </c>
      <c>
        <v>1700.76</v>
      </c>
      <c s="1" t="str">
        <f ca="1">HYPERLINK("https://web.datatree.com/?/property?propertyId=33136083", "https://web.datatree.com/?/property?propertyId=33136083")</f>
        <v>https://web.datatree.com/?/property?propertyId=33136083</v>
      </c>
      <c r="Q3058" t="s">
        <v>316</v>
      </c>
      <c>
        <v>0.23</v>
      </c>
      <c t="s">
        <v>6175</v>
      </c>
      <c t="s">
        <v>60243</v>
      </c>
      <c t="s">
        <v>45368</v>
      </c>
      <c r="X3058" t="s">
        <v>572</v>
      </c>
      <c t="s">
        <v>33179</v>
      </c>
      <c t="s">
        <v>2517</v>
      </c>
      <c t="s">
        <v>39289</v>
      </c>
      <c>
        <v>33909</v>
      </c>
      <c t="s">
        <v>55537</v>
      </c>
      <c t="s">
        <v>48794</v>
      </c>
      <c t="s">
        <v>9644</v>
      </c>
      <c>
        <v>3435</v>
      </c>
      <c r="AI3058" t="s">
        <v>43756</v>
      </c>
      <c t="s">
        <v>45620</v>
      </c>
      <c>
        <v>203</v>
      </c>
      <c t="s">
        <v>48150</v>
      </c>
      <c r="AN3058" t="s">
        <v>39289</v>
      </c>
      <c t="s">
        <v>28043</v>
      </c>
      <c t="s">
        <v>22302</v>
      </c>
      <c t="s">
        <v>3093</v>
      </c>
      <c t="s">
        <v>67137</v>
      </c>
    </row>
    <row>
      <c t="s">
        <v>17594</v>
      </c>
      <c t="s">
        <v>64461</v>
      </c>
      <c t="s">
        <v>5593</v>
      </c>
      <c t="s">
        <v>5360</v>
      </c>
      <c t="s">
        <v>17999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059" s="1" t="str">
        <f ca="1">HYPERLINK("https://web.datatree.com/?/property?propertyId=33136104", "https://web.datatree.com/?/property?propertyId=33136104")</f>
        <v>https://web.datatree.com/?/property?propertyId=33136104</v>
      </c>
      <c r="Q3059" t="s">
        <v>316</v>
      </c>
      <c>
        <v>0.23</v>
      </c>
      <c t="s">
        <v>6175</v>
      </c>
      <c t="s">
        <v>44541</v>
      </c>
      <c t="s">
        <v>38798</v>
      </c>
      <c t="s">
        <v>10134</v>
      </c>
      <c t="s">
        <v>38798</v>
      </c>
      <c t="s">
        <v>50201</v>
      </c>
      <c t="s">
        <v>25017</v>
      </c>
      <c t="s">
        <v>2517</v>
      </c>
      <c t="s">
        <v>39289</v>
      </c>
      <c>
        <v>33909</v>
      </c>
      <c t="s">
        <v>24603</v>
      </c>
      <c t="s">
        <v>48794</v>
      </c>
      <c t="s">
        <v>28848</v>
      </c>
      <c>
        <v>4560</v>
      </c>
      <c r="AI3059" t="s">
        <v>16672</v>
      </c>
      <c t="s">
        <v>45620</v>
      </c>
      <c r="AL3059" t="s">
        <v>21176</v>
      </c>
      <c r="AN3059" t="s">
        <v>17331</v>
      </c>
      <c t="s">
        <v>39907</v>
      </c>
      <c t="s">
        <v>22455</v>
      </c>
      <c t="s">
        <v>3093</v>
      </c>
      <c t="s">
        <v>51867</v>
      </c>
    </row>
    <row>
      <c t="s">
        <v>17594</v>
      </c>
      <c t="s">
        <v>49726</v>
      </c>
      <c t="s">
        <v>49395</v>
      </c>
      <c t="s">
        <v>26661</v>
      </c>
      <c t="s">
        <v>52412</v>
      </c>
      <c s="3">
        <v>8100</v>
      </c>
      <c s="3">
        <v>8100</v>
      </c>
      <c s="3">
        <v>8100</v>
      </c>
      <c>
        <v>0</v>
      </c>
      <c s="3">
        <v>0</v>
      </c>
      <c s="3">
        <v>653.05</v>
      </c>
      <c s="3">
        <v>8100</v>
      </c>
      <c r="O3060" s="1" t="str">
        <f ca="1">HYPERLINK("https://web.datatree.com/?/property?propertyId=33136402", "https://web.datatree.com/?/property?propertyId=33136402")</f>
        <v>https://web.datatree.com/?/property?propertyId=33136402</v>
      </c>
      <c r="Q3060" t="s">
        <v>316</v>
      </c>
      <c>
        <v>0.241</v>
      </c>
      <c t="s">
        <v>6175</v>
      </c>
      <c t="s">
        <v>43093</v>
      </c>
      <c t="s">
        <v>5436</v>
      </c>
      <c t="s">
        <v>57763</v>
      </c>
      <c t="s">
        <v>5436</v>
      </c>
      <c t="s">
        <v>50208</v>
      </c>
      <c t="s">
        <v>55273</v>
      </c>
      <c t="s">
        <v>2517</v>
      </c>
      <c t="s">
        <v>39289</v>
      </c>
      <c>
        <v>33909</v>
      </c>
      <c t="s">
        <v>3119</v>
      </c>
      <c t="s">
        <v>48794</v>
      </c>
      <c t="s">
        <v>11260</v>
      </c>
      <c>
        <v>306</v>
      </c>
      <c r="AI3060" t="s">
        <v>65551</v>
      </c>
      <c t="s">
        <v>1671</v>
      </c>
      <c r="AL3060" t="s">
        <v>53029</v>
      </c>
      <c t="s">
        <v>53029</v>
      </c>
      <c t="s">
        <v>39289</v>
      </c>
      <c t="s">
        <v>13457</v>
      </c>
      <c t="s">
        <v>27780</v>
      </c>
      <c t="s">
        <v>3093</v>
      </c>
      <c t="s">
        <v>63257</v>
      </c>
    </row>
    <row>
      <c t="s">
        <v>17594</v>
      </c>
      <c t="s">
        <v>60651</v>
      </c>
      <c t="s">
        <v>30223</v>
      </c>
      <c t="s">
        <v>7033</v>
      </c>
      <c t="s">
        <v>59141</v>
      </c>
      <c s="3">
        <v>7980</v>
      </c>
      <c s="3">
        <v>7980</v>
      </c>
      <c s="3">
        <v>7980</v>
      </c>
      <c>
        <v>0</v>
      </c>
      <c s="3">
        <v>0</v>
      </c>
      <c s="3">
        <v>660.2</v>
      </c>
      <c s="3">
        <v>7980</v>
      </c>
      <c r="O3061" s="1" t="str">
        <f ca="1">HYPERLINK("https://web.datatree.com/?/property?propertyId=33136617", "https://web.datatree.com/?/property?propertyId=33136617")</f>
        <v>https://web.datatree.com/?/property?propertyId=33136617</v>
      </c>
      <c r="Q3061" t="s">
        <v>316</v>
      </c>
      <c>
        <v>0.337</v>
      </c>
      <c t="s">
        <v>22490</v>
      </c>
      <c t="s">
        <v>43826</v>
      </c>
      <c t="s">
        <v>32866</v>
      </c>
      <c r="X3061" t="s">
        <v>4506</v>
      </c>
      <c t="s">
        <v>8669</v>
      </c>
      <c t="s">
        <v>2517</v>
      </c>
      <c t="s">
        <v>39289</v>
      </c>
      <c>
        <v>33909</v>
      </c>
      <c t="s">
        <v>13215</v>
      </c>
      <c t="s">
        <v>48794</v>
      </c>
      <c t="s">
        <v>58179</v>
      </c>
      <c>
        <v>1412</v>
      </c>
      <c r="AI3061" t="s">
        <v>17120</v>
      </c>
      <c r="AL3061" t="s">
        <v>27443</v>
      </c>
      <c t="s">
        <v>27443</v>
      </c>
      <c t="s">
        <v>65451</v>
      </c>
      <c t="s">
        <v>1865</v>
      </c>
      <c t="s">
        <v>4797</v>
      </c>
      <c t="s">
        <v>3093</v>
      </c>
      <c t="s">
        <v>15994</v>
      </c>
    </row>
    <row>
      <c t="s">
        <v>17594</v>
      </c>
      <c t="s">
        <v>46317</v>
      </c>
      <c t="s">
        <v>3153</v>
      </c>
      <c t="s">
        <v>31943</v>
      </c>
      <c t="s">
        <v>46551</v>
      </c>
      <c s="3">
        <v>51664</v>
      </c>
      <c s="3">
        <v>51664</v>
      </c>
      <c s="3">
        <v>18863</v>
      </c>
      <c>
        <v>0</v>
      </c>
      <c s="3">
        <v>0</v>
      </c>
      <c s="3">
        <v>903.54</v>
      </c>
      <c s="3">
        <v>51664</v>
      </c>
      <c r="O3062" s="1" t="str">
        <f ca="1">HYPERLINK("https://web.datatree.com/?/property?propertyId=33136898", "https://web.datatree.com/?/property?propertyId=33136898")</f>
        <v>https://web.datatree.com/?/property?propertyId=33136898</v>
      </c>
      <c r="Q3062" t="s">
        <v>316</v>
      </c>
      <c>
        <v>0.27</v>
      </c>
      <c t="s">
        <v>6175</v>
      </c>
      <c r="U3062" t="s">
        <v>7739</v>
      </c>
      <c r="W3062" t="s">
        <v>38017</v>
      </c>
      <c t="s">
        <v>1157</v>
      </c>
      <c t="s">
        <v>7959</v>
      </c>
      <c t="s">
        <v>2517</v>
      </c>
      <c t="s">
        <v>39289</v>
      </c>
      <c>
        <v>33904</v>
      </c>
      <c t="s">
        <v>52433</v>
      </c>
      <c t="s">
        <v>48794</v>
      </c>
      <c t="s">
        <v>31674</v>
      </c>
      <c>
        <v>34510</v>
      </c>
      <c r="AI3062" t="s">
        <v>34124</v>
      </c>
      <c t="s">
        <v>45393</v>
      </c>
      <c r="AL3062" t="s">
        <v>8875</v>
      </c>
      <c r="AN3062" t="s">
        <v>51137</v>
      </c>
      <c t="s">
        <v>61443</v>
      </c>
      <c t="s">
        <v>26242</v>
      </c>
      <c t="s">
        <v>3093</v>
      </c>
      <c t="s">
        <v>57236</v>
      </c>
    </row>
    <row>
      <c t="s">
        <v>17594</v>
      </c>
      <c t="s">
        <v>49867</v>
      </c>
      <c t="s">
        <v>48813</v>
      </c>
      <c t="s">
        <v>60903</v>
      </c>
      <c t="s">
        <v>32571</v>
      </c>
      <c s="3">
        <v>71054</v>
      </c>
      <c s="3">
        <v>63500</v>
      </c>
      <c s="3">
        <v>69067</v>
      </c>
      <c>
        <v>0</v>
      </c>
      <c s="3">
        <v>0</v>
      </c>
      <c s="3">
        <v>1049.99</v>
      </c>
      <c s="3">
        <v>71054</v>
      </c>
      <c r="O3063" s="1" t="str">
        <f ca="1">HYPERLINK("https://web.datatree.com/?/property?propertyId=33137271", "https://web.datatree.com/?/property?propertyId=33137271")</f>
        <v>https://web.datatree.com/?/property?propertyId=33137271</v>
      </c>
      <c r="Q3063" t="s">
        <v>316</v>
      </c>
      <c>
        <v>0.099</v>
      </c>
      <c t="s">
        <v>26492</v>
      </c>
      <c t="s">
        <v>50331</v>
      </c>
      <c t="s">
        <v>36149</v>
      </c>
      <c t="s">
        <v>25924</v>
      </c>
      <c t="s">
        <v>36149</v>
      </c>
      <c t="s">
        <v>48208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45361</v>
      </c>
      <c>
        <v>27</v>
      </c>
      <c r="AI3063" t="s">
        <v>66850</v>
      </c>
      <c t="s">
        <v>45393</v>
      </c>
      <c r="AL3063" t="s">
        <v>53911</v>
      </c>
      <c t="s">
        <v>40227</v>
      </c>
      <c t="s">
        <v>50917</v>
      </c>
      <c>
        <v>12154</v>
      </c>
      <c r="AQ3063" t="s">
        <v>3093</v>
      </c>
      <c t="s">
        <v>49637</v>
      </c>
    </row>
    <row>
      <c t="s">
        <v>17594</v>
      </c>
      <c t="s">
        <v>21951</v>
      </c>
      <c t="s">
        <v>21311</v>
      </c>
      <c t="s">
        <v>41202</v>
      </c>
      <c t="s">
        <v>25139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3064" s="1" t="str">
        <f ca="1">HYPERLINK("https://web.datatree.com/?/property?propertyId=33137450", "https://web.datatree.com/?/property?propertyId=33137450")</f>
        <v>https://web.datatree.com/?/property?propertyId=33137450</v>
      </c>
      <c r="Q3064" t="s">
        <v>316</v>
      </c>
      <c>
        <v>0.23</v>
      </c>
      <c t="s">
        <v>6175</v>
      </c>
      <c t="s">
        <v>52701</v>
      </c>
      <c t="s">
        <v>26439</v>
      </c>
      <c r="X3064" t="s">
        <v>36842</v>
      </c>
      <c t="s">
        <v>53663</v>
      </c>
      <c t="s">
        <v>2517</v>
      </c>
      <c t="s">
        <v>39289</v>
      </c>
      <c>
        <v>33909</v>
      </c>
      <c t="s">
        <v>24006</v>
      </c>
      <c t="s">
        <v>48794</v>
      </c>
      <c t="s">
        <v>52565</v>
      </c>
      <c>
        <v>86</v>
      </c>
      <c r="AI3064" t="s">
        <v>40654</v>
      </c>
      <c t="s">
        <v>45393</v>
      </c>
      <c r="AL3064" t="s">
        <v>62675</v>
      </c>
      <c r="AN3064" t="s">
        <v>27747</v>
      </c>
      <c t="s">
        <v>51971</v>
      </c>
      <c t="s">
        <v>23744</v>
      </c>
      <c t="s">
        <v>3093</v>
      </c>
      <c t="s">
        <v>17098</v>
      </c>
    </row>
    <row>
      <c t="s">
        <v>17594</v>
      </c>
      <c t="s">
        <v>53373</v>
      </c>
      <c t="s">
        <v>44816</v>
      </c>
      <c t="s">
        <v>41201</v>
      </c>
      <c t="s">
        <v>57359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065" s="1" t="str">
        <f ca="1">HYPERLINK("https://web.datatree.com/?/property?propertyId=33137989", "https://web.datatree.com/?/property?propertyId=33137989")</f>
        <v>https://web.datatree.com/?/property?propertyId=33137989</v>
      </c>
      <c r="Q3065" t="s">
        <v>316</v>
      </c>
      <c>
        <v>0.23</v>
      </c>
      <c t="s">
        <v>6175</v>
      </c>
      <c t="s">
        <v>11818</v>
      </c>
      <c t="s">
        <v>66686</v>
      </c>
      <c t="s">
        <v>42532</v>
      </c>
      <c t="s">
        <v>66686</v>
      </c>
      <c t="s">
        <v>14393</v>
      </c>
      <c t="s">
        <v>58797</v>
      </c>
      <c t="s">
        <v>2517</v>
      </c>
      <c t="s">
        <v>39289</v>
      </c>
      <c>
        <v>33909</v>
      </c>
      <c t="s">
        <v>49289</v>
      </c>
      <c t="s">
        <v>48794</v>
      </c>
      <c t="s">
        <v>18731</v>
      </c>
      <c>
        <v>4700</v>
      </c>
      <c r="AI3065" t="s">
        <v>47809</v>
      </c>
      <c t="s">
        <v>31192</v>
      </c>
      <c r="AL3065" t="s">
        <v>4859</v>
      </c>
      <c t="s">
        <v>4859</v>
      </c>
      <c t="s">
        <v>39289</v>
      </c>
      <c t="s">
        <v>29053</v>
      </c>
      <c t="s">
        <v>14695</v>
      </c>
      <c t="s">
        <v>3093</v>
      </c>
      <c t="s">
        <v>64885</v>
      </c>
    </row>
    <row>
      <c t="s">
        <v>17594</v>
      </c>
      <c t="s">
        <v>50292</v>
      </c>
      <c t="s">
        <v>2364</v>
      </c>
      <c t="s">
        <v>3420</v>
      </c>
      <c t="s">
        <v>44924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>
        <v>2021</v>
      </c>
      <c>
        <v>598.45</v>
      </c>
      <c s="1" t="str">
        <f ca="1">HYPERLINK("https://web.datatree.com/?/property?propertyId=33138025", "https://web.datatree.com/?/property?propertyId=33138025")</f>
        <v>https://web.datatree.com/?/property?propertyId=33138025</v>
      </c>
      <c r="Q3066" t="s">
        <v>316</v>
      </c>
      <c>
        <v>0.244</v>
      </c>
      <c t="s">
        <v>6175</v>
      </c>
      <c t="s">
        <v>4814</v>
      </c>
      <c t="s">
        <v>3112</v>
      </c>
      <c t="s">
        <v>55144</v>
      </c>
      <c t="s">
        <v>3112</v>
      </c>
      <c t="s">
        <v>2596</v>
      </c>
      <c t="s">
        <v>15510</v>
      </c>
      <c t="s">
        <v>2517</v>
      </c>
      <c t="s">
        <v>39289</v>
      </c>
      <c>
        <v>33909</v>
      </c>
      <c t="s">
        <v>54661</v>
      </c>
      <c t="s">
        <v>48794</v>
      </c>
      <c t="s">
        <v>37021</v>
      </c>
      <c>
        <v>19</v>
      </c>
      <c r="AI3066" t="s">
        <v>3112</v>
      </c>
      <c t="s">
        <v>4151</v>
      </c>
      <c r="AL3066" t="s">
        <v>21142</v>
      </c>
      <c r="AN3066" t="s">
        <v>10909</v>
      </c>
      <c t="s">
        <v>4694</v>
      </c>
      <c r="AQ3066" t="s">
        <v>27814</v>
      </c>
      <c t="s">
        <v>16288</v>
      </c>
    </row>
    <row>
      <c t="s">
        <v>17594</v>
      </c>
      <c t="s">
        <v>8638</v>
      </c>
      <c t="s">
        <v>2500</v>
      </c>
      <c t="s">
        <v>39423</v>
      </c>
      <c t="s">
        <v>55844</v>
      </c>
      <c s="3">
        <v>23969</v>
      </c>
      <c s="3">
        <v>23969</v>
      </c>
      <c s="3">
        <v>12650</v>
      </c>
      <c>
        <v>0</v>
      </c>
      <c s="3">
        <v>0</v>
      </c>
      <c s="3">
        <v>675.67</v>
      </c>
      <c s="3">
        <v>23969</v>
      </c>
      <c r="O3067" s="1" t="str">
        <f ca="1">HYPERLINK("https://web.datatree.com/?/property?propertyId=33138050", "https://web.datatree.com/?/property?propertyId=33138050")</f>
        <v>https://web.datatree.com/?/property?propertyId=33138050</v>
      </c>
      <c r="Q3067" t="s">
        <v>316</v>
      </c>
      <c>
        <v>0.258</v>
      </c>
      <c t="s">
        <v>22490</v>
      </c>
      <c t="s">
        <v>21379</v>
      </c>
      <c t="s">
        <v>19042</v>
      </c>
      <c r="X3067" t="s">
        <v>518</v>
      </c>
      <c t="s">
        <v>10653</v>
      </c>
      <c t="s">
        <v>2517</v>
      </c>
      <c t="s">
        <v>39289</v>
      </c>
      <c>
        <v>33909</v>
      </c>
      <c t="s">
        <v>11160</v>
      </c>
      <c t="s">
        <v>48794</v>
      </c>
      <c t="s">
        <v>45707</v>
      </c>
      <c>
        <v>125</v>
      </c>
      <c r="AI3067" t="s">
        <v>14473</v>
      </c>
      <c t="s">
        <v>45620</v>
      </c>
      <c r="AL3067" t="s">
        <v>51569</v>
      </c>
      <c r="AN3067" t="s">
        <v>17331</v>
      </c>
      <c t="s">
        <v>49509</v>
      </c>
      <c t="s">
        <v>44573</v>
      </c>
      <c t="s">
        <v>3093</v>
      </c>
      <c t="s">
        <v>64632</v>
      </c>
    </row>
    <row>
      <c t="s">
        <v>17594</v>
      </c>
      <c t="s">
        <v>38288</v>
      </c>
      <c t="s">
        <v>41657</v>
      </c>
      <c t="s">
        <v>6154</v>
      </c>
      <c t="s">
        <v>15723</v>
      </c>
      <c s="3">
        <v>9000</v>
      </c>
      <c s="3">
        <v>9000</v>
      </c>
      <c s="3">
        <v>9000</v>
      </c>
      <c>
        <v>0</v>
      </c>
      <c s="3">
        <v>0</v>
      </c>
      <c s="3">
        <v>874.43</v>
      </c>
      <c s="3">
        <v>9000</v>
      </c>
      <c r="O3068" s="1" t="str">
        <f ca="1">HYPERLINK("https://web.datatree.com/?/property?propertyId=33138639", "https://web.datatree.com/?/property?propertyId=33138639")</f>
        <v>https://web.datatree.com/?/property?propertyId=33138639</v>
      </c>
      <c r="Q3068" t="s">
        <v>316</v>
      </c>
      <c>
        <v>0.344</v>
      </c>
      <c t="s">
        <v>6175</v>
      </c>
      <c t="s">
        <v>47715</v>
      </c>
      <c t="s">
        <v>6871</v>
      </c>
      <c r="X3068" t="s">
        <v>51472</v>
      </c>
      <c t="s">
        <v>47150</v>
      </c>
      <c t="s">
        <v>2517</v>
      </c>
      <c t="s">
        <v>39289</v>
      </c>
      <c>
        <v>33909</v>
      </c>
      <c t="s">
        <v>12702</v>
      </c>
      <c t="s">
        <v>48794</v>
      </c>
      <c t="s">
        <v>46647</v>
      </c>
      <c>
        <v>7305</v>
      </c>
      <c r="AI3068" t="s">
        <v>1943</v>
      </c>
      <c t="s">
        <v>24900</v>
      </c>
      <c r="AL3068" t="s">
        <v>36080</v>
      </c>
      <c t="s">
        <v>30786</v>
      </c>
      <c t="s">
        <v>39289</v>
      </c>
      <c t="s">
        <v>47301</v>
      </c>
      <c t="s">
        <v>8434</v>
      </c>
      <c t="s">
        <v>3093</v>
      </c>
      <c t="s">
        <v>58556</v>
      </c>
    </row>
    <row>
      <c t="s">
        <v>17594</v>
      </c>
      <c t="s">
        <v>5952</v>
      </c>
      <c t="s">
        <v>29320</v>
      </c>
      <c t="s">
        <v>62457</v>
      </c>
      <c t="s">
        <v>9014</v>
      </c>
      <c s="3">
        <v>22736</v>
      </c>
      <c s="3">
        <v>22736</v>
      </c>
      <c s="3">
        <v>8800</v>
      </c>
      <c>
        <v>0</v>
      </c>
      <c s="3">
        <v>0</v>
      </c>
      <c s="3">
        <v>605.58</v>
      </c>
      <c s="3">
        <v>22736</v>
      </c>
      <c r="O3069" s="1" t="str">
        <f ca="1">HYPERLINK("https://web.datatree.com/?/property?propertyId=33139345", "https://web.datatree.com/?/property?propertyId=33139345")</f>
        <v>https://web.datatree.com/?/property?propertyId=33139345</v>
      </c>
      <c r="Q3069" t="s">
        <v>316</v>
      </c>
      <c>
        <v>0.255</v>
      </c>
      <c t="s">
        <v>22490</v>
      </c>
      <c t="s">
        <v>24692</v>
      </c>
      <c t="s">
        <v>65381</v>
      </c>
      <c r="X3069" t="s">
        <v>24029</v>
      </c>
      <c t="s">
        <v>2626</v>
      </c>
      <c t="s">
        <v>2517</v>
      </c>
      <c t="s">
        <v>39289</v>
      </c>
      <c>
        <v>33909</v>
      </c>
      <c t="s">
        <v>58671</v>
      </c>
      <c t="s">
        <v>48794</v>
      </c>
      <c t="s">
        <v>11877</v>
      </c>
      <c>
        <v>860</v>
      </c>
      <c r="AI3069" t="s">
        <v>34843</v>
      </c>
      <c t="s">
        <v>24900</v>
      </c>
      <c t="s">
        <v>17594</v>
      </c>
      <c t="s">
        <v>49067</v>
      </c>
      <c r="AN3069" t="s">
        <v>65451</v>
      </c>
      <c t="s">
        <v>55408</v>
      </c>
      <c t="s">
        <v>54916</v>
      </c>
      <c t="s">
        <v>3093</v>
      </c>
      <c t="s">
        <v>10009</v>
      </c>
    </row>
    <row>
      <c t="s">
        <v>17594</v>
      </c>
      <c t="s">
        <v>53899</v>
      </c>
      <c t="s">
        <v>62427</v>
      </c>
      <c t="s">
        <v>54361</v>
      </c>
      <c t="s">
        <v>51805</v>
      </c>
      <c s="3">
        <v>95509</v>
      </c>
      <c s="3">
        <v>86250</v>
      </c>
      <c s="3">
        <v>81325</v>
      </c>
      <c>
        <v>0</v>
      </c>
      <c s="3">
        <v>0</v>
      </c>
      <c s="3">
        <v>1301.28</v>
      </c>
      <c s="3">
        <v>95509</v>
      </c>
      <c r="O3070" s="1" t="str">
        <f ca="1">HYPERLINK("https://web.datatree.com/?/property?propertyId=33139459", "https://web.datatree.com/?/property?propertyId=33139459")</f>
        <v>https://web.datatree.com/?/property?propertyId=33139459</v>
      </c>
      <c r="Q3070" t="s">
        <v>316</v>
      </c>
      <c>
        <v>0.095</v>
      </c>
      <c t="s">
        <v>26492</v>
      </c>
      <c r="U3070" t="s">
        <v>40063</v>
      </c>
      <c r="W3070" t="s">
        <v>23041</v>
      </c>
      <c t="s">
        <v>15552</v>
      </c>
      <c t="s">
        <v>43388</v>
      </c>
      <c t="s">
        <v>65059</v>
      </c>
      <c t="s">
        <v>39289</v>
      </c>
      <c>
        <v>33905</v>
      </c>
      <c>
        <v>33905</v>
      </c>
      <c t="s">
        <v>48794</v>
      </c>
      <c t="s">
        <v>10778</v>
      </c>
      <c>
        <v>101</v>
      </c>
      <c r="AI3070" t="s">
        <v>55130</v>
      </c>
      <c t="s">
        <v>45393</v>
      </c>
      <c r="AL3070" t="s">
        <v>19725</v>
      </c>
      <c t="s">
        <v>19725</v>
      </c>
      <c t="s">
        <v>19878</v>
      </c>
      <c t="s">
        <v>58095</v>
      </c>
      <c t="s">
        <v>56028</v>
      </c>
      <c t="s">
        <v>3093</v>
      </c>
      <c t="s">
        <v>35938</v>
      </c>
      <c>
        <v>2005</v>
      </c>
    </row>
    <row>
      <c t="s">
        <v>17594</v>
      </c>
      <c t="s">
        <v>21357</v>
      </c>
      <c t="s">
        <v>61994</v>
      </c>
      <c t="s">
        <v>32003</v>
      </c>
      <c t="s">
        <v>52229</v>
      </c>
      <c s="3">
        <v>82078</v>
      </c>
      <c s="3">
        <v>74250</v>
      </c>
      <c s="3">
        <v>78189</v>
      </c>
      <c>
        <v>0</v>
      </c>
      <c s="3">
        <v>0</v>
      </c>
      <c s="3">
        <v>1197.12</v>
      </c>
      <c s="3">
        <v>82078</v>
      </c>
      <c r="O3071" s="1" t="str">
        <f ca="1">HYPERLINK("https://web.datatree.com/?/property?propertyId=33139617", "https://web.datatree.com/?/property?propertyId=33139617")</f>
        <v>https://web.datatree.com/?/property?propertyId=33139617</v>
      </c>
      <c r="Q3071" t="s">
        <v>316</v>
      </c>
      <c>
        <v>0.095</v>
      </c>
      <c t="s">
        <v>26492</v>
      </c>
      <c t="s">
        <v>3293</v>
      </c>
      <c t="s">
        <v>31919</v>
      </c>
      <c t="s">
        <v>23659</v>
      </c>
      <c t="s">
        <v>31919</v>
      </c>
      <c t="s">
        <v>48740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32830</v>
      </c>
      <c>
        <v>107</v>
      </c>
      <c r="AI3071" t="s">
        <v>33854</v>
      </c>
      <c t="s">
        <v>45393</v>
      </c>
      <c r="AL3071" t="s">
        <v>2072</v>
      </c>
      <c t="s">
        <v>40227</v>
      </c>
      <c t="s">
        <v>65467</v>
      </c>
      <c t="s">
        <v>35299</v>
      </c>
      <c t="s">
        <v>26242</v>
      </c>
      <c t="s">
        <v>3093</v>
      </c>
      <c t="s">
        <v>46061</v>
      </c>
    </row>
    <row>
      <c t="s">
        <v>17594</v>
      </c>
      <c t="s">
        <v>12456</v>
      </c>
      <c t="s">
        <v>44421</v>
      </c>
      <c t="s">
        <v>20994</v>
      </c>
      <c t="s">
        <v>40087</v>
      </c>
      <c s="3">
        <v>1725000</v>
      </c>
      <c s="3">
        <v>1725000</v>
      </c>
      <c s="3">
        <v>1725000</v>
      </c>
      <c>
        <v>0</v>
      </c>
      <c s="3">
        <v>0</v>
      </c>
      <c s="3">
        <v>23670.13</v>
      </c>
      <c s="3">
        <v>1725000</v>
      </c>
      <c r="O3072" s="1" t="str">
        <f ca="1">HYPERLINK("https://web.datatree.com/?/property?propertyId=33139655", "https://web.datatree.com/?/property?propertyId=33139655")</f>
        <v>https://web.datatree.com/?/property?propertyId=33139655</v>
      </c>
      <c r="Q3072" t="s">
        <v>316</v>
      </c>
      <c>
        <v>0.509</v>
      </c>
      <c t="s">
        <v>29818</v>
      </c>
      <c r="U3072" t="s">
        <v>56839</v>
      </c>
      <c r="W3072" t="s">
        <v>20845</v>
      </c>
      <c t="s">
        <v>36067</v>
      </c>
      <c t="s">
        <v>5662</v>
      </c>
      <c t="s">
        <v>65059</v>
      </c>
      <c t="s">
        <v>39289</v>
      </c>
      <c>
        <v>33908</v>
      </c>
      <c t="s">
        <v>38881</v>
      </c>
      <c t="s">
        <v>48794</v>
      </c>
      <c t="s">
        <v>36862</v>
      </c>
      <c>
        <v>4665</v>
      </c>
      <c r="AI3072" t="s">
        <v>39334</v>
      </c>
      <c t="s">
        <v>31192</v>
      </c>
      <c r="AL3072" t="s">
        <v>60093</v>
      </c>
      <c r="AN3072" t="s">
        <v>27481</v>
      </c>
      <c t="s">
        <v>22626</v>
      </c>
      <c t="s">
        <v>38014</v>
      </c>
      <c t="s">
        <v>3093</v>
      </c>
      <c t="s">
        <v>1341</v>
      </c>
    </row>
    <row>
      <c t="s">
        <v>17594</v>
      </c>
      <c t="s">
        <v>26192</v>
      </c>
      <c t="s">
        <v>27207</v>
      </c>
      <c t="s">
        <v>35151</v>
      </c>
      <c t="s">
        <v>33955</v>
      </c>
      <c s="3">
        <v>38203</v>
      </c>
      <c s="3">
        <v>38203</v>
      </c>
      <c s="3">
        <v>22627</v>
      </c>
      <c>
        <v>0</v>
      </c>
      <c s="3">
        <v>0</v>
      </c>
      <c s="3">
        <v>419.66</v>
      </c>
      <c s="3">
        <v>38203</v>
      </c>
      <c r="O3073" s="1" t="str">
        <f ca="1">HYPERLINK("https://web.datatree.com/?/property?propertyId=33139802", "https://web.datatree.com/?/property?propertyId=33139802")</f>
        <v>https://web.datatree.com/?/property?propertyId=33139802</v>
      </c>
      <c r="Q3073" t="s">
        <v>316</v>
      </c>
      <c>
        <v>0.048</v>
      </c>
      <c t="s">
        <v>54329</v>
      </c>
      <c t="s">
        <v>22450</v>
      </c>
      <c t="s">
        <v>57325</v>
      </c>
      <c r="X3073" t="s">
        <v>15367</v>
      </c>
      <c t="s">
        <v>45631</v>
      </c>
      <c t="s">
        <v>54524</v>
      </c>
      <c t="s">
        <v>39289</v>
      </c>
      <c>
        <v>33903</v>
      </c>
      <c t="s">
        <v>302</v>
      </c>
      <c t="s">
        <v>48794</v>
      </c>
      <c t="s">
        <v>54494</v>
      </c>
      <c>
        <v>4</v>
      </c>
      <c r="AI3073" t="s">
        <v>42893</v>
      </c>
      <c t="s">
        <v>45393</v>
      </c>
      <c r="AL3073" t="s">
        <v>64492</v>
      </c>
      <c t="s">
        <v>65059</v>
      </c>
      <c t="s">
        <v>5859</v>
      </c>
      <c t="s">
        <v>11278</v>
      </c>
      <c t="s">
        <v>34162</v>
      </c>
      <c t="s">
        <v>3093</v>
      </c>
      <c t="s">
        <v>57943</v>
      </c>
    </row>
    <row>
      <c t="s">
        <v>17594</v>
      </c>
      <c s="2" t="s">
        <v>43339</v>
      </c>
      <c t="s">
        <v>59625</v>
      </c>
      <c t="s">
        <v>41623</v>
      </c>
      <c t="s">
        <v>10258</v>
      </c>
      <c s="3">
        <v>26250</v>
      </c>
      <c s="3">
        <v>26250</v>
      </c>
      <c s="3">
        <v>9433</v>
      </c>
      <c>
        <v>0</v>
      </c>
      <c s="3">
        <v>0</v>
      </c>
      <c s="3">
        <v>410.47</v>
      </c>
      <c s="3">
        <v>26250</v>
      </c>
      <c r="O3074" s="1" t="str">
        <f ca="1">HYPERLINK("https://web.datatree.com/?/property?propertyId=33139897", "https://web.datatree.com/?/property?propertyId=33139897")</f>
        <v>https://web.datatree.com/?/property?propertyId=33139897</v>
      </c>
      <c r="Q3074" t="s">
        <v>316</v>
      </c>
      <c>
        <v>0.213</v>
      </c>
      <c t="s">
        <v>5471</v>
      </c>
      <c t="s">
        <v>49173</v>
      </c>
      <c t="s">
        <v>38271</v>
      </c>
      <c t="s">
        <v>66812</v>
      </c>
      <c t="s">
        <v>54541</v>
      </c>
      <c t="s">
        <v>50899</v>
      </c>
      <c t="s">
        <v>10601</v>
      </c>
      <c t="s">
        <v>65059</v>
      </c>
      <c t="s">
        <v>39289</v>
      </c>
      <c>
        <v>33905</v>
      </c>
      <c t="s">
        <v>4030</v>
      </c>
      <c t="s">
        <v>48794</v>
      </c>
      <c s="2" t="s">
        <v>56912</v>
      </c>
      <c>
        <v>4501</v>
      </c>
      <c r="AI3074" t="s">
        <v>19732</v>
      </c>
      <c t="s">
        <v>24900</v>
      </c>
      <c r="AL3074" t="s">
        <v>55393</v>
      </c>
      <c t="s">
        <v>4897</v>
      </c>
      <c t="s">
        <v>39289</v>
      </c>
      <c t="s">
        <v>9613</v>
      </c>
      <c t="s">
        <v>66620</v>
      </c>
      <c t="s">
        <v>3093</v>
      </c>
      <c t="s">
        <v>37414</v>
      </c>
    </row>
    <row>
      <c t="s">
        <v>17594</v>
      </c>
      <c t="s">
        <v>65468</v>
      </c>
      <c t="s">
        <v>25429</v>
      </c>
      <c t="s">
        <v>53474</v>
      </c>
      <c t="s">
        <v>49773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3075" s="1" t="str">
        <f ca="1">HYPERLINK("https://web.datatree.com/?/property?propertyId=33139958", "https://web.datatree.com/?/property?propertyId=33139958")</f>
        <v>https://web.datatree.com/?/property?propertyId=33139958</v>
      </c>
      <c r="Q3075" t="s">
        <v>316</v>
      </c>
      <c>
        <v>0.23</v>
      </c>
      <c t="s">
        <v>22490</v>
      </c>
      <c t="s">
        <v>52880</v>
      </c>
      <c t="s">
        <v>23827</v>
      </c>
      <c r="X3075" t="s">
        <v>34467</v>
      </c>
      <c t="s">
        <v>53663</v>
      </c>
      <c t="s">
        <v>2517</v>
      </c>
      <c t="s">
        <v>39289</v>
      </c>
      <c>
        <v>33909</v>
      </c>
      <c t="s">
        <v>23117</v>
      </c>
      <c t="s">
        <v>48794</v>
      </c>
      <c t="s">
        <v>42074</v>
      </c>
      <c>
        <v>4694</v>
      </c>
      <c r="AI3075" t="s">
        <v>18019</v>
      </c>
      <c t="s">
        <v>45620</v>
      </c>
      <c>
        <v>282</v>
      </c>
      <c t="s">
        <v>65241</v>
      </c>
      <c t="s">
        <v>65241</v>
      </c>
      <c t="s">
        <v>17134</v>
      </c>
      <c t="s">
        <v>11284</v>
      </c>
      <c t="s">
        <v>49977</v>
      </c>
      <c t="s">
        <v>3093</v>
      </c>
      <c t="s">
        <v>14803</v>
      </c>
    </row>
    <row>
      <c t="s">
        <v>17594</v>
      </c>
      <c t="s">
        <v>33866</v>
      </c>
      <c t="s">
        <v>44422</v>
      </c>
      <c t="s">
        <v>28966</v>
      </c>
      <c t="s">
        <v>15475</v>
      </c>
      <c s="3">
        <v>9000</v>
      </c>
      <c s="3">
        <v>9000</v>
      </c>
      <c s="3">
        <v>9000</v>
      </c>
      <c>
        <v>0</v>
      </c>
      <c s="3">
        <v>0</v>
      </c>
      <c s="3">
        <v>709.78</v>
      </c>
      <c s="3">
        <v>9000</v>
      </c>
      <c r="O3076" s="1" t="str">
        <f ca="1">HYPERLINK("https://web.datatree.com/?/property?propertyId=33140358", "https://web.datatree.com/?/property?propertyId=33140358")</f>
        <v>https://web.datatree.com/?/property?propertyId=33140358</v>
      </c>
      <c r="Q3076" t="s">
        <v>316</v>
      </c>
      <c>
        <v>0.344</v>
      </c>
      <c t="s">
        <v>6175</v>
      </c>
      <c t="s">
        <v>1859</v>
      </c>
      <c t="s">
        <v>67185</v>
      </c>
      <c t="s">
        <v>31931</v>
      </c>
      <c t="s">
        <v>67185</v>
      </c>
      <c t="s">
        <v>51993</v>
      </c>
      <c t="s">
        <v>18679</v>
      </c>
      <c t="s">
        <v>2517</v>
      </c>
      <c t="s">
        <v>39289</v>
      </c>
      <c>
        <v>33909</v>
      </c>
      <c t="s">
        <v>28281</v>
      </c>
      <c t="s">
        <v>48794</v>
      </c>
      <c t="s">
        <v>45246</v>
      </c>
      <c>
        <v>9325</v>
      </c>
      <c r="AI3076" t="s">
        <v>31661</v>
      </c>
      <c t="s">
        <v>45393</v>
      </c>
      <c r="AL3076" t="s">
        <v>23779</v>
      </c>
      <c r="AN3076" t="s">
        <v>50917</v>
      </c>
      <c t="s">
        <v>13220</v>
      </c>
      <c t="s">
        <v>31626</v>
      </c>
      <c t="s">
        <v>3093</v>
      </c>
      <c t="s">
        <v>1222</v>
      </c>
    </row>
    <row>
      <c t="s">
        <v>17594</v>
      </c>
      <c t="s">
        <v>44136</v>
      </c>
      <c t="s">
        <v>33022</v>
      </c>
      <c t="s">
        <v>31555</v>
      </c>
      <c t="s">
        <v>633</v>
      </c>
      <c s="3">
        <v>8400</v>
      </c>
      <c s="3">
        <v>8400</v>
      </c>
      <c s="3">
        <v>8400</v>
      </c>
      <c>
        <v>0</v>
      </c>
      <c s="3">
        <v>0</v>
      </c>
      <c s="3">
        <v>577.17</v>
      </c>
      <c s="3">
        <v>8400</v>
      </c>
      <c r="O3077" s="1" t="str">
        <f ca="1">HYPERLINK("https://web.datatree.com/?/property?propertyId=33141726", "https://web.datatree.com/?/property?propertyId=33141726")</f>
        <v>https://web.datatree.com/?/property?propertyId=33141726</v>
      </c>
      <c r="Q3077" t="s">
        <v>316</v>
      </c>
      <c>
        <v>0.255</v>
      </c>
      <c t="s">
        <v>6175</v>
      </c>
      <c t="s">
        <v>7704</v>
      </c>
      <c t="s">
        <v>21780</v>
      </c>
      <c r="X3077" t="s">
        <v>63852</v>
      </c>
      <c t="s">
        <v>25017</v>
      </c>
      <c t="s">
        <v>2517</v>
      </c>
      <c t="s">
        <v>39289</v>
      </c>
      <c>
        <v>33909</v>
      </c>
      <c t="s">
        <v>35764</v>
      </c>
      <c t="s">
        <v>48794</v>
      </c>
      <c t="s">
        <v>50344</v>
      </c>
      <c>
        <v>704</v>
      </c>
      <c r="AI3077" t="s">
        <v>33288</v>
      </c>
      <c t="s">
        <v>31192</v>
      </c>
      <c r="AL3077" t="s">
        <v>9748</v>
      </c>
      <c t="s">
        <v>19597</v>
      </c>
      <c t="s">
        <v>32657</v>
      </c>
      <c t="s">
        <v>35467</v>
      </c>
      <c t="s">
        <v>32746</v>
      </c>
      <c t="s">
        <v>3093</v>
      </c>
      <c t="s">
        <v>59697</v>
      </c>
    </row>
    <row>
      <c t="s">
        <v>17594</v>
      </c>
      <c t="s">
        <v>61038</v>
      </c>
      <c t="s">
        <v>17091</v>
      </c>
      <c t="s">
        <v>29327</v>
      </c>
      <c t="s">
        <v>11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3078" s="1" t="str">
        <f ca="1">HYPERLINK("https://web.datatree.com/?/property?propertyId=33142094", "https://web.datatree.com/?/property?propertyId=33142094")</f>
        <v>https://web.datatree.com/?/property?propertyId=33142094</v>
      </c>
      <c r="Q3078" t="s">
        <v>316</v>
      </c>
      <c>
        <v>0.244</v>
      </c>
      <c t="s">
        <v>6175</v>
      </c>
      <c t="s">
        <v>7097</v>
      </c>
      <c t="s">
        <v>64686</v>
      </c>
      <c r="X3078" t="s">
        <v>1110</v>
      </c>
      <c t="s">
        <v>25017</v>
      </c>
      <c t="s">
        <v>2517</v>
      </c>
      <c t="s">
        <v>39289</v>
      </c>
      <c>
        <v>33909</v>
      </c>
      <c t="s">
        <v>63309</v>
      </c>
      <c t="s">
        <v>48794</v>
      </c>
      <c t="s">
        <v>56353</v>
      </c>
      <c>
        <v>12836</v>
      </c>
      <c r="AI3078" t="s">
        <v>34604</v>
      </c>
      <c t="s">
        <v>4985</v>
      </c>
      <c r="AL3078" t="s">
        <v>27398</v>
      </c>
      <c r="AN3078" t="s">
        <v>39289</v>
      </c>
      <c t="s">
        <v>49576</v>
      </c>
      <c t="s">
        <v>34834</v>
      </c>
      <c t="s">
        <v>3093</v>
      </c>
      <c t="s">
        <v>11609</v>
      </c>
    </row>
    <row>
      <c t="s">
        <v>17594</v>
      </c>
      <c t="s">
        <v>10858</v>
      </c>
      <c t="s">
        <v>65899</v>
      </c>
      <c t="s">
        <v>7821</v>
      </c>
      <c t="s">
        <v>39514</v>
      </c>
      <c s="3">
        <v>91020</v>
      </c>
      <c s="3">
        <v>91020</v>
      </c>
      <c s="3">
        <v>66000</v>
      </c>
      <c>
        <v>0</v>
      </c>
      <c s="3">
        <v>0</v>
      </c>
      <c s="3">
        <v>1053.41</v>
      </c>
      <c s="3">
        <v>91020</v>
      </c>
      <c r="O3079" s="1" t="str">
        <f ca="1">HYPERLINK("https://web.datatree.com/?/property?propertyId=33142331", "https://web.datatree.com/?/property?propertyId=33142331")</f>
        <v>https://web.datatree.com/?/property?propertyId=33142331</v>
      </c>
      <c r="Q3079" t="s">
        <v>316</v>
      </c>
      <c>
        <v>0.367</v>
      </c>
      <c t="s">
        <v>5471</v>
      </c>
      <c r="U3079" t="s">
        <v>23400</v>
      </c>
      <c r="W3079" t="s">
        <v>37660</v>
      </c>
      <c t="s">
        <v>57993</v>
      </c>
      <c t="s">
        <v>67236</v>
      </c>
      <c t="s">
        <v>65059</v>
      </c>
      <c t="s">
        <v>39289</v>
      </c>
      <c>
        <v>33908</v>
      </c>
      <c t="s">
        <v>62034</v>
      </c>
      <c t="s">
        <v>48794</v>
      </c>
      <c t="s">
        <v>1088</v>
      </c>
      <c>
        <v>5500</v>
      </c>
      <c r="AI3079" t="s">
        <v>40289</v>
      </c>
      <c t="s">
        <v>45620</v>
      </c>
      <c r="AL3079" t="s">
        <v>41691</v>
      </c>
      <c r="AN3079" t="s">
        <v>39289</v>
      </c>
      <c t="s">
        <v>10607</v>
      </c>
      <c t="s">
        <v>22455</v>
      </c>
      <c t="s">
        <v>3093</v>
      </c>
      <c t="s">
        <v>39818</v>
      </c>
    </row>
    <row>
      <c t="s">
        <v>17594</v>
      </c>
      <c t="s">
        <v>13034</v>
      </c>
      <c t="s">
        <v>12973</v>
      </c>
      <c t="s">
        <v>45324</v>
      </c>
      <c t="s">
        <v>41710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3080" s="1" t="str">
        <f ca="1">HYPERLINK("https://web.datatree.com/?/property?propertyId=33142455", "https://web.datatree.com/?/property?propertyId=33142455")</f>
        <v>https://web.datatree.com/?/property?propertyId=33142455</v>
      </c>
      <c r="Q3080" t="s">
        <v>316</v>
      </c>
      <c>
        <v>0.241</v>
      </c>
      <c t="s">
        <v>6175</v>
      </c>
      <c t="s">
        <v>54946</v>
      </c>
      <c t="s">
        <v>14637</v>
      </c>
      <c t="s">
        <v>44610</v>
      </c>
      <c t="s">
        <v>14637</v>
      </c>
      <c t="s">
        <v>11845</v>
      </c>
      <c t="s">
        <v>61850</v>
      </c>
      <c t="s">
        <v>2517</v>
      </c>
      <c t="s">
        <v>39289</v>
      </c>
      <c>
        <v>33909</v>
      </c>
      <c t="s">
        <v>25277</v>
      </c>
      <c t="s">
        <v>48794</v>
      </c>
      <c t="s">
        <v>26526</v>
      </c>
      <c>
        <v>1046</v>
      </c>
      <c r="AI3080" t="s">
        <v>57911</v>
      </c>
      <c t="s">
        <v>24900</v>
      </c>
      <c r="AL3080" t="s">
        <v>62644</v>
      </c>
      <c r="AN3080" t="s">
        <v>26016</v>
      </c>
      <c t="s">
        <v>7332</v>
      </c>
      <c t="s">
        <v>4480</v>
      </c>
      <c t="s">
        <v>3093</v>
      </c>
      <c t="s">
        <v>44454</v>
      </c>
    </row>
    <row>
      <c t="s">
        <v>42103</v>
      </c>
      <c t="s">
        <v>47705</v>
      </c>
      <c t="s">
        <v>52290</v>
      </c>
      <c t="s">
        <v>47485</v>
      </c>
      <c t="s">
        <v>44377</v>
      </c>
      <c s="3">
        <v>24711</v>
      </c>
      <c s="3">
        <v>24711</v>
      </c>
      <c s="3">
        <v>24711</v>
      </c>
      <c>
        <v>0</v>
      </c>
      <c s="3">
        <v>0</v>
      </c>
      <c s="3">
        <v>764.8</v>
      </c>
      <c s="3">
        <v>24711</v>
      </c>
      <c r="O3081" s="1" t="str">
        <f ca="1">HYPERLINK("https://web.datatree.com/?/property?propertyId=33143094", "https://web.datatree.com/?/property?propertyId=33143094")</f>
        <v>https://web.datatree.com/?/property?propertyId=33143094</v>
      </c>
      <c r="Q3081" t="s">
        <v>316</v>
      </c>
      <c>
        <v>0.23</v>
      </c>
      <c t="s">
        <v>22490</v>
      </c>
      <c t="s">
        <v>8031</v>
      </c>
      <c t="s">
        <v>30803</v>
      </c>
      <c r="X3081" t="s">
        <v>47349</v>
      </c>
      <c t="s">
        <v>35712</v>
      </c>
      <c t="s">
        <v>2517</v>
      </c>
      <c t="s">
        <v>39289</v>
      </c>
      <c>
        <v>33909</v>
      </c>
      <c>
        <v>33909</v>
      </c>
      <c t="s">
        <v>48794</v>
      </c>
      <c t="s">
        <v>29377</v>
      </c>
      <c r="AI3081" t="s">
        <v>40951</v>
      </c>
      <c r="AK3081">
        <v>4</v>
      </c>
      <c t="s">
        <v>40992</v>
      </c>
      <c r="AN3081" t="s">
        <v>14798</v>
      </c>
      <c r="AQ3081" t="s">
        <v>3093</v>
      </c>
      <c t="s">
        <v>46225</v>
      </c>
    </row>
    <row>
      <c t="s">
        <v>17594</v>
      </c>
      <c t="s">
        <v>24829</v>
      </c>
      <c t="s">
        <v>21019</v>
      </c>
      <c t="s">
        <v>21392</v>
      </c>
      <c t="s">
        <v>56910</v>
      </c>
      <c s="3">
        <v>20214</v>
      </c>
      <c s="3">
        <v>20214</v>
      </c>
      <c s="3">
        <v>8800</v>
      </c>
      <c>
        <v>0</v>
      </c>
      <c s="3">
        <v>0</v>
      </c>
      <c s="3">
        <v>513.52</v>
      </c>
      <c s="3">
        <v>20214</v>
      </c>
      <c r="O3082" s="1" t="str">
        <f ca="1">HYPERLINK("https://web.datatree.com/?/property?propertyId=33143401", "https://web.datatree.com/?/property?propertyId=33143401")</f>
        <v>https://web.datatree.com/?/property?propertyId=33143401</v>
      </c>
      <c r="Q3082" t="s">
        <v>316</v>
      </c>
      <c>
        <v>0.23</v>
      </c>
      <c t="s">
        <v>22490</v>
      </c>
      <c t="s">
        <v>20804</v>
      </c>
      <c t="s">
        <v>47427</v>
      </c>
      <c r="X3082" t="s">
        <v>25349</v>
      </c>
      <c t="s">
        <v>49122</v>
      </c>
      <c t="s">
        <v>2517</v>
      </c>
      <c t="s">
        <v>39289</v>
      </c>
      <c>
        <v>33909</v>
      </c>
      <c t="s">
        <v>29860</v>
      </c>
      <c t="s">
        <v>48794</v>
      </c>
      <c t="s">
        <v>37471</v>
      </c>
      <c>
        <v>4006</v>
      </c>
      <c r="AI3082" t="s">
        <v>13491</v>
      </c>
      <c t="s">
        <v>24900</v>
      </c>
      <c r="AL3082" t="s">
        <v>24202</v>
      </c>
      <c r="AN3082" t="s">
        <v>19878</v>
      </c>
      <c t="s">
        <v>54412</v>
      </c>
      <c t="s">
        <v>42082</v>
      </c>
      <c t="s">
        <v>3093</v>
      </c>
      <c t="s">
        <v>12388</v>
      </c>
    </row>
    <row>
      <c t="s">
        <v>17594</v>
      </c>
      <c t="s">
        <v>48178</v>
      </c>
      <c t="s">
        <v>29955</v>
      </c>
      <c t="s">
        <v>13023</v>
      </c>
      <c t="s">
        <v>15396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>
        <v>2020</v>
      </c>
      <c>
        <v>2744.38</v>
      </c>
      <c s="1" t="str">
        <f ca="1">HYPERLINK("https://web.datatree.com/?/property?propertyId=33143428", "https://web.datatree.com/?/property?propertyId=33143428")</f>
        <v>https://web.datatree.com/?/property?propertyId=33143428</v>
      </c>
      <c r="Q3083" t="s">
        <v>316</v>
      </c>
      <c>
        <v>0.23</v>
      </c>
      <c t="s">
        <v>6175</v>
      </c>
      <c t="s">
        <v>17220</v>
      </c>
      <c t="s">
        <v>20608</v>
      </c>
      <c t="s">
        <v>1013</v>
      </c>
      <c t="s">
        <v>13313</v>
      </c>
      <c t="s">
        <v>38649</v>
      </c>
      <c t="s">
        <v>17022</v>
      </c>
      <c t="s">
        <v>2517</v>
      </c>
      <c t="s">
        <v>39289</v>
      </c>
      <c>
        <v>33904</v>
      </c>
      <c t="s">
        <v>33511</v>
      </c>
      <c t="s">
        <v>48794</v>
      </c>
      <c t="s">
        <v>16495</v>
      </c>
      <c r="AI3083" t="s">
        <v>40959</v>
      </c>
      <c r="AK3083">
        <v>38</v>
      </c>
      <c t="s">
        <v>2496</v>
      </c>
      <c r="AN3083" t="s">
        <v>63985</v>
      </c>
      <c>
        <v>53111</v>
      </c>
      <c r="AR3083" t="s">
        <v>11303</v>
      </c>
    </row>
    <row>
      <c t="s">
        <v>17594</v>
      </c>
      <c t="s">
        <v>25109</v>
      </c>
      <c t="s">
        <v>15194</v>
      </c>
      <c t="s">
        <v>495</v>
      </c>
      <c t="s">
        <v>41228</v>
      </c>
      <c s="3">
        <v>23100</v>
      </c>
      <c s="3">
        <v>23100</v>
      </c>
      <c s="3">
        <v>12884</v>
      </c>
      <c>
        <v>0</v>
      </c>
      <c s="3">
        <v>0</v>
      </c>
      <c s="3">
        <v>232.65</v>
      </c>
      <c s="3">
        <v>23100</v>
      </c>
      <c r="O3084" s="1" t="str">
        <f ca="1">HYPERLINK("https://web.datatree.com/?/property?propertyId=33143994", "https://web.datatree.com/?/property?propertyId=33143994")</f>
        <v>https://web.datatree.com/?/property?propertyId=33143994</v>
      </c>
      <c r="Q3084" t="s">
        <v>316</v>
      </c>
      <c>
        <v>0.22</v>
      </c>
      <c t="s">
        <v>5471</v>
      </c>
      <c t="s">
        <v>51630</v>
      </c>
      <c t="s">
        <v>20191</v>
      </c>
      <c t="s">
        <v>47784</v>
      </c>
      <c t="s">
        <v>18487</v>
      </c>
      <c t="s">
        <v>54221</v>
      </c>
      <c t="s">
        <v>19191</v>
      </c>
      <c t="s">
        <v>65059</v>
      </c>
      <c t="s">
        <v>39289</v>
      </c>
      <c>
        <v>33905</v>
      </c>
      <c t="s">
        <v>59532</v>
      </c>
      <c t="s">
        <v>48794</v>
      </c>
      <c t="s">
        <v>23899</v>
      </c>
      <c>
        <v>2600</v>
      </c>
      <c r="AI3084" t="s">
        <v>20422</v>
      </c>
      <c t="s">
        <v>31192</v>
      </c>
      <c>
        <v>312</v>
      </c>
      <c t="s">
        <v>65608</v>
      </c>
      <c t="s">
        <v>65608</v>
      </c>
      <c t="s">
        <v>39289</v>
      </c>
      <c t="s">
        <v>10396</v>
      </c>
      <c t="s">
        <v>14845</v>
      </c>
      <c t="s">
        <v>3093</v>
      </c>
      <c t="s">
        <v>7203</v>
      </c>
    </row>
    <row>
      <c t="s">
        <v>17594</v>
      </c>
      <c t="s">
        <v>28209</v>
      </c>
      <c t="s">
        <v>66741</v>
      </c>
      <c t="s">
        <v>32081</v>
      </c>
      <c t="s">
        <v>17027</v>
      </c>
      <c s="3">
        <v>49916</v>
      </c>
      <c s="3">
        <v>49916</v>
      </c>
      <c s="3">
        <v>15840</v>
      </c>
      <c>
        <v>0</v>
      </c>
      <c s="3">
        <v>0</v>
      </c>
      <c s="3">
        <v>1164.96</v>
      </c>
      <c s="3">
        <v>49916</v>
      </c>
      <c r="O3085" s="1" t="str">
        <f ca="1">HYPERLINK("https://web.datatree.com/?/property?propertyId=33144376", "https://web.datatree.com/?/property?propertyId=33144376")</f>
        <v>https://web.datatree.com/?/property?propertyId=33144376</v>
      </c>
      <c r="Q3085" t="s">
        <v>316</v>
      </c>
      <c>
        <v>0.708</v>
      </c>
      <c t="s">
        <v>22490</v>
      </c>
      <c r="U3085" t="s">
        <v>60688</v>
      </c>
      <c r="W3085" t="s">
        <v>32071</v>
      </c>
      <c t="s">
        <v>5872</v>
      </c>
      <c t="s">
        <v>46469</v>
      </c>
      <c t="s">
        <v>2517</v>
      </c>
      <c t="s">
        <v>39289</v>
      </c>
      <c>
        <v>33909</v>
      </c>
      <c t="s">
        <v>11542</v>
      </c>
      <c t="s">
        <v>48794</v>
      </c>
      <c t="s">
        <v>30147</v>
      </c>
      <c>
        <v>1561</v>
      </c>
      <c r="AI3085" t="s">
        <v>3724</v>
      </c>
      <c t="s">
        <v>55842</v>
      </c>
      <c r="AL3085" t="s">
        <v>28329</v>
      </c>
      <c t="s">
        <v>28329</v>
      </c>
      <c t="s">
        <v>51137</v>
      </c>
      <c t="s">
        <v>22191</v>
      </c>
      <c t="s">
        <v>23744</v>
      </c>
      <c t="s">
        <v>3093</v>
      </c>
      <c t="s">
        <v>2863</v>
      </c>
    </row>
    <row>
      <c t="s">
        <v>17594</v>
      </c>
      <c t="s">
        <v>39</v>
      </c>
      <c t="s">
        <v>56564</v>
      </c>
      <c t="s">
        <v>737</v>
      </c>
      <c t="s">
        <v>21111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086" s="1" t="str">
        <f ca="1">HYPERLINK("https://web.datatree.com/?/property?propertyId=33144698", "https://web.datatree.com/?/property?propertyId=33144698")</f>
        <v>https://web.datatree.com/?/property?propertyId=33144698</v>
      </c>
      <c r="Q3086" t="s">
        <v>316</v>
      </c>
      <c>
        <v>0.23</v>
      </c>
      <c t="s">
        <v>22490</v>
      </c>
      <c t="s">
        <v>58737</v>
      </c>
      <c t="s">
        <v>24595</v>
      </c>
      <c t="s">
        <v>35512</v>
      </c>
      <c t="s">
        <v>24595</v>
      </c>
      <c t="s">
        <v>9099</v>
      </c>
      <c t="s">
        <v>2626</v>
      </c>
      <c t="s">
        <v>2517</v>
      </c>
      <c t="s">
        <v>39289</v>
      </c>
      <c>
        <v>33909</v>
      </c>
      <c t="s">
        <v>9482</v>
      </c>
      <c t="s">
        <v>48794</v>
      </c>
      <c t="s">
        <v>52719</v>
      </c>
      <c>
        <v>39</v>
      </c>
      <c r="AI3086" t="s">
        <v>8346</v>
      </c>
      <c t="s">
        <v>55842</v>
      </c>
      <c r="AL3086" t="s">
        <v>66317</v>
      </c>
      <c r="AN3086" t="s">
        <v>50917</v>
      </c>
      <c t="s">
        <v>25354</v>
      </c>
      <c t="s">
        <v>43294</v>
      </c>
      <c t="s">
        <v>3093</v>
      </c>
      <c t="s">
        <v>62797</v>
      </c>
    </row>
    <row>
      <c t="s">
        <v>17594</v>
      </c>
      <c t="s">
        <v>55264</v>
      </c>
      <c t="s">
        <v>19218</v>
      </c>
      <c t="s">
        <v>8066</v>
      </c>
      <c t="s">
        <v>19361</v>
      </c>
      <c s="3">
        <v>8700</v>
      </c>
      <c s="3">
        <v>8700</v>
      </c>
      <c s="3">
        <v>8700</v>
      </c>
      <c>
        <v>0</v>
      </c>
      <c s="3">
        <v>0</v>
      </c>
      <c s="3">
        <v>540.83</v>
      </c>
      <c s="3">
        <v>8700</v>
      </c>
      <c r="O3087" s="1" t="str">
        <f ca="1">HYPERLINK("https://web.datatree.com/?/property?propertyId=33144920", "https://web.datatree.com/?/property?propertyId=33144920")</f>
        <v>https://web.datatree.com/?/property?propertyId=33144920</v>
      </c>
      <c r="Q3087" t="s">
        <v>316</v>
      </c>
      <c>
        <v>0.23</v>
      </c>
      <c t="s">
        <v>6175</v>
      </c>
      <c t="s">
        <v>54953</v>
      </c>
      <c t="s">
        <v>2811</v>
      </c>
      <c t="s">
        <v>36243</v>
      </c>
      <c t="s">
        <v>2811</v>
      </c>
      <c t="s">
        <v>39739</v>
      </c>
      <c t="s">
        <v>2619</v>
      </c>
      <c t="s">
        <v>2517</v>
      </c>
      <c t="s">
        <v>39289</v>
      </c>
      <c>
        <v>33909</v>
      </c>
      <c t="s">
        <v>16622</v>
      </c>
      <c t="s">
        <v>48794</v>
      </c>
      <c t="s">
        <v>8980</v>
      </c>
      <c>
        <v>4111</v>
      </c>
      <c r="AH3087" t="s">
        <v>12549</v>
      </c>
      <c t="s">
        <v>17669</v>
      </c>
      <c r="AL3087" t="s">
        <v>8109</v>
      </c>
      <c r="AN3087" t="s">
        <v>50917</v>
      </c>
      <c t="s">
        <v>24177</v>
      </c>
      <c t="s">
        <v>22302</v>
      </c>
      <c t="s">
        <v>3093</v>
      </c>
      <c t="s">
        <v>39422</v>
      </c>
    </row>
    <row>
      <c t="s">
        <v>17594</v>
      </c>
      <c t="s">
        <v>40769</v>
      </c>
      <c t="s">
        <v>32291</v>
      </c>
      <c t="s">
        <v>9438</v>
      </c>
      <c t="s">
        <v>34971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088" s="1" t="str">
        <f ca="1">HYPERLINK("https://web.datatree.com/?/property?propertyId=33145183", "https://web.datatree.com/?/property?propertyId=33145183")</f>
        <v>https://web.datatree.com/?/property?propertyId=33145183</v>
      </c>
      <c r="Q3088" t="s">
        <v>316</v>
      </c>
      <c>
        <v>0.23</v>
      </c>
      <c t="s">
        <v>6175</v>
      </c>
      <c t="s">
        <v>16354</v>
      </c>
      <c t="s">
        <v>17415</v>
      </c>
      <c r="X3088" t="s">
        <v>31011</v>
      </c>
      <c t="s">
        <v>15510</v>
      </c>
      <c t="s">
        <v>2517</v>
      </c>
      <c t="s">
        <v>39289</v>
      </c>
      <c>
        <v>33909</v>
      </c>
      <c t="s">
        <v>40797</v>
      </c>
      <c t="s">
        <v>48794</v>
      </c>
      <c t="s">
        <v>7460</v>
      </c>
      <c>
        <v>3</v>
      </c>
      <c r="AI3088" t="s">
        <v>31914</v>
      </c>
      <c t="s">
        <v>41372</v>
      </c>
      <c r="AL3088" t="s">
        <v>31151</v>
      </c>
      <c r="AN3088" t="s">
        <v>50917</v>
      </c>
      <c t="s">
        <v>29303</v>
      </c>
      <c t="s">
        <v>12241</v>
      </c>
      <c t="s">
        <v>3093</v>
      </c>
      <c t="s">
        <v>2342</v>
      </c>
    </row>
    <row>
      <c t="s">
        <v>17594</v>
      </c>
      <c t="s">
        <v>39129</v>
      </c>
      <c t="s">
        <v>26563</v>
      </c>
      <c t="s">
        <v>14706</v>
      </c>
      <c t="s">
        <v>24538</v>
      </c>
      <c s="3">
        <v>7700</v>
      </c>
      <c s="3">
        <v>7700</v>
      </c>
      <c s="3">
        <v>7700</v>
      </c>
      <c>
        <v>0</v>
      </c>
      <c s="3">
        <v>0</v>
      </c>
      <c s="3">
        <v>593.83</v>
      </c>
      <c s="3">
        <v>7700</v>
      </c>
      <c r="O3089" s="1" t="str">
        <f ca="1">HYPERLINK("https://web.datatree.com/?/property?propertyId=33146268", "https://web.datatree.com/?/property?propertyId=33146268")</f>
        <v>https://web.datatree.com/?/property?propertyId=33146268</v>
      </c>
      <c r="Q3089" t="s">
        <v>316</v>
      </c>
      <c>
        <v>0.251</v>
      </c>
      <c t="s">
        <v>6175</v>
      </c>
      <c t="s">
        <v>30490</v>
      </c>
      <c t="s">
        <v>12709</v>
      </c>
      <c t="s">
        <v>24419</v>
      </c>
      <c t="s">
        <v>12709</v>
      </c>
      <c t="s">
        <v>594</v>
      </c>
      <c t="s">
        <v>14917</v>
      </c>
      <c t="s">
        <v>2517</v>
      </c>
      <c t="s">
        <v>39289</v>
      </c>
      <c>
        <v>33909</v>
      </c>
      <c t="s">
        <v>10471</v>
      </c>
      <c t="s">
        <v>48794</v>
      </c>
      <c t="s">
        <v>65784</v>
      </c>
      <c r="AI3089" t="s">
        <v>57190</v>
      </c>
      <c r="AL3089" t="s">
        <v>19762</v>
      </c>
      <c t="s">
        <v>19762</v>
      </c>
      <c t="s">
        <v>9533</v>
      </c>
      <c>
        <v>920</v>
      </c>
      <c r="AQ3089" t="s">
        <v>3093</v>
      </c>
      <c t="s">
        <v>58133</v>
      </c>
    </row>
    <row>
      <c t="s">
        <v>17594</v>
      </c>
      <c t="s">
        <v>12268</v>
      </c>
      <c t="s">
        <v>5770</v>
      </c>
      <c t="s">
        <v>20334</v>
      </c>
      <c t="s">
        <v>28863</v>
      </c>
      <c s="3">
        <v>12750</v>
      </c>
      <c s="3">
        <v>12750</v>
      </c>
      <c s="3">
        <v>9956</v>
      </c>
      <c>
        <v>0</v>
      </c>
      <c s="3">
        <v>0</v>
      </c>
      <c s="3">
        <v>187.88</v>
      </c>
      <c s="3">
        <v>12750</v>
      </c>
      <c>
        <v>2021</v>
      </c>
      <c>
        <v>219.46</v>
      </c>
      <c s="1" t="str">
        <f ca="1">HYPERLINK("https://web.datatree.com/?/property?propertyId=33146289", "https://web.datatree.com/?/property?propertyId=33146289")</f>
        <v>https://web.datatree.com/?/property?propertyId=33146289</v>
      </c>
      <c r="Q3090" t="s">
        <v>316</v>
      </c>
      <c>
        <v>0.51</v>
      </c>
      <c t="s">
        <v>66399</v>
      </c>
      <c t="s">
        <v>38860</v>
      </c>
      <c t="s">
        <v>26749</v>
      </c>
      <c r="X3090" t="s">
        <v>17105</v>
      </c>
      <c t="s">
        <v>64737</v>
      </c>
      <c t="s">
        <v>65059</v>
      </c>
      <c t="s">
        <v>39289</v>
      </c>
      <c>
        <v>33901</v>
      </c>
      <c>
        <v>33901</v>
      </c>
      <c t="s">
        <v>48794</v>
      </c>
      <c t="s">
        <v>32460</v>
      </c>
      <c>
        <v>6150</v>
      </c>
      <c r="AI3090" t="s">
        <v>31683</v>
      </c>
      <c t="s">
        <v>45620</v>
      </c>
      <c r="AL3090" t="s">
        <v>11713</v>
      </c>
      <c r="AN3090" t="s">
        <v>39289</v>
      </c>
      <c t="s">
        <v>16560</v>
      </c>
      <c t="s">
        <v>45980</v>
      </c>
      <c t="s">
        <v>3093</v>
      </c>
      <c t="s">
        <v>25333</v>
      </c>
    </row>
    <row>
      <c t="s">
        <v>17594</v>
      </c>
      <c t="s">
        <v>27055</v>
      </c>
      <c t="s">
        <v>4713</v>
      </c>
      <c t="s">
        <v>6840</v>
      </c>
      <c t="s">
        <v>2016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3091" s="1" t="str">
        <f ca="1">HYPERLINK("https://web.datatree.com/?/property?propertyId=33146560", "https://web.datatree.com/?/property?propertyId=33146560")</f>
        <v>https://web.datatree.com/?/property?propertyId=33146560</v>
      </c>
      <c r="Q3091" t="s">
        <v>316</v>
      </c>
      <c>
        <v>0.23</v>
      </c>
      <c t="s">
        <v>6175</v>
      </c>
      <c t="s">
        <v>10361</v>
      </c>
      <c t="s">
        <v>43620</v>
      </c>
      <c r="X3091" t="s">
        <v>11641</v>
      </c>
      <c t="s">
        <v>53675</v>
      </c>
      <c t="s">
        <v>2517</v>
      </c>
      <c t="s">
        <v>39289</v>
      </c>
      <c>
        <v>33909</v>
      </c>
      <c t="s">
        <v>16116</v>
      </c>
      <c t="s">
        <v>48794</v>
      </c>
      <c t="s">
        <v>52761</v>
      </c>
      <c>
        <v>112</v>
      </c>
      <c r="AI3091" t="s">
        <v>32095</v>
      </c>
      <c t="s">
        <v>835</v>
      </c>
      <c r="AL3091" t="s">
        <v>5350</v>
      </c>
      <c r="AN3091" t="s">
        <v>22275</v>
      </c>
      <c t="s">
        <v>7269</v>
      </c>
      <c t="s">
        <v>27780</v>
      </c>
      <c t="s">
        <v>3093</v>
      </c>
      <c t="s">
        <v>23864</v>
      </c>
    </row>
    <row>
      <c t="s">
        <v>17594</v>
      </c>
      <c t="s">
        <v>52799</v>
      </c>
      <c t="s">
        <v>44738</v>
      </c>
      <c t="s">
        <v>37701</v>
      </c>
      <c t="s">
        <v>22069</v>
      </c>
      <c s="3">
        <v>47470</v>
      </c>
      <c s="3">
        <v>47470</v>
      </c>
      <c s="3">
        <v>9692</v>
      </c>
      <c>
        <v>0</v>
      </c>
      <c s="3">
        <v>0</v>
      </c>
      <c s="3">
        <v>3887.16</v>
      </c>
      <c s="3">
        <v>47470</v>
      </c>
      <c r="O3092" s="1" t="str">
        <f ca="1">HYPERLINK("https://web.datatree.com/?/property?propertyId=33146986", "https://web.datatree.com/?/property?propertyId=33146986")</f>
        <v>https://web.datatree.com/?/property?propertyId=33146986</v>
      </c>
      <c r="Q3092" t="s">
        <v>316</v>
      </c>
      <c>
        <v>0.413</v>
      </c>
      <c t="s">
        <v>42044</v>
      </c>
      <c t="s">
        <v>19520</v>
      </c>
      <c t="s">
        <v>17155</v>
      </c>
      <c t="s">
        <v>12691</v>
      </c>
      <c t="s">
        <v>17155</v>
      </c>
      <c t="s">
        <v>37799</v>
      </c>
      <c t="s">
        <v>8669</v>
      </c>
      <c t="s">
        <v>2517</v>
      </c>
      <c t="s">
        <v>39289</v>
      </c>
      <c>
        <v>33909</v>
      </c>
      <c t="s">
        <v>36172</v>
      </c>
      <c t="s">
        <v>48794</v>
      </c>
      <c t="s">
        <v>43801</v>
      </c>
      <c>
        <v>4350</v>
      </c>
      <c r="AI3092" t="s">
        <v>13208</v>
      </c>
      <c t="s">
        <v>45620</v>
      </c>
      <c r="AL3092" t="s">
        <v>52301</v>
      </c>
      <c r="AN3092" t="s">
        <v>51137</v>
      </c>
      <c t="s">
        <v>18971</v>
      </c>
      <c t="s">
        <v>22455</v>
      </c>
      <c t="s">
        <v>3093</v>
      </c>
      <c t="s">
        <v>34280</v>
      </c>
    </row>
    <row>
      <c t="s">
        <v>17594</v>
      </c>
      <c t="s">
        <v>32789</v>
      </c>
      <c t="s">
        <v>47962</v>
      </c>
      <c t="s">
        <v>28348</v>
      </c>
      <c t="s">
        <v>64644</v>
      </c>
      <c s="3">
        <v>24937</v>
      </c>
      <c s="3">
        <v>24937</v>
      </c>
      <c s="3">
        <v>24937</v>
      </c>
      <c>
        <v>0</v>
      </c>
      <c s="3">
        <v>0</v>
      </c>
      <c s="3">
        <v>3119.48</v>
      </c>
      <c s="3">
        <v>24937</v>
      </c>
      <c>
        <v>2021</v>
      </c>
      <c>
        <v>3222.51</v>
      </c>
      <c s="1" t="str">
        <f ca="1">HYPERLINK("https://web.datatree.com/?/property?propertyId=33147350", "https://web.datatree.com/?/property?propertyId=33147350")</f>
        <v>https://web.datatree.com/?/property?propertyId=33147350</v>
      </c>
      <c r="Q3093" t="s">
        <v>316</v>
      </c>
      <c>
        <v>0.244</v>
      </c>
      <c t="s">
        <v>6175</v>
      </c>
      <c t="s">
        <v>43759</v>
      </c>
      <c t="s">
        <v>4235</v>
      </c>
      <c t="s">
        <v>65753</v>
      </c>
      <c t="s">
        <v>19420</v>
      </c>
      <c t="s">
        <v>59517</v>
      </c>
      <c t="s">
        <v>25017</v>
      </c>
      <c t="s">
        <v>2517</v>
      </c>
      <c t="s">
        <v>39289</v>
      </c>
      <c>
        <v>33909</v>
      </c>
      <c t="s">
        <v>37819</v>
      </c>
      <c t="s">
        <v>48794</v>
      </c>
      <c t="s">
        <v>6318</v>
      </c>
      <c>
        <v>8630</v>
      </c>
      <c r="AI3093" t="s">
        <v>64331</v>
      </c>
      <c t="s">
        <v>45393</v>
      </c>
      <c r="AL3093" t="s">
        <v>65608</v>
      </c>
      <c t="s">
        <v>65608</v>
      </c>
      <c t="s">
        <v>39289</v>
      </c>
      <c t="s">
        <v>15005</v>
      </c>
      <c t="s">
        <v>14845</v>
      </c>
      <c t="s">
        <v>3093</v>
      </c>
      <c t="s">
        <v>28543</v>
      </c>
    </row>
    <row>
      <c t="s">
        <v>17594</v>
      </c>
      <c t="s">
        <v>1795</v>
      </c>
      <c t="s">
        <v>17145</v>
      </c>
      <c t="s">
        <v>57698</v>
      </c>
      <c t="s">
        <v>15248</v>
      </c>
      <c s="3">
        <v>7600</v>
      </c>
      <c s="3">
        <v>7600</v>
      </c>
      <c s="3">
        <v>7600</v>
      </c>
      <c>
        <v>0</v>
      </c>
      <c s="3">
        <v>0</v>
      </c>
      <c s="3">
        <v>636.05</v>
      </c>
      <c s="3">
        <v>7600</v>
      </c>
      <c r="O3094" s="1" t="str">
        <f ca="1">HYPERLINK("https://web.datatree.com/?/property?propertyId=33147483", "https://web.datatree.com/?/property?propertyId=33147483")</f>
        <v>https://web.datatree.com/?/property?propertyId=33147483</v>
      </c>
      <c r="Q3094" t="s">
        <v>316</v>
      </c>
      <c>
        <v>0.23</v>
      </c>
      <c t="s">
        <v>6175</v>
      </c>
      <c t="s">
        <v>24179</v>
      </c>
      <c t="s">
        <v>20597</v>
      </c>
      <c t="s">
        <v>35754</v>
      </c>
      <c t="s">
        <v>65015</v>
      </c>
      <c t="s">
        <v>19494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10112</v>
      </c>
      <c>
        <v>726</v>
      </c>
      <c r="AI3094" t="s">
        <v>61865</v>
      </c>
      <c t="s">
        <v>40123</v>
      </c>
      <c r="AL3094" t="s">
        <v>33214</v>
      </c>
      <c t="s">
        <v>33214</v>
      </c>
      <c t="s">
        <v>39289</v>
      </c>
      <c t="s">
        <v>55402</v>
      </c>
      <c t="s">
        <v>34162</v>
      </c>
      <c t="s">
        <v>3093</v>
      </c>
      <c t="s">
        <v>36188</v>
      </c>
    </row>
    <row>
      <c t="s">
        <v>17594</v>
      </c>
      <c t="s">
        <v>3403</v>
      </c>
      <c t="s">
        <v>57905</v>
      </c>
      <c t="s">
        <v>45437</v>
      </c>
      <c t="s">
        <v>24868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095" s="1" t="str">
        <f ca="1">HYPERLINK("https://web.datatree.com/?/property?propertyId=33148346", "https://web.datatree.com/?/property?propertyId=33148346")</f>
        <v>https://web.datatree.com/?/property?propertyId=33148346</v>
      </c>
      <c r="Q3095" t="s">
        <v>316</v>
      </c>
      <c>
        <v>0.23</v>
      </c>
      <c t="s">
        <v>22490</v>
      </c>
      <c t="s">
        <v>53587</v>
      </c>
      <c t="s">
        <v>45280</v>
      </c>
      <c t="s">
        <v>52701</v>
      </c>
      <c t="s">
        <v>63053</v>
      </c>
      <c t="s">
        <v>63585</v>
      </c>
      <c t="s">
        <v>53663</v>
      </c>
      <c t="s">
        <v>2517</v>
      </c>
      <c t="s">
        <v>39289</v>
      </c>
      <c>
        <v>33909</v>
      </c>
      <c t="s">
        <v>32489</v>
      </c>
      <c t="s">
        <v>48794</v>
      </c>
      <c t="s">
        <v>40053</v>
      </c>
      <c>
        <v>6642</v>
      </c>
      <c r="AI3095" t="s">
        <v>48564</v>
      </c>
      <c t="s">
        <v>24900</v>
      </c>
      <c r="AL3095" t="s">
        <v>18908</v>
      </c>
      <c r="AN3095" t="s">
        <v>58733</v>
      </c>
      <c t="s">
        <v>51237</v>
      </c>
      <c t="s">
        <v>4797</v>
      </c>
      <c t="s">
        <v>3093</v>
      </c>
      <c t="s">
        <v>27121</v>
      </c>
    </row>
    <row>
      <c t="s">
        <v>17594</v>
      </c>
      <c t="s">
        <v>22155</v>
      </c>
      <c t="s">
        <v>50308</v>
      </c>
      <c t="s">
        <v>49965</v>
      </c>
      <c t="s">
        <v>32178</v>
      </c>
      <c s="3">
        <v>24566</v>
      </c>
      <c s="3">
        <v>24566</v>
      </c>
      <c s="3">
        <v>24566</v>
      </c>
      <c>
        <v>0</v>
      </c>
      <c s="3">
        <v>0</v>
      </c>
      <c s="3">
        <v>972.86</v>
      </c>
      <c s="3">
        <v>24566</v>
      </c>
      <c r="O3096" s="1" t="str">
        <f ca="1">HYPERLINK("https://web.datatree.com/?/property?propertyId=33148392", "https://web.datatree.com/?/property?propertyId=33148392")</f>
        <v>https://web.datatree.com/?/property?propertyId=33148392</v>
      </c>
      <c r="Q3096" t="s">
        <v>316</v>
      </c>
      <c>
        <v>0.486</v>
      </c>
      <c t="s">
        <v>22490</v>
      </c>
      <c t="s">
        <v>10361</v>
      </c>
      <c t="s">
        <v>44567</v>
      </c>
      <c t="s">
        <v>63182</v>
      </c>
      <c t="s">
        <v>44567</v>
      </c>
      <c t="s">
        <v>62980</v>
      </c>
      <c t="s">
        <v>53663</v>
      </c>
      <c t="s">
        <v>2517</v>
      </c>
      <c t="s">
        <v>39289</v>
      </c>
      <c>
        <v>33909</v>
      </c>
      <c>
        <v>33909</v>
      </c>
      <c t="s">
        <v>48794</v>
      </c>
      <c t="s">
        <v>10423</v>
      </c>
      <c>
        <v>5531</v>
      </c>
      <c r="AI3096" t="s">
        <v>44512</v>
      </c>
      <c t="s">
        <v>31192</v>
      </c>
      <c r="AL3096" t="s">
        <v>59238</v>
      </c>
      <c r="AN3096" t="s">
        <v>17134</v>
      </c>
      <c t="s">
        <v>38326</v>
      </c>
      <c t="s">
        <v>14695</v>
      </c>
      <c t="s">
        <v>3093</v>
      </c>
      <c t="s">
        <v>7119</v>
      </c>
    </row>
    <row>
      <c t="s">
        <v>17594</v>
      </c>
      <c t="s">
        <v>11051</v>
      </c>
      <c t="s">
        <v>62366</v>
      </c>
      <c t="s">
        <v>24304</v>
      </c>
      <c t="s">
        <v>29811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3097" s="1" t="str">
        <f ca="1">HYPERLINK("https://web.datatree.com/?/property?propertyId=33148555", "https://web.datatree.com/?/property?propertyId=33148555")</f>
        <v>https://web.datatree.com/?/property?propertyId=33148555</v>
      </c>
      <c r="Q3097" t="s">
        <v>316</v>
      </c>
      <c>
        <v>0.23</v>
      </c>
      <c t="s">
        <v>22490</v>
      </c>
      <c t="s">
        <v>3797</v>
      </c>
      <c t="s">
        <v>23107</v>
      </c>
      <c r="X3097" t="s">
        <v>45656</v>
      </c>
      <c t="s">
        <v>53663</v>
      </c>
      <c t="s">
        <v>2517</v>
      </c>
      <c t="s">
        <v>39289</v>
      </c>
      <c>
        <v>33909</v>
      </c>
      <c t="s">
        <v>66676</v>
      </c>
      <c t="s">
        <v>48794</v>
      </c>
      <c t="s">
        <v>20647</v>
      </c>
      <c>
        <v>475</v>
      </c>
      <c r="AI3097" t="s">
        <v>13964</v>
      </c>
      <c t="s">
        <v>45393</v>
      </c>
      <c r="AL3097" t="s">
        <v>29515</v>
      </c>
      <c t="s">
        <v>29515</v>
      </c>
      <c t="s">
        <v>39289</v>
      </c>
      <c t="s">
        <v>42398</v>
      </c>
      <c t="s">
        <v>29069</v>
      </c>
      <c t="s">
        <v>3093</v>
      </c>
      <c t="s">
        <v>35126</v>
      </c>
    </row>
    <row>
      <c t="s">
        <v>17594</v>
      </c>
      <c t="s">
        <v>6881</v>
      </c>
      <c t="s">
        <v>47364</v>
      </c>
      <c t="s">
        <v>23462</v>
      </c>
      <c t="s">
        <v>60306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3098" s="1" t="str">
        <f ca="1">HYPERLINK("https://web.datatree.com/?/property?propertyId=33148769", "https://web.datatree.com/?/property?propertyId=33148769")</f>
        <v>https://web.datatree.com/?/property?propertyId=33148769</v>
      </c>
      <c r="Q3098" t="s">
        <v>316</v>
      </c>
      <c>
        <v>0.23</v>
      </c>
      <c t="s">
        <v>5471</v>
      </c>
      <c t="s">
        <v>55067</v>
      </c>
      <c t="s">
        <v>1345</v>
      </c>
      <c t="s">
        <v>63282</v>
      </c>
      <c t="s">
        <v>6498</v>
      </c>
      <c t="s">
        <v>19589</v>
      </c>
      <c t="s">
        <v>19611</v>
      </c>
      <c t="s">
        <v>65059</v>
      </c>
      <c t="s">
        <v>39289</v>
      </c>
      <c>
        <v>33905</v>
      </c>
      <c t="s">
        <v>61387</v>
      </c>
      <c t="s">
        <v>48794</v>
      </c>
      <c t="s">
        <v>10101</v>
      </c>
      <c>
        <v>21642</v>
      </c>
      <c r="AH3098" t="s">
        <v>60953</v>
      </c>
      <c t="s">
        <v>59977</v>
      </c>
      <c r="AL3098" t="s">
        <v>20527</v>
      </c>
      <c r="AN3098" t="s">
        <v>50829</v>
      </c>
      <c t="s">
        <v>3998</v>
      </c>
      <c t="s">
        <v>60160</v>
      </c>
      <c t="s">
        <v>3093</v>
      </c>
      <c t="s">
        <v>62784</v>
      </c>
    </row>
    <row>
      <c t="s">
        <v>17594</v>
      </c>
      <c t="s">
        <v>12404</v>
      </c>
      <c t="s">
        <v>8589</v>
      </c>
      <c t="s">
        <v>16414</v>
      </c>
      <c t="s">
        <v>36384</v>
      </c>
      <c s="3">
        <v>17602</v>
      </c>
      <c s="3">
        <v>17602</v>
      </c>
      <c s="3">
        <v>9075</v>
      </c>
      <c>
        <v>0</v>
      </c>
      <c s="3">
        <v>0</v>
      </c>
      <c s="3">
        <v>717.65</v>
      </c>
      <c s="3">
        <v>17602</v>
      </c>
      <c r="O3099" s="1" t="str">
        <f ca="1">HYPERLINK("https://web.datatree.com/?/property?propertyId=33149072", "https://web.datatree.com/?/property?propertyId=33149072")</f>
        <v>https://web.datatree.com/?/property?propertyId=33149072</v>
      </c>
      <c r="Q3099" t="s">
        <v>316</v>
      </c>
      <c>
        <v>0.255</v>
      </c>
      <c t="s">
        <v>6175</v>
      </c>
      <c t="s">
        <v>45340</v>
      </c>
      <c t="s">
        <v>43112</v>
      </c>
      <c r="X3099" t="s">
        <v>41876</v>
      </c>
      <c t="s">
        <v>61865</v>
      </c>
      <c t="s">
        <v>2517</v>
      </c>
      <c t="s">
        <v>39289</v>
      </c>
      <c>
        <v>33909</v>
      </c>
      <c t="s">
        <v>48329</v>
      </c>
      <c t="s">
        <v>48794</v>
      </c>
      <c t="s">
        <v>12625</v>
      </c>
      <c>
        <v>1911</v>
      </c>
      <c r="AI3099" t="s">
        <v>4630</v>
      </c>
      <c t="s">
        <v>31192</v>
      </c>
      <c t="s">
        <v>65325</v>
      </c>
      <c t="s">
        <v>55393</v>
      </c>
      <c r="AN3099" t="s">
        <v>39289</v>
      </c>
      <c t="s">
        <v>43937</v>
      </c>
      <c t="s">
        <v>62983</v>
      </c>
      <c t="s">
        <v>3093</v>
      </c>
      <c t="s">
        <v>55466</v>
      </c>
    </row>
    <row>
      <c t="s">
        <v>17594</v>
      </c>
      <c t="s">
        <v>54918</v>
      </c>
      <c t="s">
        <v>61998</v>
      </c>
      <c t="s">
        <v>8898</v>
      </c>
      <c t="s">
        <v>14349</v>
      </c>
      <c s="3">
        <v>8280</v>
      </c>
      <c s="3">
        <v>8280</v>
      </c>
      <c s="3">
        <v>4972</v>
      </c>
      <c>
        <v>0</v>
      </c>
      <c s="3">
        <v>0</v>
      </c>
      <c s="3">
        <v>316.66</v>
      </c>
      <c s="3">
        <v>8280</v>
      </c>
      <c r="O3100" s="1" t="str">
        <f ca="1">HYPERLINK("https://web.datatree.com/?/property?propertyId=33149263", "https://web.datatree.com/?/property?propertyId=33149263")</f>
        <v>https://web.datatree.com/?/property?propertyId=33149263</v>
      </c>
      <c r="Q3100" t="s">
        <v>316</v>
      </c>
      <c>
        <v>0.242</v>
      </c>
      <c t="s">
        <v>5471</v>
      </c>
      <c t="s">
        <v>552</v>
      </c>
      <c t="s">
        <v>5267</v>
      </c>
      <c r="X3100" t="s">
        <v>55659</v>
      </c>
      <c t="s">
        <v>20650</v>
      </c>
      <c t="s">
        <v>65059</v>
      </c>
      <c t="s">
        <v>39289</v>
      </c>
      <c>
        <v>33905</v>
      </c>
      <c t="s">
        <v>46523</v>
      </c>
      <c t="s">
        <v>48794</v>
      </c>
      <c t="s">
        <v>66080</v>
      </c>
      <c>
        <v>3022</v>
      </c>
      <c r="AI3100" t="s">
        <v>29190</v>
      </c>
      <c t="s">
        <v>40123</v>
      </c>
      <c r="AL3100" t="s">
        <v>46989</v>
      </c>
      <c r="AN3100" t="s">
        <v>39289</v>
      </c>
      <c t="s">
        <v>49164</v>
      </c>
      <c t="s">
        <v>40645</v>
      </c>
      <c t="s">
        <v>3093</v>
      </c>
      <c t="s">
        <v>1136</v>
      </c>
    </row>
    <row>
      <c t="s">
        <v>17594</v>
      </c>
      <c t="s">
        <v>21365</v>
      </c>
      <c t="s">
        <v>20104</v>
      </c>
      <c t="s">
        <v>30341</v>
      </c>
      <c t="s">
        <v>37024</v>
      </c>
      <c s="3">
        <v>22152</v>
      </c>
      <c s="3">
        <v>22152</v>
      </c>
      <c s="3">
        <v>22152</v>
      </c>
      <c>
        <v>0</v>
      </c>
      <c s="3">
        <v>0</v>
      </c>
      <c s="3">
        <v>633.3</v>
      </c>
      <c s="3">
        <v>22152</v>
      </c>
      <c r="O3101" s="1" t="str">
        <f ca="1">HYPERLINK("https://web.datatree.com/?/property?propertyId=33149977", "https://web.datatree.com/?/property?propertyId=33149977")</f>
        <v>https://web.datatree.com/?/property?propertyId=33149977</v>
      </c>
      <c r="Q3101" t="s">
        <v>316</v>
      </c>
      <c>
        <v>0.23</v>
      </c>
      <c t="s">
        <v>22490</v>
      </c>
      <c t="s">
        <v>1859</v>
      </c>
      <c t="s">
        <v>56332</v>
      </c>
      <c t="s">
        <v>45561</v>
      </c>
      <c t="s">
        <v>56332</v>
      </c>
      <c t="s">
        <v>10329</v>
      </c>
      <c t="s">
        <v>49674</v>
      </c>
      <c t="s">
        <v>2517</v>
      </c>
      <c t="s">
        <v>39289</v>
      </c>
      <c>
        <v>33909</v>
      </c>
      <c t="s">
        <v>4274</v>
      </c>
      <c t="s">
        <v>48794</v>
      </c>
      <c t="s">
        <v>13098</v>
      </c>
      <c>
        <v>3898</v>
      </c>
      <c r="AI3101" t="s">
        <v>5930</v>
      </c>
      <c t="s">
        <v>54708</v>
      </c>
      <c r="AL3101" t="s">
        <v>66511</v>
      </c>
      <c t="s">
        <v>66511</v>
      </c>
      <c t="s">
        <v>32576</v>
      </c>
      <c t="s">
        <v>61941</v>
      </c>
      <c t="s">
        <v>24842</v>
      </c>
      <c t="s">
        <v>3093</v>
      </c>
      <c t="s">
        <v>4626</v>
      </c>
    </row>
    <row>
      <c t="s">
        <v>17594</v>
      </c>
      <c t="s">
        <v>61986</v>
      </c>
      <c t="s">
        <v>64189</v>
      </c>
      <c t="s">
        <v>33181</v>
      </c>
      <c t="s">
        <v>48290</v>
      </c>
      <c s="3">
        <v>56000</v>
      </c>
      <c s="3">
        <v>56000</v>
      </c>
      <c s="3">
        <v>12026</v>
      </c>
      <c>
        <v>0</v>
      </c>
      <c s="3">
        <v>0</v>
      </c>
      <c s="3">
        <v>2221.87</v>
      </c>
      <c s="3">
        <v>56000</v>
      </c>
      <c r="O3102" s="1" t="str">
        <f ca="1">HYPERLINK("https://web.datatree.com/?/property?propertyId=33150767", "https://web.datatree.com/?/property?propertyId=33150767")</f>
        <v>https://web.datatree.com/?/property?propertyId=33150767</v>
      </c>
      <c r="Q3102" t="s">
        <v>316</v>
      </c>
      <c>
        <v>0.348</v>
      </c>
      <c t="s">
        <v>6175</v>
      </c>
      <c t="s">
        <v>54692</v>
      </c>
      <c t="s">
        <v>60379</v>
      </c>
      <c t="s">
        <v>48320</v>
      </c>
      <c t="s">
        <v>25083</v>
      </c>
      <c t="s">
        <v>65620</v>
      </c>
      <c t="s">
        <v>53675</v>
      </c>
      <c t="s">
        <v>2517</v>
      </c>
      <c t="s">
        <v>39289</v>
      </c>
      <c>
        <v>33909</v>
      </c>
      <c t="s">
        <v>24711</v>
      </c>
      <c t="s">
        <v>48794</v>
      </c>
      <c t="s">
        <v>10677</v>
      </c>
      <c>
        <v>4</v>
      </c>
      <c r="AI3102" t="s">
        <v>27591</v>
      </c>
      <c t="s">
        <v>45620</v>
      </c>
      <c r="AL3102" t="s">
        <v>4736</v>
      </c>
      <c r="AN3102" t="s">
        <v>50917</v>
      </c>
      <c t="s">
        <v>35071</v>
      </c>
      <c t="s">
        <v>702</v>
      </c>
      <c t="s">
        <v>3093</v>
      </c>
      <c t="s">
        <v>29165</v>
      </c>
    </row>
    <row>
      <c t="s">
        <v>17594</v>
      </c>
      <c t="s">
        <v>52378</v>
      </c>
      <c t="s">
        <v>21701</v>
      </c>
      <c t="s">
        <v>31118</v>
      </c>
      <c t="s">
        <v>48269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3103" s="1" t="str">
        <f ca="1">HYPERLINK("https://web.datatree.com/?/property?propertyId=33152334", "https://web.datatree.com/?/property?propertyId=33152334")</f>
        <v>https://web.datatree.com/?/property?propertyId=33152334</v>
      </c>
      <c r="Q3103" t="s">
        <v>316</v>
      </c>
      <c>
        <v>0.23</v>
      </c>
      <c t="s">
        <v>6175</v>
      </c>
      <c t="s">
        <v>39903</v>
      </c>
      <c t="s">
        <v>46503</v>
      </c>
      <c r="X3103" t="s">
        <v>342</v>
      </c>
      <c t="s">
        <v>22731</v>
      </c>
      <c t="s">
        <v>2517</v>
      </c>
      <c t="s">
        <v>39289</v>
      </c>
      <c>
        <v>33909</v>
      </c>
      <c t="s">
        <v>24695</v>
      </c>
      <c t="s">
        <v>48794</v>
      </c>
      <c t="s">
        <v>1051</v>
      </c>
      <c>
        <v>1403</v>
      </c>
      <c r="AI3103" t="s">
        <v>60933</v>
      </c>
      <c t="s">
        <v>24900</v>
      </c>
      <c r="AL3103" t="s">
        <v>6144</v>
      </c>
      <c r="AN3103" t="s">
        <v>50917</v>
      </c>
      <c t="s">
        <v>34242</v>
      </c>
      <c t="s">
        <v>33029</v>
      </c>
      <c t="s">
        <v>3093</v>
      </c>
      <c t="s">
        <v>34994</v>
      </c>
    </row>
    <row>
      <c t="s">
        <v>17594</v>
      </c>
      <c t="s">
        <v>53076</v>
      </c>
      <c t="s">
        <v>57688</v>
      </c>
      <c t="s">
        <v>38579</v>
      </c>
      <c t="s">
        <v>64246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>
        <v>2021</v>
      </c>
      <c>
        <v>586.06</v>
      </c>
      <c s="1" t="str">
        <f ca="1">HYPERLINK("https://web.datatree.com/?/property?propertyId=33152338", "https://web.datatree.com/?/property?propertyId=33152338")</f>
        <v>https://web.datatree.com/?/property?propertyId=33152338</v>
      </c>
      <c r="Q3104" t="s">
        <v>316</v>
      </c>
      <c>
        <v>0.23</v>
      </c>
      <c t="s">
        <v>6175</v>
      </c>
      <c t="s">
        <v>36693</v>
      </c>
      <c t="s">
        <v>18225</v>
      </c>
      <c t="s">
        <v>51750</v>
      </c>
      <c t="s">
        <v>21771</v>
      </c>
      <c t="s">
        <v>34099</v>
      </c>
      <c t="s">
        <v>64331</v>
      </c>
      <c t="s">
        <v>2517</v>
      </c>
      <c t="s">
        <v>39289</v>
      </c>
      <c>
        <v>33909</v>
      </c>
      <c t="s">
        <v>39060</v>
      </c>
      <c t="s">
        <v>48794</v>
      </c>
      <c t="s">
        <v>43138</v>
      </c>
      <c>
        <v>3400</v>
      </c>
      <c r="AI3104" t="s">
        <v>27621</v>
      </c>
      <c t="s">
        <v>835</v>
      </c>
      <c r="AL3104" t="s">
        <v>11713</v>
      </c>
      <c r="AN3104" t="s">
        <v>39289</v>
      </c>
      <c t="s">
        <v>58805</v>
      </c>
      <c t="s">
        <v>5948</v>
      </c>
      <c t="s">
        <v>3093</v>
      </c>
      <c t="s">
        <v>25661</v>
      </c>
    </row>
    <row>
      <c t="s">
        <v>17594</v>
      </c>
      <c t="s">
        <v>9312</v>
      </c>
      <c t="s">
        <v>19299</v>
      </c>
      <c t="s">
        <v>36572</v>
      </c>
      <c t="s">
        <v>14239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105" s="1" t="str">
        <f ca="1">HYPERLINK("https://web.datatree.com/?/property?propertyId=33152564", "https://web.datatree.com/?/property?propertyId=33152564")</f>
        <v>https://web.datatree.com/?/property?propertyId=33152564</v>
      </c>
      <c r="Q3105" t="s">
        <v>316</v>
      </c>
      <c>
        <v>0.23</v>
      </c>
      <c t="s">
        <v>22490</v>
      </c>
      <c t="s">
        <v>47299</v>
      </c>
      <c t="s">
        <v>20892</v>
      </c>
      <c t="s">
        <v>13521</v>
      </c>
      <c t="s">
        <v>20892</v>
      </c>
      <c t="s">
        <v>13635</v>
      </c>
      <c t="s">
        <v>25017</v>
      </c>
      <c t="s">
        <v>2517</v>
      </c>
      <c t="s">
        <v>39289</v>
      </c>
      <c>
        <v>33909</v>
      </c>
      <c t="s">
        <v>34289</v>
      </c>
      <c t="s">
        <v>48794</v>
      </c>
      <c t="s">
        <v>40177</v>
      </c>
      <c r="AL3105" t="s">
        <v>49873</v>
      </c>
      <c r="AN3105" t="s">
        <v>50917</v>
      </c>
      <c>
        <v>12510</v>
      </c>
    </row>
    <row>
      <c t="s">
        <v>17594</v>
      </c>
      <c t="s">
        <v>49118</v>
      </c>
      <c t="s">
        <v>47090</v>
      </c>
      <c t="s">
        <v>25607</v>
      </c>
      <c t="s">
        <v>11617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>
        <v>2019</v>
      </c>
      <c>
        <v>1123.87</v>
      </c>
      <c s="1" t="str">
        <f ca="1">HYPERLINK("https://web.datatree.com/?/property?propertyId=33153012", "https://web.datatree.com/?/property?propertyId=33153012")</f>
        <v>https://web.datatree.com/?/property?propertyId=33153012</v>
      </c>
      <c r="Q3106" t="s">
        <v>316</v>
      </c>
      <c>
        <v>0.23</v>
      </c>
      <c t="s">
        <v>6175</v>
      </c>
      <c t="s">
        <v>51338</v>
      </c>
      <c t="s">
        <v>62086</v>
      </c>
      <c r="X3106" t="s">
        <v>40412</v>
      </c>
      <c t="s">
        <v>53675</v>
      </c>
      <c t="s">
        <v>2517</v>
      </c>
      <c t="s">
        <v>39289</v>
      </c>
      <c>
        <v>33909</v>
      </c>
      <c t="s">
        <v>14207</v>
      </c>
      <c t="s">
        <v>48794</v>
      </c>
      <c t="s">
        <v>35945</v>
      </c>
      <c>
        <v>60</v>
      </c>
      <c r="AI3106" t="s">
        <v>20804</v>
      </c>
      <c t="s">
        <v>24900</v>
      </c>
      <c r="AL3106" t="s">
        <v>57063</v>
      </c>
      <c t="s">
        <v>57063</v>
      </c>
      <c t="s">
        <v>50917</v>
      </c>
      <c t="s">
        <v>43547</v>
      </c>
      <c t="s">
        <v>39566</v>
      </c>
      <c t="s">
        <v>3093</v>
      </c>
      <c t="s">
        <v>40810</v>
      </c>
    </row>
    <row>
      <c t="s">
        <v>17594</v>
      </c>
      <c t="s">
        <v>65287</v>
      </c>
      <c t="s">
        <v>64828</v>
      </c>
      <c t="s">
        <v>14032</v>
      </c>
      <c t="s">
        <v>42115</v>
      </c>
      <c s="3">
        <v>15129</v>
      </c>
      <c s="3">
        <v>15129</v>
      </c>
      <c s="3">
        <v>13596</v>
      </c>
      <c>
        <v>0</v>
      </c>
      <c s="3">
        <v>0</v>
      </c>
      <c s="3">
        <v>208.68</v>
      </c>
      <c s="3">
        <v>15129</v>
      </c>
      <c r="O3107" s="1" t="str">
        <f ca="1">HYPERLINK("https://web.datatree.com/?/property?propertyId=33153017", "https://web.datatree.com/?/property?propertyId=33153017")</f>
        <v>https://web.datatree.com/?/property?propertyId=33153017</v>
      </c>
      <c r="Q3107" t="s">
        <v>316</v>
      </c>
      <c>
        <v>0.258</v>
      </c>
      <c t="s">
        <v>5471</v>
      </c>
      <c t="s">
        <v>929</v>
      </c>
      <c t="s">
        <v>44947</v>
      </c>
      <c r="X3107" t="s">
        <v>38698</v>
      </c>
      <c t="s">
        <v>54750</v>
      </c>
      <c t="s">
        <v>54524</v>
      </c>
      <c t="s">
        <v>39289</v>
      </c>
      <c>
        <v>33903</v>
      </c>
      <c t="s">
        <v>48215</v>
      </c>
      <c t="s">
        <v>48794</v>
      </c>
      <c t="s">
        <v>13447</v>
      </c>
      <c>
        <v>3779</v>
      </c>
      <c r="AI3107" t="s">
        <v>10281</v>
      </c>
      <c t="s">
        <v>24900</v>
      </c>
      <c r="AL3107" t="s">
        <v>26641</v>
      </c>
      <c t="s">
        <v>26641</v>
      </c>
      <c t="s">
        <v>39289</v>
      </c>
      <c t="s">
        <v>39288</v>
      </c>
      <c t="s">
        <v>25140</v>
      </c>
      <c t="s">
        <v>3093</v>
      </c>
      <c t="s">
        <v>26704</v>
      </c>
    </row>
    <row>
      <c t="s">
        <v>17594</v>
      </c>
      <c t="s">
        <v>19242</v>
      </c>
      <c t="s">
        <v>59231</v>
      </c>
      <c t="s">
        <v>49502</v>
      </c>
      <c t="s">
        <v>44110</v>
      </c>
      <c s="3">
        <v>7966</v>
      </c>
      <c s="3">
        <v>7966</v>
      </c>
      <c s="3">
        <v>3474</v>
      </c>
      <c>
        <v>0</v>
      </c>
      <c s="3">
        <v>0</v>
      </c>
      <c s="3">
        <v>80.46</v>
      </c>
      <c s="3">
        <v>7966</v>
      </c>
      <c>
        <v>2021</v>
      </c>
      <c>
        <v>117.47</v>
      </c>
      <c s="1" t="str">
        <f ca="1">HYPERLINK("https://web.datatree.com/?/property?propertyId=33153098", "https://web.datatree.com/?/property?propertyId=33153098")</f>
        <v>https://web.datatree.com/?/property?propertyId=33153098</v>
      </c>
      <c r="Q3108" t="s">
        <v>316</v>
      </c>
      <c>
        <v>0.112</v>
      </c>
      <c t="s">
        <v>5471</v>
      </c>
      <c t="s">
        <v>50795</v>
      </c>
      <c t="s">
        <v>38202</v>
      </c>
      <c r="X3108" t="s">
        <v>52825</v>
      </c>
      <c t="s">
        <v>16673</v>
      </c>
      <c t="s">
        <v>54524</v>
      </c>
      <c t="s">
        <v>39289</v>
      </c>
      <c>
        <v>33903</v>
      </c>
      <c t="s">
        <v>34931</v>
      </c>
      <c t="s">
        <v>48794</v>
      </c>
      <c t="s">
        <v>1055</v>
      </c>
      <c>
        <v>47</v>
      </c>
      <c r="AI3108" t="s">
        <v>7196</v>
      </c>
      <c t="s">
        <v>45393</v>
      </c>
      <c>
        <v>1</v>
      </c>
      <c t="s">
        <v>39915</v>
      </c>
      <c r="AN3108" t="s">
        <v>27747</v>
      </c>
      <c t="s">
        <v>46881</v>
      </c>
      <c t="s">
        <v>26416</v>
      </c>
      <c t="s">
        <v>3093</v>
      </c>
      <c t="s">
        <v>49632</v>
      </c>
    </row>
    <row>
      <c t="s">
        <v>17594</v>
      </c>
      <c t="s">
        <v>32687</v>
      </c>
      <c t="s">
        <v>66657</v>
      </c>
      <c t="s">
        <v>46699</v>
      </c>
      <c t="s">
        <v>30529</v>
      </c>
      <c s="3">
        <v>96778</v>
      </c>
      <c s="3">
        <v>86250</v>
      </c>
      <c s="3">
        <v>83062</v>
      </c>
      <c>
        <v>0</v>
      </c>
      <c s="3">
        <v>0</v>
      </c>
      <c s="3">
        <v>1324.69</v>
      </c>
      <c s="3">
        <v>96778</v>
      </c>
      <c r="O3109" s="1" t="str">
        <f ca="1">HYPERLINK("https://web.datatree.com/?/property?propertyId=33153146", "https://web.datatree.com/?/property?propertyId=33153146")</f>
        <v>https://web.datatree.com/?/property?propertyId=33153146</v>
      </c>
      <c r="Q3109" t="s">
        <v>316</v>
      </c>
      <c>
        <v>0.116</v>
      </c>
      <c t="s">
        <v>26492</v>
      </c>
      <c t="s">
        <v>44541</v>
      </c>
      <c t="s">
        <v>48034</v>
      </c>
      <c t="s">
        <v>1135</v>
      </c>
      <c t="s">
        <v>48034</v>
      </c>
      <c t="s">
        <v>46913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54097</v>
      </c>
      <c>
        <v>790</v>
      </c>
      <c r="AI3109" t="s">
        <v>59177</v>
      </c>
      <c t="s">
        <v>45620</v>
      </c>
      <c r="AL3109" t="s">
        <v>41737</v>
      </c>
      <c t="s">
        <v>40227</v>
      </c>
      <c t="s">
        <v>56381</v>
      </c>
      <c t="s">
        <v>49485</v>
      </c>
      <c r="AQ3109" t="s">
        <v>27814</v>
      </c>
      <c t="s">
        <v>66414</v>
      </c>
    </row>
    <row>
      <c t="s">
        <v>17594</v>
      </c>
      <c t="s">
        <v>15121</v>
      </c>
      <c t="s">
        <v>56502</v>
      </c>
      <c t="s">
        <v>41668</v>
      </c>
      <c t="s">
        <v>43892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110" s="1" t="str">
        <f ca="1">HYPERLINK("https://web.datatree.com/?/property?propertyId=33153832", "https://web.datatree.com/?/property?propertyId=33153832")</f>
        <v>https://web.datatree.com/?/property?propertyId=33153832</v>
      </c>
      <c r="Q3110" t="s">
        <v>316</v>
      </c>
      <c>
        <v>0.23</v>
      </c>
      <c t="s">
        <v>22490</v>
      </c>
      <c t="s">
        <v>66869</v>
      </c>
      <c t="s">
        <v>30230</v>
      </c>
      <c t="s">
        <v>16893</v>
      </c>
      <c t="s">
        <v>30230</v>
      </c>
      <c t="s">
        <v>7801</v>
      </c>
      <c t="s">
        <v>39082</v>
      </c>
      <c t="s">
        <v>2517</v>
      </c>
      <c t="s">
        <v>39289</v>
      </c>
      <c>
        <v>33909</v>
      </c>
      <c t="s">
        <v>13353</v>
      </c>
      <c t="s">
        <v>48794</v>
      </c>
      <c t="s">
        <v>27539</v>
      </c>
      <c>
        <v>9503</v>
      </c>
      <c r="AI3110" t="s">
        <v>48518</v>
      </c>
      <c t="s">
        <v>45620</v>
      </c>
      <c r="AL3110" t="s">
        <v>18475</v>
      </c>
      <c r="AN3110" t="s">
        <v>22275</v>
      </c>
      <c t="s">
        <v>50396</v>
      </c>
      <c t="s">
        <v>56186</v>
      </c>
      <c t="s">
        <v>3093</v>
      </c>
      <c t="s">
        <v>49192</v>
      </c>
    </row>
    <row>
      <c t="s">
        <v>17594</v>
      </c>
      <c t="s">
        <v>55940</v>
      </c>
      <c t="s">
        <v>35708</v>
      </c>
      <c t="s">
        <v>25585</v>
      </c>
      <c t="s">
        <v>66200</v>
      </c>
      <c s="3">
        <v>47586</v>
      </c>
      <c s="3">
        <v>47586</v>
      </c>
      <c s="3">
        <v>22638</v>
      </c>
      <c>
        <v>0</v>
      </c>
      <c s="3">
        <v>0</v>
      </c>
      <c s="3">
        <v>940.65</v>
      </c>
      <c s="3">
        <v>47586</v>
      </c>
      <c r="O3111" s="1" t="str">
        <f ca="1">HYPERLINK("https://web.datatree.com/?/property?propertyId=33154328", "https://web.datatree.com/?/property?propertyId=33154328")</f>
        <v>https://web.datatree.com/?/property?propertyId=33154328</v>
      </c>
      <c r="Q3111" t="s">
        <v>316</v>
      </c>
      <c>
        <v>0.27</v>
      </c>
      <c t="s">
        <v>6175</v>
      </c>
      <c t="s">
        <v>2140</v>
      </c>
      <c t="s">
        <v>10354</v>
      </c>
      <c t="s">
        <v>63182</v>
      </c>
      <c t="s">
        <v>10354</v>
      </c>
      <c t="s">
        <v>1317</v>
      </c>
      <c t="s">
        <v>39832</v>
      </c>
      <c t="s">
        <v>2517</v>
      </c>
      <c t="s">
        <v>39289</v>
      </c>
      <c>
        <v>33904</v>
      </c>
      <c t="s">
        <v>24210</v>
      </c>
      <c t="s">
        <v>48794</v>
      </c>
      <c t="s">
        <v>47454</v>
      </c>
      <c>
        <v>10115</v>
      </c>
      <c r="AI3111" t="s">
        <v>63977</v>
      </c>
      <c t="s">
        <v>55910</v>
      </c>
      <c r="AL3111" t="s">
        <v>3906</v>
      </c>
      <c r="AN3111" t="s">
        <v>32657</v>
      </c>
      <c t="s">
        <v>15304</v>
      </c>
      <c t="s">
        <v>56028</v>
      </c>
      <c t="s">
        <v>3093</v>
      </c>
      <c t="s">
        <v>3721</v>
      </c>
    </row>
    <row>
      <c t="s">
        <v>17594</v>
      </c>
      <c t="s">
        <v>34391</v>
      </c>
      <c t="s">
        <v>11287</v>
      </c>
      <c t="s">
        <v>62561</v>
      </c>
      <c t="s">
        <v>10671</v>
      </c>
      <c s="3">
        <v>88063</v>
      </c>
      <c s="3">
        <v>79500</v>
      </c>
      <c s="3">
        <v>83969</v>
      </c>
      <c>
        <v>0</v>
      </c>
      <c s="3">
        <v>0</v>
      </c>
      <c s="3">
        <v>1284.81</v>
      </c>
      <c s="3">
        <v>88063</v>
      </c>
      <c r="O3112" s="1" t="str">
        <f ca="1">HYPERLINK("https://web.datatree.com/?/property?propertyId=33154869", "https://web.datatree.com/?/property?propertyId=33154869")</f>
        <v>https://web.datatree.com/?/property?propertyId=33154869</v>
      </c>
      <c r="Q3112" t="s">
        <v>316</v>
      </c>
      <c>
        <v>0.095</v>
      </c>
      <c t="s">
        <v>26492</v>
      </c>
      <c r="U3112" t="s">
        <v>59582</v>
      </c>
      <c r="W3112" t="s">
        <v>22004</v>
      </c>
      <c t="s">
        <v>899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31944</v>
      </c>
      <c>
        <v>245</v>
      </c>
      <c r="AI3112" t="s">
        <v>8624</v>
      </c>
      <c r="AL3112" t="s">
        <v>31194</v>
      </c>
      <c t="s">
        <v>2169</v>
      </c>
      <c t="s">
        <v>3034</v>
      </c>
      <c t="s">
        <v>23510</v>
      </c>
      <c t="s">
        <v>31626</v>
      </c>
      <c t="s">
        <v>3093</v>
      </c>
      <c t="s">
        <v>37485</v>
      </c>
      <c>
        <v>2005</v>
      </c>
    </row>
    <row>
      <c t="s">
        <v>17594</v>
      </c>
      <c t="s">
        <v>40100</v>
      </c>
      <c t="s">
        <v>9810</v>
      </c>
      <c t="s">
        <v>22974</v>
      </c>
      <c t="s">
        <v>29125</v>
      </c>
      <c s="3">
        <v>110194</v>
      </c>
      <c s="3">
        <v>108540</v>
      </c>
      <c s="3">
        <v>110194</v>
      </c>
      <c>
        <v>0</v>
      </c>
      <c s="3">
        <v>0</v>
      </c>
      <c s="3">
        <v>1654.69</v>
      </c>
      <c s="3">
        <v>110194</v>
      </c>
      <c r="O3113" s="1" t="str">
        <f ca="1">HYPERLINK("https://web.datatree.com/?/property?propertyId=33154944", "https://web.datatree.com/?/property?propertyId=33154944")</f>
        <v>https://web.datatree.com/?/property?propertyId=33154944</v>
      </c>
      <c r="Q3113" t="s">
        <v>316</v>
      </c>
      <c>
        <v>0.124</v>
      </c>
      <c t="s">
        <v>26492</v>
      </c>
      <c t="s">
        <v>552</v>
      </c>
      <c t="s">
        <v>27274</v>
      </c>
      <c r="X3113" t="s">
        <v>52291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54395</v>
      </c>
      <c>
        <v>18</v>
      </c>
      <c r="AI3113" t="s">
        <v>14316</v>
      </c>
      <c t="s">
        <v>40123</v>
      </c>
      <c r="AL3113" t="s">
        <v>18701</v>
      </c>
      <c t="s">
        <v>40227</v>
      </c>
      <c t="s">
        <v>26016</v>
      </c>
      <c t="s">
        <v>44214</v>
      </c>
      <c t="s">
        <v>35508</v>
      </c>
      <c t="s">
        <v>3093</v>
      </c>
      <c t="s">
        <v>48267</v>
      </c>
    </row>
    <row>
      <c t="s">
        <v>17594</v>
      </c>
      <c t="s">
        <v>11983</v>
      </c>
      <c t="s">
        <v>58686</v>
      </c>
      <c t="s">
        <v>61495</v>
      </c>
      <c t="s">
        <v>17341</v>
      </c>
      <c s="3">
        <v>16582</v>
      </c>
      <c s="3">
        <v>16582</v>
      </c>
      <c s="3">
        <v>16582</v>
      </c>
      <c>
        <v>0</v>
      </c>
      <c s="3">
        <v>0</v>
      </c>
      <c s="3">
        <v>638.26</v>
      </c>
      <c s="3">
        <v>16582</v>
      </c>
      <c r="O3114" s="1" t="str">
        <f ca="1">HYPERLINK("https://web.datatree.com/?/property?propertyId=33155566", "https://web.datatree.com/?/property?propertyId=33155566")</f>
        <v>https://web.datatree.com/?/property?propertyId=33155566</v>
      </c>
      <c r="Q3114" t="s">
        <v>316</v>
      </c>
      <c>
        <v>0.23</v>
      </c>
      <c t="s">
        <v>42044</v>
      </c>
      <c t="s">
        <v>54692</v>
      </c>
      <c t="s">
        <v>39982</v>
      </c>
      <c t="s">
        <v>33698</v>
      </c>
      <c t="s">
        <v>39982</v>
      </c>
      <c t="s">
        <v>54648</v>
      </c>
      <c t="s">
        <v>39777</v>
      </c>
      <c t="s">
        <v>2517</v>
      </c>
      <c t="s">
        <v>39289</v>
      </c>
      <c>
        <v>33909</v>
      </c>
      <c t="s">
        <v>19538</v>
      </c>
      <c t="s">
        <v>48794</v>
      </c>
      <c t="s">
        <v>29530</v>
      </c>
      <c>
        <v>21340</v>
      </c>
      <c r="AI3114" t="s">
        <v>17022</v>
      </c>
      <c t="s">
        <v>40123</v>
      </c>
      <c>
        <v>3</v>
      </c>
      <c t="s">
        <v>55393</v>
      </c>
      <c t="s">
        <v>46784</v>
      </c>
      <c t="s">
        <v>39289</v>
      </c>
      <c t="s">
        <v>5426</v>
      </c>
      <c t="s">
        <v>40826</v>
      </c>
      <c t="s">
        <v>3093</v>
      </c>
      <c t="s">
        <v>6272</v>
      </c>
    </row>
    <row>
      <c t="s">
        <v>17594</v>
      </c>
      <c t="s">
        <v>44052</v>
      </c>
      <c t="s">
        <v>53742</v>
      </c>
      <c t="s">
        <v>45503</v>
      </c>
      <c t="s">
        <v>47529</v>
      </c>
      <c s="3">
        <v>8100</v>
      </c>
      <c s="3">
        <v>8100</v>
      </c>
      <c s="3">
        <v>8100</v>
      </c>
      <c>
        <v>0</v>
      </c>
      <c s="3">
        <v>0</v>
      </c>
      <c s="3">
        <v>521.85</v>
      </c>
      <c s="3">
        <v>8100</v>
      </c>
      <c r="O3115" s="1" t="str">
        <f ca="1">HYPERLINK("https://web.datatree.com/?/property?propertyId=33155771", "https://web.datatree.com/?/property?propertyId=33155771")</f>
        <v>https://web.datatree.com/?/property?propertyId=33155771</v>
      </c>
      <c r="Q3115" t="s">
        <v>316</v>
      </c>
      <c>
        <v>0.23</v>
      </c>
      <c t="s">
        <v>6175</v>
      </c>
      <c t="s">
        <v>56333</v>
      </c>
      <c t="s">
        <v>6460</v>
      </c>
      <c r="X3115" t="s">
        <v>27614</v>
      </c>
      <c t="s">
        <v>49122</v>
      </c>
      <c t="s">
        <v>2517</v>
      </c>
      <c t="s">
        <v>39289</v>
      </c>
      <c>
        <v>33909</v>
      </c>
      <c t="s">
        <v>22369</v>
      </c>
      <c t="s">
        <v>48794</v>
      </c>
      <c t="s">
        <v>7136</v>
      </c>
      <c>
        <v>78</v>
      </c>
      <c r="AI3115" t="s">
        <v>5274</v>
      </c>
      <c t="s">
        <v>4151</v>
      </c>
      <c r="AL3115" t="s">
        <v>6544</v>
      </c>
      <c r="AN3115" t="s">
        <v>55929</v>
      </c>
      <c t="s">
        <v>13511</v>
      </c>
      <c r="AQ3115" t="s">
        <v>27814</v>
      </c>
      <c t="s">
        <v>52367</v>
      </c>
    </row>
    <row>
      <c t="s">
        <v>17594</v>
      </c>
      <c t="s">
        <v>20357</v>
      </c>
      <c t="s">
        <v>57758</v>
      </c>
      <c t="s">
        <v>20363</v>
      </c>
      <c t="s">
        <v>63638</v>
      </c>
      <c s="3">
        <v>37248</v>
      </c>
      <c s="3">
        <v>37248</v>
      </c>
      <c s="3">
        <v>10848</v>
      </c>
      <c>
        <v>0</v>
      </c>
      <c s="3">
        <v>0</v>
      </c>
      <c s="3">
        <v>1662.17</v>
      </c>
      <c s="3">
        <v>37248</v>
      </c>
      <c r="O3116" s="1" t="str">
        <f ca="1">HYPERLINK("https://web.datatree.com/?/property?propertyId=33155802", "https://web.datatree.com/?/property?propertyId=33155802")</f>
        <v>https://web.datatree.com/?/property?propertyId=33155802</v>
      </c>
      <c r="Q3116" t="s">
        <v>316</v>
      </c>
      <c>
        <v>0.239</v>
      </c>
      <c t="s">
        <v>6175</v>
      </c>
      <c r="U3116" t="s">
        <v>18162</v>
      </c>
      <c r="W3116" t="s">
        <v>54624</v>
      </c>
      <c t="s">
        <v>33713</v>
      </c>
      <c t="s">
        <v>53675</v>
      </c>
      <c t="s">
        <v>2517</v>
      </c>
      <c t="s">
        <v>39289</v>
      </c>
      <c>
        <v>33909</v>
      </c>
      <c t="s">
        <v>10848</v>
      </c>
      <c t="s">
        <v>48794</v>
      </c>
      <c t="s">
        <v>17470</v>
      </c>
      <c>
        <v>1908</v>
      </c>
      <c r="AI3116" t="s">
        <v>60732</v>
      </c>
      <c t="s">
        <v>64789</v>
      </c>
      <c r="AL3116" t="s">
        <v>17856</v>
      </c>
      <c t="s">
        <v>14430</v>
      </c>
      <c t="s">
        <v>50829</v>
      </c>
      <c t="s">
        <v>5818</v>
      </c>
      <c t="s">
        <v>21201</v>
      </c>
      <c t="s">
        <v>3093</v>
      </c>
      <c t="s">
        <v>62617</v>
      </c>
    </row>
    <row>
      <c t="s">
        <v>17594</v>
      </c>
      <c t="s">
        <v>56940</v>
      </c>
      <c t="s">
        <v>21493</v>
      </c>
      <c t="s">
        <v>17489</v>
      </c>
      <c t="s">
        <v>41808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3117" s="1" t="str">
        <f ca="1">HYPERLINK("https://web.datatree.com/?/property?propertyId=33156141", "https://web.datatree.com/?/property?propertyId=33156141")</f>
        <v>https://web.datatree.com/?/property?propertyId=33156141</v>
      </c>
      <c r="Q3117" t="s">
        <v>316</v>
      </c>
      <c>
        <v>0.23</v>
      </c>
      <c t="s">
        <v>22490</v>
      </c>
      <c t="s">
        <v>49256</v>
      </c>
      <c t="s">
        <v>1756</v>
      </c>
      <c t="s">
        <v>61836</v>
      </c>
      <c t="s">
        <v>1756</v>
      </c>
      <c t="s">
        <v>62260</v>
      </c>
      <c t="s">
        <v>53675</v>
      </c>
      <c t="s">
        <v>2517</v>
      </c>
      <c t="s">
        <v>39289</v>
      </c>
      <c>
        <v>33909</v>
      </c>
      <c t="s">
        <v>262</v>
      </c>
      <c t="s">
        <v>48794</v>
      </c>
      <c t="s">
        <v>61251</v>
      </c>
      <c>
        <v>2441</v>
      </c>
      <c r="AI3117" t="s">
        <v>45304</v>
      </c>
      <c t="s">
        <v>55842</v>
      </c>
      <c r="AL3117" t="s">
        <v>65608</v>
      </c>
      <c t="s">
        <v>65608</v>
      </c>
      <c t="s">
        <v>39289</v>
      </c>
      <c t="s">
        <v>32630</v>
      </c>
      <c t="s">
        <v>62830</v>
      </c>
      <c t="s">
        <v>3093</v>
      </c>
      <c t="s">
        <v>61915</v>
      </c>
    </row>
    <row>
      <c t="s">
        <v>17594</v>
      </c>
      <c t="s">
        <v>61121</v>
      </c>
      <c t="s">
        <v>36754</v>
      </c>
      <c t="s">
        <v>15912</v>
      </c>
      <c t="s">
        <v>19040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118" s="1" t="str">
        <f ca="1">HYPERLINK("https://web.datatree.com/?/property?propertyId=33156255", "https://web.datatree.com/?/property?propertyId=33156255")</f>
        <v>https://web.datatree.com/?/property?propertyId=33156255</v>
      </c>
      <c r="Q3118" t="s">
        <v>316</v>
      </c>
      <c>
        <v>0.23</v>
      </c>
      <c t="s">
        <v>22490</v>
      </c>
      <c t="s">
        <v>27631</v>
      </c>
      <c t="s">
        <v>54053</v>
      </c>
      <c t="s">
        <v>21602</v>
      </c>
      <c t="s">
        <v>54053</v>
      </c>
      <c t="s">
        <v>20487</v>
      </c>
      <c t="s">
        <v>47150</v>
      </c>
      <c t="s">
        <v>2517</v>
      </c>
      <c t="s">
        <v>39289</v>
      </c>
      <c>
        <v>33909</v>
      </c>
      <c t="s">
        <v>40453</v>
      </c>
      <c t="s">
        <v>48794</v>
      </c>
      <c t="s">
        <v>36843</v>
      </c>
      <c>
        <v>160</v>
      </c>
      <c r="AI3118" t="s">
        <v>53284</v>
      </c>
      <c t="s">
        <v>45393</v>
      </c>
      <c r="AL3118" t="s">
        <v>51363</v>
      </c>
      <c r="AN3118" t="s">
        <v>26016</v>
      </c>
      <c t="s">
        <v>3969</v>
      </c>
      <c t="s">
        <v>55071</v>
      </c>
      <c t="s">
        <v>3093</v>
      </c>
      <c t="s">
        <v>43488</v>
      </c>
    </row>
    <row>
      <c t="s">
        <v>17594</v>
      </c>
      <c t="s">
        <v>58803</v>
      </c>
      <c t="s">
        <v>24222</v>
      </c>
      <c t="s">
        <v>36174</v>
      </c>
      <c t="s">
        <v>4840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>
        <v>2021</v>
      </c>
      <c>
        <v>597.9</v>
      </c>
      <c s="1" t="str">
        <f ca="1">HYPERLINK("https://web.datatree.com/?/property?propertyId=33156766", "https://web.datatree.com/?/property?propertyId=33156766")</f>
        <v>https://web.datatree.com/?/property?propertyId=33156766</v>
      </c>
      <c r="Q3119" t="s">
        <v>316</v>
      </c>
      <c>
        <v>0.23</v>
      </c>
      <c t="s">
        <v>22490</v>
      </c>
      <c t="s">
        <v>24028</v>
      </c>
      <c t="s">
        <v>28989</v>
      </c>
      <c r="X3119" t="s">
        <v>10318</v>
      </c>
      <c t="s">
        <v>29190</v>
      </c>
      <c t="s">
        <v>2517</v>
      </c>
      <c t="s">
        <v>39289</v>
      </c>
      <c>
        <v>33909</v>
      </c>
      <c t="s">
        <v>48037</v>
      </c>
      <c t="s">
        <v>48794</v>
      </c>
      <c t="s">
        <v>9294</v>
      </c>
      <c>
        <v>6933</v>
      </c>
      <c r="AI3119" t="s">
        <v>26924</v>
      </c>
      <c t="s">
        <v>24900</v>
      </c>
      <c r="AL3119" t="s">
        <v>41413</v>
      </c>
      <c t="s">
        <v>22539</v>
      </c>
      <c t="s">
        <v>65451</v>
      </c>
      <c t="s">
        <v>22897</v>
      </c>
      <c t="s">
        <v>65563</v>
      </c>
      <c t="s">
        <v>3093</v>
      </c>
      <c t="s">
        <v>14356</v>
      </c>
    </row>
    <row>
      <c t="s">
        <v>17594</v>
      </c>
      <c t="s">
        <v>42059</v>
      </c>
      <c t="s">
        <v>39854</v>
      </c>
      <c t="s">
        <v>64535</v>
      </c>
      <c t="s">
        <v>40607</v>
      </c>
      <c s="3">
        <v>45570</v>
      </c>
      <c s="3">
        <v>45570</v>
      </c>
      <c s="3">
        <v>37716</v>
      </c>
      <c>
        <v>0</v>
      </c>
      <c s="3">
        <v>0</v>
      </c>
      <c s="3">
        <v>1102.51</v>
      </c>
      <c s="3">
        <v>45570</v>
      </c>
      <c>
        <v>2020</v>
      </c>
      <c>
        <v>2183.18</v>
      </c>
      <c s="1" t="str">
        <f ca="1">HYPERLINK("https://web.datatree.com/?/property?propertyId=33157193", "https://web.datatree.com/?/property?propertyId=33157193")</f>
        <v>https://web.datatree.com/?/property?propertyId=33157193</v>
      </c>
      <c r="Q3120" t="s">
        <v>316</v>
      </c>
      <c>
        <v>0.247</v>
      </c>
      <c t="s">
        <v>22490</v>
      </c>
      <c t="s">
        <v>1258</v>
      </c>
      <c t="s">
        <v>30413</v>
      </c>
      <c t="s">
        <v>6623</v>
      </c>
      <c t="s">
        <v>46972</v>
      </c>
      <c t="s">
        <v>9729</v>
      </c>
      <c t="s">
        <v>7959</v>
      </c>
      <c t="s">
        <v>2517</v>
      </c>
      <c t="s">
        <v>39289</v>
      </c>
      <c>
        <v>33904</v>
      </c>
      <c t="s">
        <v>62743</v>
      </c>
      <c t="s">
        <v>48794</v>
      </c>
      <c t="s">
        <v>6523</v>
      </c>
      <c>
        <v>2310</v>
      </c>
      <c r="AI3120" t="s">
        <v>20676</v>
      </c>
      <c t="s">
        <v>45620</v>
      </c>
      <c r="AL3120" t="s">
        <v>30741</v>
      </c>
      <c t="s">
        <v>10584</v>
      </c>
      <c t="s">
        <v>19878</v>
      </c>
      <c>
        <v>60093</v>
      </c>
      <c r="AQ3120" t="s">
        <v>3093</v>
      </c>
      <c t="s">
        <v>47314</v>
      </c>
    </row>
    <row>
      <c t="s">
        <v>17594</v>
      </c>
      <c t="s">
        <v>10824</v>
      </c>
      <c t="s">
        <v>57032</v>
      </c>
      <c t="s">
        <v>61996</v>
      </c>
      <c t="s">
        <v>18630</v>
      </c>
      <c s="3">
        <v>137500</v>
      </c>
      <c s="3">
        <v>137500</v>
      </c>
      <c s="3">
        <v>121000</v>
      </c>
      <c>
        <v>0</v>
      </c>
      <c s="3">
        <v>0</v>
      </c>
      <c s="3">
        <v>2874.47</v>
      </c>
      <c s="3">
        <v>137500</v>
      </c>
      <c r="O3121" s="1" t="str">
        <f ca="1">HYPERLINK("https://web.datatree.com/?/property?propertyId=33157707", "https://web.datatree.com/?/property?propertyId=33157707")</f>
        <v>https://web.datatree.com/?/property?propertyId=33157707</v>
      </c>
      <c r="Q3121" t="s">
        <v>316</v>
      </c>
      <c>
        <v>0.262</v>
      </c>
      <c t="s">
        <v>22490</v>
      </c>
      <c t="s">
        <v>17594</v>
      </c>
      <c t="s">
        <v>58025</v>
      </c>
      <c r="X3121" t="s">
        <v>15459</v>
      </c>
      <c t="s">
        <v>14534</v>
      </c>
      <c t="s">
        <v>2517</v>
      </c>
      <c t="s">
        <v>39289</v>
      </c>
      <c>
        <v>33904</v>
      </c>
      <c t="s">
        <v>5413</v>
      </c>
      <c t="s">
        <v>48794</v>
      </c>
      <c t="s">
        <v>48825</v>
      </c>
      <c>
        <v>31</v>
      </c>
      <c r="AI3121" t="s">
        <v>54763</v>
      </c>
      <c r="AL3121" t="s">
        <v>3009</v>
      </c>
      <c r="AN3121" t="s">
        <v>17331</v>
      </c>
      <c>
        <v>35142</v>
      </c>
      <c r="AR3121" t="s">
        <v>41479</v>
      </c>
    </row>
    <row>
      <c t="s">
        <v>17594</v>
      </c>
      <c t="s">
        <v>5772</v>
      </c>
      <c t="s">
        <v>53684</v>
      </c>
      <c t="s">
        <v>59833</v>
      </c>
      <c t="s">
        <v>18740</v>
      </c>
      <c s="3">
        <v>22522</v>
      </c>
      <c s="3">
        <v>22522</v>
      </c>
      <c s="3">
        <v>8800</v>
      </c>
      <c>
        <v>0</v>
      </c>
      <c s="3">
        <v>0</v>
      </c>
      <c s="3">
        <v>588.39</v>
      </c>
      <c s="3">
        <v>22522</v>
      </c>
      <c r="O3122" s="1" t="str">
        <f ca="1">HYPERLINK("https://web.datatree.com/?/property?propertyId=33158305", "https://web.datatree.com/?/property?propertyId=33158305")</f>
        <v>https://web.datatree.com/?/property?propertyId=33158305</v>
      </c>
      <c r="Q3122" t="s">
        <v>316</v>
      </c>
      <c>
        <v>0.244</v>
      </c>
      <c t="s">
        <v>22490</v>
      </c>
      <c t="s">
        <v>30591</v>
      </c>
      <c t="s">
        <v>42537</v>
      </c>
      <c r="X3122" t="s">
        <v>21294</v>
      </c>
      <c t="s">
        <v>34136</v>
      </c>
      <c t="s">
        <v>2517</v>
      </c>
      <c t="s">
        <v>39289</v>
      </c>
      <c>
        <v>33909</v>
      </c>
      <c>
        <v>33909</v>
      </c>
      <c t="s">
        <v>48794</v>
      </c>
      <c t="s">
        <v>54738</v>
      </c>
      <c>
        <v>1</v>
      </c>
      <c r="AI3122" t="s">
        <v>33269</v>
      </c>
      <c r="AL3122" t="s">
        <v>51882</v>
      </c>
      <c r="AN3122" t="s">
        <v>22478</v>
      </c>
      <c r="AR3122" t="s">
        <v>40238</v>
      </c>
    </row>
    <row>
      <c t="s">
        <v>17594</v>
      </c>
      <c t="s">
        <v>13775</v>
      </c>
      <c t="s">
        <v>45573</v>
      </c>
      <c t="s">
        <v>37229</v>
      </c>
      <c t="s">
        <v>66637</v>
      </c>
      <c s="3">
        <v>55793</v>
      </c>
      <c s="3">
        <v>55793</v>
      </c>
      <c s="3">
        <v>22824</v>
      </c>
      <c>
        <v>0</v>
      </c>
      <c s="3">
        <v>0</v>
      </c>
      <c s="3">
        <v>911.15</v>
      </c>
      <c s="3">
        <v>55793</v>
      </c>
      <c r="O3123" s="1" t="str">
        <f ca="1">HYPERLINK("https://web.datatree.com/?/property?propertyId=33158451", "https://web.datatree.com/?/property?propertyId=33158451")</f>
        <v>https://web.datatree.com/?/property?propertyId=33158451</v>
      </c>
      <c r="Q3123" t="s">
        <v>316</v>
      </c>
      <c>
        <v>0.234</v>
      </c>
      <c t="s">
        <v>6175</v>
      </c>
      <c t="s">
        <v>58880</v>
      </c>
      <c t="s">
        <v>50152</v>
      </c>
      <c r="X3123" t="s">
        <v>11784</v>
      </c>
      <c t="s">
        <v>17022</v>
      </c>
      <c t="s">
        <v>2517</v>
      </c>
      <c t="s">
        <v>39289</v>
      </c>
      <c>
        <v>33904</v>
      </c>
      <c t="s">
        <v>17867</v>
      </c>
      <c t="s">
        <v>48794</v>
      </c>
      <c t="s">
        <v>53559</v>
      </c>
      <c>
        <v>317</v>
      </c>
      <c r="AI3123" t="s">
        <v>114</v>
      </c>
      <c t="s">
        <v>40123</v>
      </c>
      <c r="AL3123" t="s">
        <v>63181</v>
      </c>
      <c t="s">
        <v>63181</v>
      </c>
      <c t="s">
        <v>19878</v>
      </c>
      <c t="s">
        <v>49985</v>
      </c>
      <c t="s">
        <v>14695</v>
      </c>
      <c t="s">
        <v>3093</v>
      </c>
      <c t="s">
        <v>15933</v>
      </c>
    </row>
    <row>
      <c t="s">
        <v>17594</v>
      </c>
      <c t="s">
        <v>57404</v>
      </c>
      <c t="s">
        <v>34551</v>
      </c>
      <c t="s">
        <v>48588</v>
      </c>
      <c t="s">
        <v>63084</v>
      </c>
      <c s="3">
        <v>7961</v>
      </c>
      <c s="3">
        <v>7961</v>
      </c>
      <c s="3">
        <v>5346</v>
      </c>
      <c>
        <v>0</v>
      </c>
      <c s="3">
        <v>0</v>
      </c>
      <c s="3">
        <v>94.57</v>
      </c>
      <c s="3">
        <v>7961</v>
      </c>
      <c r="O3124" s="1" t="str">
        <f ca="1">HYPERLINK("https://web.datatree.com/?/property?propertyId=33159081", "https://web.datatree.com/?/property?propertyId=33159081")</f>
        <v>https://web.datatree.com/?/property?propertyId=33159081</v>
      </c>
      <c r="Q3124" t="s">
        <v>316</v>
      </c>
      <c>
        <v>0.143</v>
      </c>
      <c t="s">
        <v>5471</v>
      </c>
      <c t="s">
        <v>35664</v>
      </c>
      <c t="s">
        <v>45445</v>
      </c>
      <c r="X3124" t="s">
        <v>26062</v>
      </c>
      <c t="s">
        <v>13397</v>
      </c>
      <c t="s">
        <v>65059</v>
      </c>
      <c t="s">
        <v>39289</v>
      </c>
      <c>
        <v>33905</v>
      </c>
      <c t="s">
        <v>1787</v>
      </c>
      <c t="s">
        <v>48794</v>
      </c>
      <c t="s">
        <v>814</v>
      </c>
      <c>
        <v>273</v>
      </c>
      <c r="AI3124" t="s">
        <v>21607</v>
      </c>
      <c t="s">
        <v>45393</v>
      </c>
      <c>
        <v>3</v>
      </c>
      <c t="s">
        <v>8109</v>
      </c>
      <c r="AN3124" t="s">
        <v>50917</v>
      </c>
      <c t="s">
        <v>7818</v>
      </c>
      <c t="s">
        <v>42082</v>
      </c>
      <c t="s">
        <v>3093</v>
      </c>
      <c t="s">
        <v>24113</v>
      </c>
    </row>
    <row>
      <c t="s">
        <v>17594</v>
      </c>
      <c t="s">
        <v>61837</v>
      </c>
      <c t="s">
        <v>55095</v>
      </c>
      <c t="s">
        <v>49247</v>
      </c>
      <c t="s">
        <v>15234</v>
      </c>
      <c s="3">
        <v>69968</v>
      </c>
      <c s="3">
        <v>62500</v>
      </c>
      <c s="3">
        <v>69968</v>
      </c>
      <c>
        <v>0</v>
      </c>
      <c s="3">
        <v>0</v>
      </c>
      <c s="3">
        <v>1052.42</v>
      </c>
      <c s="3">
        <v>69968</v>
      </c>
      <c r="O3125" s="1" t="str">
        <f ca="1">HYPERLINK("https://web.datatree.com/?/property?propertyId=33159115", "https://web.datatree.com/?/property?propertyId=33159115")</f>
        <v>https://web.datatree.com/?/property?propertyId=33159115</v>
      </c>
      <c r="Q3125" t="s">
        <v>316</v>
      </c>
      <c>
        <v>0.099</v>
      </c>
      <c t="s">
        <v>26492</v>
      </c>
      <c t="s">
        <v>1981</v>
      </c>
      <c t="s">
        <v>4234</v>
      </c>
      <c t="s">
        <v>30591</v>
      </c>
      <c t="s">
        <v>15363</v>
      </c>
      <c t="s">
        <v>6864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33432</v>
      </c>
      <c>
        <v>16595</v>
      </c>
      <c r="AI3125" t="s">
        <v>64679</v>
      </c>
      <c r="AL3125" t="s">
        <v>19441</v>
      </c>
      <c t="s">
        <v>40227</v>
      </c>
      <c t="s">
        <v>58811</v>
      </c>
      <c t="s">
        <v>27683</v>
      </c>
      <c r="AQ3125" t="s">
        <v>27814</v>
      </c>
      <c t="s">
        <v>2972</v>
      </c>
    </row>
    <row>
      <c t="s">
        <v>17594</v>
      </c>
      <c t="s">
        <v>47620</v>
      </c>
      <c t="s">
        <v>15377</v>
      </c>
      <c t="s">
        <v>1082</v>
      </c>
      <c t="s">
        <v>43649</v>
      </c>
      <c s="3">
        <v>74599</v>
      </c>
      <c s="3">
        <v>67250</v>
      </c>
      <c s="3">
        <v>70784</v>
      </c>
      <c>
        <v>0</v>
      </c>
      <c s="3">
        <v>0</v>
      </c>
      <c s="3">
        <v>1085.84</v>
      </c>
      <c s="3">
        <v>74599</v>
      </c>
      <c r="O3126" s="1" t="str">
        <f ca="1">HYPERLINK("https://web.datatree.com/?/property?propertyId=33159312", "https://web.datatree.com/?/property?propertyId=33159312")</f>
        <v>https://web.datatree.com/?/property?propertyId=33159312</v>
      </c>
      <c r="Q3126" t="s">
        <v>316</v>
      </c>
      <c>
        <v>0.105</v>
      </c>
      <c t="s">
        <v>26492</v>
      </c>
      <c t="s">
        <v>33321</v>
      </c>
      <c t="s">
        <v>58259</v>
      </c>
      <c t="s">
        <v>39094</v>
      </c>
      <c t="s">
        <v>3293</v>
      </c>
      <c t="s">
        <v>56895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45141</v>
      </c>
      <c>
        <v>466</v>
      </c>
      <c r="AI3126" t="s">
        <v>28104</v>
      </c>
      <c t="s">
        <v>39017</v>
      </c>
      <c r="AL3126" t="s">
        <v>66500</v>
      </c>
      <c t="s">
        <v>40227</v>
      </c>
      <c t="s">
        <v>58811</v>
      </c>
      <c t="s">
        <v>64956</v>
      </c>
      <c r="AQ3126" t="s">
        <v>27814</v>
      </c>
      <c t="s">
        <v>15717</v>
      </c>
    </row>
    <row>
      <c t="s">
        <v>17594</v>
      </c>
      <c t="s">
        <v>48</v>
      </c>
      <c t="s">
        <v>2470</v>
      </c>
      <c t="s">
        <v>26484</v>
      </c>
      <c t="s">
        <v>51060</v>
      </c>
      <c s="3">
        <v>20986</v>
      </c>
      <c s="3">
        <v>20986</v>
      </c>
      <c s="3">
        <v>9599</v>
      </c>
      <c>
        <v>0</v>
      </c>
      <c s="3">
        <v>0</v>
      </c>
      <c s="3">
        <v>681.46</v>
      </c>
      <c s="3">
        <v>20986</v>
      </c>
      <c r="O3127" s="1" t="str">
        <f ca="1">HYPERLINK("https://web.datatree.com/?/property?propertyId=33159447", "https://web.datatree.com/?/property?propertyId=33159447")</f>
        <v>https://web.datatree.com/?/property?propertyId=33159447</v>
      </c>
      <c r="Q3127" t="s">
        <v>316</v>
      </c>
      <c>
        <v>0.344</v>
      </c>
      <c t="s">
        <v>6175</v>
      </c>
      <c t="s">
        <v>41661</v>
      </c>
      <c t="s">
        <v>31914</v>
      </c>
      <c r="X3127" t="s">
        <v>9972</v>
      </c>
      <c t="s">
        <v>49122</v>
      </c>
      <c t="s">
        <v>2517</v>
      </c>
      <c t="s">
        <v>39289</v>
      </c>
      <c>
        <v>33909</v>
      </c>
      <c t="s">
        <v>22369</v>
      </c>
      <c t="s">
        <v>48794</v>
      </c>
      <c t="s">
        <v>5447</v>
      </c>
      <c>
        <v>2524</v>
      </c>
      <c r="AI3127" t="s">
        <v>53509</v>
      </c>
      <c t="s">
        <v>31192</v>
      </c>
      <c r="AL3127" t="s">
        <v>58739</v>
      </c>
      <c r="AN3127" t="s">
        <v>39289</v>
      </c>
      <c t="s">
        <v>32338</v>
      </c>
      <c t="s">
        <v>38200</v>
      </c>
      <c t="s">
        <v>3093</v>
      </c>
      <c t="s">
        <v>22198</v>
      </c>
    </row>
    <row>
      <c t="s">
        <v>17594</v>
      </c>
      <c t="s">
        <v>60845</v>
      </c>
      <c t="s">
        <v>52445</v>
      </c>
      <c t="s">
        <v>30274</v>
      </c>
      <c t="s">
        <v>12911</v>
      </c>
      <c s="3">
        <v>106704</v>
      </c>
      <c s="3">
        <v>93500</v>
      </c>
      <c s="3">
        <v>106704</v>
      </c>
      <c>
        <v>0</v>
      </c>
      <c s="3">
        <v>0</v>
      </c>
      <c s="3">
        <v>1602.42</v>
      </c>
      <c s="3">
        <v>106704</v>
      </c>
      <c r="O3128" s="1" t="str">
        <f ca="1">HYPERLINK("https://web.datatree.com/?/property?propertyId=33159525", "https://web.datatree.com/?/property?propertyId=33159525")</f>
        <v>https://web.datatree.com/?/property?propertyId=33159525</v>
      </c>
      <c r="Q3128" t="s">
        <v>316</v>
      </c>
      <c>
        <v>0.097</v>
      </c>
      <c t="s">
        <v>26492</v>
      </c>
      <c t="s">
        <v>552</v>
      </c>
      <c t="s">
        <v>30230</v>
      </c>
      <c t="s">
        <v>6153</v>
      </c>
      <c t="s">
        <v>30230</v>
      </c>
      <c t="s">
        <v>32924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51055</v>
      </c>
      <c>
        <v>10731</v>
      </c>
      <c r="AH3128" t="s">
        <v>12549</v>
      </c>
      <c t="s">
        <v>47983</v>
      </c>
      <c t="s">
        <v>24900</v>
      </c>
      <c r="AL3128" t="s">
        <v>21604</v>
      </c>
      <c t="s">
        <v>19225</v>
      </c>
      <c t="s">
        <v>50829</v>
      </c>
      <c t="s">
        <v>47077</v>
      </c>
      <c t="s">
        <v>6081</v>
      </c>
      <c t="s">
        <v>3093</v>
      </c>
      <c t="s">
        <v>65969</v>
      </c>
    </row>
    <row>
      <c t="s">
        <v>17594</v>
      </c>
      <c t="s">
        <v>28899</v>
      </c>
      <c t="s">
        <v>46321</v>
      </c>
      <c t="s">
        <v>50043</v>
      </c>
      <c t="s">
        <v>34975</v>
      </c>
      <c s="3">
        <v>25675</v>
      </c>
      <c s="3">
        <v>25675</v>
      </c>
      <c s="3">
        <v>9599</v>
      </c>
      <c>
        <v>0</v>
      </c>
      <c s="3">
        <v>0</v>
      </c>
      <c s="3">
        <v>709.78</v>
      </c>
      <c s="3">
        <v>25675</v>
      </c>
      <c r="O3129" s="1" t="str">
        <f ca="1">HYPERLINK("https://web.datatree.com/?/property?propertyId=33160319", "https://web.datatree.com/?/property?propertyId=33160319")</f>
        <v>https://web.datatree.com/?/property?propertyId=33160319</v>
      </c>
      <c r="Q3129" t="s">
        <v>316</v>
      </c>
      <c>
        <v>0.344</v>
      </c>
      <c t="s">
        <v>54449</v>
      </c>
      <c t="s">
        <v>33614</v>
      </c>
      <c t="s">
        <v>27591</v>
      </c>
      <c r="X3129" t="s">
        <v>55385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63825</v>
      </c>
      <c>
        <v>27</v>
      </c>
      <c r="AI3129" t="s">
        <v>41212</v>
      </c>
      <c t="s">
        <v>835</v>
      </c>
      <c r="AL3129" t="s">
        <v>47635</v>
      </c>
      <c r="AN3129" t="s">
        <v>22275</v>
      </c>
      <c t="s">
        <v>13243</v>
      </c>
      <c t="s">
        <v>60160</v>
      </c>
      <c t="s">
        <v>3093</v>
      </c>
      <c t="s">
        <v>52288</v>
      </c>
    </row>
    <row>
      <c t="s">
        <v>17594</v>
      </c>
      <c t="s">
        <v>65670</v>
      </c>
      <c t="s">
        <v>23135</v>
      </c>
      <c t="s">
        <v>7406</v>
      </c>
      <c t="s">
        <v>17906</v>
      </c>
      <c s="3">
        <v>26250</v>
      </c>
      <c s="3">
        <v>26250</v>
      </c>
      <c s="3">
        <v>9433</v>
      </c>
      <c>
        <v>0</v>
      </c>
      <c s="3">
        <v>0</v>
      </c>
      <c s="3">
        <v>420.88</v>
      </c>
      <c s="3">
        <v>26250</v>
      </c>
      <c r="O3130" s="1" t="str">
        <f ca="1">HYPERLINK("https://web.datatree.com/?/property?propertyId=33160678", "https://web.datatree.com/?/property?propertyId=33160678")</f>
        <v>https://web.datatree.com/?/property?propertyId=33160678</v>
      </c>
      <c r="Q3130" t="s">
        <v>316</v>
      </c>
      <c>
        <v>0.291</v>
      </c>
      <c t="s">
        <v>5471</v>
      </c>
      <c t="s">
        <v>63014</v>
      </c>
      <c t="s">
        <v>48794</v>
      </c>
      <c t="s">
        <v>56203</v>
      </c>
      <c t="s">
        <v>22297</v>
      </c>
      <c t="s">
        <v>18532</v>
      </c>
      <c t="s">
        <v>10881</v>
      </c>
      <c t="s">
        <v>65059</v>
      </c>
      <c t="s">
        <v>39289</v>
      </c>
      <c>
        <v>33905</v>
      </c>
      <c t="s">
        <v>32323</v>
      </c>
      <c t="s">
        <v>48794</v>
      </c>
      <c t="s">
        <v>49145</v>
      </c>
      <c>
        <v>291</v>
      </c>
      <c r="AI3130" t="s">
        <v>2825</v>
      </c>
      <c t="s">
        <v>31192</v>
      </c>
      <c r="AL3130" t="s">
        <v>16336</v>
      </c>
      <c r="AN3130" t="s">
        <v>26016</v>
      </c>
      <c t="s">
        <v>15142</v>
      </c>
      <c t="s">
        <v>31626</v>
      </c>
      <c t="s">
        <v>3093</v>
      </c>
      <c t="s">
        <v>34715</v>
      </c>
    </row>
    <row>
      <c t="s">
        <v>17594</v>
      </c>
      <c t="s">
        <v>19581</v>
      </c>
      <c t="s">
        <v>30754</v>
      </c>
      <c t="s">
        <v>58207</v>
      </c>
      <c t="s">
        <v>4860</v>
      </c>
      <c s="3">
        <v>75126</v>
      </c>
      <c s="3">
        <v>63500</v>
      </c>
      <c s="3">
        <v>72386</v>
      </c>
      <c>
        <v>0</v>
      </c>
      <c s="3">
        <v>0</v>
      </c>
      <c s="3">
        <v>1103.86</v>
      </c>
      <c s="3">
        <v>75126</v>
      </c>
      <c r="O3131" s="1" t="str">
        <f ca="1">HYPERLINK("https://web.datatree.com/?/property?propertyId=33160809", "https://web.datatree.com/?/property?propertyId=33160809")</f>
        <v>https://web.datatree.com/?/property?propertyId=33160809</v>
      </c>
      <c r="Q3131" t="s">
        <v>316</v>
      </c>
      <c>
        <v>0.095</v>
      </c>
      <c t="s">
        <v>26492</v>
      </c>
      <c t="s">
        <v>53136</v>
      </c>
      <c t="s">
        <v>4053</v>
      </c>
      <c t="s">
        <v>6053</v>
      </c>
      <c t="s">
        <v>38859</v>
      </c>
      <c t="s">
        <v>35051</v>
      </c>
      <c t="s">
        <v>65698</v>
      </c>
      <c t="s">
        <v>65059</v>
      </c>
      <c t="s">
        <v>39289</v>
      </c>
      <c>
        <v>33905</v>
      </c>
      <c>
        <v>33905</v>
      </c>
      <c t="s">
        <v>48794</v>
      </c>
      <c t="s">
        <v>55291</v>
      </c>
      <c>
        <v>40</v>
      </c>
      <c r="AI3131" t="s">
        <v>64679</v>
      </c>
      <c t="s">
        <v>29535</v>
      </c>
      <c r="AL3131" t="s">
        <v>25979</v>
      </c>
      <c t="s">
        <v>40227</v>
      </c>
      <c t="s">
        <v>58811</v>
      </c>
      <c t="s">
        <v>42191</v>
      </c>
      <c r="AQ3131" t="s">
        <v>27814</v>
      </c>
      <c t="s">
        <v>30210</v>
      </c>
    </row>
    <row>
      <c t="s">
        <v>17594</v>
      </c>
      <c t="s">
        <v>259</v>
      </c>
      <c t="s">
        <v>64925</v>
      </c>
      <c t="s">
        <v>16639</v>
      </c>
      <c t="s">
        <v>30200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132" s="1" t="str">
        <f ca="1">HYPERLINK("https://web.datatree.com/?/property?propertyId=33160943", "https://web.datatree.com/?/property?propertyId=33160943")</f>
        <v>https://web.datatree.com/?/property?propertyId=33160943</v>
      </c>
      <c r="Q3132" t="s">
        <v>316</v>
      </c>
      <c>
        <v>0.23</v>
      </c>
      <c t="s">
        <v>22490</v>
      </c>
      <c t="s">
        <v>25238</v>
      </c>
      <c t="s">
        <v>2076</v>
      </c>
      <c t="s">
        <v>36133</v>
      </c>
      <c t="s">
        <v>2076</v>
      </c>
      <c t="s">
        <v>10176</v>
      </c>
      <c t="s">
        <v>2626</v>
      </c>
      <c t="s">
        <v>2517</v>
      </c>
      <c t="s">
        <v>39289</v>
      </c>
      <c>
        <v>33904</v>
      </c>
      <c t="s">
        <v>4737</v>
      </c>
      <c t="s">
        <v>48794</v>
      </c>
      <c t="s">
        <v>44964</v>
      </c>
      <c>
        <v>2381</v>
      </c>
      <c r="AI3132" t="s">
        <v>51338</v>
      </c>
      <c t="s">
        <v>31192</v>
      </c>
      <c r="AL3132" t="s">
        <v>57278</v>
      </c>
      <c t="s">
        <v>57278</v>
      </c>
      <c t="s">
        <v>51137</v>
      </c>
      <c t="s">
        <v>42559</v>
      </c>
      <c t="s">
        <v>17380</v>
      </c>
      <c t="s">
        <v>3093</v>
      </c>
      <c t="s">
        <v>45466</v>
      </c>
    </row>
    <row>
      <c t="s">
        <v>17594</v>
      </c>
      <c t="s">
        <v>3286</v>
      </c>
      <c t="s">
        <v>62641</v>
      </c>
      <c t="s">
        <v>12890</v>
      </c>
      <c t="s">
        <v>45208</v>
      </c>
      <c s="3">
        <v>26290</v>
      </c>
      <c s="3">
        <v>26290</v>
      </c>
      <c s="3">
        <v>12650</v>
      </c>
      <c>
        <v>0</v>
      </c>
      <c s="3">
        <v>0</v>
      </c>
      <c s="3">
        <v>2914.32</v>
      </c>
      <c s="3">
        <v>26290</v>
      </c>
      <c r="O3133" s="1" t="str">
        <f ca="1">HYPERLINK("https://web.datatree.com/?/property?propertyId=33161122", "https://web.datatree.com/?/property?propertyId=33161122")</f>
        <v>https://web.datatree.com/?/property?propertyId=33161122</v>
      </c>
      <c r="Q3133" t="s">
        <v>316</v>
      </c>
      <c>
        <v>0.23</v>
      </c>
      <c t="s">
        <v>22490</v>
      </c>
      <c t="s">
        <v>47482</v>
      </c>
      <c t="s">
        <v>9592</v>
      </c>
      <c t="s">
        <v>33621</v>
      </c>
      <c t="s">
        <v>9592</v>
      </c>
      <c t="s">
        <v>43929</v>
      </c>
      <c t="s">
        <v>17022</v>
      </c>
      <c t="s">
        <v>2517</v>
      </c>
      <c t="s">
        <v>39289</v>
      </c>
      <c>
        <v>33909</v>
      </c>
      <c t="s">
        <v>48169</v>
      </c>
      <c t="s">
        <v>48794</v>
      </c>
      <c t="s">
        <v>15202</v>
      </c>
      <c>
        <v>1304</v>
      </c>
      <c r="AI3133" t="s">
        <v>628</v>
      </c>
      <c t="s">
        <v>45393</v>
      </c>
      <c r="AL3133" t="s">
        <v>23828</v>
      </c>
      <c r="AN3133" t="s">
        <v>39289</v>
      </c>
      <c t="s">
        <v>25656</v>
      </c>
      <c t="s">
        <v>55071</v>
      </c>
      <c t="s">
        <v>3093</v>
      </c>
      <c t="s">
        <v>38149</v>
      </c>
    </row>
    <row>
      <c t="s">
        <v>17594</v>
      </c>
      <c t="s">
        <v>13852</v>
      </c>
      <c t="s">
        <v>45632</v>
      </c>
      <c t="s">
        <v>18446</v>
      </c>
      <c t="s">
        <v>42400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3134" s="1" t="str">
        <f ca="1">HYPERLINK("https://web.datatree.com/?/property?propertyId=33161204", "https://web.datatree.com/?/property?propertyId=33161204")</f>
        <v>https://web.datatree.com/?/property?propertyId=33161204</v>
      </c>
      <c r="Q3134" t="s">
        <v>316</v>
      </c>
      <c>
        <v>0.23</v>
      </c>
      <c t="s">
        <v>6175</v>
      </c>
      <c t="s">
        <v>18380</v>
      </c>
      <c t="s">
        <v>5647</v>
      </c>
      <c t="s">
        <v>6249</v>
      </c>
      <c t="s">
        <v>66968</v>
      </c>
      <c t="s">
        <v>60294</v>
      </c>
      <c t="s">
        <v>53663</v>
      </c>
      <c t="s">
        <v>2517</v>
      </c>
      <c t="s">
        <v>39289</v>
      </c>
      <c>
        <v>33909</v>
      </c>
      <c t="s">
        <v>57342</v>
      </c>
      <c t="s">
        <v>48794</v>
      </c>
      <c t="s">
        <v>12792</v>
      </c>
      <c>
        <v>456</v>
      </c>
      <c r="AI3134" t="s">
        <v>2664</v>
      </c>
      <c t="s">
        <v>41372</v>
      </c>
      <c r="AL3134" t="s">
        <v>54122</v>
      </c>
      <c r="AN3134" t="s">
        <v>10909</v>
      </c>
      <c t="s">
        <v>7272</v>
      </c>
      <c r="AQ3134" t="s">
        <v>27814</v>
      </c>
      <c t="s">
        <v>37603</v>
      </c>
    </row>
    <row>
      <c t="s">
        <v>17594</v>
      </c>
      <c t="s">
        <v>51850</v>
      </c>
      <c t="s">
        <v>45739</v>
      </c>
      <c t="s">
        <v>31261</v>
      </c>
      <c t="s">
        <v>716</v>
      </c>
      <c s="3">
        <v>21600</v>
      </c>
      <c s="3">
        <v>21600</v>
      </c>
      <c s="3">
        <v>21600</v>
      </c>
      <c>
        <v>0</v>
      </c>
      <c s="3">
        <v>0</v>
      </c>
      <c s="3">
        <v>810.07</v>
      </c>
      <c s="3">
        <v>21600</v>
      </c>
      <c r="O3135" s="1" t="str">
        <f ca="1">HYPERLINK("https://web.datatree.com/?/property?propertyId=33161818", "https://web.datatree.com/?/property?propertyId=33161818")</f>
        <v>https://web.datatree.com/?/property?propertyId=33161818</v>
      </c>
      <c r="Q3135" t="s">
        <v>316</v>
      </c>
      <c>
        <v>0.343</v>
      </c>
      <c t="s">
        <v>42044</v>
      </c>
      <c t="s">
        <v>21804</v>
      </c>
      <c t="s">
        <v>45826</v>
      </c>
      <c t="s">
        <v>33321</v>
      </c>
      <c t="s">
        <v>18023</v>
      </c>
      <c t="s">
        <v>45258</v>
      </c>
      <c t="s">
        <v>61865</v>
      </c>
      <c t="s">
        <v>2517</v>
      </c>
      <c t="s">
        <v>39289</v>
      </c>
      <c>
        <v>33909</v>
      </c>
      <c t="s">
        <v>18063</v>
      </c>
      <c t="s">
        <v>48794</v>
      </c>
      <c t="s">
        <v>20397</v>
      </c>
      <c>
        <v>290</v>
      </c>
      <c r="AI3135" t="s">
        <v>17004</v>
      </c>
      <c t="s">
        <v>24900</v>
      </c>
      <c r="AL3135" t="s">
        <v>55393</v>
      </c>
      <c t="s">
        <v>51647</v>
      </c>
      <c t="s">
        <v>39289</v>
      </c>
      <c t="s">
        <v>28067</v>
      </c>
      <c t="s">
        <v>66797</v>
      </c>
      <c t="s">
        <v>3093</v>
      </c>
      <c t="s">
        <v>54480</v>
      </c>
    </row>
    <row>
      <c t="s">
        <v>17594</v>
      </c>
      <c t="s">
        <v>32887</v>
      </c>
      <c t="s">
        <v>37115</v>
      </c>
      <c t="s">
        <v>63334</v>
      </c>
      <c t="s">
        <v>3649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136" s="1" t="str">
        <f ca="1">HYPERLINK("https://web.datatree.com/?/property?propertyId=33161836", "https://web.datatree.com/?/property?propertyId=33161836")</f>
        <v>https://web.datatree.com/?/property?propertyId=33161836</v>
      </c>
      <c r="Q3136" t="s">
        <v>316</v>
      </c>
      <c>
        <v>0.236</v>
      </c>
      <c t="s">
        <v>5471</v>
      </c>
      <c t="s">
        <v>26823</v>
      </c>
      <c t="s">
        <v>54676</v>
      </c>
      <c t="s">
        <v>1611</v>
      </c>
      <c t="s">
        <v>54676</v>
      </c>
      <c t="s">
        <v>56694</v>
      </c>
      <c t="s">
        <v>3747</v>
      </c>
      <c t="s">
        <v>65059</v>
      </c>
      <c t="s">
        <v>39289</v>
      </c>
      <c>
        <v>33905</v>
      </c>
      <c t="s">
        <v>10948</v>
      </c>
      <c t="s">
        <v>48794</v>
      </c>
      <c t="s">
        <v>15487</v>
      </c>
      <c>
        <v>1102</v>
      </c>
      <c r="AI3136" t="s">
        <v>25017</v>
      </c>
      <c t="s">
        <v>45393</v>
      </c>
      <c r="AL3136" t="s">
        <v>13784</v>
      </c>
      <c r="AN3136" t="s">
        <v>26443</v>
      </c>
      <c t="s">
        <v>44835</v>
      </c>
      <c t="s">
        <v>4797</v>
      </c>
      <c t="s">
        <v>3093</v>
      </c>
      <c t="s">
        <v>12508</v>
      </c>
    </row>
    <row>
      <c t="s">
        <v>17594</v>
      </c>
      <c t="s">
        <v>12733</v>
      </c>
      <c t="s">
        <v>20952</v>
      </c>
      <c t="s">
        <v>66380</v>
      </c>
      <c t="s">
        <v>45294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3137" s="1" t="str">
        <f ca="1">HYPERLINK("https://web.datatree.com/?/property?propertyId=33162654", "https://web.datatree.com/?/property?propertyId=33162654")</f>
        <v>https://web.datatree.com/?/property?propertyId=33162654</v>
      </c>
      <c r="Q3137" t="s">
        <v>316</v>
      </c>
      <c>
        <v>0.23</v>
      </c>
      <c t="s">
        <v>6175</v>
      </c>
      <c t="s">
        <v>52701</v>
      </c>
      <c t="s">
        <v>1931</v>
      </c>
      <c r="X3137" t="s">
        <v>56091</v>
      </c>
      <c t="s">
        <v>25017</v>
      </c>
      <c t="s">
        <v>2517</v>
      </c>
      <c t="s">
        <v>39289</v>
      </c>
      <c>
        <v>33909</v>
      </c>
      <c t="s">
        <v>64611</v>
      </c>
      <c t="s">
        <v>48794</v>
      </c>
      <c t="s">
        <v>15607</v>
      </c>
      <c>
        <v>935</v>
      </c>
      <c r="AI3137" t="s">
        <v>55273</v>
      </c>
      <c t="s">
        <v>45393</v>
      </c>
      <c r="AL3137" t="s">
        <v>55393</v>
      </c>
      <c r="AN3137" t="s">
        <v>39289</v>
      </c>
      <c t="s">
        <v>19659</v>
      </c>
      <c t="s">
        <v>32746</v>
      </c>
      <c t="s">
        <v>3093</v>
      </c>
      <c t="s">
        <v>10399</v>
      </c>
    </row>
    <row>
      <c t="s">
        <v>17594</v>
      </c>
      <c t="s">
        <v>49841</v>
      </c>
      <c t="s">
        <v>61376</v>
      </c>
      <c t="s">
        <v>9187</v>
      </c>
      <c t="s">
        <v>5896</v>
      </c>
      <c s="3">
        <v>26695</v>
      </c>
      <c s="3">
        <v>26695</v>
      </c>
      <c s="3">
        <v>15839</v>
      </c>
      <c>
        <v>0</v>
      </c>
      <c s="3">
        <v>0</v>
      </c>
      <c s="3">
        <v>285.76</v>
      </c>
      <c s="3">
        <v>26695</v>
      </c>
      <c r="O3138" s="1" t="str">
        <f ca="1">HYPERLINK("https://web.datatree.com/?/property?propertyId=33163205", "https://web.datatree.com/?/property?propertyId=33163205")</f>
        <v>https://web.datatree.com/?/property?propertyId=33163205</v>
      </c>
      <c r="Q3138" t="s">
        <v>316</v>
      </c>
      <c>
        <v>0.36</v>
      </c>
      <c t="s">
        <v>5471</v>
      </c>
      <c t="s">
        <v>48320</v>
      </c>
      <c t="s">
        <v>33707</v>
      </c>
      <c r="X3138" t="s">
        <v>65662</v>
      </c>
      <c t="s">
        <v>9490</v>
      </c>
      <c t="s">
        <v>65059</v>
      </c>
      <c t="s">
        <v>39289</v>
      </c>
      <c>
        <v>33905</v>
      </c>
      <c t="s">
        <v>7314</v>
      </c>
      <c t="s">
        <v>48794</v>
      </c>
      <c t="s">
        <v>61723</v>
      </c>
      <c>
        <v>18838</v>
      </c>
      <c r="AI3138" t="s">
        <v>1924</v>
      </c>
      <c r="AL3138" t="s">
        <v>44204</v>
      </c>
      <c r="AN3138" t="s">
        <v>26304</v>
      </c>
      <c t="s">
        <v>36523</v>
      </c>
      <c t="s">
        <v>14695</v>
      </c>
      <c t="s">
        <v>3093</v>
      </c>
      <c t="s">
        <v>31788</v>
      </c>
    </row>
    <row>
      <c t="s">
        <v>17594</v>
      </c>
      <c t="s">
        <v>54884</v>
      </c>
      <c t="s">
        <v>26855</v>
      </c>
      <c t="s">
        <v>19018</v>
      </c>
      <c t="s">
        <v>17815</v>
      </c>
      <c s="3">
        <v>26250</v>
      </c>
      <c s="3">
        <v>26250</v>
      </c>
      <c s="3">
        <v>9433</v>
      </c>
      <c>
        <v>0</v>
      </c>
      <c s="3">
        <v>0</v>
      </c>
      <c s="3">
        <v>420.88</v>
      </c>
      <c s="3">
        <v>26250</v>
      </c>
      <c r="O3139" s="1" t="str">
        <f ca="1">HYPERLINK("https://web.datatree.com/?/property?propertyId=33163550", "https://web.datatree.com/?/property?propertyId=33163550")</f>
        <v>https://web.datatree.com/?/property?propertyId=33163550</v>
      </c>
      <c r="Q3139" t="s">
        <v>316</v>
      </c>
      <c>
        <v>0.293</v>
      </c>
      <c t="s">
        <v>5471</v>
      </c>
      <c t="s">
        <v>19112</v>
      </c>
      <c t="s">
        <v>58453</v>
      </c>
      <c t="s">
        <v>15214</v>
      </c>
      <c t="s">
        <v>58453</v>
      </c>
      <c t="s">
        <v>45763</v>
      </c>
      <c t="s">
        <v>44457</v>
      </c>
      <c t="s">
        <v>65059</v>
      </c>
      <c t="s">
        <v>39289</v>
      </c>
      <c>
        <v>33905</v>
      </c>
      <c t="s">
        <v>29795</v>
      </c>
      <c t="s">
        <v>48794</v>
      </c>
      <c t="s">
        <v>33938</v>
      </c>
      <c>
        <v>2214</v>
      </c>
      <c r="AI3139" t="s">
        <v>25778</v>
      </c>
      <c t="s">
        <v>24900</v>
      </c>
      <c r="AL3139" t="s">
        <v>6144</v>
      </c>
      <c r="AN3139" t="s">
        <v>50917</v>
      </c>
      <c t="s">
        <v>30816</v>
      </c>
      <c t="s">
        <v>45980</v>
      </c>
      <c t="s">
        <v>3093</v>
      </c>
      <c t="s">
        <v>57046</v>
      </c>
    </row>
    <row>
      <c t="s">
        <v>17594</v>
      </c>
      <c t="s">
        <v>56445</v>
      </c>
      <c t="s">
        <v>9022</v>
      </c>
      <c t="s">
        <v>4991</v>
      </c>
      <c t="s">
        <v>23218</v>
      </c>
      <c s="3">
        <v>9100</v>
      </c>
      <c s="3">
        <v>9100</v>
      </c>
      <c s="3">
        <v>9100</v>
      </c>
      <c>
        <v>0</v>
      </c>
      <c s="3">
        <v>0</v>
      </c>
      <c s="3">
        <v>593.63</v>
      </c>
      <c s="3">
        <v>9100</v>
      </c>
      <c r="O3140" s="1" t="str">
        <f ca="1">HYPERLINK("https://web.datatree.com/?/property?propertyId=33163800", "https://web.datatree.com/?/property?propertyId=33163800")</f>
        <v>https://web.datatree.com/?/property?propertyId=33163800</v>
      </c>
      <c r="Q3140" t="s">
        <v>316</v>
      </c>
      <c>
        <v>0.23</v>
      </c>
      <c t="s">
        <v>65422</v>
      </c>
      <c t="s">
        <v>516</v>
      </c>
      <c t="s">
        <v>58867</v>
      </c>
      <c r="X3140" t="s">
        <v>10918</v>
      </c>
      <c t="s">
        <v>61850</v>
      </c>
      <c t="s">
        <v>2517</v>
      </c>
      <c t="s">
        <v>39289</v>
      </c>
      <c>
        <v>33909</v>
      </c>
      <c t="s">
        <v>25995</v>
      </c>
      <c t="s">
        <v>48794</v>
      </c>
      <c t="s">
        <v>64305</v>
      </c>
      <c>
        <v>24540</v>
      </c>
      <c r="AI3140" t="s">
        <v>8926</v>
      </c>
      <c t="s">
        <v>45620</v>
      </c>
      <c t="s">
        <v>20006</v>
      </c>
      <c t="s">
        <v>32381</v>
      </c>
      <c r="AN3140" t="s">
        <v>39289</v>
      </c>
      <c t="s">
        <v>48708</v>
      </c>
      <c t="s">
        <v>4660</v>
      </c>
      <c t="s">
        <v>3093</v>
      </c>
      <c t="s">
        <v>60616</v>
      </c>
    </row>
    <row>
      <c t="s">
        <v>17594</v>
      </c>
      <c t="s">
        <v>6293</v>
      </c>
      <c t="s">
        <v>20240</v>
      </c>
      <c t="s">
        <v>18575</v>
      </c>
      <c t="s">
        <v>33101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3141" s="1" t="str">
        <f ca="1">HYPERLINK("https://web.datatree.com/?/property?propertyId=33163850", "https://web.datatree.com/?/property?propertyId=33163850")</f>
        <v>https://web.datatree.com/?/property?propertyId=33163850</v>
      </c>
      <c r="Q3141" t="s">
        <v>316</v>
      </c>
      <c>
        <v>0.23</v>
      </c>
      <c t="s">
        <v>22490</v>
      </c>
      <c t="s">
        <v>42987</v>
      </c>
      <c t="s">
        <v>22078</v>
      </c>
      <c r="X3141" t="s">
        <v>3710</v>
      </c>
      <c t="s">
        <v>39082</v>
      </c>
      <c t="s">
        <v>2517</v>
      </c>
      <c t="s">
        <v>39289</v>
      </c>
      <c>
        <v>33909</v>
      </c>
      <c t="s">
        <v>11037</v>
      </c>
      <c t="s">
        <v>48794</v>
      </c>
      <c t="s">
        <v>10327</v>
      </c>
      <c>
        <v>1213</v>
      </c>
      <c r="AI3141" t="s">
        <v>25699</v>
      </c>
      <c t="s">
        <v>45393</v>
      </c>
      <c r="AL3141" t="s">
        <v>48388</v>
      </c>
      <c r="AN3141" t="s">
        <v>26016</v>
      </c>
      <c t="s">
        <v>23188</v>
      </c>
      <c t="s">
        <v>35508</v>
      </c>
      <c t="s">
        <v>3093</v>
      </c>
      <c t="s">
        <v>3182</v>
      </c>
    </row>
    <row>
      <c t="s">
        <v>17594</v>
      </c>
      <c t="s">
        <v>63866</v>
      </c>
      <c t="s">
        <v>4831</v>
      </c>
      <c t="s">
        <v>59621</v>
      </c>
      <c t="s">
        <v>3306</v>
      </c>
      <c s="3">
        <v>35147</v>
      </c>
      <c s="3">
        <v>35147</v>
      </c>
      <c s="3">
        <v>12100</v>
      </c>
      <c>
        <v>0</v>
      </c>
      <c s="3">
        <v>0</v>
      </c>
      <c s="3">
        <v>790.85</v>
      </c>
      <c s="3">
        <v>35147</v>
      </c>
      <c>
        <v>2021</v>
      </c>
      <c>
        <v>711.24</v>
      </c>
      <c s="1" t="str">
        <f ca="1">HYPERLINK("https://web.datatree.com/?/property?propertyId=33163908", "https://web.datatree.com/?/property?propertyId=33163908")</f>
        <v>https://web.datatree.com/?/property?propertyId=33163908</v>
      </c>
      <c r="Q3142" t="s">
        <v>316</v>
      </c>
      <c>
        <v>0.23</v>
      </c>
      <c t="s">
        <v>22490</v>
      </c>
      <c t="s">
        <v>12497</v>
      </c>
      <c t="s">
        <v>9836</v>
      </c>
      <c r="X3142" t="s">
        <v>52500</v>
      </c>
      <c t="s">
        <v>49122</v>
      </c>
      <c t="s">
        <v>2517</v>
      </c>
      <c t="s">
        <v>39289</v>
      </c>
      <c>
        <v>33909</v>
      </c>
      <c t="s">
        <v>62323</v>
      </c>
      <c t="s">
        <v>48794</v>
      </c>
      <c t="s">
        <v>50427</v>
      </c>
      <c>
        <v>11130</v>
      </c>
      <c r="AI3142" t="s">
        <v>34265</v>
      </c>
      <c t="s">
        <v>41372</v>
      </c>
      <c r="AL3142" t="s">
        <v>2002</v>
      </c>
      <c r="AN3142" t="s">
        <v>27481</v>
      </c>
      <c t="s">
        <v>66779</v>
      </c>
      <c t="s">
        <v>4491</v>
      </c>
      <c t="s">
        <v>3093</v>
      </c>
      <c t="s">
        <v>12814</v>
      </c>
    </row>
    <row>
      <c t="s">
        <v>17594</v>
      </c>
      <c t="s">
        <v>34538</v>
      </c>
      <c t="s">
        <v>15178</v>
      </c>
      <c t="s">
        <v>36032</v>
      </c>
      <c t="s">
        <v>1063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143" s="1" t="str">
        <f ca="1">HYPERLINK("https://web.datatree.com/?/property?propertyId=33163963", "https://web.datatree.com/?/property?propertyId=33163963")</f>
        <v>https://web.datatree.com/?/property?propertyId=33163963</v>
      </c>
      <c r="Q3143" t="s">
        <v>316</v>
      </c>
      <c>
        <v>0.23</v>
      </c>
      <c t="s">
        <v>6175</v>
      </c>
      <c t="s">
        <v>35571</v>
      </c>
      <c t="s">
        <v>43663</v>
      </c>
      <c t="s">
        <v>11077</v>
      </c>
      <c t="s">
        <v>2028</v>
      </c>
      <c t="s">
        <v>42170</v>
      </c>
      <c t="s">
        <v>13829</v>
      </c>
      <c t="s">
        <v>2517</v>
      </c>
      <c t="s">
        <v>39289</v>
      </c>
      <c>
        <v>33909</v>
      </c>
      <c t="s">
        <v>3494</v>
      </c>
      <c t="s">
        <v>48794</v>
      </c>
      <c t="s">
        <v>6847</v>
      </c>
      <c r="AI3143" t="s">
        <v>56258</v>
      </c>
      <c r="AK3143">
        <v>5</v>
      </c>
      <c t="s">
        <v>55410</v>
      </c>
      <c r="AN3143" t="s">
        <v>63985</v>
      </c>
      <c>
        <v>67273</v>
      </c>
      <c r="AR3143" t="s">
        <v>16823</v>
      </c>
    </row>
    <row>
      <c t="s">
        <v>17594</v>
      </c>
      <c t="s">
        <v>38377</v>
      </c>
      <c t="s">
        <v>7852</v>
      </c>
      <c t="s">
        <v>59163</v>
      </c>
      <c t="s">
        <v>22671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3144" s="1" t="str">
        <f ca="1">HYPERLINK("https://web.datatree.com/?/property?propertyId=33164445", "https://web.datatree.com/?/property?propertyId=33164445")</f>
        <v>https://web.datatree.com/?/property?propertyId=33164445</v>
      </c>
      <c r="Q3144" t="s">
        <v>316</v>
      </c>
      <c>
        <v>0.23</v>
      </c>
      <c t="s">
        <v>6175</v>
      </c>
      <c t="s">
        <v>21852</v>
      </c>
      <c t="s">
        <v>49999</v>
      </c>
      <c r="X3144" t="s">
        <v>66728</v>
      </c>
      <c t="s">
        <v>53675</v>
      </c>
      <c t="s">
        <v>2517</v>
      </c>
      <c t="s">
        <v>39289</v>
      </c>
      <c>
        <v>33909</v>
      </c>
      <c t="s">
        <v>45607</v>
      </c>
      <c t="s">
        <v>48794</v>
      </c>
      <c t="s">
        <v>19363</v>
      </c>
      <c>
        <v>593</v>
      </c>
      <c r="AI3144" t="s">
        <v>35789</v>
      </c>
      <c t="s">
        <v>31192</v>
      </c>
      <c t="s">
        <v>18456</v>
      </c>
      <c t="s">
        <v>13397</v>
      </c>
      <c t="s">
        <v>13397</v>
      </c>
      <c t="s">
        <v>50917</v>
      </c>
      <c t="s">
        <v>51601</v>
      </c>
      <c t="s">
        <v>15968</v>
      </c>
      <c t="s">
        <v>3093</v>
      </c>
      <c t="s">
        <v>60891</v>
      </c>
    </row>
    <row>
      <c t="s">
        <v>17594</v>
      </c>
      <c t="s">
        <v>21733</v>
      </c>
      <c t="s">
        <v>66187</v>
      </c>
      <c t="s">
        <v>64227</v>
      </c>
      <c t="s">
        <v>59077</v>
      </c>
      <c s="3">
        <v>71345</v>
      </c>
      <c s="3">
        <v>63500</v>
      </c>
      <c s="3">
        <v>68090</v>
      </c>
      <c>
        <v>0</v>
      </c>
      <c s="3">
        <v>0</v>
      </c>
      <c s="3">
        <v>1042.4</v>
      </c>
      <c s="3">
        <v>71345</v>
      </c>
      <c r="O3145" s="1" t="str">
        <f ca="1">HYPERLINK("https://web.datatree.com/?/property?propertyId=33164787", "https://web.datatree.com/?/property?propertyId=33164787")</f>
        <v>https://web.datatree.com/?/property?propertyId=33164787</v>
      </c>
      <c r="Q3145" t="s">
        <v>316</v>
      </c>
      <c>
        <v>0.095</v>
      </c>
      <c t="s">
        <v>26492</v>
      </c>
      <c r="U3145" t="s">
        <v>23600</v>
      </c>
      <c r="W3145" t="s">
        <v>6032</v>
      </c>
      <c t="s">
        <v>43825</v>
      </c>
      <c t="s">
        <v>65698</v>
      </c>
      <c t="s">
        <v>65059</v>
      </c>
      <c t="s">
        <v>39289</v>
      </c>
      <c>
        <v>33905</v>
      </c>
      <c>
        <v>33905</v>
      </c>
      <c t="s">
        <v>48794</v>
      </c>
      <c t="s">
        <v>19264</v>
      </c>
      <c>
        <v>124</v>
      </c>
      <c r="AI3145" t="s">
        <v>5105</v>
      </c>
      <c t="s">
        <v>45393</v>
      </c>
      <c r="AL3145" t="s">
        <v>58833</v>
      </c>
      <c t="s">
        <v>58833</v>
      </c>
      <c t="s">
        <v>26443</v>
      </c>
      <c t="s">
        <v>37705</v>
      </c>
      <c t="s">
        <v>14695</v>
      </c>
      <c t="s">
        <v>3093</v>
      </c>
      <c t="s">
        <v>4299</v>
      </c>
    </row>
    <row>
      <c t="s">
        <v>17594</v>
      </c>
      <c t="s">
        <v>59529</v>
      </c>
      <c t="s">
        <v>14215</v>
      </c>
      <c t="s">
        <v>42712</v>
      </c>
      <c t="s">
        <v>28481</v>
      </c>
      <c s="3">
        <v>8529</v>
      </c>
      <c s="3">
        <v>8529</v>
      </c>
      <c s="3">
        <v>4972</v>
      </c>
      <c>
        <v>0</v>
      </c>
      <c s="3">
        <v>0</v>
      </c>
      <c s="3">
        <v>315.35</v>
      </c>
      <c s="3">
        <v>8529</v>
      </c>
      <c r="O3146" s="1" t="str">
        <f ca="1">HYPERLINK("https://web.datatree.com/?/property?propertyId=33164966", "https://web.datatree.com/?/property?propertyId=33164966")</f>
        <v>https://web.datatree.com/?/property?propertyId=33164966</v>
      </c>
      <c r="Q3146" t="s">
        <v>316</v>
      </c>
      <c>
        <v>0.23</v>
      </c>
      <c t="s">
        <v>5471</v>
      </c>
      <c t="s">
        <v>63182</v>
      </c>
      <c t="s">
        <v>55528</v>
      </c>
      <c r="X3146" t="s">
        <v>48056</v>
      </c>
      <c t="s">
        <v>18225</v>
      </c>
      <c t="s">
        <v>65059</v>
      </c>
      <c t="s">
        <v>39289</v>
      </c>
      <c>
        <v>33905</v>
      </c>
      <c t="s">
        <v>1710</v>
      </c>
      <c t="s">
        <v>48794</v>
      </c>
      <c t="s">
        <v>14078</v>
      </c>
      <c>
        <v>300</v>
      </c>
      <c r="AI3146" t="s">
        <v>66715</v>
      </c>
      <c t="s">
        <v>45620</v>
      </c>
      <c r="AL3146" t="s">
        <v>42141</v>
      </c>
      <c r="AN3146" t="s">
        <v>26016</v>
      </c>
      <c t="s">
        <v>54836</v>
      </c>
      <c t="s">
        <v>22455</v>
      </c>
      <c t="s">
        <v>3093</v>
      </c>
      <c t="s">
        <v>49472</v>
      </c>
    </row>
    <row>
      <c t="s">
        <v>17594</v>
      </c>
      <c t="s">
        <v>44858</v>
      </c>
      <c t="s">
        <v>63088</v>
      </c>
      <c t="s">
        <v>1312</v>
      </c>
      <c t="s">
        <v>10938</v>
      </c>
      <c s="3">
        <v>7200</v>
      </c>
      <c s="3">
        <v>7200</v>
      </c>
      <c s="3">
        <v>7200</v>
      </c>
      <c>
        <v>0</v>
      </c>
      <c s="3">
        <v>0</v>
      </c>
      <c s="3">
        <v>509.74</v>
      </c>
      <c s="3">
        <v>7200</v>
      </c>
      <c r="O3147" s="1" t="str">
        <f ca="1">HYPERLINK("https://web.datatree.com/?/property?propertyId=33165227", "https://web.datatree.com/?/property?propertyId=33165227")</f>
        <v>https://web.datatree.com/?/property?propertyId=33165227</v>
      </c>
      <c r="Q3147" t="s">
        <v>316</v>
      </c>
      <c>
        <v>0.257</v>
      </c>
      <c t="s">
        <v>6175</v>
      </c>
      <c t="s">
        <v>60465</v>
      </c>
      <c t="s">
        <v>3029</v>
      </c>
      <c r="W3147" t="s">
        <v>8805</v>
      </c>
      <c t="s">
        <v>26796</v>
      </c>
      <c t="s">
        <v>55273</v>
      </c>
      <c t="s">
        <v>2517</v>
      </c>
      <c t="s">
        <v>39289</v>
      </c>
      <c>
        <v>33909</v>
      </c>
      <c>
        <v>33909</v>
      </c>
      <c t="s">
        <v>48794</v>
      </c>
      <c t="s">
        <v>62244</v>
      </c>
      <c>
        <v>231</v>
      </c>
      <c r="AI3147" t="s">
        <v>44560</v>
      </c>
      <c t="s">
        <v>45393</v>
      </c>
      <c>
        <v>2117</v>
      </c>
      <c t="s">
        <v>31458</v>
      </c>
      <c t="s">
        <v>31458</v>
      </c>
      <c t="s">
        <v>39289</v>
      </c>
      <c t="s">
        <v>32418</v>
      </c>
      <c t="s">
        <v>45852</v>
      </c>
      <c t="s">
        <v>3093</v>
      </c>
      <c t="s">
        <v>29073</v>
      </c>
    </row>
    <row>
      <c t="s">
        <v>17594</v>
      </c>
      <c t="s">
        <v>58717</v>
      </c>
      <c t="s">
        <v>13925</v>
      </c>
      <c t="s">
        <v>2285</v>
      </c>
      <c t="s">
        <v>12101</v>
      </c>
      <c s="3">
        <v>26290</v>
      </c>
      <c s="3">
        <v>26290</v>
      </c>
      <c s="3">
        <v>26290</v>
      </c>
      <c>
        <v>0</v>
      </c>
      <c s="3">
        <v>0</v>
      </c>
      <c s="3">
        <v>793.79</v>
      </c>
      <c s="3">
        <v>26290</v>
      </c>
      <c r="O3148" s="1" t="str">
        <f ca="1">HYPERLINK("https://web.datatree.com/?/property?propertyId=33166151", "https://web.datatree.com/?/property?propertyId=33166151")</f>
        <v>https://web.datatree.com/?/property?propertyId=33166151</v>
      </c>
      <c r="Q3148" t="s">
        <v>316</v>
      </c>
      <c>
        <v>0.244</v>
      </c>
      <c t="s">
        <v>22490</v>
      </c>
      <c t="s">
        <v>56605</v>
      </c>
      <c t="s">
        <v>46488</v>
      </c>
      <c t="s">
        <v>12765</v>
      </c>
      <c t="s">
        <v>1483</v>
      </c>
      <c t="s">
        <v>37544</v>
      </c>
      <c t="s">
        <v>10653</v>
      </c>
      <c t="s">
        <v>2517</v>
      </c>
      <c t="s">
        <v>39289</v>
      </c>
      <c>
        <v>33909</v>
      </c>
      <c t="s">
        <v>55553</v>
      </c>
      <c t="s">
        <v>48794</v>
      </c>
      <c t="s">
        <v>45332</v>
      </c>
      <c>
        <v>721</v>
      </c>
      <c r="AI3148" t="s">
        <v>60790</v>
      </c>
      <c t="s">
        <v>31192</v>
      </c>
      <c r="AL3148" t="s">
        <v>63802</v>
      </c>
      <c t="s">
        <v>41064</v>
      </c>
      <c t="s">
        <v>63985</v>
      </c>
      <c t="s">
        <v>6248</v>
      </c>
      <c t="s">
        <v>60160</v>
      </c>
      <c t="s">
        <v>3093</v>
      </c>
      <c t="s">
        <v>15905</v>
      </c>
    </row>
    <row>
      <c t="s">
        <v>17594</v>
      </c>
      <c t="s">
        <v>30982</v>
      </c>
      <c t="s">
        <v>64144</v>
      </c>
      <c t="s">
        <v>1740</v>
      </c>
      <c t="s">
        <v>28369</v>
      </c>
      <c s="3">
        <v>18472</v>
      </c>
      <c s="3">
        <v>18472</v>
      </c>
      <c s="3">
        <v>8712</v>
      </c>
      <c>
        <v>0</v>
      </c>
      <c s="3">
        <v>0</v>
      </c>
      <c s="3">
        <v>587.86</v>
      </c>
      <c s="3">
        <v>18472</v>
      </c>
      <c r="O3149" s="1" t="str">
        <f ca="1">HYPERLINK("https://web.datatree.com/?/property?propertyId=33166480", "https://web.datatree.com/?/property?propertyId=33166480")</f>
        <v>https://web.datatree.com/?/property?propertyId=33166480</v>
      </c>
      <c r="Q3149" t="s">
        <v>316</v>
      </c>
      <c>
        <v>0.256</v>
      </c>
      <c t="s">
        <v>6175</v>
      </c>
      <c t="s">
        <v>2311</v>
      </c>
      <c t="s">
        <v>27899</v>
      </c>
      <c r="X3149" t="s">
        <v>53050</v>
      </c>
      <c t="s">
        <v>34731</v>
      </c>
      <c t="s">
        <v>2517</v>
      </c>
      <c t="s">
        <v>39289</v>
      </c>
      <c>
        <v>33909</v>
      </c>
      <c t="s">
        <v>38179</v>
      </c>
      <c t="s">
        <v>48794</v>
      </c>
      <c t="s">
        <v>51219</v>
      </c>
      <c>
        <v>38</v>
      </c>
      <c r="AI3149" t="s">
        <v>34850</v>
      </c>
      <c t="s">
        <v>31192</v>
      </c>
      <c r="AL3149" t="s">
        <v>18309</v>
      </c>
      <c t="s">
        <v>9195</v>
      </c>
      <c t="s">
        <v>26016</v>
      </c>
      <c t="s">
        <v>38469</v>
      </c>
      <c t="s">
        <v>3364</v>
      </c>
      <c t="s">
        <v>3093</v>
      </c>
      <c t="s">
        <v>23368</v>
      </c>
    </row>
    <row>
      <c t="s">
        <v>17594</v>
      </c>
      <c t="s">
        <v>45574</v>
      </c>
      <c t="s">
        <v>22806</v>
      </c>
      <c t="s">
        <v>27318</v>
      </c>
      <c t="s">
        <v>62607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3150" s="1" t="str">
        <f ca="1">HYPERLINK("https://web.datatree.com/?/property?propertyId=33167460", "https://web.datatree.com/?/property?propertyId=33167460")</f>
        <v>https://web.datatree.com/?/property?propertyId=33167460</v>
      </c>
      <c r="Q3150" t="s">
        <v>316</v>
      </c>
      <c>
        <v>0.23</v>
      </c>
      <c t="s">
        <v>6175</v>
      </c>
      <c t="s">
        <v>59645</v>
      </c>
      <c t="s">
        <v>24432</v>
      </c>
      <c t="s">
        <v>63047</v>
      </c>
      <c t="s">
        <v>24432</v>
      </c>
      <c t="s">
        <v>47322</v>
      </c>
      <c t="s">
        <v>47150</v>
      </c>
      <c t="s">
        <v>2517</v>
      </c>
      <c t="s">
        <v>39289</v>
      </c>
      <c>
        <v>33909</v>
      </c>
      <c t="s">
        <v>51621</v>
      </c>
      <c t="s">
        <v>48794</v>
      </c>
      <c t="s">
        <v>29413</v>
      </c>
      <c>
        <v>7704</v>
      </c>
      <c r="AI3150" t="s">
        <v>20464</v>
      </c>
      <c t="s">
        <v>24900</v>
      </c>
      <c>
        <v>101</v>
      </c>
      <c t="s">
        <v>36080</v>
      </c>
      <c t="s">
        <v>30786</v>
      </c>
      <c t="s">
        <v>39289</v>
      </c>
      <c t="s">
        <v>44837</v>
      </c>
      <c t="s">
        <v>13449</v>
      </c>
      <c t="s">
        <v>3093</v>
      </c>
      <c t="s">
        <v>149</v>
      </c>
    </row>
    <row>
      <c t="s">
        <v>17594</v>
      </c>
      <c t="s">
        <v>44130</v>
      </c>
      <c t="s">
        <v>32473</v>
      </c>
      <c t="s">
        <v>9661</v>
      </c>
      <c t="s">
        <v>40454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3151" s="1" t="str">
        <f ca="1">HYPERLINK("https://web.datatree.com/?/property?propertyId=33167547", "https://web.datatree.com/?/property?propertyId=33167547")</f>
        <v>https://web.datatree.com/?/property?propertyId=33167547</v>
      </c>
      <c r="Q3151" t="s">
        <v>316</v>
      </c>
      <c>
        <v>0.23</v>
      </c>
      <c t="s">
        <v>6175</v>
      </c>
      <c t="s">
        <v>29009</v>
      </c>
      <c t="s">
        <v>1898</v>
      </c>
      <c t="s">
        <v>52506</v>
      </c>
      <c t="s">
        <v>1898</v>
      </c>
      <c t="s">
        <v>7060</v>
      </c>
      <c t="s">
        <v>49122</v>
      </c>
      <c t="s">
        <v>2517</v>
      </c>
      <c t="s">
        <v>39289</v>
      </c>
      <c>
        <v>33909</v>
      </c>
      <c t="s">
        <v>12956</v>
      </c>
      <c t="s">
        <v>48794</v>
      </c>
      <c t="s">
        <v>67053</v>
      </c>
      <c>
        <v>2503</v>
      </c>
      <c r="AI3151" t="s">
        <v>26886</v>
      </c>
      <c t="s">
        <v>55842</v>
      </c>
      <c r="AL3151" t="s">
        <v>45726</v>
      </c>
      <c r="AN3151" t="s">
        <v>19878</v>
      </c>
      <c t="s">
        <v>40309</v>
      </c>
      <c t="s">
        <v>15686</v>
      </c>
      <c t="s">
        <v>3093</v>
      </c>
      <c t="s">
        <v>60884</v>
      </c>
    </row>
    <row>
      <c t="s">
        <v>17594</v>
      </c>
      <c t="s">
        <v>25234</v>
      </c>
      <c t="s">
        <v>4866</v>
      </c>
      <c t="s">
        <v>42777</v>
      </c>
      <c t="s">
        <v>42186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3152" s="1" t="str">
        <f ca="1">HYPERLINK("https://web.datatree.com/?/property?propertyId=33168023", "https://web.datatree.com/?/property?propertyId=33168023")</f>
        <v>https://web.datatree.com/?/property?propertyId=33168023</v>
      </c>
      <c r="Q3152" t="s">
        <v>316</v>
      </c>
      <c>
        <v>0.275</v>
      </c>
      <c t="s">
        <v>5471</v>
      </c>
      <c t="s">
        <v>44541</v>
      </c>
      <c t="s">
        <v>8644</v>
      </c>
      <c t="s">
        <v>23659</v>
      </c>
      <c t="s">
        <v>8644</v>
      </c>
      <c t="s">
        <v>1178</v>
      </c>
      <c t="s">
        <v>18225</v>
      </c>
      <c t="s">
        <v>65059</v>
      </c>
      <c t="s">
        <v>39289</v>
      </c>
      <c>
        <v>33905</v>
      </c>
      <c t="s">
        <v>61148</v>
      </c>
      <c t="s">
        <v>48794</v>
      </c>
      <c t="s">
        <v>32812</v>
      </c>
      <c>
        <v>115</v>
      </c>
      <c r="AI3152" t="s">
        <v>40578</v>
      </c>
      <c t="s">
        <v>24900</v>
      </c>
      <c r="AL3152" t="s">
        <v>60127</v>
      </c>
      <c r="AN3152" t="s">
        <v>19878</v>
      </c>
      <c t="s">
        <v>19266</v>
      </c>
      <c t="s">
        <v>44428</v>
      </c>
      <c t="s">
        <v>3093</v>
      </c>
      <c t="s">
        <v>15096</v>
      </c>
    </row>
    <row>
      <c t="s">
        <v>42103</v>
      </c>
      <c t="s">
        <v>40497</v>
      </c>
      <c t="s">
        <v>15592</v>
      </c>
      <c t="s">
        <v>12750</v>
      </c>
      <c t="s">
        <v>6266</v>
      </c>
      <c s="3">
        <v>135279</v>
      </c>
      <c s="3">
        <v>103750</v>
      </c>
      <c s="3">
        <v>135279</v>
      </c>
      <c>
        <v>0</v>
      </c>
      <c s="3">
        <v>0</v>
      </c>
      <c s="3">
        <v>2030.24</v>
      </c>
      <c s="3">
        <v>135279</v>
      </c>
      <c r="O3153" s="1" t="str">
        <f ca="1">HYPERLINK("https://web.datatree.com/?/property?propertyId=33168138", "https://web.datatree.com/?/property?propertyId=33168138")</f>
        <v>https://web.datatree.com/?/property?propertyId=33168138</v>
      </c>
      <c r="Q3153" t="s">
        <v>316</v>
      </c>
      <c>
        <v>0.133</v>
      </c>
      <c t="s">
        <v>26492</v>
      </c>
      <c t="s">
        <v>19357</v>
      </c>
      <c t="s">
        <v>35734</v>
      </c>
      <c t="s">
        <v>21379</v>
      </c>
      <c t="s">
        <v>35734</v>
      </c>
      <c t="s">
        <v>21867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38905</v>
      </c>
      <c r="AI3153" t="s">
        <v>37304</v>
      </c>
      <c r="AL3153" t="s">
        <v>13194</v>
      </c>
      <c t="s">
        <v>40227</v>
      </c>
      <c t="s">
        <v>3034</v>
      </c>
      <c t="s">
        <v>14930</v>
      </c>
      <c t="s">
        <v>35314</v>
      </c>
      <c t="s">
        <v>3093</v>
      </c>
      <c t="s">
        <v>619</v>
      </c>
    </row>
    <row>
      <c t="s">
        <v>17594</v>
      </c>
      <c t="s">
        <v>53974</v>
      </c>
      <c t="s">
        <v>26735</v>
      </c>
      <c t="s">
        <v>5228</v>
      </c>
      <c t="s">
        <v>18647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3154" s="1" t="str">
        <f ca="1">HYPERLINK("https://web.datatree.com/?/property?propertyId=33168276", "https://web.datatree.com/?/property?propertyId=33168276")</f>
        <v>https://web.datatree.com/?/property?propertyId=33168276</v>
      </c>
      <c r="Q3154" t="s">
        <v>316</v>
      </c>
      <c>
        <v>0.244</v>
      </c>
      <c t="s">
        <v>6175</v>
      </c>
      <c t="s">
        <v>51344</v>
      </c>
      <c t="s">
        <v>1898</v>
      </c>
      <c r="X3154" t="s">
        <v>66639</v>
      </c>
      <c t="s">
        <v>34731</v>
      </c>
      <c t="s">
        <v>2517</v>
      </c>
      <c t="s">
        <v>39289</v>
      </c>
      <c>
        <v>33909</v>
      </c>
      <c t="s">
        <v>47203</v>
      </c>
      <c t="s">
        <v>48794</v>
      </c>
      <c t="s">
        <v>308</v>
      </c>
      <c r="AI3154" t="s">
        <v>22373</v>
      </c>
      <c t="s">
        <v>3133</v>
      </c>
      <c r="AL3154" t="s">
        <v>36702</v>
      </c>
      <c t="s">
        <v>36702</v>
      </c>
      <c t="s">
        <v>9533</v>
      </c>
      <c>
        <v>983</v>
      </c>
      <c r="AQ3154" t="s">
        <v>3093</v>
      </c>
      <c t="s">
        <v>21873</v>
      </c>
    </row>
    <row>
      <c t="s">
        <v>17594</v>
      </c>
      <c t="s">
        <v>2262</v>
      </c>
      <c t="s">
        <v>39761</v>
      </c>
      <c t="s">
        <v>43544</v>
      </c>
      <c t="s">
        <v>51155</v>
      </c>
      <c s="3">
        <v>67799</v>
      </c>
      <c s="3">
        <v>60912</v>
      </c>
      <c s="3">
        <v>67799</v>
      </c>
      <c>
        <v>0</v>
      </c>
      <c s="3">
        <v>0</v>
      </c>
      <c s="3">
        <v>1058.69</v>
      </c>
      <c s="3">
        <v>67799</v>
      </c>
      <c r="O3155" s="1" t="str">
        <f ca="1">HYPERLINK("https://web.datatree.com/?/property?propertyId=33168555", "https://web.datatree.com/?/property?propertyId=33168555")</f>
        <v>https://web.datatree.com/?/property?propertyId=33168555</v>
      </c>
      <c r="Q3155" t="s">
        <v>316</v>
      </c>
      <c>
        <v>0.095</v>
      </c>
      <c t="s">
        <v>26492</v>
      </c>
      <c t="s">
        <v>29462</v>
      </c>
      <c t="s">
        <v>16308</v>
      </c>
      <c t="s">
        <v>16893</v>
      </c>
      <c t="s">
        <v>16308</v>
      </c>
      <c t="s">
        <v>8459</v>
      </c>
      <c t="s">
        <v>65698</v>
      </c>
      <c t="s">
        <v>65059</v>
      </c>
      <c t="s">
        <v>39289</v>
      </c>
      <c>
        <v>33905</v>
      </c>
      <c>
        <v>33905</v>
      </c>
      <c t="s">
        <v>48794</v>
      </c>
      <c t="s">
        <v>16692</v>
      </c>
      <c>
        <v>1712</v>
      </c>
      <c r="AI3155" t="s">
        <v>54188</v>
      </c>
      <c t="s">
        <v>41372</v>
      </c>
      <c r="AL3155" t="s">
        <v>27855</v>
      </c>
      <c t="s">
        <v>27855</v>
      </c>
      <c t="s">
        <v>39289</v>
      </c>
      <c>
        <v>33870</v>
      </c>
      <c t="s">
        <v>49977</v>
      </c>
      <c t="s">
        <v>3093</v>
      </c>
      <c t="s">
        <v>24657</v>
      </c>
    </row>
    <row>
      <c t="s">
        <v>17594</v>
      </c>
      <c t="s">
        <v>30153</v>
      </c>
      <c t="s">
        <v>34581</v>
      </c>
      <c t="s">
        <v>4919</v>
      </c>
      <c t="s">
        <v>21725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156" s="1" t="str">
        <f ca="1">HYPERLINK("https://web.datatree.com/?/property?propertyId=33168605", "https://web.datatree.com/?/property?propertyId=33168605")</f>
        <v>https://web.datatree.com/?/property?propertyId=33168605</v>
      </c>
      <c r="Q3156" t="s">
        <v>316</v>
      </c>
      <c>
        <v>0.24</v>
      </c>
      <c t="s">
        <v>5471</v>
      </c>
      <c t="s">
        <v>3293</v>
      </c>
      <c t="s">
        <v>49862</v>
      </c>
      <c t="s">
        <v>25273</v>
      </c>
      <c t="s">
        <v>49862</v>
      </c>
      <c t="s">
        <v>50359</v>
      </c>
      <c t="s">
        <v>20199</v>
      </c>
      <c t="s">
        <v>65059</v>
      </c>
      <c t="s">
        <v>39289</v>
      </c>
      <c>
        <v>33905</v>
      </c>
      <c t="s">
        <v>59368</v>
      </c>
      <c t="s">
        <v>48794</v>
      </c>
      <c t="s">
        <v>4795</v>
      </c>
      <c>
        <v>11024</v>
      </c>
      <c r="AI3156" t="s">
        <v>51845</v>
      </c>
      <c t="s">
        <v>31192</v>
      </c>
      <c r="AL3156" t="s">
        <v>36080</v>
      </c>
      <c r="AN3156" t="s">
        <v>39289</v>
      </c>
      <c t="s">
        <v>56121</v>
      </c>
      <c t="s">
        <v>39274</v>
      </c>
      <c t="s">
        <v>3093</v>
      </c>
      <c t="s">
        <v>53913</v>
      </c>
    </row>
    <row>
      <c t="s">
        <v>17594</v>
      </c>
      <c t="s">
        <v>16319</v>
      </c>
      <c t="s">
        <v>42161</v>
      </c>
      <c t="s">
        <v>63691</v>
      </c>
      <c t="s">
        <v>9461</v>
      </c>
      <c s="3">
        <v>18361</v>
      </c>
      <c s="3">
        <v>18361</v>
      </c>
      <c s="3">
        <v>9130</v>
      </c>
      <c>
        <v>0</v>
      </c>
      <c s="3">
        <v>0</v>
      </c>
      <c s="3">
        <v>581.68</v>
      </c>
      <c s="3">
        <v>18361</v>
      </c>
      <c r="O3157" s="1" t="str">
        <f ca="1">HYPERLINK("https://web.datatree.com/?/property?propertyId=33168627", "https://web.datatree.com/?/property?propertyId=33168627")</f>
        <v>https://web.datatree.com/?/property?propertyId=33168627</v>
      </c>
      <c r="Q3157" t="s">
        <v>316</v>
      </c>
      <c>
        <v>0.23</v>
      </c>
      <c t="s">
        <v>45031</v>
      </c>
      <c t="s">
        <v>25477</v>
      </c>
      <c t="s">
        <v>28044</v>
      </c>
      <c r="X3157" t="s">
        <v>54296</v>
      </c>
      <c t="s">
        <v>29190</v>
      </c>
      <c t="s">
        <v>2517</v>
      </c>
      <c t="s">
        <v>39289</v>
      </c>
      <c>
        <v>33909</v>
      </c>
      <c t="s">
        <v>16765</v>
      </c>
      <c t="s">
        <v>48794</v>
      </c>
      <c t="s">
        <v>51306</v>
      </c>
      <c>
        <v>241</v>
      </c>
      <c r="AI3157" t="s">
        <v>27772</v>
      </c>
      <c t="s">
        <v>4985</v>
      </c>
      <c r="AL3157" t="s">
        <v>55393</v>
      </c>
      <c r="AN3157" t="s">
        <v>39289</v>
      </c>
      <c t="s">
        <v>14633</v>
      </c>
      <c t="s">
        <v>48506</v>
      </c>
      <c t="s">
        <v>3093</v>
      </c>
      <c t="s">
        <v>37091</v>
      </c>
    </row>
    <row>
      <c t="s">
        <v>17594</v>
      </c>
      <c t="s">
        <v>50803</v>
      </c>
      <c t="s">
        <v>43911</v>
      </c>
      <c t="s">
        <v>26353</v>
      </c>
      <c t="s">
        <v>30722</v>
      </c>
      <c s="3">
        <v>23543</v>
      </c>
      <c s="3">
        <v>23543</v>
      </c>
      <c s="3">
        <v>9636</v>
      </c>
      <c>
        <v>0</v>
      </c>
      <c s="3">
        <v>0</v>
      </c>
      <c s="3">
        <v>697.52</v>
      </c>
      <c s="3">
        <v>23543</v>
      </c>
      <c r="O3158" s="1" t="str">
        <f ca="1">HYPERLINK("https://web.datatree.com/?/property?propertyId=33168703", "https://web.datatree.com/?/property?propertyId=33168703")</f>
        <v>https://web.datatree.com/?/property?propertyId=33168703</v>
      </c>
      <c r="Q3158" t="s">
        <v>316</v>
      </c>
      <c>
        <v>0.344</v>
      </c>
      <c t="s">
        <v>22490</v>
      </c>
      <c t="s">
        <v>52533</v>
      </c>
      <c t="s">
        <v>35290</v>
      </c>
      <c r="X3158" t="s">
        <v>13067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29344</v>
      </c>
      <c>
        <v>103</v>
      </c>
      <c r="AI3158" t="s">
        <v>23221</v>
      </c>
      <c t="s">
        <v>45620</v>
      </c>
      <c r="AL3158" t="s">
        <v>3670</v>
      </c>
      <c r="AN3158" t="s">
        <v>26016</v>
      </c>
      <c t="s">
        <v>14599</v>
      </c>
      <c t="s">
        <v>14695</v>
      </c>
      <c t="s">
        <v>3093</v>
      </c>
      <c t="s">
        <v>9282</v>
      </c>
    </row>
    <row>
      <c t="s">
        <v>17594</v>
      </c>
      <c t="s">
        <v>64292</v>
      </c>
      <c t="s">
        <v>16914</v>
      </c>
      <c t="s">
        <v>57826</v>
      </c>
      <c t="s">
        <v>12464</v>
      </c>
      <c s="3">
        <v>8600</v>
      </c>
      <c s="3">
        <v>8600</v>
      </c>
      <c s="3">
        <v>8600</v>
      </c>
      <c>
        <v>0</v>
      </c>
      <c s="3">
        <v>0</v>
      </c>
      <c s="3">
        <v>525.89</v>
      </c>
      <c s="3">
        <v>8600</v>
      </c>
      <c r="O3159" s="1" t="str">
        <f ca="1">HYPERLINK("https://web.datatree.com/?/property?propertyId=33168969", "https://web.datatree.com/?/property?propertyId=33168969")</f>
        <v>https://web.datatree.com/?/property?propertyId=33168969</v>
      </c>
      <c r="Q3159" t="s">
        <v>316</v>
      </c>
      <c>
        <v>0.244</v>
      </c>
      <c t="s">
        <v>6175</v>
      </c>
      <c t="s">
        <v>44610</v>
      </c>
      <c t="s">
        <v>41831</v>
      </c>
      <c t="s">
        <v>54943</v>
      </c>
      <c t="s">
        <v>43112</v>
      </c>
      <c t="s">
        <v>14114</v>
      </c>
      <c t="s">
        <v>66701</v>
      </c>
      <c t="s">
        <v>2517</v>
      </c>
      <c t="s">
        <v>39289</v>
      </c>
      <c>
        <v>33909</v>
      </c>
      <c t="s">
        <v>39744</v>
      </c>
      <c t="s">
        <v>48794</v>
      </c>
      <c t="s">
        <v>28347</v>
      </c>
      <c>
        <v>13958</v>
      </c>
      <c r="AI3159" t="s">
        <v>46039</v>
      </c>
      <c t="s">
        <v>39321</v>
      </c>
      <c r="AL3159" t="s">
        <v>55393</v>
      </c>
      <c t="s">
        <v>49823</v>
      </c>
      <c t="s">
        <v>39289</v>
      </c>
      <c>
        <v>33177</v>
      </c>
      <c t="s">
        <v>15968</v>
      </c>
      <c t="s">
        <v>3093</v>
      </c>
      <c t="s">
        <v>60349</v>
      </c>
    </row>
    <row>
      <c t="s">
        <v>17594</v>
      </c>
      <c t="s">
        <v>9272</v>
      </c>
      <c t="s">
        <v>13429</v>
      </c>
      <c t="s">
        <v>10556</v>
      </c>
      <c t="s">
        <v>11256</v>
      </c>
      <c s="3">
        <v>131946</v>
      </c>
      <c s="3">
        <v>131946</v>
      </c>
      <c s="3">
        <v>75020</v>
      </c>
      <c>
        <v>0</v>
      </c>
      <c s="3">
        <v>0</v>
      </c>
      <c s="3">
        <v>1808.66</v>
      </c>
      <c s="3">
        <v>131946</v>
      </c>
      <c r="O3160" s="1" t="str">
        <f ca="1">HYPERLINK("https://web.datatree.com/?/property?propertyId=33169355", "https://web.datatree.com/?/property?propertyId=33169355")</f>
        <v>https://web.datatree.com/?/property?propertyId=33169355</v>
      </c>
      <c r="Q3160" t="s">
        <v>316</v>
      </c>
      <c>
        <v>0.266</v>
      </c>
      <c t="s">
        <v>22490</v>
      </c>
      <c t="s">
        <v>53587</v>
      </c>
      <c t="s">
        <v>12400</v>
      </c>
      <c r="X3160" t="s">
        <v>34459</v>
      </c>
      <c t="s">
        <v>64331</v>
      </c>
      <c t="s">
        <v>2517</v>
      </c>
      <c t="s">
        <v>39289</v>
      </c>
      <c>
        <v>33904</v>
      </c>
      <c t="s">
        <v>25261</v>
      </c>
      <c t="s">
        <v>48794</v>
      </c>
      <c t="s">
        <v>60413</v>
      </c>
      <c>
        <v>1086</v>
      </c>
      <c r="AI3160" t="s">
        <v>35573</v>
      </c>
      <c r="AL3160" t="s">
        <v>15034</v>
      </c>
      <c r="AN3160" t="s">
        <v>41825</v>
      </c>
      <c t="s">
        <v>32526</v>
      </c>
      <c r="AQ3160" t="s">
        <v>27814</v>
      </c>
      <c t="s">
        <v>30516</v>
      </c>
    </row>
    <row>
      <c t="s">
        <v>17594</v>
      </c>
      <c t="s">
        <v>56261</v>
      </c>
      <c t="s">
        <v>59612</v>
      </c>
      <c t="s">
        <v>20490</v>
      </c>
      <c t="s">
        <v>2797</v>
      </c>
      <c s="3">
        <v>15574</v>
      </c>
      <c s="3">
        <v>15574</v>
      </c>
      <c s="3">
        <v>9075</v>
      </c>
      <c>
        <v>0</v>
      </c>
      <c s="3">
        <v>0</v>
      </c>
      <c s="3">
        <v>687.36</v>
      </c>
      <c s="3">
        <v>15574</v>
      </c>
      <c r="O3161" s="1" t="str">
        <f ca="1">HYPERLINK("https://web.datatree.com/?/property?propertyId=33169594", "https://web.datatree.com/?/property?propertyId=33169594")</f>
        <v>https://web.datatree.com/?/property?propertyId=33169594</v>
      </c>
      <c r="Q3161" t="s">
        <v>316</v>
      </c>
      <c>
        <v>0.241</v>
      </c>
      <c t="s">
        <v>6175</v>
      </c>
      <c t="s">
        <v>64736</v>
      </c>
      <c t="s">
        <v>11175</v>
      </c>
      <c r="X3161" t="s">
        <v>39700</v>
      </c>
      <c t="s">
        <v>39777</v>
      </c>
      <c t="s">
        <v>2517</v>
      </c>
      <c t="s">
        <v>39289</v>
      </c>
      <c>
        <v>33909</v>
      </c>
      <c t="s">
        <v>20017</v>
      </c>
      <c t="s">
        <v>48794</v>
      </c>
      <c t="s">
        <v>28730</v>
      </c>
      <c>
        <v>15321</v>
      </c>
      <c r="AI3161" t="s">
        <v>6039</v>
      </c>
      <c t="s">
        <v>45393</v>
      </c>
      <c r="AL3161" t="s">
        <v>30396</v>
      </c>
      <c r="AN3161" t="s">
        <v>39289</v>
      </c>
      <c t="s">
        <v>21139</v>
      </c>
      <c t="s">
        <v>864</v>
      </c>
      <c t="s">
        <v>3093</v>
      </c>
      <c t="s">
        <v>3811</v>
      </c>
    </row>
    <row>
      <c t="s">
        <v>17594</v>
      </c>
      <c t="s">
        <v>37662</v>
      </c>
      <c t="s">
        <v>14481</v>
      </c>
      <c t="s">
        <v>24193</v>
      </c>
      <c t="s">
        <v>66119</v>
      </c>
      <c s="3">
        <v>21147</v>
      </c>
      <c s="3">
        <v>21147</v>
      </c>
      <c s="3">
        <v>21147</v>
      </c>
      <c>
        <v>0</v>
      </c>
      <c s="3">
        <v>0</v>
      </c>
      <c s="3">
        <v>760.53</v>
      </c>
      <c s="3">
        <v>21147</v>
      </c>
      <c r="O3162" s="1" t="str">
        <f ca="1">HYPERLINK("https://web.datatree.com/?/property?propertyId=33170358", "https://web.datatree.com/?/property?propertyId=33170358")</f>
        <v>https://web.datatree.com/?/property?propertyId=33170358</v>
      </c>
      <c r="Q3162" t="s">
        <v>316</v>
      </c>
      <c>
        <v>0.37</v>
      </c>
      <c t="s">
        <v>54449</v>
      </c>
      <c t="s">
        <v>44163</v>
      </c>
      <c t="s">
        <v>33393</v>
      </c>
      <c t="s">
        <v>1805</v>
      </c>
      <c t="s">
        <v>33393</v>
      </c>
      <c t="s">
        <v>48596</v>
      </c>
      <c t="s">
        <v>38550</v>
      </c>
      <c t="s">
        <v>2517</v>
      </c>
      <c t="s">
        <v>39289</v>
      </c>
      <c>
        <v>33909</v>
      </c>
      <c t="s">
        <v>19232</v>
      </c>
      <c t="s">
        <v>48794</v>
      </c>
      <c t="s">
        <v>65738</v>
      </c>
      <c>
        <v>11367</v>
      </c>
      <c r="AI3162" t="s">
        <v>62666</v>
      </c>
      <c t="s">
        <v>55842</v>
      </c>
      <c r="AL3162" t="s">
        <v>30396</v>
      </c>
      <c t="s">
        <v>66470</v>
      </c>
      <c t="s">
        <v>39289</v>
      </c>
      <c t="s">
        <v>60490</v>
      </c>
      <c t="s">
        <v>35354</v>
      </c>
      <c t="s">
        <v>3093</v>
      </c>
      <c t="s">
        <v>43356</v>
      </c>
    </row>
    <row>
      <c t="s">
        <v>17594</v>
      </c>
      <c t="s">
        <v>12103</v>
      </c>
      <c t="s">
        <v>12016</v>
      </c>
      <c t="s">
        <v>16226</v>
      </c>
      <c t="s">
        <v>23974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>
        <v>2021</v>
      </c>
      <c>
        <v>598.45</v>
      </c>
      <c s="1" t="str">
        <f ca="1">HYPERLINK("https://web.datatree.com/?/property?propertyId=33170708", "https://web.datatree.com/?/property?propertyId=33170708")</f>
        <v>https://web.datatree.com/?/property?propertyId=33170708</v>
      </c>
      <c r="Q3163" t="s">
        <v>316</v>
      </c>
      <c>
        <v>0.241</v>
      </c>
      <c t="s">
        <v>6175</v>
      </c>
      <c t="s">
        <v>47754</v>
      </c>
      <c t="s">
        <v>1486</v>
      </c>
      <c r="X3163" t="s">
        <v>53876</v>
      </c>
      <c t="s">
        <v>55273</v>
      </c>
      <c t="s">
        <v>2517</v>
      </c>
      <c t="s">
        <v>39289</v>
      </c>
      <c>
        <v>33909</v>
      </c>
      <c t="s">
        <v>47259</v>
      </c>
      <c t="s">
        <v>48794</v>
      </c>
      <c t="s">
        <v>11372</v>
      </c>
      <c>
        <v>14801</v>
      </c>
      <c r="AI3163" t="s">
        <v>30085</v>
      </c>
      <c t="s">
        <v>40123</v>
      </c>
      <c r="AL3163" t="s">
        <v>2107</v>
      </c>
      <c t="s">
        <v>2107</v>
      </c>
      <c t="s">
        <v>51087</v>
      </c>
      <c t="s">
        <v>14768</v>
      </c>
      <c t="s">
        <v>14695</v>
      </c>
      <c t="s">
        <v>3093</v>
      </c>
      <c t="s">
        <v>28754</v>
      </c>
    </row>
    <row>
      <c t="s">
        <v>17594</v>
      </c>
      <c t="s">
        <v>52215</v>
      </c>
      <c t="s">
        <v>47833</v>
      </c>
      <c t="s">
        <v>66015</v>
      </c>
      <c t="s">
        <v>28949</v>
      </c>
      <c s="3">
        <v>22152</v>
      </c>
      <c s="3">
        <v>22152</v>
      </c>
      <c s="3">
        <v>8800</v>
      </c>
      <c>
        <v>0</v>
      </c>
      <c s="3">
        <v>0</v>
      </c>
      <c s="3">
        <v>588.04</v>
      </c>
      <c s="3">
        <v>22152</v>
      </c>
      <c>
        <v>2020</v>
      </c>
      <c>
        <v>1890.81</v>
      </c>
      <c s="1" t="str">
        <f ca="1">HYPERLINK("https://web.datatree.com/?/property?propertyId=33170958", "https://web.datatree.com/?/property?propertyId=33170958")</f>
        <v>https://web.datatree.com/?/property?propertyId=33170958</v>
      </c>
      <c r="Q3164" t="s">
        <v>316</v>
      </c>
      <c>
        <v>0.244</v>
      </c>
      <c t="s">
        <v>22490</v>
      </c>
      <c t="s">
        <v>64570</v>
      </c>
      <c t="s">
        <v>29352</v>
      </c>
      <c t="s">
        <v>54926</v>
      </c>
      <c t="s">
        <v>57402</v>
      </c>
      <c t="s">
        <v>287</v>
      </c>
      <c t="s">
        <v>49674</v>
      </c>
      <c t="s">
        <v>2517</v>
      </c>
      <c t="s">
        <v>39289</v>
      </c>
      <c>
        <v>33909</v>
      </c>
      <c t="s">
        <v>32532</v>
      </c>
      <c t="s">
        <v>48794</v>
      </c>
      <c t="s">
        <v>34862</v>
      </c>
      <c>
        <v>8201</v>
      </c>
      <c r="AI3164" t="s">
        <v>37681</v>
      </c>
      <c t="s">
        <v>55842</v>
      </c>
      <c r="AL3164" t="s">
        <v>38860</v>
      </c>
      <c r="AN3164" t="s">
        <v>65467</v>
      </c>
      <c t="s">
        <v>62026</v>
      </c>
      <c t="s">
        <v>3364</v>
      </c>
      <c t="s">
        <v>3093</v>
      </c>
      <c t="s">
        <v>30332</v>
      </c>
    </row>
    <row>
      <c t="s">
        <v>17594</v>
      </c>
      <c t="s">
        <v>59507</v>
      </c>
      <c t="s">
        <v>63329</v>
      </c>
      <c t="s">
        <v>26535</v>
      </c>
      <c t="s">
        <v>20738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3165" s="1" t="str">
        <f ca="1">HYPERLINK("https://web.datatree.com/?/property?propertyId=33171193", "https://web.datatree.com/?/property?propertyId=33171193")</f>
        <v>https://web.datatree.com/?/property?propertyId=33171193</v>
      </c>
      <c r="Q3165" t="s">
        <v>316</v>
      </c>
      <c>
        <v>0.23</v>
      </c>
      <c t="s">
        <v>6175</v>
      </c>
      <c r="U3165" t="s">
        <v>46728</v>
      </c>
      <c t="s">
        <v>58276</v>
      </c>
      <c t="s">
        <v>48398</v>
      </c>
      <c t="s">
        <v>29929</v>
      </c>
      <c t="s">
        <v>60363</v>
      </c>
      <c t="s">
        <v>2517</v>
      </c>
      <c t="s">
        <v>39289</v>
      </c>
      <c>
        <v>33909</v>
      </c>
      <c t="s">
        <v>23796</v>
      </c>
      <c t="s">
        <v>48794</v>
      </c>
      <c t="s">
        <v>8858</v>
      </c>
      <c>
        <v>2616</v>
      </c>
      <c r="AI3165" t="s">
        <v>24212</v>
      </c>
      <c t="s">
        <v>55842</v>
      </c>
      <c r="AL3165" t="s">
        <v>19216</v>
      </c>
      <c t="s">
        <v>11480</v>
      </c>
      <c t="s">
        <v>65451</v>
      </c>
      <c t="s">
        <v>39796</v>
      </c>
      <c t="s">
        <v>40645</v>
      </c>
      <c t="s">
        <v>3093</v>
      </c>
      <c t="s">
        <v>32581</v>
      </c>
    </row>
    <row>
      <c t="s">
        <v>17594</v>
      </c>
      <c t="s">
        <v>30540</v>
      </c>
      <c t="s">
        <v>13812</v>
      </c>
      <c t="s">
        <v>28302</v>
      </c>
      <c t="s">
        <v>33435</v>
      </c>
      <c s="3">
        <v>31229</v>
      </c>
      <c s="3">
        <v>31229</v>
      </c>
      <c s="3">
        <v>9517</v>
      </c>
      <c>
        <v>0</v>
      </c>
      <c s="3">
        <v>0</v>
      </c>
      <c s="3">
        <v>766.59</v>
      </c>
      <c s="3">
        <v>31229</v>
      </c>
      <c r="O3166" s="1" t="str">
        <f ca="1">HYPERLINK("https://web.datatree.com/?/property?propertyId=33171313", "https://web.datatree.com/?/property?propertyId=33171313")</f>
        <v>https://web.datatree.com/?/property?propertyId=33171313</v>
      </c>
      <c r="Q3166" t="s">
        <v>316</v>
      </c>
      <c>
        <v>0.427</v>
      </c>
      <c t="s">
        <v>22490</v>
      </c>
      <c t="s">
        <v>2538</v>
      </c>
      <c t="s">
        <v>51368</v>
      </c>
      <c r="X3166" t="s">
        <v>61416</v>
      </c>
      <c t="s">
        <v>64331</v>
      </c>
      <c t="s">
        <v>2517</v>
      </c>
      <c t="s">
        <v>39289</v>
      </c>
      <c>
        <v>33909</v>
      </c>
      <c>
        <v>33909</v>
      </c>
      <c t="s">
        <v>48794</v>
      </c>
      <c t="s">
        <v>41172</v>
      </c>
      <c>
        <v>5335</v>
      </c>
      <c r="AI3166" t="s">
        <v>66749</v>
      </c>
      <c t="s">
        <v>31192</v>
      </c>
      <c>
        <v>120</v>
      </c>
      <c t="s">
        <v>9092</v>
      </c>
      <c r="AN3166" t="s">
        <v>18236</v>
      </c>
      <c t="s">
        <v>51392</v>
      </c>
      <c t="s">
        <v>1951</v>
      </c>
      <c t="s">
        <v>3093</v>
      </c>
      <c t="s">
        <v>41664</v>
      </c>
    </row>
    <row>
      <c t="s">
        <v>17594</v>
      </c>
      <c t="s">
        <v>4355</v>
      </c>
      <c t="s">
        <v>12969</v>
      </c>
      <c t="s">
        <v>1096</v>
      </c>
      <c t="s">
        <v>12892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3167" s="1" t="str">
        <f ca="1">HYPERLINK("https://web.datatree.com/?/property?propertyId=33171707", "https://web.datatree.com/?/property?propertyId=33171707")</f>
        <v>https://web.datatree.com/?/property?propertyId=33171707</v>
      </c>
      <c r="Q3167" t="s">
        <v>316</v>
      </c>
      <c>
        <v>0.229</v>
      </c>
      <c t="s">
        <v>6175</v>
      </c>
      <c t="s">
        <v>25238</v>
      </c>
      <c t="s">
        <v>59689</v>
      </c>
      <c r="X3167" t="s">
        <v>29752</v>
      </c>
      <c t="s">
        <v>34136</v>
      </c>
      <c t="s">
        <v>2517</v>
      </c>
      <c t="s">
        <v>39289</v>
      </c>
      <c>
        <v>33909</v>
      </c>
      <c t="s">
        <v>55921</v>
      </c>
      <c t="s">
        <v>48794</v>
      </c>
      <c t="s">
        <v>37314</v>
      </c>
      <c>
        <v>3553</v>
      </c>
      <c r="AI3167" t="s">
        <v>46872</v>
      </c>
      <c t="s">
        <v>31192</v>
      </c>
      <c r="AL3167" t="s">
        <v>11713</v>
      </c>
      <c r="AN3167" t="s">
        <v>39289</v>
      </c>
      <c t="s">
        <v>31524</v>
      </c>
      <c t="s">
        <v>636</v>
      </c>
      <c t="s">
        <v>3093</v>
      </c>
      <c t="s">
        <v>18720</v>
      </c>
    </row>
    <row>
      <c t="s">
        <v>17594</v>
      </c>
      <c t="s">
        <v>49545</v>
      </c>
      <c t="s">
        <v>24423</v>
      </c>
      <c t="s">
        <v>53063</v>
      </c>
      <c t="s">
        <v>9445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3168" s="1" t="str">
        <f ca="1">HYPERLINK("https://web.datatree.com/?/property?propertyId=33173445", "https://web.datatree.com/?/property?propertyId=33173445")</f>
        <v>https://web.datatree.com/?/property?propertyId=33173445</v>
      </c>
      <c r="Q3168" t="s">
        <v>316</v>
      </c>
      <c>
        <v>0.244</v>
      </c>
      <c t="s">
        <v>6175</v>
      </c>
      <c t="s">
        <v>54692</v>
      </c>
      <c t="s">
        <v>17303</v>
      </c>
      <c t="s">
        <v>16852</v>
      </c>
      <c t="s">
        <v>17303</v>
      </c>
      <c t="s">
        <v>65122</v>
      </c>
      <c t="s">
        <v>52171</v>
      </c>
      <c t="s">
        <v>2517</v>
      </c>
      <c t="s">
        <v>39289</v>
      </c>
      <c>
        <v>33909</v>
      </c>
      <c t="s">
        <v>52169</v>
      </c>
      <c t="s">
        <v>48794</v>
      </c>
      <c t="s">
        <v>49063</v>
      </c>
      <c>
        <v>70</v>
      </c>
      <c r="AI3168" t="s">
        <v>48388</v>
      </c>
      <c t="s">
        <v>24900</v>
      </c>
      <c r="AL3168" t="s">
        <v>61009</v>
      </c>
      <c r="AN3168" t="s">
        <v>26016</v>
      </c>
      <c t="s">
        <v>45511</v>
      </c>
      <c t="s">
        <v>54916</v>
      </c>
      <c t="s">
        <v>3093</v>
      </c>
      <c t="s">
        <v>58706</v>
      </c>
    </row>
    <row>
      <c t="s">
        <v>17594</v>
      </c>
      <c t="s">
        <v>17677</v>
      </c>
      <c t="s">
        <v>36764</v>
      </c>
      <c t="s">
        <v>51165</v>
      </c>
      <c t="s">
        <v>50817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169" s="1" t="str">
        <f ca="1">HYPERLINK("https://web.datatree.com/?/property?propertyId=33173949", "https://web.datatree.com/?/property?propertyId=33173949")</f>
        <v>https://web.datatree.com/?/property?propertyId=33173949</v>
      </c>
      <c r="Q3169" t="s">
        <v>316</v>
      </c>
      <c>
        <v>0.23</v>
      </c>
      <c t="s">
        <v>6175</v>
      </c>
      <c t="s">
        <v>8444</v>
      </c>
      <c t="s">
        <v>49570</v>
      </c>
      <c r="X3169" t="s">
        <v>29157</v>
      </c>
      <c t="s">
        <v>60363</v>
      </c>
      <c t="s">
        <v>2517</v>
      </c>
      <c t="s">
        <v>39289</v>
      </c>
      <c>
        <v>33909</v>
      </c>
      <c t="s">
        <v>15900</v>
      </c>
      <c t="s">
        <v>48794</v>
      </c>
      <c t="s">
        <v>7032</v>
      </c>
      <c>
        <v>4085</v>
      </c>
      <c r="AI3169" t="s">
        <v>8548</v>
      </c>
      <c t="s">
        <v>31192</v>
      </c>
      <c r="AL3169" t="s">
        <v>27398</v>
      </c>
      <c t="s">
        <v>66208</v>
      </c>
      <c t="s">
        <v>39289</v>
      </c>
      <c t="s">
        <v>42735</v>
      </c>
      <c t="s">
        <v>45980</v>
      </c>
      <c t="s">
        <v>3093</v>
      </c>
      <c t="s">
        <v>38692</v>
      </c>
    </row>
    <row>
      <c t="s">
        <v>17594</v>
      </c>
      <c t="s">
        <v>27235</v>
      </c>
      <c t="s">
        <v>44805</v>
      </c>
      <c t="s">
        <v>9146</v>
      </c>
      <c t="s">
        <v>44796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170" s="1" t="str">
        <f ca="1">HYPERLINK("https://web.datatree.com/?/property?propertyId=33174464", "https://web.datatree.com/?/property?propertyId=33174464")</f>
        <v>https://web.datatree.com/?/property?propertyId=33174464</v>
      </c>
      <c r="Q3170" t="s">
        <v>316</v>
      </c>
      <c>
        <v>0.239</v>
      </c>
      <c t="s">
        <v>5471</v>
      </c>
      <c r="U3170" t="s">
        <v>45201</v>
      </c>
      <c r="W3170" t="s">
        <v>2620</v>
      </c>
      <c t="s">
        <v>6174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12042</v>
      </c>
      <c>
        <v>18974</v>
      </c>
      <c r="AI3170" t="s">
        <v>56860</v>
      </c>
      <c t="s">
        <v>45393</v>
      </c>
      <c r="AL3170" t="s">
        <v>32131</v>
      </c>
      <c r="AN3170" t="s">
        <v>39289</v>
      </c>
      <c t="s">
        <v>66298</v>
      </c>
      <c t="s">
        <v>56648</v>
      </c>
      <c t="s">
        <v>3093</v>
      </c>
      <c t="s">
        <v>40995</v>
      </c>
    </row>
    <row>
      <c t="s">
        <v>17594</v>
      </c>
      <c t="s">
        <v>4569</v>
      </c>
      <c t="s">
        <v>45244</v>
      </c>
      <c t="s">
        <v>760</v>
      </c>
      <c t="s">
        <v>42656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3171" s="1" t="str">
        <f ca="1">HYPERLINK("https://web.datatree.com/?/property?propertyId=33174742", "https://web.datatree.com/?/property?propertyId=33174742")</f>
        <v>https://web.datatree.com/?/property?propertyId=33174742</v>
      </c>
      <c r="Q3171" t="s">
        <v>316</v>
      </c>
      <c>
        <v>0.23</v>
      </c>
      <c t="s">
        <v>45031</v>
      </c>
      <c t="s">
        <v>19357</v>
      </c>
      <c t="s">
        <v>42319</v>
      </c>
      <c t="s">
        <v>23659</v>
      </c>
      <c t="s">
        <v>42319</v>
      </c>
      <c t="s">
        <v>25298</v>
      </c>
      <c t="s">
        <v>22731</v>
      </c>
      <c t="s">
        <v>2517</v>
      </c>
      <c t="s">
        <v>39289</v>
      </c>
      <c>
        <v>33909</v>
      </c>
      <c t="s">
        <v>32436</v>
      </c>
      <c t="s">
        <v>48794</v>
      </c>
      <c t="s">
        <v>47335</v>
      </c>
      <c>
        <v>555</v>
      </c>
      <c r="AI3171" t="s">
        <v>6782</v>
      </c>
      <c t="s">
        <v>45393</v>
      </c>
      <c t="s">
        <v>18418</v>
      </c>
      <c t="s">
        <v>6144</v>
      </c>
      <c r="AN3171" t="s">
        <v>50917</v>
      </c>
      <c t="s">
        <v>8460</v>
      </c>
      <c t="s">
        <v>52393</v>
      </c>
      <c t="s">
        <v>3093</v>
      </c>
      <c t="s">
        <v>55448</v>
      </c>
    </row>
    <row>
      <c t="s">
        <v>17594</v>
      </c>
      <c t="s">
        <v>5432</v>
      </c>
      <c t="s">
        <v>59116</v>
      </c>
      <c t="s">
        <v>56493</v>
      </c>
      <c t="s">
        <v>55394</v>
      </c>
      <c s="3">
        <v>26290</v>
      </c>
      <c s="3">
        <v>26290</v>
      </c>
      <c s="3">
        <v>12650</v>
      </c>
      <c>
        <v>0</v>
      </c>
      <c s="3">
        <v>0</v>
      </c>
      <c s="3">
        <v>2972.83</v>
      </c>
      <c s="3">
        <v>26290</v>
      </c>
      <c r="O3172" s="1" t="str">
        <f ca="1">HYPERLINK("https://web.datatree.com/?/property?propertyId=33174908", "https://web.datatree.com/?/property?propertyId=33174908")</f>
        <v>https://web.datatree.com/?/property?propertyId=33174908</v>
      </c>
      <c r="Q3172" t="s">
        <v>316</v>
      </c>
      <c>
        <v>0.244</v>
      </c>
      <c t="s">
        <v>22490</v>
      </c>
      <c r="U3172" t="s">
        <v>46297</v>
      </c>
      <c r="W3172" t="s">
        <v>65067</v>
      </c>
      <c t="s">
        <v>46614</v>
      </c>
      <c t="s">
        <v>25017</v>
      </c>
      <c t="s">
        <v>2517</v>
      </c>
      <c t="s">
        <v>39289</v>
      </c>
      <c>
        <v>33909</v>
      </c>
      <c t="s">
        <v>51954</v>
      </c>
      <c t="s">
        <v>48794</v>
      </c>
      <c t="s">
        <v>46031</v>
      </c>
      <c>
        <v>4666</v>
      </c>
      <c r="AI3172" t="s">
        <v>34103</v>
      </c>
      <c t="s">
        <v>24900</v>
      </c>
      <c r="AL3172" t="s">
        <v>9092</v>
      </c>
      <c r="AN3172" t="s">
        <v>18236</v>
      </c>
      <c t="s">
        <v>54229</v>
      </c>
      <c t="s">
        <v>12241</v>
      </c>
      <c t="s">
        <v>3093</v>
      </c>
      <c t="s">
        <v>48008</v>
      </c>
    </row>
    <row>
      <c t="s">
        <v>17594</v>
      </c>
      <c t="s">
        <v>57113</v>
      </c>
      <c t="s">
        <v>20842</v>
      </c>
      <c t="s">
        <v>10177</v>
      </c>
      <c t="s">
        <v>13345</v>
      </c>
      <c s="3">
        <v>12544</v>
      </c>
      <c s="3">
        <v>12544</v>
      </c>
      <c s="3">
        <v>4972</v>
      </c>
      <c>
        <v>0</v>
      </c>
      <c s="3">
        <v>0</v>
      </c>
      <c s="3">
        <v>325.77</v>
      </c>
      <c s="3">
        <v>12544</v>
      </c>
      <c r="O3173" s="1" t="str">
        <f ca="1">HYPERLINK("https://web.datatree.com/?/property?propertyId=33175399", "https://web.datatree.com/?/property?propertyId=33175399")</f>
        <v>https://web.datatree.com/?/property?propertyId=33175399</v>
      </c>
      <c r="Q3173" t="s">
        <v>316</v>
      </c>
      <c>
        <v>0.305</v>
      </c>
      <c t="s">
        <v>37489</v>
      </c>
      <c t="s">
        <v>22466</v>
      </c>
      <c t="s">
        <v>10884</v>
      </c>
      <c r="X3173" t="s">
        <v>11954</v>
      </c>
      <c t="s">
        <v>65695</v>
      </c>
      <c t="s">
        <v>65059</v>
      </c>
      <c t="s">
        <v>39289</v>
      </c>
      <c>
        <v>33905</v>
      </c>
      <c t="s">
        <v>33993</v>
      </c>
      <c t="s">
        <v>48794</v>
      </c>
      <c t="s">
        <v>15942</v>
      </c>
      <c r="AI3173" t="s">
        <v>22549</v>
      </c>
      <c r="AL3173" t="s">
        <v>41110</v>
      </c>
      <c r="AN3173" t="s">
        <v>3034</v>
      </c>
      <c>
        <v>41564</v>
      </c>
      <c r="AR3173" t="s">
        <v>23533</v>
      </c>
    </row>
    <row>
      <c t="s">
        <v>17594</v>
      </c>
      <c t="s">
        <v>14652</v>
      </c>
      <c t="s">
        <v>34807</v>
      </c>
      <c t="s">
        <v>66381</v>
      </c>
      <c t="s">
        <v>29459</v>
      </c>
      <c s="3">
        <v>17154</v>
      </c>
      <c s="3">
        <v>17154</v>
      </c>
      <c s="3">
        <v>8470</v>
      </c>
      <c>
        <v>0</v>
      </c>
      <c s="3">
        <v>0</v>
      </c>
      <c s="3">
        <v>576.29</v>
      </c>
      <c s="3">
        <v>17154</v>
      </c>
      <c r="O3174" s="1" t="str">
        <f ca="1">HYPERLINK("https://web.datatree.com/?/property?propertyId=33176721", "https://web.datatree.com/?/property?propertyId=33176721")</f>
        <v>https://web.datatree.com/?/property?propertyId=33176721</v>
      </c>
      <c r="Q3174" t="s">
        <v>316</v>
      </c>
      <c>
        <v>0.239</v>
      </c>
      <c t="s">
        <v>6175</v>
      </c>
      <c t="s">
        <v>58276</v>
      </c>
      <c t="s">
        <v>33948</v>
      </c>
      <c r="X3174" t="s">
        <v>15579</v>
      </c>
      <c t="s">
        <v>46469</v>
      </c>
      <c t="s">
        <v>2517</v>
      </c>
      <c t="s">
        <v>39289</v>
      </c>
      <c>
        <v>33909</v>
      </c>
      <c t="s">
        <v>21617</v>
      </c>
      <c t="s">
        <v>48794</v>
      </c>
      <c t="s">
        <v>44611</v>
      </c>
      <c>
        <v>52</v>
      </c>
      <c r="AI3174" t="s">
        <v>13342</v>
      </c>
      <c t="s">
        <v>45393</v>
      </c>
      <c>
        <v>3</v>
      </c>
      <c t="s">
        <v>61009</v>
      </c>
      <c r="AN3174" t="s">
        <v>26016</v>
      </c>
      <c t="s">
        <v>11651</v>
      </c>
      <c t="s">
        <v>864</v>
      </c>
      <c t="s">
        <v>3093</v>
      </c>
      <c t="s">
        <v>29388</v>
      </c>
    </row>
    <row>
      <c t="s">
        <v>17594</v>
      </c>
      <c t="s">
        <v>39663</v>
      </c>
      <c t="s">
        <v>57678</v>
      </c>
      <c t="s">
        <v>11664</v>
      </c>
      <c t="s">
        <v>1717</v>
      </c>
      <c s="3">
        <v>60000</v>
      </c>
      <c s="3">
        <v>60000</v>
      </c>
      <c s="3">
        <v>46218</v>
      </c>
      <c>
        <v>0</v>
      </c>
      <c s="3">
        <v>0</v>
      </c>
      <c s="3">
        <v>1689.35</v>
      </c>
      <c s="3">
        <v>60000</v>
      </c>
      <c r="O3175" s="1" t="str">
        <f ca="1">HYPERLINK("https://web.datatree.com/?/property?propertyId=33178115", "https://web.datatree.com/?/property?propertyId=33178115")</f>
        <v>https://web.datatree.com/?/property?propertyId=33178115</v>
      </c>
      <c r="Q3175" t="s">
        <v>316</v>
      </c>
      <c>
        <v>0.459</v>
      </c>
      <c t="s">
        <v>6175</v>
      </c>
      <c t="s">
        <v>62125</v>
      </c>
      <c t="s">
        <v>66353</v>
      </c>
      <c t="s">
        <v>26663</v>
      </c>
      <c t="s">
        <v>66353</v>
      </c>
      <c t="s">
        <v>34707</v>
      </c>
      <c t="s">
        <v>15510</v>
      </c>
      <c t="s">
        <v>2517</v>
      </c>
      <c t="s">
        <v>39289</v>
      </c>
      <c>
        <v>33904</v>
      </c>
      <c t="s">
        <v>16901</v>
      </c>
      <c t="s">
        <v>48794</v>
      </c>
      <c t="s">
        <v>38486</v>
      </c>
      <c>
        <v>56</v>
      </c>
      <c r="AI3175" t="s">
        <v>50204</v>
      </c>
      <c t="s">
        <v>31192</v>
      </c>
      <c r="AL3175" t="s">
        <v>52505</v>
      </c>
      <c r="AN3175" t="s">
        <v>26016</v>
      </c>
      <c t="s">
        <v>27694</v>
      </c>
      <c t="s">
        <v>36802</v>
      </c>
      <c t="s">
        <v>3093</v>
      </c>
      <c t="s">
        <v>10132</v>
      </c>
    </row>
    <row>
      <c t="s">
        <v>17594</v>
      </c>
      <c t="s">
        <v>49739</v>
      </c>
      <c t="s">
        <v>23308</v>
      </c>
      <c t="s">
        <v>1331</v>
      </c>
      <c t="s">
        <v>52042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176" s="1" t="str">
        <f ca="1">HYPERLINK("https://web.datatree.com/?/property?propertyId=33178622", "https://web.datatree.com/?/property?propertyId=33178622")</f>
        <v>https://web.datatree.com/?/property?propertyId=33178622</v>
      </c>
      <c r="Q3176" t="s">
        <v>316</v>
      </c>
      <c>
        <v>0.23</v>
      </c>
      <c t="s">
        <v>6175</v>
      </c>
      <c t="s">
        <v>552</v>
      </c>
      <c t="s">
        <v>22507</v>
      </c>
      <c r="X3176" t="s">
        <v>5984</v>
      </c>
      <c t="s">
        <v>57064</v>
      </c>
      <c t="s">
        <v>2517</v>
      </c>
      <c t="s">
        <v>39289</v>
      </c>
      <c>
        <v>33909</v>
      </c>
      <c t="s">
        <v>19058</v>
      </c>
      <c t="s">
        <v>48794</v>
      </c>
      <c t="s">
        <v>17964</v>
      </c>
      <c>
        <v>1455</v>
      </c>
      <c r="AI3176" t="s">
        <v>47205</v>
      </c>
      <c t="s">
        <v>4985</v>
      </c>
      <c r="AL3176" t="s">
        <v>11713</v>
      </c>
      <c r="AN3176" t="s">
        <v>39289</v>
      </c>
      <c t="s">
        <v>47161</v>
      </c>
      <c t="s">
        <v>22455</v>
      </c>
      <c t="s">
        <v>3093</v>
      </c>
      <c t="s">
        <v>4818</v>
      </c>
    </row>
    <row>
      <c t="s">
        <v>17594</v>
      </c>
      <c t="s">
        <v>66385</v>
      </c>
      <c t="s">
        <v>2650</v>
      </c>
      <c t="s">
        <v>11048</v>
      </c>
      <c t="s">
        <v>56675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177" s="1" t="str">
        <f ca="1">HYPERLINK("https://web.datatree.com/?/property?propertyId=33178691", "https://web.datatree.com/?/property?propertyId=33178691")</f>
        <v>https://web.datatree.com/?/property?propertyId=33178691</v>
      </c>
      <c r="Q3177" t="s">
        <v>316</v>
      </c>
      <c>
        <v>0.23</v>
      </c>
      <c t="s">
        <v>22490</v>
      </c>
      <c r="U3177" t="s">
        <v>18896</v>
      </c>
      <c r="W3177" t="s">
        <v>60819</v>
      </c>
      <c t="s">
        <v>50110</v>
      </c>
      <c t="s">
        <v>25017</v>
      </c>
      <c t="s">
        <v>2517</v>
      </c>
      <c t="s">
        <v>39289</v>
      </c>
      <c>
        <v>33909</v>
      </c>
      <c t="s">
        <v>33712</v>
      </c>
      <c t="s">
        <v>48794</v>
      </c>
      <c t="s">
        <v>21086</v>
      </c>
      <c>
        <v>64</v>
      </c>
      <c r="AI3177" t="s">
        <v>60835</v>
      </c>
      <c t="s">
        <v>24900</v>
      </c>
      <c r="AL3177" t="s">
        <v>59017</v>
      </c>
      <c t="s">
        <v>56833</v>
      </c>
      <c t="s">
        <v>50917</v>
      </c>
      <c t="s">
        <v>22013</v>
      </c>
      <c t="s">
        <v>27780</v>
      </c>
      <c t="s">
        <v>3093</v>
      </c>
      <c t="s">
        <v>58064</v>
      </c>
    </row>
    <row>
      <c t="s">
        <v>17594</v>
      </c>
      <c t="s">
        <v>56528</v>
      </c>
      <c t="s">
        <v>5492</v>
      </c>
      <c t="s">
        <v>8821</v>
      </c>
      <c t="s">
        <v>60576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>
        <v>2021</v>
      </c>
      <c>
        <v>568.2</v>
      </c>
      <c s="1" t="str">
        <f ca="1">HYPERLINK("https://web.datatree.com/?/property?propertyId=33178693", "https://web.datatree.com/?/property?propertyId=33178693")</f>
        <v>https://web.datatree.com/?/property?propertyId=33178693</v>
      </c>
      <c r="Q3178" t="s">
        <v>316</v>
      </c>
      <c>
        <v>0.23</v>
      </c>
      <c t="s">
        <v>22490</v>
      </c>
      <c t="s">
        <v>2873</v>
      </c>
      <c t="s">
        <v>43605</v>
      </c>
      <c r="X3178" t="s">
        <v>23312</v>
      </c>
      <c t="s">
        <v>66701</v>
      </c>
      <c t="s">
        <v>2517</v>
      </c>
      <c t="s">
        <v>39289</v>
      </c>
      <c>
        <v>33909</v>
      </c>
      <c t="s">
        <v>52331</v>
      </c>
      <c t="s">
        <v>48794</v>
      </c>
      <c t="s">
        <v>39434</v>
      </c>
      <c>
        <v>212</v>
      </c>
      <c r="AI3178" t="s">
        <v>25652</v>
      </c>
      <c t="s">
        <v>45393</v>
      </c>
      <c r="AL3178" t="s">
        <v>2196</v>
      </c>
      <c r="AN3178" t="s">
        <v>36633</v>
      </c>
      <c t="s">
        <v>61322</v>
      </c>
      <c t="s">
        <v>33029</v>
      </c>
      <c t="s">
        <v>3093</v>
      </c>
      <c t="s">
        <v>48746</v>
      </c>
    </row>
    <row>
      <c t="s">
        <v>17594</v>
      </c>
      <c t="s">
        <v>39220</v>
      </c>
      <c t="s">
        <v>51616</v>
      </c>
      <c t="s">
        <v>21513</v>
      </c>
      <c t="s">
        <v>47646</v>
      </c>
      <c s="3">
        <v>23120</v>
      </c>
      <c s="3">
        <v>23120</v>
      </c>
      <c s="3">
        <v>9570</v>
      </c>
      <c>
        <v>0</v>
      </c>
      <c s="3">
        <v>0</v>
      </c>
      <c s="3">
        <v>608.02</v>
      </c>
      <c s="3">
        <v>23120</v>
      </c>
      <c r="O3179" s="1" t="str">
        <f ca="1">HYPERLINK("https://web.datatree.com/?/property?propertyId=33179301", "https://web.datatree.com/?/property?propertyId=33179301")</f>
        <v>https://web.datatree.com/?/property?propertyId=33179301</v>
      </c>
      <c r="Q3179" t="s">
        <v>316</v>
      </c>
      <c>
        <v>0.235</v>
      </c>
      <c t="s">
        <v>22490</v>
      </c>
      <c r="U3179" t="s">
        <v>1634</v>
      </c>
      <c r="W3179" t="s">
        <v>3854</v>
      </c>
      <c t="s">
        <v>14330</v>
      </c>
      <c t="s">
        <v>22731</v>
      </c>
      <c t="s">
        <v>2517</v>
      </c>
      <c t="s">
        <v>39289</v>
      </c>
      <c>
        <v>33909</v>
      </c>
      <c t="s">
        <v>35927</v>
      </c>
      <c t="s">
        <v>48794</v>
      </c>
      <c t="s">
        <v>13439</v>
      </c>
      <c>
        <v>6005</v>
      </c>
      <c r="AI3179" t="s">
        <v>34305</v>
      </c>
      <c t="s">
        <v>24900</v>
      </c>
      <c r="AL3179" t="s">
        <v>35792</v>
      </c>
      <c t="s">
        <v>35792</v>
      </c>
      <c t="s">
        <v>51087</v>
      </c>
      <c t="s">
        <v>26236</v>
      </c>
      <c t="s">
        <v>25140</v>
      </c>
      <c t="s">
        <v>3093</v>
      </c>
      <c t="s">
        <v>28666</v>
      </c>
    </row>
    <row>
      <c t="s">
        <v>17594</v>
      </c>
      <c t="s">
        <v>4164</v>
      </c>
      <c t="s">
        <v>24886</v>
      </c>
      <c t="s">
        <v>25497</v>
      </c>
      <c t="s">
        <v>44429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180" s="1" t="str">
        <f ca="1">HYPERLINK("https://web.datatree.com/?/property?propertyId=33179594", "https://web.datatree.com/?/property?propertyId=33179594")</f>
        <v>https://web.datatree.com/?/property?propertyId=33179594</v>
      </c>
      <c r="Q3180" t="s">
        <v>316</v>
      </c>
      <c>
        <v>0.23</v>
      </c>
      <c t="s">
        <v>6175</v>
      </c>
      <c t="s">
        <v>64030</v>
      </c>
      <c t="s">
        <v>59760</v>
      </c>
      <c t="s">
        <v>36226</v>
      </c>
      <c t="s">
        <v>20579</v>
      </c>
      <c t="s">
        <v>58261</v>
      </c>
      <c t="s">
        <v>33179</v>
      </c>
      <c t="s">
        <v>2517</v>
      </c>
      <c t="s">
        <v>39289</v>
      </c>
      <c>
        <v>33909</v>
      </c>
      <c t="s">
        <v>35900</v>
      </c>
      <c t="s">
        <v>48794</v>
      </c>
      <c t="s">
        <v>42719</v>
      </c>
      <c>
        <v>10461</v>
      </c>
      <c r="AI3180" t="s">
        <v>65816</v>
      </c>
      <c t="s">
        <v>39321</v>
      </c>
      <c r="AL3180" t="s">
        <v>51148</v>
      </c>
      <c t="s">
        <v>51148</v>
      </c>
      <c t="s">
        <v>39289</v>
      </c>
      <c t="s">
        <v>57677</v>
      </c>
      <c t="s">
        <v>60333</v>
      </c>
      <c t="s">
        <v>3093</v>
      </c>
      <c t="s">
        <v>21190</v>
      </c>
    </row>
    <row>
      <c t="s">
        <v>17594</v>
      </c>
      <c t="s">
        <v>63357</v>
      </c>
      <c t="s">
        <v>39404</v>
      </c>
      <c t="s">
        <v>29037</v>
      </c>
      <c t="s">
        <v>53140</v>
      </c>
      <c s="3">
        <v>1847</v>
      </c>
      <c s="3">
        <v>1847</v>
      </c>
      <c s="3">
        <v>1817</v>
      </c>
      <c>
        <v>0</v>
      </c>
      <c s="3">
        <v>0</v>
      </c>
      <c s="3">
        <v>22.68</v>
      </c>
      <c s="3">
        <v>1847</v>
      </c>
      <c r="O3181" s="1" t="str">
        <f ca="1">HYPERLINK("https://web.datatree.com/?/property?propertyId=33179767", "https://web.datatree.com/?/property?propertyId=33179767")</f>
        <v>https://web.datatree.com/?/property?propertyId=33179767</v>
      </c>
      <c r="Q3181" t="s">
        <v>316</v>
      </c>
      <c>
        <v>4.92</v>
      </c>
      <c t="s">
        <v>25079</v>
      </c>
      <c r="U3181" t="s">
        <v>3603</v>
      </c>
      <c r="W3181" t="s">
        <v>6879</v>
      </c>
      <c t="s">
        <v>54230</v>
      </c>
      <c t="s">
        <v>40083</v>
      </c>
      <c t="s">
        <v>65059</v>
      </c>
      <c t="s">
        <v>39289</v>
      </c>
      <c>
        <v>33908</v>
      </c>
      <c>
        <v>33908</v>
      </c>
      <c t="s">
        <v>48794</v>
      </c>
      <c t="s">
        <v>32925</v>
      </c>
      <c>
        <v>12345</v>
      </c>
      <c r="AI3181" t="s">
        <v>62827</v>
      </c>
      <c t="s">
        <v>20615</v>
      </c>
      <c>
        <v>212</v>
      </c>
      <c t="s">
        <v>2960</v>
      </c>
      <c r="AN3181" t="s">
        <v>14798</v>
      </c>
      <c t="s">
        <v>54919</v>
      </c>
      <c t="s">
        <v>8434</v>
      </c>
      <c t="s">
        <v>3093</v>
      </c>
      <c t="s">
        <v>36124</v>
      </c>
    </row>
    <row>
      <c t="s">
        <v>17594</v>
      </c>
      <c t="s">
        <v>29541</v>
      </c>
      <c t="s">
        <v>14064</v>
      </c>
      <c t="s">
        <v>43008</v>
      </c>
      <c t="s">
        <v>57016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182" s="1" t="str">
        <f ca="1">HYPERLINK("https://web.datatree.com/?/property?propertyId=33179776", "https://web.datatree.com/?/property?propertyId=33179776")</f>
        <v>https://web.datatree.com/?/property?propertyId=33179776</v>
      </c>
      <c r="Q3182" t="s">
        <v>316</v>
      </c>
      <c>
        <v>0.23</v>
      </c>
      <c t="s">
        <v>22490</v>
      </c>
      <c t="s">
        <v>26502</v>
      </c>
      <c t="s">
        <v>25399</v>
      </c>
      <c r="W3182" t="s">
        <v>21555</v>
      </c>
      <c t="s">
        <v>3995</v>
      </c>
      <c t="s">
        <v>39082</v>
      </c>
      <c t="s">
        <v>2517</v>
      </c>
      <c t="s">
        <v>39289</v>
      </c>
      <c>
        <v>33909</v>
      </c>
      <c t="s">
        <v>13353</v>
      </c>
      <c t="s">
        <v>48794</v>
      </c>
      <c t="s">
        <v>48988</v>
      </c>
      <c>
        <v>1105</v>
      </c>
      <c r="AH3182" t="s">
        <v>26580</v>
      </c>
      <c t="s">
        <v>56489</v>
      </c>
      <c r="AK3182" t="s">
        <v>25384</v>
      </c>
      <c t="s">
        <v>17648</v>
      </c>
      <c r="AN3182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39162</v>
      </c>
      <c t="s">
        <v>35270</v>
      </c>
      <c t="s">
        <v>66094</v>
      </c>
      <c t="s">
        <v>57745</v>
      </c>
      <c s="3">
        <v>25675</v>
      </c>
      <c s="3">
        <v>25675</v>
      </c>
      <c s="3">
        <v>11858</v>
      </c>
      <c>
        <v>0</v>
      </c>
      <c s="3">
        <v>0</v>
      </c>
      <c s="3">
        <v>736.97</v>
      </c>
      <c s="3">
        <v>25675</v>
      </c>
      <c r="O3183" s="1" t="str">
        <f ca="1">HYPERLINK("https://web.datatree.com/?/property?propertyId=33180190", "https://web.datatree.com/?/property?propertyId=33180190")</f>
        <v>https://web.datatree.com/?/property?propertyId=33180190</v>
      </c>
      <c r="Q3183" t="s">
        <v>316</v>
      </c>
      <c>
        <v>0.356</v>
      </c>
      <c t="s">
        <v>65422</v>
      </c>
      <c t="s">
        <v>64030</v>
      </c>
      <c t="s">
        <v>9592</v>
      </c>
      <c r="X3183" t="s">
        <v>58687</v>
      </c>
      <c t="s">
        <v>46469</v>
      </c>
      <c t="s">
        <v>2517</v>
      </c>
      <c t="s">
        <v>39289</v>
      </c>
      <c>
        <v>33909</v>
      </c>
      <c t="s">
        <v>15502</v>
      </c>
      <c t="s">
        <v>48794</v>
      </c>
      <c t="s">
        <v>49389</v>
      </c>
      <c>
        <v>2592</v>
      </c>
      <c r="AI3183" t="s">
        <v>39082</v>
      </c>
      <c t="s">
        <v>40123</v>
      </c>
      <c r="AL3183" t="s">
        <v>30396</v>
      </c>
      <c t="s">
        <v>30396</v>
      </c>
      <c t="s">
        <v>39289</v>
      </c>
      <c t="s">
        <v>16066</v>
      </c>
      <c t="s">
        <v>5652</v>
      </c>
      <c t="s">
        <v>3093</v>
      </c>
      <c t="s">
        <v>60572</v>
      </c>
    </row>
    <row>
      <c t="s">
        <v>17594</v>
      </c>
      <c t="s">
        <v>61750</v>
      </c>
      <c t="s">
        <v>46520</v>
      </c>
      <c t="s">
        <v>11458</v>
      </c>
      <c t="s">
        <v>40661</v>
      </c>
      <c s="3">
        <v>63949</v>
      </c>
      <c s="3">
        <v>63949</v>
      </c>
      <c s="3">
        <v>22824</v>
      </c>
      <c>
        <v>0</v>
      </c>
      <c s="3">
        <v>0</v>
      </c>
      <c s="3">
        <v>921.46</v>
      </c>
      <c s="3">
        <v>63949</v>
      </c>
      <c r="O3184" s="1" t="str">
        <f ca="1">HYPERLINK("https://web.datatree.com/?/property?propertyId=33181583", "https://web.datatree.com/?/property?propertyId=33181583")</f>
        <v>https://web.datatree.com/?/property?propertyId=33181583</v>
      </c>
      <c r="Q3184" t="s">
        <v>316</v>
      </c>
      <c>
        <v>0.23</v>
      </c>
      <c t="s">
        <v>6175</v>
      </c>
      <c t="s">
        <v>42212</v>
      </c>
      <c t="s">
        <v>8630</v>
      </c>
      <c r="X3184" t="s">
        <v>66016</v>
      </c>
      <c t="s">
        <v>15510</v>
      </c>
      <c t="s">
        <v>2517</v>
      </c>
      <c t="s">
        <v>39289</v>
      </c>
      <c>
        <v>33904</v>
      </c>
      <c t="s">
        <v>7375</v>
      </c>
      <c t="s">
        <v>48794</v>
      </c>
      <c t="s">
        <v>43405</v>
      </c>
      <c>
        <v>9</v>
      </c>
      <c r="AI3184" t="s">
        <v>45344</v>
      </c>
      <c t="s">
        <v>31192</v>
      </c>
      <c r="AL3184" t="s">
        <v>38860</v>
      </c>
      <c r="AN3184" t="s">
        <v>14509</v>
      </c>
      <c t="s">
        <v>18533</v>
      </c>
      <c t="s">
        <v>44428</v>
      </c>
      <c t="s">
        <v>3093</v>
      </c>
      <c t="s">
        <v>27745</v>
      </c>
    </row>
    <row>
      <c t="s">
        <v>17594</v>
      </c>
      <c t="s">
        <v>59919</v>
      </c>
      <c t="s">
        <v>60099</v>
      </c>
      <c t="s">
        <v>28482</v>
      </c>
      <c t="s">
        <v>47328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3185" s="1" t="str">
        <f ca="1">HYPERLINK("https://web.datatree.com/?/property?propertyId=33181635", "https://web.datatree.com/?/property?propertyId=33181635")</f>
        <v>https://web.datatree.com/?/property?propertyId=33181635</v>
      </c>
      <c r="Q3185" t="s">
        <v>316</v>
      </c>
      <c>
        <v>0.289</v>
      </c>
      <c t="s">
        <v>37489</v>
      </c>
      <c t="s">
        <v>44541</v>
      </c>
      <c t="s">
        <v>41141</v>
      </c>
      <c t="s">
        <v>21670</v>
      </c>
      <c t="s">
        <v>41141</v>
      </c>
      <c t="s">
        <v>33173</v>
      </c>
      <c t="s">
        <v>65695</v>
      </c>
      <c t="s">
        <v>65059</v>
      </c>
      <c t="s">
        <v>39289</v>
      </c>
      <c>
        <v>33905</v>
      </c>
      <c t="s">
        <v>35169</v>
      </c>
      <c t="s">
        <v>48794</v>
      </c>
      <c t="s">
        <v>47829</v>
      </c>
      <c>
        <v>3854</v>
      </c>
      <c r="AI3185" t="s">
        <v>29644</v>
      </c>
      <c t="s">
        <v>31192</v>
      </c>
      <c r="AL3185" t="s">
        <v>28219</v>
      </c>
      <c r="AN3185" t="s">
        <v>17134</v>
      </c>
      <c t="s">
        <v>17175</v>
      </c>
      <c t="s">
        <v>32746</v>
      </c>
      <c t="s">
        <v>3093</v>
      </c>
      <c t="s">
        <v>56064</v>
      </c>
    </row>
    <row>
      <c t="s">
        <v>17594</v>
      </c>
      <c t="s">
        <v>19885</v>
      </c>
      <c t="s">
        <v>60105</v>
      </c>
      <c t="s">
        <v>26451</v>
      </c>
      <c t="s">
        <v>44825</v>
      </c>
      <c s="3">
        <v>25947</v>
      </c>
      <c s="3">
        <v>25947</v>
      </c>
      <c s="3">
        <v>10395</v>
      </c>
      <c>
        <v>0</v>
      </c>
      <c s="3">
        <v>0</v>
      </c>
      <c s="3">
        <v>650.68</v>
      </c>
      <c s="3">
        <v>25947</v>
      </c>
      <c r="O3186" s="1" t="str">
        <f ca="1">HYPERLINK("https://web.datatree.com/?/property?propertyId=33181848", "https://web.datatree.com/?/property?propertyId=33181848")</f>
        <v>https://web.datatree.com/?/property?propertyId=33181848</v>
      </c>
      <c r="Q3186" t="s">
        <v>316</v>
      </c>
      <c>
        <v>0.262</v>
      </c>
      <c t="s">
        <v>22490</v>
      </c>
      <c t="s">
        <v>35852</v>
      </c>
      <c t="s">
        <v>23047</v>
      </c>
      <c r="X3186" t="s">
        <v>65588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40153</v>
      </c>
      <c>
        <v>1231</v>
      </c>
      <c r="AI3186" t="s">
        <v>55811</v>
      </c>
      <c t="s">
        <v>45620</v>
      </c>
      <c r="AL3186" t="s">
        <v>6722</v>
      </c>
      <c r="AN3186" t="s">
        <v>51087</v>
      </c>
      <c t="s">
        <v>38512</v>
      </c>
      <c t="s">
        <v>702</v>
      </c>
      <c t="s">
        <v>3093</v>
      </c>
      <c t="s">
        <v>64235</v>
      </c>
    </row>
    <row>
      <c t="s">
        <v>17594</v>
      </c>
      <c t="s">
        <v>20177</v>
      </c>
      <c t="s">
        <v>30313</v>
      </c>
      <c t="s">
        <v>3959</v>
      </c>
      <c t="s">
        <v>6743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187" s="1" t="str">
        <f ca="1">HYPERLINK("https://web.datatree.com/?/property?propertyId=33182081", "https://web.datatree.com/?/property?propertyId=33182081")</f>
        <v>https://web.datatree.com/?/property?propertyId=33182081</v>
      </c>
      <c r="Q3187" t="s">
        <v>316</v>
      </c>
      <c>
        <v>0.23</v>
      </c>
      <c t="s">
        <v>22490</v>
      </c>
      <c t="s">
        <v>64470</v>
      </c>
      <c t="s">
        <v>32991</v>
      </c>
      <c r="X3187" t="s">
        <v>27237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22570</v>
      </c>
      <c>
        <v>1718</v>
      </c>
      <c r="AI3187" t="s">
        <v>13255</v>
      </c>
      <c t="s">
        <v>24900</v>
      </c>
      <c r="AL3187" t="s">
        <v>9485</v>
      </c>
      <c t="s">
        <v>9485</v>
      </c>
      <c t="s">
        <v>6919</v>
      </c>
      <c t="s">
        <v>13565</v>
      </c>
      <c t="s">
        <v>3364</v>
      </c>
      <c t="s">
        <v>3093</v>
      </c>
      <c t="s">
        <v>9699</v>
      </c>
    </row>
    <row>
      <c t="s">
        <v>17594</v>
      </c>
      <c t="s">
        <v>49237</v>
      </c>
      <c t="s">
        <v>50946</v>
      </c>
      <c t="s">
        <v>61855</v>
      </c>
      <c t="s">
        <v>51692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3188" s="1" t="str">
        <f ca="1">HYPERLINK("https://web.datatree.com/?/property?propertyId=33182357", "https://web.datatree.com/?/property?propertyId=33182357")</f>
        <v>https://web.datatree.com/?/property?propertyId=33182357</v>
      </c>
      <c r="Q3188" t="s">
        <v>316</v>
      </c>
      <c>
        <v>0.23</v>
      </c>
      <c t="s">
        <v>6175</v>
      </c>
      <c t="s">
        <v>22679</v>
      </c>
      <c t="s">
        <v>12671</v>
      </c>
      <c r="X3188" t="s">
        <v>30515</v>
      </c>
      <c t="s">
        <v>25017</v>
      </c>
      <c t="s">
        <v>2517</v>
      </c>
      <c t="s">
        <v>39289</v>
      </c>
      <c>
        <v>33909</v>
      </c>
      <c t="s">
        <v>39824</v>
      </c>
      <c t="s">
        <v>48794</v>
      </c>
      <c t="s">
        <v>55730</v>
      </c>
      <c>
        <v>3</v>
      </c>
      <c r="AI3188" t="s">
        <v>3124</v>
      </c>
      <c t="s">
        <v>31192</v>
      </c>
      <c r="AL3188" t="s">
        <v>58736</v>
      </c>
      <c t="s">
        <v>58736</v>
      </c>
      <c t="s">
        <v>17331</v>
      </c>
      <c t="s">
        <v>46094</v>
      </c>
      <c t="s">
        <v>22302</v>
      </c>
      <c t="s">
        <v>3093</v>
      </c>
      <c t="s">
        <v>20653</v>
      </c>
    </row>
    <row>
      <c t="s">
        <v>17594</v>
      </c>
      <c t="s">
        <v>65532</v>
      </c>
      <c t="s">
        <v>22532</v>
      </c>
      <c t="s">
        <v>35620</v>
      </c>
      <c t="s">
        <v>11057</v>
      </c>
      <c s="3">
        <v>74599</v>
      </c>
      <c s="3">
        <v>67250</v>
      </c>
      <c s="3">
        <v>70784</v>
      </c>
      <c>
        <v>0</v>
      </c>
      <c s="3">
        <v>0</v>
      </c>
      <c s="3">
        <v>1085.84</v>
      </c>
      <c s="3">
        <v>74599</v>
      </c>
      <c r="O3189" s="1" t="str">
        <f ca="1">HYPERLINK("https://web.datatree.com/?/property?propertyId=33182400", "https://web.datatree.com/?/property?propertyId=33182400")</f>
        <v>https://web.datatree.com/?/property?propertyId=33182400</v>
      </c>
      <c r="Q3189" t="s">
        <v>316</v>
      </c>
      <c>
        <v>0.097</v>
      </c>
      <c t="s">
        <v>26492</v>
      </c>
      <c r="U3189" t="s">
        <v>9642</v>
      </c>
      <c t="s">
        <v>31646</v>
      </c>
      <c t="s">
        <v>27937</v>
      </c>
      <c t="s">
        <v>8257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42262</v>
      </c>
      <c r="AI3189" t="s">
        <v>12228</v>
      </c>
      <c r="AL3189" t="s">
        <v>53681</v>
      </c>
      <c t="s">
        <v>40227</v>
      </c>
      <c t="s">
        <v>51087</v>
      </c>
      <c>
        <v>22714</v>
      </c>
      <c t="s">
        <v>30106</v>
      </c>
      <c t="s">
        <v>3093</v>
      </c>
      <c t="s">
        <v>16587</v>
      </c>
    </row>
    <row>
      <c t="s">
        <v>17594</v>
      </c>
      <c t="s">
        <v>38594</v>
      </c>
      <c t="s">
        <v>17880</v>
      </c>
      <c t="s">
        <v>21767</v>
      </c>
      <c t="s">
        <v>61741</v>
      </c>
      <c s="3">
        <v>36210</v>
      </c>
      <c s="3">
        <v>36210</v>
      </c>
      <c s="3">
        <v>9339</v>
      </c>
      <c>
        <v>0</v>
      </c>
      <c s="3">
        <v>0</v>
      </c>
      <c s="3">
        <v>679.37</v>
      </c>
      <c s="3">
        <v>36210</v>
      </c>
      <c>
        <v>2020</v>
      </c>
      <c>
        <v>1910.14</v>
      </c>
      <c s="1" t="str">
        <f ca="1">HYPERLINK("https://web.datatree.com/?/property?propertyId=33182782", "https://web.datatree.com/?/property?propertyId=33182782")</f>
        <v>https://web.datatree.com/?/property?propertyId=33182782</v>
      </c>
      <c r="Q3190" t="s">
        <v>316</v>
      </c>
      <c>
        <v>0.248</v>
      </c>
      <c t="s">
        <v>65422</v>
      </c>
      <c t="s">
        <v>2681</v>
      </c>
      <c t="s">
        <v>3164</v>
      </c>
      <c t="s">
        <v>60905</v>
      </c>
      <c t="s">
        <v>38346</v>
      </c>
      <c t="s">
        <v>48936</v>
      </c>
      <c t="s">
        <v>7113</v>
      </c>
      <c t="s">
        <v>2517</v>
      </c>
      <c t="s">
        <v>39289</v>
      </c>
      <c>
        <v>33909</v>
      </c>
      <c t="s">
        <v>61754</v>
      </c>
      <c t="s">
        <v>48794</v>
      </c>
      <c t="s">
        <v>58873</v>
      </c>
      <c>
        <v>711</v>
      </c>
      <c r="AI3190" t="s">
        <v>40265</v>
      </c>
      <c t="s">
        <v>45393</v>
      </c>
      <c r="AL3190" t="s">
        <v>6799</v>
      </c>
      <c r="AN3190" t="s">
        <v>50917</v>
      </c>
      <c t="s">
        <v>31815</v>
      </c>
      <c t="s">
        <v>19978</v>
      </c>
      <c t="s">
        <v>3093</v>
      </c>
      <c t="s">
        <v>11262</v>
      </c>
    </row>
    <row>
      <c t="s">
        <v>17594</v>
      </c>
      <c t="s">
        <v>4956</v>
      </c>
      <c t="s">
        <v>59625</v>
      </c>
      <c t="s">
        <v>11569</v>
      </c>
      <c t="s">
        <v>18235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 r="O3191" s="1" t="str">
        <f ca="1">HYPERLINK("https://web.datatree.com/?/property?propertyId=33182842", "https://web.datatree.com/?/property?propertyId=33182842")</f>
        <v>https://web.datatree.com/?/property?propertyId=33182842</v>
      </c>
      <c r="Q3191" t="s">
        <v>316</v>
      </c>
      <c>
        <v>0.243</v>
      </c>
      <c t="s">
        <v>5471</v>
      </c>
      <c t="s">
        <v>66812</v>
      </c>
      <c t="s">
        <v>54541</v>
      </c>
      <c t="s">
        <v>66812</v>
      </c>
      <c t="s">
        <v>54541</v>
      </c>
      <c t="s">
        <v>65663</v>
      </c>
      <c t="s">
        <v>2642</v>
      </c>
      <c t="s">
        <v>65059</v>
      </c>
      <c t="s">
        <v>39289</v>
      </c>
      <c>
        <v>33905</v>
      </c>
      <c t="s">
        <v>51923</v>
      </c>
      <c t="s">
        <v>48794</v>
      </c>
      <c t="s">
        <v>55732</v>
      </c>
      <c>
        <v>4501</v>
      </c>
      <c r="AI3191" t="s">
        <v>19732</v>
      </c>
      <c t="s">
        <v>24900</v>
      </c>
      <c r="AL3191" t="s">
        <v>55393</v>
      </c>
      <c t="s">
        <v>4897</v>
      </c>
      <c t="s">
        <v>39289</v>
      </c>
      <c t="s">
        <v>9613</v>
      </c>
      <c t="s">
        <v>66620</v>
      </c>
      <c t="s">
        <v>3093</v>
      </c>
      <c t="s">
        <v>37414</v>
      </c>
    </row>
    <row>
      <c t="s">
        <v>17594</v>
      </c>
      <c t="s">
        <v>44997</v>
      </c>
      <c t="s">
        <v>4201</v>
      </c>
      <c t="s">
        <v>50101</v>
      </c>
      <c t="s">
        <v>61400</v>
      </c>
      <c s="3">
        <v>8500</v>
      </c>
      <c s="3">
        <v>8500</v>
      </c>
      <c s="3">
        <v>8500</v>
      </c>
      <c>
        <v>0</v>
      </c>
      <c s="3">
        <v>0</v>
      </c>
      <c s="3">
        <v>3062.96</v>
      </c>
      <c s="3">
        <v>8500</v>
      </c>
      <c>
        <v>2021</v>
      </c>
      <c>
        <v>3357.71</v>
      </c>
      <c s="1" t="str">
        <f ca="1">HYPERLINK("https://web.datatree.com/?/property?propertyId=33182961", "https://web.datatree.com/?/property?propertyId=33182961")</f>
        <v>https://web.datatree.com/?/property?propertyId=33182961</v>
      </c>
      <c r="Q3192" t="s">
        <v>316</v>
      </c>
      <c>
        <v>0.27</v>
      </c>
      <c t="s">
        <v>6175</v>
      </c>
      <c t="s">
        <v>15284</v>
      </c>
      <c t="s">
        <v>45794</v>
      </c>
      <c t="s">
        <v>19996</v>
      </c>
      <c t="s">
        <v>40283</v>
      </c>
      <c t="s">
        <v>10425</v>
      </c>
      <c t="s">
        <v>61850</v>
      </c>
      <c t="s">
        <v>2517</v>
      </c>
      <c t="s">
        <v>39289</v>
      </c>
      <c>
        <v>33909</v>
      </c>
      <c t="s">
        <v>2003</v>
      </c>
      <c t="s">
        <v>48794</v>
      </c>
      <c t="s">
        <v>32020</v>
      </c>
      <c>
        <v>702</v>
      </c>
      <c r="AI3192" t="s">
        <v>61784</v>
      </c>
      <c t="s">
        <v>24900</v>
      </c>
      <c r="AL3192" t="s">
        <v>43081</v>
      </c>
      <c t="s">
        <v>43081</v>
      </c>
      <c t="s">
        <v>14798</v>
      </c>
      <c t="s">
        <v>65372</v>
      </c>
      <c t="s">
        <v>4480</v>
      </c>
      <c t="s">
        <v>3093</v>
      </c>
      <c t="s">
        <v>51085</v>
      </c>
    </row>
    <row>
      <c t="s">
        <v>17594</v>
      </c>
      <c t="s">
        <v>2989</v>
      </c>
      <c t="s">
        <v>66160</v>
      </c>
      <c t="s">
        <v>4994</v>
      </c>
      <c t="s">
        <v>49504</v>
      </c>
      <c s="3">
        <v>71355</v>
      </c>
      <c s="3">
        <v>63500</v>
      </c>
      <c s="3">
        <v>69412</v>
      </c>
      <c>
        <v>0</v>
      </c>
      <c s="3">
        <v>0</v>
      </c>
      <c s="3">
        <v>1054.89</v>
      </c>
      <c s="3">
        <v>71355</v>
      </c>
      <c r="O3193" s="1" t="str">
        <f ca="1">HYPERLINK("https://web.datatree.com/?/property?propertyId=33183360", "https://web.datatree.com/?/property?propertyId=33183360")</f>
        <v>https://web.datatree.com/?/property?propertyId=33183360</v>
      </c>
      <c r="Q3193" t="s">
        <v>316</v>
      </c>
      <c>
        <v>0.095</v>
      </c>
      <c t="s">
        <v>26492</v>
      </c>
      <c t="s">
        <v>45883</v>
      </c>
      <c t="s">
        <v>42294</v>
      </c>
      <c t="s">
        <v>58703</v>
      </c>
      <c t="s">
        <v>39840</v>
      </c>
      <c t="s">
        <v>46193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2226</v>
      </c>
      <c>
        <v>414</v>
      </c>
      <c r="AI3193" t="s">
        <v>4194</v>
      </c>
      <c t="s">
        <v>31192</v>
      </c>
      <c r="AL3193" t="s">
        <v>49179</v>
      </c>
      <c t="s">
        <v>49179</v>
      </c>
      <c t="s">
        <v>10804</v>
      </c>
      <c t="s">
        <v>64335</v>
      </c>
      <c t="s">
        <v>60160</v>
      </c>
      <c t="s">
        <v>3093</v>
      </c>
      <c t="s">
        <v>56813</v>
      </c>
    </row>
    <row>
      <c t="s">
        <v>17594</v>
      </c>
      <c t="s">
        <v>57195</v>
      </c>
      <c t="s">
        <v>41069</v>
      </c>
      <c t="s">
        <v>46200</v>
      </c>
      <c t="s">
        <v>6140</v>
      </c>
      <c s="3">
        <v>22032</v>
      </c>
      <c s="3">
        <v>22032</v>
      </c>
      <c s="3">
        <v>15730</v>
      </c>
      <c>
        <v>0</v>
      </c>
      <c s="3">
        <v>0</v>
      </c>
      <c s="3">
        <v>266.59</v>
      </c>
      <c s="3">
        <v>22032</v>
      </c>
      <c r="O3194" s="1" t="str">
        <f ca="1">HYPERLINK("https://web.datatree.com/?/property?propertyId=33183378", "https://web.datatree.com/?/property?propertyId=33183378")</f>
        <v>https://web.datatree.com/?/property?propertyId=33183378</v>
      </c>
      <c r="Q3194" t="s">
        <v>316</v>
      </c>
      <c>
        <v>0.321</v>
      </c>
      <c t="s">
        <v>5471</v>
      </c>
      <c t="s">
        <v>1995</v>
      </c>
      <c t="s">
        <v>60067</v>
      </c>
      <c t="s">
        <v>14104</v>
      </c>
      <c t="s">
        <v>49098</v>
      </c>
      <c t="s">
        <v>24445</v>
      </c>
      <c t="s">
        <v>57759</v>
      </c>
      <c t="s">
        <v>54524</v>
      </c>
      <c t="s">
        <v>39289</v>
      </c>
      <c>
        <v>33903</v>
      </c>
      <c t="s">
        <v>30581</v>
      </c>
      <c t="s">
        <v>48794</v>
      </c>
      <c t="s">
        <v>58978</v>
      </c>
      <c>
        <v>16</v>
      </c>
      <c r="AI3194" t="s">
        <v>43773</v>
      </c>
      <c t="s">
        <v>31192</v>
      </c>
      <c r="AL3194" t="s">
        <v>33671</v>
      </c>
      <c r="AN3194" t="s">
        <v>27747</v>
      </c>
      <c t="s">
        <v>10304</v>
      </c>
      <c t="s">
        <v>22455</v>
      </c>
      <c t="s">
        <v>3093</v>
      </c>
      <c t="s">
        <v>59922</v>
      </c>
    </row>
    <row>
      <c t="s">
        <v>17594</v>
      </c>
      <c t="s">
        <v>1418</v>
      </c>
      <c t="s">
        <v>57622</v>
      </c>
      <c t="s">
        <v>62270</v>
      </c>
      <c t="s">
        <v>26292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3195" s="1" t="str">
        <f ca="1">HYPERLINK("https://web.datatree.com/?/property?propertyId=33183558", "https://web.datatree.com/?/property?propertyId=33183558")</f>
        <v>https://web.datatree.com/?/property?propertyId=33183558</v>
      </c>
      <c r="Q3195" t="s">
        <v>316</v>
      </c>
      <c>
        <v>0.244</v>
      </c>
      <c t="s">
        <v>6175</v>
      </c>
      <c t="s">
        <v>10361</v>
      </c>
      <c t="s">
        <v>48386</v>
      </c>
      <c t="s">
        <v>38445</v>
      </c>
      <c t="s">
        <v>48386</v>
      </c>
      <c t="s">
        <v>63855</v>
      </c>
      <c t="s">
        <v>13829</v>
      </c>
      <c t="s">
        <v>2517</v>
      </c>
      <c t="s">
        <v>39289</v>
      </c>
      <c>
        <v>33909</v>
      </c>
      <c t="s">
        <v>63226</v>
      </c>
      <c t="s">
        <v>48794</v>
      </c>
      <c t="s">
        <v>12926</v>
      </c>
      <c>
        <v>90</v>
      </c>
      <c r="AI3195" t="s">
        <v>53366</v>
      </c>
      <c t="s">
        <v>31192</v>
      </c>
      <c r="AL3195" t="s">
        <v>17397</v>
      </c>
      <c r="AN3195" t="s">
        <v>22275</v>
      </c>
      <c t="s">
        <v>1006</v>
      </c>
      <c t="s">
        <v>48506</v>
      </c>
      <c t="s">
        <v>3093</v>
      </c>
      <c t="s">
        <v>2228</v>
      </c>
    </row>
    <row>
      <c t="s">
        <v>17594</v>
      </c>
      <c t="s">
        <v>50680</v>
      </c>
      <c t="s">
        <v>40657</v>
      </c>
      <c t="s">
        <v>41231</v>
      </c>
      <c t="s">
        <v>51843</v>
      </c>
      <c s="3">
        <v>41248</v>
      </c>
      <c s="3">
        <v>41248</v>
      </c>
      <c s="3">
        <v>41248</v>
      </c>
      <c>
        <v>0</v>
      </c>
      <c s="3">
        <v>0</v>
      </c>
      <c s="3">
        <v>1127.08</v>
      </c>
      <c s="3">
        <v>41248</v>
      </c>
      <c r="O3196" s="1" t="str">
        <f ca="1">HYPERLINK("https://web.datatree.com/?/property?propertyId=33184751", "https://web.datatree.com/?/property?propertyId=33184751")</f>
        <v>https://web.datatree.com/?/property?propertyId=33184751</v>
      </c>
      <c r="Q3196" t="s">
        <v>316</v>
      </c>
      <c>
        <v>0.23</v>
      </c>
      <c t="s">
        <v>22490</v>
      </c>
      <c t="s">
        <v>58492</v>
      </c>
      <c t="s">
        <v>46830</v>
      </c>
      <c r="X3196" t="s">
        <v>3807</v>
      </c>
      <c t="s">
        <v>29190</v>
      </c>
      <c t="s">
        <v>2517</v>
      </c>
      <c t="s">
        <v>39289</v>
      </c>
      <c>
        <v>33909</v>
      </c>
      <c t="s">
        <v>32241</v>
      </c>
      <c t="s">
        <v>48794</v>
      </c>
      <c t="s">
        <v>41651</v>
      </c>
      <c>
        <v>773</v>
      </c>
      <c r="AI3196" t="s">
        <v>23132</v>
      </c>
      <c t="s">
        <v>39321</v>
      </c>
      <c r="AL3196" t="s">
        <v>35792</v>
      </c>
      <c r="AN3196" t="s">
        <v>22275</v>
      </c>
      <c t="s">
        <v>11964</v>
      </c>
      <c t="s">
        <v>61410</v>
      </c>
      <c t="s">
        <v>3093</v>
      </c>
      <c t="s">
        <v>65687</v>
      </c>
    </row>
    <row>
      <c t="s">
        <v>17594</v>
      </c>
      <c t="s">
        <v>21140</v>
      </c>
      <c t="s">
        <v>63076</v>
      </c>
      <c t="s">
        <v>39920</v>
      </c>
      <c t="s">
        <v>14762</v>
      </c>
      <c s="3">
        <v>19712</v>
      </c>
      <c s="3">
        <v>19712</v>
      </c>
      <c s="3">
        <v>6839</v>
      </c>
      <c>
        <v>0</v>
      </c>
      <c s="3">
        <v>0</v>
      </c>
      <c s="3">
        <v>387.96</v>
      </c>
      <c s="3">
        <v>19712</v>
      </c>
      <c r="O3197" s="1" t="str">
        <f ca="1">HYPERLINK("https://web.datatree.com/?/property?propertyId=33184877", "https://web.datatree.com/?/property?propertyId=33184877")</f>
        <v>https://web.datatree.com/?/property?propertyId=33184877</v>
      </c>
      <c r="Q3197" t="s">
        <v>316</v>
      </c>
      <c>
        <v>0.391</v>
      </c>
      <c t="s">
        <v>37489</v>
      </c>
      <c t="s">
        <v>56484</v>
      </c>
      <c t="s">
        <v>53539</v>
      </c>
      <c r="X3197" t="s">
        <v>45719</v>
      </c>
      <c t="s">
        <v>18019</v>
      </c>
      <c t="s">
        <v>65059</v>
      </c>
      <c t="s">
        <v>39289</v>
      </c>
      <c>
        <v>33905</v>
      </c>
      <c t="s">
        <v>58985</v>
      </c>
      <c t="s">
        <v>48794</v>
      </c>
      <c t="s">
        <v>38887</v>
      </c>
      <c>
        <v>3</v>
      </c>
      <c r="AI3197" t="s">
        <v>58880</v>
      </c>
      <c t="s">
        <v>40123</v>
      </c>
      <c r="AL3197" t="s">
        <v>35238</v>
      </c>
      <c r="AN3197" t="s">
        <v>27747</v>
      </c>
      <c t="s">
        <v>44017</v>
      </c>
      <c t="s">
        <v>14695</v>
      </c>
      <c t="s">
        <v>3093</v>
      </c>
      <c t="s">
        <v>41305</v>
      </c>
    </row>
    <row>
      <c t="s">
        <v>17594</v>
      </c>
      <c t="s">
        <v>52925</v>
      </c>
      <c t="s">
        <v>11859</v>
      </c>
      <c t="s">
        <v>55465</v>
      </c>
      <c t="s">
        <v>64204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198" s="1" t="str">
        <f ca="1">HYPERLINK("https://web.datatree.com/?/property?propertyId=33185008", "https://web.datatree.com/?/property?propertyId=33185008")</f>
        <v>https://web.datatree.com/?/property?propertyId=33185008</v>
      </c>
      <c r="Q3198" t="s">
        <v>316</v>
      </c>
      <c>
        <v>0.23</v>
      </c>
      <c t="s">
        <v>42044</v>
      </c>
      <c t="s">
        <v>24179</v>
      </c>
      <c t="s">
        <v>31813</v>
      </c>
      <c t="s">
        <v>38445</v>
      </c>
      <c t="s">
        <v>31813</v>
      </c>
      <c t="s">
        <v>20978</v>
      </c>
      <c t="s">
        <v>13478</v>
      </c>
      <c t="s">
        <v>2517</v>
      </c>
      <c t="s">
        <v>39289</v>
      </c>
      <c>
        <v>33909</v>
      </c>
      <c t="s">
        <v>4110</v>
      </c>
      <c t="s">
        <v>48794</v>
      </c>
      <c t="s">
        <v>37501</v>
      </c>
      <c>
        <v>11923</v>
      </c>
      <c r="AI3198" t="s">
        <v>10653</v>
      </c>
      <c t="s">
        <v>39321</v>
      </c>
      <c r="AL3198" t="s">
        <v>55393</v>
      </c>
      <c t="s">
        <v>51647</v>
      </c>
      <c t="s">
        <v>39289</v>
      </c>
      <c t="s">
        <v>36732</v>
      </c>
      <c t="s">
        <v>13610</v>
      </c>
      <c t="s">
        <v>3093</v>
      </c>
      <c t="s">
        <v>1456</v>
      </c>
    </row>
    <row>
      <c t="s">
        <v>17594</v>
      </c>
      <c t="s">
        <v>24154</v>
      </c>
      <c t="s">
        <v>35778</v>
      </c>
      <c t="s">
        <v>61203</v>
      </c>
      <c t="s">
        <v>3079</v>
      </c>
      <c s="3">
        <v>20399</v>
      </c>
      <c s="3">
        <v>20399</v>
      </c>
      <c s="3">
        <v>9599</v>
      </c>
      <c>
        <v>0</v>
      </c>
      <c s="3">
        <v>0</v>
      </c>
      <c s="3">
        <v>662.12</v>
      </c>
      <c s="3">
        <v>20399</v>
      </c>
      <c r="O3199" s="1" t="str">
        <f ca="1">HYPERLINK("https://web.datatree.com/?/property?propertyId=33185695", "https://web.datatree.com/?/property?propertyId=33185695")</f>
        <v>https://web.datatree.com/?/property?propertyId=33185695</v>
      </c>
      <c r="Q3199" t="s">
        <v>316</v>
      </c>
      <c>
        <v>0.344</v>
      </c>
      <c t="s">
        <v>54449</v>
      </c>
      <c t="s">
        <v>6294</v>
      </c>
      <c t="s">
        <v>796</v>
      </c>
      <c r="X3199" t="s">
        <v>12235</v>
      </c>
      <c t="s">
        <v>38550</v>
      </c>
      <c t="s">
        <v>2517</v>
      </c>
      <c t="s">
        <v>39289</v>
      </c>
      <c>
        <v>33909</v>
      </c>
      <c t="s">
        <v>57095</v>
      </c>
      <c t="s">
        <v>48794</v>
      </c>
      <c t="s">
        <v>45202</v>
      </c>
      <c>
        <v>940</v>
      </c>
      <c r="AI3199" t="s">
        <v>46813</v>
      </c>
      <c t="s">
        <v>31192</v>
      </c>
      <c r="AL3199" t="s">
        <v>40262</v>
      </c>
      <c r="AN3199" t="s">
        <v>10804</v>
      </c>
      <c t="s">
        <v>37927</v>
      </c>
      <c t="s">
        <v>15686</v>
      </c>
      <c t="s">
        <v>3093</v>
      </c>
      <c t="s">
        <v>61263</v>
      </c>
    </row>
    <row>
      <c t="s">
        <v>17594</v>
      </c>
      <c t="s">
        <v>29837</v>
      </c>
      <c t="s">
        <v>6774</v>
      </c>
      <c t="s">
        <v>23901</v>
      </c>
      <c t="s">
        <v>54233</v>
      </c>
      <c s="3">
        <v>122100</v>
      </c>
      <c s="3">
        <v>122100</v>
      </c>
      <c s="3">
        <v>116923</v>
      </c>
      <c>
        <v>0</v>
      </c>
      <c s="3">
        <v>0</v>
      </c>
      <c s="3">
        <v>1633.16</v>
      </c>
      <c s="3">
        <v>122100</v>
      </c>
      <c r="O3200" s="1" t="str">
        <f ca="1">HYPERLINK("https://web.datatree.com/?/property?propertyId=33186360", "https://web.datatree.com/?/property?propertyId=33186360")</f>
        <v>https://web.datatree.com/?/property?propertyId=33186360</v>
      </c>
      <c r="Q3200" t="s">
        <v>316</v>
      </c>
      <c>
        <v>0.15</v>
      </c>
      <c t="s">
        <v>37489</v>
      </c>
      <c t="s">
        <v>49864</v>
      </c>
      <c t="s">
        <v>22756</v>
      </c>
      <c t="s">
        <v>937</v>
      </c>
      <c t="s">
        <v>22756</v>
      </c>
      <c t="s">
        <v>40664</v>
      </c>
      <c t="s">
        <v>18478</v>
      </c>
      <c t="s">
        <v>65059</v>
      </c>
      <c t="s">
        <v>39289</v>
      </c>
      <c>
        <v>33908</v>
      </c>
      <c t="s">
        <v>33070</v>
      </c>
      <c t="s">
        <v>48794</v>
      </c>
      <c t="s">
        <v>65201</v>
      </c>
      <c>
        <v>1614</v>
      </c>
      <c r="AI3200" t="s">
        <v>51539</v>
      </c>
      <c t="s">
        <v>55842</v>
      </c>
      <c r="AL3200" t="s">
        <v>41872</v>
      </c>
      <c t="s">
        <v>41872</v>
      </c>
      <c t="s">
        <v>49572</v>
      </c>
      <c t="s">
        <v>46019</v>
      </c>
      <c t="s">
        <v>27410</v>
      </c>
      <c t="s">
        <v>3093</v>
      </c>
      <c t="s">
        <v>58508</v>
      </c>
    </row>
    <row>
      <c t="s">
        <v>17594</v>
      </c>
      <c t="s">
        <v>29017</v>
      </c>
      <c t="s">
        <v>1321</v>
      </c>
      <c t="s">
        <v>56789</v>
      </c>
      <c t="s">
        <v>3588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3201" s="1" t="str">
        <f ca="1">HYPERLINK("https://web.datatree.com/?/property?propertyId=33186466", "https://web.datatree.com/?/property?propertyId=33186466")</f>
        <v>https://web.datatree.com/?/property?propertyId=33186466</v>
      </c>
      <c r="Q3201" t="s">
        <v>316</v>
      </c>
      <c>
        <v>0.23</v>
      </c>
      <c t="s">
        <v>6175</v>
      </c>
      <c t="s">
        <v>50331</v>
      </c>
      <c t="s">
        <v>44541</v>
      </c>
      <c r="X3201" t="s">
        <v>66743</v>
      </c>
      <c t="s">
        <v>38550</v>
      </c>
      <c t="s">
        <v>2517</v>
      </c>
      <c t="s">
        <v>39289</v>
      </c>
      <c>
        <v>33909</v>
      </c>
      <c t="s">
        <v>55290</v>
      </c>
      <c t="s">
        <v>48794</v>
      </c>
      <c t="s">
        <v>3274</v>
      </c>
      <c>
        <v>6900</v>
      </c>
      <c r="AI3201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4149</v>
      </c>
      <c t="s">
        <v>4900</v>
      </c>
      <c t="s">
        <v>33729</v>
      </c>
      <c t="s">
        <v>40610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3202" s="1" t="str">
        <f ca="1">HYPERLINK("https://web.datatree.com/?/property?propertyId=33186483", "https://web.datatree.com/?/property?propertyId=33186483")</f>
        <v>https://web.datatree.com/?/property?propertyId=33186483</v>
      </c>
      <c r="Q3202" t="s">
        <v>316</v>
      </c>
      <c>
        <v>0.229</v>
      </c>
      <c t="s">
        <v>5471</v>
      </c>
      <c t="s">
        <v>27369</v>
      </c>
      <c t="s">
        <v>25076</v>
      </c>
      <c t="s">
        <v>3915</v>
      </c>
      <c t="s">
        <v>25076</v>
      </c>
      <c t="s">
        <v>21164</v>
      </c>
      <c t="s">
        <v>47180</v>
      </c>
      <c t="s">
        <v>65059</v>
      </c>
      <c t="s">
        <v>39289</v>
      </c>
      <c>
        <v>33905</v>
      </c>
      <c t="s">
        <v>13973</v>
      </c>
      <c t="s">
        <v>48794</v>
      </c>
      <c t="s">
        <v>27076</v>
      </c>
      <c>
        <v>18</v>
      </c>
      <c r="AI3202" t="s">
        <v>3949</v>
      </c>
      <c t="s">
        <v>45072</v>
      </c>
      <c r="AL3202" t="s">
        <v>43624</v>
      </c>
      <c r="AN3202" t="s">
        <v>40221</v>
      </c>
      <c r="AR3202" t="s">
        <v>36416</v>
      </c>
    </row>
    <row>
      <c t="s">
        <v>17594</v>
      </c>
      <c t="s">
        <v>36821</v>
      </c>
      <c t="s">
        <v>27957</v>
      </c>
      <c t="s">
        <v>13848</v>
      </c>
      <c t="s">
        <v>66554</v>
      </c>
      <c s="3">
        <v>113742</v>
      </c>
      <c s="3">
        <v>113742</v>
      </c>
      <c s="3">
        <v>113742</v>
      </c>
      <c>
        <v>0</v>
      </c>
      <c s="3">
        <v>0</v>
      </c>
      <c s="3">
        <v>2241.32</v>
      </c>
      <c s="3">
        <v>113742</v>
      </c>
      <c>
        <v>2021</v>
      </c>
      <c>
        <v>175.21</v>
      </c>
      <c s="1" t="str">
        <f ca="1">HYPERLINK("https://web.datatree.com/?/property?propertyId=33186522", "https://web.datatree.com/?/property?propertyId=33186522")</f>
        <v>https://web.datatree.com/?/property?propertyId=33186522</v>
      </c>
      <c r="Q3203" t="s">
        <v>316</v>
      </c>
      <c>
        <v>0.266</v>
      </c>
      <c t="s">
        <v>22490</v>
      </c>
      <c t="s">
        <v>67159</v>
      </c>
      <c t="s">
        <v>38680</v>
      </c>
      <c t="s">
        <v>1135</v>
      </c>
      <c t="s">
        <v>38680</v>
      </c>
      <c t="s">
        <v>5265</v>
      </c>
      <c t="s">
        <v>24999</v>
      </c>
      <c t="s">
        <v>2517</v>
      </c>
      <c t="s">
        <v>39289</v>
      </c>
      <c>
        <v>33904</v>
      </c>
      <c>
        <v>33904</v>
      </c>
      <c t="s">
        <v>48794</v>
      </c>
      <c t="s">
        <v>10345</v>
      </c>
      <c>
        <v>2891</v>
      </c>
      <c r="AI3203" t="s">
        <v>10250</v>
      </c>
      <c t="s">
        <v>45393</v>
      </c>
      <c r="AL3203" t="s">
        <v>1614</v>
      </c>
      <c t="s">
        <v>1614</v>
      </c>
      <c t="s">
        <v>65451</v>
      </c>
      <c t="s">
        <v>44731</v>
      </c>
      <c t="s">
        <v>38085</v>
      </c>
      <c t="s">
        <v>3093</v>
      </c>
      <c t="s">
        <v>28523</v>
      </c>
    </row>
    <row>
      <c t="s">
        <v>17594</v>
      </c>
      <c t="s">
        <v>31557</v>
      </c>
      <c t="s">
        <v>18873</v>
      </c>
      <c t="s">
        <v>58638</v>
      </c>
      <c t="s">
        <v>55976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3204" s="1" t="str">
        <f ca="1">HYPERLINK("https://web.datatree.com/?/property?propertyId=33187038", "https://web.datatree.com/?/property?propertyId=33187038")</f>
        <v>https://web.datatree.com/?/property?propertyId=33187038</v>
      </c>
      <c r="Q3204" t="s">
        <v>316</v>
      </c>
      <c>
        <v>0.244</v>
      </c>
      <c t="s">
        <v>22490</v>
      </c>
      <c t="s">
        <v>25273</v>
      </c>
      <c t="s">
        <v>38798</v>
      </c>
      <c r="X3204" t="s">
        <v>46907</v>
      </c>
      <c t="s">
        <v>66701</v>
      </c>
      <c t="s">
        <v>2517</v>
      </c>
      <c t="s">
        <v>39289</v>
      </c>
      <c>
        <v>33909</v>
      </c>
      <c t="s">
        <v>66342</v>
      </c>
      <c t="s">
        <v>48794</v>
      </c>
      <c t="s">
        <v>9849</v>
      </c>
      <c>
        <v>3690</v>
      </c>
      <c r="AI3204" t="s">
        <v>33178</v>
      </c>
      <c t="s">
        <v>24900</v>
      </c>
      <c r="AL3204" t="s">
        <v>9581</v>
      </c>
      <c r="AN3204" t="s">
        <v>26016</v>
      </c>
      <c t="s">
        <v>30277</v>
      </c>
      <c t="s">
        <v>702</v>
      </c>
      <c t="s">
        <v>3093</v>
      </c>
      <c t="s">
        <v>8289</v>
      </c>
    </row>
    <row>
      <c t="s">
        <v>17594</v>
      </c>
      <c t="s">
        <v>21429</v>
      </c>
      <c t="s">
        <v>8116</v>
      </c>
      <c t="s">
        <v>4815</v>
      </c>
      <c t="s">
        <v>345</v>
      </c>
      <c s="3">
        <v>8941</v>
      </c>
      <c s="3">
        <v>8941</v>
      </c>
      <c s="3">
        <v>4972</v>
      </c>
      <c>
        <v>0</v>
      </c>
      <c s="3">
        <v>0</v>
      </c>
      <c s="3">
        <v>317.96</v>
      </c>
      <c s="3">
        <v>8941</v>
      </c>
      <c>
        <v>2014</v>
      </c>
      <c>
        <v>2822.02</v>
      </c>
      <c s="1" t="str">
        <f ca="1">HYPERLINK("https://web.datatree.com/?/property?propertyId=33187285", "https://web.datatree.com/?/property?propertyId=33187285")</f>
        <v>https://web.datatree.com/?/property?propertyId=33187285</v>
      </c>
      <c r="Q3205" t="s">
        <v>316</v>
      </c>
      <c>
        <v>0.254</v>
      </c>
      <c t="s">
        <v>5471</v>
      </c>
      <c t="s">
        <v>1949</v>
      </c>
      <c t="s">
        <v>56812</v>
      </c>
      <c r="X3205" t="s">
        <v>50412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4707</v>
      </c>
      <c>
        <v>1810</v>
      </c>
      <c r="AI3205" t="s">
        <v>2626</v>
      </c>
      <c t="s">
        <v>24900</v>
      </c>
      <c r="AL3205" t="s">
        <v>55393</v>
      </c>
      <c t="s">
        <v>55393</v>
      </c>
      <c t="s">
        <v>39289</v>
      </c>
      <c t="s">
        <v>36630</v>
      </c>
      <c t="s">
        <v>32746</v>
      </c>
      <c t="s">
        <v>3093</v>
      </c>
      <c t="s">
        <v>49890</v>
      </c>
    </row>
    <row>
      <c t="s">
        <v>17594</v>
      </c>
      <c t="s">
        <v>2091</v>
      </c>
      <c t="s">
        <v>4212</v>
      </c>
      <c t="s">
        <v>52722</v>
      </c>
      <c t="s">
        <v>67140</v>
      </c>
      <c s="3">
        <v>7965</v>
      </c>
      <c s="3">
        <v>7965</v>
      </c>
      <c s="3">
        <v>7965</v>
      </c>
      <c>
        <v>0</v>
      </c>
      <c s="3">
        <v>0</v>
      </c>
      <c s="3">
        <v>127.23</v>
      </c>
      <c s="3">
        <v>7965</v>
      </c>
      <c r="O3206" s="1" t="str">
        <f ca="1">HYPERLINK("https://web.datatree.com/?/property?propertyId=33189553", "https://web.datatree.com/?/property?propertyId=33189553")</f>
        <v>https://web.datatree.com/?/property?propertyId=33189553</v>
      </c>
      <c r="Q3206" t="s">
        <v>316</v>
      </c>
      <c>
        <v>0.113</v>
      </c>
      <c t="s">
        <v>5471</v>
      </c>
      <c t="s">
        <v>43771</v>
      </c>
      <c t="s">
        <v>25625</v>
      </c>
      <c r="X3206" t="s">
        <v>61372</v>
      </c>
      <c t="s">
        <v>33854</v>
      </c>
      <c t="s">
        <v>54524</v>
      </c>
      <c t="s">
        <v>39289</v>
      </c>
      <c>
        <v>33903</v>
      </c>
      <c t="s">
        <v>28870</v>
      </c>
      <c t="s">
        <v>48794</v>
      </c>
      <c t="s">
        <v>36101</v>
      </c>
      <c>
        <v>664</v>
      </c>
      <c r="AI3206" t="s">
        <v>53523</v>
      </c>
      <c t="s">
        <v>31192</v>
      </c>
      <c r="AL3206" t="s">
        <v>11713</v>
      </c>
      <c r="AN3206" t="s">
        <v>39289</v>
      </c>
      <c t="s">
        <v>17727</v>
      </c>
      <c t="s">
        <v>35679</v>
      </c>
      <c t="s">
        <v>3093</v>
      </c>
      <c t="s">
        <v>22689</v>
      </c>
    </row>
    <row>
      <c t="s">
        <v>17594</v>
      </c>
      <c t="s">
        <v>43997</v>
      </c>
      <c t="s">
        <v>61408</v>
      </c>
      <c t="s">
        <v>5243</v>
      </c>
      <c t="s">
        <v>41745</v>
      </c>
      <c s="3">
        <v>42625</v>
      </c>
      <c s="3">
        <v>42625</v>
      </c>
      <c s="3">
        <v>42625</v>
      </c>
      <c>
        <v>0</v>
      </c>
      <c s="3">
        <v>0</v>
      </c>
      <c s="3">
        <v>1142.2</v>
      </c>
      <c s="3">
        <v>42625</v>
      </c>
      <c r="O3207" s="1" t="str">
        <f ca="1">HYPERLINK("https://web.datatree.com/?/property?propertyId=33189978", "https://web.datatree.com/?/property?propertyId=33189978")</f>
        <v>https://web.datatree.com/?/property?propertyId=33189978</v>
      </c>
      <c r="Q3207" t="s">
        <v>316</v>
      </c>
      <c>
        <v>0.344</v>
      </c>
      <c t="s">
        <v>45031</v>
      </c>
      <c t="s">
        <v>63250</v>
      </c>
      <c t="s">
        <v>45794</v>
      </c>
      <c t="s">
        <v>56253</v>
      </c>
      <c t="s">
        <v>24606</v>
      </c>
      <c t="s">
        <v>4123</v>
      </c>
      <c t="s">
        <v>38550</v>
      </c>
      <c t="s">
        <v>2517</v>
      </c>
      <c t="s">
        <v>39289</v>
      </c>
      <c>
        <v>33909</v>
      </c>
      <c t="s">
        <v>64368</v>
      </c>
      <c t="s">
        <v>48794</v>
      </c>
      <c t="s">
        <v>60540</v>
      </c>
      <c>
        <v>1</v>
      </c>
      <c r="AI3207" t="s">
        <v>36393</v>
      </c>
      <c r="AL3207" t="s">
        <v>33030</v>
      </c>
      <c r="AN3207" t="s">
        <v>63985</v>
      </c>
      <c>
        <v>96149</v>
      </c>
      <c r="AR3207" t="s">
        <v>49711</v>
      </c>
    </row>
    <row>
      <c t="s">
        <v>17594</v>
      </c>
      <c t="s">
        <v>60220</v>
      </c>
      <c t="s">
        <v>62857</v>
      </c>
      <c t="s">
        <v>32780</v>
      </c>
      <c t="s">
        <v>49712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3208" s="1" t="str">
        <f ca="1">HYPERLINK("https://web.datatree.com/?/property?propertyId=33189982", "https://web.datatree.com/?/property?propertyId=33189982")</f>
        <v>https://web.datatree.com/?/property?propertyId=33189982</v>
      </c>
      <c r="Q3208" t="s">
        <v>316</v>
      </c>
      <c>
        <v>0.23</v>
      </c>
      <c t="s">
        <v>6175</v>
      </c>
      <c t="s">
        <v>5121</v>
      </c>
      <c t="s">
        <v>29853</v>
      </c>
      <c r="W3208" t="s">
        <v>51425</v>
      </c>
      <c t="s">
        <v>39059</v>
      </c>
      <c t="s">
        <v>53663</v>
      </c>
      <c t="s">
        <v>2517</v>
      </c>
      <c t="s">
        <v>39289</v>
      </c>
      <c>
        <v>33909</v>
      </c>
      <c t="s">
        <v>4592</v>
      </c>
      <c t="s">
        <v>48794</v>
      </c>
      <c t="s">
        <v>2695</v>
      </c>
      <c>
        <v>1720</v>
      </c>
      <c r="AI3208" t="s">
        <v>21616</v>
      </c>
      <c t="s">
        <v>40123</v>
      </c>
      <c r="AL3208" t="s">
        <v>10392</v>
      </c>
      <c r="AN3208" t="s">
        <v>19878</v>
      </c>
      <c t="s">
        <v>53565</v>
      </c>
      <c t="s">
        <v>42082</v>
      </c>
      <c t="s">
        <v>3093</v>
      </c>
      <c t="s">
        <v>14697</v>
      </c>
    </row>
    <row>
      <c t="s">
        <v>17594</v>
      </c>
      <c t="s">
        <v>1445</v>
      </c>
      <c t="s">
        <v>65096</v>
      </c>
      <c t="s">
        <v>23370</v>
      </c>
      <c t="s">
        <v>32365</v>
      </c>
      <c s="3">
        <v>465120</v>
      </c>
      <c s="3">
        <v>465120</v>
      </c>
      <c s="3">
        <v>465120</v>
      </c>
      <c>
        <v>0</v>
      </c>
      <c s="3">
        <v>0</v>
      </c>
      <c s="3">
        <v>7641.84</v>
      </c>
      <c s="3">
        <v>465120</v>
      </c>
      <c r="O3209" s="1" t="str">
        <f ca="1">HYPERLINK("https://web.datatree.com/?/property?propertyId=33193692", "https://web.datatree.com/?/property?propertyId=33193692")</f>
        <v>https://web.datatree.com/?/property?propertyId=33193692</v>
      </c>
      <c r="Q3209" t="s">
        <v>316</v>
      </c>
      <c>
        <v>0.23</v>
      </c>
      <c t="s">
        <v>22490</v>
      </c>
      <c r="U3209" t="s">
        <v>3394</v>
      </c>
      <c r="W3209" t="s">
        <v>5088</v>
      </c>
      <c t="s">
        <v>6336</v>
      </c>
      <c t="s">
        <v>19991</v>
      </c>
      <c t="s">
        <v>2517</v>
      </c>
      <c t="s">
        <v>39289</v>
      </c>
      <c>
        <v>33904</v>
      </c>
      <c t="s">
        <v>31685</v>
      </c>
      <c t="s">
        <v>48794</v>
      </c>
      <c t="s">
        <v>61063</v>
      </c>
      <c>
        <v>3028</v>
      </c>
      <c r="AI3209" t="s">
        <v>44133</v>
      </c>
      <c t="s">
        <v>45620</v>
      </c>
      <c r="AL3209" t="s">
        <v>62681</v>
      </c>
      <c t="s">
        <v>29411</v>
      </c>
      <c t="s">
        <v>19878</v>
      </c>
      <c t="s">
        <v>31782</v>
      </c>
      <c t="s">
        <v>44428</v>
      </c>
      <c t="s">
        <v>3093</v>
      </c>
      <c t="s">
        <v>55016</v>
      </c>
    </row>
    <row>
      <c t="s">
        <v>17594</v>
      </c>
      <c t="s">
        <v>36535</v>
      </c>
      <c t="s">
        <v>51169</v>
      </c>
      <c t="s">
        <v>47964</v>
      </c>
      <c t="s">
        <v>42028</v>
      </c>
      <c s="3">
        <v>23012</v>
      </c>
      <c s="3">
        <v>23012</v>
      </c>
      <c s="3">
        <v>10450</v>
      </c>
      <c>
        <v>0</v>
      </c>
      <c s="3">
        <v>0</v>
      </c>
      <c s="3">
        <v>634.93</v>
      </c>
      <c s="3">
        <v>23012</v>
      </c>
      <c r="O3210" s="1" t="str">
        <f ca="1">HYPERLINK("https://web.datatree.com/?/property?propertyId=33193960", "https://web.datatree.com/?/property?propertyId=33193960")</f>
        <v>https://web.datatree.com/?/property?propertyId=33193960</v>
      </c>
      <c r="Q3210" t="s">
        <v>316</v>
      </c>
      <c>
        <v>0.259</v>
      </c>
      <c t="s">
        <v>22490</v>
      </c>
      <c t="s">
        <v>1599</v>
      </c>
      <c t="s">
        <v>41622</v>
      </c>
      <c r="X3210" t="s">
        <v>59650</v>
      </c>
      <c t="s">
        <v>22731</v>
      </c>
      <c t="s">
        <v>2517</v>
      </c>
      <c t="s">
        <v>39289</v>
      </c>
      <c>
        <v>33909</v>
      </c>
      <c t="s">
        <v>35976</v>
      </c>
      <c t="s">
        <v>48794</v>
      </c>
      <c t="s">
        <v>10075</v>
      </c>
      <c>
        <v>1440</v>
      </c>
      <c r="AI3210" t="s">
        <v>22297</v>
      </c>
      <c t="s">
        <v>45393</v>
      </c>
      <c>
        <v>3</v>
      </c>
      <c t="s">
        <v>44732</v>
      </c>
      <c t="s">
        <v>31640</v>
      </c>
      <c t="s">
        <v>50917</v>
      </c>
      <c t="s">
        <v>20428</v>
      </c>
      <c t="s">
        <v>26242</v>
      </c>
      <c t="s">
        <v>3093</v>
      </c>
      <c t="s">
        <v>43409</v>
      </c>
    </row>
    <row>
      <c t="s">
        <v>17594</v>
      </c>
      <c t="s">
        <v>47911</v>
      </c>
      <c t="s">
        <v>66210</v>
      </c>
      <c t="s">
        <v>50268</v>
      </c>
      <c t="s">
        <v>56300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3211" s="1" t="str">
        <f ca="1">HYPERLINK("https://web.datatree.com/?/property?propertyId=33194237", "https://web.datatree.com/?/property?propertyId=33194237")</f>
        <v>https://web.datatree.com/?/property?propertyId=33194237</v>
      </c>
      <c r="Q3211" t="s">
        <v>316</v>
      </c>
      <c>
        <v>0.23</v>
      </c>
      <c t="s">
        <v>22490</v>
      </c>
      <c t="s">
        <v>65089</v>
      </c>
      <c t="s">
        <v>25723</v>
      </c>
      <c r="X3211" t="s">
        <v>4625</v>
      </c>
      <c t="s">
        <v>24999</v>
      </c>
      <c t="s">
        <v>2517</v>
      </c>
      <c t="s">
        <v>39289</v>
      </c>
      <c>
        <v>33909</v>
      </c>
      <c>
        <v>33909</v>
      </c>
      <c t="s">
        <v>48794</v>
      </c>
      <c t="s">
        <v>66658</v>
      </c>
      <c>
        <v>3037</v>
      </c>
      <c r="AI3211" t="s">
        <v>26271</v>
      </c>
      <c t="s">
        <v>31192</v>
      </c>
      <c>
        <v>204</v>
      </c>
      <c t="s">
        <v>15417</v>
      </c>
      <c t="s">
        <v>15417</v>
      </c>
      <c t="s">
        <v>39289</v>
      </c>
      <c t="s">
        <v>60648</v>
      </c>
      <c t="s">
        <v>44843</v>
      </c>
      <c t="s">
        <v>3093</v>
      </c>
      <c t="s">
        <v>45920</v>
      </c>
    </row>
    <row>
      <c t="s">
        <v>17594</v>
      </c>
      <c t="s">
        <v>21013</v>
      </c>
      <c t="s">
        <v>59090</v>
      </c>
      <c t="s">
        <v>54851</v>
      </c>
      <c t="s">
        <v>45580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212" s="1" t="str">
        <f ca="1">HYPERLINK("https://web.datatree.com/?/property?propertyId=33194274", "https://web.datatree.com/?/property?propertyId=33194274")</f>
        <v>https://web.datatree.com/?/property?propertyId=33194274</v>
      </c>
      <c r="Q3212" t="s">
        <v>316</v>
      </c>
      <c>
        <v>0.23</v>
      </c>
      <c t="s">
        <v>22490</v>
      </c>
      <c t="s">
        <v>1859</v>
      </c>
      <c t="s">
        <v>26114</v>
      </c>
      <c r="X3212" t="s">
        <v>50615</v>
      </c>
      <c t="s">
        <v>46469</v>
      </c>
      <c t="s">
        <v>2517</v>
      </c>
      <c t="s">
        <v>39289</v>
      </c>
      <c>
        <v>33909</v>
      </c>
      <c t="s">
        <v>11542</v>
      </c>
      <c t="s">
        <v>48794</v>
      </c>
      <c t="s">
        <v>17267</v>
      </c>
      <c>
        <v>18201</v>
      </c>
      <c r="AI3212" t="s">
        <v>28220</v>
      </c>
      <c t="s">
        <v>31192</v>
      </c>
      <c>
        <v>323</v>
      </c>
      <c t="s">
        <v>9092</v>
      </c>
      <c t="s">
        <v>9092</v>
      </c>
      <c t="s">
        <v>18236</v>
      </c>
      <c t="s">
        <v>24822</v>
      </c>
      <c t="s">
        <v>58683</v>
      </c>
      <c t="s">
        <v>3093</v>
      </c>
      <c t="s">
        <v>22346</v>
      </c>
    </row>
    <row>
      <c t="s">
        <v>17594</v>
      </c>
      <c t="s">
        <v>23574</v>
      </c>
      <c t="s">
        <v>55435</v>
      </c>
      <c t="s">
        <v>13613</v>
      </c>
      <c t="s">
        <v>3917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3213" s="1" t="str">
        <f ca="1">HYPERLINK("https://web.datatree.com/?/property?propertyId=33194290", "https://web.datatree.com/?/property?propertyId=33194290")</f>
        <v>https://web.datatree.com/?/property?propertyId=33194290</v>
      </c>
      <c r="Q3213" t="s">
        <v>316</v>
      </c>
      <c>
        <v>0.23</v>
      </c>
      <c t="s">
        <v>6175</v>
      </c>
      <c t="s">
        <v>16200</v>
      </c>
      <c t="s">
        <v>46707</v>
      </c>
      <c r="X3213" t="s">
        <v>995</v>
      </c>
      <c t="s">
        <v>49122</v>
      </c>
      <c t="s">
        <v>2517</v>
      </c>
      <c t="s">
        <v>39289</v>
      </c>
      <c>
        <v>33909</v>
      </c>
      <c t="s">
        <v>50675</v>
      </c>
      <c t="s">
        <v>48794</v>
      </c>
      <c t="s">
        <v>37008</v>
      </c>
      <c>
        <v>2763</v>
      </c>
      <c r="AI3213" t="s">
        <v>11711</v>
      </c>
      <c t="s">
        <v>41372</v>
      </c>
      <c r="AL3213" t="s">
        <v>43209</v>
      </c>
      <c r="AN3213" t="s">
        <v>26443</v>
      </c>
      <c t="s">
        <v>39731</v>
      </c>
      <c t="s">
        <v>56028</v>
      </c>
      <c t="s">
        <v>3093</v>
      </c>
      <c t="s">
        <v>1426</v>
      </c>
    </row>
    <row>
      <c t="s">
        <v>17594</v>
      </c>
      <c t="s">
        <v>18622</v>
      </c>
      <c t="s">
        <v>66935</v>
      </c>
      <c t="s">
        <v>33350</v>
      </c>
      <c t="s">
        <v>49515</v>
      </c>
      <c s="3">
        <v>9309</v>
      </c>
      <c s="3">
        <v>9309</v>
      </c>
      <c s="3">
        <v>4972</v>
      </c>
      <c>
        <v>0</v>
      </c>
      <c s="3">
        <v>0</v>
      </c>
      <c s="3">
        <v>321.86</v>
      </c>
      <c s="3">
        <v>9309</v>
      </c>
      <c r="O3214" s="1" t="str">
        <f ca="1">HYPERLINK("https://web.datatree.com/?/property?propertyId=33194545", "https://web.datatree.com/?/property?propertyId=33194545")</f>
        <v>https://web.datatree.com/?/property?propertyId=33194545</v>
      </c>
      <c r="Q3214" t="s">
        <v>316</v>
      </c>
      <c>
        <v>0.284</v>
      </c>
      <c t="s">
        <v>5471</v>
      </c>
      <c t="s">
        <v>44150</v>
      </c>
      <c t="s">
        <v>16393</v>
      </c>
      <c r="X3214" t="s">
        <v>1559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41356</v>
      </c>
      <c>
        <v>147</v>
      </c>
      <c r="AI3214" t="s">
        <v>1608</v>
      </c>
      <c t="s">
        <v>24900</v>
      </c>
      <c r="AL3214" t="s">
        <v>449</v>
      </c>
      <c r="AN3214" t="s">
        <v>65451</v>
      </c>
      <c t="s">
        <v>5717</v>
      </c>
      <c t="s">
        <v>25140</v>
      </c>
      <c t="s">
        <v>3093</v>
      </c>
      <c t="s">
        <v>55922</v>
      </c>
    </row>
    <row>
      <c t="s">
        <v>17594</v>
      </c>
      <c t="s">
        <v>54595</v>
      </c>
      <c t="s">
        <v>29827</v>
      </c>
      <c t="s">
        <v>22157</v>
      </c>
      <c t="s">
        <v>16744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3215" s="1" t="str">
        <f ca="1">HYPERLINK("https://web.datatree.com/?/property?propertyId=33195133", "https://web.datatree.com/?/property?propertyId=33195133")</f>
        <v>https://web.datatree.com/?/property?propertyId=33195133</v>
      </c>
      <c r="Q3215" t="s">
        <v>316</v>
      </c>
      <c>
        <v>0.23</v>
      </c>
      <c t="s">
        <v>6175</v>
      </c>
      <c t="s">
        <v>2006</v>
      </c>
      <c t="s">
        <v>24714</v>
      </c>
      <c r="X3215" t="s">
        <v>59870</v>
      </c>
      <c t="s">
        <v>33179</v>
      </c>
      <c t="s">
        <v>2517</v>
      </c>
      <c t="s">
        <v>39289</v>
      </c>
      <c>
        <v>33909</v>
      </c>
      <c t="s">
        <v>14800</v>
      </c>
      <c t="s">
        <v>48794</v>
      </c>
      <c t="s">
        <v>23952</v>
      </c>
      <c r="AI3215" t="s">
        <v>52976</v>
      </c>
      <c r="AL3215" t="s">
        <v>8000</v>
      </c>
      <c t="s">
        <v>8000</v>
      </c>
      <c t="s">
        <v>9533</v>
      </c>
      <c>
        <v>976</v>
      </c>
      <c r="AQ3215" t="s">
        <v>3093</v>
      </c>
      <c t="s">
        <v>17164</v>
      </c>
    </row>
    <row>
      <c t="s">
        <v>17594</v>
      </c>
      <c t="s">
        <v>37604</v>
      </c>
      <c t="s">
        <v>50259</v>
      </c>
      <c t="s">
        <v>30203</v>
      </c>
      <c t="s">
        <v>23943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216" s="1" t="str">
        <f ca="1">HYPERLINK("https://web.datatree.com/?/property?propertyId=33195207", "https://web.datatree.com/?/property?propertyId=33195207")</f>
        <v>https://web.datatree.com/?/property?propertyId=33195207</v>
      </c>
      <c r="Q3216" t="s">
        <v>316</v>
      </c>
      <c>
        <v>0.23</v>
      </c>
      <c t="s">
        <v>22490</v>
      </c>
      <c t="s">
        <v>44532</v>
      </c>
      <c t="s">
        <v>54582</v>
      </c>
      <c t="s">
        <v>1599</v>
      </c>
      <c t="s">
        <v>54582</v>
      </c>
      <c t="s">
        <v>41574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21786</v>
      </c>
      <c>
        <v>15463</v>
      </c>
      <c r="AI3216" t="s">
        <v>38220</v>
      </c>
      <c t="s">
        <v>45393</v>
      </c>
      <c r="AL3216" t="s">
        <v>55393</v>
      </c>
      <c t="s">
        <v>50218</v>
      </c>
      <c t="s">
        <v>39289</v>
      </c>
      <c t="s">
        <v>3642</v>
      </c>
      <c t="s">
        <v>636</v>
      </c>
      <c t="s">
        <v>3093</v>
      </c>
      <c t="s">
        <v>10609</v>
      </c>
    </row>
    <row>
      <c t="s">
        <v>17594</v>
      </c>
      <c t="s">
        <v>51984</v>
      </c>
      <c t="s">
        <v>39253</v>
      </c>
      <c t="s">
        <v>642</v>
      </c>
      <c t="s">
        <v>53229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217" s="1" t="str">
        <f ca="1">HYPERLINK("https://web.datatree.com/?/property?propertyId=33195494", "https://web.datatree.com/?/property?propertyId=33195494")</f>
        <v>https://web.datatree.com/?/property?propertyId=33195494</v>
      </c>
      <c r="Q3217" t="s">
        <v>316</v>
      </c>
      <c>
        <v>0.23</v>
      </c>
      <c t="s">
        <v>6175</v>
      </c>
      <c t="s">
        <v>9681</v>
      </c>
      <c t="s">
        <v>43893</v>
      </c>
      <c r="X3217" t="s">
        <v>57994</v>
      </c>
      <c t="s">
        <v>23517</v>
      </c>
      <c t="s">
        <v>2517</v>
      </c>
      <c t="s">
        <v>39289</v>
      </c>
      <c>
        <v>33909</v>
      </c>
      <c>
        <v>33909</v>
      </c>
      <c t="s">
        <v>48794</v>
      </c>
      <c t="s">
        <v>42638</v>
      </c>
      <c>
        <v>7009</v>
      </c>
      <c r="AI3217" t="s">
        <v>10237</v>
      </c>
      <c t="s">
        <v>24900</v>
      </c>
      <c r="AL3217" t="s">
        <v>27763</v>
      </c>
      <c r="AN3217" t="s">
        <v>65467</v>
      </c>
      <c t="s">
        <v>55696</v>
      </c>
      <c t="s">
        <v>19922</v>
      </c>
      <c t="s">
        <v>3093</v>
      </c>
      <c t="s">
        <v>52679</v>
      </c>
    </row>
    <row>
      <c t="s">
        <v>17594</v>
      </c>
      <c t="s">
        <v>41402</v>
      </c>
      <c t="s">
        <v>6238</v>
      </c>
      <c t="s">
        <v>35134</v>
      </c>
      <c t="s">
        <v>53364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218" s="1" t="str">
        <f ca="1">HYPERLINK("https://web.datatree.com/?/property?propertyId=33195802", "https://web.datatree.com/?/property?propertyId=33195802")</f>
        <v>https://web.datatree.com/?/property?propertyId=33195802</v>
      </c>
      <c r="Q3218" t="s">
        <v>316</v>
      </c>
      <c>
        <v>0.252</v>
      </c>
      <c t="s">
        <v>5471</v>
      </c>
      <c t="s">
        <v>51001</v>
      </c>
      <c t="s">
        <v>20597</v>
      </c>
      <c t="s">
        <v>31145</v>
      </c>
      <c t="s">
        <v>20597</v>
      </c>
      <c t="s">
        <v>31627</v>
      </c>
      <c t="s">
        <v>54986</v>
      </c>
      <c t="s">
        <v>65059</v>
      </c>
      <c t="s">
        <v>39289</v>
      </c>
      <c>
        <v>33905</v>
      </c>
      <c t="s">
        <v>20288</v>
      </c>
      <c t="s">
        <v>48794</v>
      </c>
      <c t="s">
        <v>43336</v>
      </c>
      <c>
        <v>9978</v>
      </c>
      <c r="AI3218" t="s">
        <v>4015</v>
      </c>
      <c t="s">
        <v>31192</v>
      </c>
      <c r="AL3218" t="s">
        <v>27171</v>
      </c>
      <c t="s">
        <v>27171</v>
      </c>
      <c t="s">
        <v>21017</v>
      </c>
      <c t="s">
        <v>53530</v>
      </c>
      <c t="s">
        <v>14695</v>
      </c>
      <c t="s">
        <v>3093</v>
      </c>
      <c t="s">
        <v>46081</v>
      </c>
    </row>
    <row>
      <c t="s">
        <v>17594</v>
      </c>
      <c t="s">
        <v>17251</v>
      </c>
      <c t="s">
        <v>53096</v>
      </c>
      <c t="s">
        <v>58924</v>
      </c>
      <c t="s">
        <v>58989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3219" s="1" t="str">
        <f ca="1">HYPERLINK("https://web.datatree.com/?/property?propertyId=33195954", "https://web.datatree.com/?/property?propertyId=33195954")</f>
        <v>https://web.datatree.com/?/property?propertyId=33195954</v>
      </c>
      <c r="Q3219" t="s">
        <v>316</v>
      </c>
      <c>
        <v>0.241</v>
      </c>
      <c t="s">
        <v>6175</v>
      </c>
      <c t="s">
        <v>17474</v>
      </c>
      <c t="s">
        <v>41554</v>
      </c>
      <c r="X3219" t="s">
        <v>34729</v>
      </c>
      <c t="s">
        <v>22731</v>
      </c>
      <c t="s">
        <v>2517</v>
      </c>
      <c t="s">
        <v>39289</v>
      </c>
      <c>
        <v>33909</v>
      </c>
      <c t="s">
        <v>42188</v>
      </c>
      <c t="s">
        <v>48794</v>
      </c>
      <c t="s">
        <v>8716</v>
      </c>
      <c>
        <v>24830</v>
      </c>
      <c r="AI3219" t="s">
        <v>53366</v>
      </c>
      <c r="AL3219" t="s">
        <v>64963</v>
      </c>
      <c t="s">
        <v>64963</v>
      </c>
      <c t="s">
        <v>51137</v>
      </c>
      <c t="s">
        <v>7655</v>
      </c>
      <c t="s">
        <v>3364</v>
      </c>
      <c t="s">
        <v>3093</v>
      </c>
      <c t="s">
        <v>33991</v>
      </c>
    </row>
    <row>
      <c t="s">
        <v>17594</v>
      </c>
      <c t="s">
        <v>63261</v>
      </c>
      <c t="s">
        <v>34797</v>
      </c>
      <c t="s">
        <v>14284</v>
      </c>
      <c t="s">
        <v>26296</v>
      </c>
      <c s="3">
        <v>72225</v>
      </c>
      <c s="3">
        <v>63500</v>
      </c>
      <c s="3">
        <v>70398</v>
      </c>
      <c>
        <v>0</v>
      </c>
      <c s="3">
        <v>0</v>
      </c>
      <c s="3">
        <v>1069</v>
      </c>
      <c s="3">
        <v>72225</v>
      </c>
      <c r="O3220" s="1" t="str">
        <f ca="1">HYPERLINK("https://web.datatree.com/?/property?propertyId=33196047", "https://web.datatree.com/?/property?propertyId=33196047")</f>
        <v>https://web.datatree.com/?/property?propertyId=33196047</v>
      </c>
      <c r="Q3220" t="s">
        <v>316</v>
      </c>
      <c>
        <v>0.099</v>
      </c>
      <c t="s">
        <v>26492</v>
      </c>
      <c t="s">
        <v>47165</v>
      </c>
      <c t="s">
        <v>59166</v>
      </c>
      <c t="s">
        <v>47165</v>
      </c>
      <c r="X3220" t="s">
        <v>620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11473</v>
      </c>
      <c>
        <v>5551</v>
      </c>
      <c r="AI3220" t="s">
        <v>1359</v>
      </c>
      <c t="s">
        <v>45620</v>
      </c>
      <c t="s">
        <v>59601</v>
      </c>
      <c t="s">
        <v>65059</v>
      </c>
      <c t="s">
        <v>40227</v>
      </c>
      <c t="s">
        <v>39289</v>
      </c>
      <c t="s">
        <v>62254</v>
      </c>
      <c t="s">
        <v>702</v>
      </c>
      <c t="s">
        <v>3093</v>
      </c>
      <c t="s">
        <v>33646</v>
      </c>
    </row>
    <row>
      <c t="s">
        <v>17594</v>
      </c>
      <c t="s">
        <v>35336</v>
      </c>
      <c t="s">
        <v>3052</v>
      </c>
      <c t="s">
        <v>29252</v>
      </c>
      <c t="s">
        <v>25694</v>
      </c>
      <c s="3">
        <v>27750</v>
      </c>
      <c s="3">
        <v>27750</v>
      </c>
      <c s="3">
        <v>27500</v>
      </c>
      <c>
        <v>0</v>
      </c>
      <c s="3">
        <v>0</v>
      </c>
      <c s="3">
        <v>378.73</v>
      </c>
      <c s="3">
        <v>27750</v>
      </c>
      <c r="O3221" s="1" t="str">
        <f ca="1">HYPERLINK("https://web.datatree.com/?/property?propertyId=33197273", "https://web.datatree.com/?/property?propertyId=33197273")</f>
        <v>https://web.datatree.com/?/property?propertyId=33197273</v>
      </c>
      <c r="Q3221" t="s">
        <v>316</v>
      </c>
      <c>
        <v>0.107</v>
      </c>
      <c t="s">
        <v>23582</v>
      </c>
      <c t="s">
        <v>34344</v>
      </c>
      <c t="s">
        <v>2929</v>
      </c>
      <c r="X3221" t="s">
        <v>3160</v>
      </c>
      <c t="s">
        <v>42657</v>
      </c>
      <c t="s">
        <v>65059</v>
      </c>
      <c t="s">
        <v>39289</v>
      </c>
      <c>
        <v>33908</v>
      </c>
      <c t="s">
        <v>43944</v>
      </c>
      <c t="s">
        <v>48794</v>
      </c>
      <c t="s">
        <v>52099</v>
      </c>
      <c>
        <v>1133</v>
      </c>
      <c r="AI3221" t="s">
        <v>62456</v>
      </c>
      <c t="s">
        <v>45393</v>
      </c>
      <c r="AL3221" t="s">
        <v>45236</v>
      </c>
      <c t="s">
        <v>45236</v>
      </c>
      <c t="s">
        <v>4477</v>
      </c>
      <c t="s">
        <v>53355</v>
      </c>
      <c t="s">
        <v>12399</v>
      </c>
      <c t="s">
        <v>3093</v>
      </c>
      <c t="s">
        <v>64643</v>
      </c>
    </row>
    <row>
      <c t="s">
        <v>17594</v>
      </c>
      <c t="s">
        <v>49259</v>
      </c>
      <c t="s">
        <v>15628</v>
      </c>
      <c t="s">
        <v>3616</v>
      </c>
      <c t="s">
        <v>57799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3222" s="1" t="str">
        <f ca="1">HYPERLINK("https://web.datatree.com/?/property?propertyId=33197503", "https://web.datatree.com/?/property?propertyId=33197503")</f>
        <v>https://web.datatree.com/?/property?propertyId=33197503</v>
      </c>
      <c r="Q3222" t="s">
        <v>316</v>
      </c>
      <c>
        <v>0.23</v>
      </c>
      <c t="s">
        <v>22490</v>
      </c>
      <c t="s">
        <v>11223</v>
      </c>
      <c t="s">
        <v>52334</v>
      </c>
      <c t="s">
        <v>7010</v>
      </c>
      <c t="s">
        <v>51733</v>
      </c>
      <c t="s">
        <v>38455</v>
      </c>
      <c t="s">
        <v>17022</v>
      </c>
      <c t="s">
        <v>2517</v>
      </c>
      <c t="s">
        <v>39289</v>
      </c>
      <c>
        <v>33909</v>
      </c>
      <c t="s">
        <v>40449</v>
      </c>
      <c t="s">
        <v>48794</v>
      </c>
      <c t="s">
        <v>65379</v>
      </c>
      <c>
        <v>213</v>
      </c>
      <c r="AI3222" t="s">
        <v>356</v>
      </c>
      <c t="s">
        <v>63316</v>
      </c>
      <c r="AL3222" t="s">
        <v>31196</v>
      </c>
      <c t="s">
        <v>31196</v>
      </c>
      <c t="s">
        <v>65451</v>
      </c>
      <c t="s">
        <v>13212</v>
      </c>
      <c t="s">
        <v>65563</v>
      </c>
      <c t="s">
        <v>3093</v>
      </c>
      <c t="s">
        <v>54679</v>
      </c>
    </row>
    <row>
      <c t="s">
        <v>17594</v>
      </c>
      <c t="s">
        <v>54717</v>
      </c>
      <c t="s">
        <v>54615</v>
      </c>
      <c t="s">
        <v>29936</v>
      </c>
      <c t="s">
        <v>46150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3223" s="1" t="str">
        <f ca="1">HYPERLINK("https://web.datatree.com/?/property?propertyId=33197653", "https://web.datatree.com/?/property?propertyId=33197653")</f>
        <v>https://web.datatree.com/?/property?propertyId=33197653</v>
      </c>
      <c r="Q3223" t="s">
        <v>316</v>
      </c>
      <c>
        <v>0.23</v>
      </c>
      <c t="s">
        <v>22490</v>
      </c>
      <c t="s">
        <v>31882</v>
      </c>
      <c t="s">
        <v>36004</v>
      </c>
      <c t="s">
        <v>35725</v>
      </c>
      <c t="s">
        <v>36004</v>
      </c>
      <c t="s">
        <v>60544</v>
      </c>
      <c t="s">
        <v>2626</v>
      </c>
      <c t="s">
        <v>2517</v>
      </c>
      <c t="s">
        <v>39289</v>
      </c>
      <c>
        <v>33909</v>
      </c>
      <c t="s">
        <v>1668</v>
      </c>
      <c t="s">
        <v>48794</v>
      </c>
      <c t="s">
        <v>9190</v>
      </c>
      <c>
        <v>14</v>
      </c>
      <c r="AI3223" t="s">
        <v>38131</v>
      </c>
      <c t="s">
        <v>24900</v>
      </c>
      <c r="AL3223" t="s">
        <v>54156</v>
      </c>
      <c t="s">
        <v>54156</v>
      </c>
      <c t="s">
        <v>14509</v>
      </c>
      <c t="s">
        <v>184</v>
      </c>
      <c t="s">
        <v>43446</v>
      </c>
      <c t="s">
        <v>3093</v>
      </c>
      <c t="s">
        <v>18455</v>
      </c>
    </row>
    <row>
      <c t="s">
        <v>17594</v>
      </c>
      <c t="s">
        <v>7334</v>
      </c>
      <c t="s">
        <v>9450</v>
      </c>
      <c t="s">
        <v>38661</v>
      </c>
      <c t="s">
        <v>41815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 r="O3224" s="1" t="str">
        <f ca="1">HYPERLINK("https://web.datatree.com/?/property?propertyId=33197750", "https://web.datatree.com/?/property?propertyId=33197750")</f>
        <v>https://web.datatree.com/?/property?propertyId=33197750</v>
      </c>
      <c r="Q3224" t="s">
        <v>316</v>
      </c>
      <c>
        <v>0.23</v>
      </c>
      <c t="s">
        <v>22490</v>
      </c>
      <c t="s">
        <v>59574</v>
      </c>
      <c t="s">
        <v>59609</v>
      </c>
      <c t="s">
        <v>8614</v>
      </c>
      <c t="s">
        <v>44541</v>
      </c>
      <c t="s">
        <v>44936</v>
      </c>
      <c t="s">
        <v>18679</v>
      </c>
      <c t="s">
        <v>2517</v>
      </c>
      <c t="s">
        <v>39289</v>
      </c>
      <c>
        <v>33909</v>
      </c>
      <c t="s">
        <v>66916</v>
      </c>
      <c t="s">
        <v>48794</v>
      </c>
      <c t="s">
        <v>30275</v>
      </c>
      <c>
        <v>128</v>
      </c>
      <c r="AI3224" t="s">
        <v>65830</v>
      </c>
      <c r="AK3224">
        <v>3</v>
      </c>
      <c t="s">
        <v>417</v>
      </c>
      <c t="s">
        <v>417</v>
      </c>
      <c t="s">
        <v>50917</v>
      </c>
      <c t="s">
        <v>29868</v>
      </c>
      <c t="s">
        <v>4480</v>
      </c>
      <c t="s">
        <v>3093</v>
      </c>
      <c t="s">
        <v>66120</v>
      </c>
    </row>
    <row>
      <c t="s">
        <v>17594</v>
      </c>
      <c t="s">
        <v>53940</v>
      </c>
      <c t="s">
        <v>46982</v>
      </c>
      <c t="s">
        <v>36319</v>
      </c>
      <c t="s">
        <v>5821</v>
      </c>
      <c s="3">
        <v>8333</v>
      </c>
      <c s="3">
        <v>8333</v>
      </c>
      <c s="3">
        <v>4972</v>
      </c>
      <c>
        <v>0</v>
      </c>
      <c s="3">
        <v>0</v>
      </c>
      <c s="3">
        <v>317.96</v>
      </c>
      <c s="3">
        <v>8333</v>
      </c>
      <c r="O3225" s="1" t="str">
        <f ca="1">HYPERLINK("https://web.datatree.com/?/property?propertyId=33199249", "https://web.datatree.com/?/property?propertyId=33199249")</f>
        <v>https://web.datatree.com/?/property?propertyId=33199249</v>
      </c>
      <c r="Q3225" t="s">
        <v>316</v>
      </c>
      <c>
        <v>0.249</v>
      </c>
      <c t="s">
        <v>5471</v>
      </c>
      <c t="s">
        <v>9373</v>
      </c>
      <c t="s">
        <v>15363</v>
      </c>
      <c r="X3225" t="s">
        <v>64218</v>
      </c>
      <c t="s">
        <v>1805</v>
      </c>
      <c t="s">
        <v>65059</v>
      </c>
      <c t="s">
        <v>39289</v>
      </c>
      <c>
        <v>33905</v>
      </c>
      <c t="s">
        <v>49421</v>
      </c>
      <c t="s">
        <v>48794</v>
      </c>
      <c t="s">
        <v>58249</v>
      </c>
      <c>
        <v>2330</v>
      </c>
      <c r="AI3225" t="s">
        <v>14197</v>
      </c>
      <c t="s">
        <v>24900</v>
      </c>
      <c r="AL3225" t="s">
        <v>21676</v>
      </c>
      <c r="AN3225" t="s">
        <v>39289</v>
      </c>
      <c t="s">
        <v>5580</v>
      </c>
      <c t="s">
        <v>23611</v>
      </c>
      <c t="s">
        <v>3093</v>
      </c>
      <c t="s">
        <v>52718</v>
      </c>
    </row>
    <row>
      <c t="s">
        <v>17594</v>
      </c>
      <c t="s">
        <v>10748</v>
      </c>
      <c t="s">
        <v>50479</v>
      </c>
      <c t="s">
        <v>53636</v>
      </c>
      <c t="s">
        <v>32092</v>
      </c>
      <c s="3">
        <v>154734</v>
      </c>
      <c s="3">
        <v>154734</v>
      </c>
      <c s="3">
        <v>112200</v>
      </c>
      <c>
        <v>0</v>
      </c>
      <c s="3">
        <v>0</v>
      </c>
      <c s="3">
        <v>1804</v>
      </c>
      <c s="3">
        <v>154734</v>
      </c>
      <c r="O3226" s="1" t="str">
        <f ca="1">HYPERLINK("https://web.datatree.com/?/property?propertyId=33199571", "https://web.datatree.com/?/property?propertyId=33199571")</f>
        <v>https://web.datatree.com/?/property?propertyId=33199571</v>
      </c>
      <c r="Q3226" t="s">
        <v>316</v>
      </c>
      <c>
        <v>0.203</v>
      </c>
      <c t="s">
        <v>5471</v>
      </c>
      <c t="s">
        <v>47977</v>
      </c>
      <c t="s">
        <v>51934</v>
      </c>
      <c r="W3226" t="s">
        <v>1801</v>
      </c>
      <c t="s">
        <v>30366</v>
      </c>
      <c t="s">
        <v>22297</v>
      </c>
      <c t="s">
        <v>65059</v>
      </c>
      <c t="s">
        <v>39289</v>
      </c>
      <c>
        <v>33908</v>
      </c>
      <c t="s">
        <v>50124</v>
      </c>
      <c t="s">
        <v>48794</v>
      </c>
      <c t="s">
        <v>53550</v>
      </c>
      <c>
        <v>7176</v>
      </c>
      <c r="AI3226" t="s">
        <v>61264</v>
      </c>
      <c r="AL3226" t="s">
        <v>32381</v>
      </c>
      <c t="s">
        <v>32381</v>
      </c>
      <c t="s">
        <v>39289</v>
      </c>
      <c t="s">
        <v>13050</v>
      </c>
      <c t="s">
        <v>5503</v>
      </c>
      <c t="s">
        <v>3093</v>
      </c>
      <c t="s">
        <v>61142</v>
      </c>
    </row>
    <row>
      <c t="s">
        <v>17594</v>
      </c>
      <c t="s">
        <v>7805</v>
      </c>
      <c t="s">
        <v>12556</v>
      </c>
      <c t="s">
        <v>48085</v>
      </c>
      <c t="s">
        <v>48225</v>
      </c>
      <c s="3">
        <v>15675</v>
      </c>
      <c s="3">
        <v>15675</v>
      </c>
      <c s="3">
        <v>5657</v>
      </c>
      <c>
        <v>0</v>
      </c>
      <c s="3">
        <v>0</v>
      </c>
      <c s="3">
        <v>334.6</v>
      </c>
      <c s="3">
        <v>15675</v>
      </c>
      <c r="O3227" s="1" t="str">
        <f ca="1">HYPERLINK("https://web.datatree.com/?/property?propertyId=33199945", "https://web.datatree.com/?/property?propertyId=33199945")</f>
        <v>https://web.datatree.com/?/property?propertyId=33199945</v>
      </c>
      <c r="Q3227" t="s">
        <v>316</v>
      </c>
      <c>
        <v>0.241</v>
      </c>
      <c t="s">
        <v>5471</v>
      </c>
      <c t="s">
        <v>56166</v>
      </c>
      <c t="s">
        <v>1140</v>
      </c>
      <c r="X3227" t="s">
        <v>9821</v>
      </c>
      <c t="s">
        <v>51919</v>
      </c>
      <c t="s">
        <v>65059</v>
      </c>
      <c t="s">
        <v>39289</v>
      </c>
      <c>
        <v>33905</v>
      </c>
      <c t="s">
        <v>9115</v>
      </c>
      <c t="s">
        <v>48794</v>
      </c>
      <c t="s">
        <v>632</v>
      </c>
      <c>
        <v>5851</v>
      </c>
      <c r="AI3227" t="s">
        <v>59763</v>
      </c>
      <c t="s">
        <v>24900</v>
      </c>
      <c r="AL3227" t="s">
        <v>38842</v>
      </c>
      <c r="AN3227" t="s">
        <v>50917</v>
      </c>
      <c t="s">
        <v>16211</v>
      </c>
      <c t="s">
        <v>61410</v>
      </c>
      <c t="s">
        <v>3093</v>
      </c>
      <c t="s">
        <v>43384</v>
      </c>
    </row>
    <row>
      <c t="s">
        <v>17594</v>
      </c>
      <c t="s">
        <v>52475</v>
      </c>
      <c t="s">
        <v>15639</v>
      </c>
      <c t="s">
        <v>50724</v>
      </c>
      <c t="s">
        <v>12234</v>
      </c>
      <c s="3">
        <v>26250</v>
      </c>
      <c s="3">
        <v>26250</v>
      </c>
      <c s="3">
        <v>9433</v>
      </c>
      <c>
        <v>0</v>
      </c>
      <c s="3">
        <v>0</v>
      </c>
      <c s="3">
        <v>415.68</v>
      </c>
      <c s="3">
        <v>26250</v>
      </c>
      <c r="O3228" s="1" t="str">
        <f ca="1">HYPERLINK("https://web.datatree.com/?/property?propertyId=33200881", "https://web.datatree.com/?/property?propertyId=33200881")</f>
        <v>https://web.datatree.com/?/property?propertyId=33200881</v>
      </c>
      <c r="Q3228" t="s">
        <v>316</v>
      </c>
      <c>
        <v>0.247</v>
      </c>
      <c t="s">
        <v>5471</v>
      </c>
      <c t="s">
        <v>54943</v>
      </c>
      <c t="s">
        <v>19042</v>
      </c>
      <c t="s">
        <v>20889</v>
      </c>
      <c t="s">
        <v>19042</v>
      </c>
      <c t="s">
        <v>6731</v>
      </c>
      <c t="s">
        <v>2642</v>
      </c>
      <c t="s">
        <v>65059</v>
      </c>
      <c t="s">
        <v>39289</v>
      </c>
      <c>
        <v>33905</v>
      </c>
      <c t="s">
        <v>41287</v>
      </c>
      <c t="s">
        <v>48794</v>
      </c>
      <c t="s">
        <v>67104</v>
      </c>
      <c>
        <v>1275</v>
      </c>
      <c r="AI3228" t="s">
        <v>10859</v>
      </c>
      <c t="s">
        <v>45393</v>
      </c>
      <c t="s">
        <v>61334</v>
      </c>
      <c t="s">
        <v>8109</v>
      </c>
      <c r="AN3228" t="s">
        <v>50917</v>
      </c>
      <c t="s">
        <v>15237</v>
      </c>
      <c t="s">
        <v>864</v>
      </c>
      <c t="s">
        <v>3093</v>
      </c>
      <c t="s">
        <v>58701</v>
      </c>
    </row>
    <row>
      <c t="s">
        <v>17594</v>
      </c>
      <c t="s">
        <v>15435</v>
      </c>
      <c t="s">
        <v>25027</v>
      </c>
      <c t="s">
        <v>25280</v>
      </c>
      <c t="s">
        <v>28567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3229" s="1" t="str">
        <f ca="1">HYPERLINK("https://web.datatree.com/?/property?propertyId=33201186", "https://web.datatree.com/?/property?propertyId=33201186")</f>
        <v>https://web.datatree.com/?/property?propertyId=33201186</v>
      </c>
      <c r="Q3229" t="s">
        <v>316</v>
      </c>
      <c>
        <v>0.23</v>
      </c>
      <c t="s">
        <v>22490</v>
      </c>
      <c t="s">
        <v>31756</v>
      </c>
      <c t="s">
        <v>47937</v>
      </c>
      <c t="s">
        <v>47411</v>
      </c>
      <c t="s">
        <v>42218</v>
      </c>
      <c t="s">
        <v>14886</v>
      </c>
      <c t="s">
        <v>15510</v>
      </c>
      <c t="s">
        <v>2517</v>
      </c>
      <c t="s">
        <v>39289</v>
      </c>
      <c>
        <v>33909</v>
      </c>
      <c t="s">
        <v>8780</v>
      </c>
      <c t="s">
        <v>48794</v>
      </c>
      <c t="s">
        <v>64733</v>
      </c>
      <c>
        <v>12455</v>
      </c>
      <c r="AI3229" t="s">
        <v>17524</v>
      </c>
      <c t="s">
        <v>40123</v>
      </c>
      <c r="AL3229" t="s">
        <v>52434</v>
      </c>
      <c r="AN3229" t="s">
        <v>39289</v>
      </c>
      <c t="s">
        <v>24981</v>
      </c>
      <c t="s">
        <v>636</v>
      </c>
      <c t="s">
        <v>3093</v>
      </c>
      <c t="s">
        <v>41907</v>
      </c>
    </row>
    <row>
      <c t="s">
        <v>17594</v>
      </c>
      <c t="s">
        <v>55405</v>
      </c>
      <c t="s">
        <v>48281</v>
      </c>
      <c t="s">
        <v>21433</v>
      </c>
      <c t="s">
        <v>40636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230" s="1" t="str">
        <f ca="1">HYPERLINK("https://web.datatree.com/?/property?propertyId=33201309", "https://web.datatree.com/?/property?propertyId=33201309")</f>
        <v>https://web.datatree.com/?/property?propertyId=33201309</v>
      </c>
      <c r="Q3230" t="s">
        <v>316</v>
      </c>
      <c>
        <v>0.23</v>
      </c>
      <c t="s">
        <v>6175</v>
      </c>
      <c t="s">
        <v>32044</v>
      </c>
      <c t="s">
        <v>40008</v>
      </c>
      <c t="s">
        <v>46208</v>
      </c>
      <c t="s">
        <v>37991</v>
      </c>
      <c t="s">
        <v>9937</v>
      </c>
      <c t="s">
        <v>17022</v>
      </c>
      <c t="s">
        <v>2517</v>
      </c>
      <c t="s">
        <v>39289</v>
      </c>
      <c>
        <v>33909</v>
      </c>
      <c t="s">
        <v>42836</v>
      </c>
      <c t="s">
        <v>48794</v>
      </c>
      <c t="s">
        <v>34750</v>
      </c>
      <c r="AI3230" t="s">
        <v>18196</v>
      </c>
      <c r="AL3230" t="s">
        <v>63745</v>
      </c>
      <c t="s">
        <v>63745</v>
      </c>
      <c t="s">
        <v>9533</v>
      </c>
      <c>
        <v>969</v>
      </c>
      <c r="AQ3230" t="s">
        <v>3093</v>
      </c>
      <c t="s">
        <v>55341</v>
      </c>
    </row>
    <row>
      <c t="s">
        <v>17594</v>
      </c>
      <c t="s">
        <v>6713</v>
      </c>
      <c t="s">
        <v>44701</v>
      </c>
      <c t="s">
        <v>39271</v>
      </c>
      <c t="s">
        <v>26021</v>
      </c>
      <c s="3">
        <v>9100</v>
      </c>
      <c s="3">
        <v>9100</v>
      </c>
      <c s="3">
        <v>9100</v>
      </c>
      <c>
        <v>0</v>
      </c>
      <c s="3">
        <v>0</v>
      </c>
      <c s="3">
        <v>586.77</v>
      </c>
      <c s="3">
        <v>9100</v>
      </c>
      <c>
        <v>2020</v>
      </c>
      <c>
        <v>1751.78</v>
      </c>
      <c s="1" t="str">
        <f ca="1">HYPERLINK("https://web.datatree.com/?/property?propertyId=33201502", "https://web.datatree.com/?/property?propertyId=33201502")</f>
        <v>https://web.datatree.com/?/property?propertyId=33201502</v>
      </c>
      <c r="Q3231" t="s">
        <v>316</v>
      </c>
      <c>
        <v>0.23</v>
      </c>
      <c t="s">
        <v>65422</v>
      </c>
      <c t="s">
        <v>57107</v>
      </c>
      <c t="s">
        <v>37991</v>
      </c>
      <c t="s">
        <v>66603</v>
      </c>
      <c t="s">
        <v>37991</v>
      </c>
      <c t="s">
        <v>3659</v>
      </c>
      <c t="s">
        <v>61850</v>
      </c>
      <c t="s">
        <v>2517</v>
      </c>
      <c t="s">
        <v>39289</v>
      </c>
      <c>
        <v>33909</v>
      </c>
      <c t="s">
        <v>13847</v>
      </c>
      <c t="s">
        <v>48794</v>
      </c>
      <c t="s">
        <v>60721</v>
      </c>
      <c>
        <v>16110</v>
      </c>
      <c r="AI3231" t="s">
        <v>8507</v>
      </c>
      <c t="s">
        <v>39321</v>
      </c>
      <c r="AL3231" t="s">
        <v>55393</v>
      </c>
      <c r="AN3231" t="s">
        <v>39289</v>
      </c>
      <c t="s">
        <v>31195</v>
      </c>
      <c t="s">
        <v>15686</v>
      </c>
      <c t="s">
        <v>3093</v>
      </c>
      <c t="s">
        <v>12162</v>
      </c>
    </row>
    <row>
      <c t="s">
        <v>17594</v>
      </c>
      <c t="s">
        <v>35670</v>
      </c>
      <c t="s">
        <v>57460</v>
      </c>
      <c t="s">
        <v>50878</v>
      </c>
      <c t="s">
        <v>40058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232" s="1" t="str">
        <f ca="1">HYPERLINK("https://web.datatree.com/?/property?propertyId=33201778", "https://web.datatree.com/?/property?propertyId=33201778")</f>
        <v>https://web.datatree.com/?/property?propertyId=33201778</v>
      </c>
      <c r="Q3232" t="s">
        <v>316</v>
      </c>
      <c>
        <v>0.234</v>
      </c>
      <c t="s">
        <v>22490</v>
      </c>
      <c t="s">
        <v>52880</v>
      </c>
      <c t="s">
        <v>39923</v>
      </c>
      <c t="s">
        <v>37690</v>
      </c>
      <c t="s">
        <v>39923</v>
      </c>
      <c t="s">
        <v>60188</v>
      </c>
      <c t="s">
        <v>41506</v>
      </c>
      <c t="s">
        <v>2517</v>
      </c>
      <c t="s">
        <v>39289</v>
      </c>
      <c>
        <v>33909</v>
      </c>
      <c t="s">
        <v>45688</v>
      </c>
      <c t="s">
        <v>48794</v>
      </c>
      <c t="s">
        <v>29710</v>
      </c>
      <c>
        <v>228</v>
      </c>
      <c r="AI3232" t="s">
        <v>19249</v>
      </c>
      <c t="s">
        <v>45393</v>
      </c>
      <c r="AL3232" t="s">
        <v>55252</v>
      </c>
      <c r="AN3232" t="s">
        <v>460</v>
      </c>
      <c t="s">
        <v>50400</v>
      </c>
      <c t="s">
        <v>702</v>
      </c>
      <c t="s">
        <v>3093</v>
      </c>
      <c t="s">
        <v>48895</v>
      </c>
    </row>
    <row>
      <c t="s">
        <v>17594</v>
      </c>
      <c t="s">
        <v>48650</v>
      </c>
      <c t="s">
        <v>45667</v>
      </c>
      <c t="s">
        <v>38155</v>
      </c>
      <c t="s">
        <v>10815</v>
      </c>
      <c s="3">
        <v>17210</v>
      </c>
      <c s="3">
        <v>17210</v>
      </c>
      <c s="3">
        <v>9075</v>
      </c>
      <c>
        <v>0</v>
      </c>
      <c s="3">
        <v>0</v>
      </c>
      <c s="3">
        <v>557.94</v>
      </c>
      <c s="3">
        <v>17210</v>
      </c>
      <c>
        <v>2021</v>
      </c>
      <c>
        <v>541.95</v>
      </c>
      <c s="1" t="str">
        <f ca="1">HYPERLINK("https://web.datatree.com/?/property?propertyId=33202089", "https://web.datatree.com/?/property?propertyId=33202089")</f>
        <v>https://web.datatree.com/?/property?propertyId=33202089</v>
      </c>
      <c r="Q3233" t="s">
        <v>316</v>
      </c>
      <c>
        <v>0.244</v>
      </c>
      <c t="s">
        <v>6175</v>
      </c>
      <c t="s">
        <v>63011</v>
      </c>
      <c t="s">
        <v>14637</v>
      </c>
      <c r="X3233" t="s">
        <v>52595</v>
      </c>
      <c t="s">
        <v>2626</v>
      </c>
      <c t="s">
        <v>2517</v>
      </c>
      <c t="s">
        <v>39289</v>
      </c>
      <c>
        <v>33909</v>
      </c>
      <c t="s">
        <v>60273</v>
      </c>
      <c t="s">
        <v>48794</v>
      </c>
      <c t="s">
        <v>38638</v>
      </c>
      <c>
        <v>5241</v>
      </c>
      <c r="AI3233" t="s">
        <v>44560</v>
      </c>
      <c t="s">
        <v>31192</v>
      </c>
      <c r="AL3233" t="s">
        <v>41781</v>
      </c>
      <c r="AN3233" t="s">
        <v>39289</v>
      </c>
      <c t="s">
        <v>40751</v>
      </c>
      <c t="s">
        <v>52393</v>
      </c>
      <c t="s">
        <v>3093</v>
      </c>
      <c t="s">
        <v>38086</v>
      </c>
    </row>
    <row>
      <c t="s">
        <v>17594</v>
      </c>
      <c t="s">
        <v>24971</v>
      </c>
      <c t="s">
        <v>36256</v>
      </c>
      <c t="s">
        <v>17362</v>
      </c>
      <c t="s">
        <v>25716</v>
      </c>
      <c s="3">
        <v>7700</v>
      </c>
      <c s="3">
        <v>7700</v>
      </c>
      <c s="3">
        <v>7700</v>
      </c>
      <c>
        <v>0</v>
      </c>
      <c s="3">
        <v>0</v>
      </c>
      <c s="3">
        <v>561.47</v>
      </c>
      <c s="3">
        <v>7700</v>
      </c>
      <c r="O3234" s="1" t="str">
        <f ca="1">HYPERLINK("https://web.datatree.com/?/property?propertyId=33202622", "https://web.datatree.com/?/property?propertyId=33202622")</f>
        <v>https://web.datatree.com/?/property?propertyId=33202622</v>
      </c>
      <c r="Q3234" t="s">
        <v>316</v>
      </c>
      <c>
        <v>0.248</v>
      </c>
      <c t="s">
        <v>28270</v>
      </c>
      <c t="s">
        <v>2140</v>
      </c>
      <c t="s">
        <v>48122</v>
      </c>
      <c t="s">
        <v>3293</v>
      </c>
      <c t="s">
        <v>48122</v>
      </c>
      <c t="s">
        <v>7611</v>
      </c>
      <c t="s">
        <v>39777</v>
      </c>
      <c t="s">
        <v>2517</v>
      </c>
      <c t="s">
        <v>39289</v>
      </c>
      <c>
        <v>33909</v>
      </c>
      <c t="s">
        <v>33501</v>
      </c>
      <c t="s">
        <v>48794</v>
      </c>
      <c t="s">
        <v>65580</v>
      </c>
      <c>
        <v>616</v>
      </c>
      <c r="AI3234" t="s">
        <v>57088</v>
      </c>
      <c t="s">
        <v>31192</v>
      </c>
      <c r="AL3234" t="s">
        <v>8990</v>
      </c>
      <c r="AN3234" t="s">
        <v>65467</v>
      </c>
      <c t="s">
        <v>46395</v>
      </c>
      <c t="s">
        <v>34162</v>
      </c>
      <c t="s">
        <v>3093</v>
      </c>
      <c t="s">
        <v>10023</v>
      </c>
    </row>
    <row>
      <c t="s">
        <v>17594</v>
      </c>
      <c t="s">
        <v>54483</v>
      </c>
      <c t="s">
        <v>5912</v>
      </c>
      <c t="s">
        <v>29623</v>
      </c>
      <c t="s">
        <v>30213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3235" s="1" t="str">
        <f ca="1">HYPERLINK("https://web.datatree.com/?/property?propertyId=33203303", "https://web.datatree.com/?/property?propertyId=33203303")</f>
        <v>https://web.datatree.com/?/property?propertyId=33203303</v>
      </c>
      <c r="Q3235" t="s">
        <v>316</v>
      </c>
      <c>
        <v>0.244</v>
      </c>
      <c t="s">
        <v>6175</v>
      </c>
      <c t="s">
        <v>5759</v>
      </c>
      <c t="s">
        <v>12600</v>
      </c>
      <c t="s">
        <v>56743</v>
      </c>
      <c t="s">
        <v>12600</v>
      </c>
      <c t="s">
        <v>14608</v>
      </c>
      <c t="s">
        <v>30928</v>
      </c>
      <c t="s">
        <v>2517</v>
      </c>
      <c t="s">
        <v>39289</v>
      </c>
      <c>
        <v>33909</v>
      </c>
      <c t="s">
        <v>19</v>
      </c>
      <c t="s">
        <v>48794</v>
      </c>
      <c t="s">
        <v>52122</v>
      </c>
      <c>
        <v>11</v>
      </c>
      <c r="AI3235" t="s">
        <v>258</v>
      </c>
      <c t="s">
        <v>45393</v>
      </c>
      <c r="AL3235" t="s">
        <v>57063</v>
      </c>
      <c t="s">
        <v>273</v>
      </c>
      <c t="s">
        <v>50917</v>
      </c>
      <c t="s">
        <v>12678</v>
      </c>
      <c t="s">
        <v>32746</v>
      </c>
      <c t="s">
        <v>3093</v>
      </c>
      <c t="s">
        <v>50245</v>
      </c>
    </row>
    <row>
      <c t="s">
        <v>17594</v>
      </c>
      <c t="s">
        <v>12718</v>
      </c>
      <c t="s">
        <v>52574</v>
      </c>
      <c t="s">
        <v>18577</v>
      </c>
      <c t="s">
        <v>26621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3236" s="1" t="str">
        <f ca="1">HYPERLINK("https://web.datatree.com/?/property?propertyId=33203365", "https://web.datatree.com/?/property?propertyId=33203365")</f>
        <v>https://web.datatree.com/?/property?propertyId=33203365</v>
      </c>
      <c r="Q3236" t="s">
        <v>316</v>
      </c>
      <c>
        <v>0.23</v>
      </c>
      <c t="s">
        <v>6175</v>
      </c>
      <c t="s">
        <v>8444</v>
      </c>
      <c t="s">
        <v>41949</v>
      </c>
      <c r="X3236" t="s">
        <v>5477</v>
      </c>
      <c t="s">
        <v>29190</v>
      </c>
      <c t="s">
        <v>2517</v>
      </c>
      <c t="s">
        <v>39289</v>
      </c>
      <c>
        <v>33909</v>
      </c>
      <c t="s">
        <v>124</v>
      </c>
      <c t="s">
        <v>48794</v>
      </c>
      <c t="s">
        <v>1666</v>
      </c>
      <c>
        <v>1904</v>
      </c>
      <c r="AI3236" t="s">
        <v>53134</v>
      </c>
      <c t="s">
        <v>31192</v>
      </c>
      <c r="AL3236" t="s">
        <v>49170</v>
      </c>
      <c r="AN3236" t="s">
        <v>19878</v>
      </c>
      <c t="s">
        <v>18381</v>
      </c>
      <c t="s">
        <v>13449</v>
      </c>
      <c t="s">
        <v>3093</v>
      </c>
      <c t="s">
        <v>66700</v>
      </c>
    </row>
    <row>
      <c t="s">
        <v>17594</v>
      </c>
      <c t="s">
        <v>11105</v>
      </c>
      <c t="s">
        <v>18742</v>
      </c>
      <c t="s">
        <v>1624</v>
      </c>
      <c t="s">
        <v>36429</v>
      </c>
      <c s="3">
        <v>47864</v>
      </c>
      <c s="3">
        <v>47864</v>
      </c>
      <c s="3">
        <v>17448</v>
      </c>
      <c>
        <v>0</v>
      </c>
      <c s="3">
        <v>0</v>
      </c>
      <c s="3">
        <v>857.63</v>
      </c>
      <c s="3">
        <v>47864</v>
      </c>
      <c r="O3237" s="1" t="str">
        <f ca="1">HYPERLINK("https://web.datatree.com/?/property?propertyId=33203371", "https://web.datatree.com/?/property?propertyId=33203371")</f>
        <v>https://web.datatree.com/?/property?propertyId=33203371</v>
      </c>
      <c r="Q3237" t="s">
        <v>316</v>
      </c>
      <c>
        <v>0.23</v>
      </c>
      <c t="s">
        <v>6175</v>
      </c>
      <c r="U3237" t="s">
        <v>62578</v>
      </c>
      <c r="W3237" t="s">
        <v>48137</v>
      </c>
      <c t="s">
        <v>14182</v>
      </c>
      <c t="s">
        <v>49674</v>
      </c>
      <c t="s">
        <v>2517</v>
      </c>
      <c t="s">
        <v>39289</v>
      </c>
      <c>
        <v>33904</v>
      </c>
      <c t="s">
        <v>35546</v>
      </c>
      <c t="s">
        <v>48794</v>
      </c>
      <c t="s">
        <v>36893</v>
      </c>
      <c>
        <v>3817</v>
      </c>
      <c r="AI3237" t="s">
        <v>6044</v>
      </c>
      <c t="s">
        <v>24900</v>
      </c>
      <c r="AL3237" t="s">
        <v>11428</v>
      </c>
      <c r="AN3237" t="s">
        <v>65451</v>
      </c>
      <c t="s">
        <v>4764</v>
      </c>
      <c t="s">
        <v>45980</v>
      </c>
      <c t="s">
        <v>3093</v>
      </c>
      <c t="s">
        <v>26657</v>
      </c>
    </row>
    <row>
      <c t="s">
        <v>17594</v>
      </c>
      <c t="s">
        <v>175</v>
      </c>
      <c t="s">
        <v>49283</v>
      </c>
      <c t="s">
        <v>19008</v>
      </c>
      <c t="s">
        <v>27986</v>
      </c>
      <c s="3">
        <v>8000</v>
      </c>
      <c s="3">
        <v>8000</v>
      </c>
      <c s="3">
        <v>8000</v>
      </c>
      <c>
        <v>0</v>
      </c>
      <c s="3">
        <v>0</v>
      </c>
      <c s="3">
        <v>719.11</v>
      </c>
      <c s="3">
        <v>8000</v>
      </c>
      <c r="O3238" s="1" t="str">
        <f ca="1">HYPERLINK("https://web.datatree.com/?/property?propertyId=33203981", "https://web.datatree.com/?/property?propertyId=33203981")</f>
        <v>https://web.datatree.com/?/property?propertyId=33203981</v>
      </c>
      <c r="Q3238" t="s">
        <v>316</v>
      </c>
      <c>
        <v>0.244</v>
      </c>
      <c t="s">
        <v>65612</v>
      </c>
      <c t="s">
        <v>49256</v>
      </c>
      <c t="s">
        <v>20579</v>
      </c>
      <c t="s">
        <v>35980</v>
      </c>
      <c t="s">
        <v>35839</v>
      </c>
      <c t="s">
        <v>40124</v>
      </c>
      <c t="s">
        <v>38550</v>
      </c>
      <c t="s">
        <v>2517</v>
      </c>
      <c t="s">
        <v>39289</v>
      </c>
      <c>
        <v>33909</v>
      </c>
      <c t="s">
        <v>28350</v>
      </c>
      <c t="s">
        <v>48794</v>
      </c>
      <c t="s">
        <v>61117</v>
      </c>
      <c>
        <v>1514</v>
      </c>
      <c r="AI3238" t="s">
        <v>54019</v>
      </c>
      <c t="s">
        <v>31192</v>
      </c>
      <c r="AL3238" t="s">
        <v>7812</v>
      </c>
      <c t="s">
        <v>6929</v>
      </c>
      <c t="s">
        <v>49572</v>
      </c>
      <c t="s">
        <v>40022</v>
      </c>
      <c t="s">
        <v>14845</v>
      </c>
      <c t="s">
        <v>3093</v>
      </c>
      <c t="s">
        <v>17590</v>
      </c>
    </row>
    <row>
      <c t="s">
        <v>17594</v>
      </c>
      <c t="s">
        <v>43955</v>
      </c>
      <c t="s">
        <v>33723</v>
      </c>
      <c t="s">
        <v>19748</v>
      </c>
      <c t="s">
        <v>15054</v>
      </c>
      <c s="3">
        <v>17100</v>
      </c>
      <c s="3">
        <v>17100</v>
      </c>
      <c s="3">
        <v>9599</v>
      </c>
      <c>
        <v>0</v>
      </c>
      <c s="3">
        <v>0</v>
      </c>
      <c s="3">
        <v>679.66</v>
      </c>
      <c s="3">
        <v>17100</v>
      </c>
      <c r="O3239" s="1" t="str">
        <f ca="1">HYPERLINK("https://web.datatree.com/?/property?propertyId=33205047", "https://web.datatree.com/?/property?propertyId=33205047")</f>
        <v>https://web.datatree.com/?/property?propertyId=33205047</v>
      </c>
      <c r="Q3239" t="s">
        <v>316</v>
      </c>
      <c>
        <v>0.36</v>
      </c>
      <c t="s">
        <v>6175</v>
      </c>
      <c t="s">
        <v>1599</v>
      </c>
      <c t="s">
        <v>6300</v>
      </c>
      <c r="X3239" t="s">
        <v>49495</v>
      </c>
      <c t="s">
        <v>29190</v>
      </c>
      <c t="s">
        <v>2517</v>
      </c>
      <c t="s">
        <v>39289</v>
      </c>
      <c>
        <v>33909</v>
      </c>
      <c t="s">
        <v>51902</v>
      </c>
      <c t="s">
        <v>48794</v>
      </c>
      <c t="s">
        <v>55315</v>
      </c>
      <c>
        <v>15</v>
      </c>
      <c r="AI3239" t="s">
        <v>24708</v>
      </c>
      <c r="AL3239" t="s">
        <v>33356</v>
      </c>
      <c r="AN3239" t="s">
        <v>63985</v>
      </c>
      <c>
        <v>71717</v>
      </c>
      <c r="AR3239" t="s">
        <v>34847</v>
      </c>
    </row>
    <row>
      <c t="s">
        <v>17594</v>
      </c>
      <c t="s">
        <v>4620</v>
      </c>
      <c t="s">
        <v>2421</v>
      </c>
      <c t="s">
        <v>41726</v>
      </c>
      <c t="s">
        <v>20884</v>
      </c>
      <c s="3">
        <v>21045</v>
      </c>
      <c s="3">
        <v>21045</v>
      </c>
      <c s="3">
        <v>8800</v>
      </c>
      <c>
        <v>0</v>
      </c>
      <c s="3">
        <v>0</v>
      </c>
      <c s="3">
        <v>598.34</v>
      </c>
      <c s="3">
        <v>21045</v>
      </c>
      <c r="O3240" s="1" t="str">
        <f ca="1">HYPERLINK("https://web.datatree.com/?/property?propertyId=33205080", "https://web.datatree.com/?/property?propertyId=33205080")</f>
        <v>https://web.datatree.com/?/property?propertyId=33205080</v>
      </c>
      <c r="Q3240" t="s">
        <v>316</v>
      </c>
      <c>
        <v>0.244</v>
      </c>
      <c t="s">
        <v>22490</v>
      </c>
      <c t="s">
        <v>24409</v>
      </c>
      <c t="s">
        <v>66601</v>
      </c>
      <c r="X3240" t="s">
        <v>32644</v>
      </c>
      <c t="s">
        <v>23517</v>
      </c>
      <c t="s">
        <v>2517</v>
      </c>
      <c t="s">
        <v>39289</v>
      </c>
      <c>
        <v>33909</v>
      </c>
      <c t="s">
        <v>66152</v>
      </c>
      <c t="s">
        <v>48794</v>
      </c>
      <c t="s">
        <v>32033</v>
      </c>
      <c t="s">
        <v>56770</v>
      </c>
      <c r="AI3240" t="s">
        <v>22296</v>
      </c>
      <c t="s">
        <v>45620</v>
      </c>
      <c r="AL3240" t="s">
        <v>21872</v>
      </c>
      <c r="AN3240" t="s">
        <v>27481</v>
      </c>
      <c t="s">
        <v>32912</v>
      </c>
      <c t="s">
        <v>22455</v>
      </c>
      <c t="s">
        <v>3093</v>
      </c>
      <c t="s">
        <v>51275</v>
      </c>
    </row>
    <row>
      <c t="s">
        <v>17594</v>
      </c>
      <c t="s">
        <v>40075</v>
      </c>
      <c t="s">
        <v>66110</v>
      </c>
      <c t="s">
        <v>25068</v>
      </c>
      <c t="s">
        <v>1403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3241" s="1" t="str">
        <f ca="1">HYPERLINK("https://web.datatree.com/?/property?propertyId=33205280", "https://web.datatree.com/?/property?propertyId=33205280")</f>
        <v>https://web.datatree.com/?/property?propertyId=33205280</v>
      </c>
      <c r="Q3241" t="s">
        <v>316</v>
      </c>
      <c>
        <v>0.23</v>
      </c>
      <c t="s">
        <v>22490</v>
      </c>
      <c t="s">
        <v>16753</v>
      </c>
      <c t="s">
        <v>45794</v>
      </c>
      <c t="s">
        <v>67045</v>
      </c>
      <c t="s">
        <v>45794</v>
      </c>
      <c t="s">
        <v>25627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15170</v>
      </c>
      <c>
        <v>855</v>
      </c>
      <c r="AI3241" t="s">
        <v>18408</v>
      </c>
      <c t="s">
        <v>835</v>
      </c>
      <c r="AL3241" t="s">
        <v>49111</v>
      </c>
      <c r="AN3241" t="s">
        <v>66651</v>
      </c>
      <c t="s">
        <v>62923</v>
      </c>
      <c t="s">
        <v>10634</v>
      </c>
      <c t="s">
        <v>3093</v>
      </c>
      <c t="s">
        <v>13547</v>
      </c>
    </row>
    <row>
      <c t="s">
        <v>17594</v>
      </c>
      <c t="s">
        <v>52832</v>
      </c>
      <c t="s">
        <v>23004</v>
      </c>
      <c t="s">
        <v>32508</v>
      </c>
      <c t="s">
        <v>38187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242" s="1" t="str">
        <f ca="1">HYPERLINK("https://web.datatree.com/?/property?propertyId=33205635", "https://web.datatree.com/?/property?propertyId=33205635")</f>
        <v>https://web.datatree.com/?/property?propertyId=33205635</v>
      </c>
      <c r="Q3242" t="s">
        <v>316</v>
      </c>
      <c>
        <v>0.23</v>
      </c>
      <c t="s">
        <v>6175</v>
      </c>
      <c t="s">
        <v>63411</v>
      </c>
      <c t="s">
        <v>29526</v>
      </c>
      <c t="s">
        <v>20069</v>
      </c>
      <c t="s">
        <v>45550</v>
      </c>
      <c t="s">
        <v>15132</v>
      </c>
      <c t="s">
        <v>64331</v>
      </c>
      <c t="s">
        <v>2517</v>
      </c>
      <c t="s">
        <v>39289</v>
      </c>
      <c>
        <v>33909</v>
      </c>
      <c t="s">
        <v>39060</v>
      </c>
      <c t="s">
        <v>48794</v>
      </c>
      <c t="s">
        <v>60428</v>
      </c>
      <c>
        <v>612</v>
      </c>
      <c r="AH3242" t="s">
        <v>26580</v>
      </c>
      <c t="s">
        <v>45304</v>
      </c>
      <c t="s">
        <v>24900</v>
      </c>
      <c r="AL3242" t="s">
        <v>51960</v>
      </c>
      <c r="AN3242" t="s">
        <v>39289</v>
      </c>
      <c t="s">
        <v>31634</v>
      </c>
      <c t="s">
        <v>15968</v>
      </c>
      <c t="s">
        <v>3093</v>
      </c>
      <c t="s">
        <v>55626</v>
      </c>
    </row>
    <row>
      <c t="s">
        <v>17594</v>
      </c>
      <c t="s">
        <v>18842</v>
      </c>
      <c t="s">
        <v>27187</v>
      </c>
      <c t="s">
        <v>6189</v>
      </c>
      <c t="s">
        <v>14033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243" s="1" t="str">
        <f ca="1">HYPERLINK("https://web.datatree.com/?/property?propertyId=33205770", "https://web.datatree.com/?/property?propertyId=33205770")</f>
        <v>https://web.datatree.com/?/property?propertyId=33205770</v>
      </c>
      <c r="Q3243" t="s">
        <v>316</v>
      </c>
      <c>
        <v>0.23</v>
      </c>
      <c t="s">
        <v>22490</v>
      </c>
      <c r="U3243" t="s">
        <v>46070</v>
      </c>
      <c t="s">
        <v>65985</v>
      </c>
      <c t="s">
        <v>46201</v>
      </c>
      <c t="s">
        <v>26102</v>
      </c>
      <c t="s">
        <v>23517</v>
      </c>
      <c t="s">
        <v>2517</v>
      </c>
      <c t="s">
        <v>39289</v>
      </c>
      <c>
        <v>33909</v>
      </c>
      <c t="s">
        <v>61307</v>
      </c>
      <c t="s">
        <v>48794</v>
      </c>
      <c t="s">
        <v>4403</v>
      </c>
      <c>
        <v>1100</v>
      </c>
      <c r="AI3243" t="s">
        <v>31393</v>
      </c>
      <c t="s">
        <v>45620</v>
      </c>
      <c>
        <v>1105</v>
      </c>
      <c t="s">
        <v>19042</v>
      </c>
      <c t="s">
        <v>19042</v>
      </c>
      <c t="s">
        <v>18236</v>
      </c>
      <c t="s">
        <v>9402</v>
      </c>
      <c t="s">
        <v>15968</v>
      </c>
      <c t="s">
        <v>3093</v>
      </c>
      <c t="s">
        <v>57012</v>
      </c>
    </row>
    <row>
      <c t="s">
        <v>17594</v>
      </c>
      <c t="s">
        <v>20834</v>
      </c>
      <c t="s">
        <v>50716</v>
      </c>
      <c t="s">
        <v>55061</v>
      </c>
      <c t="s">
        <v>24810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244" s="1" t="str">
        <f ca="1">HYPERLINK("https://web.datatree.com/?/property?propertyId=33205829", "https://web.datatree.com/?/property?propertyId=33205829")</f>
        <v>https://web.datatree.com/?/property?propertyId=33205829</v>
      </c>
      <c r="Q3244" t="s">
        <v>316</v>
      </c>
      <c>
        <v>0.23</v>
      </c>
      <c t="s">
        <v>6175</v>
      </c>
      <c t="s">
        <v>2140</v>
      </c>
      <c t="s">
        <v>56439</v>
      </c>
      <c t="s">
        <v>26059</v>
      </c>
      <c t="s">
        <v>56439</v>
      </c>
      <c t="s">
        <v>9094</v>
      </c>
      <c t="s">
        <v>23517</v>
      </c>
      <c t="s">
        <v>2517</v>
      </c>
      <c t="s">
        <v>39289</v>
      </c>
      <c>
        <v>33909</v>
      </c>
      <c t="s">
        <v>17137</v>
      </c>
      <c t="s">
        <v>48794</v>
      </c>
      <c t="s">
        <v>26080</v>
      </c>
      <c>
        <v>20233</v>
      </c>
      <c r="AI3244" t="s">
        <v>34168</v>
      </c>
      <c t="s">
        <v>45620</v>
      </c>
      <c r="AL3244" t="s">
        <v>26386</v>
      </c>
      <c r="AN3244" t="s">
        <v>65451</v>
      </c>
      <c t="s">
        <v>4948</v>
      </c>
      <c t="s">
        <v>44428</v>
      </c>
      <c t="s">
        <v>3093</v>
      </c>
      <c t="s">
        <v>66325</v>
      </c>
    </row>
    <row>
      <c t="s">
        <v>17594</v>
      </c>
      <c t="s">
        <v>65446</v>
      </c>
      <c t="s">
        <v>2812</v>
      </c>
      <c t="s">
        <v>12984</v>
      </c>
      <c t="s">
        <v>42158</v>
      </c>
      <c s="3">
        <v>41616</v>
      </c>
      <c s="3">
        <v>41616</v>
      </c>
      <c s="3">
        <v>12697</v>
      </c>
      <c>
        <v>0</v>
      </c>
      <c s="3">
        <v>0</v>
      </c>
      <c s="3">
        <v>347.63</v>
      </c>
      <c s="3">
        <v>41616</v>
      </c>
      <c r="O3245" s="1" t="str">
        <f ca="1">HYPERLINK("https://web.datatree.com/?/property?propertyId=33206124", "https://web.datatree.com/?/property?propertyId=33206124")</f>
        <v>https://web.datatree.com/?/property?propertyId=33206124</v>
      </c>
      <c r="Q3245" t="s">
        <v>316</v>
      </c>
      <c>
        <v>2</v>
      </c>
      <c t="s">
        <v>30497</v>
      </c>
      <c t="s">
        <v>552</v>
      </c>
      <c t="s">
        <v>13448</v>
      </c>
      <c r="X3245" t="s">
        <v>10647</v>
      </c>
      <c t="s">
        <v>14937</v>
      </c>
      <c t="s">
        <v>54524</v>
      </c>
      <c t="s">
        <v>39289</v>
      </c>
      <c>
        <v>33903</v>
      </c>
      <c>
        <v>33903</v>
      </c>
      <c t="s">
        <v>48794</v>
      </c>
      <c t="s">
        <v>36622</v>
      </c>
      <c>
        <v>133</v>
      </c>
      <c r="AI3245" t="s">
        <v>48626</v>
      </c>
      <c t="s">
        <v>45393</v>
      </c>
      <c r="AL3245" t="s">
        <v>41482</v>
      </c>
      <c t="s">
        <v>41482</v>
      </c>
      <c t="s">
        <v>51087</v>
      </c>
      <c t="s">
        <v>37885</v>
      </c>
      <c t="s">
        <v>26242</v>
      </c>
      <c t="s">
        <v>3093</v>
      </c>
      <c t="s">
        <v>59396</v>
      </c>
    </row>
    <row>
      <c t="s">
        <v>17594</v>
      </c>
      <c t="s">
        <v>6058</v>
      </c>
      <c t="s">
        <v>12000</v>
      </c>
      <c t="s">
        <v>27712</v>
      </c>
      <c t="s">
        <v>53874</v>
      </c>
      <c s="3">
        <v>70968</v>
      </c>
      <c s="3">
        <v>63500</v>
      </c>
      <c s="3">
        <v>68715</v>
      </c>
      <c>
        <v>0</v>
      </c>
      <c s="3">
        <v>0</v>
      </c>
      <c s="3">
        <v>1046.19</v>
      </c>
      <c s="3">
        <v>70968</v>
      </c>
      <c r="O3246" s="1" t="str">
        <f ca="1">HYPERLINK("https://web.datatree.com/?/property?propertyId=33206381", "https://web.datatree.com/?/property?propertyId=33206381")</f>
        <v>https://web.datatree.com/?/property?propertyId=33206381</v>
      </c>
      <c r="Q3246" t="s">
        <v>316</v>
      </c>
      <c>
        <v>0.094</v>
      </c>
      <c t="s">
        <v>26492</v>
      </c>
      <c t="s">
        <v>58129</v>
      </c>
      <c t="s">
        <v>20785</v>
      </c>
      <c t="s">
        <v>24894</v>
      </c>
      <c t="s">
        <v>20785</v>
      </c>
      <c t="s">
        <v>19931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15759</v>
      </c>
      <c>
        <v>36</v>
      </c>
      <c r="AI3246" t="s">
        <v>6760</v>
      </c>
      <c t="s">
        <v>45620</v>
      </c>
      <c r="AL3246" t="s">
        <v>47027</v>
      </c>
      <c t="s">
        <v>6253</v>
      </c>
      <c t="s">
        <v>22275</v>
      </c>
      <c t="s">
        <v>56886</v>
      </c>
      <c t="s">
        <v>47183</v>
      </c>
      <c t="s">
        <v>3093</v>
      </c>
      <c t="s">
        <v>36302</v>
      </c>
    </row>
    <row>
      <c t="s">
        <v>17594</v>
      </c>
      <c t="s">
        <v>43849</v>
      </c>
      <c t="s">
        <v>23185</v>
      </c>
      <c t="s">
        <v>2590</v>
      </c>
      <c t="s">
        <v>6499</v>
      </c>
      <c s="3">
        <v>8000</v>
      </c>
      <c s="3">
        <v>8000</v>
      </c>
      <c s="3">
        <v>8000</v>
      </c>
      <c>
        <v>0</v>
      </c>
      <c s="3">
        <v>0</v>
      </c>
      <c s="3">
        <v>640.46</v>
      </c>
      <c s="3">
        <v>8000</v>
      </c>
      <c r="O3247" s="1" t="str">
        <f ca="1">HYPERLINK("https://web.datatree.com/?/property?propertyId=33206526", "https://web.datatree.com/?/property?propertyId=33206526")</f>
        <v>https://web.datatree.com/?/property?propertyId=33206526</v>
      </c>
      <c r="Q3247" t="s">
        <v>316</v>
      </c>
      <c>
        <v>0.23</v>
      </c>
      <c t="s">
        <v>33269</v>
      </c>
      <c t="s">
        <v>35571</v>
      </c>
      <c t="s">
        <v>63591</v>
      </c>
      <c r="X3247" t="s">
        <v>48707</v>
      </c>
      <c t="s">
        <v>13478</v>
      </c>
      <c t="s">
        <v>2517</v>
      </c>
      <c t="s">
        <v>39289</v>
      </c>
      <c>
        <v>33909</v>
      </c>
      <c t="s">
        <v>31084</v>
      </c>
      <c t="s">
        <v>48794</v>
      </c>
      <c t="s">
        <v>59461</v>
      </c>
      <c>
        <v>8</v>
      </c>
      <c r="AI3247" t="s">
        <v>33318</v>
      </c>
      <c t="s">
        <v>55842</v>
      </c>
      <c r="AL3247" t="s">
        <v>53335</v>
      </c>
      <c r="AN3247" t="s">
        <v>26016</v>
      </c>
      <c t="s">
        <v>63516</v>
      </c>
      <c t="s">
        <v>702</v>
      </c>
      <c t="s">
        <v>3093</v>
      </c>
      <c t="s">
        <v>29725</v>
      </c>
    </row>
    <row>
      <c t="s">
        <v>17594</v>
      </c>
      <c t="s">
        <v>27669</v>
      </c>
      <c t="s">
        <v>3241</v>
      </c>
      <c t="s">
        <v>43102</v>
      </c>
      <c t="s">
        <v>36805</v>
      </c>
      <c s="3">
        <v>146394</v>
      </c>
      <c s="3">
        <v>146394</v>
      </c>
      <c s="3">
        <v>146394</v>
      </c>
      <c>
        <v>0</v>
      </c>
      <c s="3">
        <v>0</v>
      </c>
      <c s="3">
        <v>2757.19</v>
      </c>
      <c s="3">
        <v>146394</v>
      </c>
      <c r="O3248" s="1" t="str">
        <f ca="1">HYPERLINK("https://web.datatree.com/?/property?propertyId=33206593", "https://web.datatree.com/?/property?propertyId=33206593")</f>
        <v>https://web.datatree.com/?/property?propertyId=33206593</v>
      </c>
      <c r="Q3248" t="s">
        <v>316</v>
      </c>
      <c>
        <v>0.266</v>
      </c>
      <c t="s">
        <v>22490</v>
      </c>
      <c t="s">
        <v>27760</v>
      </c>
      <c t="s">
        <v>52043</v>
      </c>
      <c r="X3248" t="s">
        <v>61896</v>
      </c>
      <c t="s">
        <v>64331</v>
      </c>
      <c t="s">
        <v>2517</v>
      </c>
      <c t="s">
        <v>39289</v>
      </c>
      <c>
        <v>33904</v>
      </c>
      <c>
        <v>33904</v>
      </c>
      <c t="s">
        <v>48794</v>
      </c>
      <c t="s">
        <v>48132</v>
      </c>
      <c>
        <v>25</v>
      </c>
      <c r="AI3248" t="s">
        <v>11241</v>
      </c>
      <c t="s">
        <v>45620</v>
      </c>
      <c r="AL3248" t="s">
        <v>40977</v>
      </c>
      <c t="s">
        <v>40977</v>
      </c>
      <c t="s">
        <v>26016</v>
      </c>
      <c t="s">
        <v>9657</v>
      </c>
      <c t="s">
        <v>27720</v>
      </c>
      <c t="s">
        <v>3093</v>
      </c>
      <c t="s">
        <v>56301</v>
      </c>
    </row>
    <row>
      <c t="s">
        <v>17594</v>
      </c>
      <c t="s">
        <v>19566</v>
      </c>
      <c t="s">
        <v>57616</v>
      </c>
      <c t="s">
        <v>55779</v>
      </c>
      <c t="s">
        <v>55070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3249" s="1" t="str">
        <f ca="1">HYPERLINK("https://web.datatree.com/?/property?propertyId=33206686", "https://web.datatree.com/?/property?propertyId=33206686")</f>
        <v>https://web.datatree.com/?/property?propertyId=33206686</v>
      </c>
      <c r="Q3249" t="s">
        <v>316</v>
      </c>
      <c>
        <v>0.279</v>
      </c>
      <c t="s">
        <v>5471</v>
      </c>
      <c t="s">
        <v>44541</v>
      </c>
      <c t="s">
        <v>13620</v>
      </c>
      <c t="s">
        <v>56577</v>
      </c>
      <c t="s">
        <v>13620</v>
      </c>
      <c t="s">
        <v>61441</v>
      </c>
      <c t="s">
        <v>61272</v>
      </c>
      <c t="s">
        <v>65059</v>
      </c>
      <c t="s">
        <v>39289</v>
      </c>
      <c>
        <v>33905</v>
      </c>
      <c t="s">
        <v>59883</v>
      </c>
      <c t="s">
        <v>48794</v>
      </c>
      <c t="s">
        <v>51693</v>
      </c>
      <c>
        <v>305</v>
      </c>
      <c r="AI3249" t="s">
        <v>21412</v>
      </c>
      <c t="s">
        <v>55842</v>
      </c>
      <c r="AL3249" t="s">
        <v>29206</v>
      </c>
      <c r="AN3249" t="s">
        <v>22275</v>
      </c>
      <c t="s">
        <v>46402</v>
      </c>
      <c t="s">
        <v>27780</v>
      </c>
      <c t="s">
        <v>3093</v>
      </c>
      <c t="s">
        <v>56581</v>
      </c>
    </row>
    <row>
      <c t="s">
        <v>17594</v>
      </c>
      <c t="s">
        <v>33292</v>
      </c>
      <c t="s">
        <v>29416</v>
      </c>
      <c t="s">
        <v>49347</v>
      </c>
      <c t="s">
        <v>47214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3250" s="1" t="str">
        <f ca="1">HYPERLINK("https://web.datatree.com/?/property?propertyId=33208570", "https://web.datatree.com/?/property?propertyId=33208570")</f>
        <v>https://web.datatree.com/?/property?propertyId=33208570</v>
      </c>
      <c r="Q3250" t="s">
        <v>316</v>
      </c>
      <c>
        <v>0.23</v>
      </c>
      <c t="s">
        <v>6175</v>
      </c>
      <c t="s">
        <v>12319</v>
      </c>
      <c t="s">
        <v>23807</v>
      </c>
      <c t="s">
        <v>63047</v>
      </c>
      <c r="X3250" t="s">
        <v>59835</v>
      </c>
      <c t="s">
        <v>2619</v>
      </c>
      <c t="s">
        <v>2517</v>
      </c>
      <c t="s">
        <v>39289</v>
      </c>
      <c>
        <v>33909</v>
      </c>
      <c t="s">
        <v>27573</v>
      </c>
      <c t="s">
        <v>48794</v>
      </c>
      <c t="s">
        <v>60493</v>
      </c>
      <c>
        <v>5872</v>
      </c>
      <c r="AI3250" t="s">
        <v>30928</v>
      </c>
      <c t="s">
        <v>45393</v>
      </c>
      <c r="AL3250" t="s">
        <v>55393</v>
      </c>
      <c t="s">
        <v>13066</v>
      </c>
      <c t="s">
        <v>39289</v>
      </c>
      <c t="s">
        <v>24172</v>
      </c>
      <c t="s">
        <v>3364</v>
      </c>
      <c t="s">
        <v>3093</v>
      </c>
      <c t="s">
        <v>64756</v>
      </c>
    </row>
    <row>
      <c t="s">
        <v>17594</v>
      </c>
      <c t="s">
        <v>1148</v>
      </c>
      <c t="s">
        <v>49578</v>
      </c>
      <c t="s">
        <v>35877</v>
      </c>
      <c t="s">
        <v>58917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3251" s="1" t="str">
        <f ca="1">HYPERLINK("https://web.datatree.com/?/property?propertyId=33208738", "https://web.datatree.com/?/property?propertyId=33208738")</f>
        <v>https://web.datatree.com/?/property?propertyId=33208738</v>
      </c>
      <c r="Q3251" t="s">
        <v>316</v>
      </c>
      <c>
        <v>0.23</v>
      </c>
      <c t="s">
        <v>22490</v>
      </c>
      <c t="s">
        <v>52057</v>
      </c>
      <c t="s">
        <v>31534</v>
      </c>
      <c r="X3251" t="s">
        <v>18937</v>
      </c>
      <c t="s">
        <v>53675</v>
      </c>
      <c t="s">
        <v>2517</v>
      </c>
      <c t="s">
        <v>39289</v>
      </c>
      <c>
        <v>33909</v>
      </c>
      <c t="s">
        <v>60473</v>
      </c>
      <c t="s">
        <v>48794</v>
      </c>
      <c t="s">
        <v>59401</v>
      </c>
      <c>
        <v>8</v>
      </c>
      <c r="AI3251" t="s">
        <v>40276</v>
      </c>
      <c t="s">
        <v>40123</v>
      </c>
      <c r="AL3251" t="s">
        <v>37363</v>
      </c>
      <c r="AN3251" t="s">
        <v>50917</v>
      </c>
      <c t="s">
        <v>25059</v>
      </c>
      <c t="s">
        <v>33029</v>
      </c>
      <c t="s">
        <v>3093</v>
      </c>
      <c t="s">
        <v>39914</v>
      </c>
    </row>
    <row>
      <c t="s">
        <v>17594</v>
      </c>
      <c t="s">
        <v>50948</v>
      </c>
      <c t="s">
        <v>37367</v>
      </c>
      <c t="s">
        <v>55239</v>
      </c>
      <c t="s">
        <v>42937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3252" s="1" t="str">
        <f ca="1">HYPERLINK("https://web.datatree.com/?/property?propertyId=33208842", "https://web.datatree.com/?/property?propertyId=33208842")</f>
        <v>https://web.datatree.com/?/property?propertyId=33208842</v>
      </c>
      <c r="Q3252" t="s">
        <v>316</v>
      </c>
      <c>
        <v>0.23</v>
      </c>
      <c t="s">
        <v>6175</v>
      </c>
      <c t="s">
        <v>33213</v>
      </c>
      <c t="s">
        <v>24432</v>
      </c>
      <c r="X3252" t="s">
        <v>2494</v>
      </c>
      <c t="s">
        <v>18679</v>
      </c>
      <c t="s">
        <v>2517</v>
      </c>
      <c t="s">
        <v>39289</v>
      </c>
      <c>
        <v>33909</v>
      </c>
      <c t="s">
        <v>4501</v>
      </c>
      <c t="s">
        <v>48794</v>
      </c>
      <c t="s">
        <v>14722</v>
      </c>
      <c>
        <v>216</v>
      </c>
      <c r="AI3252" t="s">
        <v>61364</v>
      </c>
      <c t="s">
        <v>24900</v>
      </c>
      <c r="AL3252" t="s">
        <v>6144</v>
      </c>
      <c r="AN3252" t="s">
        <v>50917</v>
      </c>
      <c t="s">
        <v>23359</v>
      </c>
      <c t="s">
        <v>3364</v>
      </c>
      <c t="s">
        <v>3093</v>
      </c>
      <c t="s">
        <v>24414</v>
      </c>
    </row>
    <row>
      <c t="s">
        <v>17594</v>
      </c>
      <c t="s">
        <v>55168</v>
      </c>
      <c t="s">
        <v>42178</v>
      </c>
      <c t="s">
        <v>57486</v>
      </c>
      <c t="s">
        <v>14781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3253" s="1" t="str">
        <f ca="1">HYPERLINK("https://web.datatree.com/?/property?propertyId=33209007", "https://web.datatree.com/?/property?propertyId=33209007")</f>
        <v>https://web.datatree.com/?/property?propertyId=33209007</v>
      </c>
      <c r="Q3253" t="s">
        <v>316</v>
      </c>
      <c>
        <v>0.244</v>
      </c>
      <c t="s">
        <v>6175</v>
      </c>
      <c t="s">
        <v>32410</v>
      </c>
      <c t="s">
        <v>28448</v>
      </c>
      <c t="s">
        <v>13704</v>
      </c>
      <c t="s">
        <v>28448</v>
      </c>
      <c t="s">
        <v>58454</v>
      </c>
      <c t="s">
        <v>2626</v>
      </c>
      <c t="s">
        <v>2517</v>
      </c>
      <c t="s">
        <v>39289</v>
      </c>
      <c>
        <v>33909</v>
      </c>
      <c t="s">
        <v>29847</v>
      </c>
      <c t="s">
        <v>48794</v>
      </c>
      <c t="s">
        <v>48814</v>
      </c>
      <c>
        <v>2079</v>
      </c>
      <c r="AH3253" t="s">
        <v>12549</v>
      </c>
      <c>
        <v>10180</v>
      </c>
      <c r="AL3253" t="s">
        <v>56203</v>
      </c>
      <c t="s">
        <v>56203</v>
      </c>
      <c t="s">
        <v>47028</v>
      </c>
      <c t="s">
        <v>46545</v>
      </c>
      <c t="s">
        <v>62830</v>
      </c>
      <c t="s">
        <v>3093</v>
      </c>
      <c t="s">
        <v>54911</v>
      </c>
    </row>
    <row>
      <c t="s">
        <v>17594</v>
      </c>
      <c t="s">
        <v>39888</v>
      </c>
      <c t="s">
        <v>30705</v>
      </c>
      <c t="s">
        <v>33475</v>
      </c>
      <c t="s">
        <v>31582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254" s="1" t="str">
        <f ca="1">HYPERLINK("https://web.datatree.com/?/property?propertyId=33209319", "https://web.datatree.com/?/property?propertyId=33209319")</f>
        <v>https://web.datatree.com/?/property?propertyId=33209319</v>
      </c>
      <c r="Q3254" t="s">
        <v>316</v>
      </c>
      <c>
        <v>0.245</v>
      </c>
      <c t="s">
        <v>5471</v>
      </c>
      <c t="s">
        <v>61517</v>
      </c>
      <c t="s">
        <v>37991</v>
      </c>
      <c t="s">
        <v>52701</v>
      </c>
      <c t="s">
        <v>52863</v>
      </c>
      <c t="s">
        <v>55567</v>
      </c>
      <c t="s">
        <v>26561</v>
      </c>
      <c t="s">
        <v>65059</v>
      </c>
      <c t="s">
        <v>39289</v>
      </c>
      <c>
        <v>33905</v>
      </c>
      <c t="s">
        <v>6885</v>
      </c>
      <c t="s">
        <v>48794</v>
      </c>
      <c t="s">
        <v>57356</v>
      </c>
      <c>
        <v>1625</v>
      </c>
      <c r="AI3254" t="s">
        <v>9615</v>
      </c>
      <c t="s">
        <v>24900</v>
      </c>
      <c>
        <v>3</v>
      </c>
      <c t="s">
        <v>29515</v>
      </c>
      <c r="AN3254" t="s">
        <v>39289</v>
      </c>
      <c t="s">
        <v>36076</v>
      </c>
      <c t="s">
        <v>19978</v>
      </c>
      <c t="s">
        <v>3093</v>
      </c>
      <c t="s">
        <v>28418</v>
      </c>
    </row>
    <row>
      <c t="s">
        <v>17594</v>
      </c>
      <c t="s">
        <v>13221</v>
      </c>
      <c t="s">
        <v>13257</v>
      </c>
      <c t="s">
        <v>21362</v>
      </c>
      <c t="s">
        <v>12554</v>
      </c>
      <c s="3">
        <v>22891</v>
      </c>
      <c s="3">
        <v>22891</v>
      </c>
      <c s="3">
        <v>9570</v>
      </c>
      <c>
        <v>0</v>
      </c>
      <c s="3">
        <v>0</v>
      </c>
      <c s="3">
        <v>603.98</v>
      </c>
      <c s="3">
        <v>22891</v>
      </c>
      <c>
        <v>2021</v>
      </c>
      <c>
        <v>544.98</v>
      </c>
      <c s="1" t="str">
        <f ca="1">HYPERLINK("https://web.datatree.com/?/property?propertyId=33211577", "https://web.datatree.com/?/property?propertyId=33211577")</f>
        <v>https://web.datatree.com/?/property?propertyId=33211577</v>
      </c>
      <c r="Q3255" t="s">
        <v>316</v>
      </c>
      <c>
        <v>0.232</v>
      </c>
      <c t="s">
        <v>22490</v>
      </c>
      <c t="s">
        <v>64740</v>
      </c>
      <c t="s">
        <v>525</v>
      </c>
      <c r="X3255" t="s">
        <v>48799</v>
      </c>
      <c t="s">
        <v>22731</v>
      </c>
      <c t="s">
        <v>2517</v>
      </c>
      <c t="s">
        <v>39289</v>
      </c>
      <c>
        <v>33909</v>
      </c>
      <c t="s">
        <v>43284</v>
      </c>
      <c t="s">
        <v>48794</v>
      </c>
      <c t="s">
        <v>27813</v>
      </c>
      <c>
        <v>1121</v>
      </c>
      <c r="AI3255" t="s">
        <v>28018</v>
      </c>
      <c t="s">
        <v>4985</v>
      </c>
      <c>
        <v>2</v>
      </c>
      <c t="s">
        <v>28018</v>
      </c>
      <c r="AN3255" t="s">
        <v>50917</v>
      </c>
      <c t="s">
        <v>40054</v>
      </c>
      <c t="s">
        <v>33029</v>
      </c>
      <c t="s">
        <v>3093</v>
      </c>
      <c t="s">
        <v>338</v>
      </c>
    </row>
    <row>
      <c t="s">
        <v>17594</v>
      </c>
      <c t="s">
        <v>58990</v>
      </c>
      <c t="s">
        <v>30934</v>
      </c>
      <c t="s">
        <v>30791</v>
      </c>
      <c t="s">
        <v>29204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 r="O3256" s="1" t="str">
        <f ca="1">HYPERLINK("https://web.datatree.com/?/property?propertyId=33212097", "https://web.datatree.com/?/property?propertyId=33212097")</f>
        <v>https://web.datatree.com/?/property?propertyId=33212097</v>
      </c>
      <c r="Q3256" t="s">
        <v>316</v>
      </c>
      <c>
        <v>0.23</v>
      </c>
      <c t="s">
        <v>45031</v>
      </c>
      <c t="s">
        <v>42571</v>
      </c>
      <c t="s">
        <v>3106</v>
      </c>
      <c t="s">
        <v>13892</v>
      </c>
      <c t="s">
        <v>3106</v>
      </c>
      <c t="s">
        <v>38215</v>
      </c>
      <c t="s">
        <v>29190</v>
      </c>
      <c t="s">
        <v>2517</v>
      </c>
      <c t="s">
        <v>39289</v>
      </c>
      <c>
        <v>33909</v>
      </c>
      <c t="s">
        <v>7838</v>
      </c>
      <c t="s">
        <v>48794</v>
      </c>
      <c t="s">
        <v>9717</v>
      </c>
      <c>
        <v>43</v>
      </c>
      <c r="AI3256" t="s">
        <v>3412</v>
      </c>
      <c t="s">
        <v>45393</v>
      </c>
      <c r="AL3256" t="s">
        <v>3545</v>
      </c>
      <c r="AN3256" t="s">
        <v>32576</v>
      </c>
      <c t="s">
        <v>29224</v>
      </c>
      <c t="s">
        <v>65529</v>
      </c>
      <c t="s">
        <v>3093</v>
      </c>
      <c t="s">
        <v>43367</v>
      </c>
    </row>
    <row>
      <c t="s">
        <v>17594</v>
      </c>
      <c t="s">
        <v>66608</v>
      </c>
      <c t="s">
        <v>54204</v>
      </c>
      <c t="s">
        <v>7639</v>
      </c>
      <c t="s">
        <v>2033</v>
      </c>
      <c s="3">
        <v>26250</v>
      </c>
      <c s="3">
        <v>26250</v>
      </c>
      <c s="3">
        <v>9433</v>
      </c>
      <c>
        <v>0</v>
      </c>
      <c s="3">
        <v>0</v>
      </c>
      <c s="3">
        <v>416.98</v>
      </c>
      <c s="3">
        <v>26250</v>
      </c>
      <c r="O3257" s="1" t="str">
        <f ca="1">HYPERLINK("https://web.datatree.com/?/property?propertyId=33212129", "https://web.datatree.com/?/property?propertyId=33212129")</f>
        <v>https://web.datatree.com/?/property?propertyId=33212129</v>
      </c>
      <c r="Q3257" t="s">
        <v>316</v>
      </c>
      <c>
        <v>0.255</v>
      </c>
      <c t="s">
        <v>5471</v>
      </c>
      <c t="s">
        <v>61844</v>
      </c>
      <c t="s">
        <v>50836</v>
      </c>
      <c t="s">
        <v>51037</v>
      </c>
      <c t="s">
        <v>28771</v>
      </c>
      <c t="s">
        <v>12581</v>
      </c>
      <c t="s">
        <v>13597</v>
      </c>
      <c t="s">
        <v>65059</v>
      </c>
      <c t="s">
        <v>39289</v>
      </c>
      <c>
        <v>33905</v>
      </c>
      <c t="s">
        <v>50487</v>
      </c>
      <c t="s">
        <v>48794</v>
      </c>
      <c t="s">
        <v>31591</v>
      </c>
      <c>
        <v>2129</v>
      </c>
      <c r="AI3257" t="s">
        <v>6476</v>
      </c>
      <c t="s">
        <v>835</v>
      </c>
      <c r="AL3257" t="s">
        <v>63802</v>
      </c>
      <c t="s">
        <v>63802</v>
      </c>
      <c t="s">
        <v>63985</v>
      </c>
      <c t="s">
        <v>47387</v>
      </c>
      <c t="s">
        <v>35354</v>
      </c>
      <c t="s">
        <v>3093</v>
      </c>
      <c t="s">
        <v>22643</v>
      </c>
    </row>
    <row>
      <c t="s">
        <v>17594</v>
      </c>
      <c t="s">
        <v>38050</v>
      </c>
      <c t="s">
        <v>739</v>
      </c>
      <c t="s">
        <v>41632</v>
      </c>
      <c t="s">
        <v>61082</v>
      </c>
      <c s="3">
        <v>18082</v>
      </c>
      <c s="3">
        <v>18082</v>
      </c>
      <c s="3">
        <v>7865</v>
      </c>
      <c>
        <v>0</v>
      </c>
      <c s="3">
        <v>0</v>
      </c>
      <c s="3">
        <v>492.2</v>
      </c>
      <c s="3">
        <v>18082</v>
      </c>
      <c r="O3258" s="1" t="str">
        <f ca="1">HYPERLINK("https://web.datatree.com/?/property?propertyId=33212679", "https://web.datatree.com/?/property?propertyId=33212679")</f>
        <v>https://web.datatree.com/?/property?propertyId=33212679</v>
      </c>
      <c r="Q3258" t="s">
        <v>316</v>
      </c>
      <c>
        <v>0.244</v>
      </c>
      <c t="s">
        <v>6175</v>
      </c>
      <c t="s">
        <v>981</v>
      </c>
      <c t="s">
        <v>29172</v>
      </c>
      <c r="X3258" t="s">
        <v>24539</v>
      </c>
      <c t="s">
        <v>7273</v>
      </c>
      <c t="s">
        <v>2517</v>
      </c>
      <c t="s">
        <v>39289</v>
      </c>
      <c>
        <v>33909</v>
      </c>
      <c t="s">
        <v>12771</v>
      </c>
      <c t="s">
        <v>48794</v>
      </c>
      <c t="s">
        <v>17329</v>
      </c>
      <c>
        <v>6664</v>
      </c>
      <c r="AI3258" t="s">
        <v>371</v>
      </c>
      <c t="s">
        <v>41372</v>
      </c>
      <c>
        <v>28</v>
      </c>
      <c t="s">
        <v>18092</v>
      </c>
      <c r="AN3258" t="s">
        <v>39289</v>
      </c>
      <c t="s">
        <v>41415</v>
      </c>
      <c t="s">
        <v>11138</v>
      </c>
      <c t="s">
        <v>3093</v>
      </c>
      <c t="s">
        <v>23649</v>
      </c>
    </row>
    <row>
      <c t="s">
        <v>17594</v>
      </c>
      <c t="s">
        <v>21105</v>
      </c>
      <c t="s">
        <v>53080</v>
      </c>
      <c t="s">
        <v>52148</v>
      </c>
      <c t="s">
        <v>37605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259" s="1" t="str">
        <f ca="1">HYPERLINK("https://web.datatree.com/?/property?propertyId=33213007", "https://web.datatree.com/?/property?propertyId=33213007")</f>
        <v>https://web.datatree.com/?/property?propertyId=33213007</v>
      </c>
      <c r="Q3259" t="s">
        <v>316</v>
      </c>
      <c>
        <v>0.23</v>
      </c>
      <c t="s">
        <v>22490</v>
      </c>
      <c t="s">
        <v>1859</v>
      </c>
      <c t="s">
        <v>15820</v>
      </c>
      <c t="s">
        <v>56577</v>
      </c>
      <c t="s">
        <v>15820</v>
      </c>
      <c t="s">
        <v>53725</v>
      </c>
      <c t="s">
        <v>66701</v>
      </c>
      <c t="s">
        <v>2517</v>
      </c>
      <c t="s">
        <v>39289</v>
      </c>
      <c>
        <v>33909</v>
      </c>
      <c>
        <v>33909</v>
      </c>
      <c t="s">
        <v>48794</v>
      </c>
      <c t="s">
        <v>46344</v>
      </c>
      <c>
        <v>913</v>
      </c>
      <c r="AI3259" t="s">
        <v>44501</v>
      </c>
      <c t="s">
        <v>45620</v>
      </c>
      <c r="AL3259" t="s">
        <v>57682</v>
      </c>
      <c r="AN3259" t="s">
        <v>22275</v>
      </c>
      <c t="s">
        <v>16628</v>
      </c>
      <c t="s">
        <v>4797</v>
      </c>
      <c t="s">
        <v>3093</v>
      </c>
      <c t="s">
        <v>28991</v>
      </c>
    </row>
    <row>
      <c t="s">
        <v>17594</v>
      </c>
      <c t="s">
        <v>31853</v>
      </c>
      <c t="s">
        <v>12038</v>
      </c>
      <c t="s">
        <v>30814</v>
      </c>
      <c t="s">
        <v>10529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260" s="1" t="str">
        <f ca="1">HYPERLINK("https://web.datatree.com/?/property?propertyId=33213072", "https://web.datatree.com/?/property?propertyId=33213072")</f>
        <v>https://web.datatree.com/?/property?propertyId=33213072</v>
      </c>
      <c r="Q3260" t="s">
        <v>316</v>
      </c>
      <c>
        <v>0.233</v>
      </c>
      <c t="s">
        <v>22490</v>
      </c>
      <c t="s">
        <v>11810</v>
      </c>
      <c t="s">
        <v>33769</v>
      </c>
      <c t="s">
        <v>18053</v>
      </c>
      <c r="X3260" t="s">
        <v>66097</v>
      </c>
      <c t="s">
        <v>46469</v>
      </c>
      <c t="s">
        <v>2517</v>
      </c>
      <c t="s">
        <v>39289</v>
      </c>
      <c>
        <v>33909</v>
      </c>
      <c t="s">
        <v>31301</v>
      </c>
      <c t="s">
        <v>48794</v>
      </c>
      <c t="s">
        <v>12673</v>
      </c>
      <c>
        <v>2189</v>
      </c>
      <c r="AI3260" t="s">
        <v>41369</v>
      </c>
      <c t="s">
        <v>55842</v>
      </c>
      <c r="AL3260" t="s">
        <v>27266</v>
      </c>
      <c t="s">
        <v>27266</v>
      </c>
      <c t="s">
        <v>65451</v>
      </c>
      <c t="s">
        <v>52273</v>
      </c>
      <c t="s">
        <v>33029</v>
      </c>
      <c t="s">
        <v>3093</v>
      </c>
      <c t="s">
        <v>41501</v>
      </c>
    </row>
    <row>
      <c t="s">
        <v>17594</v>
      </c>
      <c t="s">
        <v>49555</v>
      </c>
      <c t="s">
        <v>34407</v>
      </c>
      <c t="s">
        <v>53652</v>
      </c>
      <c t="s">
        <v>62912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3261" s="1" t="str">
        <f ca="1">HYPERLINK("https://web.datatree.com/?/property?propertyId=33213551", "https://web.datatree.com/?/property?propertyId=33213551")</f>
        <v>https://web.datatree.com/?/property?propertyId=33213551</v>
      </c>
      <c r="Q3261" t="s">
        <v>316</v>
      </c>
      <c>
        <v>0.256</v>
      </c>
      <c t="s">
        <v>6175</v>
      </c>
      <c t="s">
        <v>4617</v>
      </c>
      <c t="s">
        <v>30764</v>
      </c>
      <c r="X3261" t="s">
        <v>50928</v>
      </c>
      <c t="s">
        <v>61865</v>
      </c>
      <c t="s">
        <v>2517</v>
      </c>
      <c t="s">
        <v>39289</v>
      </c>
      <c>
        <v>33909</v>
      </c>
      <c t="s">
        <v>11168</v>
      </c>
      <c t="s">
        <v>48794</v>
      </c>
      <c t="s">
        <v>13604</v>
      </c>
      <c>
        <v>5816</v>
      </c>
      <c r="AI3261" t="s">
        <v>33832</v>
      </c>
      <c t="s">
        <v>40123</v>
      </c>
      <c r="AL3261" t="s">
        <v>6605</v>
      </c>
      <c r="AN3261" t="s">
        <v>51137</v>
      </c>
      <c t="s">
        <v>7625</v>
      </c>
      <c t="s">
        <v>43294</v>
      </c>
      <c t="s">
        <v>3093</v>
      </c>
      <c t="s">
        <v>13788</v>
      </c>
    </row>
    <row>
      <c t="s">
        <v>17594</v>
      </c>
      <c t="s">
        <v>14155</v>
      </c>
      <c t="s">
        <v>2759</v>
      </c>
      <c t="s">
        <v>41323</v>
      </c>
      <c t="s">
        <v>58696</v>
      </c>
      <c s="3">
        <v>14982</v>
      </c>
      <c s="3">
        <v>14982</v>
      </c>
      <c s="3">
        <v>5657</v>
      </c>
      <c>
        <v>0</v>
      </c>
      <c s="3">
        <v>0</v>
      </c>
      <c s="3">
        <v>335.9</v>
      </c>
      <c s="3">
        <v>14982</v>
      </c>
      <c r="O3262" s="1" t="str">
        <f ca="1">HYPERLINK("https://web.datatree.com/?/property?propertyId=33213917", "https://web.datatree.com/?/property?propertyId=33213917")</f>
        <v>https://web.datatree.com/?/property?propertyId=33213917</v>
      </c>
      <c r="Q3262" t="s">
        <v>316</v>
      </c>
      <c>
        <v>0.246</v>
      </c>
      <c t="s">
        <v>5471</v>
      </c>
      <c t="s">
        <v>57249</v>
      </c>
      <c t="s">
        <v>7750</v>
      </c>
      <c t="s">
        <v>46717</v>
      </c>
      <c r="X3262" t="s">
        <v>55633</v>
      </c>
      <c t="s">
        <v>51919</v>
      </c>
      <c t="s">
        <v>65059</v>
      </c>
      <c t="s">
        <v>39289</v>
      </c>
      <c>
        <v>33905</v>
      </c>
      <c t="s">
        <v>61106</v>
      </c>
      <c t="s">
        <v>48794</v>
      </c>
      <c t="s">
        <v>65238</v>
      </c>
      <c>
        <v>57</v>
      </c>
      <c r="AI3262" t="s">
        <v>18680</v>
      </c>
      <c t="s">
        <v>24900</v>
      </c>
      <c r="AL3262" t="s">
        <v>46985</v>
      </c>
      <c t="s">
        <v>46985</v>
      </c>
      <c t="s">
        <v>50917</v>
      </c>
      <c t="s">
        <v>12138</v>
      </c>
      <c t="s">
        <v>44573</v>
      </c>
      <c t="s">
        <v>3093</v>
      </c>
      <c t="s">
        <v>2574</v>
      </c>
    </row>
    <row>
      <c t="s">
        <v>17594</v>
      </c>
      <c t="s">
        <v>4331</v>
      </c>
      <c t="s">
        <v>849</v>
      </c>
      <c t="s">
        <v>47416</v>
      </c>
      <c t="s">
        <v>38891</v>
      </c>
      <c s="3">
        <v>20399</v>
      </c>
      <c s="3">
        <v>20399</v>
      </c>
      <c s="3">
        <v>9599</v>
      </c>
      <c>
        <v>0</v>
      </c>
      <c s="3">
        <v>0</v>
      </c>
      <c s="3">
        <v>662.12</v>
      </c>
      <c s="3">
        <v>20399</v>
      </c>
      <c r="O3263" s="1" t="str">
        <f ca="1">HYPERLINK("https://web.datatree.com/?/property?propertyId=33214029", "https://web.datatree.com/?/property?propertyId=33214029")</f>
        <v>https://web.datatree.com/?/property?propertyId=33214029</v>
      </c>
      <c r="Q3263" t="s">
        <v>316</v>
      </c>
      <c>
        <v>0.344</v>
      </c>
      <c t="s">
        <v>6175</v>
      </c>
      <c t="s">
        <v>7304</v>
      </c>
      <c t="s">
        <v>67022</v>
      </c>
      <c r="X3263" t="s">
        <v>64123</v>
      </c>
      <c t="s">
        <v>29190</v>
      </c>
      <c t="s">
        <v>2517</v>
      </c>
      <c t="s">
        <v>39289</v>
      </c>
      <c>
        <v>33909</v>
      </c>
      <c t="s">
        <v>20743</v>
      </c>
      <c t="s">
        <v>48794</v>
      </c>
      <c t="s">
        <v>54226</v>
      </c>
      <c>
        <v>16605</v>
      </c>
      <c r="AI3263" t="s">
        <v>11128</v>
      </c>
      <c t="s">
        <v>31192</v>
      </c>
      <c r="AL3263" t="s">
        <v>36080</v>
      </c>
      <c r="AN3263" t="s">
        <v>39289</v>
      </c>
      <c t="s">
        <v>16575</v>
      </c>
      <c t="s">
        <v>5652</v>
      </c>
      <c t="s">
        <v>3093</v>
      </c>
      <c t="s">
        <v>20234</v>
      </c>
    </row>
    <row>
      <c t="s">
        <v>17594</v>
      </c>
      <c t="s">
        <v>23658</v>
      </c>
      <c t="s">
        <v>17169</v>
      </c>
      <c t="s">
        <v>20083</v>
      </c>
      <c t="s">
        <v>41343</v>
      </c>
      <c s="3">
        <v>110303</v>
      </c>
      <c s="3">
        <v>100000</v>
      </c>
      <c s="3">
        <v>110303</v>
      </c>
      <c>
        <v>0</v>
      </c>
      <c s="3">
        <v>0</v>
      </c>
      <c s="3">
        <v>1656.32</v>
      </c>
      <c s="3">
        <v>110303</v>
      </c>
      <c r="O3264" s="1" t="str">
        <f ca="1">HYPERLINK("https://web.datatree.com/?/property?propertyId=33214131", "https://web.datatree.com/?/property?propertyId=33214131")</f>
        <v>https://web.datatree.com/?/property?propertyId=33214131</v>
      </c>
      <c r="Q3264" t="s">
        <v>316</v>
      </c>
      <c>
        <v>0.118</v>
      </c>
      <c t="s">
        <v>26492</v>
      </c>
      <c t="s">
        <v>58113</v>
      </c>
      <c t="s">
        <v>33803</v>
      </c>
      <c t="s">
        <v>52701</v>
      </c>
      <c t="s">
        <v>33803</v>
      </c>
      <c t="s">
        <v>35738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29925</v>
      </c>
      <c t="s">
        <v>36956</v>
      </c>
      <c r="AH3264" t="s">
        <v>63047</v>
      </c>
      <c t="s">
        <v>18180</v>
      </c>
      <c t="s">
        <v>45620</v>
      </c>
      <c r="AL3264" t="s">
        <v>8109</v>
      </c>
      <c t="s">
        <v>40227</v>
      </c>
      <c t="s">
        <v>27481</v>
      </c>
      <c t="s">
        <v>18733</v>
      </c>
      <c t="s">
        <v>37948</v>
      </c>
      <c t="s">
        <v>3093</v>
      </c>
      <c t="s">
        <v>24399</v>
      </c>
      <c>
        <v>2005</v>
      </c>
    </row>
    <row>
      <c t="s">
        <v>17594</v>
      </c>
      <c t="s">
        <v>58125</v>
      </c>
      <c t="s">
        <v>51947</v>
      </c>
      <c t="s">
        <v>44871</v>
      </c>
      <c t="s">
        <v>54847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265" s="1" t="str">
        <f ca="1">HYPERLINK("https://web.datatree.com/?/property?propertyId=33214248", "https://web.datatree.com/?/property?propertyId=33214248")</f>
        <v>https://web.datatree.com/?/property?propertyId=33214248</v>
      </c>
      <c r="Q3265" t="s">
        <v>316</v>
      </c>
      <c>
        <v>0.23</v>
      </c>
      <c t="s">
        <v>22490</v>
      </c>
      <c t="s">
        <v>63804</v>
      </c>
      <c t="s">
        <v>15642</v>
      </c>
      <c r="X3265" t="s">
        <v>49305</v>
      </c>
      <c t="s">
        <v>53675</v>
      </c>
      <c t="s">
        <v>2517</v>
      </c>
      <c t="s">
        <v>39289</v>
      </c>
      <c>
        <v>33909</v>
      </c>
      <c t="s">
        <v>2968</v>
      </c>
      <c t="s">
        <v>48794</v>
      </c>
      <c t="s">
        <v>48414</v>
      </c>
      <c>
        <v>2</v>
      </c>
      <c r="AI3265" t="s">
        <v>8089</v>
      </c>
      <c r="AL3265" t="s">
        <v>35776</v>
      </c>
      <c t="s">
        <v>35776</v>
      </c>
      <c t="s">
        <v>27481</v>
      </c>
      <c>
        <v>53115</v>
      </c>
      <c r="AR3265" t="s">
        <v>34080</v>
      </c>
    </row>
    <row>
      <c t="s">
        <v>17594</v>
      </c>
      <c t="s">
        <v>53577</v>
      </c>
      <c t="s">
        <v>41986</v>
      </c>
      <c t="s">
        <v>43632</v>
      </c>
      <c t="s">
        <v>31793</v>
      </c>
      <c s="3">
        <v>60859</v>
      </c>
      <c s="3">
        <v>60859</v>
      </c>
      <c s="3">
        <v>38345</v>
      </c>
      <c>
        <v>0</v>
      </c>
      <c s="3">
        <v>0</v>
      </c>
      <c s="3">
        <v>1944.33</v>
      </c>
      <c s="3">
        <v>60859</v>
      </c>
      <c r="O3266" s="1" t="str">
        <f ca="1">HYPERLINK("https://web.datatree.com/?/property?propertyId=33215495", "https://web.datatree.com/?/property?propertyId=33215495")</f>
        <v>https://web.datatree.com/?/property?propertyId=33215495</v>
      </c>
      <c r="Q3266" t="s">
        <v>316</v>
      </c>
      <c>
        <v>0.233</v>
      </c>
      <c t="s">
        <v>22490</v>
      </c>
      <c t="s">
        <v>30261</v>
      </c>
      <c t="s">
        <v>28607</v>
      </c>
      <c r="X3266" t="s">
        <v>29478</v>
      </c>
      <c t="s">
        <v>20024</v>
      </c>
      <c t="s">
        <v>2517</v>
      </c>
      <c t="s">
        <v>39289</v>
      </c>
      <c>
        <v>33909</v>
      </c>
      <c t="s">
        <v>10141</v>
      </c>
      <c t="s">
        <v>48794</v>
      </c>
      <c t="s">
        <v>28682</v>
      </c>
      <c>
        <v>10</v>
      </c>
      <c r="AI3266" t="s">
        <v>9159</v>
      </c>
      <c t="s">
        <v>56275</v>
      </c>
      <c r="AL3266" t="s">
        <v>30137</v>
      </c>
      <c t="s">
        <v>28391</v>
      </c>
      <c t="s">
        <v>50917</v>
      </c>
      <c t="s">
        <v>3332</v>
      </c>
      <c t="s">
        <v>22455</v>
      </c>
      <c t="s">
        <v>3093</v>
      </c>
      <c t="s">
        <v>31539</v>
      </c>
    </row>
    <row>
      <c t="s">
        <v>17594</v>
      </c>
      <c t="s">
        <v>49942</v>
      </c>
      <c t="s">
        <v>1970</v>
      </c>
      <c t="s">
        <v>9561</v>
      </c>
      <c t="s">
        <v>39420</v>
      </c>
      <c s="3">
        <v>392629</v>
      </c>
      <c s="3">
        <v>392629</v>
      </c>
      <c s="3">
        <v>340340</v>
      </c>
      <c>
        <v>0</v>
      </c>
      <c s="3">
        <v>0</v>
      </c>
      <c s="3">
        <v>6092.34</v>
      </c>
      <c s="3">
        <v>392629</v>
      </c>
      <c r="O3267" s="1" t="str">
        <f ca="1">HYPERLINK("https://web.datatree.com/?/property?propertyId=33215920", "https://web.datatree.com/?/property?propertyId=33215920")</f>
        <v>https://web.datatree.com/?/property?propertyId=33215920</v>
      </c>
      <c r="Q3267" t="s">
        <v>316</v>
      </c>
      <c>
        <v>0.25</v>
      </c>
      <c t="s">
        <v>22490</v>
      </c>
      <c t="s">
        <v>64030</v>
      </c>
      <c t="s">
        <v>56451</v>
      </c>
      <c r="X3267" t="s">
        <v>598</v>
      </c>
      <c t="s">
        <v>4551</v>
      </c>
      <c t="s">
        <v>2517</v>
      </c>
      <c t="s">
        <v>39289</v>
      </c>
      <c>
        <v>33904</v>
      </c>
      <c t="s">
        <v>17741</v>
      </c>
      <c t="s">
        <v>48794</v>
      </c>
      <c t="s">
        <v>10300</v>
      </c>
      <c>
        <v>6106</v>
      </c>
      <c r="AI3267" t="s">
        <v>21862</v>
      </c>
      <c t="s">
        <v>31192</v>
      </c>
      <c r="AL3267" t="s">
        <v>54986</v>
      </c>
      <c t="s">
        <v>54986</v>
      </c>
      <c t="s">
        <v>18236</v>
      </c>
      <c t="s">
        <v>4582</v>
      </c>
      <c t="s">
        <v>27780</v>
      </c>
      <c t="s">
        <v>3093</v>
      </c>
      <c t="s">
        <v>2910</v>
      </c>
    </row>
    <row>
      <c t="s">
        <v>17594</v>
      </c>
      <c t="s">
        <v>10191</v>
      </c>
      <c t="s">
        <v>42452</v>
      </c>
      <c t="s">
        <v>26286</v>
      </c>
      <c t="s">
        <v>46540</v>
      </c>
      <c s="3">
        <v>116280</v>
      </c>
      <c s="3">
        <v>116280</v>
      </c>
      <c s="3">
        <v>76487</v>
      </c>
      <c>
        <v>0</v>
      </c>
      <c s="3">
        <v>0</v>
      </c>
      <c s="3">
        <v>1347.15</v>
      </c>
      <c s="3">
        <v>116280</v>
      </c>
      <c r="O3268" s="1" t="str">
        <f ca="1">HYPERLINK("https://web.datatree.com/?/property?propertyId=33216063", "https://web.datatree.com/?/property?propertyId=33216063")</f>
        <v>https://web.datatree.com/?/property?propertyId=33216063</v>
      </c>
      <c r="Q3268" t="s">
        <v>316</v>
      </c>
      <c>
        <v>0.176</v>
      </c>
      <c t="s">
        <v>5471</v>
      </c>
      <c r="U3268" t="s">
        <v>31022</v>
      </c>
      <c r="W3268" t="s">
        <v>56755</v>
      </c>
      <c t="s">
        <v>55425</v>
      </c>
      <c t="s">
        <v>27420</v>
      </c>
      <c t="s">
        <v>54524</v>
      </c>
      <c t="s">
        <v>39289</v>
      </c>
      <c>
        <v>33903</v>
      </c>
      <c t="s">
        <v>5936</v>
      </c>
      <c t="s">
        <v>48794</v>
      </c>
      <c t="s">
        <v>39133</v>
      </c>
      <c>
        <v>349</v>
      </c>
      <c r="AI3268" t="s">
        <v>52597</v>
      </c>
      <c t="s">
        <v>45393</v>
      </c>
      <c r="AL3268" t="s">
        <v>22170</v>
      </c>
      <c r="AN3268" t="s">
        <v>460</v>
      </c>
      <c t="s">
        <v>5499</v>
      </c>
      <c t="s">
        <v>22152</v>
      </c>
      <c t="s">
        <v>3093</v>
      </c>
      <c t="s">
        <v>23845</v>
      </c>
    </row>
    <row>
      <c t="s">
        <v>17594</v>
      </c>
      <c t="s">
        <v>22949</v>
      </c>
      <c t="s">
        <v>13446</v>
      </c>
      <c t="s">
        <v>1383</v>
      </c>
      <c t="s">
        <v>892</v>
      </c>
      <c s="3">
        <v>8600</v>
      </c>
      <c s="3">
        <v>8600</v>
      </c>
      <c s="3">
        <v>8600</v>
      </c>
      <c>
        <v>0</v>
      </c>
      <c s="3">
        <v>0</v>
      </c>
      <c s="3">
        <v>577.99</v>
      </c>
      <c s="3">
        <v>8600</v>
      </c>
      <c r="O3269" s="1" t="str">
        <f ca="1">HYPERLINK("https://web.datatree.com/?/property?propertyId=33216326", "https://web.datatree.com/?/property?propertyId=33216326")</f>
        <v>https://web.datatree.com/?/property?propertyId=33216326</v>
      </c>
      <c r="Q3269" t="s">
        <v>316</v>
      </c>
      <c>
        <v>0.246</v>
      </c>
      <c t="s">
        <v>6175</v>
      </c>
      <c t="s">
        <v>51844</v>
      </c>
      <c t="s">
        <v>31808</v>
      </c>
      <c r="X3269" t="s">
        <v>42542</v>
      </c>
      <c t="s">
        <v>58797</v>
      </c>
      <c t="s">
        <v>2517</v>
      </c>
      <c t="s">
        <v>39289</v>
      </c>
      <c>
        <v>33909</v>
      </c>
      <c t="s">
        <v>18935</v>
      </c>
      <c t="s">
        <v>48794</v>
      </c>
      <c t="s">
        <v>54356</v>
      </c>
      <c>
        <v>421</v>
      </c>
      <c r="AI3269" t="s">
        <v>10653</v>
      </c>
      <c t="s">
        <v>45393</v>
      </c>
      <c>
        <v>3</v>
      </c>
      <c t="s">
        <v>32202</v>
      </c>
      <c t="s">
        <v>32202</v>
      </c>
      <c t="s">
        <v>26016</v>
      </c>
      <c t="s">
        <v>66121</v>
      </c>
      <c t="s">
        <v>12241</v>
      </c>
      <c t="s">
        <v>3093</v>
      </c>
      <c t="s">
        <v>39997</v>
      </c>
    </row>
    <row>
      <c t="s">
        <v>42103</v>
      </c>
      <c t="s">
        <v>39710</v>
      </c>
      <c t="s">
        <v>49155</v>
      </c>
      <c t="s">
        <v>47540</v>
      </c>
      <c t="s">
        <v>37893</v>
      </c>
      <c s="3">
        <v>28000</v>
      </c>
      <c s="3">
        <v>28000</v>
      </c>
      <c s="3">
        <v>28000</v>
      </c>
      <c>
        <v>0</v>
      </c>
      <c s="3">
        <v>0</v>
      </c>
      <c s="3">
        <v>3081.02</v>
      </c>
      <c s="3">
        <v>28000</v>
      </c>
      <c r="O3270" s="1" t="str">
        <f ca="1">HYPERLINK("https://web.datatree.com/?/property?propertyId=33216742", "https://web.datatree.com/?/property?propertyId=33216742")</f>
        <v>https://web.datatree.com/?/property?propertyId=33216742</v>
      </c>
      <c r="Q3270" t="s">
        <v>316</v>
      </c>
      <c>
        <v>0.23</v>
      </c>
      <c t="s">
        <v>45031</v>
      </c>
      <c r="U3270" t="s">
        <v>31615</v>
      </c>
      <c t="s">
        <v>33614</v>
      </c>
      <c t="s">
        <v>27954</v>
      </c>
      <c t="s">
        <v>7467</v>
      </c>
      <c t="s">
        <v>55273</v>
      </c>
      <c t="s">
        <v>2517</v>
      </c>
      <c t="s">
        <v>39289</v>
      </c>
      <c>
        <v>33909</v>
      </c>
      <c t="s">
        <v>48277</v>
      </c>
      <c t="s">
        <v>48794</v>
      </c>
      <c t="s">
        <v>3496</v>
      </c>
      <c r="AI3270" t="s">
        <v>3759</v>
      </c>
      <c r="AL3270" t="s">
        <v>32653</v>
      </c>
      <c t="s">
        <v>32653</v>
      </c>
      <c t="s">
        <v>17134</v>
      </c>
      <c>
        <v>44084</v>
      </c>
      <c t="s">
        <v>31451</v>
      </c>
      <c t="s">
        <v>3093</v>
      </c>
      <c t="s">
        <v>53059</v>
      </c>
    </row>
    <row>
      <c t="s">
        <v>17594</v>
      </c>
      <c t="s">
        <v>48428</v>
      </c>
      <c t="s">
        <v>27507</v>
      </c>
      <c t="s">
        <v>2347</v>
      </c>
      <c t="s">
        <v>53887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3271" s="1" t="str">
        <f ca="1">HYPERLINK("https://web.datatree.com/?/property?propertyId=33216809", "https://web.datatree.com/?/property?propertyId=33216809")</f>
        <v>https://web.datatree.com/?/property?propertyId=33216809</v>
      </c>
      <c r="Q3271" t="s">
        <v>316</v>
      </c>
      <c>
        <v>0.23</v>
      </c>
      <c t="s">
        <v>42044</v>
      </c>
      <c t="s">
        <v>51344</v>
      </c>
      <c t="s">
        <v>51702</v>
      </c>
      <c r="X3271" t="s">
        <v>35187</v>
      </c>
      <c t="s">
        <v>57064</v>
      </c>
      <c t="s">
        <v>2517</v>
      </c>
      <c t="s">
        <v>39289</v>
      </c>
      <c>
        <v>33909</v>
      </c>
      <c t="s">
        <v>11423</v>
      </c>
      <c t="s">
        <v>48794</v>
      </c>
      <c t="s">
        <v>56875</v>
      </c>
      <c>
        <v>4528</v>
      </c>
      <c r="AI3271" t="s">
        <v>46764</v>
      </c>
      <c t="s">
        <v>45620</v>
      </c>
      <c r="AL3271" t="s">
        <v>61917</v>
      </c>
      <c r="AN3271" t="s">
        <v>17134</v>
      </c>
      <c t="s">
        <v>171</v>
      </c>
      <c t="s">
        <v>34162</v>
      </c>
      <c t="s">
        <v>3093</v>
      </c>
      <c t="s">
        <v>60138</v>
      </c>
    </row>
    <row>
      <c t="s">
        <v>17594</v>
      </c>
      <c t="s">
        <v>13898</v>
      </c>
      <c t="s">
        <v>18305</v>
      </c>
      <c t="s">
        <v>12415</v>
      </c>
      <c t="s">
        <v>33363</v>
      </c>
      <c s="3">
        <v>22152</v>
      </c>
      <c s="3">
        <v>22152</v>
      </c>
      <c s="3">
        <v>8800</v>
      </c>
      <c>
        <v>0</v>
      </c>
      <c s="3">
        <v>0</v>
      </c>
      <c s="3">
        <v>588.04</v>
      </c>
      <c s="3">
        <v>22152</v>
      </c>
      <c r="O3272" s="1" t="str">
        <f ca="1">HYPERLINK("https://web.datatree.com/?/property?propertyId=33217288", "https://web.datatree.com/?/property?propertyId=33217288")</f>
        <v>https://web.datatree.com/?/property?propertyId=33217288</v>
      </c>
      <c r="Q3272" t="s">
        <v>316</v>
      </c>
      <c>
        <v>0.244</v>
      </c>
      <c t="s">
        <v>22490</v>
      </c>
      <c t="s">
        <v>22027</v>
      </c>
      <c t="s">
        <v>20983</v>
      </c>
      <c t="s">
        <v>2384</v>
      </c>
      <c t="s">
        <v>48360</v>
      </c>
      <c t="s">
        <v>50893</v>
      </c>
      <c t="s">
        <v>66701</v>
      </c>
      <c t="s">
        <v>2517</v>
      </c>
      <c t="s">
        <v>39289</v>
      </c>
      <c>
        <v>33909</v>
      </c>
      <c t="s">
        <v>28086</v>
      </c>
      <c t="s">
        <v>48794</v>
      </c>
      <c t="s">
        <v>29436</v>
      </c>
      <c t="str">
        <f>"59-31"</f>
        <v>59-31</v>
      </c>
      <c r="AI3272" t="s">
        <v>37595</v>
      </c>
      <c r="AK3272">
        <v>9</v>
      </c>
      <c t="s">
        <v>51565</v>
      </c>
      <c r="AN3272" t="s">
        <v>14798</v>
      </c>
      <c r="AR3272" t="s">
        <v>5302</v>
      </c>
    </row>
    <row>
      <c t="s">
        <v>42103</v>
      </c>
      <c t="s">
        <v>20002</v>
      </c>
      <c t="s">
        <v>5391</v>
      </c>
      <c t="s">
        <v>43107</v>
      </c>
      <c t="s">
        <v>54920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3273" s="1" t="str">
        <f ca="1">HYPERLINK("https://web.datatree.com/?/property?propertyId=33217694", "https://web.datatree.com/?/property?propertyId=33217694")</f>
        <v>https://web.datatree.com/?/property?propertyId=33217694</v>
      </c>
      <c r="Q3273" t="s">
        <v>316</v>
      </c>
      <c>
        <v>0.23</v>
      </c>
      <c t="s">
        <v>6175</v>
      </c>
      <c t="s">
        <v>37985</v>
      </c>
      <c t="s">
        <v>23411</v>
      </c>
      <c r="X3273" t="s">
        <v>44283</v>
      </c>
      <c t="s">
        <v>53675</v>
      </c>
      <c t="s">
        <v>2517</v>
      </c>
      <c t="s">
        <v>39289</v>
      </c>
      <c>
        <v>33909</v>
      </c>
      <c t="s">
        <v>18393</v>
      </c>
      <c t="s">
        <v>48794</v>
      </c>
      <c t="s">
        <v>39647</v>
      </c>
      <c r="AI3273" t="s">
        <v>64667</v>
      </c>
      <c r="AL3273" t="s">
        <v>8669</v>
      </c>
      <c r="AN3273" t="s">
        <v>19878</v>
      </c>
      <c>
        <v>61232</v>
      </c>
      <c t="s">
        <v>61509</v>
      </c>
      <c t="s">
        <v>3093</v>
      </c>
      <c t="s">
        <v>4520</v>
      </c>
    </row>
    <row>
      <c t="s">
        <v>17594</v>
      </c>
      <c t="s">
        <v>51427</v>
      </c>
      <c t="s">
        <v>9096</v>
      </c>
      <c t="s">
        <v>34796</v>
      </c>
      <c t="s">
        <v>62494</v>
      </c>
      <c s="3">
        <v>26158</v>
      </c>
      <c s="3">
        <v>26158</v>
      </c>
      <c s="3">
        <v>14226</v>
      </c>
      <c>
        <v>0</v>
      </c>
      <c s="3">
        <v>0</v>
      </c>
      <c s="3">
        <v>440.24</v>
      </c>
      <c s="3">
        <v>26158</v>
      </c>
      <c r="O3274" s="1" t="str">
        <f ca="1">HYPERLINK("https://web.datatree.com/?/property?propertyId=33217851", "https://web.datatree.com/?/property?propertyId=33217851")</f>
        <v>https://web.datatree.com/?/property?propertyId=33217851</v>
      </c>
      <c r="Q3274" t="s">
        <v>316</v>
      </c>
      <c>
        <v>0.231</v>
      </c>
      <c t="s">
        <v>5471</v>
      </c>
      <c t="s">
        <v>54158</v>
      </c>
      <c t="s">
        <v>28988</v>
      </c>
      <c r="X3274" t="s">
        <v>37553</v>
      </c>
      <c t="s">
        <v>42879</v>
      </c>
      <c t="s">
        <v>65059</v>
      </c>
      <c t="s">
        <v>39289</v>
      </c>
      <c>
        <v>33905</v>
      </c>
      <c t="s">
        <v>44096</v>
      </c>
      <c t="s">
        <v>48794</v>
      </c>
      <c t="s">
        <v>2467</v>
      </c>
      <c>
        <v>3</v>
      </c>
      <c r="AI3274" t="s">
        <v>33614</v>
      </c>
      <c t="s">
        <v>41372</v>
      </c>
      <c r="AL3274" t="s">
        <v>55310</v>
      </c>
      <c r="AN3274" t="s">
        <v>50917</v>
      </c>
      <c t="s">
        <v>53087</v>
      </c>
      <c t="s">
        <v>47183</v>
      </c>
      <c t="s">
        <v>3093</v>
      </c>
      <c t="s">
        <v>1761</v>
      </c>
    </row>
    <row>
      <c t="s">
        <v>17594</v>
      </c>
      <c t="s">
        <v>22967</v>
      </c>
      <c t="s">
        <v>18827</v>
      </c>
      <c t="s">
        <v>2239</v>
      </c>
      <c t="s">
        <v>11178</v>
      </c>
      <c s="3">
        <v>49760</v>
      </c>
      <c s="3">
        <v>49760</v>
      </c>
      <c s="3">
        <v>29476</v>
      </c>
      <c>
        <v>0</v>
      </c>
      <c s="3">
        <v>0</v>
      </c>
      <c s="3">
        <v>966.01</v>
      </c>
      <c s="3">
        <v>49760</v>
      </c>
      <c r="O3275" s="1" t="str">
        <f ca="1">HYPERLINK("https://web.datatree.com/?/property?propertyId=33217872", "https://web.datatree.com/?/property?propertyId=33217872")</f>
        <v>https://web.datatree.com/?/property?propertyId=33217872</v>
      </c>
      <c r="Q3275" t="s">
        <v>316</v>
      </c>
      <c>
        <v>0.23</v>
      </c>
      <c t="s">
        <v>22490</v>
      </c>
      <c t="s">
        <v>3238</v>
      </c>
      <c t="s">
        <v>24419</v>
      </c>
      <c t="s">
        <v>34375</v>
      </c>
      <c t="s">
        <v>24419</v>
      </c>
      <c t="s">
        <v>26764</v>
      </c>
      <c t="s">
        <v>33179</v>
      </c>
      <c t="s">
        <v>2517</v>
      </c>
      <c t="s">
        <v>39289</v>
      </c>
      <c>
        <v>33909</v>
      </c>
      <c t="s">
        <v>65023</v>
      </c>
      <c t="s">
        <v>48794</v>
      </c>
      <c t="s">
        <v>20891</v>
      </c>
      <c>
        <v>20</v>
      </c>
      <c r="AI3275" t="s">
        <v>59503</v>
      </c>
      <c t="s">
        <v>39321</v>
      </c>
      <c r="AL3275" t="s">
        <v>1307</v>
      </c>
      <c t="s">
        <v>1307</v>
      </c>
      <c t="s">
        <v>26016</v>
      </c>
      <c t="s">
        <v>6832</v>
      </c>
      <c t="s">
        <v>14695</v>
      </c>
      <c t="s">
        <v>3093</v>
      </c>
      <c t="s">
        <v>31219</v>
      </c>
    </row>
    <row>
      <c t="s">
        <v>17594</v>
      </c>
      <c t="s">
        <v>57290</v>
      </c>
      <c t="s">
        <v>53949</v>
      </c>
      <c t="s">
        <v>64651</v>
      </c>
      <c t="s">
        <v>13965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3276" s="1" t="str">
        <f ca="1">HYPERLINK("https://web.datatree.com/?/property?propertyId=33218035", "https://web.datatree.com/?/property?propertyId=33218035")</f>
        <v>https://web.datatree.com/?/property?propertyId=33218035</v>
      </c>
      <c r="Q3276" t="s">
        <v>316</v>
      </c>
      <c>
        <v>0.23</v>
      </c>
      <c t="s">
        <v>22490</v>
      </c>
      <c t="s">
        <v>34140</v>
      </c>
      <c t="s">
        <v>36390</v>
      </c>
      <c r="X3276" t="s">
        <v>32583</v>
      </c>
      <c t="s">
        <v>61850</v>
      </c>
      <c t="s">
        <v>2517</v>
      </c>
      <c t="s">
        <v>39289</v>
      </c>
      <c>
        <v>33909</v>
      </c>
      <c t="s">
        <v>44591</v>
      </c>
      <c t="s">
        <v>48794</v>
      </c>
      <c t="s">
        <v>2370</v>
      </c>
      <c>
        <v>12020</v>
      </c>
      <c r="AI3276" t="s">
        <v>13065</v>
      </c>
      <c t="s">
        <v>45393</v>
      </c>
      <c r="AL3276" t="s">
        <v>6365</v>
      </c>
      <c t="s">
        <v>6365</v>
      </c>
      <c t="s">
        <v>39289</v>
      </c>
      <c t="s">
        <v>43640</v>
      </c>
      <c t="s">
        <v>17380</v>
      </c>
      <c t="s">
        <v>3093</v>
      </c>
      <c t="s">
        <v>22561</v>
      </c>
    </row>
    <row>
      <c t="s">
        <v>17594</v>
      </c>
      <c t="s">
        <v>45507</v>
      </c>
      <c t="s">
        <v>39081</v>
      </c>
      <c t="s">
        <v>55111</v>
      </c>
      <c t="s">
        <v>9206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277" s="1" t="str">
        <f ca="1">HYPERLINK("https://web.datatree.com/?/property?propertyId=33218566", "https://web.datatree.com/?/property?propertyId=33218566")</f>
        <v>https://web.datatree.com/?/property?propertyId=33218566</v>
      </c>
      <c r="Q3277" t="s">
        <v>316</v>
      </c>
      <c>
        <v>0.23</v>
      </c>
      <c t="s">
        <v>6175</v>
      </c>
      <c t="s">
        <v>44457</v>
      </c>
      <c t="s">
        <v>4190</v>
      </c>
      <c t="s">
        <v>51891</v>
      </c>
      <c t="s">
        <v>4190</v>
      </c>
      <c t="s">
        <v>31307</v>
      </c>
      <c t="s">
        <v>14534</v>
      </c>
      <c t="s">
        <v>2517</v>
      </c>
      <c t="s">
        <v>39289</v>
      </c>
      <c>
        <v>33909</v>
      </c>
      <c t="s">
        <v>6027</v>
      </c>
      <c t="s">
        <v>48794</v>
      </c>
      <c t="s">
        <v>30848</v>
      </c>
      <c>
        <v>5</v>
      </c>
      <c r="AI3277" t="s">
        <v>60454</v>
      </c>
      <c t="s">
        <v>31192</v>
      </c>
      <c r="AL3277" t="s">
        <v>11871</v>
      </c>
      <c r="AN3277" t="s">
        <v>14509</v>
      </c>
      <c t="s">
        <v>14398</v>
      </c>
      <c t="s">
        <v>702</v>
      </c>
      <c t="s">
        <v>3093</v>
      </c>
      <c t="s">
        <v>18097</v>
      </c>
    </row>
    <row>
      <c t="s">
        <v>17594</v>
      </c>
      <c t="s">
        <v>8983</v>
      </c>
      <c t="s">
        <v>65573</v>
      </c>
      <c t="s">
        <v>3047</v>
      </c>
      <c t="s">
        <v>24815</v>
      </c>
      <c s="3">
        <v>50749</v>
      </c>
      <c s="3">
        <v>50749</v>
      </c>
      <c s="3">
        <v>31360</v>
      </c>
      <c>
        <v>0</v>
      </c>
      <c s="3">
        <v>0</v>
      </c>
      <c s="3">
        <v>991.3</v>
      </c>
      <c s="3">
        <v>50749</v>
      </c>
      <c r="O3278" s="1" t="str">
        <f ca="1">HYPERLINK("https://web.datatree.com/?/property?propertyId=33218693", "https://web.datatree.com/?/property?propertyId=33218693")</f>
        <v>https://web.datatree.com/?/property?propertyId=33218693</v>
      </c>
      <c r="Q3278" t="s">
        <v>316</v>
      </c>
      <c>
        <v>0.239</v>
      </c>
      <c t="s">
        <v>22490</v>
      </c>
      <c t="s">
        <v>66704</v>
      </c>
      <c t="s">
        <v>51733</v>
      </c>
      <c r="X3278" t="s">
        <v>23423</v>
      </c>
      <c t="s">
        <v>34731</v>
      </c>
      <c t="s">
        <v>2517</v>
      </c>
      <c t="s">
        <v>39289</v>
      </c>
      <c>
        <v>33909</v>
      </c>
      <c t="s">
        <v>6667</v>
      </c>
      <c t="s">
        <v>48794</v>
      </c>
      <c t="s">
        <v>19001</v>
      </c>
      <c>
        <v>59</v>
      </c>
      <c r="AI3278" t="s">
        <v>53948</v>
      </c>
      <c t="s">
        <v>45393</v>
      </c>
      <c r="AL3278" t="s">
        <v>47361</v>
      </c>
      <c r="AN3278" t="s">
        <v>27747</v>
      </c>
      <c t="s">
        <v>29440</v>
      </c>
      <c t="s">
        <v>60160</v>
      </c>
      <c t="s">
        <v>3093</v>
      </c>
      <c t="s">
        <v>34647</v>
      </c>
    </row>
    <row>
      <c t="s">
        <v>42103</v>
      </c>
      <c t="s">
        <v>18687</v>
      </c>
      <c t="s">
        <v>64847</v>
      </c>
      <c t="s">
        <v>66206</v>
      </c>
      <c t="s">
        <v>61558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3279" s="1" t="str">
        <f ca="1">HYPERLINK("https://web.datatree.com/?/property?propertyId=33218701", "https://web.datatree.com/?/property?propertyId=33218701")</f>
        <v>https://web.datatree.com/?/property?propertyId=33218701</v>
      </c>
      <c r="Q3279" t="s">
        <v>316</v>
      </c>
      <c>
        <v>0.23</v>
      </c>
      <c t="s">
        <v>6175</v>
      </c>
      <c t="s">
        <v>57655</v>
      </c>
      <c t="s">
        <v>5601</v>
      </c>
      <c r="X3279" t="s">
        <v>38479</v>
      </c>
      <c t="s">
        <v>49122</v>
      </c>
      <c t="s">
        <v>2517</v>
      </c>
      <c t="s">
        <v>39289</v>
      </c>
      <c>
        <v>33909</v>
      </c>
      <c t="s">
        <v>30091</v>
      </c>
      <c t="s">
        <v>48794</v>
      </c>
      <c t="s">
        <v>31266</v>
      </c>
      <c r="AI3279" t="s">
        <v>42515</v>
      </c>
      <c r="AL3279" t="s">
        <v>9949</v>
      </c>
      <c t="s">
        <v>9949</v>
      </c>
      <c t="s">
        <v>460</v>
      </c>
      <c>
        <v>5048</v>
      </c>
      <c r="AR3279" t="s">
        <v>17182</v>
      </c>
    </row>
    <row>
      <c t="s">
        <v>17594</v>
      </c>
      <c t="s">
        <v>64668</v>
      </c>
      <c t="s">
        <v>4727</v>
      </c>
      <c t="s">
        <v>38414</v>
      </c>
      <c t="s">
        <v>47776</v>
      </c>
      <c s="3">
        <v>26250</v>
      </c>
      <c s="3">
        <v>26250</v>
      </c>
      <c s="3">
        <v>9433</v>
      </c>
      <c>
        <v>0</v>
      </c>
      <c s="3">
        <v>0</v>
      </c>
      <c s="3">
        <v>411.77</v>
      </c>
      <c s="3">
        <v>26250</v>
      </c>
      <c r="O3280" s="1" t="str">
        <f ca="1">HYPERLINK("https://web.datatree.com/?/property?propertyId=33218924", "https://web.datatree.com/?/property?propertyId=33218924")</f>
        <v>https://web.datatree.com/?/property?propertyId=33218924</v>
      </c>
      <c r="Q3280" t="s">
        <v>316</v>
      </c>
      <c>
        <v>0.224</v>
      </c>
      <c t="s">
        <v>5471</v>
      </c>
      <c t="s">
        <v>30007</v>
      </c>
      <c t="s">
        <v>48794</v>
      </c>
      <c r="X3280" t="s">
        <v>51980</v>
      </c>
      <c t="s">
        <v>17750</v>
      </c>
      <c t="s">
        <v>65059</v>
      </c>
      <c t="s">
        <v>39289</v>
      </c>
      <c>
        <v>33905</v>
      </c>
      <c t="s">
        <v>46457</v>
      </c>
      <c t="s">
        <v>48794</v>
      </c>
      <c t="s">
        <v>61098</v>
      </c>
      <c>
        <v>9101</v>
      </c>
      <c r="AI3280" t="s">
        <v>65608</v>
      </c>
      <c t="s">
        <v>4985</v>
      </c>
      <c r="AL3280" t="s">
        <v>6365</v>
      </c>
      <c t="s">
        <v>6365</v>
      </c>
      <c t="s">
        <v>39289</v>
      </c>
      <c t="s">
        <v>7742</v>
      </c>
      <c t="s">
        <v>17380</v>
      </c>
      <c t="s">
        <v>3093</v>
      </c>
      <c t="s">
        <v>55931</v>
      </c>
    </row>
    <row>
      <c t="s">
        <v>17594</v>
      </c>
      <c t="s">
        <v>1475</v>
      </c>
      <c t="s">
        <v>30486</v>
      </c>
      <c t="s">
        <v>59641</v>
      </c>
      <c t="s">
        <v>55915</v>
      </c>
      <c s="3">
        <v>26249</v>
      </c>
      <c s="3">
        <v>26249</v>
      </c>
      <c s="3">
        <v>9680</v>
      </c>
      <c>
        <v>0</v>
      </c>
      <c s="3">
        <v>0</v>
      </c>
      <c s="3">
        <v>2883.7</v>
      </c>
      <c s="3">
        <v>26249</v>
      </c>
      <c r="O3281" s="1" t="str">
        <f ca="1">HYPERLINK("https://web.datatree.com/?/property?propertyId=33219894", "https://web.datatree.com/?/property?propertyId=33219894")</f>
        <v>https://web.datatree.com/?/property?propertyId=33219894</v>
      </c>
      <c r="Q3281" t="s">
        <v>316</v>
      </c>
      <c>
        <v>0.23</v>
      </c>
      <c t="s">
        <v>6175</v>
      </c>
      <c t="s">
        <v>552</v>
      </c>
      <c t="s">
        <v>27165</v>
      </c>
      <c r="X3281" t="s">
        <v>38309</v>
      </c>
      <c t="s">
        <v>53675</v>
      </c>
      <c t="s">
        <v>2517</v>
      </c>
      <c t="s">
        <v>39289</v>
      </c>
      <c>
        <v>33909</v>
      </c>
      <c t="s">
        <v>59937</v>
      </c>
      <c t="s">
        <v>48794</v>
      </c>
      <c t="s">
        <v>44608</v>
      </c>
      <c>
        <v>1933</v>
      </c>
      <c r="AI3281" t="s">
        <v>2076</v>
      </c>
      <c t="s">
        <v>55842</v>
      </c>
      <c>
        <v>101</v>
      </c>
      <c t="s">
        <v>55287</v>
      </c>
      <c r="AN3281" t="s">
        <v>51087</v>
      </c>
      <c t="s">
        <v>47866</v>
      </c>
      <c t="s">
        <v>26242</v>
      </c>
      <c t="s">
        <v>3093</v>
      </c>
      <c t="s">
        <v>36038</v>
      </c>
    </row>
    <row>
      <c t="s">
        <v>17594</v>
      </c>
      <c t="s">
        <v>9925</v>
      </c>
      <c t="s">
        <v>46028</v>
      </c>
      <c t="s">
        <v>65593</v>
      </c>
      <c t="s">
        <v>42238</v>
      </c>
      <c s="3">
        <v>7300</v>
      </c>
      <c s="3">
        <v>7300</v>
      </c>
      <c s="3">
        <v>7300</v>
      </c>
      <c>
        <v>0</v>
      </c>
      <c s="3">
        <v>0</v>
      </c>
      <c s="3">
        <v>725.65</v>
      </c>
      <c s="3">
        <v>7300</v>
      </c>
      <c r="O3282" s="1" t="str">
        <f ca="1">HYPERLINK("https://web.datatree.com/?/property?propertyId=33219970", "https://web.datatree.com/?/property?propertyId=33219970")</f>
        <v>https://web.datatree.com/?/property?propertyId=33219970</v>
      </c>
      <c r="Q3282" t="s">
        <v>316</v>
      </c>
      <c>
        <v>0.279</v>
      </c>
      <c t="s">
        <v>22490</v>
      </c>
      <c t="s">
        <v>29162</v>
      </c>
      <c t="s">
        <v>37666</v>
      </c>
      <c r="X3282" t="s">
        <v>2344</v>
      </c>
      <c t="s">
        <v>49122</v>
      </c>
      <c t="s">
        <v>2517</v>
      </c>
      <c t="s">
        <v>39289</v>
      </c>
      <c>
        <v>33909</v>
      </c>
      <c t="s">
        <v>8002</v>
      </c>
      <c t="s">
        <v>48794</v>
      </c>
      <c t="s">
        <v>37863</v>
      </c>
      <c>
        <v>6820</v>
      </c>
      <c r="AI3282" t="s">
        <v>20559</v>
      </c>
      <c t="s">
        <v>45393</v>
      </c>
      <c>
        <v>205</v>
      </c>
      <c t="s">
        <v>55393</v>
      </c>
      <c t="s">
        <v>55393</v>
      </c>
      <c t="s">
        <v>39289</v>
      </c>
      <c t="s">
        <v>33857</v>
      </c>
      <c t="s">
        <v>44573</v>
      </c>
      <c t="s">
        <v>3093</v>
      </c>
      <c t="s">
        <v>27971</v>
      </c>
    </row>
    <row>
      <c t="s">
        <v>17594</v>
      </c>
      <c t="s">
        <v>4830</v>
      </c>
      <c t="s">
        <v>9026</v>
      </c>
      <c t="s">
        <v>62185</v>
      </c>
      <c t="s">
        <v>28594</v>
      </c>
      <c s="3">
        <v>10600</v>
      </c>
      <c s="3">
        <v>10600</v>
      </c>
      <c s="3">
        <v>10600</v>
      </c>
      <c>
        <v>0</v>
      </c>
      <c s="3">
        <v>0</v>
      </c>
      <c s="3">
        <v>2972.6</v>
      </c>
      <c s="3">
        <v>10600</v>
      </c>
      <c r="O3283" s="1" t="str">
        <f ca="1">HYPERLINK("https://web.datatree.com/?/property?propertyId=33220014", "https://web.datatree.com/?/property?propertyId=33220014")</f>
        <v>https://web.datatree.com/?/property?propertyId=33220014</v>
      </c>
      <c r="Q3283" t="s">
        <v>316</v>
      </c>
      <c>
        <v>0.23</v>
      </c>
      <c t="s">
        <v>6175</v>
      </c>
      <c t="s">
        <v>41568</v>
      </c>
      <c t="s">
        <v>2816</v>
      </c>
      <c r="X3283" t="s">
        <v>20004</v>
      </c>
      <c t="s">
        <v>18679</v>
      </c>
      <c t="s">
        <v>2517</v>
      </c>
      <c t="s">
        <v>39289</v>
      </c>
      <c>
        <v>33909</v>
      </c>
      <c>
        <v>33909</v>
      </c>
      <c t="s">
        <v>48794</v>
      </c>
      <c t="s">
        <v>8013</v>
      </c>
      <c>
        <v>26</v>
      </c>
      <c r="AI3283" t="s">
        <v>5105</v>
      </c>
      <c t="s">
        <v>45393</v>
      </c>
      <c>
        <v>3</v>
      </c>
      <c t="s">
        <v>21152</v>
      </c>
      <c r="AN3283" t="s">
        <v>27747</v>
      </c>
      <c t="s">
        <v>5835</v>
      </c>
      <c t="s">
        <v>7207</v>
      </c>
      <c t="s">
        <v>3093</v>
      </c>
      <c t="s">
        <v>43276</v>
      </c>
    </row>
    <row>
      <c t="s">
        <v>17594</v>
      </c>
      <c t="s">
        <v>24677</v>
      </c>
      <c t="s">
        <v>17957</v>
      </c>
      <c t="s">
        <v>14988</v>
      </c>
      <c t="s">
        <v>47100</v>
      </c>
      <c s="3">
        <v>14982</v>
      </c>
      <c s="3">
        <v>14982</v>
      </c>
      <c s="3">
        <v>5840</v>
      </c>
      <c>
        <v>0</v>
      </c>
      <c s="3">
        <v>0</v>
      </c>
      <c s="3">
        <v>348.77</v>
      </c>
      <c s="3">
        <v>14982</v>
      </c>
      <c r="O3284" s="1" t="str">
        <f ca="1">HYPERLINK("https://web.datatree.com/?/property?propertyId=33220138", "https://web.datatree.com/?/property?propertyId=33220138")</f>
        <v>https://web.datatree.com/?/property?propertyId=33220138</v>
      </c>
      <c r="Q3284" t="s">
        <v>316</v>
      </c>
      <c>
        <v>0.337</v>
      </c>
      <c t="s">
        <v>37489</v>
      </c>
      <c t="s">
        <v>2140</v>
      </c>
      <c t="s">
        <v>53471</v>
      </c>
      <c t="s">
        <v>10361</v>
      </c>
      <c t="s">
        <v>53471</v>
      </c>
      <c t="s">
        <v>46948</v>
      </c>
      <c t="s">
        <v>51919</v>
      </c>
      <c t="s">
        <v>65059</v>
      </c>
      <c t="s">
        <v>39289</v>
      </c>
      <c>
        <v>33905</v>
      </c>
      <c>
        <v>33905</v>
      </c>
      <c t="s">
        <v>48794</v>
      </c>
      <c t="s">
        <v>34755</v>
      </c>
      <c>
        <v>14444</v>
      </c>
      <c r="AI3284" t="s">
        <v>27846</v>
      </c>
      <c t="s">
        <v>31192</v>
      </c>
      <c r="AL3284" t="s">
        <v>30525</v>
      </c>
      <c t="s">
        <v>40227</v>
      </c>
      <c t="s">
        <v>17134</v>
      </c>
      <c t="s">
        <v>45239</v>
      </c>
      <c t="s">
        <v>45860</v>
      </c>
      <c t="s">
        <v>3093</v>
      </c>
      <c t="s">
        <v>34115</v>
      </c>
    </row>
    <row>
      <c t="s">
        <v>17594</v>
      </c>
      <c t="s">
        <v>30830</v>
      </c>
      <c t="s">
        <v>6925</v>
      </c>
      <c t="s">
        <v>51709</v>
      </c>
      <c t="s">
        <v>4483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285" s="1" t="str">
        <f ca="1">HYPERLINK("https://web.datatree.com/?/property?propertyId=33220472", "https://web.datatree.com/?/property?propertyId=33220472")</f>
        <v>https://web.datatree.com/?/property?propertyId=33220472</v>
      </c>
      <c r="Q3285" t="s">
        <v>316</v>
      </c>
      <c>
        <v>0.23</v>
      </c>
      <c t="s">
        <v>6175</v>
      </c>
      <c t="s">
        <v>6307</v>
      </c>
      <c t="s">
        <v>5078</v>
      </c>
      <c t="s">
        <v>40487</v>
      </c>
      <c t="s">
        <v>9592</v>
      </c>
      <c t="s">
        <v>16133</v>
      </c>
      <c t="s">
        <v>29190</v>
      </c>
      <c t="s">
        <v>2517</v>
      </c>
      <c t="s">
        <v>39289</v>
      </c>
      <c>
        <v>33909</v>
      </c>
      <c t="s">
        <v>50572</v>
      </c>
      <c t="s">
        <v>48794</v>
      </c>
      <c t="s">
        <v>43108</v>
      </c>
      <c>
        <v>3538</v>
      </c>
      <c r="AI3285" t="s">
        <v>63973</v>
      </c>
      <c t="s">
        <v>835</v>
      </c>
      <c r="AL3285" t="s">
        <v>62827</v>
      </c>
      <c r="AN3285" t="s">
        <v>65451</v>
      </c>
      <c t="s">
        <v>3773</v>
      </c>
      <c t="s">
        <v>22302</v>
      </c>
      <c t="s">
        <v>3093</v>
      </c>
      <c t="s">
        <v>62512</v>
      </c>
    </row>
    <row>
      <c t="s">
        <v>17594</v>
      </c>
      <c t="s">
        <v>54011</v>
      </c>
      <c t="s">
        <v>11747</v>
      </c>
      <c t="s">
        <v>15516</v>
      </c>
      <c t="s">
        <v>39517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>
        <v>2021</v>
      </c>
      <c>
        <v>594.94</v>
      </c>
      <c s="1" t="str">
        <f ca="1">HYPERLINK("https://web.datatree.com/?/property?propertyId=33221006", "https://web.datatree.com/?/property?propertyId=33221006")</f>
        <v>https://web.datatree.com/?/property?propertyId=33221006</v>
      </c>
      <c r="Q3286" t="s">
        <v>316</v>
      </c>
      <c>
        <v>0.23</v>
      </c>
      <c t="s">
        <v>6175</v>
      </c>
      <c t="s">
        <v>23385</v>
      </c>
      <c t="s">
        <v>10746</v>
      </c>
      <c r="X3286" t="s">
        <v>20027</v>
      </c>
      <c t="s">
        <v>2626</v>
      </c>
      <c t="s">
        <v>2517</v>
      </c>
      <c t="s">
        <v>39289</v>
      </c>
      <c>
        <v>33909</v>
      </c>
      <c t="s">
        <v>2752</v>
      </c>
      <c t="s">
        <v>48794</v>
      </c>
      <c t="s">
        <v>63625</v>
      </c>
      <c>
        <v>2714</v>
      </c>
      <c r="AI3286" t="s">
        <v>57892</v>
      </c>
      <c r="AL3286" t="s">
        <v>19725</v>
      </c>
      <c r="AN3286" t="s">
        <v>17134</v>
      </c>
      <c>
        <v>44680</v>
      </c>
      <c r="AR3286" t="s">
        <v>47400</v>
      </c>
    </row>
    <row>
      <c t="s">
        <v>17594</v>
      </c>
      <c t="s">
        <v>18463</v>
      </c>
      <c t="s">
        <v>44205</v>
      </c>
      <c t="s">
        <v>33299</v>
      </c>
      <c t="s">
        <v>43177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3287" s="1" t="str">
        <f ca="1">HYPERLINK("https://web.datatree.com/?/property?propertyId=33221050", "https://web.datatree.com/?/property?propertyId=33221050")</f>
        <v>https://web.datatree.com/?/property?propertyId=33221050</v>
      </c>
      <c r="Q3287" t="s">
        <v>316</v>
      </c>
      <c>
        <v>0.23</v>
      </c>
      <c t="s">
        <v>22490</v>
      </c>
      <c t="s">
        <v>9711</v>
      </c>
      <c t="s">
        <v>34217</v>
      </c>
      <c r="X3287" t="s">
        <v>25971</v>
      </c>
      <c t="s">
        <v>2626</v>
      </c>
      <c t="s">
        <v>2517</v>
      </c>
      <c t="s">
        <v>39289</v>
      </c>
      <c>
        <v>33909</v>
      </c>
      <c t="s">
        <v>42247</v>
      </c>
      <c t="s">
        <v>48794</v>
      </c>
      <c t="s">
        <v>18744</v>
      </c>
      <c>
        <v>6280</v>
      </c>
      <c r="AI3287" t="s">
        <v>54504</v>
      </c>
      <c t="s">
        <v>56275</v>
      </c>
      <c>
        <v>605</v>
      </c>
      <c t="s">
        <v>15179</v>
      </c>
      <c r="AN3287" t="s">
        <v>39289</v>
      </c>
      <c t="s">
        <v>17295</v>
      </c>
      <c t="s">
        <v>15980</v>
      </c>
      <c t="s">
        <v>3093</v>
      </c>
      <c t="s">
        <v>16252</v>
      </c>
    </row>
    <row>
      <c t="s">
        <v>17594</v>
      </c>
      <c t="s">
        <v>58473</v>
      </c>
      <c t="s">
        <v>35011</v>
      </c>
      <c t="s">
        <v>26877</v>
      </c>
      <c t="s">
        <v>1718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288" s="1" t="str">
        <f ca="1">HYPERLINK("https://web.datatree.com/?/property?propertyId=33222682", "https://web.datatree.com/?/property?propertyId=33222682")</f>
        <v>https://web.datatree.com/?/property?propertyId=33222682</v>
      </c>
      <c r="Q3288" t="s">
        <v>316</v>
      </c>
      <c>
        <v>0.23</v>
      </c>
      <c t="s">
        <v>45031</v>
      </c>
      <c t="s">
        <v>5121</v>
      </c>
      <c t="s">
        <v>5873</v>
      </c>
      <c t="s">
        <v>44541</v>
      </c>
      <c t="s">
        <v>65354</v>
      </c>
      <c t="s">
        <v>53628</v>
      </c>
      <c t="s">
        <v>38550</v>
      </c>
      <c t="s">
        <v>2517</v>
      </c>
      <c t="s">
        <v>39289</v>
      </c>
      <c>
        <v>33909</v>
      </c>
      <c t="s">
        <v>64368</v>
      </c>
      <c t="s">
        <v>48794</v>
      </c>
      <c t="s">
        <v>14296</v>
      </c>
      <c>
        <v>5407</v>
      </c>
      <c r="AI3288" t="s">
        <v>40198</v>
      </c>
      <c t="s">
        <v>45620</v>
      </c>
      <c r="AL3288" t="s">
        <v>19042</v>
      </c>
      <c r="AN3288" t="s">
        <v>18236</v>
      </c>
      <c t="s">
        <v>22496</v>
      </c>
      <c t="s">
        <v>61410</v>
      </c>
      <c t="s">
        <v>3093</v>
      </c>
      <c t="s">
        <v>66917</v>
      </c>
    </row>
    <row>
      <c t="s">
        <v>17594</v>
      </c>
      <c t="s">
        <v>54235</v>
      </c>
      <c t="s">
        <v>22917</v>
      </c>
      <c t="s">
        <v>20404</v>
      </c>
      <c t="s">
        <v>3804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289" s="1" t="str">
        <f ca="1">HYPERLINK("https://web.datatree.com/?/property?propertyId=33223155", "https://web.datatree.com/?/property?propertyId=33223155")</f>
        <v>https://web.datatree.com/?/property?propertyId=33223155</v>
      </c>
      <c r="Q3289" t="s">
        <v>316</v>
      </c>
      <c>
        <v>0.23</v>
      </c>
      <c t="s">
        <v>6175</v>
      </c>
      <c t="s">
        <v>66812</v>
      </c>
      <c t="s">
        <v>39982</v>
      </c>
      <c t="s">
        <v>40017</v>
      </c>
      <c t="s">
        <v>39982</v>
      </c>
      <c t="s">
        <v>30225</v>
      </c>
      <c t="s">
        <v>2619</v>
      </c>
      <c t="s">
        <v>2517</v>
      </c>
      <c t="s">
        <v>39289</v>
      </c>
      <c>
        <v>33909</v>
      </c>
      <c t="s">
        <v>40840</v>
      </c>
      <c t="s">
        <v>48794</v>
      </c>
      <c t="s">
        <v>50590</v>
      </c>
      <c>
        <v>8144</v>
      </c>
      <c r="AI3289" t="s">
        <v>59465</v>
      </c>
      <c t="s">
        <v>39321</v>
      </c>
      <c r="AL3289" t="s">
        <v>1121</v>
      </c>
      <c r="AN3289" t="s">
        <v>39289</v>
      </c>
      <c t="s">
        <v>57953</v>
      </c>
      <c t="s">
        <v>35679</v>
      </c>
      <c t="s">
        <v>3093</v>
      </c>
      <c t="s">
        <v>60039</v>
      </c>
    </row>
    <row>
      <c t="s">
        <v>17594</v>
      </c>
      <c t="s">
        <v>58597</v>
      </c>
      <c t="s">
        <v>39324</v>
      </c>
      <c t="s">
        <v>43660</v>
      </c>
      <c t="s">
        <v>63730</v>
      </c>
      <c s="3">
        <v>15788</v>
      </c>
      <c s="3">
        <v>15788</v>
      </c>
      <c s="3">
        <v>8250</v>
      </c>
      <c>
        <v>0</v>
      </c>
      <c s="3">
        <v>0</v>
      </c>
      <c s="3">
        <v>641.04</v>
      </c>
      <c s="3">
        <v>15788</v>
      </c>
      <c r="O3290" s="1" t="str">
        <f ca="1">HYPERLINK("https://web.datatree.com/?/property?propertyId=33223583", "https://web.datatree.com/?/property?propertyId=33223583")</f>
        <v>https://web.datatree.com/?/property?propertyId=33223583</v>
      </c>
      <c r="Q3290" t="s">
        <v>316</v>
      </c>
      <c>
        <v>0.344</v>
      </c>
      <c t="s">
        <v>6175</v>
      </c>
      <c t="s">
        <v>10361</v>
      </c>
      <c t="s">
        <v>25631</v>
      </c>
      <c r="X3290" t="s">
        <v>64139</v>
      </c>
      <c t="s">
        <v>41506</v>
      </c>
      <c t="s">
        <v>2517</v>
      </c>
      <c t="s">
        <v>39289</v>
      </c>
      <c>
        <v>33909</v>
      </c>
      <c t="s">
        <v>11806</v>
      </c>
      <c t="s">
        <v>48794</v>
      </c>
      <c t="s">
        <v>1200</v>
      </c>
      <c>
        <v>16901</v>
      </c>
      <c r="AI3290" t="s">
        <v>22731</v>
      </c>
      <c t="s">
        <v>45393</v>
      </c>
      <c r="AL3290" t="s">
        <v>36852</v>
      </c>
      <c r="AN3290" t="s">
        <v>4477</v>
      </c>
      <c t="s">
        <v>51446</v>
      </c>
      <c t="s">
        <v>61280</v>
      </c>
      <c t="s">
        <v>3093</v>
      </c>
      <c t="s">
        <v>579</v>
      </c>
    </row>
    <row>
      <c t="s">
        <v>17594</v>
      </c>
      <c t="s">
        <v>51423</v>
      </c>
      <c t="s">
        <v>8973</v>
      </c>
      <c t="s">
        <v>3729</v>
      </c>
      <c t="s">
        <v>52892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291" s="1" t="str">
        <f ca="1">HYPERLINK("https://web.datatree.com/?/property?propertyId=33223621", "https://web.datatree.com/?/property?propertyId=33223621")</f>
        <v>https://web.datatree.com/?/property?propertyId=33223621</v>
      </c>
      <c r="Q3291" t="s">
        <v>316</v>
      </c>
      <c>
        <v>0.23</v>
      </c>
      <c r="U3291" t="s">
        <v>25663</v>
      </c>
      <c r="W3291" t="s">
        <v>62959</v>
      </c>
      <c t="s">
        <v>4916</v>
      </c>
      <c t="s">
        <v>34136</v>
      </c>
      <c t="s">
        <v>2517</v>
      </c>
      <c t="s">
        <v>39289</v>
      </c>
      <c>
        <v>33909</v>
      </c>
      <c t="s">
        <v>7667</v>
      </c>
      <c t="s">
        <v>48794</v>
      </c>
      <c t="s">
        <v>52882</v>
      </c>
      <c>
        <v>13074</v>
      </c>
      <c r="AI3291" t="s">
        <v>3974</v>
      </c>
      <c t="s">
        <v>835</v>
      </c>
      <c r="AL3291" t="s">
        <v>22531</v>
      </c>
      <c r="AN3291" t="s">
        <v>39289</v>
      </c>
      <c t="s">
        <v>11032</v>
      </c>
      <c t="s">
        <v>34025</v>
      </c>
      <c t="s">
        <v>3093</v>
      </c>
      <c t="s">
        <v>64420</v>
      </c>
    </row>
    <row>
      <c t="s">
        <v>17594</v>
      </c>
      <c t="s">
        <v>36346</v>
      </c>
      <c t="s">
        <v>45306</v>
      </c>
      <c t="s">
        <v>21332</v>
      </c>
      <c t="s">
        <v>32082</v>
      </c>
      <c s="3">
        <v>17602</v>
      </c>
      <c s="3">
        <v>17602</v>
      </c>
      <c s="3">
        <v>9075</v>
      </c>
      <c>
        <v>0</v>
      </c>
      <c s="3">
        <v>0</v>
      </c>
      <c s="3">
        <v>575.48</v>
      </c>
      <c s="3">
        <v>17602</v>
      </c>
      <c>
        <v>2021</v>
      </c>
      <c>
        <v>621.67</v>
      </c>
      <c s="1" t="str">
        <f ca="1">HYPERLINK("https://web.datatree.com/?/property?propertyId=33223879", "https://web.datatree.com/?/property?propertyId=33223879")</f>
        <v>https://web.datatree.com/?/property?propertyId=33223879</v>
      </c>
      <c r="Q3292" t="s">
        <v>316</v>
      </c>
      <c>
        <v>0.255</v>
      </c>
      <c t="s">
        <v>6175</v>
      </c>
      <c t="s">
        <v>49062</v>
      </c>
      <c t="s">
        <v>58149</v>
      </c>
      <c r="X3292" t="s">
        <v>21825</v>
      </c>
      <c t="s">
        <v>22731</v>
      </c>
      <c t="s">
        <v>2517</v>
      </c>
      <c t="s">
        <v>39289</v>
      </c>
      <c>
        <v>33909</v>
      </c>
      <c t="s">
        <v>61526</v>
      </c>
      <c t="s">
        <v>48794</v>
      </c>
      <c t="s">
        <v>52446</v>
      </c>
      <c>
        <v>13340</v>
      </c>
      <c r="AI3292" t="s">
        <v>18679</v>
      </c>
      <c t="s">
        <v>41372</v>
      </c>
      <c r="AL3292" t="s">
        <v>18092</v>
      </c>
      <c r="AN3292" t="s">
        <v>39289</v>
      </c>
      <c t="s">
        <v>47965</v>
      </c>
      <c t="s">
        <v>40645</v>
      </c>
      <c t="s">
        <v>3093</v>
      </c>
      <c t="s">
        <v>20888</v>
      </c>
    </row>
    <row>
      <c t="s">
        <v>17594</v>
      </c>
      <c t="s">
        <v>48053</v>
      </c>
      <c t="s">
        <v>22721</v>
      </c>
      <c t="s">
        <v>21481</v>
      </c>
      <c t="s">
        <v>66900</v>
      </c>
      <c s="3">
        <v>38750</v>
      </c>
      <c s="3">
        <v>38750</v>
      </c>
      <c s="3">
        <v>17050</v>
      </c>
      <c>
        <v>0</v>
      </c>
      <c s="3">
        <v>0</v>
      </c>
      <c s="3">
        <v>764.36</v>
      </c>
      <c s="3">
        <v>38750</v>
      </c>
      <c r="O3293" s="1" t="str">
        <f ca="1">HYPERLINK("https://web.datatree.com/?/property?propertyId=33223903", "https://web.datatree.com/?/property?propertyId=33223903")</f>
        <v>https://web.datatree.com/?/property?propertyId=33223903</v>
      </c>
      <c r="Q3293" t="s">
        <v>316</v>
      </c>
      <c>
        <v>0.23</v>
      </c>
      <c t="s">
        <v>45031</v>
      </c>
      <c t="s">
        <v>49814</v>
      </c>
      <c t="s">
        <v>57803</v>
      </c>
      <c r="X3293" t="s">
        <v>29071</v>
      </c>
      <c t="s">
        <v>46469</v>
      </c>
      <c t="s">
        <v>2517</v>
      </c>
      <c t="s">
        <v>39289</v>
      </c>
      <c>
        <v>33909</v>
      </c>
      <c t="s">
        <v>2703</v>
      </c>
      <c t="s">
        <v>48794</v>
      </c>
      <c t="s">
        <v>66105</v>
      </c>
      <c>
        <v>8</v>
      </c>
      <c r="AI3293" t="s">
        <v>39556</v>
      </c>
      <c r="AL3293" t="s">
        <v>52788</v>
      </c>
      <c r="AN3293" t="s">
        <v>63985</v>
      </c>
      <c>
        <v>75239</v>
      </c>
      <c r="AQ3293" t="s">
        <v>3093</v>
      </c>
      <c t="s">
        <v>33564</v>
      </c>
    </row>
    <row>
      <c t="s">
        <v>17594</v>
      </c>
      <c t="s">
        <v>15886</v>
      </c>
      <c t="s">
        <v>48835</v>
      </c>
      <c t="s">
        <v>8424</v>
      </c>
      <c t="s">
        <v>26646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3294" s="1" t="str">
        <f ca="1">HYPERLINK("https://web.datatree.com/?/property?propertyId=33224034", "https://web.datatree.com/?/property?propertyId=33224034")</f>
        <v>https://web.datatree.com/?/property?propertyId=33224034</v>
      </c>
      <c r="Q3294" t="s">
        <v>316</v>
      </c>
      <c>
        <v>0.23</v>
      </c>
      <c t="s">
        <v>22490</v>
      </c>
      <c t="s">
        <v>18074</v>
      </c>
      <c t="s">
        <v>2543</v>
      </c>
      <c t="s">
        <v>9059</v>
      </c>
      <c t="s">
        <v>40515</v>
      </c>
      <c t="s">
        <v>11684</v>
      </c>
      <c t="s">
        <v>34136</v>
      </c>
      <c t="s">
        <v>2517</v>
      </c>
      <c t="s">
        <v>39289</v>
      </c>
      <c>
        <v>33909</v>
      </c>
      <c>
        <v>33909</v>
      </c>
      <c t="s">
        <v>48794</v>
      </c>
      <c t="s">
        <v>42895</v>
      </c>
      <c>
        <v>1</v>
      </c>
      <c r="AI3294" t="s">
        <v>32233</v>
      </c>
      <c t="s">
        <v>45393</v>
      </c>
      <c t="s">
        <v>64233</v>
      </c>
      <c t="s">
        <v>61009</v>
      </c>
      <c t="s">
        <v>61009</v>
      </c>
      <c t="s">
        <v>26016</v>
      </c>
      <c t="s">
        <v>45689</v>
      </c>
      <c t="s">
        <v>44573</v>
      </c>
      <c t="s">
        <v>3093</v>
      </c>
      <c t="s">
        <v>33801</v>
      </c>
    </row>
    <row>
      <c t="s">
        <v>17594</v>
      </c>
      <c t="s">
        <v>60440</v>
      </c>
      <c t="s">
        <v>26754</v>
      </c>
      <c t="s">
        <v>61222</v>
      </c>
      <c t="s">
        <v>27818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3295" s="1" t="str">
        <f ca="1">HYPERLINK("https://web.datatree.com/?/property?propertyId=33225017", "https://web.datatree.com/?/property?propertyId=33225017")</f>
        <v>https://web.datatree.com/?/property?propertyId=33225017</v>
      </c>
      <c r="Q3295" t="s">
        <v>316</v>
      </c>
      <c>
        <v>0.23</v>
      </c>
      <c t="s">
        <v>6175</v>
      </c>
      <c t="s">
        <v>21181</v>
      </c>
      <c t="s">
        <v>17861</v>
      </c>
      <c t="s">
        <v>8549</v>
      </c>
      <c t="s">
        <v>59576</v>
      </c>
      <c t="s">
        <v>1024</v>
      </c>
      <c t="s">
        <v>22731</v>
      </c>
      <c t="s">
        <v>2517</v>
      </c>
      <c t="s">
        <v>39289</v>
      </c>
      <c>
        <v>33909</v>
      </c>
      <c t="s">
        <v>55947</v>
      </c>
      <c t="s">
        <v>48794</v>
      </c>
      <c t="s">
        <v>1298</v>
      </c>
      <c>
        <v>27415</v>
      </c>
      <c r="AI3295" t="s">
        <v>24274</v>
      </c>
      <c t="s">
        <v>31192</v>
      </c>
      <c r="AL3295" t="s">
        <v>27584</v>
      </c>
      <c r="AN3295" t="s">
        <v>18236</v>
      </c>
      <c t="s">
        <v>46929</v>
      </c>
      <c t="s">
        <v>32469</v>
      </c>
      <c t="s">
        <v>3093</v>
      </c>
      <c t="s">
        <v>31668</v>
      </c>
    </row>
    <row>
      <c t="s">
        <v>17594</v>
      </c>
      <c t="s">
        <v>52740</v>
      </c>
      <c t="s">
        <v>13276</v>
      </c>
      <c t="s">
        <v>23125</v>
      </c>
      <c t="s">
        <v>60744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3296" s="1" t="str">
        <f ca="1">HYPERLINK("https://web.datatree.com/?/property?propertyId=33225110", "https://web.datatree.com/?/property?propertyId=33225110")</f>
        <v>https://web.datatree.com/?/property?propertyId=33225110</v>
      </c>
      <c r="Q3296" t="s">
        <v>316</v>
      </c>
      <c>
        <v>0.23</v>
      </c>
      <c t="s">
        <v>22490</v>
      </c>
      <c t="s">
        <v>64427</v>
      </c>
      <c t="s">
        <v>59880</v>
      </c>
      <c t="s">
        <v>64500</v>
      </c>
      <c t="s">
        <v>6470</v>
      </c>
      <c t="s">
        <v>64550</v>
      </c>
      <c t="s">
        <v>39082</v>
      </c>
      <c t="s">
        <v>2517</v>
      </c>
      <c t="s">
        <v>39289</v>
      </c>
      <c>
        <v>33909</v>
      </c>
      <c t="s">
        <v>4680</v>
      </c>
      <c t="s">
        <v>48794</v>
      </c>
      <c t="s">
        <v>55872</v>
      </c>
      <c>
        <v>101</v>
      </c>
      <c r="AI3296" t="s">
        <v>5105</v>
      </c>
      <c t="s">
        <v>45393</v>
      </c>
      <c>
        <v>1</v>
      </c>
      <c t="s">
        <v>36935</v>
      </c>
      <c t="s">
        <v>36935</v>
      </c>
      <c t="s">
        <v>50917</v>
      </c>
      <c t="s">
        <v>35987</v>
      </c>
      <c t="s">
        <v>33029</v>
      </c>
      <c t="s">
        <v>3093</v>
      </c>
      <c t="s">
        <v>10855</v>
      </c>
    </row>
    <row>
      <c t="s">
        <v>17594</v>
      </c>
      <c t="s">
        <v>55343</v>
      </c>
      <c t="s">
        <v>32140</v>
      </c>
      <c t="s">
        <v>17656</v>
      </c>
      <c t="s">
        <v>32724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297" s="1" t="str">
        <f ca="1">HYPERLINK("https://web.datatree.com/?/property?propertyId=33225469", "https://web.datatree.com/?/property?propertyId=33225469")</f>
        <v>https://web.datatree.com/?/property?propertyId=33225469</v>
      </c>
      <c r="Q3297" t="s">
        <v>316</v>
      </c>
      <c>
        <v>0.23</v>
      </c>
      <c t="s">
        <v>22490</v>
      </c>
      <c t="s">
        <v>24692</v>
      </c>
      <c t="s">
        <v>45794</v>
      </c>
      <c r="X3297" t="s">
        <v>18569</v>
      </c>
      <c t="s">
        <v>25017</v>
      </c>
      <c t="s">
        <v>2517</v>
      </c>
      <c t="s">
        <v>39289</v>
      </c>
      <c>
        <v>33909</v>
      </c>
      <c t="s">
        <v>13933</v>
      </c>
      <c t="s">
        <v>48794</v>
      </c>
      <c t="s">
        <v>58804</v>
      </c>
      <c>
        <v>72</v>
      </c>
      <c r="AI3297" t="s">
        <v>26983</v>
      </c>
      <c r="AL3297" t="s">
        <v>58271</v>
      </c>
      <c r="AN3297" t="s">
        <v>32840</v>
      </c>
      <c r="AR3297" t="s">
        <v>18838</v>
      </c>
    </row>
    <row>
      <c t="s">
        <v>42103</v>
      </c>
      <c t="s">
        <v>9278</v>
      </c>
      <c t="s">
        <v>39012</v>
      </c>
      <c t="s">
        <v>33238</v>
      </c>
      <c t="s">
        <v>55717</v>
      </c>
      <c s="3">
        <v>22874</v>
      </c>
      <c s="3">
        <v>22874</v>
      </c>
      <c s="3">
        <v>9433</v>
      </c>
      <c>
        <v>0</v>
      </c>
      <c s="3">
        <v>0</v>
      </c>
      <c s="3">
        <v>413.07</v>
      </c>
      <c s="3">
        <v>22874</v>
      </c>
      <c>
        <v>2020</v>
      </c>
      <c>
        <v>1315.43</v>
      </c>
      <c s="1" t="str">
        <f ca="1">HYPERLINK("https://web.datatree.com/?/property?propertyId=33225524", "https://web.datatree.com/?/property?propertyId=33225524")</f>
        <v>https://web.datatree.com/?/property?propertyId=33225524</v>
      </c>
      <c r="Q3298" t="s">
        <v>316</v>
      </c>
      <c>
        <v>0.23</v>
      </c>
      <c t="s">
        <v>5471</v>
      </c>
      <c t="s">
        <v>64043</v>
      </c>
      <c t="s">
        <v>39913</v>
      </c>
      <c r="X3298" t="s">
        <v>32555</v>
      </c>
      <c t="s">
        <v>7199</v>
      </c>
      <c t="s">
        <v>65059</v>
      </c>
      <c t="s">
        <v>39289</v>
      </c>
      <c>
        <v>33905</v>
      </c>
      <c t="s">
        <v>62229</v>
      </c>
      <c t="s">
        <v>48794</v>
      </c>
      <c t="s">
        <v>22639</v>
      </c>
      <c r="AI3298" t="s">
        <v>66845</v>
      </c>
      <c r="AL3298" t="s">
        <v>27398</v>
      </c>
      <c r="AN3298" t="s">
        <v>39289</v>
      </c>
      <c>
        <v>32869</v>
      </c>
      <c t="s">
        <v>1762</v>
      </c>
      <c t="s">
        <v>3093</v>
      </c>
      <c t="s">
        <v>25707</v>
      </c>
    </row>
    <row>
      <c t="s">
        <v>17594</v>
      </c>
      <c t="s">
        <v>65903</v>
      </c>
      <c t="s">
        <v>27144</v>
      </c>
      <c t="s">
        <v>66265</v>
      </c>
      <c t="s">
        <v>66755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299" s="1" t="str">
        <f ca="1">HYPERLINK("https://web.datatree.com/?/property?propertyId=33225681", "https://web.datatree.com/?/property?propertyId=33225681")</f>
        <v>https://web.datatree.com/?/property?propertyId=33225681</v>
      </c>
      <c r="Q3299" t="s">
        <v>316</v>
      </c>
      <c>
        <v>0.23</v>
      </c>
      <c t="s">
        <v>6175</v>
      </c>
      <c t="s">
        <v>9357</v>
      </c>
      <c t="s">
        <v>37991</v>
      </c>
      <c t="s">
        <v>62289</v>
      </c>
      <c t="s">
        <v>57892</v>
      </c>
      <c t="s">
        <v>22128</v>
      </c>
      <c t="s">
        <v>50440</v>
      </c>
      <c t="s">
        <v>2517</v>
      </c>
      <c t="s">
        <v>39289</v>
      </c>
      <c>
        <v>33909</v>
      </c>
      <c t="s">
        <v>18774</v>
      </c>
      <c t="s">
        <v>48794</v>
      </c>
      <c t="s">
        <v>21679</v>
      </c>
      <c>
        <v>9069</v>
      </c>
      <c r="AI3299" t="s">
        <v>14534</v>
      </c>
      <c t="s">
        <v>45393</v>
      </c>
      <c t="s">
        <v>33269</v>
      </c>
      <c t="s">
        <v>52434</v>
      </c>
      <c r="AN3299" t="s">
        <v>39289</v>
      </c>
      <c t="s">
        <v>46693</v>
      </c>
      <c t="s">
        <v>23611</v>
      </c>
      <c t="s">
        <v>3093</v>
      </c>
      <c t="s">
        <v>1454</v>
      </c>
    </row>
    <row>
      <c t="s">
        <v>17594</v>
      </c>
      <c t="s">
        <v>61213</v>
      </c>
      <c t="s">
        <v>62833</v>
      </c>
      <c t="s">
        <v>668</v>
      </c>
      <c t="s">
        <v>4800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3300" s="1" t="str">
        <f ca="1">HYPERLINK("https://web.datatree.com/?/property?propertyId=33227754", "https://web.datatree.com/?/property?propertyId=33227754")</f>
        <v>https://web.datatree.com/?/property?propertyId=33227754</v>
      </c>
      <c r="Q3300" t="s">
        <v>316</v>
      </c>
      <c>
        <v>0.23</v>
      </c>
      <c t="s">
        <v>22490</v>
      </c>
      <c t="s">
        <v>2140</v>
      </c>
      <c t="s">
        <v>25086</v>
      </c>
      <c r="X3300" t="s">
        <v>5260</v>
      </c>
      <c t="s">
        <v>23517</v>
      </c>
      <c t="s">
        <v>2517</v>
      </c>
      <c t="s">
        <v>39289</v>
      </c>
      <c>
        <v>33909</v>
      </c>
      <c t="s">
        <v>65568</v>
      </c>
      <c t="s">
        <v>48794</v>
      </c>
      <c t="s">
        <v>37493</v>
      </c>
      <c>
        <v>335</v>
      </c>
      <c r="AI3300" t="s">
        <v>27724</v>
      </c>
      <c t="s">
        <v>835</v>
      </c>
      <c r="AL3300" t="s">
        <v>12652</v>
      </c>
      <c t="s">
        <v>12652</v>
      </c>
      <c t="s">
        <v>65451</v>
      </c>
      <c t="s">
        <v>36202</v>
      </c>
      <c t="s">
        <v>18692</v>
      </c>
      <c t="s">
        <v>3093</v>
      </c>
      <c t="s">
        <v>30302</v>
      </c>
    </row>
    <row>
      <c t="s">
        <v>17594</v>
      </c>
      <c t="s">
        <v>9295</v>
      </c>
      <c t="s">
        <v>47889</v>
      </c>
      <c t="s">
        <v>34218</v>
      </c>
      <c t="s">
        <v>37637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3301" s="1" t="str">
        <f ca="1">HYPERLINK("https://web.datatree.com/?/property?propertyId=33228012", "https://web.datatree.com/?/property?propertyId=33228012")</f>
        <v>https://web.datatree.com/?/property?propertyId=33228012</v>
      </c>
      <c r="Q3301" t="s">
        <v>316</v>
      </c>
      <c>
        <v>0.244</v>
      </c>
      <c t="s">
        <v>6175</v>
      </c>
      <c t="s">
        <v>22129</v>
      </c>
      <c t="s">
        <v>19981</v>
      </c>
      <c r="X3301" t="s">
        <v>28231</v>
      </c>
      <c t="s">
        <v>2626</v>
      </c>
      <c t="s">
        <v>2517</v>
      </c>
      <c t="s">
        <v>39289</v>
      </c>
      <c>
        <v>33909</v>
      </c>
      <c t="s">
        <v>46634</v>
      </c>
      <c t="s">
        <v>48794</v>
      </c>
      <c t="s">
        <v>52930</v>
      </c>
      <c>
        <v>62</v>
      </c>
      <c r="AI3301" t="s">
        <v>30261</v>
      </c>
      <c t="s">
        <v>24900</v>
      </c>
      <c>
        <v>1</v>
      </c>
      <c t="s">
        <v>61009</v>
      </c>
      <c r="AN3301" t="s">
        <v>26016</v>
      </c>
      <c t="s">
        <v>4812</v>
      </c>
      <c t="s">
        <v>13449</v>
      </c>
      <c t="s">
        <v>3093</v>
      </c>
      <c t="s">
        <v>64002</v>
      </c>
    </row>
    <row>
      <c t="s">
        <v>17594</v>
      </c>
      <c t="s">
        <v>34393</v>
      </c>
      <c t="s">
        <v>1321</v>
      </c>
      <c t="s">
        <v>45057</v>
      </c>
      <c t="s">
        <v>31948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>
        <v>2021</v>
      </c>
      <c>
        <v>544.98</v>
      </c>
      <c s="1" t="str">
        <f ca="1">HYPERLINK("https://web.datatree.com/?/property?propertyId=33228332", "https://web.datatree.com/?/property?propertyId=33228332")</f>
        <v>https://web.datatree.com/?/property?propertyId=33228332</v>
      </c>
      <c r="Q3302" t="s">
        <v>316</v>
      </c>
      <c>
        <v>0.23</v>
      </c>
      <c t="s">
        <v>6175</v>
      </c>
      <c r="U3302" t="s">
        <v>855</v>
      </c>
      <c t="s">
        <v>24692</v>
      </c>
      <c t="s">
        <v>45979</v>
      </c>
      <c t="s">
        <v>22895</v>
      </c>
      <c t="s">
        <v>18679</v>
      </c>
      <c t="s">
        <v>2517</v>
      </c>
      <c t="s">
        <v>39289</v>
      </c>
      <c>
        <v>33909</v>
      </c>
      <c t="s">
        <v>20420</v>
      </c>
      <c t="s">
        <v>48794</v>
      </c>
      <c t="s">
        <v>16832</v>
      </c>
      <c>
        <v>6900</v>
      </c>
      <c r="AI3302" t="s">
        <v>42233</v>
      </c>
      <c t="s">
        <v>31192</v>
      </c>
      <c>
        <v>603</v>
      </c>
      <c t="s">
        <v>38297</v>
      </c>
      <c r="AN3302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66006</v>
      </c>
      <c t="s">
        <v>38906</v>
      </c>
      <c t="s">
        <v>8555</v>
      </c>
      <c t="s">
        <v>23989</v>
      </c>
      <c s="3">
        <v>74232</v>
      </c>
      <c s="3">
        <v>74232</v>
      </c>
      <c s="3">
        <v>74232</v>
      </c>
      <c>
        <v>0</v>
      </c>
      <c s="3">
        <v>0</v>
      </c>
      <c s="3">
        <v>304.44</v>
      </c>
      <c s="3">
        <v>74232</v>
      </c>
      <c r="O3303" s="1" t="str">
        <f ca="1">HYPERLINK("https://web.datatree.com/?/property?propertyId=33228690", "https://web.datatree.com/?/property?propertyId=33228690")</f>
        <v>https://web.datatree.com/?/property?propertyId=33228690</v>
      </c>
      <c r="Q3303" t="s">
        <v>316</v>
      </c>
      <c>
        <v>0.212</v>
      </c>
      <c t="s">
        <v>37489</v>
      </c>
      <c t="s">
        <v>38169</v>
      </c>
      <c t="s">
        <v>33539</v>
      </c>
      <c t="s">
        <v>12951</v>
      </c>
      <c t="s">
        <v>33539</v>
      </c>
      <c t="s">
        <v>66824</v>
      </c>
      <c t="s">
        <v>66701</v>
      </c>
      <c t="s">
        <v>65059</v>
      </c>
      <c t="s">
        <v>39289</v>
      </c>
      <c>
        <v>33905</v>
      </c>
      <c>
        <v>33905</v>
      </c>
      <c t="s">
        <v>48794</v>
      </c>
      <c t="s">
        <v>3060</v>
      </c>
      <c>
        <v>231</v>
      </c>
      <c r="AI3303" t="s">
        <v>60683</v>
      </c>
      <c t="s">
        <v>31192</v>
      </c>
      <c r="AL3303" t="s">
        <v>46797</v>
      </c>
      <c t="s">
        <v>40227</v>
      </c>
      <c t="s">
        <v>39289</v>
      </c>
      <c t="s">
        <v>12047</v>
      </c>
      <c t="s">
        <v>26416</v>
      </c>
      <c t="s">
        <v>3093</v>
      </c>
      <c t="s">
        <v>50372</v>
      </c>
    </row>
    <row>
      <c t="s">
        <v>17594</v>
      </c>
      <c t="s">
        <v>36398</v>
      </c>
      <c t="s">
        <v>8770</v>
      </c>
      <c t="s">
        <v>22990</v>
      </c>
      <c t="s">
        <v>46618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3304" s="1" t="str">
        <f ca="1">HYPERLINK("https://web.datatree.com/?/property?propertyId=33228734", "https://web.datatree.com/?/property?propertyId=33228734")</f>
        <v>https://web.datatree.com/?/property?propertyId=33228734</v>
      </c>
      <c r="Q3304" t="s">
        <v>316</v>
      </c>
      <c>
        <v>0.246</v>
      </c>
      <c t="s">
        <v>6175</v>
      </c>
      <c r="U3304" t="s">
        <v>61557</v>
      </c>
      <c t="s">
        <v>61517</v>
      </c>
      <c t="s">
        <v>43320</v>
      </c>
      <c t="s">
        <v>8989</v>
      </c>
      <c t="s">
        <v>58797</v>
      </c>
      <c t="s">
        <v>2517</v>
      </c>
      <c t="s">
        <v>39289</v>
      </c>
      <c>
        <v>33909</v>
      </c>
      <c t="s">
        <v>19822</v>
      </c>
      <c t="s">
        <v>48794</v>
      </c>
      <c t="s">
        <v>52593</v>
      </c>
      <c>
        <v>15224</v>
      </c>
      <c r="AI3304" t="s">
        <v>17633</v>
      </c>
      <c t="s">
        <v>45393</v>
      </c>
      <c r="AL3304" t="s">
        <v>55393</v>
      </c>
      <c t="s">
        <v>49823</v>
      </c>
      <c t="s">
        <v>39289</v>
      </c>
      <c>
        <v>33187</v>
      </c>
      <c t="s">
        <v>702</v>
      </c>
      <c t="s">
        <v>3093</v>
      </c>
      <c t="s">
        <v>52141</v>
      </c>
    </row>
    <row>
      <c t="s">
        <v>17594</v>
      </c>
      <c t="s">
        <v>60014</v>
      </c>
      <c t="s">
        <v>55158</v>
      </c>
      <c t="s">
        <v>53307</v>
      </c>
      <c t="s">
        <v>62390</v>
      </c>
      <c s="3">
        <v>31548</v>
      </c>
      <c s="3">
        <v>31548</v>
      </c>
      <c s="3">
        <v>15180</v>
      </c>
      <c>
        <v>0</v>
      </c>
      <c s="3">
        <v>0</v>
      </c>
      <c s="3">
        <v>799.58</v>
      </c>
      <c s="3">
        <v>31548</v>
      </c>
      <c r="O3305" s="1" t="str">
        <f ca="1">HYPERLINK("https://web.datatree.com/?/property?propertyId=33229388", "https://web.datatree.com/?/property?propertyId=33229388")</f>
        <v>https://web.datatree.com/?/property?propertyId=33229388</v>
      </c>
      <c r="Q3305" t="s">
        <v>316</v>
      </c>
      <c>
        <v>0.344</v>
      </c>
      <c t="s">
        <v>22490</v>
      </c>
      <c t="s">
        <v>24409</v>
      </c>
      <c t="s">
        <v>39454</v>
      </c>
      <c t="s">
        <v>35655</v>
      </c>
      <c t="s">
        <v>39454</v>
      </c>
      <c t="s">
        <v>48145</v>
      </c>
      <c t="s">
        <v>39082</v>
      </c>
      <c t="s">
        <v>2517</v>
      </c>
      <c t="s">
        <v>39289</v>
      </c>
      <c>
        <v>33909</v>
      </c>
      <c t="s">
        <v>4680</v>
      </c>
      <c t="s">
        <v>48794</v>
      </c>
      <c t="s">
        <v>15245</v>
      </c>
      <c>
        <v>451</v>
      </c>
      <c r="AI3305" t="s">
        <v>28154</v>
      </c>
      <c t="s">
        <v>45393</v>
      </c>
      <c r="AL3305" t="s">
        <v>62608</v>
      </c>
      <c r="AN3305" t="s">
        <v>50917</v>
      </c>
      <c t="s">
        <v>30914</v>
      </c>
      <c t="s">
        <v>12241</v>
      </c>
      <c t="s">
        <v>3093</v>
      </c>
      <c t="s">
        <v>21209</v>
      </c>
    </row>
    <row>
      <c t="s">
        <v>17594</v>
      </c>
      <c t="s">
        <v>11228</v>
      </c>
      <c t="s">
        <v>34015</v>
      </c>
      <c t="s">
        <v>63504</v>
      </c>
      <c t="s">
        <v>21634</v>
      </c>
      <c s="3">
        <v>22522</v>
      </c>
      <c s="3">
        <v>22522</v>
      </c>
      <c s="3">
        <v>8800</v>
      </c>
      <c>
        <v>0</v>
      </c>
      <c s="3">
        <v>0</v>
      </c>
      <c s="3">
        <v>588.39</v>
      </c>
      <c s="3">
        <v>22522</v>
      </c>
      <c r="O3306" s="1" t="str">
        <f ca="1">HYPERLINK("https://web.datatree.com/?/property?propertyId=33229411", "https://web.datatree.com/?/property?propertyId=33229411")</f>
        <v>https://web.datatree.com/?/property?propertyId=33229411</v>
      </c>
      <c r="Q3306" t="s">
        <v>316</v>
      </c>
      <c>
        <v>0.244</v>
      </c>
      <c t="s">
        <v>65612</v>
      </c>
      <c t="s">
        <v>45357</v>
      </c>
      <c t="s">
        <v>66606</v>
      </c>
      <c r="X3306" t="s">
        <v>38411</v>
      </c>
      <c t="s">
        <v>22731</v>
      </c>
      <c t="s">
        <v>2517</v>
      </c>
      <c t="s">
        <v>39289</v>
      </c>
      <c>
        <v>33909</v>
      </c>
      <c t="s">
        <v>55947</v>
      </c>
      <c t="s">
        <v>48794</v>
      </c>
      <c t="s">
        <v>29653</v>
      </c>
      <c>
        <v>1313</v>
      </c>
      <c r="AI3306" t="s">
        <v>38728</v>
      </c>
      <c t="s">
        <v>24900</v>
      </c>
      <c r="AL3306" t="s">
        <v>20040</v>
      </c>
      <c t="s">
        <v>20040</v>
      </c>
      <c t="s">
        <v>26016</v>
      </c>
      <c t="s">
        <v>42906</v>
      </c>
      <c t="s">
        <v>41946</v>
      </c>
      <c t="s">
        <v>3093</v>
      </c>
      <c t="s">
        <v>18592</v>
      </c>
    </row>
    <row>
      <c t="s">
        <v>17594</v>
      </c>
      <c t="s">
        <v>18653</v>
      </c>
      <c t="s">
        <v>10495</v>
      </c>
      <c t="s">
        <v>17564</v>
      </c>
      <c t="s">
        <v>50733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3307" s="1" t="str">
        <f ca="1">HYPERLINK("https://web.datatree.com/?/property?propertyId=33229924", "https://web.datatree.com/?/property?propertyId=33229924")</f>
        <v>https://web.datatree.com/?/property?propertyId=33229924</v>
      </c>
      <c r="Q3307" t="s">
        <v>316</v>
      </c>
      <c>
        <v>0.23</v>
      </c>
      <c t="s">
        <v>6175</v>
      </c>
      <c t="s">
        <v>14052</v>
      </c>
      <c t="s">
        <v>53346</v>
      </c>
      <c r="X3307" t="s">
        <v>59497</v>
      </c>
      <c t="s">
        <v>18679</v>
      </c>
      <c t="s">
        <v>2517</v>
      </c>
      <c t="s">
        <v>39289</v>
      </c>
      <c>
        <v>33909</v>
      </c>
      <c t="s">
        <v>20420</v>
      </c>
      <c t="s">
        <v>48794</v>
      </c>
      <c t="s">
        <v>28534</v>
      </c>
      <c>
        <v>2266</v>
      </c>
      <c r="AI3307" t="s">
        <v>5229</v>
      </c>
      <c t="s">
        <v>45393</v>
      </c>
      <c r="AL3307" t="s">
        <v>29515</v>
      </c>
      <c r="AN3307" t="s">
        <v>39289</v>
      </c>
      <c t="s">
        <v>42788</v>
      </c>
      <c t="s">
        <v>35375</v>
      </c>
      <c t="s">
        <v>3093</v>
      </c>
      <c t="s">
        <v>15023</v>
      </c>
    </row>
    <row>
      <c t="s">
        <v>17594</v>
      </c>
      <c t="s">
        <v>21103</v>
      </c>
      <c t="s">
        <v>29217</v>
      </c>
      <c t="s">
        <v>6593</v>
      </c>
      <c t="s">
        <v>24976</v>
      </c>
      <c s="3">
        <v>84157</v>
      </c>
      <c s="3">
        <v>82306</v>
      </c>
      <c s="3">
        <v>80550</v>
      </c>
      <c>
        <v>0</v>
      </c>
      <c s="3">
        <v>0</v>
      </c>
      <c s="3">
        <v>1230.89</v>
      </c>
      <c s="3">
        <v>84157</v>
      </c>
      <c r="O3308" s="1" t="str">
        <f ca="1">HYPERLINK("https://web.datatree.com/?/property?propertyId=33230159", "https://web.datatree.com/?/property?propertyId=33230159")</f>
        <v>https://web.datatree.com/?/property?propertyId=33230159</v>
      </c>
      <c r="Q3308" t="s">
        <v>316</v>
      </c>
      <c>
        <v>0.095</v>
      </c>
      <c t="s">
        <v>26492</v>
      </c>
      <c t="s">
        <v>25238</v>
      </c>
      <c t="s">
        <v>64379</v>
      </c>
      <c t="s">
        <v>63623</v>
      </c>
      <c t="s">
        <v>64379</v>
      </c>
      <c t="s">
        <v>9573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38599</v>
      </c>
      <c>
        <v>2347</v>
      </c>
      <c r="AI3308" t="s">
        <v>40165</v>
      </c>
      <c t="s">
        <v>31192</v>
      </c>
      <c r="AL3308" t="s">
        <v>9238</v>
      </c>
      <c t="s">
        <v>40227</v>
      </c>
      <c t="s">
        <v>51137</v>
      </c>
      <c t="s">
        <v>623</v>
      </c>
      <c t="s">
        <v>66797</v>
      </c>
      <c t="s">
        <v>3093</v>
      </c>
      <c t="s">
        <v>48911</v>
      </c>
    </row>
    <row>
      <c t="s">
        <v>17594</v>
      </c>
      <c t="s">
        <v>15258</v>
      </c>
      <c t="s">
        <v>13062</v>
      </c>
      <c t="s">
        <v>55479</v>
      </c>
      <c t="s">
        <v>46484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309" s="1" t="str">
        <f ca="1">HYPERLINK("https://web.datatree.com/?/property?propertyId=33230451", "https://web.datatree.com/?/property?propertyId=33230451")</f>
        <v>https://web.datatree.com/?/property?propertyId=33230451</v>
      </c>
      <c r="Q3309" t="s">
        <v>316</v>
      </c>
      <c>
        <v>0.23</v>
      </c>
      <c t="s">
        <v>6175</v>
      </c>
      <c t="s">
        <v>54692</v>
      </c>
      <c t="s">
        <v>18981</v>
      </c>
      <c t="s">
        <v>47715</v>
      </c>
      <c t="s">
        <v>18981</v>
      </c>
      <c t="s">
        <v>29305</v>
      </c>
      <c t="s">
        <v>61144</v>
      </c>
      <c t="s">
        <v>2517</v>
      </c>
      <c t="s">
        <v>39289</v>
      </c>
      <c>
        <v>33909</v>
      </c>
      <c t="s">
        <v>41761</v>
      </c>
      <c t="s">
        <v>48794</v>
      </c>
      <c t="s">
        <v>5140</v>
      </c>
      <c>
        <v>600</v>
      </c>
      <c r="AI3309" t="s">
        <v>53245</v>
      </c>
      <c t="s">
        <v>45393</v>
      </c>
      <c r="AL3309" t="s">
        <v>59338</v>
      </c>
      <c t="s">
        <v>59338</v>
      </c>
      <c t="s">
        <v>39289</v>
      </c>
      <c>
        <v>33825</v>
      </c>
      <c r="AQ3309" t="s">
        <v>3093</v>
      </c>
      <c t="s">
        <v>48314</v>
      </c>
    </row>
    <row>
      <c t="s">
        <v>17594</v>
      </c>
      <c t="s">
        <v>28972</v>
      </c>
      <c t="s">
        <v>31951</v>
      </c>
      <c t="s">
        <v>42301</v>
      </c>
      <c t="s">
        <v>60542</v>
      </c>
      <c s="3">
        <v>131946</v>
      </c>
      <c s="3">
        <v>131946</v>
      </c>
      <c s="3">
        <v>131946</v>
      </c>
      <c>
        <v>0</v>
      </c>
      <c s="3">
        <v>0</v>
      </c>
      <c s="3">
        <v>2497.51</v>
      </c>
      <c s="3">
        <v>131946</v>
      </c>
      <c r="O3310" s="1" t="str">
        <f ca="1">HYPERLINK("https://web.datatree.com/?/property?propertyId=33230457", "https://web.datatree.com/?/property?propertyId=33230457")</f>
        <v>https://web.datatree.com/?/property?propertyId=33230457</v>
      </c>
      <c r="Q3310" t="s">
        <v>316</v>
      </c>
      <c>
        <v>0.23</v>
      </c>
      <c t="s">
        <v>22490</v>
      </c>
      <c t="s">
        <v>56743</v>
      </c>
      <c t="s">
        <v>25504</v>
      </c>
      <c r="X3310" t="s">
        <v>53078</v>
      </c>
      <c t="s">
        <v>25017</v>
      </c>
      <c t="s">
        <v>2517</v>
      </c>
      <c t="s">
        <v>39289</v>
      </c>
      <c>
        <v>33904</v>
      </c>
      <c t="s">
        <v>41427</v>
      </c>
      <c t="s">
        <v>48794</v>
      </c>
      <c t="s">
        <v>10582</v>
      </c>
      <c>
        <v>8605</v>
      </c>
      <c r="AI3310" t="s">
        <v>14771</v>
      </c>
      <c t="s">
        <v>45393</v>
      </c>
      <c r="AL3310" t="s">
        <v>66470</v>
      </c>
      <c r="AN3310" t="s">
        <v>50829</v>
      </c>
      <c t="s">
        <v>66170</v>
      </c>
      <c t="s">
        <v>52247</v>
      </c>
      <c t="s">
        <v>3093</v>
      </c>
      <c t="s">
        <v>48155</v>
      </c>
    </row>
    <row>
      <c t="s">
        <v>17594</v>
      </c>
      <c t="s">
        <v>43671</v>
      </c>
      <c t="s">
        <v>43993</v>
      </c>
      <c t="s">
        <v>210</v>
      </c>
      <c t="s">
        <v>42357</v>
      </c>
      <c s="3">
        <v>10792</v>
      </c>
      <c s="3">
        <v>10792</v>
      </c>
      <c s="3">
        <v>3774</v>
      </c>
      <c>
        <v>0</v>
      </c>
      <c s="3">
        <v>0</v>
      </c>
      <c s="3">
        <v>99.28</v>
      </c>
      <c s="3">
        <v>10792</v>
      </c>
      <c r="O3311" s="1" t="str">
        <f ca="1">HYPERLINK("https://web.datatree.com/?/property?propertyId=33230629", "https://web.datatree.com/?/property?propertyId=33230629")</f>
        <v>https://web.datatree.com/?/property?propertyId=33230629</v>
      </c>
      <c r="Q3311" t="s">
        <v>316</v>
      </c>
      <c>
        <v>0.168</v>
      </c>
      <c t="s">
        <v>5471</v>
      </c>
      <c t="s">
        <v>63182</v>
      </c>
      <c t="s">
        <v>13640</v>
      </c>
      <c r="X3311" t="s">
        <v>27388</v>
      </c>
      <c t="s">
        <v>52071</v>
      </c>
      <c t="s">
        <v>54524</v>
      </c>
      <c t="s">
        <v>39289</v>
      </c>
      <c>
        <v>33903</v>
      </c>
      <c t="s">
        <v>14038</v>
      </c>
      <c t="s">
        <v>48794</v>
      </c>
      <c t="s">
        <v>31720</v>
      </c>
      <c>
        <v>2519</v>
      </c>
      <c r="AH3311" t="s">
        <v>26580</v>
      </c>
      <c t="s">
        <v>38301</v>
      </c>
      <c t="s">
        <v>1671</v>
      </c>
      <c>
        <v>3</v>
      </c>
      <c t="s">
        <v>3906</v>
      </c>
      <c r="AN3311" t="s">
        <v>39289</v>
      </c>
      <c>
        <v>33815</v>
      </c>
      <c t="s">
        <v>61719</v>
      </c>
      <c t="s">
        <v>3093</v>
      </c>
      <c t="s">
        <v>35443</v>
      </c>
    </row>
    <row>
      <c t="s">
        <v>17594</v>
      </c>
      <c t="s">
        <v>66996</v>
      </c>
      <c t="s">
        <v>67057</v>
      </c>
      <c t="s">
        <v>6642</v>
      </c>
      <c t="s">
        <v>28996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312" s="1" t="str">
        <f ca="1">HYPERLINK("https://web.datatree.com/?/property?propertyId=33230770", "https://web.datatree.com/?/property?propertyId=33230770")</f>
        <v>https://web.datatree.com/?/property?propertyId=33230770</v>
      </c>
      <c r="Q3312" t="s">
        <v>316</v>
      </c>
      <c>
        <v>0.23</v>
      </c>
      <c t="s">
        <v>22490</v>
      </c>
      <c t="s">
        <v>42020</v>
      </c>
      <c t="s">
        <v>63558</v>
      </c>
      <c r="X3312" t="s">
        <v>63968</v>
      </c>
      <c t="s">
        <v>5115</v>
      </c>
      <c t="s">
        <v>2517</v>
      </c>
      <c t="s">
        <v>39289</v>
      </c>
      <c>
        <v>33909</v>
      </c>
      <c t="s">
        <v>48283</v>
      </c>
      <c t="s">
        <v>48794</v>
      </c>
      <c t="s">
        <v>57038</v>
      </c>
      <c>
        <v>7</v>
      </c>
      <c r="AI3312" t="s">
        <v>60417</v>
      </c>
      <c r="AL3312" t="s">
        <v>25412</v>
      </c>
      <c r="AN3312" t="s">
        <v>32840</v>
      </c>
      <c r="AR3312" t="s">
        <v>50070</v>
      </c>
    </row>
    <row>
      <c t="s">
        <v>17594</v>
      </c>
      <c t="s">
        <v>50504</v>
      </c>
      <c t="s">
        <v>59654</v>
      </c>
      <c t="s">
        <v>62151</v>
      </c>
      <c t="s">
        <v>29904</v>
      </c>
      <c s="3">
        <v>70968</v>
      </c>
      <c s="3">
        <v>63500</v>
      </c>
      <c s="3">
        <v>70968</v>
      </c>
      <c>
        <v>0</v>
      </c>
      <c s="3">
        <v>0</v>
      </c>
      <c s="3">
        <v>1067.4</v>
      </c>
      <c s="3">
        <v>70968</v>
      </c>
      <c r="O3313" s="1" t="str">
        <f ca="1">HYPERLINK("https://web.datatree.com/?/property?propertyId=33231091", "https://web.datatree.com/?/property?propertyId=33231091")</f>
        <v>https://web.datatree.com/?/property?propertyId=33231091</v>
      </c>
      <c r="Q3313" t="s">
        <v>316</v>
      </c>
      <c>
        <v>0.095</v>
      </c>
      <c t="s">
        <v>26492</v>
      </c>
      <c t="s">
        <v>32056</v>
      </c>
      <c t="s">
        <v>16003</v>
      </c>
      <c t="s">
        <v>16011</v>
      </c>
      <c t="s">
        <v>16003</v>
      </c>
      <c t="s">
        <v>4741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59742</v>
      </c>
      <c>
        <v>2940</v>
      </c>
      <c r="AI3313" t="s">
        <v>55403</v>
      </c>
      <c t="s">
        <v>45620</v>
      </c>
      <c r="AL3313" t="s">
        <v>51090</v>
      </c>
      <c t="s">
        <v>40227</v>
      </c>
      <c t="s">
        <v>19878</v>
      </c>
      <c t="s">
        <v>3498</v>
      </c>
      <c t="s">
        <v>57360</v>
      </c>
      <c t="s">
        <v>3093</v>
      </c>
      <c t="s">
        <v>22856</v>
      </c>
    </row>
    <row>
      <c t="s">
        <v>42103</v>
      </c>
      <c t="s">
        <v>21400</v>
      </c>
      <c t="s">
        <v>32061</v>
      </c>
      <c t="s">
        <v>60825</v>
      </c>
      <c t="s">
        <v>15148</v>
      </c>
      <c s="3">
        <v>12544</v>
      </c>
      <c s="3">
        <v>12544</v>
      </c>
      <c s="3">
        <v>12544</v>
      </c>
      <c>
        <v>0</v>
      </c>
      <c s="3">
        <v>0</v>
      </c>
      <c s="3">
        <v>362.59</v>
      </c>
      <c s="3">
        <v>12544</v>
      </c>
      <c r="O3314" s="1" t="str">
        <f ca="1">HYPERLINK("https://web.datatree.com/?/property?propertyId=33231334", "https://web.datatree.com/?/property?propertyId=33231334")</f>
        <v>https://web.datatree.com/?/property?propertyId=33231334</v>
      </c>
      <c r="Q3314" t="s">
        <v>316</v>
      </c>
      <c>
        <v>0.222</v>
      </c>
      <c t="s">
        <v>5471</v>
      </c>
      <c t="s">
        <v>26502</v>
      </c>
      <c t="s">
        <v>23981</v>
      </c>
      <c r="X3314" t="s">
        <v>6537</v>
      </c>
      <c t="s">
        <v>18225</v>
      </c>
      <c t="s">
        <v>65059</v>
      </c>
      <c t="s">
        <v>39289</v>
      </c>
      <c>
        <v>33905</v>
      </c>
      <c t="s">
        <v>1710</v>
      </c>
      <c t="s">
        <v>48794</v>
      </c>
      <c t="s">
        <v>36024</v>
      </c>
      <c r="AI3314" t="s">
        <v>63125</v>
      </c>
      <c r="AL3314" t="s">
        <v>45108</v>
      </c>
      <c t="s">
        <v>45108</v>
      </c>
      <c t="s">
        <v>22275</v>
      </c>
      <c>
        <v>18834</v>
      </c>
      <c t="s">
        <v>1762</v>
      </c>
      <c t="s">
        <v>3093</v>
      </c>
      <c t="s">
        <v>6765</v>
      </c>
    </row>
    <row>
      <c t="s">
        <v>17594</v>
      </c>
      <c t="s">
        <v>53866</v>
      </c>
      <c t="s">
        <v>14264</v>
      </c>
      <c t="s">
        <v>46767</v>
      </c>
      <c t="s">
        <v>42095</v>
      </c>
      <c s="3">
        <v>17463</v>
      </c>
      <c s="3">
        <v>17463</v>
      </c>
      <c s="3">
        <v>8910</v>
      </c>
      <c>
        <v>0</v>
      </c>
      <c s="3">
        <v>0</v>
      </c>
      <c s="3">
        <v>562.24</v>
      </c>
      <c s="3">
        <v>17463</v>
      </c>
      <c r="O3315" s="1" t="str">
        <f ca="1">HYPERLINK("https://web.datatree.com/?/property?propertyId=33231791", "https://web.datatree.com/?/property?propertyId=33231791")</f>
        <v>https://web.datatree.com/?/property?propertyId=33231791</v>
      </c>
      <c r="Q3315" t="s">
        <v>316</v>
      </c>
      <c>
        <v>0.231</v>
      </c>
      <c t="s">
        <v>6175</v>
      </c>
      <c t="s">
        <v>11471</v>
      </c>
      <c t="s">
        <v>41218</v>
      </c>
      <c r="X3315" t="s">
        <v>40254</v>
      </c>
      <c t="s">
        <v>17022</v>
      </c>
      <c t="s">
        <v>2517</v>
      </c>
      <c t="s">
        <v>39289</v>
      </c>
      <c>
        <v>33909</v>
      </c>
      <c t="s">
        <v>41985</v>
      </c>
      <c t="s">
        <v>48794</v>
      </c>
      <c t="s">
        <v>35483</v>
      </c>
      <c>
        <v>850</v>
      </c>
      <c r="AI3315" t="s">
        <v>496</v>
      </c>
      <c t="s">
        <v>24900</v>
      </c>
      <c r="AL3315" t="s">
        <v>55393</v>
      </c>
      <c r="AN3315" t="s">
        <v>39289</v>
      </c>
      <c t="s">
        <v>51804</v>
      </c>
      <c t="s">
        <v>52551</v>
      </c>
      <c t="s">
        <v>3093</v>
      </c>
      <c t="s">
        <v>44029</v>
      </c>
    </row>
    <row>
      <c t="s">
        <v>17594</v>
      </c>
      <c t="s">
        <v>35061</v>
      </c>
      <c t="s">
        <v>39723</v>
      </c>
      <c t="s">
        <v>47968</v>
      </c>
      <c t="s">
        <v>58851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316" s="1" t="str">
        <f ca="1">HYPERLINK("https://web.datatree.com/?/property?propertyId=33231872", "https://web.datatree.com/?/property?propertyId=33231872")</f>
        <v>https://web.datatree.com/?/property?propertyId=33231872</v>
      </c>
      <c r="Q3316" t="s">
        <v>316</v>
      </c>
      <c>
        <v>0.23</v>
      </c>
      <c t="s">
        <v>6175</v>
      </c>
      <c t="s">
        <v>35571</v>
      </c>
      <c t="s">
        <v>53465</v>
      </c>
      <c t="s">
        <v>33168</v>
      </c>
      <c t="s">
        <v>63895</v>
      </c>
      <c t="s">
        <v>13546</v>
      </c>
      <c t="s">
        <v>15510</v>
      </c>
      <c t="s">
        <v>2517</v>
      </c>
      <c t="s">
        <v>39289</v>
      </c>
      <c>
        <v>33909</v>
      </c>
      <c t="s">
        <v>54661</v>
      </c>
      <c t="s">
        <v>48794</v>
      </c>
      <c t="s">
        <v>32225</v>
      </c>
      <c>
        <v>2051</v>
      </c>
      <c r="AI3316" t="s">
        <v>67036</v>
      </c>
      <c t="s">
        <v>45393</v>
      </c>
      <c r="AL3316" t="s">
        <v>34557</v>
      </c>
      <c t="s">
        <v>34557</v>
      </c>
      <c t="s">
        <v>65451</v>
      </c>
      <c t="s">
        <v>24157</v>
      </c>
      <c t="s">
        <v>60333</v>
      </c>
      <c t="s">
        <v>3093</v>
      </c>
      <c t="s">
        <v>66914</v>
      </c>
    </row>
    <row>
      <c t="s">
        <v>17594</v>
      </c>
      <c t="s">
        <v>59351</v>
      </c>
      <c t="s">
        <v>7843</v>
      </c>
      <c t="s">
        <v>59472</v>
      </c>
      <c t="s">
        <v>21495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317" s="1" t="str">
        <f ca="1">HYPERLINK("https://web.datatree.com/?/property?propertyId=33232189", "https://web.datatree.com/?/property?propertyId=33232189")</f>
        <v>https://web.datatree.com/?/property?propertyId=33232189</v>
      </c>
      <c r="Q3317" t="s">
        <v>316</v>
      </c>
      <c>
        <v>0.23</v>
      </c>
      <c t="s">
        <v>6175</v>
      </c>
      <c t="s">
        <v>16200</v>
      </c>
      <c t="s">
        <v>55496</v>
      </c>
      <c t="s">
        <v>34210</v>
      </c>
      <c t="s">
        <v>55496</v>
      </c>
      <c t="s">
        <v>8861</v>
      </c>
      <c t="s">
        <v>33179</v>
      </c>
      <c t="s">
        <v>2517</v>
      </c>
      <c t="s">
        <v>39289</v>
      </c>
      <c>
        <v>33909</v>
      </c>
      <c t="s">
        <v>57146</v>
      </c>
      <c t="s">
        <v>48794</v>
      </c>
      <c t="s">
        <v>17092</v>
      </c>
      <c>
        <v>24957</v>
      </c>
      <c r="AI3317" t="s">
        <v>47691</v>
      </c>
      <c t="s">
        <v>24900</v>
      </c>
      <c r="AL3317" t="s">
        <v>4769</v>
      </c>
      <c r="AN3317" t="s">
        <v>26443</v>
      </c>
      <c t="s">
        <v>50744</v>
      </c>
      <c t="s">
        <v>44428</v>
      </c>
      <c t="s">
        <v>3093</v>
      </c>
      <c t="s">
        <v>42194</v>
      </c>
    </row>
    <row>
      <c t="s">
        <v>17594</v>
      </c>
      <c t="s">
        <v>65631</v>
      </c>
      <c t="s">
        <v>64035</v>
      </c>
      <c t="s">
        <v>43824</v>
      </c>
      <c t="s">
        <v>54885</v>
      </c>
      <c s="3">
        <v>146424</v>
      </c>
      <c s="3">
        <v>146424</v>
      </c>
      <c s="3">
        <v>146424</v>
      </c>
      <c>
        <v>0</v>
      </c>
      <c s="3">
        <v>0</v>
      </c>
      <c s="3">
        <v>2763.62</v>
      </c>
      <c s="3">
        <v>146424</v>
      </c>
      <c r="O3318" s="1" t="str">
        <f ca="1">HYPERLINK("https://web.datatree.com/?/property?propertyId=33232431", "https://web.datatree.com/?/property?propertyId=33232431")</f>
        <v>https://web.datatree.com/?/property?propertyId=33232431</v>
      </c>
      <c r="Q3318" t="s">
        <v>316</v>
      </c>
      <c>
        <v>0.276</v>
      </c>
      <c t="s">
        <v>22490</v>
      </c>
      <c t="s">
        <v>63182</v>
      </c>
      <c t="s">
        <v>30230</v>
      </c>
      <c t="s">
        <v>57278</v>
      </c>
      <c t="s">
        <v>30230</v>
      </c>
      <c t="s">
        <v>9035</v>
      </c>
      <c t="s">
        <v>24999</v>
      </c>
      <c t="s">
        <v>2517</v>
      </c>
      <c t="s">
        <v>39289</v>
      </c>
      <c>
        <v>33904</v>
      </c>
      <c>
        <v>33904</v>
      </c>
      <c t="s">
        <v>48794</v>
      </c>
      <c t="s">
        <v>42543</v>
      </c>
      <c>
        <v>57580</v>
      </c>
      <c r="AI3318" t="s">
        <v>14197</v>
      </c>
      <c t="s">
        <v>45393</v>
      </c>
      <c r="AL3318" t="s">
        <v>38798</v>
      </c>
      <c r="AN3318" t="s">
        <v>50829</v>
      </c>
      <c t="s">
        <v>48394</v>
      </c>
      <c t="s">
        <v>44428</v>
      </c>
      <c t="s">
        <v>3093</v>
      </c>
      <c t="s">
        <v>41049</v>
      </c>
    </row>
    <row>
      <c t="s">
        <v>17594</v>
      </c>
      <c t="s">
        <v>66424</v>
      </c>
      <c t="s">
        <v>43572</v>
      </c>
      <c t="s">
        <v>34450</v>
      </c>
      <c t="s">
        <v>44064</v>
      </c>
      <c s="3">
        <v>19282</v>
      </c>
      <c s="3">
        <v>19282</v>
      </c>
      <c s="3">
        <v>7865</v>
      </c>
      <c>
        <v>0</v>
      </c>
      <c s="3">
        <v>0</v>
      </c>
      <c s="3">
        <v>539.39</v>
      </c>
      <c s="3">
        <v>19282</v>
      </c>
      <c r="O3319" s="1" t="str">
        <f ca="1">HYPERLINK("https://web.datatree.com/?/property?propertyId=33233463", "https://web.datatree.com/?/property?propertyId=33233463")</f>
        <v>https://web.datatree.com/?/property?propertyId=33233463</v>
      </c>
      <c r="Q3319" t="s">
        <v>316</v>
      </c>
      <c>
        <v>0.297</v>
      </c>
      <c t="s">
        <v>6175</v>
      </c>
      <c t="s">
        <v>55289</v>
      </c>
      <c t="s">
        <v>45340</v>
      </c>
      <c r="X3319" t="s">
        <v>1342</v>
      </c>
      <c t="s">
        <v>55273</v>
      </c>
      <c t="s">
        <v>2517</v>
      </c>
      <c t="s">
        <v>39289</v>
      </c>
      <c>
        <v>33904</v>
      </c>
      <c t="s">
        <v>46447</v>
      </c>
      <c t="s">
        <v>48794</v>
      </c>
      <c t="s">
        <v>27009</v>
      </c>
      <c>
        <v>2760</v>
      </c>
      <c r="AI3319" t="s">
        <v>22225</v>
      </c>
      <c t="s">
        <v>45620</v>
      </c>
      <c r="AL3319" t="s">
        <v>11713</v>
      </c>
      <c r="AN3319" t="s">
        <v>39289</v>
      </c>
      <c t="s">
        <v>49383</v>
      </c>
      <c t="s">
        <v>13315</v>
      </c>
      <c t="s">
        <v>3093</v>
      </c>
      <c t="s">
        <v>5555</v>
      </c>
    </row>
    <row>
      <c t="s">
        <v>17594</v>
      </c>
      <c t="s">
        <v>42902</v>
      </c>
      <c t="s">
        <v>16368</v>
      </c>
      <c t="s">
        <v>9883</v>
      </c>
      <c t="s">
        <v>30047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3320" s="1" t="str">
        <f ca="1">HYPERLINK("https://web.datatree.com/?/property?propertyId=33233552", "https://web.datatree.com/?/property?propertyId=33233552")</f>
        <v>https://web.datatree.com/?/property?propertyId=33233552</v>
      </c>
      <c r="Q3320" t="s">
        <v>316</v>
      </c>
      <c>
        <v>0.23</v>
      </c>
      <c t="s">
        <v>54449</v>
      </c>
      <c t="s">
        <v>1611</v>
      </c>
      <c t="s">
        <v>56439</v>
      </c>
      <c r="X3320" t="s">
        <v>31220</v>
      </c>
      <c t="s">
        <v>39777</v>
      </c>
      <c t="s">
        <v>2517</v>
      </c>
      <c t="s">
        <v>39289</v>
      </c>
      <c>
        <v>33909</v>
      </c>
      <c t="s">
        <v>31038</v>
      </c>
      <c t="s">
        <v>48794</v>
      </c>
      <c t="s">
        <v>15082</v>
      </c>
      <c>
        <v>7301</v>
      </c>
      <c r="AI3320" t="s">
        <v>33978</v>
      </c>
      <c t="s">
        <v>1671</v>
      </c>
      <c>
        <v>19</v>
      </c>
      <c t="s">
        <v>27398</v>
      </c>
      <c r="AN3320" t="s">
        <v>39289</v>
      </c>
      <c t="s">
        <v>32197</v>
      </c>
      <c t="s">
        <v>54916</v>
      </c>
      <c t="s">
        <v>3093</v>
      </c>
      <c t="s">
        <v>46603</v>
      </c>
    </row>
    <row>
      <c t="s">
        <v>17594</v>
      </c>
      <c t="s">
        <v>66316</v>
      </c>
      <c t="s">
        <v>21546</v>
      </c>
      <c t="s">
        <v>48090</v>
      </c>
      <c t="s">
        <v>3201</v>
      </c>
      <c s="3">
        <v>9143</v>
      </c>
      <c s="3">
        <v>9143</v>
      </c>
      <c s="3">
        <v>4972</v>
      </c>
      <c>
        <v>0</v>
      </c>
      <c s="3">
        <v>0</v>
      </c>
      <c s="3">
        <v>320.56</v>
      </c>
      <c s="3">
        <v>9143</v>
      </c>
      <c r="O3321" s="1" t="str">
        <f ca="1">HYPERLINK("https://web.datatree.com/?/property?propertyId=33234020", "https://web.datatree.com/?/property?propertyId=33234020")</f>
        <v>https://web.datatree.com/?/property?propertyId=33234020</v>
      </c>
      <c r="Q3321" t="s">
        <v>316</v>
      </c>
      <c>
        <v>0.27</v>
      </c>
      <c t="s">
        <v>5471</v>
      </c>
      <c t="s">
        <v>16698</v>
      </c>
      <c t="s">
        <v>16393</v>
      </c>
      <c r="X3321" t="s">
        <v>43782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52736</v>
      </c>
      <c>
        <v>1500</v>
      </c>
      <c r="AI3321" t="s">
        <v>48518</v>
      </c>
      <c t="s">
        <v>45393</v>
      </c>
      <c>
        <v>15</v>
      </c>
      <c t="s">
        <v>27266</v>
      </c>
      <c r="AN3321" t="s">
        <v>65451</v>
      </c>
      <c t="s">
        <v>55171</v>
      </c>
      <c t="s">
        <v>15968</v>
      </c>
      <c t="s">
        <v>3093</v>
      </c>
      <c t="s">
        <v>39567</v>
      </c>
    </row>
    <row>
      <c t="s">
        <v>17594</v>
      </c>
      <c t="s">
        <v>7489</v>
      </c>
      <c t="s">
        <v>66382</v>
      </c>
      <c t="s">
        <v>36193</v>
      </c>
      <c t="s">
        <v>192</v>
      </c>
      <c s="3">
        <v>8677</v>
      </c>
      <c s="3">
        <v>8677</v>
      </c>
      <c s="3">
        <v>4972</v>
      </c>
      <c>
        <v>0</v>
      </c>
      <c s="3">
        <v>0</v>
      </c>
      <c s="3">
        <v>316.66</v>
      </c>
      <c s="3">
        <v>8677</v>
      </c>
      <c r="O3322" s="1" t="str">
        <f ca="1">HYPERLINK("https://web.datatree.com/?/property?propertyId=33234343", "https://web.datatree.com/?/property?propertyId=33234343")</f>
        <v>https://web.datatree.com/?/property?propertyId=33234343</v>
      </c>
      <c r="Q3322" t="s">
        <v>316</v>
      </c>
      <c>
        <v>0.239</v>
      </c>
      <c t="s">
        <v>5471</v>
      </c>
      <c t="s">
        <v>39210</v>
      </c>
      <c t="s">
        <v>48558</v>
      </c>
      <c r="X3322" t="s">
        <v>50858</v>
      </c>
      <c t="s">
        <v>5280</v>
      </c>
      <c t="s">
        <v>65059</v>
      </c>
      <c t="s">
        <v>39289</v>
      </c>
      <c>
        <v>33905</v>
      </c>
      <c t="s">
        <v>14638</v>
      </c>
      <c t="s">
        <v>48794</v>
      </c>
      <c t="s">
        <v>18727</v>
      </c>
      <c>
        <v>1525</v>
      </c>
      <c r="AI3322" t="s">
        <v>56684</v>
      </c>
      <c t="s">
        <v>45393</v>
      </c>
      <c r="AL3322" t="s">
        <v>23828</v>
      </c>
      <c r="AN3322" t="s">
        <v>39289</v>
      </c>
      <c t="s">
        <v>46521</v>
      </c>
      <c t="s">
        <v>43446</v>
      </c>
      <c t="s">
        <v>3093</v>
      </c>
      <c t="s">
        <v>14117</v>
      </c>
    </row>
    <row>
      <c t="s">
        <v>17594</v>
      </c>
      <c t="s">
        <v>64345</v>
      </c>
      <c t="s">
        <v>1321</v>
      </c>
      <c t="s">
        <v>55337</v>
      </c>
      <c t="s">
        <v>27453</v>
      </c>
      <c s="3">
        <v>28210</v>
      </c>
      <c s="3">
        <v>28210</v>
      </c>
      <c s="3">
        <v>9438</v>
      </c>
      <c>
        <v>0</v>
      </c>
      <c s="3">
        <v>0</v>
      </c>
      <c s="3">
        <v>2913.71</v>
      </c>
      <c s="3">
        <v>28210</v>
      </c>
      <c r="O3323" s="1" t="str">
        <f ca="1">HYPERLINK("https://web.datatree.com/?/property?propertyId=33235360", "https://web.datatree.com/?/property?propertyId=33235360")</f>
        <v>https://web.datatree.com/?/property?propertyId=33235360</v>
      </c>
      <c r="Q3323" t="s">
        <v>316</v>
      </c>
      <c>
        <v>0.23</v>
      </c>
      <c t="s">
        <v>6175</v>
      </c>
      <c t="s">
        <v>44541</v>
      </c>
      <c t="s">
        <v>50331</v>
      </c>
      <c r="X3323" t="s">
        <v>58553</v>
      </c>
      <c t="s">
        <v>61865</v>
      </c>
      <c t="s">
        <v>2517</v>
      </c>
      <c t="s">
        <v>39289</v>
      </c>
      <c>
        <v>33909</v>
      </c>
      <c t="s">
        <v>11906</v>
      </c>
      <c t="s">
        <v>48794</v>
      </c>
      <c t="s">
        <v>12806</v>
      </c>
      <c>
        <v>6900</v>
      </c>
      <c r="AI3323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67151</v>
      </c>
      <c t="s">
        <v>829</v>
      </c>
      <c t="s">
        <v>23122</v>
      </c>
      <c t="s">
        <v>37466</v>
      </c>
      <c s="3">
        <v>12544</v>
      </c>
      <c s="3">
        <v>12544</v>
      </c>
      <c s="3">
        <v>4972</v>
      </c>
      <c>
        <v>0</v>
      </c>
      <c s="3">
        <v>0</v>
      </c>
      <c s="3">
        <v>320.56</v>
      </c>
      <c s="3">
        <v>12544</v>
      </c>
      <c r="O3324" s="1" t="str">
        <f ca="1">HYPERLINK("https://web.datatree.com/?/property?propertyId=33235854", "https://web.datatree.com/?/property?propertyId=33235854")</f>
        <v>https://web.datatree.com/?/property?propertyId=33235854</v>
      </c>
      <c r="Q3324" t="s">
        <v>316</v>
      </c>
      <c>
        <v>0.268</v>
      </c>
      <c t="s">
        <v>5471</v>
      </c>
      <c t="s">
        <v>29350</v>
      </c>
      <c t="s">
        <v>19806</v>
      </c>
      <c t="s">
        <v>46103</v>
      </c>
      <c t="s">
        <v>19806</v>
      </c>
      <c t="s">
        <v>61690</v>
      </c>
      <c t="s">
        <v>39583</v>
      </c>
      <c t="s">
        <v>65059</v>
      </c>
      <c t="s">
        <v>39289</v>
      </c>
      <c>
        <v>33905</v>
      </c>
      <c t="s">
        <v>32505</v>
      </c>
      <c t="s">
        <v>48794</v>
      </c>
      <c t="s">
        <v>4139</v>
      </c>
      <c>
        <v>62</v>
      </c>
      <c r="AI3324" t="s">
        <v>28391</v>
      </c>
      <c t="s">
        <v>31192</v>
      </c>
      <c r="AL3324" t="s">
        <v>48983</v>
      </c>
      <c r="AN3324" t="s">
        <v>39289</v>
      </c>
      <c t="s">
        <v>5410</v>
      </c>
      <c t="s">
        <v>4491</v>
      </c>
      <c t="s">
        <v>3093</v>
      </c>
      <c t="s">
        <v>6650</v>
      </c>
    </row>
    <row>
      <c t="s">
        <v>17594</v>
      </c>
      <c t="s">
        <v>53889</v>
      </c>
      <c t="s">
        <v>12054</v>
      </c>
      <c t="s">
        <v>601</v>
      </c>
      <c t="s">
        <v>1651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325" s="1" t="str">
        <f ca="1">HYPERLINK("https://web.datatree.com/?/property?propertyId=33236204", "https://web.datatree.com/?/property?propertyId=33236204")</f>
        <v>https://web.datatree.com/?/property?propertyId=33236204</v>
      </c>
      <c r="Q3325" t="s">
        <v>316</v>
      </c>
      <c>
        <v>0.23</v>
      </c>
      <c t="s">
        <v>6175</v>
      </c>
      <c t="s">
        <v>25477</v>
      </c>
      <c t="s">
        <v>39673</v>
      </c>
      <c t="s">
        <v>30972</v>
      </c>
      <c t="s">
        <v>39673</v>
      </c>
      <c t="s">
        <v>26241</v>
      </c>
      <c t="s">
        <v>59763</v>
      </c>
      <c t="s">
        <v>2517</v>
      </c>
      <c t="s">
        <v>39289</v>
      </c>
      <c>
        <v>33909</v>
      </c>
      <c t="s">
        <v>18448</v>
      </c>
      <c t="s">
        <v>48794</v>
      </c>
      <c t="s">
        <v>25171</v>
      </c>
      <c>
        <v>8131</v>
      </c>
      <c r="AI3325" t="s">
        <v>4371</v>
      </c>
      <c t="s">
        <v>39321</v>
      </c>
      <c r="AL3325" t="s">
        <v>57490</v>
      </c>
      <c r="AN3325" t="s">
        <v>22275</v>
      </c>
      <c t="s">
        <v>16606</v>
      </c>
      <c t="s">
        <v>22455</v>
      </c>
      <c t="s">
        <v>3093</v>
      </c>
      <c t="s">
        <v>5303</v>
      </c>
    </row>
    <row>
      <c t="s">
        <v>17594</v>
      </c>
      <c t="s">
        <v>12596</v>
      </c>
      <c t="s">
        <v>55529</v>
      </c>
      <c t="s">
        <v>22304</v>
      </c>
      <c t="s">
        <v>52868</v>
      </c>
      <c s="3">
        <v>72517</v>
      </c>
      <c s="3">
        <v>63500</v>
      </c>
      <c s="3">
        <v>70709</v>
      </c>
      <c>
        <v>0</v>
      </c>
      <c s="3">
        <v>0</v>
      </c>
      <c s="3">
        <v>1073.56</v>
      </c>
      <c s="3">
        <v>72517</v>
      </c>
      <c r="O3326" s="1" t="str">
        <f ca="1">HYPERLINK("https://web.datatree.com/?/property?propertyId=33238150", "https://web.datatree.com/?/property?propertyId=33238150")</f>
        <v>https://web.datatree.com/?/property?propertyId=33238150</v>
      </c>
      <c r="Q3326" t="s">
        <v>316</v>
      </c>
      <c>
        <v>0.095</v>
      </c>
      <c t="s">
        <v>26492</v>
      </c>
      <c t="s">
        <v>29751</v>
      </c>
      <c t="s">
        <v>27490</v>
      </c>
      <c t="s">
        <v>40579</v>
      </c>
      <c t="s">
        <v>27490</v>
      </c>
      <c t="s">
        <v>32622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37628</v>
      </c>
      <c r="AL3326" t="s">
        <v>26742</v>
      </c>
      <c t="s">
        <v>40227</v>
      </c>
      <c t="s">
        <v>49658</v>
      </c>
      <c t="s">
        <v>36491</v>
      </c>
      <c r="AQ3326" t="s">
        <v>27814</v>
      </c>
    </row>
    <row>
      <c t="s">
        <v>17594</v>
      </c>
      <c t="s">
        <v>60075</v>
      </c>
      <c t="s">
        <v>11373</v>
      </c>
      <c t="s">
        <v>56118</v>
      </c>
      <c t="s">
        <v>63994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327" s="1" t="str">
        <f ca="1">HYPERLINK("https://web.datatree.com/?/property?propertyId=33238804", "https://web.datatree.com/?/property?propertyId=33238804")</f>
        <v>https://web.datatree.com/?/property?propertyId=33238804</v>
      </c>
      <c r="Q3327" t="s">
        <v>316</v>
      </c>
      <c>
        <v>0.23</v>
      </c>
      <c t="s">
        <v>6175</v>
      </c>
      <c t="s">
        <v>59767</v>
      </c>
      <c t="s">
        <v>65998</v>
      </c>
      <c t="s">
        <v>28330</v>
      </c>
      <c t="s">
        <v>65998</v>
      </c>
      <c t="s">
        <v>50097</v>
      </c>
      <c t="s">
        <v>13065</v>
      </c>
      <c t="s">
        <v>2517</v>
      </c>
      <c t="s">
        <v>39289</v>
      </c>
      <c>
        <v>33909</v>
      </c>
      <c t="s">
        <v>23356</v>
      </c>
      <c t="s">
        <v>48794</v>
      </c>
      <c t="s">
        <v>3822</v>
      </c>
      <c>
        <v>7825</v>
      </c>
      <c r="AI3327" t="s">
        <v>6365</v>
      </c>
      <c t="s">
        <v>4985</v>
      </c>
      <c r="AL3327" t="s">
        <v>21676</v>
      </c>
      <c r="AN3327" t="s">
        <v>39289</v>
      </c>
      <c t="s">
        <v>33716</v>
      </c>
      <c t="s">
        <v>27553</v>
      </c>
      <c t="s">
        <v>3093</v>
      </c>
      <c t="s">
        <v>34868</v>
      </c>
    </row>
    <row>
      <c t="s">
        <v>17594</v>
      </c>
      <c t="s">
        <v>54045</v>
      </c>
      <c t="s">
        <v>23717</v>
      </c>
      <c t="s">
        <v>47256</v>
      </c>
      <c t="s">
        <v>59304</v>
      </c>
      <c s="3">
        <v>71927</v>
      </c>
      <c s="3">
        <v>63500</v>
      </c>
      <c s="3">
        <v>71927</v>
      </c>
      <c>
        <v>0</v>
      </c>
      <c s="3">
        <v>0</v>
      </c>
      <c s="3">
        <v>1081.75</v>
      </c>
      <c s="3">
        <v>71927</v>
      </c>
      <c r="O3328" s="1" t="str">
        <f ca="1">HYPERLINK("https://web.datatree.com/?/property?propertyId=33239184", "https://web.datatree.com/?/property?propertyId=33239184")</f>
        <v>https://web.datatree.com/?/property?propertyId=33239184</v>
      </c>
      <c r="Q3328" t="s">
        <v>316</v>
      </c>
      <c>
        <v>0.098</v>
      </c>
      <c t="s">
        <v>26492</v>
      </c>
      <c t="s">
        <v>61517</v>
      </c>
      <c t="s">
        <v>17165</v>
      </c>
      <c t="s">
        <v>4868</v>
      </c>
      <c t="s">
        <v>17165</v>
      </c>
      <c t="s">
        <v>64023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32849</v>
      </c>
      <c>
        <v>6767</v>
      </c>
      <c r="AH3328" t="s">
        <v>6851</v>
      </c>
      <c t="s">
        <v>46147</v>
      </c>
      <c t="s">
        <v>24900</v>
      </c>
      <c r="AL3328" t="s">
        <v>13694</v>
      </c>
      <c t="s">
        <v>40227</v>
      </c>
      <c t="s">
        <v>51137</v>
      </c>
      <c t="s">
        <v>62528</v>
      </c>
      <c t="s">
        <v>54605</v>
      </c>
      <c t="s">
        <v>3093</v>
      </c>
      <c t="s">
        <v>25201</v>
      </c>
    </row>
    <row>
      <c t="s">
        <v>17594</v>
      </c>
      <c t="s">
        <v>13502</v>
      </c>
      <c t="s">
        <v>42648</v>
      </c>
      <c t="s">
        <v>28583</v>
      </c>
      <c t="s">
        <v>45183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3329" s="1" t="str">
        <f ca="1">HYPERLINK("https://web.datatree.com/?/property?propertyId=33239401", "https://web.datatree.com/?/property?propertyId=33239401")</f>
        <v>https://web.datatree.com/?/property?propertyId=33239401</v>
      </c>
      <c r="Q3329" t="s">
        <v>316</v>
      </c>
      <c>
        <v>0.23</v>
      </c>
      <c t="s">
        <v>22490</v>
      </c>
      <c t="s">
        <v>15386</v>
      </c>
      <c t="s">
        <v>63771</v>
      </c>
      <c r="X3329" t="s">
        <v>65689</v>
      </c>
      <c t="s">
        <v>46469</v>
      </c>
      <c t="s">
        <v>2517</v>
      </c>
      <c t="s">
        <v>39289</v>
      </c>
      <c>
        <v>33909</v>
      </c>
      <c t="s">
        <v>11542</v>
      </c>
      <c t="s">
        <v>48794</v>
      </c>
      <c t="s">
        <v>3950</v>
      </c>
      <c>
        <v>2624</v>
      </c>
      <c r="AI3329" t="s">
        <v>21065</v>
      </c>
      <c t="s">
        <v>40123</v>
      </c>
      <c r="AL3329" t="s">
        <v>48247</v>
      </c>
      <c t="s">
        <v>48247</v>
      </c>
      <c t="s">
        <v>65451</v>
      </c>
      <c t="s">
        <v>27718</v>
      </c>
      <c t="s">
        <v>7207</v>
      </c>
      <c t="s">
        <v>3093</v>
      </c>
      <c t="s">
        <v>2472</v>
      </c>
    </row>
    <row>
      <c t="s">
        <v>17594</v>
      </c>
      <c t="s">
        <v>8024</v>
      </c>
      <c t="s">
        <v>37403</v>
      </c>
      <c t="s">
        <v>25597</v>
      </c>
      <c t="s">
        <v>34776</v>
      </c>
      <c s="3">
        <v>14998</v>
      </c>
      <c s="3">
        <v>14998</v>
      </c>
      <c s="3">
        <v>7838</v>
      </c>
      <c>
        <v>0</v>
      </c>
      <c s="3">
        <v>0</v>
      </c>
      <c s="3">
        <v>538.03</v>
      </c>
      <c s="3">
        <v>14998</v>
      </c>
      <c r="O3330" s="1" t="str">
        <f ca="1">HYPERLINK("https://web.datatree.com/?/property?propertyId=33240489", "https://web.datatree.com/?/property?propertyId=33240489")</f>
        <v>https://web.datatree.com/?/property?propertyId=33240489</v>
      </c>
      <c r="Q3330" t="s">
        <v>316</v>
      </c>
      <c>
        <v>0.23</v>
      </c>
      <c t="s">
        <v>42044</v>
      </c>
      <c t="s">
        <v>19527</v>
      </c>
      <c t="s">
        <v>8597</v>
      </c>
      <c r="X3330" t="s">
        <v>12887</v>
      </c>
      <c t="s">
        <v>61865</v>
      </c>
      <c t="s">
        <v>2517</v>
      </c>
      <c t="s">
        <v>39289</v>
      </c>
      <c>
        <v>33909</v>
      </c>
      <c t="s">
        <v>46189</v>
      </c>
      <c t="s">
        <v>48794</v>
      </c>
      <c t="s">
        <v>22694</v>
      </c>
      <c>
        <v>2173</v>
      </c>
      <c r="AI3330" t="s">
        <v>46128</v>
      </c>
      <c t="s">
        <v>24900</v>
      </c>
      <c r="AL3330" t="s">
        <v>25857</v>
      </c>
      <c r="AN3330" t="s">
        <v>39289</v>
      </c>
      <c t="s">
        <v>30496</v>
      </c>
      <c t="s">
        <v>4480</v>
      </c>
      <c t="s">
        <v>3093</v>
      </c>
      <c t="s">
        <v>36505</v>
      </c>
    </row>
    <row>
      <c t="s">
        <v>17594</v>
      </c>
      <c t="s">
        <v>38453</v>
      </c>
      <c t="s">
        <v>4971</v>
      </c>
      <c t="s">
        <v>20944</v>
      </c>
      <c t="s">
        <v>63784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>
        <v>2021</v>
      </c>
      <c>
        <v>535.19</v>
      </c>
      <c s="1" t="str">
        <f ca="1">HYPERLINK("https://web.datatree.com/?/property?propertyId=33242761", "https://web.datatree.com/?/property?propertyId=33242761")</f>
        <v>https://web.datatree.com/?/property?propertyId=33242761</v>
      </c>
      <c r="Q3331" t="s">
        <v>316</v>
      </c>
      <c>
        <v>0.23</v>
      </c>
      <c t="s">
        <v>6175</v>
      </c>
      <c t="s">
        <v>39139</v>
      </c>
      <c t="s">
        <v>59185</v>
      </c>
      <c t="s">
        <v>31646</v>
      </c>
      <c t="s">
        <v>59185</v>
      </c>
      <c t="s">
        <v>34562</v>
      </c>
      <c t="s">
        <v>18679</v>
      </c>
      <c t="s">
        <v>2517</v>
      </c>
      <c t="s">
        <v>39289</v>
      </c>
      <c>
        <v>33909</v>
      </c>
      <c t="s">
        <v>19320</v>
      </c>
      <c t="s">
        <v>48794</v>
      </c>
      <c t="s">
        <v>19523</v>
      </c>
      <c>
        <v>875</v>
      </c>
      <c r="AI3331" t="s">
        <v>49728</v>
      </c>
      <c t="s">
        <v>40123</v>
      </c>
      <c r="AL3331" t="s">
        <v>45994</v>
      </c>
      <c r="AN3331" t="s">
        <v>51087</v>
      </c>
      <c t="s">
        <v>53607</v>
      </c>
      <c t="s">
        <v>41946</v>
      </c>
      <c t="s">
        <v>3093</v>
      </c>
      <c t="s">
        <v>52623</v>
      </c>
    </row>
    <row>
      <c t="s">
        <v>17594</v>
      </c>
      <c t="s">
        <v>13716</v>
      </c>
      <c t="s">
        <v>9906</v>
      </c>
      <c t="s">
        <v>55225</v>
      </c>
      <c t="s">
        <v>65419</v>
      </c>
      <c s="3">
        <v>8400</v>
      </c>
      <c s="3">
        <v>8400</v>
      </c>
      <c s="3">
        <v>8400</v>
      </c>
      <c>
        <v>0</v>
      </c>
      <c s="3">
        <v>0</v>
      </c>
      <c s="3">
        <v>683.32</v>
      </c>
      <c s="3">
        <v>8400</v>
      </c>
      <c r="O3332" s="1" t="str">
        <f ca="1">HYPERLINK("https://web.datatree.com/?/property?propertyId=33242933", "https://web.datatree.com/?/property?propertyId=33242933")</f>
        <v>https://web.datatree.com/?/property?propertyId=33242933</v>
      </c>
      <c r="Q3332" t="s">
        <v>316</v>
      </c>
      <c>
        <v>0.23</v>
      </c>
      <c t="s">
        <v>6175</v>
      </c>
      <c t="s">
        <v>20973</v>
      </c>
      <c t="s">
        <v>27873</v>
      </c>
      <c t="s">
        <v>28216</v>
      </c>
      <c t="s">
        <v>27873</v>
      </c>
      <c t="s">
        <v>29603</v>
      </c>
      <c t="s">
        <v>39777</v>
      </c>
      <c t="s">
        <v>2517</v>
      </c>
      <c t="s">
        <v>39289</v>
      </c>
      <c>
        <v>33909</v>
      </c>
      <c t="s">
        <v>53921</v>
      </c>
      <c t="s">
        <v>48794</v>
      </c>
      <c t="s">
        <v>38175</v>
      </c>
      <c>
        <v>1058</v>
      </c>
      <c r="AI3332" t="s">
        <v>41341</v>
      </c>
      <c t="s">
        <v>45393</v>
      </c>
      <c r="AL3332" t="s">
        <v>6144</v>
      </c>
      <c r="AN3332" t="s">
        <v>50917</v>
      </c>
      <c t="s">
        <v>3590</v>
      </c>
      <c t="s">
        <v>12241</v>
      </c>
      <c t="s">
        <v>3093</v>
      </c>
      <c t="s">
        <v>53037</v>
      </c>
    </row>
    <row>
      <c t="s">
        <v>17594</v>
      </c>
      <c t="s">
        <v>18528</v>
      </c>
      <c t="s">
        <v>59025</v>
      </c>
      <c t="s">
        <v>49390</v>
      </c>
      <c t="s">
        <v>54362</v>
      </c>
      <c s="3">
        <v>8500</v>
      </c>
      <c s="3">
        <v>8500</v>
      </c>
      <c s="3">
        <v>8500</v>
      </c>
      <c>
        <v>0</v>
      </c>
      <c s="3">
        <v>0</v>
      </c>
      <c s="3">
        <v>594.77</v>
      </c>
      <c s="3">
        <v>8500</v>
      </c>
      <c r="O3333" s="1" t="str">
        <f ca="1">HYPERLINK("https://web.datatree.com/?/property?propertyId=33243969", "https://web.datatree.com/?/property?propertyId=33243969")</f>
        <v>https://web.datatree.com/?/property?propertyId=33243969</v>
      </c>
      <c r="Q3333" t="s">
        <v>316</v>
      </c>
      <c>
        <v>0.23</v>
      </c>
      <c t="s">
        <v>6175</v>
      </c>
      <c r="U3333" t="s">
        <v>36518</v>
      </c>
      <c r="X3333" t="s">
        <v>59927</v>
      </c>
      <c t="s">
        <v>61850</v>
      </c>
      <c t="s">
        <v>2517</v>
      </c>
      <c t="s">
        <v>39289</v>
      </c>
      <c>
        <v>33909</v>
      </c>
      <c t="s">
        <v>22118</v>
      </c>
      <c t="s">
        <v>48794</v>
      </c>
      <c t="s">
        <v>59921</v>
      </c>
      <c>
        <v>5620</v>
      </c>
      <c r="AI3333" t="s">
        <v>4898</v>
      </c>
      <c t="s">
        <v>24900</v>
      </c>
      <c r="AL3333" t="s">
        <v>46989</v>
      </c>
      <c t="s">
        <v>25857</v>
      </c>
      <c t="s">
        <v>39289</v>
      </c>
      <c t="s">
        <v>11155</v>
      </c>
      <c t="s">
        <v>34162</v>
      </c>
      <c t="s">
        <v>3093</v>
      </c>
      <c t="s">
        <v>48273</v>
      </c>
    </row>
    <row>
      <c t="s">
        <v>17594</v>
      </c>
      <c t="s">
        <v>38484</v>
      </c>
      <c t="s">
        <v>29910</v>
      </c>
      <c t="s">
        <v>49400</v>
      </c>
      <c t="s">
        <v>58458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334" s="1" t="str">
        <f ca="1">HYPERLINK("https://web.datatree.com/?/property?propertyId=33244081", "https://web.datatree.com/?/property?propertyId=33244081")</f>
        <v>https://web.datatree.com/?/property?propertyId=33244081</v>
      </c>
      <c r="Q3334" t="s">
        <v>316</v>
      </c>
      <c>
        <v>0.23</v>
      </c>
      <c t="s">
        <v>6175</v>
      </c>
      <c r="U3334" t="s">
        <v>7310</v>
      </c>
      <c t="s">
        <v>4564</v>
      </c>
      <c t="s">
        <v>62125</v>
      </c>
      <c t="s">
        <v>23869</v>
      </c>
      <c t="s">
        <v>38550</v>
      </c>
      <c t="s">
        <v>2517</v>
      </c>
      <c t="s">
        <v>39289</v>
      </c>
      <c>
        <v>33909</v>
      </c>
      <c t="s">
        <v>34444</v>
      </c>
      <c t="s">
        <v>48794</v>
      </c>
      <c t="s">
        <v>1448</v>
      </c>
      <c>
        <v>2505</v>
      </c>
      <c r="AI3334" t="s">
        <v>28214</v>
      </c>
      <c t="s">
        <v>31192</v>
      </c>
      <c t="s">
        <v>63047</v>
      </c>
      <c t="s">
        <v>50455</v>
      </c>
      <c r="AN3334" t="s">
        <v>27222</v>
      </c>
      <c t="s">
        <v>35662</v>
      </c>
      <c t="s">
        <v>15980</v>
      </c>
      <c t="s">
        <v>3093</v>
      </c>
      <c t="s">
        <v>40355</v>
      </c>
    </row>
    <row>
      <c t="s">
        <v>17594</v>
      </c>
      <c t="s">
        <v>52454</v>
      </c>
      <c t="s">
        <v>45343</v>
      </c>
      <c t="s">
        <v>57173</v>
      </c>
      <c t="s">
        <v>21743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335" s="1" t="str">
        <f ca="1">HYPERLINK("https://web.datatree.com/?/property?propertyId=33244267", "https://web.datatree.com/?/property?propertyId=33244267")</f>
        <v>https://web.datatree.com/?/property?propertyId=33244267</v>
      </c>
      <c r="Q3335" t="s">
        <v>316</v>
      </c>
      <c>
        <v>0.23</v>
      </c>
      <c t="s">
        <v>6175</v>
      </c>
      <c t="s">
        <v>1994</v>
      </c>
      <c t="s">
        <v>43865</v>
      </c>
      <c t="s">
        <v>16893</v>
      </c>
      <c t="s">
        <v>43865</v>
      </c>
      <c t="s">
        <v>36037</v>
      </c>
      <c t="s">
        <v>25017</v>
      </c>
      <c t="s">
        <v>2517</v>
      </c>
      <c t="s">
        <v>39289</v>
      </c>
      <c>
        <v>33909</v>
      </c>
      <c t="s">
        <v>17894</v>
      </c>
      <c t="s">
        <v>48794</v>
      </c>
      <c t="s">
        <v>34583</v>
      </c>
      <c>
        <v>1616</v>
      </c>
      <c r="AI3335" t="s">
        <v>20358</v>
      </c>
      <c t="s">
        <v>55842</v>
      </c>
      <c r="AL3335" t="s">
        <v>42130</v>
      </c>
      <c r="AN3335" t="s">
        <v>39289</v>
      </c>
      <c t="s">
        <v>49670</v>
      </c>
      <c t="s">
        <v>25140</v>
      </c>
      <c t="s">
        <v>3093</v>
      </c>
      <c t="s">
        <v>37968</v>
      </c>
    </row>
    <row>
      <c t="s">
        <v>17594</v>
      </c>
      <c t="s">
        <v>22929</v>
      </c>
      <c t="s">
        <v>24600</v>
      </c>
      <c t="s">
        <v>44553</v>
      </c>
      <c t="s">
        <v>31454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336" s="1" t="str">
        <f ca="1">HYPERLINK("https://web.datatree.com/?/property?propertyId=33244554", "https://web.datatree.com/?/property?propertyId=33244554")</f>
        <v>https://web.datatree.com/?/property?propertyId=33244554</v>
      </c>
      <c r="Q3336" t="s">
        <v>316</v>
      </c>
      <c>
        <v>0.23</v>
      </c>
      <c t="s">
        <v>6175</v>
      </c>
      <c r="U3336" t="s">
        <v>855</v>
      </c>
      <c t="s">
        <v>40894</v>
      </c>
      <c t="s">
        <v>15107</v>
      </c>
      <c t="s">
        <v>3639</v>
      </c>
      <c t="s">
        <v>33179</v>
      </c>
      <c t="s">
        <v>2517</v>
      </c>
      <c t="s">
        <v>39289</v>
      </c>
      <c>
        <v>33909</v>
      </c>
      <c t="s">
        <v>56683</v>
      </c>
      <c t="s">
        <v>48794</v>
      </c>
      <c t="s">
        <v>62839</v>
      </c>
      <c r="AI3336" t="s">
        <v>58199</v>
      </c>
      <c r="AL3336" t="s">
        <v>35329</v>
      </c>
      <c r="AN3336" t="s">
        <v>2120</v>
      </c>
      <c>
        <v>9142</v>
      </c>
      <c t="s">
        <v>49977</v>
      </c>
      <c t="s">
        <v>3093</v>
      </c>
      <c t="s">
        <v>3943</v>
      </c>
    </row>
    <row>
      <c t="s">
        <v>17594</v>
      </c>
      <c t="s">
        <v>42235</v>
      </c>
      <c t="s">
        <v>52778</v>
      </c>
      <c t="s">
        <v>47257</v>
      </c>
      <c t="s">
        <v>11931</v>
      </c>
      <c s="3">
        <v>189016</v>
      </c>
      <c s="3">
        <v>189016</v>
      </c>
      <c s="3">
        <v>189016</v>
      </c>
      <c>
        <v>0</v>
      </c>
      <c s="3">
        <v>0</v>
      </c>
      <c s="3">
        <v>2942.36</v>
      </c>
      <c s="3">
        <v>189016</v>
      </c>
      <c r="O3337" s="1" t="str">
        <f ca="1">HYPERLINK("https://web.datatree.com/?/property?propertyId=33244985", "https://web.datatree.com/?/property?propertyId=33244985")</f>
        <v>https://web.datatree.com/?/property?propertyId=33244985</v>
      </c>
      <c r="Q3337" t="s">
        <v>316</v>
      </c>
      <c>
        <v>0.936</v>
      </c>
      <c t="s">
        <v>5471</v>
      </c>
      <c t="s">
        <v>53009</v>
      </c>
      <c t="s">
        <v>34217</v>
      </c>
      <c t="s">
        <v>11223</v>
      </c>
      <c t="s">
        <v>45794</v>
      </c>
      <c t="s">
        <v>1043</v>
      </c>
      <c t="s">
        <v>23659</v>
      </c>
      <c t="s">
        <v>65059</v>
      </c>
      <c t="s">
        <v>39289</v>
      </c>
      <c>
        <v>33905</v>
      </c>
      <c t="s">
        <v>954</v>
      </c>
      <c t="s">
        <v>48794</v>
      </c>
      <c t="s">
        <v>19124</v>
      </c>
      <c>
        <v>15946</v>
      </c>
      <c r="AI3337" t="s">
        <v>5845</v>
      </c>
      <c t="s">
        <v>45620</v>
      </c>
      <c r="AL3337" t="s">
        <v>8560</v>
      </c>
      <c t="s">
        <v>8560</v>
      </c>
      <c t="s">
        <v>65451</v>
      </c>
      <c t="s">
        <v>56119</v>
      </c>
      <c t="s">
        <v>22613</v>
      </c>
      <c t="s">
        <v>3093</v>
      </c>
      <c t="s">
        <v>28857</v>
      </c>
    </row>
    <row>
      <c t="s">
        <v>42103</v>
      </c>
      <c t="s">
        <v>59983</v>
      </c>
      <c t="s">
        <v>52185</v>
      </c>
      <c t="s">
        <v>24623</v>
      </c>
      <c t="s">
        <v>58981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338" s="1" t="str">
        <f ca="1">HYPERLINK("https://web.datatree.com/?/property?propertyId=33245545", "https://web.datatree.com/?/property?propertyId=33245545")</f>
        <v>https://web.datatree.com/?/property?propertyId=33245545</v>
      </c>
      <c r="Q3338" t="s">
        <v>316</v>
      </c>
      <c>
        <v>0.23</v>
      </c>
      <c t="s">
        <v>45031</v>
      </c>
      <c t="s">
        <v>64030</v>
      </c>
      <c t="s">
        <v>37846</v>
      </c>
      <c r="X3338" t="s">
        <v>3507</v>
      </c>
      <c t="s">
        <v>53663</v>
      </c>
      <c t="s">
        <v>2517</v>
      </c>
      <c t="s">
        <v>39289</v>
      </c>
      <c>
        <v>33909</v>
      </c>
      <c t="s">
        <v>32961</v>
      </c>
      <c t="s">
        <v>48794</v>
      </c>
      <c t="s">
        <v>56712</v>
      </c>
      <c t="s">
        <v>62355</v>
      </c>
      <c r="AI3338" t="s">
        <v>43638</v>
      </c>
      <c r="AL3338" t="s">
        <v>60998</v>
      </c>
      <c r="AN3338" t="s">
        <v>14798</v>
      </c>
      <c r="AQ3338" t="s">
        <v>3093</v>
      </c>
      <c t="s">
        <v>43455</v>
      </c>
    </row>
    <row>
      <c t="s">
        <v>17594</v>
      </c>
      <c t="s">
        <v>42867</v>
      </c>
      <c t="s">
        <v>60986</v>
      </c>
      <c t="s">
        <v>29749</v>
      </c>
      <c t="s">
        <v>32027</v>
      </c>
      <c s="3">
        <v>18350</v>
      </c>
      <c s="3">
        <v>18350</v>
      </c>
      <c s="3">
        <v>8360</v>
      </c>
      <c>
        <v>0</v>
      </c>
      <c s="3">
        <v>0</v>
      </c>
      <c s="3">
        <v>577.67</v>
      </c>
      <c s="3">
        <v>18350</v>
      </c>
      <c>
        <v>2021</v>
      </c>
      <c>
        <v>612.35</v>
      </c>
      <c s="1" t="str">
        <f ca="1">HYPERLINK("https://web.datatree.com/?/property?propertyId=33246138", "https://web.datatree.com/?/property?propertyId=33246138")</f>
        <v>https://web.datatree.com/?/property?propertyId=33246138</v>
      </c>
      <c r="Q3339" t="s">
        <v>316</v>
      </c>
      <c>
        <v>0.267</v>
      </c>
      <c t="s">
        <v>6175</v>
      </c>
      <c t="s">
        <v>4877</v>
      </c>
      <c t="s">
        <v>38143</v>
      </c>
      <c r="X3339" t="s">
        <v>57914</v>
      </c>
      <c t="s">
        <v>23517</v>
      </c>
      <c t="s">
        <v>2517</v>
      </c>
      <c t="s">
        <v>39289</v>
      </c>
      <c>
        <v>33909</v>
      </c>
      <c t="s">
        <v>25791</v>
      </c>
      <c t="s">
        <v>48794</v>
      </c>
      <c t="s">
        <v>26917</v>
      </c>
      <c>
        <v>559</v>
      </c>
      <c r="AI3339" t="s">
        <v>33800</v>
      </c>
      <c t="s">
        <v>45393</v>
      </c>
      <c t="s">
        <v>19626</v>
      </c>
      <c t="s">
        <v>13397</v>
      </c>
      <c r="AN3339" t="s">
        <v>50917</v>
      </c>
      <c t="s">
        <v>59704</v>
      </c>
      <c t="s">
        <v>38085</v>
      </c>
      <c t="s">
        <v>3093</v>
      </c>
      <c t="s">
        <v>25122</v>
      </c>
    </row>
    <row>
      <c t="s">
        <v>17594</v>
      </c>
      <c t="s">
        <v>2755</v>
      </c>
      <c t="s">
        <v>23601</v>
      </c>
      <c t="s">
        <v>58490</v>
      </c>
      <c t="s">
        <v>19149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3340" s="1" t="str">
        <f ca="1">HYPERLINK("https://web.datatree.com/?/property?propertyId=33246355", "https://web.datatree.com/?/property?propertyId=33246355")</f>
        <v>https://web.datatree.com/?/property?propertyId=33246355</v>
      </c>
      <c r="Q3340" t="s">
        <v>316</v>
      </c>
      <c>
        <v>0.244</v>
      </c>
      <c t="s">
        <v>6175</v>
      </c>
      <c r="U3340" t="s">
        <v>855</v>
      </c>
      <c t="s">
        <v>25238</v>
      </c>
      <c t="s">
        <v>22015</v>
      </c>
      <c t="s">
        <v>16595</v>
      </c>
      <c t="s">
        <v>39777</v>
      </c>
      <c t="s">
        <v>2517</v>
      </c>
      <c t="s">
        <v>39289</v>
      </c>
      <c>
        <v>33909</v>
      </c>
      <c t="s">
        <v>24591</v>
      </c>
      <c t="s">
        <v>48794</v>
      </c>
      <c t="s">
        <v>21811</v>
      </c>
      <c>
        <v>4717</v>
      </c>
      <c r="AI3340" t="s">
        <v>49230</v>
      </c>
      <c t="s">
        <v>45620</v>
      </c>
      <c r="AL3340" t="s">
        <v>26303</v>
      </c>
      <c t="s">
        <v>26303</v>
      </c>
      <c t="s">
        <v>65451</v>
      </c>
      <c t="s">
        <v>53504</v>
      </c>
      <c t="s">
        <v>50779</v>
      </c>
      <c t="s">
        <v>3093</v>
      </c>
      <c t="s">
        <v>36220</v>
      </c>
    </row>
    <row>
      <c t="s">
        <v>17594</v>
      </c>
      <c t="s">
        <v>12339</v>
      </c>
      <c t="s">
        <v>66211</v>
      </c>
      <c t="s">
        <v>29531</v>
      </c>
      <c t="s">
        <v>3953</v>
      </c>
      <c s="3">
        <v>10600</v>
      </c>
      <c s="3">
        <v>10600</v>
      </c>
      <c s="3">
        <v>9339</v>
      </c>
      <c>
        <v>0</v>
      </c>
      <c s="3">
        <v>0</v>
      </c>
      <c s="3">
        <v>619.98</v>
      </c>
      <c s="3">
        <v>10600</v>
      </c>
      <c r="O3341" s="1" t="str">
        <f ca="1">HYPERLINK("https://web.datatree.com/?/property?propertyId=33246575", "https://web.datatree.com/?/property?propertyId=33246575")</f>
        <v>https://web.datatree.com/?/property?propertyId=33246575</v>
      </c>
      <c r="Q3341" t="s">
        <v>316</v>
      </c>
      <c>
        <v>0.241</v>
      </c>
      <c t="s">
        <v>28270</v>
      </c>
      <c t="s">
        <v>63047</v>
      </c>
      <c t="s">
        <v>40085</v>
      </c>
      <c t="s">
        <v>1722</v>
      </c>
      <c t="s">
        <v>40085</v>
      </c>
      <c t="s">
        <v>57850</v>
      </c>
      <c t="s">
        <v>47150</v>
      </c>
      <c t="s">
        <v>2517</v>
      </c>
      <c t="s">
        <v>39289</v>
      </c>
      <c>
        <v>33909</v>
      </c>
      <c t="s">
        <v>55281</v>
      </c>
      <c t="s">
        <v>48794</v>
      </c>
      <c t="s">
        <v>59121</v>
      </c>
      <c>
        <v>26</v>
      </c>
      <c r="AI3341" t="s">
        <v>9878</v>
      </c>
      <c t="s">
        <v>55842</v>
      </c>
      <c r="AL3341" t="s">
        <v>62944</v>
      </c>
      <c r="AN3341" t="s">
        <v>26016</v>
      </c>
      <c t="s">
        <v>41235</v>
      </c>
      <c t="s">
        <v>45980</v>
      </c>
      <c t="s">
        <v>3093</v>
      </c>
      <c t="s">
        <v>344</v>
      </c>
    </row>
    <row>
      <c t="s">
        <v>17594</v>
      </c>
      <c t="s">
        <v>14474</v>
      </c>
      <c t="s">
        <v>2915</v>
      </c>
      <c t="s">
        <v>4128</v>
      </c>
      <c t="s">
        <v>592</v>
      </c>
      <c s="3">
        <v>8544</v>
      </c>
      <c s="3">
        <v>8544</v>
      </c>
      <c s="3">
        <v>4952</v>
      </c>
      <c>
        <v>0</v>
      </c>
      <c s="3">
        <v>0</v>
      </c>
      <c s="3">
        <v>313.92</v>
      </c>
      <c s="3">
        <v>8544</v>
      </c>
      <c r="O3342" s="1" t="str">
        <f ca="1">HYPERLINK("https://web.datatree.com/?/property?propertyId=33246765", "https://web.datatree.com/?/property?propertyId=33246765")</f>
        <v>https://web.datatree.com/?/property?propertyId=33246765</v>
      </c>
      <c r="Q3342" t="s">
        <v>316</v>
      </c>
      <c>
        <v>0.224</v>
      </c>
      <c t="s">
        <v>5471</v>
      </c>
      <c t="s">
        <v>30728</v>
      </c>
      <c t="s">
        <v>21887</v>
      </c>
      <c r="X3342" t="s">
        <v>21618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2795</v>
      </c>
      <c>
        <v>616</v>
      </c>
      <c r="AI3342" t="s">
        <v>38434</v>
      </c>
      <c t="s">
        <v>31192</v>
      </c>
      <c r="AL3342" t="s">
        <v>56302</v>
      </c>
      <c t="s">
        <v>56302</v>
      </c>
      <c t="s">
        <v>39289</v>
      </c>
      <c t="s">
        <v>52896</v>
      </c>
      <c t="s">
        <v>49842</v>
      </c>
      <c t="s">
        <v>3093</v>
      </c>
      <c t="s">
        <v>22510</v>
      </c>
    </row>
    <row>
      <c t="s">
        <v>17594</v>
      </c>
      <c t="s">
        <v>53490</v>
      </c>
      <c t="s">
        <v>54101</v>
      </c>
      <c t="s">
        <v>4481</v>
      </c>
      <c t="s">
        <v>3438</v>
      </c>
      <c s="3">
        <v>138000</v>
      </c>
      <c s="3">
        <v>138000</v>
      </c>
      <c s="3">
        <v>138000</v>
      </c>
      <c>
        <v>0</v>
      </c>
      <c s="3">
        <v>0</v>
      </c>
      <c s="3">
        <v>2487.32</v>
      </c>
      <c s="3">
        <v>138000</v>
      </c>
      <c r="O3343" s="1" t="str">
        <f ca="1">HYPERLINK("https://web.datatree.com/?/property?propertyId=33247402", "https://web.datatree.com/?/property?propertyId=33247402")</f>
        <v>https://web.datatree.com/?/property?propertyId=33247402</v>
      </c>
      <c r="Q3343" t="s">
        <v>316</v>
      </c>
      <c>
        <v>0.23</v>
      </c>
      <c t="s">
        <v>22490</v>
      </c>
      <c t="s">
        <v>42449</v>
      </c>
      <c t="s">
        <v>66233</v>
      </c>
      <c r="X3343" t="s">
        <v>7258</v>
      </c>
      <c t="s">
        <v>23517</v>
      </c>
      <c t="s">
        <v>2517</v>
      </c>
      <c t="s">
        <v>39289</v>
      </c>
      <c>
        <v>33904</v>
      </c>
      <c t="s">
        <v>35576</v>
      </c>
      <c t="s">
        <v>48794</v>
      </c>
      <c t="s">
        <v>33648</v>
      </c>
      <c>
        <v>12072</v>
      </c>
      <c r="AH3343" t="s">
        <v>26580</v>
      </c>
      <c t="s">
        <v>35983</v>
      </c>
      <c t="s">
        <v>24900</v>
      </c>
      <c r="AL3343" t="s">
        <v>49353</v>
      </c>
      <c t="s">
        <v>49353</v>
      </c>
      <c t="s">
        <v>50829</v>
      </c>
      <c t="s">
        <v>14273</v>
      </c>
      <c t="s">
        <v>5652</v>
      </c>
      <c t="s">
        <v>3093</v>
      </c>
      <c t="s">
        <v>28586</v>
      </c>
    </row>
    <row>
      <c t="s">
        <v>17594</v>
      </c>
      <c t="s">
        <v>64113</v>
      </c>
      <c s="7" t="s">
        <v>35103</v>
      </c>
      <c t="s">
        <v>60316</v>
      </c>
      <c t="s">
        <v>59914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3344" s="1" t="str">
        <f ca="1">HYPERLINK("https://web.datatree.com/?/property?propertyId=33247655", "https://web.datatree.com/?/property?propertyId=33247655")</f>
        <v>https://web.datatree.com/?/property?propertyId=33247655</v>
      </c>
      <c r="Q3344" t="s">
        <v>316</v>
      </c>
      <c>
        <v>0.234</v>
      </c>
      <c t="s">
        <v>5471</v>
      </c>
      <c t="s">
        <v>4237</v>
      </c>
      <c t="s">
        <v>36896</v>
      </c>
      <c t="s">
        <v>18907</v>
      </c>
      <c t="s">
        <v>36896</v>
      </c>
      <c t="s">
        <v>43399</v>
      </c>
      <c t="s">
        <v>23113</v>
      </c>
      <c t="s">
        <v>65059</v>
      </c>
      <c t="s">
        <v>39289</v>
      </c>
      <c>
        <v>33905</v>
      </c>
      <c t="s">
        <v>56191</v>
      </c>
      <c t="s">
        <v>48794</v>
      </c>
      <c t="s">
        <v>65486</v>
      </c>
      <c>
        <v>4</v>
      </c>
      <c r="AI3344" t="s">
        <v>17594</v>
      </c>
      <c r="AL3344" t="s">
        <v>58327</v>
      </c>
      <c r="AN3344" t="s">
        <v>63985</v>
      </c>
      <c>
        <v>63594</v>
      </c>
      <c r="AR3344" s="7">
        <v>0.16666666666666666</v>
      </c>
    </row>
    <row>
      <c t="s">
        <v>17594</v>
      </c>
      <c t="s">
        <v>10999</v>
      </c>
      <c t="s">
        <v>6463</v>
      </c>
      <c t="s">
        <v>34337</v>
      </c>
      <c t="s">
        <v>54058</v>
      </c>
      <c s="3">
        <v>167960</v>
      </c>
      <c s="3">
        <v>167960</v>
      </c>
      <c s="3">
        <v>167960</v>
      </c>
      <c>
        <v>0</v>
      </c>
      <c s="3">
        <v>0</v>
      </c>
      <c s="3">
        <v>3097.88</v>
      </c>
      <c s="3">
        <v>167960</v>
      </c>
      <c r="O3345" s="1" t="str">
        <f ca="1">HYPERLINK("https://web.datatree.com/?/property?propertyId=33247705", "https://web.datatree.com/?/property?propertyId=33247705")</f>
        <v>https://web.datatree.com/?/property?propertyId=33247705</v>
      </c>
      <c r="Q3345" t="s">
        <v>316</v>
      </c>
      <c>
        <v>0.265</v>
      </c>
      <c t="s">
        <v>14479</v>
      </c>
      <c t="s">
        <v>5100</v>
      </c>
      <c t="s">
        <v>24262</v>
      </c>
      <c t="s">
        <v>63182</v>
      </c>
      <c t="s">
        <v>24262</v>
      </c>
      <c t="s">
        <v>34575</v>
      </c>
      <c t="s">
        <v>10653</v>
      </c>
      <c t="s">
        <v>2517</v>
      </c>
      <c t="s">
        <v>39289</v>
      </c>
      <c>
        <v>33904</v>
      </c>
      <c t="s">
        <v>36534</v>
      </c>
      <c t="s">
        <v>48794</v>
      </c>
      <c t="s">
        <v>55032</v>
      </c>
      <c>
        <v>5840</v>
      </c>
      <c r="AI3345" t="s">
        <v>21163</v>
      </c>
      <c t="s">
        <v>41372</v>
      </c>
      <c r="AL3345" t="s">
        <v>64657</v>
      </c>
      <c t="s">
        <v>64657</v>
      </c>
      <c t="s">
        <v>19878</v>
      </c>
      <c t="s">
        <v>38018</v>
      </c>
      <c t="s">
        <v>40826</v>
      </c>
      <c t="s">
        <v>3093</v>
      </c>
      <c t="s">
        <v>21269</v>
      </c>
    </row>
    <row>
      <c t="s">
        <v>17594</v>
      </c>
      <c t="s">
        <v>43543</v>
      </c>
      <c t="s">
        <v>15038</v>
      </c>
      <c t="s">
        <v>8284</v>
      </c>
      <c t="s">
        <v>39500</v>
      </c>
      <c s="3">
        <v>517008</v>
      </c>
      <c s="3">
        <v>514922</v>
      </c>
      <c s="3">
        <v>517008</v>
      </c>
      <c>
        <v>0</v>
      </c>
      <c s="3">
        <v>0</v>
      </c>
      <c s="3">
        <v>5483.82</v>
      </c>
      <c s="3">
        <v>517008</v>
      </c>
      <c r="O3346" s="1" t="str">
        <f ca="1">HYPERLINK("https://web.datatree.com/?/property?propertyId=33248517", "https://web.datatree.com/?/property?propertyId=33248517")</f>
        <v>https://web.datatree.com/?/property?propertyId=33248517</v>
      </c>
      <c r="Q3346" t="s">
        <v>316</v>
      </c>
      <c>
        <v>0.369</v>
      </c>
      <c t="s">
        <v>22490</v>
      </c>
      <c t="s">
        <v>39139</v>
      </c>
      <c t="s">
        <v>51733</v>
      </c>
      <c t="s">
        <v>35852</v>
      </c>
      <c t="s">
        <v>51733</v>
      </c>
      <c t="s">
        <v>15428</v>
      </c>
      <c t="s">
        <v>50133</v>
      </c>
      <c t="s">
        <v>2517</v>
      </c>
      <c t="s">
        <v>39289</v>
      </c>
      <c>
        <v>33904</v>
      </c>
      <c>
        <v>33904</v>
      </c>
      <c t="s">
        <v>48794</v>
      </c>
      <c t="s">
        <v>30428</v>
      </c>
      <c>
        <v>28032</v>
      </c>
      <c r="AI3346" t="s">
        <v>42834</v>
      </c>
      <c t="s">
        <v>55842</v>
      </c>
      <c r="AL3346" t="s">
        <v>62773</v>
      </c>
      <c t="s">
        <v>62773</v>
      </c>
      <c t="s">
        <v>19878</v>
      </c>
      <c t="s">
        <v>4267</v>
      </c>
      <c t="s">
        <v>60333</v>
      </c>
      <c t="s">
        <v>3093</v>
      </c>
      <c t="s">
        <v>63222</v>
      </c>
    </row>
    <row>
      <c t="s">
        <v>17594</v>
      </c>
      <c t="s">
        <v>41563</v>
      </c>
      <c t="s">
        <v>36919</v>
      </c>
      <c t="s">
        <v>1078</v>
      </c>
      <c t="s">
        <v>40772</v>
      </c>
      <c s="3">
        <v>8000</v>
      </c>
      <c s="3">
        <v>8000</v>
      </c>
      <c s="3">
        <v>8000</v>
      </c>
      <c>
        <v>0</v>
      </c>
      <c s="3">
        <v>0</v>
      </c>
      <c s="3">
        <v>640.46</v>
      </c>
      <c s="3">
        <v>8000</v>
      </c>
      <c r="O3347" s="1" t="str">
        <f ca="1">HYPERLINK("https://web.datatree.com/?/property?propertyId=33249432", "https://web.datatree.com/?/property?propertyId=33249432")</f>
        <v>https://web.datatree.com/?/property?propertyId=33249432</v>
      </c>
      <c r="Q3347" t="s">
        <v>316</v>
      </c>
      <c>
        <v>0.231</v>
      </c>
      <c t="s">
        <v>33269</v>
      </c>
      <c t="s">
        <v>50196</v>
      </c>
      <c t="s">
        <v>43112</v>
      </c>
      <c r="X3347" t="s">
        <v>3625</v>
      </c>
      <c t="s">
        <v>41506</v>
      </c>
      <c t="s">
        <v>2517</v>
      </c>
      <c t="s">
        <v>39289</v>
      </c>
      <c>
        <v>33909</v>
      </c>
      <c t="s">
        <v>38976</v>
      </c>
      <c t="s">
        <v>48794</v>
      </c>
      <c t="s">
        <v>33863</v>
      </c>
      <c>
        <v>461</v>
      </c>
      <c r="AI3347" t="s">
        <v>24697</v>
      </c>
      <c t="s">
        <v>39321</v>
      </c>
      <c r="AL3347" t="s">
        <v>18092</v>
      </c>
      <c t="s">
        <v>18092</v>
      </c>
      <c t="s">
        <v>39289</v>
      </c>
      <c t="s">
        <v>66813</v>
      </c>
      <c t="s">
        <v>26242</v>
      </c>
      <c t="s">
        <v>3093</v>
      </c>
      <c t="s">
        <v>40923</v>
      </c>
    </row>
    <row>
      <c t="s">
        <v>17594</v>
      </c>
      <c t="s">
        <v>57066</v>
      </c>
      <c t="s">
        <v>63028</v>
      </c>
      <c t="s">
        <v>18803</v>
      </c>
      <c t="s">
        <v>20190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348" s="1" t="str">
        <f ca="1">HYPERLINK("https://web.datatree.com/?/property?propertyId=33249843", "https://web.datatree.com/?/property?propertyId=33249843")</f>
        <v>https://web.datatree.com/?/property?propertyId=33249843</v>
      </c>
      <c r="Q3348" t="s">
        <v>316</v>
      </c>
      <c>
        <v>0.23</v>
      </c>
      <c t="s">
        <v>42044</v>
      </c>
      <c t="s">
        <v>40088</v>
      </c>
      <c t="s">
        <v>65897</v>
      </c>
      <c t="s">
        <v>19912</v>
      </c>
      <c t="s">
        <v>54459</v>
      </c>
      <c t="s">
        <v>479</v>
      </c>
      <c t="s">
        <v>61144</v>
      </c>
      <c t="s">
        <v>2517</v>
      </c>
      <c t="s">
        <v>39289</v>
      </c>
      <c>
        <v>33909</v>
      </c>
      <c t="s">
        <v>56696</v>
      </c>
      <c t="s">
        <v>48794</v>
      </c>
      <c t="s">
        <v>7763</v>
      </c>
      <c>
        <v>201</v>
      </c>
      <c r="AI3348" t="s">
        <v>35527</v>
      </c>
      <c t="s">
        <v>24900</v>
      </c>
      <c r="AL3348" t="s">
        <v>8757</v>
      </c>
      <c r="AN3348" t="s">
        <v>10804</v>
      </c>
      <c t="s">
        <v>57021</v>
      </c>
      <c t="s">
        <v>11950</v>
      </c>
      <c t="s">
        <v>3093</v>
      </c>
      <c t="s">
        <v>11127</v>
      </c>
    </row>
    <row>
      <c t="s">
        <v>17594</v>
      </c>
      <c t="s">
        <v>7866</v>
      </c>
      <c t="s">
        <v>36440</v>
      </c>
      <c t="s">
        <v>49205</v>
      </c>
      <c t="s">
        <v>34262</v>
      </c>
      <c s="3">
        <v>49498</v>
      </c>
      <c s="3">
        <v>49498</v>
      </c>
      <c s="3">
        <v>36549</v>
      </c>
      <c>
        <v>0</v>
      </c>
      <c s="3">
        <v>0</v>
      </c>
      <c s="3">
        <v>1202.37</v>
      </c>
      <c s="3">
        <v>49498</v>
      </c>
      <c r="O3349" s="1" t="str">
        <f ca="1">HYPERLINK("https://web.datatree.com/?/property?propertyId=33252712", "https://web.datatree.com/?/property?propertyId=33252712")</f>
        <v>https://web.datatree.com/?/property?propertyId=33252712</v>
      </c>
      <c r="Q3349" t="s">
        <v>316</v>
      </c>
      <c>
        <v>0.344</v>
      </c>
      <c t="s">
        <v>22490</v>
      </c>
      <c t="s">
        <v>42197</v>
      </c>
      <c t="s">
        <v>13205</v>
      </c>
      <c t="s">
        <v>66846</v>
      </c>
      <c t="s">
        <v>58821</v>
      </c>
      <c t="s">
        <v>15992</v>
      </c>
      <c t="s">
        <v>38550</v>
      </c>
      <c t="s">
        <v>2517</v>
      </c>
      <c t="s">
        <v>39289</v>
      </c>
      <c>
        <v>33909</v>
      </c>
      <c t="s">
        <v>40080</v>
      </c>
      <c t="s">
        <v>48794</v>
      </c>
      <c t="s">
        <v>66540</v>
      </c>
      <c>
        <v>2770</v>
      </c>
      <c r="AH3349" t="s">
        <v>57851</v>
      </c>
      <c t="s">
        <v>1045</v>
      </c>
      <c t="s">
        <v>55842</v>
      </c>
      <c r="AL3349" t="s">
        <v>11713</v>
      </c>
      <c r="AN3349" t="s">
        <v>39289</v>
      </c>
      <c t="s">
        <v>2580</v>
      </c>
      <c t="s">
        <v>61420</v>
      </c>
      <c t="s">
        <v>3093</v>
      </c>
      <c t="s">
        <v>58931</v>
      </c>
    </row>
    <row>
      <c t="s">
        <v>17594</v>
      </c>
      <c t="s">
        <v>39555</v>
      </c>
      <c t="s">
        <v>48658</v>
      </c>
      <c t="s">
        <v>1822</v>
      </c>
      <c t="s">
        <v>19763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>
        <v>2021</v>
      </c>
      <c>
        <v>549.06</v>
      </c>
      <c s="1" t="str">
        <f ca="1">HYPERLINK("https://web.datatree.com/?/property?propertyId=33252773", "https://web.datatree.com/?/property?propertyId=33252773")</f>
        <v>https://web.datatree.com/?/property?propertyId=33252773</v>
      </c>
      <c r="Q3350" t="s">
        <v>316</v>
      </c>
      <c>
        <v>0.242</v>
      </c>
      <c t="s">
        <v>45031</v>
      </c>
      <c t="s">
        <v>26827</v>
      </c>
      <c t="s">
        <v>21668</v>
      </c>
      <c r="X3350" t="s">
        <v>8081</v>
      </c>
      <c t="s">
        <v>29190</v>
      </c>
      <c t="s">
        <v>2517</v>
      </c>
      <c t="s">
        <v>39289</v>
      </c>
      <c>
        <v>33909</v>
      </c>
      <c t="s">
        <v>14045</v>
      </c>
      <c t="s">
        <v>48794</v>
      </c>
      <c t="s">
        <v>13033</v>
      </c>
      <c>
        <v>407</v>
      </c>
      <c r="AI3350" t="s">
        <v>41142</v>
      </c>
      <c t="s">
        <v>4985</v>
      </c>
      <c t="s">
        <v>965</v>
      </c>
      <c t="s">
        <v>33692</v>
      </c>
      <c t="s">
        <v>31284</v>
      </c>
      <c t="s">
        <v>64022</v>
      </c>
      <c t="s">
        <v>12902</v>
      </c>
      <c t="s">
        <v>4480</v>
      </c>
      <c t="s">
        <v>3093</v>
      </c>
      <c t="s">
        <v>58235</v>
      </c>
    </row>
    <row>
      <c t="s">
        <v>17594</v>
      </c>
      <c t="s">
        <v>25490</v>
      </c>
      <c t="s">
        <v>1321</v>
      </c>
      <c t="s">
        <v>5991</v>
      </c>
      <c t="s">
        <v>53687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3351" s="1" t="str">
        <f ca="1">HYPERLINK("https://web.datatree.com/?/property?propertyId=33252787", "https://web.datatree.com/?/property?propertyId=33252787")</f>
        <v>https://web.datatree.com/?/property?propertyId=33252787</v>
      </c>
      <c r="Q3351" t="s">
        <v>316</v>
      </c>
      <c>
        <v>0.23</v>
      </c>
      <c t="s">
        <v>6175</v>
      </c>
      <c t="s">
        <v>53857</v>
      </c>
      <c t="s">
        <v>37083</v>
      </c>
      <c r="X3351" t="s">
        <v>36314</v>
      </c>
      <c t="s">
        <v>34136</v>
      </c>
      <c t="s">
        <v>2517</v>
      </c>
      <c t="s">
        <v>39289</v>
      </c>
      <c>
        <v>33909</v>
      </c>
      <c t="s">
        <v>39106</v>
      </c>
      <c t="s">
        <v>48794</v>
      </c>
      <c t="s">
        <v>27560</v>
      </c>
      <c>
        <v>6900</v>
      </c>
      <c r="AI3351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12335</v>
      </c>
      <c t="s">
        <v>59043</v>
      </c>
      <c t="s">
        <v>34491</v>
      </c>
      <c t="s">
        <v>66931</v>
      </c>
      <c s="3">
        <v>29849</v>
      </c>
      <c s="3">
        <v>29525</v>
      </c>
      <c s="3">
        <v>29688</v>
      </c>
      <c>
        <v>0</v>
      </c>
      <c s="3">
        <v>0</v>
      </c>
      <c s="3">
        <v>413.15</v>
      </c>
      <c s="3">
        <v>29849</v>
      </c>
      <c r="O3352" s="1" t="str">
        <f ca="1">HYPERLINK("https://web.datatree.com/?/property?propertyId=33253504", "https://web.datatree.com/?/property?propertyId=33253504")</f>
        <v>https://web.datatree.com/?/property?propertyId=33253504</v>
      </c>
      <c r="Q3352" t="s">
        <v>316</v>
      </c>
      <c>
        <v>0.04</v>
      </c>
      <c t="s">
        <v>54329</v>
      </c>
      <c t="s">
        <v>8033</v>
      </c>
      <c t="s">
        <v>15981</v>
      </c>
      <c t="s">
        <v>26059</v>
      </c>
      <c t="s">
        <v>39583</v>
      </c>
      <c t="s">
        <v>6802</v>
      </c>
      <c t="s">
        <v>52143</v>
      </c>
      <c t="s">
        <v>65059</v>
      </c>
      <c t="s">
        <v>39289</v>
      </c>
      <c>
        <v>33908</v>
      </c>
      <c t="s">
        <v>51839</v>
      </c>
      <c t="s">
        <v>48794</v>
      </c>
      <c t="s">
        <v>53295</v>
      </c>
      <c>
        <v>285</v>
      </c>
      <c r="AI3352" t="s">
        <v>29275</v>
      </c>
      <c t="s">
        <v>45620</v>
      </c>
      <c r="AL3352" t="s">
        <v>20277</v>
      </c>
      <c t="s">
        <v>53482</v>
      </c>
      <c t="s">
        <v>51137</v>
      </c>
      <c t="s">
        <v>59234</v>
      </c>
      <c t="s">
        <v>14695</v>
      </c>
      <c t="s">
        <v>3093</v>
      </c>
      <c t="s">
        <v>31766</v>
      </c>
    </row>
    <row>
      <c t="s">
        <v>17594</v>
      </c>
      <c t="s">
        <v>18385</v>
      </c>
      <c t="s">
        <v>3388</v>
      </c>
      <c t="s">
        <v>31384</v>
      </c>
      <c t="s">
        <v>2534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3353" s="1" t="str">
        <f ca="1">HYPERLINK("https://web.datatree.com/?/property?propertyId=33253728", "https://web.datatree.com/?/property?propertyId=33253728")</f>
        <v>https://web.datatree.com/?/property?propertyId=33253728</v>
      </c>
      <c r="Q3353" t="s">
        <v>316</v>
      </c>
      <c>
        <v>0.234</v>
      </c>
      <c t="s">
        <v>22490</v>
      </c>
      <c t="s">
        <v>45883</v>
      </c>
      <c t="s">
        <v>24398</v>
      </c>
      <c r="X3353" t="s">
        <v>40499</v>
      </c>
      <c t="s">
        <v>47150</v>
      </c>
      <c t="s">
        <v>2517</v>
      </c>
      <c t="s">
        <v>39289</v>
      </c>
      <c>
        <v>33909</v>
      </c>
      <c t="s">
        <v>12002</v>
      </c>
      <c t="s">
        <v>48794</v>
      </c>
      <c t="s">
        <v>31281</v>
      </c>
      <c>
        <v>17891</v>
      </c>
      <c r="AI3353" t="s">
        <v>49218</v>
      </c>
      <c t="s">
        <v>55842</v>
      </c>
      <c r="AL3353" t="s">
        <v>21971</v>
      </c>
      <c t="s">
        <v>21971</v>
      </c>
      <c t="s">
        <v>65451</v>
      </c>
      <c t="s">
        <v>24504</v>
      </c>
      <c t="s">
        <v>23611</v>
      </c>
      <c t="s">
        <v>3093</v>
      </c>
      <c t="s">
        <v>35214</v>
      </c>
    </row>
    <row>
      <c t="s">
        <v>17594</v>
      </c>
      <c t="s">
        <v>15077</v>
      </c>
      <c t="s">
        <v>28794</v>
      </c>
      <c t="s">
        <v>11169</v>
      </c>
      <c t="s">
        <v>20801</v>
      </c>
      <c s="3">
        <v>111095</v>
      </c>
      <c s="3">
        <v>111095</v>
      </c>
      <c s="3">
        <v>111095</v>
      </c>
      <c>
        <v>0</v>
      </c>
      <c s="3">
        <v>0</v>
      </c>
      <c s="3">
        <v>2641.56</v>
      </c>
      <c s="3">
        <v>111095</v>
      </c>
      <c>
        <v>2020</v>
      </c>
      <c>
        <v>3603.16</v>
      </c>
      <c s="1" t="str">
        <f ca="1">HYPERLINK("https://web.datatree.com/?/property?propertyId=33253828", "https://web.datatree.com/?/property?propertyId=33253828")</f>
        <v>https://web.datatree.com/?/property?propertyId=33253828</v>
      </c>
      <c r="Q3354" t="s">
        <v>316</v>
      </c>
      <c>
        <v>19.64</v>
      </c>
      <c t="s">
        <v>30497</v>
      </c>
      <c t="s">
        <v>3293</v>
      </c>
      <c t="s">
        <v>40878</v>
      </c>
      <c t="s">
        <v>2140</v>
      </c>
      <c t="s">
        <v>40878</v>
      </c>
      <c t="s">
        <v>35607</v>
      </c>
      <c t="s">
        <v>49946</v>
      </c>
      <c t="s">
        <v>65059</v>
      </c>
      <c t="s">
        <v>39289</v>
      </c>
      <c>
        <v>33905</v>
      </c>
      <c>
        <v>33905</v>
      </c>
      <c t="s">
        <v>48794</v>
      </c>
      <c t="s">
        <v>32706</v>
      </c>
      <c>
        <v>7</v>
      </c>
      <c r="AI3354" t="s">
        <v>56599</v>
      </c>
      <c t="s">
        <v>45620</v>
      </c>
      <c r="AL3354" t="s">
        <v>1368</v>
      </c>
      <c t="s">
        <v>40227</v>
      </c>
      <c t="s">
        <v>5859</v>
      </c>
      <c t="s">
        <v>28577</v>
      </c>
      <c t="s">
        <v>62830</v>
      </c>
      <c t="s">
        <v>3093</v>
      </c>
      <c t="s">
        <v>48422</v>
      </c>
    </row>
    <row>
      <c t="s">
        <v>17594</v>
      </c>
      <c t="s">
        <v>505</v>
      </c>
      <c t="s">
        <v>48111</v>
      </c>
      <c t="s">
        <v>57832</v>
      </c>
      <c t="s">
        <v>28595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3355" s="1" t="str">
        <f ca="1">HYPERLINK("https://web.datatree.com/?/property?propertyId=33253956", "https://web.datatree.com/?/property?propertyId=33253956")</f>
        <v>https://web.datatree.com/?/property?propertyId=33253956</v>
      </c>
      <c r="Q3355" t="s">
        <v>316</v>
      </c>
      <c>
        <v>0.23</v>
      </c>
      <c t="s">
        <v>22490</v>
      </c>
      <c r="U3355" t="s">
        <v>47672</v>
      </c>
      <c t="s">
        <v>44177</v>
      </c>
      <c t="s">
        <v>37765</v>
      </c>
      <c t="s">
        <v>56248</v>
      </c>
      <c t="s">
        <v>49674</v>
      </c>
      <c t="s">
        <v>2517</v>
      </c>
      <c t="s">
        <v>39289</v>
      </c>
      <c>
        <v>33909</v>
      </c>
      <c t="s">
        <v>28565</v>
      </c>
      <c t="s">
        <v>48794</v>
      </c>
      <c t="s">
        <v>60557</v>
      </c>
      <c>
        <v>629</v>
      </c>
      <c r="AI3355" t="s">
        <v>4141</v>
      </c>
      <c t="s">
        <v>45393</v>
      </c>
      <c r="AL3355" t="s">
        <v>8588</v>
      </c>
      <c t="s">
        <v>20902</v>
      </c>
      <c t="s">
        <v>27747</v>
      </c>
      <c t="s">
        <v>14232</v>
      </c>
      <c t="s">
        <v>14695</v>
      </c>
      <c t="s">
        <v>3093</v>
      </c>
      <c t="s">
        <v>42271</v>
      </c>
    </row>
    <row>
      <c t="s">
        <v>17594</v>
      </c>
      <c t="s">
        <v>33073</v>
      </c>
      <c t="s">
        <v>60450</v>
      </c>
      <c t="s">
        <v>18336</v>
      </c>
      <c t="s">
        <v>19027</v>
      </c>
      <c s="3">
        <v>31830</v>
      </c>
      <c s="3">
        <v>31830</v>
      </c>
      <c s="3">
        <v>23108</v>
      </c>
      <c>
        <v>0</v>
      </c>
      <c s="3">
        <v>0</v>
      </c>
      <c s="3">
        <v>826.51</v>
      </c>
      <c s="3">
        <v>31830</v>
      </c>
      <c r="O3356" s="1" t="str">
        <f ca="1">HYPERLINK("https://web.datatree.com/?/property?propertyId=33254789", "https://web.datatree.com/?/property?propertyId=33254789")</f>
        <v>https://web.datatree.com/?/property?propertyId=33254789</v>
      </c>
      <c r="Q3356" t="s">
        <v>316</v>
      </c>
      <c>
        <v>0.23</v>
      </c>
      <c t="s">
        <v>6175</v>
      </c>
      <c t="s">
        <v>64322</v>
      </c>
      <c t="s">
        <v>67138</v>
      </c>
      <c t="s">
        <v>36243</v>
      </c>
      <c t="s">
        <v>67138</v>
      </c>
      <c t="s">
        <v>37704</v>
      </c>
      <c t="s">
        <v>49674</v>
      </c>
      <c t="s">
        <v>2517</v>
      </c>
      <c t="s">
        <v>39289</v>
      </c>
      <c>
        <v>33904</v>
      </c>
      <c t="s">
        <v>27202</v>
      </c>
      <c t="s">
        <v>48794</v>
      </c>
      <c t="s">
        <v>58237</v>
      </c>
      <c>
        <v>468</v>
      </c>
      <c r="AI3356" t="s">
        <v>35412</v>
      </c>
      <c t="s">
        <v>24900</v>
      </c>
      <c r="AL3356" t="s">
        <v>28168</v>
      </c>
      <c r="AN3356" t="s">
        <v>26016</v>
      </c>
      <c t="s">
        <v>8781</v>
      </c>
      <c t="s">
        <v>4480</v>
      </c>
      <c t="s">
        <v>3093</v>
      </c>
      <c t="s">
        <v>16187</v>
      </c>
    </row>
    <row>
      <c t="s">
        <v>17594</v>
      </c>
      <c t="s">
        <v>67239</v>
      </c>
      <c t="s">
        <v>36564</v>
      </c>
      <c t="s">
        <v>19622</v>
      </c>
      <c t="s">
        <v>26227</v>
      </c>
      <c s="3">
        <v>41248</v>
      </c>
      <c s="3">
        <v>41248</v>
      </c>
      <c s="3">
        <v>35200</v>
      </c>
      <c>
        <v>0</v>
      </c>
      <c s="3">
        <v>0</v>
      </c>
      <c s="3">
        <v>1024.65</v>
      </c>
      <c s="3">
        <v>41248</v>
      </c>
      <c r="O3357" s="1" t="str">
        <f ca="1">HYPERLINK("https://web.datatree.com/?/property?propertyId=33254922", "https://web.datatree.com/?/property?propertyId=33254922")</f>
        <v>https://web.datatree.com/?/property?propertyId=33254922</v>
      </c>
      <c r="Q3357" t="s">
        <v>316</v>
      </c>
      <c>
        <v>0.23</v>
      </c>
      <c t="s">
        <v>22490</v>
      </c>
      <c t="s">
        <v>1599</v>
      </c>
      <c t="s">
        <v>59891</v>
      </c>
      <c t="s">
        <v>53622</v>
      </c>
      <c t="s">
        <v>59891</v>
      </c>
      <c t="s">
        <v>55574</v>
      </c>
      <c t="s">
        <v>33179</v>
      </c>
      <c t="s">
        <v>2517</v>
      </c>
      <c t="s">
        <v>39289</v>
      </c>
      <c>
        <v>33909</v>
      </c>
      <c t="s">
        <v>34288</v>
      </c>
      <c t="s">
        <v>48794</v>
      </c>
      <c t="s">
        <v>35258</v>
      </c>
      <c>
        <v>3208</v>
      </c>
      <c r="AI3357" t="s">
        <v>6326</v>
      </c>
      <c t="s">
        <v>45393</v>
      </c>
      <c r="AL3357" t="s">
        <v>5951</v>
      </c>
      <c r="AN3357" t="s">
        <v>32657</v>
      </c>
      <c t="s">
        <v>53722</v>
      </c>
      <c t="s">
        <v>40826</v>
      </c>
      <c t="s">
        <v>3093</v>
      </c>
      <c t="s">
        <v>58262</v>
      </c>
    </row>
    <row>
      <c t="s">
        <v>17594</v>
      </c>
      <c t="s">
        <v>22056</v>
      </c>
      <c t="s">
        <v>8834</v>
      </c>
      <c t="s">
        <v>9475</v>
      </c>
      <c t="s">
        <v>17708</v>
      </c>
      <c s="3">
        <v>16728</v>
      </c>
      <c s="3">
        <v>16728</v>
      </c>
      <c s="3">
        <v>9075</v>
      </c>
      <c>
        <v>0</v>
      </c>
      <c s="3">
        <v>0</v>
      </c>
      <c s="3">
        <v>553.9</v>
      </c>
      <c s="3">
        <v>16728</v>
      </c>
      <c r="O3358" s="1" t="str">
        <f ca="1">HYPERLINK("https://web.datatree.com/?/property?propertyId=33254935", "https://web.datatree.com/?/property?propertyId=33254935")</f>
        <v>https://web.datatree.com/?/property?propertyId=33254935</v>
      </c>
      <c r="Q3358" t="s">
        <v>316</v>
      </c>
      <c>
        <v>0.23</v>
      </c>
      <c t="s">
        <v>6175</v>
      </c>
      <c t="s">
        <v>64395</v>
      </c>
      <c t="s">
        <v>46651</v>
      </c>
      <c r="X3358" t="s">
        <v>58345</v>
      </c>
      <c t="s">
        <v>25017</v>
      </c>
      <c t="s">
        <v>2517</v>
      </c>
      <c t="s">
        <v>39289</v>
      </c>
      <c>
        <v>33909</v>
      </c>
      <c t="s">
        <v>20805</v>
      </c>
      <c t="s">
        <v>48794</v>
      </c>
      <c t="s">
        <v>18012</v>
      </c>
      <c>
        <v>5980</v>
      </c>
      <c r="AI3358" t="s">
        <v>934</v>
      </c>
      <c t="s">
        <v>31192</v>
      </c>
      <c r="AL3358" t="s">
        <v>15179</v>
      </c>
      <c r="AN3358" t="s">
        <v>39289</v>
      </c>
      <c t="s">
        <v>30154</v>
      </c>
      <c t="s">
        <v>66620</v>
      </c>
      <c t="s">
        <v>3093</v>
      </c>
      <c t="s">
        <v>10635</v>
      </c>
    </row>
    <row>
      <c t="s">
        <v>17594</v>
      </c>
      <c t="s">
        <v>1532</v>
      </c>
      <c t="s">
        <v>11221</v>
      </c>
      <c t="s">
        <v>31080</v>
      </c>
      <c t="s">
        <v>15140</v>
      </c>
      <c s="3">
        <v>106824</v>
      </c>
      <c s="3">
        <v>11102</v>
      </c>
      <c s="3">
        <v>102594</v>
      </c>
      <c>
        <v>0</v>
      </c>
      <c s="3">
        <v>0</v>
      </c>
      <c s="3">
        <v>1444.05</v>
      </c>
      <c s="3">
        <v>106824</v>
      </c>
      <c r="O3359" s="1" t="str">
        <f ca="1">HYPERLINK("https://web.datatree.com/?/property?propertyId=33255057", "https://web.datatree.com/?/property?propertyId=33255057")</f>
        <v>https://web.datatree.com/?/property?propertyId=33255057</v>
      </c>
      <c>
        <v>848</v>
      </c>
      <c t="s">
        <v>316</v>
      </c>
      <c>
        <v>0.209</v>
      </c>
      <c t="s">
        <v>23582</v>
      </c>
      <c t="s">
        <v>981</v>
      </c>
      <c t="s">
        <v>48556</v>
      </c>
      <c r="X3359" t="s">
        <v>54237</v>
      </c>
      <c t="s">
        <v>41593</v>
      </c>
      <c t="s">
        <v>65059</v>
      </c>
      <c t="s">
        <v>39289</v>
      </c>
      <c>
        <v>33908</v>
      </c>
      <c t="s">
        <v>3867</v>
      </c>
      <c t="s">
        <v>48794</v>
      </c>
      <c t="s">
        <v>5669</v>
      </c>
      <c>
        <v>64</v>
      </c>
      <c r="AI3359" t="s">
        <v>3892</v>
      </c>
      <c r="AL3359" t="s">
        <v>17941</v>
      </c>
      <c t="s">
        <v>2407</v>
      </c>
      <c t="s">
        <v>63985</v>
      </c>
      <c>
        <v>60599</v>
      </c>
      <c r="AQ3359" t="s">
        <v>3093</v>
      </c>
      <c t="s">
        <v>62993</v>
      </c>
      <c>
        <v>1959</v>
      </c>
    </row>
    <row>
      <c t="s">
        <v>17594</v>
      </c>
      <c t="s">
        <v>12353</v>
      </c>
      <c t="s">
        <v>6833</v>
      </c>
      <c t="s">
        <v>27422</v>
      </c>
      <c t="s">
        <v>57096</v>
      </c>
      <c s="3">
        <v>10000</v>
      </c>
      <c s="3">
        <v>10000</v>
      </c>
      <c s="3">
        <v>5856</v>
      </c>
      <c>
        <v>0</v>
      </c>
      <c s="3">
        <v>0</v>
      </c>
      <c s="3">
        <v>124.41</v>
      </c>
      <c s="3">
        <v>10000</v>
      </c>
      <c r="O3360" s="1" t="str">
        <f ca="1">HYPERLINK("https://web.datatree.com/?/property?propertyId=33255518", "https://web.datatree.com/?/property?propertyId=33255518")</f>
        <v>https://web.datatree.com/?/property?propertyId=33255518</v>
      </c>
      <c r="Q3360" t="s">
        <v>316</v>
      </c>
      <c>
        <v>0.242</v>
      </c>
      <c t="s">
        <v>66399</v>
      </c>
      <c t="s">
        <v>47960</v>
      </c>
      <c t="s">
        <v>4930</v>
      </c>
      <c t="s">
        <v>27219</v>
      </c>
      <c t="s">
        <v>9381</v>
      </c>
      <c t="s">
        <v>13277</v>
      </c>
      <c t="s">
        <v>18439</v>
      </c>
      <c t="s">
        <v>65059</v>
      </c>
      <c t="s">
        <v>39289</v>
      </c>
      <c>
        <v>33905</v>
      </c>
      <c t="s">
        <v>34859</v>
      </c>
      <c t="s">
        <v>48794</v>
      </c>
      <c t="s">
        <v>52955</v>
      </c>
      <c>
        <v>1070</v>
      </c>
      <c r="AH3360" t="s">
        <v>26580</v>
      </c>
      <c t="s">
        <v>17022</v>
      </c>
      <c t="s">
        <v>39321</v>
      </c>
      <c r="AL3360" t="s">
        <v>11713</v>
      </c>
      <c r="AN3360" t="s">
        <v>39289</v>
      </c>
      <c t="s">
        <v>60957</v>
      </c>
      <c t="s">
        <v>25140</v>
      </c>
      <c t="s">
        <v>3093</v>
      </c>
      <c t="s">
        <v>16726</v>
      </c>
    </row>
    <row>
      <c t="s">
        <v>17594</v>
      </c>
      <c t="s">
        <v>19897</v>
      </c>
      <c t="s">
        <v>29990</v>
      </c>
      <c t="s">
        <v>56246</v>
      </c>
      <c t="s">
        <v>44068</v>
      </c>
      <c s="3">
        <v>4692</v>
      </c>
      <c s="3">
        <v>4692</v>
      </c>
      <c s="3">
        <v>4692</v>
      </c>
      <c>
        <v>0</v>
      </c>
      <c s="3">
        <v>0</v>
      </c>
      <c s="3">
        <v>369.2</v>
      </c>
      <c s="3">
        <v>4692</v>
      </c>
      <c r="O3361" s="1" t="str">
        <f ca="1">HYPERLINK("https://web.datatree.com/?/property?propertyId=33256849", "https://web.datatree.com/?/property?propertyId=33256849")</f>
        <v>https://web.datatree.com/?/property?propertyId=33256849</v>
      </c>
      <c r="Q3361" t="s">
        <v>316</v>
      </c>
      <c>
        <v>0.131</v>
      </c>
      <c t="s">
        <v>23582</v>
      </c>
      <c t="s">
        <v>51338</v>
      </c>
      <c t="s">
        <v>45445</v>
      </c>
      <c r="X3361" t="s">
        <v>36165</v>
      </c>
      <c t="s">
        <v>50751</v>
      </c>
      <c t="s">
        <v>65059</v>
      </c>
      <c t="s">
        <v>39289</v>
      </c>
      <c>
        <v>33905</v>
      </c>
      <c t="s">
        <v>4657</v>
      </c>
      <c t="s">
        <v>48794</v>
      </c>
      <c t="s">
        <v>64473</v>
      </c>
      <c>
        <v>4409</v>
      </c>
      <c r="AI3361" t="s">
        <v>54238</v>
      </c>
      <c t="s">
        <v>45620</v>
      </c>
      <c r="AL3361" t="s">
        <v>968</v>
      </c>
      <c r="AN3361" t="s">
        <v>39289</v>
      </c>
      <c t="s">
        <v>61434</v>
      </c>
      <c t="s">
        <v>6262</v>
      </c>
      <c t="s">
        <v>3093</v>
      </c>
      <c t="s">
        <v>2829</v>
      </c>
    </row>
    <row>
      <c t="s">
        <v>17594</v>
      </c>
      <c t="s">
        <v>3457</v>
      </c>
      <c t="s">
        <v>2658</v>
      </c>
      <c t="s">
        <v>38370</v>
      </c>
      <c t="s">
        <v>48334</v>
      </c>
      <c s="3">
        <v>20472</v>
      </c>
      <c s="3">
        <v>20472</v>
      </c>
      <c s="3">
        <v>9130</v>
      </c>
      <c>
        <v>0</v>
      </c>
      <c s="3">
        <v>0</v>
      </c>
      <c s="3">
        <v>611.34</v>
      </c>
      <c s="3">
        <v>20472</v>
      </c>
      <c r="O3362" s="1" t="str">
        <f ca="1">HYPERLINK("https://web.datatree.com/?/property?propertyId=33257152", "https://web.datatree.com/?/property?propertyId=33257152")</f>
        <v>https://web.datatree.com/?/property?propertyId=33257152</v>
      </c>
      <c r="Q3362" t="s">
        <v>316</v>
      </c>
      <c>
        <v>0.271</v>
      </c>
      <c t="s">
        <v>45031</v>
      </c>
      <c t="s">
        <v>25238</v>
      </c>
      <c t="s">
        <v>30823</v>
      </c>
      <c r="X3362" t="s">
        <v>1211</v>
      </c>
      <c t="s">
        <v>10653</v>
      </c>
      <c t="s">
        <v>2517</v>
      </c>
      <c t="s">
        <v>39289</v>
      </c>
      <c>
        <v>33909</v>
      </c>
      <c>
        <v>33909</v>
      </c>
      <c t="s">
        <v>48794</v>
      </c>
      <c t="s">
        <v>4875</v>
      </c>
      <c>
        <v>92</v>
      </c>
      <c r="AI3362" t="s">
        <v>32447</v>
      </c>
      <c t="s">
        <v>45620</v>
      </c>
      <c r="AL3362" t="s">
        <v>63092</v>
      </c>
      <c r="AN3362" t="s">
        <v>7234</v>
      </c>
      <c>
        <v>0</v>
      </c>
      <c r="AR3362" t="s">
        <v>22315</v>
      </c>
    </row>
    <row>
      <c t="s">
        <v>17594</v>
      </c>
      <c t="s">
        <v>17754</v>
      </c>
      <c t="s">
        <v>19378</v>
      </c>
      <c t="s">
        <v>22432</v>
      </c>
      <c t="s">
        <v>49280</v>
      </c>
      <c s="3">
        <v>20472</v>
      </c>
      <c s="3">
        <v>20472</v>
      </c>
      <c s="3">
        <v>9130</v>
      </c>
      <c>
        <v>0</v>
      </c>
      <c s="3">
        <v>0</v>
      </c>
      <c s="3">
        <v>585.72</v>
      </c>
      <c s="3">
        <v>20472</v>
      </c>
      <c r="O3363" s="1" t="str">
        <f ca="1">HYPERLINK("https://web.datatree.com/?/property?propertyId=33257329", "https://web.datatree.com/?/property?propertyId=33257329")</f>
        <v>https://web.datatree.com/?/property?propertyId=33257329</v>
      </c>
      <c r="Q3363" t="s">
        <v>316</v>
      </c>
      <c>
        <v>0.237</v>
      </c>
      <c t="s">
        <v>45031</v>
      </c>
      <c t="s">
        <v>54863</v>
      </c>
      <c t="s">
        <v>60421</v>
      </c>
      <c t="s">
        <v>17420</v>
      </c>
      <c t="s">
        <v>60421</v>
      </c>
      <c t="s">
        <v>28660</v>
      </c>
      <c t="s">
        <v>22731</v>
      </c>
      <c t="s">
        <v>2517</v>
      </c>
      <c t="s">
        <v>39289</v>
      </c>
      <c>
        <v>33909</v>
      </c>
      <c t="s">
        <v>45364</v>
      </c>
      <c t="s">
        <v>48794</v>
      </c>
      <c t="s">
        <v>34724</v>
      </c>
      <c>
        <v>5583</v>
      </c>
      <c r="AI3363" t="s">
        <v>38623</v>
      </c>
      <c t="s">
        <v>20615</v>
      </c>
      <c r="AL3363" t="s">
        <v>49306</v>
      </c>
      <c r="AN3363" t="s">
        <v>65451</v>
      </c>
      <c t="s">
        <v>42058</v>
      </c>
      <c t="s">
        <v>24707</v>
      </c>
      <c t="s">
        <v>3093</v>
      </c>
      <c t="s">
        <v>28627</v>
      </c>
    </row>
    <row>
      <c t="s">
        <v>17594</v>
      </c>
      <c t="s">
        <v>39542</v>
      </c>
      <c t="s">
        <v>57271</v>
      </c>
      <c t="s">
        <v>26722</v>
      </c>
      <c t="s">
        <v>31520</v>
      </c>
      <c s="3">
        <v>39960</v>
      </c>
      <c s="3">
        <v>39960</v>
      </c>
      <c s="3">
        <v>28551</v>
      </c>
      <c>
        <v>0</v>
      </c>
      <c s="3">
        <v>0</v>
      </c>
      <c s="3">
        <v>460.06</v>
      </c>
      <c s="3">
        <v>39960</v>
      </c>
      <c r="O3364" s="1" t="str">
        <f ca="1">HYPERLINK("https://web.datatree.com/?/property?propertyId=33258224", "https://web.datatree.com/?/property?propertyId=33258224")</f>
        <v>https://web.datatree.com/?/property?propertyId=33258224</v>
      </c>
      <c r="Q3364" t="s">
        <v>316</v>
      </c>
      <c>
        <v>0.041</v>
      </c>
      <c t="s">
        <v>45526</v>
      </c>
      <c t="s">
        <v>64318</v>
      </c>
      <c t="s">
        <v>15295</v>
      </c>
      <c t="s">
        <v>42212</v>
      </c>
      <c t="s">
        <v>64779</v>
      </c>
      <c t="s">
        <v>987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61786</v>
      </c>
      <c>
        <v>495</v>
      </c>
      <c r="AI3364" t="s">
        <v>54706</v>
      </c>
      <c r="AL3364" t="s">
        <v>48545</v>
      </c>
      <c r="AN3364" t="s">
        <v>26016</v>
      </c>
      <c t="s">
        <v>8918</v>
      </c>
      <c t="s">
        <v>52247</v>
      </c>
      <c t="s">
        <v>3093</v>
      </c>
      <c t="s">
        <v>66339</v>
      </c>
    </row>
    <row>
      <c t="s">
        <v>17594</v>
      </c>
      <c t="s">
        <v>50535</v>
      </c>
      <c t="s">
        <v>23433</v>
      </c>
      <c t="s">
        <v>64837</v>
      </c>
      <c t="s">
        <v>45224</v>
      </c>
      <c s="3">
        <v>43920</v>
      </c>
      <c s="3">
        <v>43920</v>
      </c>
      <c s="3">
        <v>43920</v>
      </c>
      <c>
        <v>0</v>
      </c>
      <c s="3">
        <v>0</v>
      </c>
      <c s="3">
        <v>619.78</v>
      </c>
      <c s="3">
        <v>43920</v>
      </c>
      <c r="O3365" s="1" t="str">
        <f ca="1">HYPERLINK("https://web.datatree.com/?/property?propertyId=33258714", "https://web.datatree.com/?/property?propertyId=33258714")</f>
        <v>https://web.datatree.com/?/property?propertyId=33258714</v>
      </c>
      <c r="Q3365" t="s">
        <v>316</v>
      </c>
      <c>
        <v>0.132</v>
      </c>
      <c t="s">
        <v>5471</v>
      </c>
      <c t="s">
        <v>63817</v>
      </c>
      <c t="s">
        <v>44510</v>
      </c>
      <c r="X3365" t="s">
        <v>9110</v>
      </c>
      <c t="s">
        <v>9764</v>
      </c>
      <c t="s">
        <v>65059</v>
      </c>
      <c t="s">
        <v>39289</v>
      </c>
      <c>
        <v>33905</v>
      </c>
      <c t="s">
        <v>62165</v>
      </c>
      <c t="s">
        <v>48794</v>
      </c>
      <c t="s">
        <v>7419</v>
      </c>
      <c>
        <v>8816</v>
      </c>
      <c r="AI3365" t="s">
        <v>4489</v>
      </c>
      <c t="s">
        <v>45620</v>
      </c>
      <c r="AL3365" t="s">
        <v>53011</v>
      </c>
      <c r="AN3365" t="s">
        <v>19878</v>
      </c>
      <c t="s">
        <v>37474</v>
      </c>
      <c t="s">
        <v>14695</v>
      </c>
      <c t="s">
        <v>3093</v>
      </c>
      <c t="s">
        <v>5172</v>
      </c>
    </row>
    <row>
      <c t="s">
        <v>17594</v>
      </c>
      <c t="s">
        <v>33690</v>
      </c>
      <c t="s">
        <v>5141</v>
      </c>
      <c t="s">
        <v>36018</v>
      </c>
      <c t="s">
        <v>854</v>
      </c>
      <c s="3">
        <v>49760</v>
      </c>
      <c s="3">
        <v>49760</v>
      </c>
      <c s="3">
        <v>29710</v>
      </c>
      <c>
        <v>0</v>
      </c>
      <c s="3">
        <v>0</v>
      </c>
      <c s="3">
        <v>968.43</v>
      </c>
      <c s="3">
        <v>49760</v>
      </c>
      <c r="O3366" s="1" t="str">
        <f ca="1">HYPERLINK("https://web.datatree.com/?/property?propertyId=33259015", "https://web.datatree.com/?/property?propertyId=33259015")</f>
        <v>https://web.datatree.com/?/property?propertyId=33259015</v>
      </c>
      <c r="Q3366" t="s">
        <v>316</v>
      </c>
      <c>
        <v>0.23</v>
      </c>
      <c t="s">
        <v>22490</v>
      </c>
      <c t="s">
        <v>47872</v>
      </c>
      <c t="s">
        <v>54588</v>
      </c>
      <c r="X3366" t="s">
        <v>56702</v>
      </c>
      <c t="s">
        <v>30928</v>
      </c>
      <c t="s">
        <v>2517</v>
      </c>
      <c t="s">
        <v>39289</v>
      </c>
      <c>
        <v>33909</v>
      </c>
      <c t="s">
        <v>7633</v>
      </c>
      <c t="s">
        <v>48794</v>
      </c>
      <c t="s">
        <v>2994</v>
      </c>
      <c>
        <v>100</v>
      </c>
      <c r="AI3366" t="s">
        <v>2864</v>
      </c>
      <c t="s">
        <v>24900</v>
      </c>
      <c r="AL3366" t="s">
        <v>13772</v>
      </c>
      <c r="AN3366" t="s">
        <v>58733</v>
      </c>
      <c t="s">
        <v>8438</v>
      </c>
      <c t="s">
        <v>54925</v>
      </c>
      <c t="s">
        <v>3093</v>
      </c>
      <c t="s">
        <v>21256</v>
      </c>
    </row>
    <row>
      <c t="s">
        <v>17594</v>
      </c>
      <c t="s">
        <v>56538</v>
      </c>
      <c t="s">
        <v>49423</v>
      </c>
      <c t="s">
        <v>57295</v>
      </c>
      <c t="s">
        <v>6381</v>
      </c>
      <c s="3">
        <v>31563</v>
      </c>
      <c s="3">
        <v>29068</v>
      </c>
      <c s="3">
        <v>31345</v>
      </c>
      <c>
        <v>0</v>
      </c>
      <c s="3">
        <v>0</v>
      </c>
      <c s="3">
        <v>430.16</v>
      </c>
      <c s="3">
        <v>31563</v>
      </c>
      <c r="O3367" s="1" t="str">
        <f ca="1">HYPERLINK("https://web.datatree.com/?/property?propertyId=33260083", "https://web.datatree.com/?/property?propertyId=33260083")</f>
        <v>https://web.datatree.com/?/property?propertyId=33260083</v>
      </c>
      <c r="Q3367" t="s">
        <v>316</v>
      </c>
      <c>
        <v>0.039</v>
      </c>
      <c t="s">
        <v>54329</v>
      </c>
      <c t="s">
        <v>40759</v>
      </c>
      <c t="s">
        <v>57286</v>
      </c>
      <c r="X3367" t="s">
        <v>2251</v>
      </c>
      <c t="s">
        <v>66072</v>
      </c>
      <c t="s">
        <v>65059</v>
      </c>
      <c t="s">
        <v>39289</v>
      </c>
      <c>
        <v>33908</v>
      </c>
      <c t="s">
        <v>31147</v>
      </c>
      <c t="s">
        <v>48794</v>
      </c>
      <c t="s">
        <v>48209</v>
      </c>
      <c>
        <v>986</v>
      </c>
      <c r="AI3367" t="s">
        <v>38774</v>
      </c>
      <c t="s">
        <v>45393</v>
      </c>
      <c r="AL3367" t="s">
        <v>20838</v>
      </c>
      <c t="s">
        <v>53482</v>
      </c>
      <c t="s">
        <v>19878</v>
      </c>
      <c t="s">
        <v>22047</v>
      </c>
      <c t="s">
        <v>34162</v>
      </c>
      <c t="s">
        <v>3093</v>
      </c>
      <c t="s">
        <v>12392</v>
      </c>
    </row>
    <row>
      <c t="s">
        <v>17594</v>
      </c>
      <c t="s">
        <v>42460</v>
      </c>
      <c t="s">
        <v>37224</v>
      </c>
      <c t="s">
        <v>18570</v>
      </c>
      <c t="s">
        <v>60238</v>
      </c>
      <c s="3">
        <v>279792</v>
      </c>
      <c s="3">
        <v>279792</v>
      </c>
      <c s="3">
        <v>279792</v>
      </c>
      <c>
        <v>0</v>
      </c>
      <c s="3">
        <v>0</v>
      </c>
      <c s="3">
        <v>4188.98</v>
      </c>
      <c s="3">
        <v>279792</v>
      </c>
      <c r="O3368" s="1" t="str">
        <f ca="1">HYPERLINK("https://web.datatree.com/?/property?propertyId=33260153", "https://web.datatree.com/?/property?propertyId=33260153")</f>
        <v>https://web.datatree.com/?/property?propertyId=33260153</v>
      </c>
      <c r="Q3368" t="s">
        <v>316</v>
      </c>
      <c>
        <v>6.7</v>
      </c>
      <c t="s">
        <v>30497</v>
      </c>
      <c t="s">
        <v>47321</v>
      </c>
      <c t="s">
        <v>54165</v>
      </c>
      <c t="s">
        <v>4868</v>
      </c>
      <c t="s">
        <v>54165</v>
      </c>
      <c t="s">
        <v>56725</v>
      </c>
      <c t="s">
        <v>18019</v>
      </c>
      <c t="s">
        <v>65059</v>
      </c>
      <c t="s">
        <v>39289</v>
      </c>
      <c>
        <v>33905</v>
      </c>
      <c t="s">
        <v>2429</v>
      </c>
      <c t="s">
        <v>48794</v>
      </c>
      <c t="s">
        <v>30940</v>
      </c>
      <c>
        <v>404</v>
      </c>
      <c r="AI3368" t="s">
        <v>64555</v>
      </c>
      <c t="s">
        <v>40123</v>
      </c>
      <c r="AL3368" t="s">
        <v>54041</v>
      </c>
      <c t="s">
        <v>54041</v>
      </c>
      <c t="s">
        <v>19878</v>
      </c>
      <c t="s">
        <v>59844</v>
      </c>
      <c t="s">
        <v>41776</v>
      </c>
      <c t="s">
        <v>3093</v>
      </c>
      <c t="s">
        <v>37169</v>
      </c>
    </row>
    <row>
      <c t="s">
        <v>17594</v>
      </c>
      <c t="s">
        <v>8652</v>
      </c>
      <c t="s">
        <v>1321</v>
      </c>
      <c t="s">
        <v>4604</v>
      </c>
      <c t="s">
        <v>16040</v>
      </c>
      <c s="3">
        <v>46344</v>
      </c>
      <c s="3">
        <v>46344</v>
      </c>
      <c s="3">
        <v>12401</v>
      </c>
      <c>
        <v>0</v>
      </c>
      <c s="3">
        <v>0</v>
      </c>
      <c s="3">
        <v>950.66</v>
      </c>
      <c s="3">
        <v>46344</v>
      </c>
      <c r="O3369" s="1" t="str">
        <f ca="1">HYPERLINK("https://web.datatree.com/?/property?propertyId=33260228", "https://web.datatree.com/?/property?propertyId=33260228")</f>
        <v>https://web.datatree.com/?/property?propertyId=33260228</v>
      </c>
      <c r="Q3369" t="s">
        <v>316</v>
      </c>
      <c>
        <v>0.23</v>
      </c>
      <c t="s">
        <v>65422</v>
      </c>
      <c r="U3369" t="s">
        <v>855</v>
      </c>
      <c t="s">
        <v>53351</v>
      </c>
      <c t="s">
        <v>57654</v>
      </c>
      <c t="s">
        <v>60880</v>
      </c>
      <c t="s">
        <v>8669</v>
      </c>
      <c t="s">
        <v>2517</v>
      </c>
      <c t="s">
        <v>39289</v>
      </c>
      <c>
        <v>33909</v>
      </c>
      <c t="s">
        <v>51913</v>
      </c>
      <c t="s">
        <v>48794</v>
      </c>
      <c t="s">
        <v>61641</v>
      </c>
      <c>
        <v>6900</v>
      </c>
      <c r="AI3369" t="s">
        <v>42233</v>
      </c>
      <c t="s">
        <v>31192</v>
      </c>
      <c>
        <v>603</v>
      </c>
      <c t="s">
        <v>38297</v>
      </c>
      <c r="AN3369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36998</v>
      </c>
      <c t="s">
        <v>57779</v>
      </c>
      <c t="s">
        <v>1041</v>
      </c>
      <c t="s">
        <v>35516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370" s="1" t="str">
        <f ca="1">HYPERLINK("https://web.datatree.com/?/property?propertyId=33260336", "https://web.datatree.com/?/property?propertyId=33260336")</f>
        <v>https://web.datatree.com/?/property?propertyId=33260336</v>
      </c>
      <c r="Q3370" t="s">
        <v>316</v>
      </c>
      <c>
        <v>0.23</v>
      </c>
      <c t="s">
        <v>6175</v>
      </c>
      <c t="s">
        <v>66704</v>
      </c>
      <c t="s">
        <v>40690</v>
      </c>
      <c r="X3370" t="s">
        <v>46393</v>
      </c>
      <c t="s">
        <v>18679</v>
      </c>
      <c t="s">
        <v>2517</v>
      </c>
      <c t="s">
        <v>39289</v>
      </c>
      <c>
        <v>33909</v>
      </c>
      <c t="s">
        <v>53386</v>
      </c>
      <c t="s">
        <v>48794</v>
      </c>
      <c t="s">
        <v>35484</v>
      </c>
      <c>
        <v>261</v>
      </c>
      <c r="AI3370" t="s">
        <v>48388</v>
      </c>
      <c t="s">
        <v>24900</v>
      </c>
      <c r="AL3370" t="s">
        <v>50983</v>
      </c>
      <c r="AN3370" t="s">
        <v>50917</v>
      </c>
      <c t="s">
        <v>44297</v>
      </c>
      <c t="s">
        <v>34162</v>
      </c>
      <c t="s">
        <v>3093</v>
      </c>
      <c t="s">
        <v>35016</v>
      </c>
    </row>
    <row>
      <c t="s">
        <v>17594</v>
      </c>
      <c t="s">
        <v>53928</v>
      </c>
      <c t="s">
        <v>33083</v>
      </c>
      <c t="s">
        <v>31701</v>
      </c>
      <c t="s">
        <v>34569</v>
      </c>
      <c s="3">
        <v>18361</v>
      </c>
      <c s="3">
        <v>18361</v>
      </c>
      <c s="3">
        <v>9339</v>
      </c>
      <c>
        <v>0</v>
      </c>
      <c s="3">
        <v>0</v>
      </c>
      <c s="3">
        <v>575.99</v>
      </c>
      <c s="3">
        <v>18361</v>
      </c>
      <c r="O3371" s="1" t="str">
        <f ca="1">HYPERLINK("https://web.datatree.com/?/property?propertyId=33260640", "https://web.datatree.com/?/property?propertyId=33260640")</f>
        <v>https://web.datatree.com/?/property?propertyId=33260640</v>
      </c>
      <c r="Q3371" t="s">
        <v>316</v>
      </c>
      <c>
        <v>0.23</v>
      </c>
      <c t="s">
        <v>6175</v>
      </c>
      <c t="s">
        <v>33168</v>
      </c>
      <c t="s">
        <v>8803</v>
      </c>
      <c r="X3371" t="s">
        <v>25587</v>
      </c>
      <c t="s">
        <v>39082</v>
      </c>
      <c t="s">
        <v>2517</v>
      </c>
      <c t="s">
        <v>39289</v>
      </c>
      <c>
        <v>33909</v>
      </c>
      <c t="s">
        <v>31062</v>
      </c>
      <c t="s">
        <v>48794</v>
      </c>
      <c t="s">
        <v>22931</v>
      </c>
      <c>
        <v>35</v>
      </c>
      <c r="AI3371" t="s">
        <v>24804</v>
      </c>
      <c t="s">
        <v>55842</v>
      </c>
      <c r="AL3371" t="s">
        <v>19948</v>
      </c>
      <c r="AN3371" t="s">
        <v>50917</v>
      </c>
      <c t="s">
        <v>24442</v>
      </c>
      <c t="s">
        <v>61410</v>
      </c>
      <c t="s">
        <v>3093</v>
      </c>
      <c t="s">
        <v>18483</v>
      </c>
    </row>
    <row>
      <c t="s">
        <v>17594</v>
      </c>
      <c t="s">
        <v>48554</v>
      </c>
      <c t="s">
        <v>66557</v>
      </c>
      <c t="s">
        <v>61563</v>
      </c>
      <c t="s">
        <v>4776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3372" s="1" t="str">
        <f ca="1">HYPERLINK("https://web.datatree.com/?/property?propertyId=33260927", "https://web.datatree.com/?/property?propertyId=33260927")</f>
        <v>https://web.datatree.com/?/property?propertyId=33260927</v>
      </c>
      <c r="Q3372" t="s">
        <v>316</v>
      </c>
      <c>
        <v>0.23</v>
      </c>
      <c t="s">
        <v>6175</v>
      </c>
      <c r="U3372" t="s">
        <v>25745</v>
      </c>
      <c r="W3372" t="s">
        <v>15984</v>
      </c>
      <c t="s">
        <v>37962</v>
      </c>
      <c t="s">
        <v>14534</v>
      </c>
      <c t="s">
        <v>2517</v>
      </c>
      <c t="s">
        <v>39289</v>
      </c>
      <c>
        <v>33909</v>
      </c>
      <c t="s">
        <v>33438</v>
      </c>
      <c t="s">
        <v>48794</v>
      </c>
      <c t="s">
        <v>9066</v>
      </c>
      <c>
        <v>215</v>
      </c>
      <c r="AI3372" t="s">
        <v>59765</v>
      </c>
      <c t="s">
        <v>40123</v>
      </c>
      <c r="AL3372" t="s">
        <v>16471</v>
      </c>
      <c r="AN3372" t="s">
        <v>65467</v>
      </c>
      <c t="s">
        <v>60709</v>
      </c>
      <c t="s">
        <v>44843</v>
      </c>
      <c t="s">
        <v>3093</v>
      </c>
      <c t="s">
        <v>4469</v>
      </c>
    </row>
    <row>
      <c t="s">
        <v>17594</v>
      </c>
      <c t="s">
        <v>27098</v>
      </c>
      <c t="s">
        <v>53625</v>
      </c>
      <c t="s">
        <v>43628</v>
      </c>
      <c t="s">
        <v>45901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3373" s="1" t="str">
        <f ca="1">HYPERLINK("https://web.datatree.com/?/property?propertyId=33261079", "https://web.datatree.com/?/property?propertyId=33261079")</f>
        <v>https://web.datatree.com/?/property?propertyId=33261079</v>
      </c>
      <c r="Q3373" t="s">
        <v>316</v>
      </c>
      <c>
        <v>0.23</v>
      </c>
      <c t="s">
        <v>22490</v>
      </c>
      <c t="s">
        <v>38259</v>
      </c>
      <c t="s">
        <v>62086</v>
      </c>
      <c r="X3373" t="s">
        <v>56307</v>
      </c>
      <c t="s">
        <v>66701</v>
      </c>
      <c t="s">
        <v>2517</v>
      </c>
      <c t="s">
        <v>39289</v>
      </c>
      <c>
        <v>33909</v>
      </c>
      <c t="s">
        <v>3538</v>
      </c>
      <c t="s">
        <v>48794</v>
      </c>
      <c t="s">
        <v>38772</v>
      </c>
      <c>
        <v>9320</v>
      </c>
      <c r="AI3373" t="s">
        <v>24999</v>
      </c>
      <c t="s">
        <v>50321</v>
      </c>
      <c r="AL3373" t="s">
        <v>65608</v>
      </c>
      <c r="AN3373" t="s">
        <v>39289</v>
      </c>
      <c t="s">
        <v>18495</v>
      </c>
      <c t="s">
        <v>62830</v>
      </c>
      <c t="s">
        <v>3093</v>
      </c>
      <c t="s">
        <v>40762</v>
      </c>
    </row>
    <row>
      <c t="s">
        <v>17594</v>
      </c>
      <c t="s">
        <v>61433</v>
      </c>
      <c t="s">
        <v>35731</v>
      </c>
      <c t="s">
        <v>46658</v>
      </c>
      <c t="s">
        <v>58956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374" s="1" t="str">
        <f ca="1">HYPERLINK("https://web.datatree.com/?/property?propertyId=33261172", "https://web.datatree.com/?/property?propertyId=33261172")</f>
        <v>https://web.datatree.com/?/property?propertyId=33261172</v>
      </c>
      <c r="Q3374" t="s">
        <v>316</v>
      </c>
      <c>
        <v>0.23</v>
      </c>
      <c t="s">
        <v>16350</v>
      </c>
      <c t="s">
        <v>37244</v>
      </c>
      <c t="s">
        <v>24606</v>
      </c>
      <c r="X3374" t="s">
        <v>40241</v>
      </c>
      <c t="s">
        <v>38550</v>
      </c>
      <c t="s">
        <v>2517</v>
      </c>
      <c t="s">
        <v>39289</v>
      </c>
      <c>
        <v>33909</v>
      </c>
      <c t="s">
        <v>49185</v>
      </c>
      <c t="s">
        <v>48794</v>
      </c>
      <c t="s">
        <v>27719</v>
      </c>
      <c>
        <v>585</v>
      </c>
      <c r="AI3374" t="s">
        <v>39386</v>
      </c>
      <c t="s">
        <v>40123</v>
      </c>
      <c r="AL3374" t="s">
        <v>32980</v>
      </c>
      <c t="s">
        <v>32980</v>
      </c>
      <c t="s">
        <v>19878</v>
      </c>
      <c t="s">
        <v>62193</v>
      </c>
      <c t="s">
        <v>32746</v>
      </c>
      <c t="s">
        <v>3093</v>
      </c>
      <c t="s">
        <v>33957</v>
      </c>
    </row>
    <row>
      <c t="s">
        <v>17594</v>
      </c>
      <c t="s">
        <v>30939</v>
      </c>
      <c t="s">
        <v>39970</v>
      </c>
      <c t="s">
        <v>17202</v>
      </c>
      <c t="s">
        <v>60591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375" s="1" t="str">
        <f ca="1">HYPERLINK("https://web.datatree.com/?/property?propertyId=33261303", "https://web.datatree.com/?/property?propertyId=33261303")</f>
        <v>https://web.datatree.com/?/property?propertyId=33261303</v>
      </c>
      <c r="Q3375" t="s">
        <v>316</v>
      </c>
      <c>
        <v>0.23</v>
      </c>
      <c t="s">
        <v>45031</v>
      </c>
      <c t="s">
        <v>5944</v>
      </c>
      <c t="s">
        <v>64815</v>
      </c>
      <c r="X3375" t="s">
        <v>19726</v>
      </c>
      <c t="s">
        <v>46469</v>
      </c>
      <c t="s">
        <v>2517</v>
      </c>
      <c t="s">
        <v>39289</v>
      </c>
      <c>
        <v>33909</v>
      </c>
      <c t="s">
        <v>27796</v>
      </c>
      <c t="s">
        <v>48794</v>
      </c>
      <c t="s">
        <v>49137</v>
      </c>
      <c>
        <v>35</v>
      </c>
      <c r="AI3375" t="s">
        <v>22559</v>
      </c>
      <c r="AL3375" t="s">
        <v>47578</v>
      </c>
      <c r="AN3375" t="s">
        <v>32840</v>
      </c>
      <c r="AR3375" t="s">
        <v>54594</v>
      </c>
    </row>
    <row>
      <c t="s">
        <v>17594</v>
      </c>
      <c t="s">
        <v>19413</v>
      </c>
      <c t="s">
        <v>59290</v>
      </c>
      <c t="s">
        <v>42340</v>
      </c>
      <c t="s">
        <v>29003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3376" s="1" t="str">
        <f ca="1">HYPERLINK("https://web.datatree.com/?/property?propertyId=33262065", "https://web.datatree.com/?/property?propertyId=33262065")</f>
        <v>https://web.datatree.com/?/property?propertyId=33262065</v>
      </c>
      <c r="Q3376" t="s">
        <v>316</v>
      </c>
      <c>
        <v>0.23</v>
      </c>
      <c t="s">
        <v>22490</v>
      </c>
      <c r="U3376" t="s">
        <v>35010</v>
      </c>
      <c t="s">
        <v>58272</v>
      </c>
      <c t="s">
        <v>38143</v>
      </c>
      <c t="s">
        <v>4308</v>
      </c>
      <c t="s">
        <v>53675</v>
      </c>
      <c t="s">
        <v>2517</v>
      </c>
      <c t="s">
        <v>39289</v>
      </c>
      <c>
        <v>33909</v>
      </c>
      <c t="s">
        <v>262</v>
      </c>
      <c t="s">
        <v>48794</v>
      </c>
      <c t="s">
        <v>38810</v>
      </c>
      <c>
        <v>1430</v>
      </c>
      <c r="AI3376" t="s">
        <v>35712</v>
      </c>
      <c t="s">
        <v>41372</v>
      </c>
      <c t="s">
        <v>25384</v>
      </c>
      <c t="s">
        <v>29515</v>
      </c>
      <c t="s">
        <v>29515</v>
      </c>
      <c t="s">
        <v>39289</v>
      </c>
      <c t="s">
        <v>44781</v>
      </c>
      <c t="s">
        <v>43446</v>
      </c>
      <c t="s">
        <v>3093</v>
      </c>
      <c t="s">
        <v>31411</v>
      </c>
    </row>
    <row>
      <c t="s">
        <v>17594</v>
      </c>
      <c t="s">
        <v>57420</v>
      </c>
      <c t="s">
        <v>36734</v>
      </c>
      <c t="s">
        <v>708</v>
      </c>
      <c t="s">
        <v>22086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3377" s="1" t="str">
        <f ca="1">HYPERLINK("https://web.datatree.com/?/property?propertyId=33262496", "https://web.datatree.com/?/property?propertyId=33262496")</f>
        <v>https://web.datatree.com/?/property?propertyId=33262496</v>
      </c>
      <c r="Q3377" t="s">
        <v>316</v>
      </c>
      <c>
        <v>0.23</v>
      </c>
      <c t="s">
        <v>6175</v>
      </c>
      <c t="s">
        <v>1575</v>
      </c>
      <c t="s">
        <v>19249</v>
      </c>
      <c r="X3377" t="s">
        <v>48075</v>
      </c>
      <c t="s">
        <v>13829</v>
      </c>
      <c t="s">
        <v>2517</v>
      </c>
      <c t="s">
        <v>39289</v>
      </c>
      <c>
        <v>33909</v>
      </c>
      <c t="s">
        <v>66196</v>
      </c>
      <c t="s">
        <v>48794</v>
      </c>
      <c t="s">
        <v>36733</v>
      </c>
      <c>
        <v>23756</v>
      </c>
      <c r="AI3377" t="s">
        <v>18302</v>
      </c>
      <c t="s">
        <v>31192</v>
      </c>
      <c r="AL3377" t="s">
        <v>20643</v>
      </c>
      <c r="AN3377" t="s">
        <v>50829</v>
      </c>
      <c t="s">
        <v>55663</v>
      </c>
      <c t="s">
        <v>22152</v>
      </c>
      <c t="s">
        <v>3093</v>
      </c>
      <c t="s">
        <v>30700</v>
      </c>
    </row>
    <row>
      <c t="s">
        <v>17594</v>
      </c>
      <c t="s">
        <v>46038</v>
      </c>
      <c t="s">
        <v>45976</v>
      </c>
      <c t="s">
        <v>4719</v>
      </c>
      <c t="s">
        <v>15581</v>
      </c>
      <c s="3">
        <v>25675</v>
      </c>
      <c s="3">
        <v>25675</v>
      </c>
      <c s="3">
        <v>9599</v>
      </c>
      <c>
        <v>0</v>
      </c>
      <c s="3">
        <v>0</v>
      </c>
      <c s="3">
        <v>709.78</v>
      </c>
      <c s="3">
        <v>25675</v>
      </c>
      <c r="O3378" s="1" t="str">
        <f ca="1">HYPERLINK("https://web.datatree.com/?/property?propertyId=33262503", "https://web.datatree.com/?/property?propertyId=33262503")</f>
        <v>https://web.datatree.com/?/property?propertyId=33262503</v>
      </c>
      <c r="Q3378" t="s">
        <v>316</v>
      </c>
      <c>
        <v>0.344</v>
      </c>
      <c t="s">
        <v>54449</v>
      </c>
      <c t="s">
        <v>52737</v>
      </c>
      <c t="s">
        <v>28897</v>
      </c>
      <c t="s">
        <v>54846</v>
      </c>
      <c t="s">
        <v>20081</v>
      </c>
      <c t="s">
        <v>15503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20461</v>
      </c>
      <c>
        <v>13132</v>
      </c>
      <c r="AI3378" t="s">
        <v>6073</v>
      </c>
      <c t="s">
        <v>39321</v>
      </c>
      <c r="AL3378" t="s">
        <v>55393</v>
      </c>
      <c t="s">
        <v>16890</v>
      </c>
      <c t="s">
        <v>39289</v>
      </c>
      <c t="s">
        <v>31872</v>
      </c>
      <c t="s">
        <v>23611</v>
      </c>
      <c t="s">
        <v>3093</v>
      </c>
      <c t="s">
        <v>17021</v>
      </c>
    </row>
    <row>
      <c t="s">
        <v>17594</v>
      </c>
      <c t="s">
        <v>56505</v>
      </c>
      <c t="s">
        <v>36298</v>
      </c>
      <c t="s">
        <v>11050</v>
      </c>
      <c t="s">
        <v>53185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379" s="1" t="str">
        <f ca="1">HYPERLINK("https://web.datatree.com/?/property?propertyId=33262528", "https://web.datatree.com/?/property?propertyId=33262528")</f>
        <v>https://web.datatree.com/?/property?propertyId=33262528</v>
      </c>
      <c r="Q3379" t="s">
        <v>316</v>
      </c>
      <c>
        <v>0.23</v>
      </c>
      <c t="s">
        <v>22490</v>
      </c>
      <c t="s">
        <v>50331</v>
      </c>
      <c t="s">
        <v>13593</v>
      </c>
      <c r="W3379" t="s">
        <v>855</v>
      </c>
      <c t="s">
        <v>7882</v>
      </c>
      <c t="s">
        <v>49674</v>
      </c>
      <c t="s">
        <v>2517</v>
      </c>
      <c t="s">
        <v>39289</v>
      </c>
      <c>
        <v>33909</v>
      </c>
      <c t="s">
        <v>24637</v>
      </c>
      <c t="s">
        <v>48794</v>
      </c>
      <c t="s">
        <v>49598</v>
      </c>
      <c>
        <v>17322</v>
      </c>
      <c r="AI3379" t="s">
        <v>41493</v>
      </c>
      <c t="s">
        <v>55842</v>
      </c>
      <c r="AL3379" t="s">
        <v>21971</v>
      </c>
      <c t="s">
        <v>21971</v>
      </c>
      <c t="s">
        <v>65451</v>
      </c>
      <c t="s">
        <v>66099</v>
      </c>
      <c t="s">
        <v>51249</v>
      </c>
      <c t="s">
        <v>3093</v>
      </c>
      <c t="s">
        <v>55493</v>
      </c>
    </row>
    <row>
      <c t="s">
        <v>17594</v>
      </c>
      <c t="s">
        <v>49533</v>
      </c>
      <c t="s">
        <v>8402</v>
      </c>
      <c t="s">
        <v>46894</v>
      </c>
      <c t="s">
        <v>33736</v>
      </c>
      <c s="3">
        <v>16932</v>
      </c>
      <c s="3">
        <v>16932</v>
      </c>
      <c s="3">
        <v>8470</v>
      </c>
      <c>
        <v>0</v>
      </c>
      <c s="3">
        <v>0</v>
      </c>
      <c s="3">
        <v>557.43</v>
      </c>
      <c s="3">
        <v>16932</v>
      </c>
      <c r="O3380" s="1" t="str">
        <f ca="1">HYPERLINK("https://web.datatree.com/?/property?propertyId=33263011", "https://web.datatree.com/?/property?propertyId=33263011")</f>
        <v>https://web.datatree.com/?/property?propertyId=33263011</v>
      </c>
      <c r="Q3380" t="s">
        <v>316</v>
      </c>
      <c>
        <v>0.239</v>
      </c>
      <c t="s">
        <v>6175</v>
      </c>
      <c t="s">
        <v>53608</v>
      </c>
      <c t="s">
        <v>10208</v>
      </c>
      <c t="s">
        <v>64322</v>
      </c>
      <c t="s">
        <v>10208</v>
      </c>
      <c t="s">
        <v>59953</v>
      </c>
      <c t="s">
        <v>22731</v>
      </c>
      <c t="s">
        <v>2517</v>
      </c>
      <c t="s">
        <v>39289</v>
      </c>
      <c>
        <v>33909</v>
      </c>
      <c t="s">
        <v>3575</v>
      </c>
      <c t="s">
        <v>48794</v>
      </c>
      <c t="s">
        <v>45943</v>
      </c>
      <c>
        <v>52</v>
      </c>
      <c r="AI3380" t="s">
        <v>32018</v>
      </c>
      <c t="s">
        <v>45620</v>
      </c>
      <c r="AL3380" t="s">
        <v>63791</v>
      </c>
      <c r="AN3380" t="s">
        <v>14509</v>
      </c>
      <c t="s">
        <v>65253</v>
      </c>
      <c t="s">
        <v>14695</v>
      </c>
      <c t="s">
        <v>3093</v>
      </c>
      <c t="s">
        <v>9135</v>
      </c>
    </row>
    <row>
      <c t="s">
        <v>17594</v>
      </c>
      <c t="s">
        <v>3685</v>
      </c>
      <c t="s">
        <v>5920</v>
      </c>
      <c t="s">
        <v>638</v>
      </c>
      <c t="s">
        <v>41912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537.87</v>
      </c>
      <c s="1" t="str">
        <f ca="1">HYPERLINK("https://web.datatree.com/?/property?propertyId=33263186", "https://web.datatree.com/?/property?propertyId=33263186")</f>
        <v>https://web.datatree.com/?/property?propertyId=33263186</v>
      </c>
      <c r="Q3381" t="s">
        <v>316</v>
      </c>
      <c>
        <v>0.23</v>
      </c>
      <c t="s">
        <v>6175</v>
      </c>
      <c t="s">
        <v>4868</v>
      </c>
      <c t="s">
        <v>54436</v>
      </c>
      <c r="X3381" t="s">
        <v>17180</v>
      </c>
      <c t="s">
        <v>29190</v>
      </c>
      <c t="s">
        <v>2517</v>
      </c>
      <c t="s">
        <v>39289</v>
      </c>
      <c>
        <v>33909</v>
      </c>
      <c t="s">
        <v>29878</v>
      </c>
      <c t="s">
        <v>48794</v>
      </c>
      <c t="s">
        <v>25436</v>
      </c>
      <c>
        <v>328</v>
      </c>
      <c r="AI3381" t="s">
        <v>3122</v>
      </c>
      <c t="s">
        <v>31192</v>
      </c>
      <c r="AL3381" t="s">
        <v>26957</v>
      </c>
      <c r="AN3381" t="s">
        <v>36633</v>
      </c>
      <c t="s">
        <v>44183</v>
      </c>
      <c t="s">
        <v>22455</v>
      </c>
      <c t="s">
        <v>3093</v>
      </c>
      <c t="s">
        <v>8899</v>
      </c>
    </row>
    <row>
      <c t="s">
        <v>17594</v>
      </c>
      <c t="s">
        <v>6049</v>
      </c>
      <c t="s">
        <v>52956</v>
      </c>
      <c t="s">
        <v>39677</v>
      </c>
      <c t="s">
        <v>44073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3382" s="1" t="str">
        <f ca="1">HYPERLINK("https://web.datatree.com/?/property?propertyId=33263963", "https://web.datatree.com/?/property?propertyId=33263963")</f>
        <v>https://web.datatree.com/?/property?propertyId=33263963</v>
      </c>
      <c r="Q3382" t="s">
        <v>316</v>
      </c>
      <c>
        <v>0.23</v>
      </c>
      <c t="s">
        <v>6175</v>
      </c>
      <c t="s">
        <v>44018</v>
      </c>
      <c t="s">
        <v>9553</v>
      </c>
      <c r="X3382" t="s">
        <v>35226</v>
      </c>
      <c t="s">
        <v>22731</v>
      </c>
      <c t="s">
        <v>2517</v>
      </c>
      <c t="s">
        <v>39289</v>
      </c>
      <c>
        <v>33909</v>
      </c>
      <c t="s">
        <v>25149</v>
      </c>
      <c t="s">
        <v>48794</v>
      </c>
      <c t="s">
        <v>35675</v>
      </c>
      <c>
        <v>4401</v>
      </c>
      <c r="AI3382" t="s">
        <v>58221</v>
      </c>
      <c t="s">
        <v>40123</v>
      </c>
      <c r="AL3382" t="s">
        <v>46703</v>
      </c>
      <c r="AN3382" t="s">
        <v>39289</v>
      </c>
      <c t="s">
        <v>20398</v>
      </c>
      <c t="s">
        <v>62701</v>
      </c>
      <c t="s">
        <v>3093</v>
      </c>
      <c t="s">
        <v>52117</v>
      </c>
    </row>
    <row>
      <c t="s">
        <v>17594</v>
      </c>
      <c t="s">
        <v>28439</v>
      </c>
      <c t="s">
        <v>12842</v>
      </c>
      <c t="s">
        <v>21361</v>
      </c>
      <c t="s">
        <v>21571</v>
      </c>
      <c s="3">
        <v>5440</v>
      </c>
      <c s="3">
        <v>5440</v>
      </c>
      <c s="3">
        <v>5440</v>
      </c>
      <c>
        <v>0</v>
      </c>
      <c s="3">
        <v>0</v>
      </c>
      <c s="3">
        <v>81.45</v>
      </c>
      <c s="3">
        <v>5440</v>
      </c>
      <c r="O3383" s="1" t="str">
        <f ca="1">HYPERLINK("https://web.datatree.com/?/property?propertyId=33264133", "https://web.datatree.com/?/property?propertyId=33264133")</f>
        <v>https://web.datatree.com/?/property?propertyId=33264133</v>
      </c>
      <c r="Q3383" t="s">
        <v>316</v>
      </c>
      <c>
        <v>0.108</v>
      </c>
      <c t="s">
        <v>23582</v>
      </c>
      <c t="s">
        <v>57999</v>
      </c>
      <c t="s">
        <v>3586</v>
      </c>
      <c t="s">
        <v>65402</v>
      </c>
      <c t="s">
        <v>3586</v>
      </c>
      <c t="s">
        <v>56508</v>
      </c>
      <c t="s">
        <v>20881</v>
      </c>
      <c t="s">
        <v>65059</v>
      </c>
      <c t="s">
        <v>39289</v>
      </c>
      <c>
        <v>33905</v>
      </c>
      <c>
        <v>33905</v>
      </c>
      <c t="s">
        <v>48794</v>
      </c>
      <c t="s">
        <v>34203</v>
      </c>
      <c>
        <v>1448</v>
      </c>
      <c r="AI3383" t="s">
        <v>22946</v>
      </c>
      <c t="s">
        <v>45393</v>
      </c>
      <c r="AL3383" t="s">
        <v>20144</v>
      </c>
      <c t="s">
        <v>20144</v>
      </c>
      <c t="s">
        <v>49572</v>
      </c>
      <c t="s">
        <v>42441</v>
      </c>
      <c t="s">
        <v>25140</v>
      </c>
      <c t="s">
        <v>3093</v>
      </c>
      <c t="s">
        <v>30739</v>
      </c>
    </row>
    <row>
      <c t="s">
        <v>17594</v>
      </c>
      <c t="s">
        <v>20625</v>
      </c>
      <c t="s">
        <v>35223</v>
      </c>
      <c t="s">
        <v>27692</v>
      </c>
      <c t="s">
        <v>9504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384" s="1" t="str">
        <f ca="1">HYPERLINK("https://web.datatree.com/?/property?propertyId=33264201", "https://web.datatree.com/?/property?propertyId=33264201")</f>
        <v>https://web.datatree.com/?/property?propertyId=33264201</v>
      </c>
      <c r="Q3384" t="s">
        <v>316</v>
      </c>
      <c>
        <v>0.23</v>
      </c>
      <c t="s">
        <v>6175</v>
      </c>
      <c t="s">
        <v>33785</v>
      </c>
      <c t="s">
        <v>46905</v>
      </c>
      <c r="X3384" t="s">
        <v>50295</v>
      </c>
      <c t="s">
        <v>13829</v>
      </c>
      <c t="s">
        <v>2517</v>
      </c>
      <c t="s">
        <v>39289</v>
      </c>
      <c>
        <v>33909</v>
      </c>
      <c t="s">
        <v>56545</v>
      </c>
      <c t="s">
        <v>48794</v>
      </c>
      <c t="s">
        <v>28258</v>
      </c>
      <c>
        <v>300</v>
      </c>
      <c r="AI3384" t="s">
        <v>38550</v>
      </c>
      <c t="s">
        <v>24900</v>
      </c>
      <c r="AL3384" t="s">
        <v>55393</v>
      </c>
      <c t="s">
        <v>55393</v>
      </c>
      <c t="s">
        <v>39289</v>
      </c>
      <c t="s">
        <v>57029</v>
      </c>
      <c t="s">
        <v>48506</v>
      </c>
      <c t="s">
        <v>3093</v>
      </c>
      <c t="s">
        <v>21881</v>
      </c>
    </row>
    <row>
      <c t="s">
        <v>17594</v>
      </c>
      <c t="s">
        <v>42864</v>
      </c>
      <c t="s">
        <v>50421</v>
      </c>
      <c t="s">
        <v>14497</v>
      </c>
      <c t="s">
        <v>16998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385" s="1" t="str">
        <f ca="1">HYPERLINK("https://web.datatree.com/?/property?propertyId=33265444", "https://web.datatree.com/?/property?propertyId=33265444")</f>
        <v>https://web.datatree.com/?/property?propertyId=33265444</v>
      </c>
      <c r="Q3385" t="s">
        <v>316</v>
      </c>
      <c>
        <v>0.23</v>
      </c>
      <c t="s">
        <v>22490</v>
      </c>
      <c t="s">
        <v>47378</v>
      </c>
      <c t="s">
        <v>6852</v>
      </c>
      <c r="X3385" t="s">
        <v>28447</v>
      </c>
      <c t="s">
        <v>2619</v>
      </c>
      <c t="s">
        <v>2517</v>
      </c>
      <c t="s">
        <v>39289</v>
      </c>
      <c>
        <v>33909</v>
      </c>
      <c t="s">
        <v>49833</v>
      </c>
      <c t="s">
        <v>48794</v>
      </c>
      <c t="s">
        <v>10062</v>
      </c>
      <c>
        <v>2990</v>
      </c>
      <c r="AI3385" t="s">
        <v>48784</v>
      </c>
      <c t="s">
        <v>31192</v>
      </c>
      <c r="AL3385" t="s">
        <v>10240</v>
      </c>
      <c t="s">
        <v>10240</v>
      </c>
      <c t="s">
        <v>39289</v>
      </c>
      <c t="s">
        <v>64825</v>
      </c>
      <c t="s">
        <v>14845</v>
      </c>
      <c t="s">
        <v>3093</v>
      </c>
      <c t="s">
        <v>38051</v>
      </c>
    </row>
    <row>
      <c t="s">
        <v>17594</v>
      </c>
      <c t="s">
        <v>58314</v>
      </c>
      <c t="s">
        <v>4230</v>
      </c>
      <c t="s">
        <v>14350</v>
      </c>
      <c t="s">
        <v>59819</v>
      </c>
      <c s="3">
        <v>9100</v>
      </c>
      <c s="3">
        <v>9100</v>
      </c>
      <c s="3">
        <v>9100</v>
      </c>
      <c>
        <v>0</v>
      </c>
      <c s="3">
        <v>0</v>
      </c>
      <c s="3">
        <v>590.57</v>
      </c>
      <c s="3">
        <v>9100</v>
      </c>
      <c r="O3386" s="1" t="str">
        <f ca="1">HYPERLINK("https://web.datatree.com/?/property?propertyId=33265834", "https://web.datatree.com/?/property?propertyId=33265834")</f>
        <v>https://web.datatree.com/?/property?propertyId=33265834</v>
      </c>
      <c r="Q3386" t="s">
        <v>316</v>
      </c>
      <c>
        <v>0.241</v>
      </c>
      <c t="s">
        <v>65422</v>
      </c>
      <c t="s">
        <v>10361</v>
      </c>
      <c t="s">
        <v>66098</v>
      </c>
      <c t="s">
        <v>14003</v>
      </c>
      <c t="s">
        <v>66098</v>
      </c>
      <c t="s">
        <v>10856</v>
      </c>
      <c t="s">
        <v>61850</v>
      </c>
      <c t="s">
        <v>2517</v>
      </c>
      <c t="s">
        <v>39289</v>
      </c>
      <c>
        <v>33909</v>
      </c>
      <c t="s">
        <v>55749</v>
      </c>
      <c t="s">
        <v>48794</v>
      </c>
      <c t="s">
        <v>50872</v>
      </c>
      <c>
        <v>703</v>
      </c>
      <c r="AI3386" t="s">
        <v>59879</v>
      </c>
      <c t="s">
        <v>45620</v>
      </c>
      <c r="AL3386" t="s">
        <v>27980</v>
      </c>
      <c t="s">
        <v>27980</v>
      </c>
      <c t="s">
        <v>19878</v>
      </c>
      <c>
        <v>62571</v>
      </c>
      <c r="AQ3386" t="s">
        <v>3093</v>
      </c>
      <c t="s">
        <v>53839</v>
      </c>
    </row>
    <row>
      <c t="s">
        <v>17594</v>
      </c>
      <c t="s">
        <v>40049</v>
      </c>
      <c t="s">
        <v>51577</v>
      </c>
      <c t="s">
        <v>59424</v>
      </c>
      <c t="s">
        <v>7266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3387" s="1" t="str">
        <f ca="1">HYPERLINK("https://web.datatree.com/?/property?propertyId=33266548", "https://web.datatree.com/?/property?propertyId=33266548")</f>
        <v>https://web.datatree.com/?/property?propertyId=33266548</v>
      </c>
      <c r="Q3387" t="s">
        <v>316</v>
      </c>
      <c>
        <v>0.23</v>
      </c>
      <c t="s">
        <v>6175</v>
      </c>
      <c t="s">
        <v>870</v>
      </c>
      <c t="s">
        <v>37460</v>
      </c>
      <c r="X3387" t="s">
        <v>48661</v>
      </c>
      <c t="s">
        <v>49674</v>
      </c>
      <c t="s">
        <v>2517</v>
      </c>
      <c t="s">
        <v>39289</v>
      </c>
      <c>
        <v>33909</v>
      </c>
      <c t="s">
        <v>40415</v>
      </c>
      <c t="s">
        <v>48794</v>
      </c>
      <c t="s">
        <v>59148</v>
      </c>
      <c>
        <v>9017</v>
      </c>
      <c r="AI3387" t="s">
        <v>10481</v>
      </c>
      <c t="s">
        <v>45393</v>
      </c>
      <c r="AL3387" t="s">
        <v>34748</v>
      </c>
      <c r="AN3387" t="s">
        <v>50917</v>
      </c>
      <c t="s">
        <v>41894</v>
      </c>
      <c t="s">
        <v>26416</v>
      </c>
      <c t="s">
        <v>3093</v>
      </c>
      <c t="s">
        <v>31703</v>
      </c>
    </row>
    <row>
      <c t="s">
        <v>17594</v>
      </c>
      <c t="s">
        <v>64377</v>
      </c>
      <c t="s">
        <v>27829</v>
      </c>
      <c t="s">
        <v>33452</v>
      </c>
      <c t="s">
        <v>38231</v>
      </c>
      <c s="3">
        <v>20469</v>
      </c>
      <c s="3">
        <v>20469</v>
      </c>
      <c s="3">
        <v>8030</v>
      </c>
      <c>
        <v>0</v>
      </c>
      <c s="3">
        <v>0</v>
      </c>
      <c s="3">
        <v>586.61</v>
      </c>
      <c s="3">
        <v>20469</v>
      </c>
      <c r="O3388" s="1" t="str">
        <f ca="1">HYPERLINK("https://web.datatree.com/?/property?propertyId=33266767", "https://web.datatree.com/?/property?propertyId=33266767")</f>
        <v>https://web.datatree.com/?/property?propertyId=33266767</v>
      </c>
      <c r="Q3388" t="s">
        <v>316</v>
      </c>
      <c>
        <v>0.255</v>
      </c>
      <c t="s">
        <v>22490</v>
      </c>
      <c t="s">
        <v>64736</v>
      </c>
      <c t="s">
        <v>39164</v>
      </c>
      <c r="X3388" t="s">
        <v>53784</v>
      </c>
      <c t="s">
        <v>30928</v>
      </c>
      <c t="s">
        <v>2517</v>
      </c>
      <c t="s">
        <v>39289</v>
      </c>
      <c>
        <v>33909</v>
      </c>
      <c t="s">
        <v>35261</v>
      </c>
      <c t="s">
        <v>48794</v>
      </c>
      <c t="s">
        <v>15097</v>
      </c>
      <c>
        <v>308</v>
      </c>
      <c r="AI3388" t="s">
        <v>23937</v>
      </c>
      <c t="s">
        <v>45393</v>
      </c>
      <c r="AL3388" t="s">
        <v>40928</v>
      </c>
      <c r="AN3388" t="s">
        <v>26016</v>
      </c>
      <c t="s">
        <v>14181</v>
      </c>
      <c t="s">
        <v>48506</v>
      </c>
      <c t="s">
        <v>3093</v>
      </c>
      <c t="s">
        <v>41001</v>
      </c>
    </row>
    <row>
      <c t="s">
        <v>17594</v>
      </c>
      <c t="s">
        <v>42219</v>
      </c>
      <c t="s">
        <v>7067</v>
      </c>
      <c t="s">
        <v>8863</v>
      </c>
      <c t="s">
        <v>28858</v>
      </c>
      <c s="3">
        <v>281503</v>
      </c>
      <c s="3">
        <v>281503</v>
      </c>
      <c s="3">
        <v>194384</v>
      </c>
      <c>
        <v>0</v>
      </c>
      <c s="3">
        <v>0</v>
      </c>
      <c s="3">
        <v>4455.39</v>
      </c>
      <c s="3">
        <v>281503</v>
      </c>
      <c r="O3389" s="1" t="str">
        <f ca="1">HYPERLINK("https://web.datatree.com/?/property?propertyId=33267762", "https://web.datatree.com/?/property?propertyId=33267762")</f>
        <v>https://web.datatree.com/?/property?propertyId=33267762</v>
      </c>
      <c r="Q3389" t="s">
        <v>316</v>
      </c>
      <c>
        <v>4.5</v>
      </c>
      <c t="s">
        <v>58770</v>
      </c>
      <c r="U3389" t="s">
        <v>22358</v>
      </c>
      <c r="W3389" t="s">
        <v>6130</v>
      </c>
      <c t="s">
        <v>59464</v>
      </c>
      <c t="s">
        <v>66470</v>
      </c>
      <c t="s">
        <v>65059</v>
      </c>
      <c t="s">
        <v>39289</v>
      </c>
      <c>
        <v>33901</v>
      </c>
      <c t="s">
        <v>5589</v>
      </c>
      <c t="s">
        <v>48794</v>
      </c>
      <c t="s">
        <v>28221</v>
      </c>
      <c>
        <v>251</v>
      </c>
      <c r="AI3389" t="s">
        <v>46254</v>
      </c>
      <c t="s">
        <v>45393</v>
      </c>
      <c>
        <v>104</v>
      </c>
      <c t="s">
        <v>46292</v>
      </c>
      <c r="AN3389" t="s">
        <v>65451</v>
      </c>
      <c t="s">
        <v>24294</v>
      </c>
      <c t="s">
        <v>46114</v>
      </c>
      <c t="s">
        <v>3093</v>
      </c>
      <c t="s">
        <v>53157</v>
      </c>
    </row>
    <row>
      <c t="s">
        <v>17594</v>
      </c>
      <c t="s">
        <v>23069</v>
      </c>
      <c t="s">
        <v>4263</v>
      </c>
      <c t="s">
        <v>21191</v>
      </c>
      <c t="s">
        <v>46316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518.22</v>
      </c>
      <c s="1" t="str">
        <f ca="1">HYPERLINK("https://web.datatree.com/?/property?propertyId=33267810", "https://web.datatree.com/?/property?propertyId=33267810")</f>
        <v>https://web.datatree.com/?/property?propertyId=33267810</v>
      </c>
      <c r="Q3390" t="s">
        <v>316</v>
      </c>
      <c>
        <v>0.229</v>
      </c>
      <c t="s">
        <v>6175</v>
      </c>
      <c t="s">
        <v>44610</v>
      </c>
      <c t="s">
        <v>21780</v>
      </c>
      <c t="s">
        <v>15882</v>
      </c>
      <c t="s">
        <v>21780</v>
      </c>
      <c t="s">
        <v>45492</v>
      </c>
      <c t="s">
        <v>33893</v>
      </c>
      <c t="s">
        <v>2517</v>
      </c>
      <c t="s">
        <v>39289</v>
      </c>
      <c>
        <v>33909</v>
      </c>
      <c t="s">
        <v>46945</v>
      </c>
      <c t="s">
        <v>48794</v>
      </c>
      <c t="s">
        <v>21407</v>
      </c>
      <c>
        <v>13</v>
      </c>
      <c r="AI3390" t="s">
        <v>29545</v>
      </c>
      <c r="AL3390" t="s">
        <v>60998</v>
      </c>
      <c r="AN3390" t="s">
        <v>14798</v>
      </c>
      <c r="AR3390" t="s">
        <v>59862</v>
      </c>
    </row>
    <row>
      <c t="s">
        <v>17594</v>
      </c>
      <c t="s">
        <v>38394</v>
      </c>
      <c t="s">
        <v>34962</v>
      </c>
      <c t="s">
        <v>11584</v>
      </c>
      <c t="s">
        <v>63781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2020</v>
      </c>
      <c>
        <v>694.56</v>
      </c>
      <c s="1" t="str">
        <f ca="1">HYPERLINK("https://web.datatree.com/?/property?propertyId=33268020", "https://web.datatree.com/?/property?propertyId=33268020")</f>
        <v>https://web.datatree.com/?/property?propertyId=33268020</v>
      </c>
      <c r="Q3391" t="s">
        <v>316</v>
      </c>
      <c>
        <v>0.238</v>
      </c>
      <c t="s">
        <v>5471</v>
      </c>
      <c t="s">
        <v>50154</v>
      </c>
      <c t="s">
        <v>65065</v>
      </c>
      <c r="X3391" t="s">
        <v>20909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44025</v>
      </c>
      <c>
        <v>19730</v>
      </c>
      <c r="AI3391" t="s">
        <v>10653</v>
      </c>
      <c t="s">
        <v>40123</v>
      </c>
      <c r="AL3391" t="s">
        <v>55393</v>
      </c>
      <c r="AN3391" t="s">
        <v>39289</v>
      </c>
      <c t="s">
        <v>47584</v>
      </c>
      <c t="s">
        <v>60333</v>
      </c>
      <c t="s">
        <v>3093</v>
      </c>
      <c t="s">
        <v>5683</v>
      </c>
    </row>
    <row>
      <c t="s">
        <v>17594</v>
      </c>
      <c t="s">
        <v>26857</v>
      </c>
      <c t="s">
        <v>7548</v>
      </c>
      <c t="s">
        <v>35651</v>
      </c>
      <c t="s">
        <v>47684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3392" s="1" t="str">
        <f ca="1">HYPERLINK("https://web.datatree.com/?/property?propertyId=33268102", "https://web.datatree.com/?/property?propertyId=33268102")</f>
        <v>https://web.datatree.com/?/property?propertyId=33268102</v>
      </c>
      <c r="Q3392" t="s">
        <v>316</v>
      </c>
      <c>
        <v>0.23</v>
      </c>
      <c t="s">
        <v>22490</v>
      </c>
      <c t="s">
        <v>51891</v>
      </c>
      <c t="s">
        <v>28381</v>
      </c>
      <c r="X3392" t="s">
        <v>33446</v>
      </c>
      <c t="s">
        <v>34136</v>
      </c>
      <c t="s">
        <v>2517</v>
      </c>
      <c t="s">
        <v>39289</v>
      </c>
      <c>
        <v>33909</v>
      </c>
      <c t="s">
        <v>29496</v>
      </c>
      <c t="s">
        <v>48794</v>
      </c>
      <c t="s">
        <v>31996</v>
      </c>
      <c>
        <v>242</v>
      </c>
      <c r="AI3392" t="s">
        <v>27342</v>
      </c>
      <c t="s">
        <v>24900</v>
      </c>
      <c r="AL3392" t="s">
        <v>23695</v>
      </c>
      <c r="AN3392" t="s">
        <v>39289</v>
      </c>
      <c t="s">
        <v>34509</v>
      </c>
      <c t="s">
        <v>23744</v>
      </c>
      <c t="s">
        <v>3093</v>
      </c>
      <c t="s">
        <v>24927</v>
      </c>
    </row>
    <row>
      <c t="s">
        <v>17594</v>
      </c>
      <c t="s">
        <v>10604</v>
      </c>
      <c t="s">
        <v>63183</v>
      </c>
      <c t="s">
        <v>11131</v>
      </c>
      <c t="s">
        <v>64092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393" s="1" t="str">
        <f ca="1">HYPERLINK("https://web.datatree.com/?/property?propertyId=33268443", "https://web.datatree.com/?/property?propertyId=33268443")</f>
        <v>https://web.datatree.com/?/property?propertyId=33268443</v>
      </c>
      <c r="Q3393" t="s">
        <v>316</v>
      </c>
      <c>
        <v>0.23</v>
      </c>
      <c t="s">
        <v>6175</v>
      </c>
      <c t="s">
        <v>60638</v>
      </c>
      <c t="s">
        <v>63447</v>
      </c>
      <c t="s">
        <v>52701</v>
      </c>
      <c t="s">
        <v>30793</v>
      </c>
      <c t="s">
        <v>38668</v>
      </c>
      <c t="s">
        <v>25017</v>
      </c>
      <c t="s">
        <v>2517</v>
      </c>
      <c t="s">
        <v>39289</v>
      </c>
      <c>
        <v>33909</v>
      </c>
      <c t="s">
        <v>55027</v>
      </c>
      <c t="s">
        <v>48794</v>
      </c>
      <c t="s">
        <v>1654</v>
      </c>
      <c>
        <v>140</v>
      </c>
      <c r="AI3393" t="s">
        <v>29771</v>
      </c>
      <c t="s">
        <v>55842</v>
      </c>
      <c r="AL3393" t="s">
        <v>27892</v>
      </c>
      <c r="AN3393" t="s">
        <v>9533</v>
      </c>
      <c t="s">
        <v>64529</v>
      </c>
      <c t="s">
        <v>19978</v>
      </c>
      <c t="s">
        <v>3093</v>
      </c>
      <c t="s">
        <v>26625</v>
      </c>
    </row>
    <row>
      <c t="s">
        <v>17594</v>
      </c>
      <c t="s">
        <v>15468</v>
      </c>
      <c t="s">
        <v>54809</v>
      </c>
      <c t="s">
        <v>11252</v>
      </c>
      <c t="s">
        <v>23382</v>
      </c>
      <c s="3">
        <v>31320</v>
      </c>
      <c s="3">
        <v>31320</v>
      </c>
      <c s="3">
        <v>14850</v>
      </c>
      <c>
        <v>0</v>
      </c>
      <c s="3">
        <v>0</v>
      </c>
      <c s="3">
        <v>291.59</v>
      </c>
      <c s="3">
        <v>31320</v>
      </c>
      <c r="O3394" s="1" t="str">
        <f ca="1">HYPERLINK("https://web.datatree.com/?/property?propertyId=33268707", "https://web.datatree.com/?/property?propertyId=33268707")</f>
        <v>https://web.datatree.com/?/property?propertyId=33268707</v>
      </c>
      <c r="Q3394" t="s">
        <v>316</v>
      </c>
      <c>
        <v>0.245</v>
      </c>
      <c t="s">
        <v>5471</v>
      </c>
      <c t="s">
        <v>21577</v>
      </c>
      <c t="s">
        <v>49256</v>
      </c>
      <c t="s">
        <v>35714</v>
      </c>
      <c t="s">
        <v>49256</v>
      </c>
      <c t="s">
        <v>15310</v>
      </c>
      <c t="s">
        <v>59881</v>
      </c>
      <c t="s">
        <v>65059</v>
      </c>
      <c t="s">
        <v>39289</v>
      </c>
      <c>
        <v>33905</v>
      </c>
      <c t="s">
        <v>45839</v>
      </c>
      <c t="s">
        <v>48794</v>
      </c>
      <c t="s">
        <v>3043</v>
      </c>
      <c>
        <v>29</v>
      </c>
      <c r="AI3394" t="s">
        <v>10465</v>
      </c>
      <c r="AL3394" t="s">
        <v>4914</v>
      </c>
      <c r="AN3394" t="s">
        <v>63985</v>
      </c>
      <c>
        <v>65185</v>
      </c>
      <c r="AR3394" t="s">
        <v>23259</v>
      </c>
    </row>
    <row>
      <c t="s">
        <v>17594</v>
      </c>
      <c t="s">
        <v>48702</v>
      </c>
      <c t="s">
        <v>33747</v>
      </c>
      <c t="s">
        <v>38092</v>
      </c>
      <c t="s">
        <v>41972</v>
      </c>
      <c s="3">
        <v>28812</v>
      </c>
      <c s="3">
        <v>28812</v>
      </c>
      <c s="3">
        <v>28812</v>
      </c>
      <c>
        <v>0</v>
      </c>
      <c s="3">
        <v>0</v>
      </c>
      <c s="3">
        <v>2932.99</v>
      </c>
      <c s="3">
        <v>28812</v>
      </c>
      <c r="O3395" s="1" t="str">
        <f ca="1">HYPERLINK("https://web.datatree.com/?/property?propertyId=33268897", "https://web.datatree.com/?/property?propertyId=33268897")</f>
        <v>https://web.datatree.com/?/property?propertyId=33268897</v>
      </c>
      <c r="Q3395" t="s">
        <v>316</v>
      </c>
      <c>
        <v>0.238</v>
      </c>
      <c t="s">
        <v>6175</v>
      </c>
      <c t="s">
        <v>11199</v>
      </c>
      <c t="s">
        <v>33396</v>
      </c>
      <c t="s">
        <v>8685</v>
      </c>
      <c t="s">
        <v>33396</v>
      </c>
      <c t="s">
        <v>17352</v>
      </c>
      <c t="s">
        <v>61865</v>
      </c>
      <c t="s">
        <v>2517</v>
      </c>
      <c t="s">
        <v>39289</v>
      </c>
      <c>
        <v>33909</v>
      </c>
      <c t="s">
        <v>26985</v>
      </c>
      <c t="s">
        <v>48794</v>
      </c>
      <c t="s">
        <v>12348</v>
      </c>
      <c>
        <v>109</v>
      </c>
      <c r="AI3395" t="s">
        <v>20181</v>
      </c>
      <c t="s">
        <v>45393</v>
      </c>
      <c r="AL3395" t="s">
        <v>40574</v>
      </c>
      <c t="s">
        <v>40574</v>
      </c>
      <c t="s">
        <v>17134</v>
      </c>
      <c t="s">
        <v>25444</v>
      </c>
      <c t="s">
        <v>16432</v>
      </c>
      <c t="s">
        <v>3093</v>
      </c>
      <c t="s">
        <v>41773</v>
      </c>
    </row>
    <row>
      <c t="s">
        <v>17594</v>
      </c>
      <c t="s">
        <v>44396</v>
      </c>
      <c t="s">
        <v>58038</v>
      </c>
      <c t="s">
        <v>27371</v>
      </c>
      <c t="s">
        <v>22805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396" s="1" t="str">
        <f ca="1">HYPERLINK("https://web.datatree.com/?/property?propertyId=33268938", "https://web.datatree.com/?/property?propertyId=33268938")</f>
        <v>https://web.datatree.com/?/property?propertyId=33268938</v>
      </c>
      <c r="Q3396" t="s">
        <v>316</v>
      </c>
      <c>
        <v>0.242</v>
      </c>
      <c t="s">
        <v>5471</v>
      </c>
      <c t="s">
        <v>44541</v>
      </c>
      <c t="s">
        <v>16498</v>
      </c>
      <c t="s">
        <v>773</v>
      </c>
      <c t="s">
        <v>16498</v>
      </c>
      <c t="s">
        <v>23568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26499</v>
      </c>
      <c>
        <v>17327</v>
      </c>
      <c r="AI3396" t="s">
        <v>43096</v>
      </c>
      <c t="s">
        <v>55842</v>
      </c>
      <c r="AL3396" t="s">
        <v>32381</v>
      </c>
      <c r="AN3396" t="s">
        <v>39289</v>
      </c>
      <c t="s">
        <v>47695</v>
      </c>
      <c t="s">
        <v>31373</v>
      </c>
      <c t="s">
        <v>3093</v>
      </c>
      <c t="s">
        <v>31796</v>
      </c>
    </row>
    <row>
      <c t="s">
        <v>17594</v>
      </c>
      <c t="s">
        <v>2684</v>
      </c>
      <c t="s">
        <v>11386</v>
      </c>
      <c t="s">
        <v>37615</v>
      </c>
      <c t="s">
        <v>26991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397" s="1" t="str">
        <f ca="1">HYPERLINK("https://web.datatree.com/?/property?propertyId=33269140", "https://web.datatree.com/?/property?propertyId=33269140")</f>
        <v>https://web.datatree.com/?/property?propertyId=33269140</v>
      </c>
      <c r="Q3397" t="s">
        <v>316</v>
      </c>
      <c>
        <v>0.239</v>
      </c>
      <c t="s">
        <v>5471</v>
      </c>
      <c t="s">
        <v>32389</v>
      </c>
      <c t="s">
        <v>13709</v>
      </c>
      <c t="s">
        <v>67229</v>
      </c>
      <c t="s">
        <v>13709</v>
      </c>
      <c t="s">
        <v>33198</v>
      </c>
      <c t="s">
        <v>58047</v>
      </c>
      <c t="s">
        <v>65059</v>
      </c>
      <c t="s">
        <v>39289</v>
      </c>
      <c>
        <v>33905</v>
      </c>
      <c t="s">
        <v>31432</v>
      </c>
      <c t="s">
        <v>48794</v>
      </c>
      <c t="s">
        <v>21096</v>
      </c>
      <c>
        <v>2280</v>
      </c>
      <c r="AI3397" t="s">
        <v>66056</v>
      </c>
      <c t="s">
        <v>24900</v>
      </c>
      <c r="AL3397" t="s">
        <v>23828</v>
      </c>
      <c r="AN3397" t="s">
        <v>39289</v>
      </c>
      <c t="s">
        <v>44232</v>
      </c>
      <c t="s">
        <v>21201</v>
      </c>
      <c t="s">
        <v>3093</v>
      </c>
      <c t="s">
        <v>11011</v>
      </c>
    </row>
    <row>
      <c t="s">
        <v>17594</v>
      </c>
      <c t="s">
        <v>32983</v>
      </c>
      <c t="s">
        <v>48380</v>
      </c>
      <c t="s">
        <v>21091</v>
      </c>
      <c t="s">
        <v>6777</v>
      </c>
      <c s="3">
        <v>218356</v>
      </c>
      <c s="3">
        <v>218356</v>
      </c>
      <c s="3">
        <v>149188</v>
      </c>
      <c>
        <v>0</v>
      </c>
      <c s="3">
        <v>0</v>
      </c>
      <c s="3">
        <v>2348.98</v>
      </c>
      <c s="3">
        <v>218356</v>
      </c>
      <c r="O3398" s="1" t="str">
        <f ca="1">HYPERLINK("https://web.datatree.com/?/property?propertyId=33269538", "https://web.datatree.com/?/property?propertyId=33269538")</f>
        <v>https://web.datatree.com/?/property?propertyId=33269538</v>
      </c>
      <c r="Q3398" t="s">
        <v>316</v>
      </c>
      <c>
        <v>8.75</v>
      </c>
      <c t="s">
        <v>30497</v>
      </c>
      <c r="U3398" t="s">
        <v>32864</v>
      </c>
      <c r="W3398" t="s">
        <v>32563</v>
      </c>
      <c t="s">
        <v>16826</v>
      </c>
      <c t="s">
        <v>37607</v>
      </c>
      <c t="s">
        <v>65059</v>
      </c>
      <c t="s">
        <v>39289</v>
      </c>
      <c>
        <v>33905</v>
      </c>
      <c>
        <v>33905</v>
      </c>
      <c t="s">
        <v>48794</v>
      </c>
      <c t="s">
        <v>13461</v>
      </c>
      <c>
        <v>1335</v>
      </c>
      <c r="AI3398" t="s">
        <v>14817</v>
      </c>
      <c t="s">
        <v>31192</v>
      </c>
      <c r="AL3398" t="s">
        <v>7812</v>
      </c>
      <c t="s">
        <v>6929</v>
      </c>
      <c t="s">
        <v>49572</v>
      </c>
      <c t="s">
        <v>5090</v>
      </c>
      <c t="s">
        <v>38085</v>
      </c>
      <c t="s">
        <v>3093</v>
      </c>
      <c t="s">
        <v>46645</v>
      </c>
    </row>
    <row>
      <c t="s">
        <v>17594</v>
      </c>
      <c t="s">
        <v>50837</v>
      </c>
      <c t="s">
        <v>38243</v>
      </c>
      <c t="s">
        <v>30926</v>
      </c>
      <c t="s">
        <v>16394</v>
      </c>
      <c s="3">
        <v>4500</v>
      </c>
      <c s="3">
        <v>4500</v>
      </c>
      <c s="3">
        <v>4356</v>
      </c>
      <c>
        <v>0</v>
      </c>
      <c s="3">
        <v>0</v>
      </c>
      <c s="3">
        <v>59.9</v>
      </c>
      <c s="3">
        <v>4500</v>
      </c>
      <c r="O3399" s="1" t="str">
        <f ca="1">HYPERLINK("https://web.datatree.com/?/property?propertyId=33269806", "https://web.datatree.com/?/property?propertyId=33269806")</f>
        <v>https://web.datatree.com/?/property?propertyId=33269806</v>
      </c>
      <c r="Q3399" t="s">
        <v>316</v>
      </c>
      <c>
        <v>0.131</v>
      </c>
      <c t="s">
        <v>23582</v>
      </c>
      <c t="s">
        <v>26386</v>
      </c>
      <c t="s">
        <v>19642</v>
      </c>
      <c r="X3399" t="s">
        <v>54882</v>
      </c>
      <c t="s">
        <v>50751</v>
      </c>
      <c t="s">
        <v>65059</v>
      </c>
      <c t="s">
        <v>39289</v>
      </c>
      <c>
        <v>33905</v>
      </c>
      <c t="s">
        <v>12397</v>
      </c>
      <c t="s">
        <v>48794</v>
      </c>
      <c t="s">
        <v>49525</v>
      </c>
      <c>
        <v>1051</v>
      </c>
      <c r="AI3399" t="s">
        <v>17406</v>
      </c>
      <c t="s">
        <v>66410</v>
      </c>
      <c r="AL3399" t="s">
        <v>63384</v>
      </c>
      <c r="AN3399" t="s">
        <v>66651</v>
      </c>
      <c t="s">
        <v>42935</v>
      </c>
      <c t="s">
        <v>4175</v>
      </c>
      <c t="s">
        <v>3093</v>
      </c>
      <c t="s">
        <v>56136</v>
      </c>
    </row>
    <row>
      <c t="s">
        <v>17594</v>
      </c>
      <c t="s">
        <v>22470</v>
      </c>
      <c t="s">
        <v>5898</v>
      </c>
      <c t="s">
        <v>8931</v>
      </c>
      <c t="s">
        <v>41715</v>
      </c>
      <c s="3">
        <v>407911</v>
      </c>
      <c s="3">
        <v>407911</v>
      </c>
      <c s="3">
        <v>407911</v>
      </c>
      <c>
        <v>0</v>
      </c>
      <c s="3">
        <v>0</v>
      </c>
      <c s="3">
        <v>6971.02</v>
      </c>
      <c s="3">
        <v>407911</v>
      </c>
      <c r="O3400" s="1" t="str">
        <f ca="1">HYPERLINK("https://web.datatree.com/?/property?propertyId=33270927", "https://web.datatree.com/?/property?propertyId=33270927")</f>
        <v>https://web.datatree.com/?/property?propertyId=33270927</v>
      </c>
      <c r="Q3400" t="s">
        <v>316</v>
      </c>
      <c>
        <v>0.346</v>
      </c>
      <c t="s">
        <v>22490</v>
      </c>
      <c r="U3400" t="s">
        <v>54303</v>
      </c>
      <c r="W3400" t="s">
        <v>6223</v>
      </c>
      <c t="s">
        <v>26909</v>
      </c>
      <c t="s">
        <v>25988</v>
      </c>
      <c t="s">
        <v>2517</v>
      </c>
      <c t="s">
        <v>39289</v>
      </c>
      <c>
        <v>33904</v>
      </c>
      <c>
        <v>33904</v>
      </c>
      <c t="s">
        <v>48794</v>
      </c>
      <c t="s">
        <v>42268</v>
      </c>
      <c>
        <v>2680</v>
      </c>
      <c r="AI3400" t="s">
        <v>64513</v>
      </c>
      <c t="s">
        <v>45620</v>
      </c>
      <c r="AL3400" t="s">
        <v>27221</v>
      </c>
      <c r="AN3400" t="s">
        <v>58733</v>
      </c>
      <c t="s">
        <v>35410</v>
      </c>
      <c t="s">
        <v>41776</v>
      </c>
      <c t="s">
        <v>3093</v>
      </c>
      <c t="s">
        <v>59634</v>
      </c>
    </row>
    <row>
      <c t="s">
        <v>17594</v>
      </c>
      <c t="s">
        <v>13556</v>
      </c>
      <c t="s">
        <v>31303</v>
      </c>
      <c t="s">
        <v>50926</v>
      </c>
      <c t="s">
        <v>39286</v>
      </c>
      <c s="3">
        <v>9200</v>
      </c>
      <c s="3">
        <v>9200</v>
      </c>
      <c s="3">
        <v>9200</v>
      </c>
      <c>
        <v>0</v>
      </c>
      <c s="3">
        <v>0</v>
      </c>
      <c s="3">
        <v>710.24</v>
      </c>
      <c s="3">
        <v>9200</v>
      </c>
      <c r="O3401" s="1" t="str">
        <f ca="1">HYPERLINK("https://web.datatree.com/?/property?propertyId=33271390", "https://web.datatree.com/?/property?propertyId=33271390")</f>
        <v>https://web.datatree.com/?/property?propertyId=33271390</v>
      </c>
      <c r="Q3401" t="s">
        <v>316</v>
      </c>
      <c>
        <v>0.344</v>
      </c>
      <c t="s">
        <v>22490</v>
      </c>
      <c t="s">
        <v>27631</v>
      </c>
      <c t="s">
        <v>62119</v>
      </c>
      <c r="X3401" t="s">
        <v>25110</v>
      </c>
      <c t="s">
        <v>38550</v>
      </c>
      <c t="s">
        <v>2517</v>
      </c>
      <c t="s">
        <v>39289</v>
      </c>
      <c>
        <v>33909</v>
      </c>
      <c t="s">
        <v>50393</v>
      </c>
      <c t="s">
        <v>48794</v>
      </c>
      <c t="s">
        <v>49197</v>
      </c>
      <c>
        <v>301</v>
      </c>
      <c r="AI3401" t="s">
        <v>62340</v>
      </c>
      <c r="AL3401" t="s">
        <v>48535</v>
      </c>
      <c t="s">
        <v>48535</v>
      </c>
      <c t="s">
        <v>18236</v>
      </c>
      <c t="s">
        <v>33996</v>
      </c>
      <c t="s">
        <v>43294</v>
      </c>
      <c t="s">
        <v>3093</v>
      </c>
      <c t="s">
        <v>52234</v>
      </c>
    </row>
    <row>
      <c t="s">
        <v>17594</v>
      </c>
      <c t="s">
        <v>4758</v>
      </c>
      <c t="s">
        <v>52373</v>
      </c>
      <c t="s">
        <v>44888</v>
      </c>
      <c t="s">
        <v>54912</v>
      </c>
      <c s="3">
        <v>8815</v>
      </c>
      <c s="3">
        <v>8815</v>
      </c>
      <c s="3">
        <v>4972</v>
      </c>
      <c>
        <v>0</v>
      </c>
      <c s="3">
        <v>0</v>
      </c>
      <c s="3">
        <v>315.35</v>
      </c>
      <c s="3">
        <v>8815</v>
      </c>
      <c r="O3402" s="1" t="str">
        <f ca="1">HYPERLINK("https://web.datatree.com/?/property?propertyId=33271413", "https://web.datatree.com/?/property?propertyId=33271413")</f>
        <v>https://web.datatree.com/?/property?propertyId=33271413</v>
      </c>
      <c r="Q3402" t="s">
        <v>316</v>
      </c>
      <c>
        <v>0.23</v>
      </c>
      <c t="s">
        <v>5471</v>
      </c>
      <c t="s">
        <v>64201</v>
      </c>
      <c t="s">
        <v>15361</v>
      </c>
      <c r="X3402" t="s">
        <v>16974</v>
      </c>
      <c t="s">
        <v>40660</v>
      </c>
      <c t="s">
        <v>65059</v>
      </c>
      <c t="s">
        <v>39289</v>
      </c>
      <c>
        <v>33905</v>
      </c>
      <c t="s">
        <v>26421</v>
      </c>
      <c t="s">
        <v>48794</v>
      </c>
      <c t="s">
        <v>22597</v>
      </c>
      <c>
        <v>1134</v>
      </c>
      <c r="AI3402" t="s">
        <v>23937</v>
      </c>
      <c t="s">
        <v>45393</v>
      </c>
      <c r="AL3402" t="s">
        <v>8109</v>
      </c>
      <c r="AN3402" t="s">
        <v>50917</v>
      </c>
      <c t="s">
        <v>8160</v>
      </c>
      <c t="s">
        <v>17380</v>
      </c>
      <c t="s">
        <v>3093</v>
      </c>
      <c t="s">
        <v>43728</v>
      </c>
    </row>
    <row>
      <c t="s">
        <v>17594</v>
      </c>
      <c t="s">
        <v>56041</v>
      </c>
      <c t="s">
        <v>19248</v>
      </c>
      <c t="s">
        <v>55733</v>
      </c>
      <c t="s">
        <v>8919</v>
      </c>
      <c s="3">
        <v>326030</v>
      </c>
      <c s="3">
        <v>326030</v>
      </c>
      <c s="3">
        <v>279950</v>
      </c>
      <c>
        <v>0</v>
      </c>
      <c s="3">
        <v>0</v>
      </c>
      <c s="3">
        <v>4985.99</v>
      </c>
      <c s="3">
        <v>326030</v>
      </c>
      <c r="O3403" s="1" t="str">
        <f ca="1">HYPERLINK("https://web.datatree.com/?/property?propertyId=33271463", "https://web.datatree.com/?/property?propertyId=33271463")</f>
        <v>https://web.datatree.com/?/property?propertyId=33271463</v>
      </c>
      <c r="Q3403" t="s">
        <v>316</v>
      </c>
      <c>
        <v>0.23</v>
      </c>
      <c t="s">
        <v>22490</v>
      </c>
      <c t="s">
        <v>40487</v>
      </c>
      <c t="s">
        <v>27843</v>
      </c>
      <c t="s">
        <v>38445</v>
      </c>
      <c t="s">
        <v>27843</v>
      </c>
      <c t="s">
        <v>15840</v>
      </c>
      <c t="s">
        <v>35748</v>
      </c>
      <c t="s">
        <v>2517</v>
      </c>
      <c t="s">
        <v>39289</v>
      </c>
      <c>
        <v>33904</v>
      </c>
      <c t="s">
        <v>60827</v>
      </c>
      <c t="s">
        <v>48794</v>
      </c>
      <c t="s">
        <v>37922</v>
      </c>
      <c>
        <v>69</v>
      </c>
      <c r="AI3403" t="s">
        <v>13246</v>
      </c>
      <c t="s">
        <v>24900</v>
      </c>
      <c r="AL3403" t="s">
        <v>66317</v>
      </c>
      <c t="s">
        <v>13397</v>
      </c>
      <c t="s">
        <v>50917</v>
      </c>
      <c t="s">
        <v>28933</v>
      </c>
      <c t="s">
        <v>42082</v>
      </c>
      <c t="s">
        <v>3093</v>
      </c>
      <c t="s">
        <v>40020</v>
      </c>
    </row>
    <row>
      <c t="s">
        <v>17594</v>
      </c>
      <c t="s">
        <v>8916</v>
      </c>
      <c t="s">
        <v>53914</v>
      </c>
      <c t="s">
        <v>42591</v>
      </c>
      <c t="s">
        <v>14870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3404" s="1" t="str">
        <f ca="1">HYPERLINK("https://web.datatree.com/?/property?propertyId=33271730", "https://web.datatree.com/?/property?propertyId=33271730")</f>
        <v>https://web.datatree.com/?/property?propertyId=33271730</v>
      </c>
      <c r="Q3404" t="s">
        <v>316</v>
      </c>
      <c>
        <v>0.23</v>
      </c>
      <c t="s">
        <v>6175</v>
      </c>
      <c r="U3404" t="s">
        <v>2267</v>
      </c>
      <c r="W3404" t="s">
        <v>14482</v>
      </c>
      <c t="s">
        <v>19955</v>
      </c>
      <c t="s">
        <v>29190</v>
      </c>
      <c t="s">
        <v>2517</v>
      </c>
      <c t="s">
        <v>39289</v>
      </c>
      <c>
        <v>33909</v>
      </c>
      <c t="s">
        <v>63572</v>
      </c>
      <c t="s">
        <v>48794</v>
      </c>
      <c t="s">
        <v>52415</v>
      </c>
      <c>
        <v>757</v>
      </c>
      <c r="AH3404" t="s">
        <v>12549</v>
      </c>
      <c t="s">
        <v>29275</v>
      </c>
      <c t="s">
        <v>45393</v>
      </c>
      <c r="AL3404" t="s">
        <v>44295</v>
      </c>
      <c r="AN3404" t="s">
        <v>64156</v>
      </c>
      <c t="s">
        <v>15062</v>
      </c>
      <c t="s">
        <v>38014</v>
      </c>
      <c t="s">
        <v>3093</v>
      </c>
      <c t="s">
        <v>5051</v>
      </c>
    </row>
    <row>
      <c t="s">
        <v>17594</v>
      </c>
      <c t="s">
        <v>55099</v>
      </c>
      <c t="s">
        <v>22825</v>
      </c>
      <c t="s">
        <v>1843</v>
      </c>
      <c t="s">
        <v>66956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3405" s="1" t="str">
        <f ca="1">HYPERLINK("https://web.datatree.com/?/property?propertyId=33271812", "https://web.datatree.com/?/property?propertyId=33271812")</f>
        <v>https://web.datatree.com/?/property?propertyId=33271812</v>
      </c>
      <c r="Q3405" t="s">
        <v>316</v>
      </c>
      <c>
        <v>0.23</v>
      </c>
      <c t="s">
        <v>6175</v>
      </c>
      <c t="s">
        <v>38259</v>
      </c>
      <c t="s">
        <v>54078</v>
      </c>
      <c t="s">
        <v>41965</v>
      </c>
      <c t="s">
        <v>54078</v>
      </c>
      <c t="s">
        <v>29386</v>
      </c>
      <c t="s">
        <v>53663</v>
      </c>
      <c t="s">
        <v>2517</v>
      </c>
      <c t="s">
        <v>39289</v>
      </c>
      <c>
        <v>33909</v>
      </c>
      <c t="s">
        <v>52549</v>
      </c>
      <c t="s">
        <v>48794</v>
      </c>
      <c t="s">
        <v>48703</v>
      </c>
      <c>
        <v>13401</v>
      </c>
      <c r="AI3405" t="s">
        <v>60570</v>
      </c>
      <c t="s">
        <v>31192</v>
      </c>
      <c r="AL3405" t="s">
        <v>55393</v>
      </c>
      <c r="AN3405" t="s">
        <v>39289</v>
      </c>
      <c t="s">
        <v>9550</v>
      </c>
      <c t="s">
        <v>4480</v>
      </c>
      <c t="s">
        <v>3093</v>
      </c>
      <c t="s">
        <v>3318</v>
      </c>
    </row>
    <row>
      <c t="s">
        <v>17594</v>
      </c>
      <c t="s">
        <v>48531</v>
      </c>
      <c t="s">
        <v>35170</v>
      </c>
      <c t="s">
        <v>29375</v>
      </c>
      <c t="s">
        <v>47678</v>
      </c>
      <c s="3">
        <v>7200</v>
      </c>
      <c s="3">
        <v>7200</v>
      </c>
      <c s="3">
        <v>7200</v>
      </c>
      <c>
        <v>0</v>
      </c>
      <c s="3">
        <v>0</v>
      </c>
      <c s="3">
        <v>447.77</v>
      </c>
      <c s="3">
        <v>7200</v>
      </c>
      <c r="O3406" s="1" t="str">
        <f ca="1">HYPERLINK("https://web.datatree.com/?/property?propertyId=33272036", "https://web.datatree.com/?/property?propertyId=33272036")</f>
        <v>https://web.datatree.com/?/property?propertyId=33272036</v>
      </c>
      <c r="Q3406" t="s">
        <v>316</v>
      </c>
      <c>
        <v>0.233</v>
      </c>
      <c t="s">
        <v>6175</v>
      </c>
      <c t="s">
        <v>38760</v>
      </c>
      <c t="s">
        <v>51134</v>
      </c>
      <c t="s">
        <v>44541</v>
      </c>
      <c t="s">
        <v>51134</v>
      </c>
      <c t="s">
        <v>8750</v>
      </c>
      <c t="s">
        <v>61850</v>
      </c>
      <c t="s">
        <v>2517</v>
      </c>
      <c t="s">
        <v>39289</v>
      </c>
      <c>
        <v>33909</v>
      </c>
      <c t="s">
        <v>46071</v>
      </c>
      <c t="s">
        <v>48794</v>
      </c>
      <c t="s">
        <v>29983</v>
      </c>
      <c>
        <v>2922</v>
      </c>
      <c r="AI3406" t="s">
        <v>16976</v>
      </c>
      <c t="s">
        <v>1289</v>
      </c>
      <c r="AL3406" t="s">
        <v>53927</v>
      </c>
      <c r="AN3406" t="s">
        <v>32657</v>
      </c>
      <c t="s">
        <v>16751</v>
      </c>
      <c t="s">
        <v>22152</v>
      </c>
      <c t="s">
        <v>3093</v>
      </c>
      <c t="s">
        <v>21626</v>
      </c>
    </row>
    <row>
      <c t="s">
        <v>17594</v>
      </c>
      <c t="s">
        <v>56389</v>
      </c>
      <c t="s">
        <v>66309</v>
      </c>
      <c t="s">
        <v>21221</v>
      </c>
      <c t="s">
        <v>26758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407" s="1" t="str">
        <f ca="1">HYPERLINK("https://web.datatree.com/?/property?propertyId=33272540", "https://web.datatree.com/?/property?propertyId=33272540")</f>
        <v>https://web.datatree.com/?/property?propertyId=33272540</v>
      </c>
      <c r="Q3407" t="s">
        <v>316</v>
      </c>
      <c>
        <v>0.23</v>
      </c>
      <c t="s">
        <v>6175</v>
      </c>
      <c t="s">
        <v>24692</v>
      </c>
      <c t="s">
        <v>50334</v>
      </c>
      <c r="X3407" t="s">
        <v>9358</v>
      </c>
      <c t="s">
        <v>53675</v>
      </c>
      <c t="s">
        <v>2517</v>
      </c>
      <c t="s">
        <v>39289</v>
      </c>
      <c>
        <v>33909</v>
      </c>
      <c t="s">
        <v>262</v>
      </c>
      <c t="s">
        <v>48794</v>
      </c>
      <c t="s">
        <v>40335</v>
      </c>
      <c>
        <v>1529</v>
      </c>
      <c r="AI3407" t="s">
        <v>51569</v>
      </c>
      <c t="s">
        <v>45393</v>
      </c>
      <c r="AL3407" t="s">
        <v>36966</v>
      </c>
      <c r="AN3407" t="s">
        <v>57326</v>
      </c>
      <c t="s">
        <v>47852</v>
      </c>
      <c r="AQ3407" t="s">
        <v>27814</v>
      </c>
      <c t="s">
        <v>64940</v>
      </c>
    </row>
    <row>
      <c t="s">
        <v>17594</v>
      </c>
      <c t="s">
        <v>14429</v>
      </c>
      <c t="s">
        <v>44809</v>
      </c>
      <c t="s">
        <v>25278</v>
      </c>
      <c t="s">
        <v>43022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3408" s="1" t="str">
        <f ca="1">HYPERLINK("https://web.datatree.com/?/property?propertyId=33273727", "https://web.datatree.com/?/property?propertyId=33273727")</f>
        <v>https://web.datatree.com/?/property?propertyId=33273727</v>
      </c>
      <c r="Q3408" t="s">
        <v>316</v>
      </c>
      <c>
        <v>0.23</v>
      </c>
      <c t="s">
        <v>6175</v>
      </c>
      <c t="s">
        <v>2076</v>
      </c>
      <c t="s">
        <v>44152</v>
      </c>
      <c r="X3408" t="s">
        <v>40655</v>
      </c>
      <c t="s">
        <v>10653</v>
      </c>
      <c t="s">
        <v>2517</v>
      </c>
      <c t="s">
        <v>39289</v>
      </c>
      <c>
        <v>33909</v>
      </c>
      <c t="s">
        <v>31298</v>
      </c>
      <c t="s">
        <v>48794</v>
      </c>
      <c t="s">
        <v>7388</v>
      </c>
      <c>
        <v>606</v>
      </c>
      <c r="AI3408" t="s">
        <v>65323</v>
      </c>
      <c t="s">
        <v>45393</v>
      </c>
      <c>
        <v>1</v>
      </c>
      <c t="s">
        <v>41918</v>
      </c>
      <c r="AN3408" t="s">
        <v>26016</v>
      </c>
      <c t="s">
        <v>58500</v>
      </c>
      <c t="s">
        <v>26242</v>
      </c>
      <c t="s">
        <v>3093</v>
      </c>
      <c t="s">
        <v>31954</v>
      </c>
    </row>
    <row>
      <c t="s">
        <v>17594</v>
      </c>
      <c t="s">
        <v>28158</v>
      </c>
      <c t="s">
        <v>34976</v>
      </c>
      <c t="s">
        <v>17700</v>
      </c>
      <c t="s">
        <v>37124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3409" s="1" t="str">
        <f ca="1">HYPERLINK("https://web.datatree.com/?/property?propertyId=33274028", "https://web.datatree.com/?/property?propertyId=33274028")</f>
        <v>https://web.datatree.com/?/property?propertyId=33274028</v>
      </c>
      <c r="Q3409" t="s">
        <v>316</v>
      </c>
      <c>
        <v>0.229</v>
      </c>
      <c t="s">
        <v>5471</v>
      </c>
      <c t="s">
        <v>60671</v>
      </c>
      <c t="s">
        <v>49791</v>
      </c>
      <c t="s">
        <v>22046</v>
      </c>
      <c t="s">
        <v>49791</v>
      </c>
      <c t="s">
        <v>58003</v>
      </c>
      <c t="s">
        <v>55413</v>
      </c>
      <c t="s">
        <v>65059</v>
      </c>
      <c t="s">
        <v>39289</v>
      </c>
      <c>
        <v>33905</v>
      </c>
      <c t="s">
        <v>9531</v>
      </c>
      <c t="s">
        <v>48794</v>
      </c>
      <c t="s">
        <v>10466</v>
      </c>
      <c>
        <v>707</v>
      </c>
      <c r="AI3409" t="s">
        <v>2661</v>
      </c>
      <c t="s">
        <v>55842</v>
      </c>
      <c r="AL3409" t="s">
        <v>30523</v>
      </c>
      <c t="s">
        <v>30523</v>
      </c>
      <c t="s">
        <v>39289</v>
      </c>
      <c t="s">
        <v>66947</v>
      </c>
      <c t="s">
        <v>14695</v>
      </c>
      <c t="s">
        <v>3093</v>
      </c>
      <c t="s">
        <v>24019</v>
      </c>
    </row>
    <row>
      <c t="s">
        <v>17594</v>
      </c>
      <c t="s">
        <v>50401</v>
      </c>
      <c t="s">
        <v>21999</v>
      </c>
      <c t="s">
        <v>40121</v>
      </c>
      <c t="s">
        <v>56351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410" s="1" t="str">
        <f ca="1">HYPERLINK("https://web.datatree.com/?/property?propertyId=33276024", "https://web.datatree.com/?/property?propertyId=33276024")</f>
        <v>https://web.datatree.com/?/property?propertyId=33276024</v>
      </c>
      <c r="Q3410" t="s">
        <v>316</v>
      </c>
      <c>
        <v>0.23</v>
      </c>
      <c t="s">
        <v>45031</v>
      </c>
      <c t="s">
        <v>54854</v>
      </c>
      <c t="s">
        <v>46201</v>
      </c>
      <c t="s">
        <v>6197</v>
      </c>
      <c t="s">
        <v>46201</v>
      </c>
      <c t="s">
        <v>6178</v>
      </c>
      <c t="s">
        <v>46469</v>
      </c>
      <c t="s">
        <v>2517</v>
      </c>
      <c t="s">
        <v>39289</v>
      </c>
      <c>
        <v>33909</v>
      </c>
      <c t="s">
        <v>23245</v>
      </c>
      <c t="s">
        <v>48794</v>
      </c>
      <c t="s">
        <v>26049</v>
      </c>
      <c>
        <v>8529</v>
      </c>
      <c r="AI3410" t="s">
        <v>61508</v>
      </c>
      <c t="s">
        <v>63316</v>
      </c>
      <c r="AL3410" t="s">
        <v>31478</v>
      </c>
      <c r="AN3410" t="s">
        <v>39289</v>
      </c>
      <c t="s">
        <v>30196</v>
      </c>
      <c t="s">
        <v>11103</v>
      </c>
      <c t="s">
        <v>3093</v>
      </c>
      <c t="s">
        <v>54047</v>
      </c>
    </row>
    <row>
      <c t="s">
        <v>17594</v>
      </c>
      <c t="s">
        <v>30441</v>
      </c>
      <c t="s">
        <v>49586</v>
      </c>
      <c t="s">
        <v>55682</v>
      </c>
      <c t="s">
        <v>62481</v>
      </c>
      <c s="3">
        <v>35272</v>
      </c>
      <c s="3">
        <v>35272</v>
      </c>
      <c s="3">
        <v>22824</v>
      </c>
      <c>
        <v>0</v>
      </c>
      <c s="3">
        <v>0</v>
      </c>
      <c s="3">
        <v>842.73</v>
      </c>
      <c s="3">
        <v>35272</v>
      </c>
      <c r="O3411" s="1" t="str">
        <f ca="1">HYPERLINK("https://web.datatree.com/?/property?propertyId=33276152", "https://web.datatree.com/?/property?propertyId=33276152")</f>
        <v>https://web.datatree.com/?/property?propertyId=33276152</v>
      </c>
      <c r="Q3411" t="s">
        <v>316</v>
      </c>
      <c>
        <v>0.23</v>
      </c>
      <c t="s">
        <v>6175</v>
      </c>
      <c t="s">
        <v>46578</v>
      </c>
      <c t="s">
        <v>54708</v>
      </c>
      <c t="s">
        <v>3293</v>
      </c>
      <c t="s">
        <v>13122</v>
      </c>
      <c t="s">
        <v>4882</v>
      </c>
      <c t="s">
        <v>34136</v>
      </c>
      <c t="s">
        <v>2517</v>
      </c>
      <c t="s">
        <v>39289</v>
      </c>
      <c>
        <v>33904</v>
      </c>
      <c t="s">
        <v>9772</v>
      </c>
      <c t="s">
        <v>48794</v>
      </c>
      <c t="s">
        <v>33124</v>
      </c>
      <c>
        <v>120</v>
      </c>
      <c r="AI3411" t="s">
        <v>23275</v>
      </c>
      <c r="AL3411" t="s">
        <v>53465</v>
      </c>
      <c r="AN3411" t="s">
        <v>32576</v>
      </c>
      <c t="s">
        <v>65499</v>
      </c>
      <c t="s">
        <v>5652</v>
      </c>
      <c t="s">
        <v>3093</v>
      </c>
      <c t="s">
        <v>64743</v>
      </c>
    </row>
    <row>
      <c t="s">
        <v>17594</v>
      </c>
      <c t="s">
        <v>8436</v>
      </c>
      <c t="s">
        <v>44527</v>
      </c>
      <c t="s">
        <v>43100</v>
      </c>
      <c t="s">
        <v>47370</v>
      </c>
      <c s="3">
        <v>24454</v>
      </c>
      <c s="3">
        <v>24454</v>
      </c>
      <c s="3">
        <v>9570</v>
      </c>
      <c>
        <v>0</v>
      </c>
      <c s="3">
        <v>0</v>
      </c>
      <c s="3">
        <v>629.6</v>
      </c>
      <c s="3">
        <v>24454</v>
      </c>
      <c r="O3412" s="1" t="str">
        <f ca="1">HYPERLINK("https://web.datatree.com/?/property?propertyId=33276280", "https://web.datatree.com/?/property?propertyId=33276280")</f>
        <v>https://web.datatree.com/?/property?propertyId=33276280</v>
      </c>
      <c r="Q3412" t="s">
        <v>316</v>
      </c>
      <c>
        <v>0.264</v>
      </c>
      <c t="s">
        <v>45031</v>
      </c>
      <c t="s">
        <v>35571</v>
      </c>
      <c t="s">
        <v>3146</v>
      </c>
      <c r="X3412" t="s">
        <v>5666</v>
      </c>
      <c t="s">
        <v>14534</v>
      </c>
      <c t="s">
        <v>2517</v>
      </c>
      <c t="s">
        <v>39289</v>
      </c>
      <c>
        <v>33909</v>
      </c>
      <c t="s">
        <v>29315</v>
      </c>
      <c t="s">
        <v>48794</v>
      </c>
      <c t="s">
        <v>7292</v>
      </c>
      <c>
        <v>10569</v>
      </c>
      <c r="AI3412" t="s">
        <v>41107</v>
      </c>
      <c t="s">
        <v>55842</v>
      </c>
      <c r="AL3412" t="s">
        <v>60705</v>
      </c>
      <c r="AN3412" t="s">
        <v>51087</v>
      </c>
      <c t="s">
        <v>4849</v>
      </c>
      <c t="s">
        <v>52247</v>
      </c>
      <c t="s">
        <v>3093</v>
      </c>
      <c t="s">
        <v>64198</v>
      </c>
    </row>
    <row>
      <c t="s">
        <v>17594</v>
      </c>
      <c t="s">
        <v>1472</v>
      </c>
      <c t="s">
        <v>7590</v>
      </c>
      <c t="s">
        <v>32483</v>
      </c>
      <c t="s">
        <v>37914</v>
      </c>
      <c s="3">
        <v>28860</v>
      </c>
      <c s="3">
        <v>28860</v>
      </c>
      <c s="3">
        <v>28600</v>
      </c>
      <c>
        <v>0</v>
      </c>
      <c s="3">
        <v>0</v>
      </c>
      <c s="3">
        <v>393.89</v>
      </c>
      <c s="3">
        <v>28860</v>
      </c>
      <c r="O3413" s="1" t="str">
        <f ca="1">HYPERLINK("https://web.datatree.com/?/property?propertyId=33276638", "https://web.datatree.com/?/property?propertyId=33276638")</f>
        <v>https://web.datatree.com/?/property?propertyId=33276638</v>
      </c>
      <c r="Q3413" t="s">
        <v>316</v>
      </c>
      <c>
        <v>0.06</v>
      </c>
      <c t="s">
        <v>54329</v>
      </c>
      <c t="s">
        <v>4868</v>
      </c>
      <c t="s">
        <v>36055</v>
      </c>
      <c r="X3413" t="s">
        <v>51327</v>
      </c>
      <c t="s">
        <v>17602</v>
      </c>
      <c t="s">
        <v>65059</v>
      </c>
      <c t="s">
        <v>39289</v>
      </c>
      <c>
        <v>33908</v>
      </c>
      <c t="s">
        <v>27004</v>
      </c>
      <c t="s">
        <v>48794</v>
      </c>
      <c t="s">
        <v>17842</v>
      </c>
      <c>
        <v>4477</v>
      </c>
      <c r="AI3413" t="s">
        <v>15354</v>
      </c>
      <c t="s">
        <v>45620</v>
      </c>
      <c r="AL3413" t="s">
        <v>53411</v>
      </c>
      <c t="s">
        <v>53482</v>
      </c>
      <c t="s">
        <v>51137</v>
      </c>
      <c t="s">
        <v>21134</v>
      </c>
      <c t="s">
        <v>36638</v>
      </c>
      <c t="s">
        <v>3093</v>
      </c>
      <c t="s">
        <v>65591</v>
      </c>
    </row>
    <row>
      <c t="s">
        <v>17594</v>
      </c>
      <c t="s">
        <v>20130</v>
      </c>
      <c t="s">
        <v>45585</v>
      </c>
      <c t="s">
        <v>9798</v>
      </c>
      <c t="s">
        <v>58585</v>
      </c>
      <c s="3">
        <v>28362</v>
      </c>
      <c s="3">
        <v>28362</v>
      </c>
      <c s="3">
        <v>9079</v>
      </c>
      <c>
        <v>0</v>
      </c>
      <c s="3">
        <v>0</v>
      </c>
      <c s="3">
        <v>2919.11</v>
      </c>
      <c s="3">
        <v>28362</v>
      </c>
      <c>
        <v>2021</v>
      </c>
      <c>
        <v>3167.76</v>
      </c>
      <c s="1" t="str">
        <f ca="1">HYPERLINK("https://web.datatree.com/?/property?propertyId=33276940", "https://web.datatree.com/?/property?propertyId=33276940")</f>
        <v>https://web.datatree.com/?/property?propertyId=33276940</v>
      </c>
      <c r="Q3414" t="s">
        <v>316</v>
      </c>
      <c>
        <v>0.231</v>
      </c>
      <c t="s">
        <v>42044</v>
      </c>
      <c t="s">
        <v>47977</v>
      </c>
      <c t="s">
        <v>21142</v>
      </c>
      <c r="X3414" t="s">
        <v>47034</v>
      </c>
      <c t="s">
        <v>33179</v>
      </c>
      <c t="s">
        <v>2517</v>
      </c>
      <c t="s">
        <v>39289</v>
      </c>
      <c>
        <v>33909</v>
      </c>
      <c t="s">
        <v>17132</v>
      </c>
      <c t="s">
        <v>48794</v>
      </c>
      <c t="s">
        <v>50790</v>
      </c>
      <c>
        <v>3711</v>
      </c>
      <c r="AI3414" t="s">
        <v>26294</v>
      </c>
      <c t="s">
        <v>31192</v>
      </c>
      <c r="AL3414" t="s">
        <v>54287</v>
      </c>
      <c r="AN3414" t="s">
        <v>17134</v>
      </c>
      <c t="s">
        <v>16534</v>
      </c>
      <c t="s">
        <v>7062</v>
      </c>
      <c t="s">
        <v>3093</v>
      </c>
      <c t="s">
        <v>58162</v>
      </c>
    </row>
    <row>
      <c t="s">
        <v>17594</v>
      </c>
      <c t="s">
        <v>13090</v>
      </c>
      <c t="s">
        <v>26053</v>
      </c>
      <c t="s">
        <v>42456</v>
      </c>
      <c t="s">
        <v>40844</v>
      </c>
      <c s="3">
        <v>41248</v>
      </c>
      <c s="3">
        <v>41248</v>
      </c>
      <c s="3">
        <v>35200</v>
      </c>
      <c>
        <v>0</v>
      </c>
      <c s="3">
        <v>0</v>
      </c>
      <c s="3">
        <v>1024.65</v>
      </c>
      <c s="3">
        <v>41248</v>
      </c>
      <c>
        <v>2021</v>
      </c>
      <c>
        <v>1108.19</v>
      </c>
      <c s="1" t="str">
        <f ca="1">HYPERLINK("https://web.datatree.com/?/property?propertyId=33277482", "https://web.datatree.com/?/property?propertyId=33277482")</f>
        <v>https://web.datatree.com/?/property?propertyId=33277482</v>
      </c>
      <c r="Q3415" t="s">
        <v>316</v>
      </c>
      <c>
        <v>0.23</v>
      </c>
      <c t="s">
        <v>22490</v>
      </c>
      <c t="s">
        <v>50331</v>
      </c>
      <c t="s">
        <v>45212</v>
      </c>
      <c t="s">
        <v>39139</v>
      </c>
      <c t="s">
        <v>61808</v>
      </c>
      <c t="s">
        <v>52576</v>
      </c>
      <c t="s">
        <v>34731</v>
      </c>
      <c t="s">
        <v>2517</v>
      </c>
      <c t="s">
        <v>39289</v>
      </c>
      <c>
        <v>33909</v>
      </c>
      <c t="s">
        <v>48625</v>
      </c>
      <c t="s">
        <v>48794</v>
      </c>
      <c t="s">
        <v>11598</v>
      </c>
      <c>
        <v>405</v>
      </c>
      <c r="AI3415" t="s">
        <v>26690</v>
      </c>
      <c t="s">
        <v>45393</v>
      </c>
      <c r="AL3415" t="s">
        <v>10446</v>
      </c>
      <c t="s">
        <v>10446</v>
      </c>
      <c t="s">
        <v>19878</v>
      </c>
      <c t="s">
        <v>40389</v>
      </c>
      <c t="s">
        <v>34033</v>
      </c>
      <c t="s">
        <v>3093</v>
      </c>
      <c t="s">
        <v>44042</v>
      </c>
    </row>
    <row>
      <c t="s">
        <v>17594</v>
      </c>
      <c t="s">
        <v>50422</v>
      </c>
      <c t="s">
        <v>11253</v>
      </c>
      <c t="s">
        <v>8590</v>
      </c>
      <c t="s">
        <v>59332</v>
      </c>
      <c s="3">
        <v>9000</v>
      </c>
      <c s="3">
        <v>9000</v>
      </c>
      <c s="3">
        <v>9000</v>
      </c>
      <c>
        <v>0</v>
      </c>
      <c s="3">
        <v>0</v>
      </c>
      <c s="3">
        <v>712.89</v>
      </c>
      <c s="3">
        <v>9000</v>
      </c>
      <c r="O3416" s="1" t="str">
        <f ca="1">HYPERLINK("https://web.datatree.com/?/property?propertyId=33278541", "https://web.datatree.com/?/property?propertyId=33278541")</f>
        <v>https://web.datatree.com/?/property?propertyId=33278541</v>
      </c>
      <c r="Q3416" t="s">
        <v>316</v>
      </c>
      <c>
        <v>0.344</v>
      </c>
      <c t="s">
        <v>54449</v>
      </c>
      <c t="s">
        <v>11075</v>
      </c>
      <c t="s">
        <v>54320</v>
      </c>
      <c r="X3416" t="s">
        <v>50545</v>
      </c>
      <c t="s">
        <v>38550</v>
      </c>
      <c t="s">
        <v>2517</v>
      </c>
      <c t="s">
        <v>39289</v>
      </c>
      <c>
        <v>33909</v>
      </c>
      <c t="s">
        <v>59657</v>
      </c>
      <c t="s">
        <v>48794</v>
      </c>
      <c t="s">
        <v>2859</v>
      </c>
      <c>
        <v>7090</v>
      </c>
      <c r="AI3416" t="s">
        <v>50973</v>
      </c>
      <c t="s">
        <v>45393</v>
      </c>
      <c>
        <v>102</v>
      </c>
      <c t="s">
        <v>29515</v>
      </c>
      <c t="s">
        <v>28635</v>
      </c>
      <c t="s">
        <v>39289</v>
      </c>
      <c t="s">
        <v>63149</v>
      </c>
      <c t="s">
        <v>48506</v>
      </c>
      <c t="s">
        <v>3093</v>
      </c>
      <c t="s">
        <v>62252</v>
      </c>
    </row>
    <row>
      <c t="s">
        <v>17594</v>
      </c>
      <c t="s">
        <v>37759</v>
      </c>
      <c t="s">
        <v>21667</v>
      </c>
      <c t="s">
        <v>12564</v>
      </c>
      <c t="s">
        <v>36014</v>
      </c>
      <c s="3">
        <v>55556</v>
      </c>
      <c s="3">
        <v>55556</v>
      </c>
      <c s="3">
        <v>55556</v>
      </c>
      <c>
        <v>0</v>
      </c>
      <c s="3">
        <v>0</v>
      </c>
      <c s="3">
        <v>1290.68</v>
      </c>
      <c s="3">
        <v>55556</v>
      </c>
      <c r="O3417" s="1" t="str">
        <f ca="1">HYPERLINK("https://web.datatree.com/?/property?propertyId=33278551", "https://web.datatree.com/?/property?propertyId=33278551")</f>
        <v>https://web.datatree.com/?/property?propertyId=33278551</v>
      </c>
      <c r="Q3417" t="s">
        <v>316</v>
      </c>
      <c>
        <v>0.23</v>
      </c>
      <c t="s">
        <v>6175</v>
      </c>
      <c t="s">
        <v>59754</v>
      </c>
      <c t="s">
        <v>15699</v>
      </c>
      <c t="s">
        <v>41965</v>
      </c>
      <c t="s">
        <v>53915</v>
      </c>
      <c t="s">
        <v>33284</v>
      </c>
      <c t="s">
        <v>58240</v>
      </c>
      <c t="s">
        <v>2517</v>
      </c>
      <c t="s">
        <v>39289</v>
      </c>
      <c>
        <v>33904</v>
      </c>
      <c t="s">
        <v>51247</v>
      </c>
      <c t="s">
        <v>48794</v>
      </c>
      <c t="s">
        <v>15744</v>
      </c>
      <c>
        <v>11835</v>
      </c>
      <c r="AI3417" t="s">
        <v>8270</v>
      </c>
      <c t="s">
        <v>45620</v>
      </c>
      <c r="AL3417" t="s">
        <v>66453</v>
      </c>
      <c r="AN3417" t="s">
        <v>19878</v>
      </c>
      <c t="s">
        <v>23194</v>
      </c>
      <c t="s">
        <v>63972</v>
      </c>
      <c t="s">
        <v>3093</v>
      </c>
      <c t="s">
        <v>41272</v>
      </c>
    </row>
    <row>
      <c t="s">
        <v>17594</v>
      </c>
      <c t="s">
        <v>21045</v>
      </c>
      <c t="s">
        <v>34734</v>
      </c>
      <c t="s">
        <v>15574</v>
      </c>
      <c t="s">
        <v>351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3418" s="1" t="str">
        <f ca="1">HYPERLINK("https://web.datatree.com/?/property?propertyId=33278971", "https://web.datatree.com/?/property?propertyId=33278971")</f>
        <v>https://web.datatree.com/?/property?propertyId=33278971</v>
      </c>
      <c r="Q3418" t="s">
        <v>316</v>
      </c>
      <c>
        <v>0.244</v>
      </c>
      <c t="s">
        <v>22490</v>
      </c>
      <c t="s">
        <v>33269</v>
      </c>
      <c t="s">
        <v>30230</v>
      </c>
      <c t="s">
        <v>14542</v>
      </c>
      <c t="s">
        <v>30230</v>
      </c>
      <c t="s">
        <v>65123</v>
      </c>
      <c t="s">
        <v>52171</v>
      </c>
      <c t="s">
        <v>2517</v>
      </c>
      <c t="s">
        <v>39289</v>
      </c>
      <c>
        <v>33909</v>
      </c>
      <c t="s">
        <v>33914</v>
      </c>
      <c t="s">
        <v>48794</v>
      </c>
      <c t="s">
        <v>3272</v>
      </c>
      <c>
        <v>707</v>
      </c>
      <c r="AI3418" t="s">
        <v>29086</v>
      </c>
      <c t="s">
        <v>24900</v>
      </c>
      <c r="AL3418" t="s">
        <v>10946</v>
      </c>
      <c r="AN3418" t="s">
        <v>9387</v>
      </c>
      <c t="s">
        <v>64884</v>
      </c>
      <c t="s">
        <v>4797</v>
      </c>
      <c t="s">
        <v>3093</v>
      </c>
      <c t="s">
        <v>32547</v>
      </c>
    </row>
    <row>
      <c t="s">
        <v>42103</v>
      </c>
      <c t="s">
        <v>35658</v>
      </c>
      <c t="s">
        <v>62978</v>
      </c>
      <c t="s">
        <v>12504</v>
      </c>
      <c t="s">
        <v>39299</v>
      </c>
      <c s="3">
        <v>121448</v>
      </c>
      <c s="3">
        <v>121448</v>
      </c>
      <c s="3">
        <v>121448</v>
      </c>
      <c>
        <v>0</v>
      </c>
      <c s="3">
        <v>0</v>
      </c>
      <c s="3">
        <v>2212.32</v>
      </c>
      <c s="3">
        <v>121448</v>
      </c>
      <c>
        <v>2021</v>
      </c>
      <c>
        <v>2113.74</v>
      </c>
      <c s="1" t="str">
        <f ca="1">HYPERLINK("https://web.datatree.com/?/property?propertyId=33278991", "https://web.datatree.com/?/property?propertyId=33278991")</f>
        <v>https://web.datatree.com/?/property?propertyId=33278991</v>
      </c>
      <c r="Q3419" t="s">
        <v>316</v>
      </c>
      <c>
        <v>0.236</v>
      </c>
      <c t="s">
        <v>22490</v>
      </c>
      <c t="s">
        <v>3293</v>
      </c>
      <c t="s">
        <v>29547</v>
      </c>
      <c t="s">
        <v>52701</v>
      </c>
      <c t="s">
        <v>29547</v>
      </c>
      <c t="s">
        <v>4265</v>
      </c>
      <c t="s">
        <v>25017</v>
      </c>
      <c t="s">
        <v>2517</v>
      </c>
      <c t="s">
        <v>39289</v>
      </c>
      <c>
        <v>33904</v>
      </c>
      <c t="s">
        <v>65172</v>
      </c>
      <c t="s">
        <v>48794</v>
      </c>
      <c t="s">
        <v>299</v>
      </c>
      <c r="AI3419" t="s">
        <v>62866</v>
      </c>
      <c r="AL3419" t="s">
        <v>51270</v>
      </c>
      <c t="s">
        <v>51270</v>
      </c>
      <c t="s">
        <v>19878</v>
      </c>
      <c>
        <v>60408</v>
      </c>
      <c t="s">
        <v>31451</v>
      </c>
      <c t="s">
        <v>3093</v>
      </c>
      <c t="s">
        <v>40024</v>
      </c>
    </row>
    <row>
      <c t="s">
        <v>17594</v>
      </c>
      <c t="s">
        <v>6105</v>
      </c>
      <c t="s">
        <v>32079</v>
      </c>
      <c t="s">
        <v>66705</v>
      </c>
      <c t="s">
        <v>34905</v>
      </c>
      <c s="3">
        <v>7200</v>
      </c>
      <c s="3">
        <v>7200</v>
      </c>
      <c s="3">
        <v>7200</v>
      </c>
      <c>
        <v>0</v>
      </c>
      <c s="3">
        <v>0</v>
      </c>
      <c s="3">
        <v>509.74</v>
      </c>
      <c s="3">
        <v>7200</v>
      </c>
      <c r="O3420" s="1" t="str">
        <f ca="1">HYPERLINK("https://web.datatree.com/?/property?propertyId=33279614", "https://web.datatree.com/?/property?propertyId=33279614")</f>
        <v>https://web.datatree.com/?/property?propertyId=33279614</v>
      </c>
      <c r="Q3420" t="s">
        <v>316</v>
      </c>
      <c>
        <v>0.253</v>
      </c>
      <c t="s">
        <v>6175</v>
      </c>
      <c t="s">
        <v>5831</v>
      </c>
      <c t="s">
        <v>30230</v>
      </c>
      <c r="X3420" t="s">
        <v>57370</v>
      </c>
      <c t="s">
        <v>18679</v>
      </c>
      <c t="s">
        <v>2517</v>
      </c>
      <c t="s">
        <v>39289</v>
      </c>
      <c>
        <v>33909</v>
      </c>
      <c t="s">
        <v>61742</v>
      </c>
      <c t="s">
        <v>48794</v>
      </c>
      <c t="s">
        <v>53998</v>
      </c>
      <c>
        <v>700</v>
      </c>
      <c r="AI3420" t="s">
        <v>33179</v>
      </c>
      <c t="s">
        <v>24900</v>
      </c>
      <c r="AL3420" t="s">
        <v>41642</v>
      </c>
      <c t="s">
        <v>41642</v>
      </c>
      <c t="s">
        <v>39289</v>
      </c>
      <c t="s">
        <v>18491</v>
      </c>
      <c t="s">
        <v>54916</v>
      </c>
      <c t="s">
        <v>3093</v>
      </c>
      <c t="s">
        <v>20165</v>
      </c>
    </row>
    <row>
      <c t="s">
        <v>17594</v>
      </c>
      <c t="s">
        <v>34069</v>
      </c>
      <c t="s">
        <v>28661</v>
      </c>
      <c t="s">
        <v>26937</v>
      </c>
      <c t="s">
        <v>43461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421" s="1" t="str">
        <f ca="1">HYPERLINK("https://web.datatree.com/?/property?propertyId=33280786", "https://web.datatree.com/?/property?propertyId=33280786")</f>
        <v>https://web.datatree.com/?/property?propertyId=33280786</v>
      </c>
      <c r="Q3421" t="s">
        <v>316</v>
      </c>
      <c>
        <v>0.23</v>
      </c>
      <c t="s">
        <v>16350</v>
      </c>
      <c t="s">
        <v>3267</v>
      </c>
      <c t="s">
        <v>20110</v>
      </c>
      <c r="X3421" t="s">
        <v>2491</v>
      </c>
      <c t="s">
        <v>38550</v>
      </c>
      <c t="s">
        <v>2517</v>
      </c>
      <c t="s">
        <v>39289</v>
      </c>
      <c>
        <v>33909</v>
      </c>
      <c t="s">
        <v>65008</v>
      </c>
      <c t="s">
        <v>48794</v>
      </c>
      <c t="s">
        <v>56021</v>
      </c>
      <c r="AI3421" t="s">
        <v>7212</v>
      </c>
      <c r="AK3421" t="str">
        <f>"E14-44"</f>
        <v>E14-44</v>
      </c>
      <c t="s">
        <v>62300</v>
      </c>
      <c r="AN3421" t="s">
        <v>22275</v>
      </c>
      <c>
        <v>17050</v>
      </c>
      <c r="AR3421" t="s">
        <v>66043</v>
      </c>
    </row>
    <row>
      <c t="s">
        <v>17594</v>
      </c>
      <c t="s">
        <v>4040</v>
      </c>
      <c t="s">
        <v>20688</v>
      </c>
      <c t="s">
        <v>7227</v>
      </c>
      <c t="s">
        <v>31733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3422" s="1" t="str">
        <f ca="1">HYPERLINK("https://web.datatree.com/?/property?propertyId=33281199", "https://web.datatree.com/?/property?propertyId=33281199")</f>
        <v>https://web.datatree.com/?/property?propertyId=33281199</v>
      </c>
      <c r="Q3422" t="s">
        <v>316</v>
      </c>
      <c>
        <v>0.228</v>
      </c>
      <c t="s">
        <v>22490</v>
      </c>
      <c t="s">
        <v>2466</v>
      </c>
      <c t="s">
        <v>53475</v>
      </c>
      <c r="X3422" t="s">
        <v>42407</v>
      </c>
      <c t="s">
        <v>22731</v>
      </c>
      <c t="s">
        <v>2517</v>
      </c>
      <c t="s">
        <v>39289</v>
      </c>
      <c>
        <v>33909</v>
      </c>
      <c t="s">
        <v>31465</v>
      </c>
      <c t="s">
        <v>48794</v>
      </c>
      <c t="s">
        <v>33127</v>
      </c>
      <c>
        <v>301</v>
      </c>
      <c r="AI3422" t="s">
        <v>46388</v>
      </c>
      <c t="s">
        <v>24900</v>
      </c>
      <c r="AL3422" t="s">
        <v>3150</v>
      </c>
      <c r="AN3422" t="s">
        <v>17134</v>
      </c>
      <c t="s">
        <v>28549</v>
      </c>
      <c t="s">
        <v>26242</v>
      </c>
      <c t="s">
        <v>3093</v>
      </c>
      <c t="s">
        <v>39667</v>
      </c>
    </row>
    <row>
      <c t="s">
        <v>17594</v>
      </c>
      <c t="s">
        <v>19662</v>
      </c>
      <c t="s">
        <v>41245</v>
      </c>
      <c t="s">
        <v>18982</v>
      </c>
      <c t="s">
        <v>30746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3423" s="1" t="str">
        <f ca="1">HYPERLINK("https://web.datatree.com/?/property?propertyId=33283032", "https://web.datatree.com/?/property?propertyId=33283032")</f>
        <v>https://web.datatree.com/?/property?propertyId=33283032</v>
      </c>
      <c r="Q3423" t="s">
        <v>316</v>
      </c>
      <c>
        <v>0.23</v>
      </c>
      <c t="s">
        <v>22490</v>
      </c>
      <c r="U3423" t="s">
        <v>28167</v>
      </c>
      <c r="W3423" t="s">
        <v>39446</v>
      </c>
      <c t="s">
        <v>21039</v>
      </c>
      <c t="s">
        <v>66701</v>
      </c>
      <c t="s">
        <v>2517</v>
      </c>
      <c t="s">
        <v>39289</v>
      </c>
      <c>
        <v>33909</v>
      </c>
      <c t="s">
        <v>3538</v>
      </c>
      <c t="s">
        <v>48794</v>
      </c>
      <c t="s">
        <v>33502</v>
      </c>
      <c>
        <v>4</v>
      </c>
      <c r="AI3423" t="s">
        <v>7183</v>
      </c>
      <c t="s">
        <v>1671</v>
      </c>
      <c r="AL3423" t="s">
        <v>56716</v>
      </c>
      <c r="AN3423" t="s">
        <v>27747</v>
      </c>
      <c t="s">
        <v>38790</v>
      </c>
      <c t="s">
        <v>52247</v>
      </c>
      <c t="s">
        <v>3093</v>
      </c>
      <c t="s">
        <v>2819</v>
      </c>
    </row>
    <row>
      <c t="s">
        <v>17594</v>
      </c>
      <c t="s">
        <v>16430</v>
      </c>
      <c t="s">
        <v>58549</v>
      </c>
      <c t="s">
        <v>7024</v>
      </c>
      <c t="s">
        <v>10021</v>
      </c>
      <c s="3">
        <v>8000</v>
      </c>
      <c s="3">
        <v>8000</v>
      </c>
      <c s="3">
        <v>8000</v>
      </c>
      <c>
        <v>0</v>
      </c>
      <c s="3">
        <v>0</v>
      </c>
      <c s="3">
        <v>592.43</v>
      </c>
      <c s="3">
        <v>8000</v>
      </c>
      <c r="O3424" s="1" t="str">
        <f ca="1">HYPERLINK("https://web.datatree.com/?/property?propertyId=33283219", "https://web.datatree.com/?/property?propertyId=33283219")</f>
        <v>https://web.datatree.com/?/property?propertyId=33283219</v>
      </c>
      <c r="Q3424" t="s">
        <v>316</v>
      </c>
      <c>
        <v>0.25</v>
      </c>
      <c t="s">
        <v>22490</v>
      </c>
      <c t="s">
        <v>62125</v>
      </c>
      <c t="s">
        <v>42346</v>
      </c>
      <c r="X3424" t="s">
        <v>41460</v>
      </c>
      <c t="s">
        <v>38550</v>
      </c>
      <c t="s">
        <v>2517</v>
      </c>
      <c t="s">
        <v>39289</v>
      </c>
      <c>
        <v>33909</v>
      </c>
      <c t="s">
        <v>54420</v>
      </c>
      <c t="s">
        <v>48794</v>
      </c>
      <c t="s">
        <v>7627</v>
      </c>
      <c>
        <v>4367</v>
      </c>
      <c r="AI3424" t="s">
        <v>63692</v>
      </c>
      <c t="s">
        <v>45620</v>
      </c>
      <c r="AL3424" t="s">
        <v>55242</v>
      </c>
      <c t="s">
        <v>55242</v>
      </c>
      <c t="s">
        <v>65451</v>
      </c>
      <c t="s">
        <v>61041</v>
      </c>
      <c t="s">
        <v>4797</v>
      </c>
      <c t="s">
        <v>3093</v>
      </c>
      <c t="s">
        <v>60749</v>
      </c>
    </row>
    <row>
      <c t="s">
        <v>17594</v>
      </c>
      <c t="s">
        <v>26259</v>
      </c>
      <c t="s">
        <v>35098</v>
      </c>
      <c t="s">
        <v>18391</v>
      </c>
      <c t="s">
        <v>41581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425" s="1" t="str">
        <f ca="1">HYPERLINK("https://web.datatree.com/?/property?propertyId=33283978", "https://web.datatree.com/?/property?propertyId=33283978")</f>
        <v>https://web.datatree.com/?/property?propertyId=33283978</v>
      </c>
      <c r="Q3425" t="s">
        <v>316</v>
      </c>
      <c>
        <v>0.23</v>
      </c>
      <c t="s">
        <v>6175</v>
      </c>
      <c t="s">
        <v>12350</v>
      </c>
      <c t="s">
        <v>32426</v>
      </c>
      <c r="X3425" t="s">
        <v>61622</v>
      </c>
      <c t="s">
        <v>25017</v>
      </c>
      <c t="s">
        <v>2517</v>
      </c>
      <c t="s">
        <v>39289</v>
      </c>
      <c>
        <v>33909</v>
      </c>
      <c t="s">
        <v>17894</v>
      </c>
      <c t="s">
        <v>48794</v>
      </c>
      <c t="s">
        <v>51781</v>
      </c>
      <c>
        <v>7242</v>
      </c>
      <c r="AH3425" t="s">
        <v>26580</v>
      </c>
      <c t="s">
        <v>29103</v>
      </c>
      <c t="s">
        <v>55842</v>
      </c>
      <c r="AL3425" t="s">
        <v>49353</v>
      </c>
      <c t="s">
        <v>49353</v>
      </c>
      <c t="s">
        <v>50829</v>
      </c>
      <c t="s">
        <v>11176</v>
      </c>
      <c t="s">
        <v>22152</v>
      </c>
      <c t="s">
        <v>3093</v>
      </c>
      <c t="s">
        <v>64794</v>
      </c>
    </row>
    <row>
      <c t="s">
        <v>17594</v>
      </c>
      <c t="s">
        <v>51260</v>
      </c>
      <c t="s">
        <v>17550</v>
      </c>
      <c t="s">
        <v>64471</v>
      </c>
      <c t="s">
        <v>16403</v>
      </c>
      <c s="3">
        <v>26249</v>
      </c>
      <c s="3">
        <v>26249</v>
      </c>
      <c s="3">
        <v>13310</v>
      </c>
      <c>
        <v>0</v>
      </c>
      <c s="3">
        <v>0</v>
      </c>
      <c s="3">
        <v>867.99</v>
      </c>
      <c s="3">
        <v>26249</v>
      </c>
      <c r="O3426" s="1" t="str">
        <f ca="1">HYPERLINK("https://web.datatree.com/?/property?propertyId=33286094", "https://web.datatree.com/?/property?propertyId=33286094")</f>
        <v>https://web.datatree.com/?/property?propertyId=33286094</v>
      </c>
      <c r="Q3426" t="s">
        <v>316</v>
      </c>
      <c>
        <v>0.23</v>
      </c>
      <c t="s">
        <v>14479</v>
      </c>
      <c t="s">
        <v>66280</v>
      </c>
      <c t="s">
        <v>34530</v>
      </c>
      <c r="X3426" t="s">
        <v>31493</v>
      </c>
      <c t="s">
        <v>17022</v>
      </c>
      <c t="s">
        <v>2517</v>
      </c>
      <c t="s">
        <v>39289</v>
      </c>
      <c>
        <v>33909</v>
      </c>
      <c t="s">
        <v>30202</v>
      </c>
      <c t="s">
        <v>48794</v>
      </c>
      <c t="s">
        <v>59965</v>
      </c>
      <c>
        <v>108</v>
      </c>
      <c r="AI3426" t="s">
        <v>10508</v>
      </c>
      <c t="s">
        <v>24900</v>
      </c>
      <c r="AL3426" t="s">
        <v>51363</v>
      </c>
      <c r="AN3426" t="s">
        <v>26016</v>
      </c>
      <c t="s">
        <v>53184</v>
      </c>
      <c t="s">
        <v>34025</v>
      </c>
      <c t="s">
        <v>3093</v>
      </c>
      <c t="s">
        <v>40064</v>
      </c>
    </row>
    <row>
      <c t="s">
        <v>17594</v>
      </c>
      <c t="s">
        <v>49894</v>
      </c>
      <c t="s">
        <v>22276</v>
      </c>
      <c t="s">
        <v>49253</v>
      </c>
      <c t="s">
        <v>12882</v>
      </c>
      <c s="3">
        <v>7600</v>
      </c>
      <c s="3">
        <v>7600</v>
      </c>
      <c s="3">
        <v>7600</v>
      </c>
      <c>
        <v>0</v>
      </c>
      <c s="3">
        <v>0</v>
      </c>
      <c s="3">
        <v>471.27</v>
      </c>
      <c s="3">
        <v>7600</v>
      </c>
      <c r="O3427" s="1" t="str">
        <f ca="1">HYPERLINK("https://web.datatree.com/?/property?propertyId=33287297", "https://web.datatree.com/?/property?propertyId=33287297")</f>
        <v>https://web.datatree.com/?/property?propertyId=33287297</v>
      </c>
      <c r="Q3427" t="s">
        <v>316</v>
      </c>
      <c>
        <v>0.23</v>
      </c>
      <c t="s">
        <v>6175</v>
      </c>
      <c t="s">
        <v>42179</v>
      </c>
      <c t="s">
        <v>46280</v>
      </c>
      <c t="s">
        <v>24692</v>
      </c>
      <c t="s">
        <v>46280</v>
      </c>
      <c t="s">
        <v>600</v>
      </c>
      <c t="s">
        <v>53663</v>
      </c>
      <c t="s">
        <v>2517</v>
      </c>
      <c t="s">
        <v>39289</v>
      </c>
      <c>
        <v>33909</v>
      </c>
      <c t="s">
        <v>57030</v>
      </c>
      <c t="s">
        <v>48794</v>
      </c>
      <c t="s">
        <v>2635</v>
      </c>
      <c r="AI3427" t="s">
        <v>21440</v>
      </c>
      <c r="AL3427" t="s">
        <v>51660</v>
      </c>
      <c r="AN3427" t="s">
        <v>22478</v>
      </c>
      <c r="AR3427" t="s">
        <v>39604</v>
      </c>
    </row>
    <row>
      <c t="s">
        <v>17594</v>
      </c>
      <c t="s">
        <v>34014</v>
      </c>
      <c t="s">
        <v>6290</v>
      </c>
      <c t="s">
        <v>53715</v>
      </c>
      <c t="s">
        <v>53232</v>
      </c>
      <c s="3">
        <v>23895</v>
      </c>
      <c s="3">
        <v>23895</v>
      </c>
      <c s="3">
        <v>6920</v>
      </c>
      <c>
        <v>0</v>
      </c>
      <c s="3">
        <v>0</v>
      </c>
      <c s="3">
        <v>199.81</v>
      </c>
      <c s="3">
        <v>23895</v>
      </c>
      <c>
        <v>2021</v>
      </c>
      <c>
        <v>222.79</v>
      </c>
      <c s="1" t="str">
        <f ca="1">HYPERLINK("https://web.datatree.com/?/property?propertyId=33287716", "https://web.datatree.com/?/property?propertyId=33287716")</f>
        <v>https://web.datatree.com/?/property?propertyId=33287716</v>
      </c>
      <c r="Q3428" t="s">
        <v>316</v>
      </c>
      <c>
        <v>0.376</v>
      </c>
      <c t="s">
        <v>8155</v>
      </c>
      <c t="s">
        <v>8141</v>
      </c>
      <c t="s">
        <v>36651</v>
      </c>
      <c r="X3428" t="s">
        <v>19515</v>
      </c>
      <c t="s">
        <v>44351</v>
      </c>
      <c t="s">
        <v>65059</v>
      </c>
      <c t="s">
        <v>39289</v>
      </c>
      <c>
        <v>33901</v>
      </c>
      <c t="s">
        <v>43566</v>
      </c>
      <c t="s">
        <v>48794</v>
      </c>
      <c t="s">
        <v>5874</v>
      </c>
      <c>
        <v>2409</v>
      </c>
      <c r="AI3428" t="s">
        <v>29838</v>
      </c>
      <c t="s">
        <v>4985</v>
      </c>
      <c r="AL3428" t="s">
        <v>27168</v>
      </c>
      <c r="AN3428" t="s">
        <v>39289</v>
      </c>
      <c t="s">
        <v>35246</v>
      </c>
      <c t="s">
        <v>44726</v>
      </c>
      <c t="s">
        <v>3093</v>
      </c>
      <c t="s">
        <v>57335</v>
      </c>
    </row>
    <row>
      <c t="s">
        <v>17594</v>
      </c>
      <c t="s">
        <v>66227</v>
      </c>
      <c t="s">
        <v>41699</v>
      </c>
      <c t="s">
        <v>59579</v>
      </c>
      <c t="s">
        <v>5483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429" s="1" t="str">
        <f ca="1">HYPERLINK("https://web.datatree.com/?/property?propertyId=33287834", "https://web.datatree.com/?/property?propertyId=33287834")</f>
        <v>https://web.datatree.com/?/property?propertyId=33287834</v>
      </c>
      <c r="Q3429" t="s">
        <v>316</v>
      </c>
      <c>
        <v>0.23</v>
      </c>
      <c t="s">
        <v>6175</v>
      </c>
      <c t="s">
        <v>55572</v>
      </c>
      <c t="s">
        <v>66245</v>
      </c>
      <c r="X3429" t="s">
        <v>2595</v>
      </c>
      <c t="s">
        <v>30928</v>
      </c>
      <c t="s">
        <v>2517</v>
      </c>
      <c t="s">
        <v>39289</v>
      </c>
      <c>
        <v>33909</v>
      </c>
      <c t="s">
        <v>23431</v>
      </c>
      <c t="s">
        <v>48794</v>
      </c>
      <c t="s">
        <v>39262</v>
      </c>
      <c>
        <v>2111</v>
      </c>
      <c r="AI3429" t="s">
        <v>45182</v>
      </c>
      <c t="s">
        <v>1671</v>
      </c>
      <c r="AL3429" t="s">
        <v>61281</v>
      </c>
      <c r="AN3429" t="s">
        <v>17331</v>
      </c>
      <c t="s">
        <v>38194</v>
      </c>
      <c t="s">
        <v>56028</v>
      </c>
      <c t="s">
        <v>3093</v>
      </c>
      <c t="s">
        <v>22059</v>
      </c>
    </row>
    <row>
      <c t="s">
        <v>17594</v>
      </c>
      <c t="s">
        <v>32143</v>
      </c>
      <c t="s">
        <v>56115</v>
      </c>
      <c t="s">
        <v>51009</v>
      </c>
      <c t="s">
        <v>62831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430" s="1" t="str">
        <f ca="1">HYPERLINK("https://web.datatree.com/?/property?propertyId=33288000", "https://web.datatree.com/?/property?propertyId=33288000")</f>
        <v>https://web.datatree.com/?/property?propertyId=33288000</v>
      </c>
      <c r="Q3430" t="s">
        <v>316</v>
      </c>
      <c>
        <v>0.23</v>
      </c>
      <c t="s">
        <v>22490</v>
      </c>
      <c t="s">
        <v>54690</v>
      </c>
      <c t="s">
        <v>43118</v>
      </c>
      <c r="X3430" t="s">
        <v>40692</v>
      </c>
      <c t="s">
        <v>10653</v>
      </c>
      <c t="s">
        <v>2517</v>
      </c>
      <c t="s">
        <v>39289</v>
      </c>
      <c>
        <v>33909</v>
      </c>
      <c>
        <v>33909</v>
      </c>
      <c t="s">
        <v>48794</v>
      </c>
      <c t="s">
        <v>29843</v>
      </c>
      <c>
        <v>10176</v>
      </c>
      <c r="AI3430" t="s">
        <v>47853</v>
      </c>
      <c t="s">
        <v>45620</v>
      </c>
      <c r="AL3430" t="s">
        <v>20898</v>
      </c>
      <c r="AN3430" t="s">
        <v>24792</v>
      </c>
      <c t="s">
        <v>41298</v>
      </c>
      <c t="s">
        <v>35354</v>
      </c>
      <c t="s">
        <v>3093</v>
      </c>
      <c t="s">
        <v>396</v>
      </c>
    </row>
    <row>
      <c t="s">
        <v>17594</v>
      </c>
      <c t="s">
        <v>48172</v>
      </c>
      <c t="s">
        <v>8622</v>
      </c>
      <c t="s">
        <v>26037</v>
      </c>
      <c t="s">
        <v>62721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431" s="1" t="str">
        <f ca="1">HYPERLINK("https://web.datatree.com/?/property?propertyId=33288432", "https://web.datatree.com/?/property?propertyId=33288432")</f>
        <v>https://web.datatree.com/?/property?propertyId=33288432</v>
      </c>
      <c r="Q3431" t="s">
        <v>316</v>
      </c>
      <c>
        <v>0.24</v>
      </c>
      <c t="s">
        <v>5471</v>
      </c>
      <c t="s">
        <v>53632</v>
      </c>
      <c t="s">
        <v>49097</v>
      </c>
      <c r="X3431" t="s">
        <v>33968</v>
      </c>
      <c t="s">
        <v>23113</v>
      </c>
      <c t="s">
        <v>65059</v>
      </c>
      <c t="s">
        <v>39289</v>
      </c>
      <c>
        <v>33905</v>
      </c>
      <c t="s">
        <v>56191</v>
      </c>
      <c t="s">
        <v>48794</v>
      </c>
      <c t="s">
        <v>9914</v>
      </c>
      <c>
        <v>19503</v>
      </c>
      <c r="AI3431" t="s">
        <v>55094</v>
      </c>
      <c t="s">
        <v>45393</v>
      </c>
      <c r="AL3431" t="s">
        <v>44667</v>
      </c>
      <c t="s">
        <v>22539</v>
      </c>
      <c t="s">
        <v>65451</v>
      </c>
      <c t="s">
        <v>28223</v>
      </c>
      <c t="s">
        <v>19978</v>
      </c>
      <c t="s">
        <v>3093</v>
      </c>
      <c t="s">
        <v>66082</v>
      </c>
    </row>
    <row>
      <c t="s">
        <v>17594</v>
      </c>
      <c t="s">
        <v>48060</v>
      </c>
      <c t="s">
        <v>59752</v>
      </c>
      <c t="s">
        <v>7989</v>
      </c>
      <c t="s">
        <v>3926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432" s="1" t="str">
        <f ca="1">HYPERLINK("https://web.datatree.com/?/property?propertyId=33289228", "https://web.datatree.com/?/property?propertyId=33289228")</f>
        <v>https://web.datatree.com/?/property?propertyId=33289228</v>
      </c>
      <c r="Q3432" t="s">
        <v>316</v>
      </c>
      <c>
        <v>0.23</v>
      </c>
      <c t="s">
        <v>6175</v>
      </c>
      <c t="s">
        <v>60219</v>
      </c>
      <c t="s">
        <v>28717</v>
      </c>
      <c t="s">
        <v>57715</v>
      </c>
      <c t="s">
        <v>50793</v>
      </c>
      <c t="s">
        <v>49058</v>
      </c>
      <c t="s">
        <v>61850</v>
      </c>
      <c t="s">
        <v>2517</v>
      </c>
      <c t="s">
        <v>39289</v>
      </c>
      <c>
        <v>33909</v>
      </c>
      <c t="s">
        <v>61104</v>
      </c>
      <c t="s">
        <v>48794</v>
      </c>
      <c t="s">
        <v>27675</v>
      </c>
      <c>
        <v>2684</v>
      </c>
      <c r="AH3432" t="s">
        <v>15376</v>
      </c>
      <c t="s">
        <v>13964</v>
      </c>
      <c t="s">
        <v>39321</v>
      </c>
      <c r="AL3432" t="s">
        <v>11713</v>
      </c>
      <c t="s">
        <v>21507</v>
      </c>
      <c t="s">
        <v>39289</v>
      </c>
      <c t="s">
        <v>13644</v>
      </c>
      <c t="s">
        <v>14845</v>
      </c>
      <c t="s">
        <v>3093</v>
      </c>
      <c t="s">
        <v>8724</v>
      </c>
    </row>
    <row>
      <c t="s">
        <v>17594</v>
      </c>
      <c t="s">
        <v>15003</v>
      </c>
      <c t="s">
        <v>51775</v>
      </c>
      <c t="s">
        <v>51675</v>
      </c>
      <c t="s">
        <v>63184</v>
      </c>
      <c s="3">
        <v>2100</v>
      </c>
      <c s="3">
        <v>2100</v>
      </c>
      <c s="3">
        <v>310</v>
      </c>
      <c>
        <v>0</v>
      </c>
      <c s="3">
        <v>0</v>
      </c>
      <c s="3">
        <v>251.7</v>
      </c>
      <c s="3">
        <v>2100</v>
      </c>
      <c r="O3433" s="1" t="str">
        <f ca="1">HYPERLINK("https://web.datatree.com/?/property?propertyId=33289690", "https://web.datatree.com/?/property?propertyId=33289690")</f>
        <v>https://web.datatree.com/?/property?propertyId=33289690</v>
      </c>
      <c r="Q3433" t="s">
        <v>316</v>
      </c>
      <c>
        <v>0.072</v>
      </c>
      <c t="s">
        <v>42044</v>
      </c>
      <c t="s">
        <v>23132</v>
      </c>
      <c t="s">
        <v>2508</v>
      </c>
      <c t="s">
        <v>43190</v>
      </c>
      <c t="s">
        <v>30149</v>
      </c>
      <c t="s">
        <v>6842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9511</v>
      </c>
      <c r="AI3433" t="s">
        <v>58488</v>
      </c>
      <c t="s">
        <v>41372</v>
      </c>
      <c r="AL3433" t="s">
        <v>34210</v>
      </c>
      <c r="AN3433" t="s">
        <v>49572</v>
      </c>
      <c t="s">
        <v>52963</v>
      </c>
      <c t="s">
        <v>52247</v>
      </c>
      <c t="s">
        <v>3093</v>
      </c>
      <c t="s">
        <v>39013</v>
      </c>
    </row>
    <row>
      <c t="s">
        <v>17594</v>
      </c>
      <c t="s">
        <v>37899</v>
      </c>
      <c t="s">
        <v>61049</v>
      </c>
      <c t="s">
        <v>27879</v>
      </c>
      <c t="s">
        <v>14778</v>
      </c>
      <c s="3">
        <v>154459</v>
      </c>
      <c s="3">
        <v>154459</v>
      </c>
      <c s="3">
        <v>80715</v>
      </c>
      <c>
        <v>0</v>
      </c>
      <c s="3">
        <v>0</v>
      </c>
      <c s="3">
        <v>1249.2</v>
      </c>
      <c s="3">
        <v>154459</v>
      </c>
      <c r="O3434" s="1" t="str">
        <f ca="1">HYPERLINK("https://web.datatree.com/?/property?propertyId=33290216", "https://web.datatree.com/?/property?propertyId=33290216")</f>
        <v>https://web.datatree.com/?/property?propertyId=33290216</v>
      </c>
      <c r="Q3434" t="s">
        <v>316</v>
      </c>
      <c>
        <v>0.552</v>
      </c>
      <c t="s">
        <v>30497</v>
      </c>
      <c t="s">
        <v>51844</v>
      </c>
      <c t="s">
        <v>9592</v>
      </c>
      <c r="X3434" t="s">
        <v>23322</v>
      </c>
      <c t="s">
        <v>60040</v>
      </c>
      <c t="s">
        <v>65059</v>
      </c>
      <c t="s">
        <v>39289</v>
      </c>
      <c>
        <v>33905</v>
      </c>
      <c t="s">
        <v>37511</v>
      </c>
      <c t="s">
        <v>48794</v>
      </c>
      <c t="s">
        <v>17794</v>
      </c>
      <c>
        <v>10101</v>
      </c>
      <c r="AI3434" t="s">
        <v>59763</v>
      </c>
      <c t="s">
        <v>45393</v>
      </c>
      <c r="AL3434" t="s">
        <v>55393</v>
      </c>
      <c r="AN3434" t="s">
        <v>39289</v>
      </c>
      <c t="s">
        <v>40572</v>
      </c>
      <c t="s">
        <v>40645</v>
      </c>
      <c t="s">
        <v>3093</v>
      </c>
      <c t="s">
        <v>24429</v>
      </c>
    </row>
    <row>
      <c t="s">
        <v>17594</v>
      </c>
      <c t="s">
        <v>33873</v>
      </c>
      <c t="s">
        <v>32307</v>
      </c>
      <c t="s">
        <v>30034</v>
      </c>
      <c t="s">
        <v>26547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 r="O3435" s="1" t="str">
        <f ca="1">HYPERLINK("https://web.datatree.com/?/property?propertyId=33290462", "https://web.datatree.com/?/property?propertyId=33290462")</f>
        <v>https://web.datatree.com/?/property?propertyId=33290462</v>
      </c>
      <c r="Q3435" t="s">
        <v>316</v>
      </c>
      <c>
        <v>0.23</v>
      </c>
      <c t="s">
        <v>5471</v>
      </c>
      <c t="s">
        <v>62913</v>
      </c>
      <c t="s">
        <v>46744</v>
      </c>
      <c t="s">
        <v>63182</v>
      </c>
      <c t="s">
        <v>46744</v>
      </c>
      <c t="s">
        <v>62812</v>
      </c>
      <c t="s">
        <v>43940</v>
      </c>
      <c t="s">
        <v>65059</v>
      </c>
      <c t="s">
        <v>39289</v>
      </c>
      <c>
        <v>33905</v>
      </c>
      <c t="s">
        <v>50453</v>
      </c>
      <c t="s">
        <v>48794</v>
      </c>
      <c t="s">
        <v>28352</v>
      </c>
      <c>
        <v>1286</v>
      </c>
      <c r="AI3435" t="s">
        <v>3042</v>
      </c>
      <c t="s">
        <v>45393</v>
      </c>
      <c r="AL3435" t="s">
        <v>8109</v>
      </c>
      <c r="AN3435" t="s">
        <v>50917</v>
      </c>
      <c t="s">
        <v>26151</v>
      </c>
      <c t="s">
        <v>64128</v>
      </c>
      <c t="s">
        <v>3093</v>
      </c>
      <c t="s">
        <v>12356</v>
      </c>
    </row>
    <row>
      <c t="s">
        <v>17594</v>
      </c>
      <c t="s">
        <v>9235</v>
      </c>
      <c t="s">
        <v>45433</v>
      </c>
      <c t="s">
        <v>42217</v>
      </c>
      <c t="s">
        <v>18375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3436" s="1" t="str">
        <f ca="1">HYPERLINK("https://web.datatree.com/?/property?propertyId=33291218", "https://web.datatree.com/?/property?propertyId=33291218")</f>
        <v>https://web.datatree.com/?/property?propertyId=33291218</v>
      </c>
      <c r="Q3436" t="s">
        <v>316</v>
      </c>
      <c>
        <v>0.23</v>
      </c>
      <c t="s">
        <v>45031</v>
      </c>
      <c t="s">
        <v>1711</v>
      </c>
      <c t="s">
        <v>49646</v>
      </c>
      <c t="s">
        <v>26372</v>
      </c>
      <c t="s">
        <v>1711</v>
      </c>
      <c t="s">
        <v>38406</v>
      </c>
      <c t="s">
        <v>55273</v>
      </c>
      <c t="s">
        <v>2517</v>
      </c>
      <c t="s">
        <v>39289</v>
      </c>
      <c>
        <v>33909</v>
      </c>
      <c t="s">
        <v>52075</v>
      </c>
      <c t="s">
        <v>48794</v>
      </c>
      <c t="s">
        <v>38211</v>
      </c>
      <c>
        <v>80</v>
      </c>
      <c r="AI3436" t="s">
        <v>38860</v>
      </c>
      <c t="s">
        <v>24900</v>
      </c>
      <c r="AL3436" t="s">
        <v>12794</v>
      </c>
      <c r="AN3436" t="s">
        <v>50917</v>
      </c>
      <c t="s">
        <v>19322</v>
      </c>
      <c t="s">
        <v>6081</v>
      </c>
      <c t="s">
        <v>3093</v>
      </c>
      <c t="s">
        <v>49277</v>
      </c>
    </row>
    <row>
      <c t="s">
        <v>17594</v>
      </c>
      <c t="s">
        <v>58046</v>
      </c>
      <c t="s">
        <v>61935</v>
      </c>
      <c t="s">
        <v>19497</v>
      </c>
      <c t="s">
        <v>65541</v>
      </c>
      <c s="3">
        <v>23310</v>
      </c>
      <c s="3">
        <v>23310</v>
      </c>
      <c s="3">
        <v>10467</v>
      </c>
      <c>
        <v>0</v>
      </c>
      <c s="3">
        <v>0</v>
      </c>
      <c s="3">
        <v>705.52</v>
      </c>
      <c s="3">
        <v>23310</v>
      </c>
      <c>
        <v>2021</v>
      </c>
      <c>
        <v>736.42</v>
      </c>
      <c s="1" t="str">
        <f ca="1">HYPERLINK("https://web.datatree.com/?/property?propertyId=33292193", "https://web.datatree.com/?/property?propertyId=33292193")</f>
        <v>https://web.datatree.com/?/property?propertyId=33292193</v>
      </c>
      <c r="Q3437" t="s">
        <v>316</v>
      </c>
      <c>
        <v>0.344</v>
      </c>
      <c t="s">
        <v>6175</v>
      </c>
      <c t="s">
        <v>10365</v>
      </c>
      <c t="s">
        <v>34089</v>
      </c>
      <c t="s">
        <v>3020</v>
      </c>
      <c t="s">
        <v>34089</v>
      </c>
      <c t="s">
        <v>1326</v>
      </c>
      <c t="s">
        <v>61865</v>
      </c>
      <c t="s">
        <v>2517</v>
      </c>
      <c t="s">
        <v>39289</v>
      </c>
      <c>
        <v>33909</v>
      </c>
      <c t="s">
        <v>51346</v>
      </c>
      <c t="s">
        <v>48794</v>
      </c>
      <c t="s">
        <v>2561</v>
      </c>
      <c>
        <v>1064</v>
      </c>
      <c r="AI3437" t="s">
        <v>19762</v>
      </c>
      <c r="AL3437" t="s">
        <v>21424</v>
      </c>
      <c r="AN3437" t="s">
        <v>513</v>
      </c>
      <c r="AR3437" t="s">
        <v>12003</v>
      </c>
    </row>
    <row>
      <c t="s">
        <v>17594</v>
      </c>
      <c t="s">
        <v>40673</v>
      </c>
      <c t="s">
        <v>30160</v>
      </c>
      <c t="s">
        <v>29376</v>
      </c>
      <c t="s">
        <v>8668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3438" s="1" t="str">
        <f ca="1">HYPERLINK("https://web.datatree.com/?/property?propertyId=33292299", "https://web.datatree.com/?/property?propertyId=33292299")</f>
        <v>https://web.datatree.com/?/property?propertyId=33292299</v>
      </c>
      <c r="Q3438" t="s">
        <v>316</v>
      </c>
      <c>
        <v>0.231</v>
      </c>
      <c t="s">
        <v>6175</v>
      </c>
      <c t="s">
        <v>52057</v>
      </c>
      <c t="s">
        <v>27504</v>
      </c>
      <c r="X3438" t="s">
        <v>25574</v>
      </c>
      <c t="s">
        <v>46469</v>
      </c>
      <c t="s">
        <v>2517</v>
      </c>
      <c t="s">
        <v>39289</v>
      </c>
      <c>
        <v>33909</v>
      </c>
      <c t="s">
        <v>50418</v>
      </c>
      <c t="s">
        <v>48794</v>
      </c>
      <c t="s">
        <v>5862</v>
      </c>
      <c>
        <v>9560</v>
      </c>
      <c r="AI3438" t="s">
        <v>66204</v>
      </c>
      <c t="s">
        <v>45620</v>
      </c>
      <c r="AL3438" t="s">
        <v>62681</v>
      </c>
      <c r="AN3438" t="s">
        <v>36601</v>
      </c>
      <c t="s">
        <v>6211</v>
      </c>
      <c t="s">
        <v>44428</v>
      </c>
      <c t="s">
        <v>3093</v>
      </c>
      <c t="s">
        <v>23545</v>
      </c>
    </row>
    <row>
      <c t="s">
        <v>17594</v>
      </c>
      <c t="s">
        <v>56722</v>
      </c>
      <c t="s">
        <v>10307</v>
      </c>
      <c t="s">
        <v>33997</v>
      </c>
      <c t="s">
        <v>18010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3439" s="1" t="str">
        <f ca="1">HYPERLINK("https://web.datatree.com/?/property?propertyId=33292326", "https://web.datatree.com/?/property?propertyId=33292326")</f>
        <v>https://web.datatree.com/?/property?propertyId=33292326</v>
      </c>
      <c r="Q3439" t="s">
        <v>316</v>
      </c>
      <c>
        <v>0.241</v>
      </c>
      <c t="s">
        <v>6175</v>
      </c>
      <c t="s">
        <v>39139</v>
      </c>
      <c t="s">
        <v>2306</v>
      </c>
      <c r="X3439" t="s">
        <v>31770</v>
      </c>
      <c t="s">
        <v>66701</v>
      </c>
      <c t="s">
        <v>2517</v>
      </c>
      <c t="s">
        <v>39289</v>
      </c>
      <c>
        <v>33909</v>
      </c>
      <c t="s">
        <v>46822</v>
      </c>
      <c t="s">
        <v>48794</v>
      </c>
      <c t="s">
        <v>38546</v>
      </c>
      <c>
        <v>940</v>
      </c>
      <c r="AI3439" t="s">
        <v>25017</v>
      </c>
      <c t="s">
        <v>45393</v>
      </c>
      <c r="AL3439" t="s">
        <v>2196</v>
      </c>
      <c r="AN3439" t="s">
        <v>36633</v>
      </c>
      <c t="s">
        <v>59182</v>
      </c>
      <c t="s">
        <v>11138</v>
      </c>
      <c t="s">
        <v>3093</v>
      </c>
      <c t="s">
        <v>65714</v>
      </c>
    </row>
    <row>
      <c t="s">
        <v>17594</v>
      </c>
      <c t="s">
        <v>44800</v>
      </c>
      <c t="s">
        <v>13304</v>
      </c>
      <c t="s">
        <v>20047</v>
      </c>
      <c t="s">
        <v>21865</v>
      </c>
      <c s="3">
        <v>122094</v>
      </c>
      <c s="3">
        <v>122094</v>
      </c>
      <c s="3">
        <v>102366</v>
      </c>
      <c>
        <v>0</v>
      </c>
      <c s="3">
        <v>0</v>
      </c>
      <c s="3">
        <v>2139.81</v>
      </c>
      <c s="3">
        <v>122094</v>
      </c>
      <c r="O3440" s="1" t="str">
        <f ca="1">HYPERLINK("https://web.datatree.com/?/property?propertyId=33292489", "https://web.datatree.com/?/property?propertyId=33292489")</f>
        <v>https://web.datatree.com/?/property?propertyId=33292489</v>
      </c>
      <c r="Q3440" t="s">
        <v>316</v>
      </c>
      <c>
        <v>0.23</v>
      </c>
      <c t="s">
        <v>22490</v>
      </c>
      <c r="U3440" t="s">
        <v>36085</v>
      </c>
      <c t="s">
        <v>3293</v>
      </c>
      <c t="s">
        <v>60107</v>
      </c>
      <c t="s">
        <v>12938</v>
      </c>
      <c t="s">
        <v>39082</v>
      </c>
      <c t="s">
        <v>2517</v>
      </c>
      <c t="s">
        <v>39289</v>
      </c>
      <c>
        <v>33904</v>
      </c>
      <c t="s">
        <v>5621</v>
      </c>
      <c t="s">
        <v>48794</v>
      </c>
      <c t="s">
        <v>35149</v>
      </c>
      <c>
        <v>29392</v>
      </c>
      <c r="AI3440" t="s">
        <v>60074</v>
      </c>
      <c t="s">
        <v>31192</v>
      </c>
      <c r="AL3440" t="s">
        <v>32381</v>
      </c>
      <c r="AN3440" t="s">
        <v>39289</v>
      </c>
      <c t="s">
        <v>2406</v>
      </c>
      <c t="s">
        <v>18415</v>
      </c>
      <c t="s">
        <v>3093</v>
      </c>
      <c t="s">
        <v>67202</v>
      </c>
    </row>
    <row>
      <c t="s">
        <v>17594</v>
      </c>
      <c t="s">
        <v>40557</v>
      </c>
      <c t="s">
        <v>27639</v>
      </c>
      <c t="s">
        <v>25372</v>
      </c>
      <c t="s">
        <v>57405</v>
      </c>
      <c s="3">
        <v>70931</v>
      </c>
      <c s="3">
        <v>63500</v>
      </c>
      <c s="3">
        <v>68937</v>
      </c>
      <c>
        <v>0</v>
      </c>
      <c s="3">
        <v>0</v>
      </c>
      <c s="3">
        <v>1048.07</v>
      </c>
      <c s="3">
        <v>70931</v>
      </c>
      <c r="O3441" s="1" t="str">
        <f ca="1">HYPERLINK("https://web.datatree.com/?/property?propertyId=33292542", "https://web.datatree.com/?/property?propertyId=33292542")</f>
        <v>https://web.datatree.com/?/property?propertyId=33292542</v>
      </c>
      <c r="Q3441" t="s">
        <v>316</v>
      </c>
      <c>
        <v>0.095</v>
      </c>
      <c t="s">
        <v>26492</v>
      </c>
      <c t="s">
        <v>9900</v>
      </c>
      <c t="s">
        <v>32248</v>
      </c>
      <c t="s">
        <v>64500</v>
      </c>
      <c t="s">
        <v>9374</v>
      </c>
      <c t="s">
        <v>16609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43466</v>
      </c>
      <c>
        <v>859</v>
      </c>
      <c r="AI3441" t="s">
        <v>38556</v>
      </c>
      <c t="s">
        <v>45620</v>
      </c>
      <c r="AL3441" t="s">
        <v>38556</v>
      </c>
      <c t="s">
        <v>40227</v>
      </c>
      <c t="s">
        <v>56381</v>
      </c>
      <c t="s">
        <v>6862</v>
      </c>
      <c r="AQ3441" t="s">
        <v>27814</v>
      </c>
      <c t="s">
        <v>23718</v>
      </c>
    </row>
    <row>
      <c t="s">
        <v>17594</v>
      </c>
      <c t="s">
        <v>14928</v>
      </c>
      <c t="s">
        <v>8122</v>
      </c>
      <c t="s">
        <v>38470</v>
      </c>
      <c t="s">
        <v>49418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>
        <v>2021</v>
      </c>
      <c>
        <v>532.49</v>
      </c>
      <c s="1" t="str">
        <f ca="1">HYPERLINK("https://web.datatree.com/?/property?propertyId=33292732", "https://web.datatree.com/?/property?propertyId=33292732")</f>
        <v>https://web.datatree.com/?/property?propertyId=33292732</v>
      </c>
      <c r="Q3442" t="s">
        <v>316</v>
      </c>
      <c>
        <v>0.229</v>
      </c>
      <c t="s">
        <v>22490</v>
      </c>
      <c t="s">
        <v>33213</v>
      </c>
      <c t="s">
        <v>8586</v>
      </c>
      <c t="s">
        <v>52701</v>
      </c>
      <c t="s">
        <v>1522</v>
      </c>
      <c t="s">
        <v>43834</v>
      </c>
      <c t="s">
        <v>23517</v>
      </c>
      <c t="s">
        <v>2517</v>
      </c>
      <c t="s">
        <v>39289</v>
      </c>
      <c>
        <v>33909</v>
      </c>
      <c t="s">
        <v>7302</v>
      </c>
      <c t="s">
        <v>48794</v>
      </c>
      <c t="s">
        <v>39010</v>
      </c>
      <c r="AI3442" t="s">
        <v>26342</v>
      </c>
      <c r="AL3442" t="s">
        <v>26831</v>
      </c>
      <c r="AN3442" t="s">
        <v>37824</v>
      </c>
      <c r="AR3442" t="s">
        <v>57756</v>
      </c>
    </row>
    <row>
      <c t="s">
        <v>17594</v>
      </c>
      <c t="s">
        <v>20926</v>
      </c>
      <c t="s">
        <v>33518</v>
      </c>
      <c t="s">
        <v>8158</v>
      </c>
      <c t="s">
        <v>10726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3443" s="1" t="str">
        <f ca="1">HYPERLINK("https://web.datatree.com/?/property?propertyId=33293599", "https://web.datatree.com/?/property?propertyId=33293599")</f>
        <v>https://web.datatree.com/?/property?propertyId=33293599</v>
      </c>
      <c r="Q3443" t="s">
        <v>316</v>
      </c>
      <c>
        <v>0.23</v>
      </c>
      <c t="s">
        <v>6175</v>
      </c>
      <c t="s">
        <v>48755</v>
      </c>
      <c t="s">
        <v>31914</v>
      </c>
      <c t="s">
        <v>10451</v>
      </c>
      <c t="s">
        <v>31914</v>
      </c>
      <c t="s">
        <v>20335</v>
      </c>
      <c t="s">
        <v>47150</v>
      </c>
      <c t="s">
        <v>2517</v>
      </c>
      <c t="s">
        <v>39289</v>
      </c>
      <c>
        <v>33909</v>
      </c>
      <c t="s">
        <v>42580</v>
      </c>
      <c t="s">
        <v>48794</v>
      </c>
      <c t="s">
        <v>20322</v>
      </c>
      <c>
        <v>307</v>
      </c>
      <c r="AI3443" t="s">
        <v>6760</v>
      </c>
      <c t="s">
        <v>31192</v>
      </c>
      <c r="AL3443" t="s">
        <v>6799</v>
      </c>
      <c r="AN3443" t="s">
        <v>10804</v>
      </c>
      <c t="s">
        <v>24001</v>
      </c>
      <c t="s">
        <v>44843</v>
      </c>
      <c t="s">
        <v>3093</v>
      </c>
      <c t="s">
        <v>63996</v>
      </c>
    </row>
    <row>
      <c t="s">
        <v>17594</v>
      </c>
      <c t="s">
        <v>51860</v>
      </c>
      <c t="s">
        <v>29742</v>
      </c>
      <c t="s">
        <v>43305</v>
      </c>
      <c t="s">
        <v>15076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444" s="1" t="str">
        <f ca="1">HYPERLINK("https://web.datatree.com/?/property?propertyId=33293758", "https://web.datatree.com/?/property?propertyId=33293758")</f>
        <v>https://web.datatree.com/?/property?propertyId=33293758</v>
      </c>
      <c r="Q3444" t="s">
        <v>316</v>
      </c>
      <c>
        <v>0.23</v>
      </c>
      <c t="s">
        <v>6175</v>
      </c>
      <c t="s">
        <v>62125</v>
      </c>
      <c t="s">
        <v>11679</v>
      </c>
      <c t="s">
        <v>4908</v>
      </c>
      <c t="s">
        <v>11679</v>
      </c>
      <c t="s">
        <v>57223</v>
      </c>
      <c t="s">
        <v>2626</v>
      </c>
      <c t="s">
        <v>2517</v>
      </c>
      <c t="s">
        <v>39289</v>
      </c>
      <c>
        <v>33909</v>
      </c>
      <c t="s">
        <v>382</v>
      </c>
      <c t="s">
        <v>48794</v>
      </c>
      <c t="s">
        <v>61889</v>
      </c>
      <c>
        <v>4177</v>
      </c>
      <c r="AI3444" t="s">
        <v>2969</v>
      </c>
      <c t="s">
        <v>31192</v>
      </c>
      <c r="AL3444" t="s">
        <v>60882</v>
      </c>
      <c r="AN3444" t="s">
        <v>51137</v>
      </c>
      <c t="s">
        <v>48640</v>
      </c>
      <c t="s">
        <v>43313</v>
      </c>
      <c t="s">
        <v>3093</v>
      </c>
      <c t="s">
        <v>56992</v>
      </c>
    </row>
    <row>
      <c t="s">
        <v>17594</v>
      </c>
      <c t="s">
        <v>34107</v>
      </c>
      <c t="s">
        <v>35150</v>
      </c>
      <c t="s">
        <v>7013</v>
      </c>
      <c t="s">
        <v>50395</v>
      </c>
      <c s="3">
        <v>38750</v>
      </c>
      <c s="3">
        <v>38750</v>
      </c>
      <c s="3">
        <v>38750</v>
      </c>
      <c>
        <v>0</v>
      </c>
      <c s="3">
        <v>0</v>
      </c>
      <c s="3">
        <v>990.65</v>
      </c>
      <c s="3">
        <v>38750</v>
      </c>
      <c r="O3445" s="1" t="str">
        <f ca="1">HYPERLINK("https://web.datatree.com/?/property?propertyId=33294006", "https://web.datatree.com/?/property?propertyId=33294006")</f>
        <v>https://web.datatree.com/?/property?propertyId=33294006</v>
      </c>
      <c r="Q3445" t="s">
        <v>316</v>
      </c>
      <c>
        <v>0.244</v>
      </c>
      <c t="s">
        <v>22490</v>
      </c>
      <c t="s">
        <v>50795</v>
      </c>
      <c t="s">
        <v>10988</v>
      </c>
      <c t="s">
        <v>49327</v>
      </c>
      <c t="s">
        <v>10988</v>
      </c>
      <c t="s">
        <v>67119</v>
      </c>
      <c t="s">
        <v>22731</v>
      </c>
      <c t="s">
        <v>2517</v>
      </c>
      <c t="s">
        <v>39289</v>
      </c>
      <c>
        <v>33909</v>
      </c>
      <c t="s">
        <v>46781</v>
      </c>
      <c t="s">
        <v>48794</v>
      </c>
      <c t="s">
        <v>14746</v>
      </c>
      <c>
        <v>7625</v>
      </c>
      <c r="AI3445" t="s">
        <v>63573</v>
      </c>
      <c t="s">
        <v>835</v>
      </c>
      <c r="AL3445" t="s">
        <v>31104</v>
      </c>
      <c t="s">
        <v>31104</v>
      </c>
      <c t="s">
        <v>14798</v>
      </c>
      <c t="s">
        <v>36918</v>
      </c>
      <c t="s">
        <v>44573</v>
      </c>
      <c t="s">
        <v>3093</v>
      </c>
      <c t="s">
        <v>65877</v>
      </c>
    </row>
    <row>
      <c t="s">
        <v>17594</v>
      </c>
      <c t="s">
        <v>61528</v>
      </c>
      <c t="s">
        <v>47191</v>
      </c>
      <c t="s">
        <v>53513</v>
      </c>
      <c t="s">
        <v>58434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3446" s="1" t="str">
        <f ca="1">HYPERLINK("https://web.datatree.com/?/property?propertyId=33294095", "https://web.datatree.com/?/property?propertyId=33294095")</f>
        <v>https://web.datatree.com/?/property?propertyId=33294095</v>
      </c>
      <c r="Q3446" t="s">
        <v>316</v>
      </c>
      <c>
        <v>0.246</v>
      </c>
      <c t="s">
        <v>6175</v>
      </c>
      <c t="s">
        <v>20434</v>
      </c>
      <c t="s">
        <v>58099</v>
      </c>
      <c t="s">
        <v>34344</v>
      </c>
      <c t="s">
        <v>33543</v>
      </c>
      <c t="s">
        <v>42785</v>
      </c>
      <c t="s">
        <v>17022</v>
      </c>
      <c t="s">
        <v>2517</v>
      </c>
      <c t="s">
        <v>39289</v>
      </c>
      <c>
        <v>33909</v>
      </c>
      <c t="s">
        <v>41985</v>
      </c>
      <c t="s">
        <v>48794</v>
      </c>
      <c t="s">
        <v>49013</v>
      </c>
      <c>
        <v>512</v>
      </c>
      <c r="AI3446" t="s">
        <v>17022</v>
      </c>
      <c t="s">
        <v>24900</v>
      </c>
      <c r="AL3446" t="s">
        <v>22531</v>
      </c>
      <c r="AN3446" t="s">
        <v>39289</v>
      </c>
      <c t="s">
        <v>8267</v>
      </c>
      <c t="s">
        <v>27553</v>
      </c>
      <c t="s">
        <v>3093</v>
      </c>
      <c t="s">
        <v>52106</v>
      </c>
    </row>
    <row>
      <c t="s">
        <v>17594</v>
      </c>
      <c t="s">
        <v>52238</v>
      </c>
      <c t="s">
        <v>50062</v>
      </c>
      <c t="s">
        <v>21323</v>
      </c>
      <c t="s">
        <v>61019</v>
      </c>
      <c s="3">
        <v>99015</v>
      </c>
      <c s="3">
        <v>99015</v>
      </c>
      <c s="3">
        <v>96367</v>
      </c>
      <c>
        <v>0</v>
      </c>
      <c s="3">
        <v>0</v>
      </c>
      <c s="3">
        <v>1330.32</v>
      </c>
      <c s="3">
        <v>99015</v>
      </c>
      <c r="O3447" s="1" t="str">
        <f ca="1">HYPERLINK("https://web.datatree.com/?/property?propertyId=33294913", "https://web.datatree.com/?/property?propertyId=33294913")</f>
        <v>https://web.datatree.com/?/property?propertyId=33294913</v>
      </c>
      <c r="Q3447" t="s">
        <v>316</v>
      </c>
      <c>
        <v>0.238</v>
      </c>
      <c t="s">
        <v>5471</v>
      </c>
      <c t="s">
        <v>44541</v>
      </c>
      <c t="s">
        <v>34038</v>
      </c>
      <c t="s">
        <v>36243</v>
      </c>
      <c t="s">
        <v>34038</v>
      </c>
      <c t="s">
        <v>51255</v>
      </c>
      <c t="s">
        <v>45219</v>
      </c>
      <c t="s">
        <v>65059</v>
      </c>
      <c t="s">
        <v>39289</v>
      </c>
      <c>
        <v>33905</v>
      </c>
      <c t="s">
        <v>8120</v>
      </c>
      <c t="s">
        <v>48794</v>
      </c>
      <c t="s">
        <v>35743</v>
      </c>
      <c>
        <v>26032</v>
      </c>
      <c r="AI3447" t="s">
        <v>36268</v>
      </c>
      <c t="s">
        <v>31192</v>
      </c>
      <c r="AL3447" t="s">
        <v>57278</v>
      </c>
      <c r="AN3447" t="s">
        <v>51137</v>
      </c>
      <c t="s">
        <v>6017</v>
      </c>
      <c t="s">
        <v>61410</v>
      </c>
      <c t="s">
        <v>3093</v>
      </c>
      <c t="s">
        <v>38266</v>
      </c>
    </row>
    <row>
      <c t="s">
        <v>17594</v>
      </c>
      <c t="s">
        <v>30394</v>
      </c>
      <c t="s">
        <v>40275</v>
      </c>
      <c t="s">
        <v>23736</v>
      </c>
      <c t="s">
        <v>34466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3448" s="1" t="str">
        <f ca="1">HYPERLINK("https://web.datatree.com/?/property?propertyId=33295218", "https://web.datatree.com/?/property?propertyId=33295218")</f>
        <v>https://web.datatree.com/?/property?propertyId=33295218</v>
      </c>
      <c r="Q3448" t="s">
        <v>316</v>
      </c>
      <c>
        <v>0.23</v>
      </c>
      <c t="s">
        <v>6175</v>
      </c>
      <c t="s">
        <v>26502</v>
      </c>
      <c t="s">
        <v>3174</v>
      </c>
      <c t="s">
        <v>65497</v>
      </c>
      <c t="s">
        <v>28559</v>
      </c>
      <c t="s">
        <v>30611</v>
      </c>
      <c t="s">
        <v>22731</v>
      </c>
      <c t="s">
        <v>2517</v>
      </c>
      <c t="s">
        <v>39289</v>
      </c>
      <c>
        <v>33909</v>
      </c>
      <c t="s">
        <v>17402</v>
      </c>
      <c t="s">
        <v>48794</v>
      </c>
      <c t="s">
        <v>15949</v>
      </c>
      <c>
        <v>14116</v>
      </c>
      <c r="AI3448" t="s">
        <v>9246</v>
      </c>
      <c t="s">
        <v>55842</v>
      </c>
      <c r="AL3448" t="s">
        <v>15650</v>
      </c>
      <c t="s">
        <v>15650</v>
      </c>
      <c t="s">
        <v>39289</v>
      </c>
      <c t="s">
        <v>6088</v>
      </c>
      <c t="s">
        <v>51100</v>
      </c>
      <c t="s">
        <v>3093</v>
      </c>
      <c t="s">
        <v>47410</v>
      </c>
    </row>
    <row>
      <c t="s">
        <v>42103</v>
      </c>
      <c t="s">
        <v>30802</v>
      </c>
      <c t="s">
        <v>4332</v>
      </c>
      <c t="s">
        <v>30483</v>
      </c>
      <c t="s">
        <v>401</v>
      </c>
      <c s="3">
        <v>7500</v>
      </c>
      <c s="3">
        <v>7500</v>
      </c>
      <c s="3">
        <v>7500</v>
      </c>
      <c>
        <v>0</v>
      </c>
      <c s="3">
        <v>0</v>
      </c>
      <c s="3">
        <v>572.27</v>
      </c>
      <c s="3">
        <v>7500</v>
      </c>
      <c r="O3449" s="1" t="str">
        <f ca="1">HYPERLINK("https://web.datatree.com/?/property?propertyId=33295280", "https://web.datatree.com/?/property?propertyId=33295280")</f>
        <v>https://web.datatree.com/?/property?propertyId=33295280</v>
      </c>
      <c r="Q3449" t="s">
        <v>316</v>
      </c>
      <c>
        <v>0.258</v>
      </c>
      <c t="s">
        <v>6175</v>
      </c>
      <c t="s">
        <v>18015</v>
      </c>
      <c t="s">
        <v>65332</v>
      </c>
      <c t="s">
        <v>18015</v>
      </c>
      <c t="s">
        <v>4190</v>
      </c>
      <c t="s">
        <v>1587</v>
      </c>
      <c t="s">
        <v>33179</v>
      </c>
      <c t="s">
        <v>2517</v>
      </c>
      <c t="s">
        <v>39289</v>
      </c>
      <c>
        <v>33909</v>
      </c>
      <c t="s">
        <v>58551</v>
      </c>
      <c t="s">
        <v>48794</v>
      </c>
      <c t="s">
        <v>41893</v>
      </c>
      <c r="AI3449" t="s">
        <v>48177</v>
      </c>
      <c r="AL3449" t="s">
        <v>9585</v>
      </c>
      <c r="AN3449" t="s">
        <v>50917</v>
      </c>
      <c>
        <v>10573</v>
      </c>
      <c t="s">
        <v>1762</v>
      </c>
      <c t="s">
        <v>3093</v>
      </c>
      <c t="s">
        <v>58588</v>
      </c>
    </row>
    <row>
      <c t="s">
        <v>17594</v>
      </c>
      <c t="s">
        <v>9391</v>
      </c>
      <c t="s">
        <v>10518</v>
      </c>
      <c t="s">
        <v>13271</v>
      </c>
      <c t="s">
        <v>15884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>
        <v>2019</v>
      </c>
      <c>
        <v>4347.41</v>
      </c>
      <c s="1" t="str">
        <f ca="1">HYPERLINK("https://web.datatree.com/?/property?propertyId=33295500", "https://web.datatree.com/?/property?propertyId=33295500")</f>
        <v>https://web.datatree.com/?/property?propertyId=33295500</v>
      </c>
      <c r="Q3450" t="s">
        <v>316</v>
      </c>
      <c>
        <v>0.23</v>
      </c>
      <c t="s">
        <v>22490</v>
      </c>
      <c t="s">
        <v>20634</v>
      </c>
      <c t="s">
        <v>18501</v>
      </c>
      <c r="X3450" t="s">
        <v>65874</v>
      </c>
      <c t="s">
        <v>2626</v>
      </c>
      <c t="s">
        <v>2517</v>
      </c>
      <c t="s">
        <v>39289</v>
      </c>
      <c>
        <v>33909</v>
      </c>
      <c t="s">
        <v>42247</v>
      </c>
      <c t="s">
        <v>48794</v>
      </c>
      <c t="s">
        <v>40439</v>
      </c>
      <c>
        <v>202</v>
      </c>
      <c r="AI3450" t="s">
        <v>61743</v>
      </c>
      <c t="s">
        <v>31192</v>
      </c>
      <c r="AL3450" t="s">
        <v>22179</v>
      </c>
      <c r="AN3450" t="s">
        <v>26016</v>
      </c>
      <c t="s">
        <v>42454</v>
      </c>
      <c t="s">
        <v>27780</v>
      </c>
      <c t="s">
        <v>3093</v>
      </c>
      <c t="s">
        <v>7546</v>
      </c>
    </row>
    <row>
      <c t="s">
        <v>17594</v>
      </c>
      <c t="s">
        <v>66469</v>
      </c>
      <c t="s">
        <v>43487</v>
      </c>
      <c t="s">
        <v>12585</v>
      </c>
      <c t="s">
        <v>56232</v>
      </c>
      <c s="3">
        <v>19200</v>
      </c>
      <c s="3">
        <v>19200</v>
      </c>
      <c s="3">
        <v>9339</v>
      </c>
      <c>
        <v>0</v>
      </c>
      <c s="3">
        <v>0</v>
      </c>
      <c s="3">
        <v>580.03</v>
      </c>
      <c s="3">
        <v>19200</v>
      </c>
      <c r="O3451" s="1" t="str">
        <f ca="1">HYPERLINK("https://web.datatree.com/?/property?propertyId=33295549", "https://web.datatree.com/?/property?propertyId=33295549")</f>
        <v>https://web.datatree.com/?/property?propertyId=33295549</v>
      </c>
      <c r="Q3451" t="s">
        <v>316</v>
      </c>
      <c>
        <v>0.244</v>
      </c>
      <c t="s">
        <v>6175</v>
      </c>
      <c t="s">
        <v>52701</v>
      </c>
      <c t="s">
        <v>24236</v>
      </c>
      <c r="X3451" t="s">
        <v>50787</v>
      </c>
      <c t="s">
        <v>53663</v>
      </c>
      <c t="s">
        <v>2517</v>
      </c>
      <c t="s">
        <v>39289</v>
      </c>
      <c>
        <v>33909</v>
      </c>
      <c t="s">
        <v>15660</v>
      </c>
      <c t="s">
        <v>48794</v>
      </c>
      <c t="s">
        <v>12058</v>
      </c>
      <c>
        <v>56</v>
      </c>
      <c r="AI3451" t="s">
        <v>28156</v>
      </c>
      <c r="AL3451" t="s">
        <v>8000</v>
      </c>
      <c t="s">
        <v>8000</v>
      </c>
      <c t="s">
        <v>9533</v>
      </c>
      <c t="s">
        <v>56146</v>
      </c>
      <c t="s">
        <v>62983</v>
      </c>
      <c t="s">
        <v>3093</v>
      </c>
      <c t="s">
        <v>64705</v>
      </c>
    </row>
    <row>
      <c t="s">
        <v>17594</v>
      </c>
      <c t="s">
        <v>60467</v>
      </c>
      <c t="s">
        <v>57831</v>
      </c>
      <c t="s">
        <v>45427</v>
      </c>
      <c t="s">
        <v>35341</v>
      </c>
      <c s="3">
        <v>23352</v>
      </c>
      <c s="3">
        <v>23352</v>
      </c>
      <c s="3">
        <v>8800</v>
      </c>
      <c>
        <v>0</v>
      </c>
      <c s="3">
        <v>0</v>
      </c>
      <c s="3">
        <v>615.88</v>
      </c>
      <c s="3">
        <v>23352</v>
      </c>
      <c r="O3452" s="1" t="str">
        <f ca="1">HYPERLINK("https://web.datatree.com/?/property?propertyId=33295599", "https://web.datatree.com/?/property?propertyId=33295599")</f>
        <v>https://web.datatree.com/?/property?propertyId=33295599</v>
      </c>
      <c r="Q3452" t="s">
        <v>316</v>
      </c>
      <c>
        <v>0.251</v>
      </c>
      <c t="s">
        <v>22490</v>
      </c>
      <c t="s">
        <v>66846</v>
      </c>
      <c t="s">
        <v>6168</v>
      </c>
      <c r="W3452" t="s">
        <v>27300</v>
      </c>
      <c t="s">
        <v>40331</v>
      </c>
      <c t="s">
        <v>46469</v>
      </c>
      <c t="s">
        <v>2517</v>
      </c>
      <c t="s">
        <v>39289</v>
      </c>
      <c>
        <v>33909</v>
      </c>
      <c t="s">
        <v>53103</v>
      </c>
      <c t="s">
        <v>48794</v>
      </c>
      <c t="s">
        <v>43606</v>
      </c>
      <c>
        <v>2316</v>
      </c>
      <c r="AI3452" t="s">
        <v>53509</v>
      </c>
      <c r="AL3452" t="s">
        <v>48452</v>
      </c>
      <c r="AN3452" t="s">
        <v>65451</v>
      </c>
      <c t="s">
        <v>28497</v>
      </c>
      <c t="s">
        <v>1951</v>
      </c>
      <c t="s">
        <v>3093</v>
      </c>
      <c t="s">
        <v>32662</v>
      </c>
    </row>
    <row>
      <c t="s">
        <v>17594</v>
      </c>
      <c t="s">
        <v>66274</v>
      </c>
      <c t="s">
        <v>11920</v>
      </c>
      <c t="s">
        <v>45968</v>
      </c>
      <c t="s">
        <v>63145</v>
      </c>
      <c s="3">
        <v>96423</v>
      </c>
      <c s="3">
        <v>86250</v>
      </c>
      <c s="3">
        <v>82569</v>
      </c>
      <c>
        <v>0</v>
      </c>
      <c s="3">
        <v>0</v>
      </c>
      <c s="3">
        <v>1318.06</v>
      </c>
      <c s="3">
        <v>96423</v>
      </c>
      <c r="O3453" s="1" t="str">
        <f ca="1">HYPERLINK("https://web.datatree.com/?/property?propertyId=33295982", "https://web.datatree.com/?/property?propertyId=33295982")</f>
        <v>https://web.datatree.com/?/property?propertyId=33295982</v>
      </c>
      <c r="Q3453" t="s">
        <v>316</v>
      </c>
      <c>
        <v>0.105</v>
      </c>
      <c t="s">
        <v>26492</v>
      </c>
      <c t="s">
        <v>51210</v>
      </c>
      <c t="s">
        <v>11404</v>
      </c>
      <c t="s">
        <v>36890</v>
      </c>
      <c t="s">
        <v>11404</v>
      </c>
      <c t="s">
        <v>2984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59215</v>
      </c>
      <c>
        <v>244</v>
      </c>
      <c r="AI3453" t="s">
        <v>35156</v>
      </c>
      <c t="s">
        <v>45393</v>
      </c>
      <c r="AL3453" t="s">
        <v>42532</v>
      </c>
      <c t="s">
        <v>42532</v>
      </c>
      <c t="s">
        <v>32657</v>
      </c>
      <c t="s">
        <v>66066</v>
      </c>
      <c t="s">
        <v>44428</v>
      </c>
      <c t="s">
        <v>3093</v>
      </c>
      <c t="s">
        <v>13340</v>
      </c>
    </row>
    <row>
      <c t="s">
        <v>17594</v>
      </c>
      <c t="s">
        <v>52046</v>
      </c>
      <c t="s">
        <v>37609</v>
      </c>
      <c t="s">
        <v>4955</v>
      </c>
      <c t="s">
        <v>36770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3454" s="1" t="str">
        <f ca="1">HYPERLINK("https://web.datatree.com/?/property?propertyId=33296714", "https://web.datatree.com/?/property?propertyId=33296714")</f>
        <v>https://web.datatree.com/?/property?propertyId=33296714</v>
      </c>
      <c r="Q3454" t="s">
        <v>316</v>
      </c>
      <c>
        <v>0.23</v>
      </c>
      <c t="s">
        <v>6175</v>
      </c>
      <c t="s">
        <v>47754</v>
      </c>
      <c t="s">
        <v>9637</v>
      </c>
      <c r="X3454" t="s">
        <v>62161</v>
      </c>
      <c t="s">
        <v>13829</v>
      </c>
      <c t="s">
        <v>2517</v>
      </c>
      <c t="s">
        <v>39289</v>
      </c>
      <c>
        <v>33909</v>
      </c>
      <c t="s">
        <v>1736</v>
      </c>
      <c t="s">
        <v>48794</v>
      </c>
      <c t="s">
        <v>48494</v>
      </c>
      <c>
        <v>7355</v>
      </c>
      <c r="AI3454" t="s">
        <v>52171</v>
      </c>
      <c t="s">
        <v>45393</v>
      </c>
      <c r="AL3454" t="s">
        <v>55393</v>
      </c>
      <c r="AN3454" t="s">
        <v>39289</v>
      </c>
      <c t="s">
        <v>31767</v>
      </c>
      <c t="s">
        <v>25140</v>
      </c>
      <c t="s">
        <v>3093</v>
      </c>
      <c t="s">
        <v>21651</v>
      </c>
    </row>
    <row>
      <c t="s">
        <v>17594</v>
      </c>
      <c t="s">
        <v>24287</v>
      </c>
      <c t="s">
        <v>66310</v>
      </c>
      <c t="s">
        <v>25956</v>
      </c>
      <c t="s">
        <v>23298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455" s="1" t="str">
        <f ca="1">HYPERLINK("https://web.datatree.com/?/property?propertyId=33296856", "https://web.datatree.com/?/property?propertyId=33296856")</f>
        <v>https://web.datatree.com/?/property?propertyId=33296856</v>
      </c>
      <c r="Q3455" t="s">
        <v>316</v>
      </c>
      <c>
        <v>0.23</v>
      </c>
      <c t="s">
        <v>22490</v>
      </c>
      <c t="s">
        <v>24050</v>
      </c>
      <c t="s">
        <v>20456</v>
      </c>
      <c r="X3455" t="s">
        <v>180</v>
      </c>
      <c t="s">
        <v>46469</v>
      </c>
      <c t="s">
        <v>2517</v>
      </c>
      <c t="s">
        <v>39289</v>
      </c>
      <c>
        <v>33909</v>
      </c>
      <c t="s">
        <v>21737</v>
      </c>
      <c t="s">
        <v>48794</v>
      </c>
      <c t="s">
        <v>2390</v>
      </c>
      <c>
        <v>3207</v>
      </c>
      <c r="AI3455" t="s">
        <v>2036</v>
      </c>
      <c t="s">
        <v>39321</v>
      </c>
      <c r="AL3455" t="s">
        <v>45723</v>
      </c>
      <c r="AN3455" t="s">
        <v>51137</v>
      </c>
      <c t="s">
        <v>49009</v>
      </c>
      <c t="s">
        <v>19978</v>
      </c>
      <c t="s">
        <v>3093</v>
      </c>
      <c t="s">
        <v>57456</v>
      </c>
    </row>
    <row>
      <c t="s">
        <v>17594</v>
      </c>
      <c t="s">
        <v>56132</v>
      </c>
      <c t="s">
        <v>13782</v>
      </c>
      <c t="s">
        <v>55084</v>
      </c>
      <c t="s">
        <v>52734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3456" s="1" t="str">
        <f ca="1">HYPERLINK("https://web.datatree.com/?/property?propertyId=33296911", "https://web.datatree.com/?/property?propertyId=33296911")</f>
        <v>https://web.datatree.com/?/property?propertyId=33296911</v>
      </c>
      <c r="Q3456" t="s">
        <v>316</v>
      </c>
      <c>
        <v>0.23</v>
      </c>
      <c t="s">
        <v>42044</v>
      </c>
      <c t="s">
        <v>54943</v>
      </c>
      <c t="s">
        <v>46201</v>
      </c>
      <c r="X3456" t="s">
        <v>56861</v>
      </c>
      <c t="s">
        <v>39082</v>
      </c>
      <c t="s">
        <v>2517</v>
      </c>
      <c t="s">
        <v>39289</v>
      </c>
      <c>
        <v>33909</v>
      </c>
      <c t="s">
        <v>4264</v>
      </c>
      <c t="s">
        <v>48794</v>
      </c>
      <c t="s">
        <v>51315</v>
      </c>
      <c>
        <v>1096</v>
      </c>
      <c r="AI3456" t="s">
        <v>361</v>
      </c>
      <c t="s">
        <v>24900</v>
      </c>
      <c r="AL3456" t="s">
        <v>20018</v>
      </c>
      <c r="AN3456" t="s">
        <v>27481</v>
      </c>
      <c t="s">
        <v>15483</v>
      </c>
      <c t="s">
        <v>27780</v>
      </c>
      <c t="s">
        <v>3093</v>
      </c>
      <c t="s">
        <v>8408</v>
      </c>
    </row>
    <row>
      <c t="s">
        <v>17594</v>
      </c>
      <c t="s">
        <v>8816</v>
      </c>
      <c t="s">
        <v>59979</v>
      </c>
      <c t="s">
        <v>41728</v>
      </c>
      <c t="s">
        <v>2110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517.64</v>
      </c>
      <c s="1" t="str">
        <f ca="1">HYPERLINK("https://web.datatree.com/?/property?propertyId=33298012", "https://web.datatree.com/?/property?propertyId=33298012")</f>
        <v>https://web.datatree.com/?/property?propertyId=33298012</v>
      </c>
      <c r="Q3457" t="s">
        <v>316</v>
      </c>
      <c>
        <v>0.23</v>
      </c>
      <c t="s">
        <v>6175</v>
      </c>
      <c t="s">
        <v>47754</v>
      </c>
      <c t="s">
        <v>19406</v>
      </c>
      <c t="s">
        <v>32675</v>
      </c>
      <c t="s">
        <v>21026</v>
      </c>
      <c t="s">
        <v>35637</v>
      </c>
      <c t="s">
        <v>18679</v>
      </c>
      <c t="s">
        <v>2517</v>
      </c>
      <c t="s">
        <v>39289</v>
      </c>
      <c>
        <v>33909</v>
      </c>
      <c t="s">
        <v>53818</v>
      </c>
      <c t="s">
        <v>48794</v>
      </c>
      <c t="s">
        <v>58882</v>
      </c>
      <c t="s">
        <v>14791</v>
      </c>
      <c r="AI3457" t="s">
        <v>22286</v>
      </c>
      <c r="AL3457" t="s">
        <v>36702</v>
      </c>
      <c r="AN3457" t="s">
        <v>9533</v>
      </c>
      <c t="s">
        <v>53491</v>
      </c>
      <c t="s">
        <v>54916</v>
      </c>
      <c t="s">
        <v>3093</v>
      </c>
      <c t="s">
        <v>19130</v>
      </c>
    </row>
    <row>
      <c t="s">
        <v>17594</v>
      </c>
      <c t="s">
        <v>173</v>
      </c>
      <c t="s">
        <v>42483</v>
      </c>
      <c t="s">
        <v>43760</v>
      </c>
      <c t="s">
        <v>23280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2020</v>
      </c>
      <c>
        <v>1703.56</v>
      </c>
      <c s="1" t="str">
        <f ca="1">HYPERLINK("https://web.datatree.com/?/property?propertyId=33298034", "https://web.datatree.com/?/property?propertyId=33298034")</f>
        <v>https://web.datatree.com/?/property?propertyId=33298034</v>
      </c>
      <c r="Q3458" t="s">
        <v>316</v>
      </c>
      <c>
        <v>0.23</v>
      </c>
      <c t="s">
        <v>42044</v>
      </c>
      <c t="s">
        <v>66240</v>
      </c>
      <c t="s">
        <v>42463</v>
      </c>
      <c t="s">
        <v>44391</v>
      </c>
      <c t="s">
        <v>13018</v>
      </c>
      <c t="s">
        <v>39426</v>
      </c>
      <c t="s">
        <v>61144</v>
      </c>
      <c t="s">
        <v>2517</v>
      </c>
      <c t="s">
        <v>39289</v>
      </c>
      <c>
        <v>33909</v>
      </c>
      <c t="s">
        <v>16477</v>
      </c>
      <c t="s">
        <v>48794</v>
      </c>
      <c t="s">
        <v>65221</v>
      </c>
      <c r="AI3458" t="s">
        <v>23344</v>
      </c>
      <c r="AL3458" t="s">
        <v>46388</v>
      </c>
      <c t="s">
        <v>18365</v>
      </c>
      <c t="s">
        <v>22275</v>
      </c>
      <c>
        <v>17015</v>
      </c>
      <c t="s">
        <v>21201</v>
      </c>
      <c t="s">
        <v>3093</v>
      </c>
      <c t="s">
        <v>54658</v>
      </c>
    </row>
    <row>
      <c t="s">
        <v>17594</v>
      </c>
      <c t="s">
        <v>29107</v>
      </c>
      <c t="s">
        <v>22441</v>
      </c>
      <c t="s">
        <v>47208</v>
      </c>
      <c t="s">
        <v>14723</v>
      </c>
      <c s="3">
        <v>98192</v>
      </c>
      <c s="3">
        <v>98192</v>
      </c>
      <c s="3">
        <v>98192</v>
      </c>
      <c>
        <v>0</v>
      </c>
      <c s="3">
        <v>0</v>
      </c>
      <c s="3">
        <v>1964.25</v>
      </c>
      <c s="3">
        <v>98192</v>
      </c>
      <c r="O3459" s="1" t="str">
        <f ca="1">HYPERLINK("https://web.datatree.com/?/property?propertyId=33298403", "https://web.datatree.com/?/property?propertyId=33298403")</f>
        <v>https://web.datatree.com/?/property?propertyId=33298403</v>
      </c>
      <c r="Q3459" t="s">
        <v>316</v>
      </c>
      <c>
        <v>0.23</v>
      </c>
      <c t="s">
        <v>22490</v>
      </c>
      <c t="s">
        <v>44541</v>
      </c>
      <c t="s">
        <v>57609</v>
      </c>
      <c t="s">
        <v>34344</v>
      </c>
      <c t="s">
        <v>51931</v>
      </c>
      <c t="s">
        <v>3225</v>
      </c>
      <c t="s">
        <v>66701</v>
      </c>
      <c t="s">
        <v>2517</v>
      </c>
      <c t="s">
        <v>39289</v>
      </c>
      <c>
        <v>33904</v>
      </c>
      <c t="s">
        <v>27321</v>
      </c>
      <c t="s">
        <v>48794</v>
      </c>
      <c t="s">
        <v>30545</v>
      </c>
      <c>
        <v>811</v>
      </c>
      <c r="AI3459" t="s">
        <v>6073</v>
      </c>
      <c t="s">
        <v>39321</v>
      </c>
      <c r="AL3459" t="s">
        <v>11121</v>
      </c>
      <c t="s">
        <v>11121</v>
      </c>
      <c t="s">
        <v>58733</v>
      </c>
      <c t="s">
        <v>49174</v>
      </c>
      <c t="s">
        <v>26242</v>
      </c>
      <c t="s">
        <v>3093</v>
      </c>
      <c t="s">
        <v>45923</v>
      </c>
    </row>
    <row>
      <c t="s">
        <v>17594</v>
      </c>
      <c t="s">
        <v>67175</v>
      </c>
      <c t="s">
        <v>53300</v>
      </c>
      <c t="s">
        <v>27914</v>
      </c>
      <c t="s">
        <v>48173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3460" s="1" t="str">
        <f ca="1">HYPERLINK("https://web.datatree.com/?/property?propertyId=33298833", "https://web.datatree.com/?/property?propertyId=33298833")</f>
        <v>https://web.datatree.com/?/property?propertyId=33298833</v>
      </c>
      <c r="Q3460" t="s">
        <v>316</v>
      </c>
      <c>
        <v>0.23</v>
      </c>
      <c t="s">
        <v>22490</v>
      </c>
      <c t="s">
        <v>60243</v>
      </c>
      <c t="s">
        <v>50569</v>
      </c>
      <c r="X3460" t="s">
        <v>63696</v>
      </c>
      <c t="s">
        <v>47150</v>
      </c>
      <c t="s">
        <v>2517</v>
      </c>
      <c t="s">
        <v>39289</v>
      </c>
      <c>
        <v>33909</v>
      </c>
      <c t="s">
        <v>40314</v>
      </c>
      <c t="s">
        <v>48794</v>
      </c>
      <c t="s">
        <v>51562</v>
      </c>
      <c>
        <v>80</v>
      </c>
      <c r="AI3460" t="s">
        <v>1233</v>
      </c>
      <c t="s">
        <v>45393</v>
      </c>
      <c r="AL3460" t="s">
        <v>8109</v>
      </c>
      <c r="AN3460" t="s">
        <v>50917</v>
      </c>
      <c t="s">
        <v>20714</v>
      </c>
      <c t="s">
        <v>25140</v>
      </c>
      <c t="s">
        <v>3093</v>
      </c>
      <c t="s">
        <v>51130</v>
      </c>
    </row>
    <row>
      <c t="s">
        <v>17594</v>
      </c>
      <c t="s">
        <v>46364</v>
      </c>
      <c t="s">
        <v>45028</v>
      </c>
      <c t="s">
        <v>24856</v>
      </c>
      <c t="s">
        <v>49039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3461" s="1" t="str">
        <f ca="1">HYPERLINK("https://web.datatree.com/?/property?propertyId=33298892", "https://web.datatree.com/?/property?propertyId=33298892")</f>
        <v>https://web.datatree.com/?/property?propertyId=33298892</v>
      </c>
      <c r="Q3461" t="s">
        <v>316</v>
      </c>
      <c>
        <v>0.23</v>
      </c>
      <c t="s">
        <v>22490</v>
      </c>
      <c t="s">
        <v>6617</v>
      </c>
      <c t="s">
        <v>22968</v>
      </c>
      <c r="X3461" t="s">
        <v>22060</v>
      </c>
      <c t="s">
        <v>66701</v>
      </c>
      <c t="s">
        <v>2517</v>
      </c>
      <c t="s">
        <v>39289</v>
      </c>
      <c>
        <v>33909</v>
      </c>
      <c t="s">
        <v>24626</v>
      </c>
      <c t="s">
        <v>48794</v>
      </c>
      <c t="s">
        <v>41799</v>
      </c>
      <c>
        <v>67</v>
      </c>
      <c r="AI3461" t="s">
        <v>63077</v>
      </c>
      <c t="s">
        <v>31192</v>
      </c>
      <c r="AL3461" t="s">
        <v>61009</v>
      </c>
      <c r="AN3461" t="s">
        <v>26016</v>
      </c>
      <c t="s">
        <v>6456</v>
      </c>
      <c t="s">
        <v>52393</v>
      </c>
      <c t="s">
        <v>3093</v>
      </c>
      <c t="s">
        <v>26041</v>
      </c>
    </row>
    <row>
      <c t="s">
        <v>17594</v>
      </c>
      <c t="s">
        <v>11695</v>
      </c>
      <c t="s">
        <v>8116</v>
      </c>
      <c t="s">
        <v>4395</v>
      </c>
      <c t="s">
        <v>55763</v>
      </c>
      <c s="3">
        <v>12544</v>
      </c>
      <c s="3">
        <v>12544</v>
      </c>
      <c s="3">
        <v>7700</v>
      </c>
      <c>
        <v>0</v>
      </c>
      <c s="3">
        <v>0</v>
      </c>
      <c s="3">
        <v>334.14</v>
      </c>
      <c s="3">
        <v>12544</v>
      </c>
      <c r="O3462" s="1" t="str">
        <f ca="1">HYPERLINK("https://web.datatree.com/?/property?propertyId=33299230", "https://web.datatree.com/?/property?propertyId=33299230")</f>
        <v>https://web.datatree.com/?/property?propertyId=33299230</v>
      </c>
      <c r="Q3462" t="s">
        <v>316</v>
      </c>
      <c>
        <v>0.24</v>
      </c>
      <c t="s">
        <v>5471</v>
      </c>
      <c t="s">
        <v>1949</v>
      </c>
      <c t="s">
        <v>23977</v>
      </c>
      <c r="X3462" t="s">
        <v>40843</v>
      </c>
      <c t="s">
        <v>45989</v>
      </c>
      <c t="s">
        <v>65059</v>
      </c>
      <c t="s">
        <v>39289</v>
      </c>
      <c>
        <v>33905</v>
      </c>
      <c t="s">
        <v>42126</v>
      </c>
      <c t="s">
        <v>48794</v>
      </c>
      <c t="s">
        <v>23693</v>
      </c>
      <c>
        <v>1810</v>
      </c>
      <c r="AI3462" t="s">
        <v>2626</v>
      </c>
      <c t="s">
        <v>24900</v>
      </c>
      <c r="AL3462" t="s">
        <v>55393</v>
      </c>
      <c t="s">
        <v>55393</v>
      </c>
      <c t="s">
        <v>39289</v>
      </c>
      <c t="s">
        <v>36630</v>
      </c>
      <c t="s">
        <v>32746</v>
      </c>
      <c t="s">
        <v>3093</v>
      </c>
      <c t="s">
        <v>49890</v>
      </c>
    </row>
    <row>
      <c t="s">
        <v>17594</v>
      </c>
      <c t="s">
        <v>46681</v>
      </c>
      <c t="s">
        <v>26024</v>
      </c>
      <c t="s">
        <v>48181</v>
      </c>
      <c t="s">
        <v>47651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463" s="1" t="str">
        <f ca="1">HYPERLINK("https://web.datatree.com/?/property?propertyId=33300179", "https://web.datatree.com/?/property?propertyId=33300179")</f>
        <v>https://web.datatree.com/?/property?propertyId=33300179</v>
      </c>
      <c r="Q3463" t="s">
        <v>316</v>
      </c>
      <c>
        <v>0.23</v>
      </c>
      <c t="s">
        <v>6175</v>
      </c>
      <c r="U3463" t="s">
        <v>25548</v>
      </c>
      <c r="W3463" t="s">
        <v>46450</v>
      </c>
      <c t="s">
        <v>41260</v>
      </c>
      <c t="s">
        <v>13829</v>
      </c>
      <c t="s">
        <v>2517</v>
      </c>
      <c t="s">
        <v>39289</v>
      </c>
      <c>
        <v>33909</v>
      </c>
      <c t="s">
        <v>44716</v>
      </c>
      <c t="s">
        <v>48794</v>
      </c>
      <c t="s">
        <v>37879</v>
      </c>
      <c>
        <v>5024</v>
      </c>
      <c r="AI3463" t="s">
        <v>9274</v>
      </c>
      <c t="s">
        <v>41372</v>
      </c>
      <c>
        <v>200</v>
      </c>
      <c t="s">
        <v>62109</v>
      </c>
      <c t="s">
        <v>62109</v>
      </c>
      <c t="s">
        <v>40451</v>
      </c>
      <c t="s">
        <v>7408</v>
      </c>
      <c t="s">
        <v>62845</v>
      </c>
      <c t="s">
        <v>3093</v>
      </c>
      <c t="s">
        <v>58613</v>
      </c>
    </row>
    <row>
      <c t="s">
        <v>17594</v>
      </c>
      <c t="s">
        <v>61429</v>
      </c>
      <c t="s">
        <v>14650</v>
      </c>
      <c t="s">
        <v>11302</v>
      </c>
      <c t="s">
        <v>65132</v>
      </c>
      <c s="3">
        <v>8685</v>
      </c>
      <c s="3">
        <v>8685</v>
      </c>
      <c s="3">
        <v>4972</v>
      </c>
      <c>
        <v>0</v>
      </c>
      <c s="3">
        <v>0</v>
      </c>
      <c s="3">
        <v>315.35</v>
      </c>
      <c s="3">
        <v>8685</v>
      </c>
      <c r="O3464" s="1" t="str">
        <f ca="1">HYPERLINK("https://web.datatree.com/?/property?propertyId=33300216", "https://web.datatree.com/?/property?propertyId=33300216")</f>
        <v>https://web.datatree.com/?/property?propertyId=33300216</v>
      </c>
      <c r="Q3464" t="s">
        <v>316</v>
      </c>
      <c>
        <v>0.229</v>
      </c>
      <c t="s">
        <v>5471</v>
      </c>
      <c t="s">
        <v>11001</v>
      </c>
      <c t="s">
        <v>15403</v>
      </c>
      <c r="X3464" t="s">
        <v>18955</v>
      </c>
      <c t="s">
        <v>51290</v>
      </c>
      <c t="s">
        <v>65059</v>
      </c>
      <c t="s">
        <v>39289</v>
      </c>
      <c>
        <v>33905</v>
      </c>
      <c t="s">
        <v>26106</v>
      </c>
      <c t="s">
        <v>48794</v>
      </c>
      <c t="s">
        <v>29354</v>
      </c>
      <c>
        <v>5837</v>
      </c>
      <c r="AI3464" t="s">
        <v>47122</v>
      </c>
      <c t="s">
        <v>45393</v>
      </c>
      <c r="AL3464" t="s">
        <v>2040</v>
      </c>
      <c t="s">
        <v>40227</v>
      </c>
      <c t="s">
        <v>50917</v>
      </c>
      <c t="s">
        <v>33661</v>
      </c>
      <c t="s">
        <v>54916</v>
      </c>
      <c t="s">
        <v>3093</v>
      </c>
      <c t="s">
        <v>67129</v>
      </c>
    </row>
    <row>
      <c t="s">
        <v>17594</v>
      </c>
      <c t="s">
        <v>16625</v>
      </c>
      <c t="s">
        <v>42096</v>
      </c>
      <c t="s">
        <v>1119</v>
      </c>
      <c t="s">
        <v>61520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3465" s="1" t="str">
        <f ca="1">HYPERLINK("https://web.datatree.com/?/property?propertyId=33300464", "https://web.datatree.com/?/property?propertyId=33300464")</f>
        <v>https://web.datatree.com/?/property?propertyId=33300464</v>
      </c>
      <c r="Q3465" t="s">
        <v>316</v>
      </c>
      <c>
        <v>0.247</v>
      </c>
      <c t="s">
        <v>6175</v>
      </c>
      <c t="s">
        <v>7603</v>
      </c>
      <c t="s">
        <v>13593</v>
      </c>
      <c t="s">
        <v>25282</v>
      </c>
      <c t="s">
        <v>13593</v>
      </c>
      <c t="s">
        <v>19382</v>
      </c>
      <c t="s">
        <v>14534</v>
      </c>
      <c t="s">
        <v>2517</v>
      </c>
      <c t="s">
        <v>39289</v>
      </c>
      <c>
        <v>33909</v>
      </c>
      <c t="s">
        <v>41607</v>
      </c>
      <c t="s">
        <v>48794</v>
      </c>
      <c t="s">
        <v>48675</v>
      </c>
      <c>
        <v>380</v>
      </c>
      <c r="AI3465" t="s">
        <v>65577</v>
      </c>
      <c t="s">
        <v>31192</v>
      </c>
      <c r="AL3465" t="s">
        <v>51207</v>
      </c>
      <c t="s">
        <v>51207</v>
      </c>
      <c t="s">
        <v>36601</v>
      </c>
      <c t="s">
        <v>43439</v>
      </c>
      <c t="s">
        <v>60160</v>
      </c>
      <c t="s">
        <v>3093</v>
      </c>
      <c t="s">
        <v>7558</v>
      </c>
    </row>
    <row>
      <c t="s">
        <v>17594</v>
      </c>
      <c t="s">
        <v>34373</v>
      </c>
      <c t="s">
        <v>44941</v>
      </c>
      <c t="s">
        <v>6987</v>
      </c>
      <c t="s">
        <v>10622</v>
      </c>
      <c s="3">
        <v>22453</v>
      </c>
      <c s="3">
        <v>22453</v>
      </c>
      <c s="3">
        <v>9130</v>
      </c>
      <c>
        <v>0</v>
      </c>
      <c s="3">
        <v>0</v>
      </c>
      <c s="3">
        <v>3169.54</v>
      </c>
      <c s="3">
        <v>22453</v>
      </c>
      <c r="O3466" s="1" t="str">
        <f ca="1">HYPERLINK("https://web.datatree.com/?/property?propertyId=33300551", "https://web.datatree.com/?/property?propertyId=33300551")</f>
        <v>https://web.datatree.com/?/property?propertyId=33300551</v>
      </c>
      <c r="Q3466" t="s">
        <v>316</v>
      </c>
      <c>
        <v>0.299</v>
      </c>
      <c t="s">
        <v>22490</v>
      </c>
      <c t="s">
        <v>40902</v>
      </c>
      <c t="s">
        <v>52872</v>
      </c>
      <c r="X3466" t="s">
        <v>40413</v>
      </c>
      <c t="s">
        <v>30928</v>
      </c>
      <c t="s">
        <v>2517</v>
      </c>
      <c t="s">
        <v>39289</v>
      </c>
      <c>
        <v>33909</v>
      </c>
      <c t="s">
        <v>66767</v>
      </c>
      <c t="s">
        <v>48794</v>
      </c>
      <c t="s">
        <v>57163</v>
      </c>
      <c>
        <v>240</v>
      </c>
      <c r="AI3466" t="s">
        <v>13964</v>
      </c>
      <c t="s">
        <v>45393</v>
      </c>
      <c t="s">
        <v>42522</v>
      </c>
      <c t="s">
        <v>13397</v>
      </c>
      <c r="AN3466" t="s">
        <v>50917</v>
      </c>
      <c t="s">
        <v>49677</v>
      </c>
      <c t="s">
        <v>17870</v>
      </c>
      <c t="s">
        <v>3093</v>
      </c>
      <c t="s">
        <v>19147</v>
      </c>
    </row>
    <row>
      <c t="s">
        <v>17594</v>
      </c>
      <c t="s">
        <v>33702</v>
      </c>
      <c t="s">
        <v>29014</v>
      </c>
      <c t="s">
        <v>24941</v>
      </c>
      <c t="s">
        <v>17147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3467" s="1" t="str">
        <f ca="1">HYPERLINK("https://web.datatree.com/?/property?propertyId=33301157", "https://web.datatree.com/?/property?propertyId=33301157")</f>
        <v>https://web.datatree.com/?/property?propertyId=33301157</v>
      </c>
      <c r="Q3467" t="s">
        <v>316</v>
      </c>
      <c>
        <v>0.23</v>
      </c>
      <c t="s">
        <v>6175</v>
      </c>
      <c t="s">
        <v>3617</v>
      </c>
      <c t="s">
        <v>928</v>
      </c>
      <c r="X3467" t="s">
        <v>39247</v>
      </c>
      <c t="s">
        <v>61865</v>
      </c>
      <c t="s">
        <v>2517</v>
      </c>
      <c t="s">
        <v>39289</v>
      </c>
      <c>
        <v>33909</v>
      </c>
      <c t="s">
        <v>27809</v>
      </c>
      <c t="s">
        <v>48794</v>
      </c>
      <c t="s">
        <v>23270</v>
      </c>
      <c>
        <v>9207</v>
      </c>
      <c r="AI3467" t="s">
        <v>7445</v>
      </c>
      <c t="s">
        <v>45393</v>
      </c>
      <c>
        <v>1</v>
      </c>
      <c t="s">
        <v>51148</v>
      </c>
      <c r="AN3467" t="s">
        <v>39289</v>
      </c>
      <c t="s">
        <v>17960</v>
      </c>
      <c t="s">
        <v>56186</v>
      </c>
      <c t="s">
        <v>3093</v>
      </c>
      <c t="s">
        <v>21135</v>
      </c>
    </row>
    <row>
      <c t="s">
        <v>17594</v>
      </c>
      <c t="s">
        <v>18885</v>
      </c>
      <c t="s">
        <v>23644</v>
      </c>
      <c t="s">
        <v>11739</v>
      </c>
      <c t="s">
        <v>63469</v>
      </c>
      <c s="3">
        <v>33416</v>
      </c>
      <c s="3">
        <v>33416</v>
      </c>
      <c s="3">
        <v>11858</v>
      </c>
      <c>
        <v>0</v>
      </c>
      <c s="3">
        <v>0</v>
      </c>
      <c s="3">
        <v>2792.29</v>
      </c>
      <c s="3">
        <v>33416</v>
      </c>
      <c r="O3468" s="1" t="str">
        <f ca="1">HYPERLINK("https://web.datatree.com/?/property?propertyId=33301185", "https://web.datatree.com/?/property?propertyId=33301185")</f>
        <v>https://web.datatree.com/?/property?propertyId=33301185</v>
      </c>
      <c r="Q3468" t="s">
        <v>316</v>
      </c>
      <c>
        <v>0.255</v>
      </c>
      <c t="s">
        <v>22490</v>
      </c>
      <c t="s">
        <v>43190</v>
      </c>
      <c t="s">
        <v>39666</v>
      </c>
      <c r="X3468" t="s">
        <v>11866</v>
      </c>
      <c t="s">
        <v>2626</v>
      </c>
      <c t="s">
        <v>2517</v>
      </c>
      <c t="s">
        <v>39289</v>
      </c>
      <c>
        <v>33909</v>
      </c>
      <c t="s">
        <v>57237</v>
      </c>
      <c t="s">
        <v>48794</v>
      </c>
      <c t="s">
        <v>24011</v>
      </c>
      <c>
        <v>9140</v>
      </c>
      <c r="AI3468" t="s">
        <v>25268</v>
      </c>
      <c t="s">
        <v>24900</v>
      </c>
      <c r="AL3468" t="s">
        <v>55393</v>
      </c>
      <c r="AN3468" t="s">
        <v>39289</v>
      </c>
      <c t="s">
        <v>22699</v>
      </c>
      <c t="s">
        <v>66620</v>
      </c>
      <c t="s">
        <v>3093</v>
      </c>
      <c t="s">
        <v>46804</v>
      </c>
    </row>
    <row>
      <c t="s">
        <v>17594</v>
      </c>
      <c t="s">
        <v>16895</v>
      </c>
      <c t="s">
        <v>9429</v>
      </c>
      <c t="s">
        <v>21925</v>
      </c>
      <c t="s">
        <v>42555</v>
      </c>
      <c s="3">
        <v>23012</v>
      </c>
      <c s="3">
        <v>23012</v>
      </c>
      <c s="3">
        <v>10450</v>
      </c>
      <c>
        <v>0</v>
      </c>
      <c s="3">
        <v>0</v>
      </c>
      <c s="3">
        <v>613.35</v>
      </c>
      <c s="3">
        <v>23012</v>
      </c>
      <c r="O3469" s="1" t="str">
        <f ca="1">HYPERLINK("https://web.datatree.com/?/property?propertyId=33301547", "https://web.datatree.com/?/property?propertyId=33301547")</f>
        <v>https://web.datatree.com/?/property?propertyId=33301547</v>
      </c>
      <c r="Q3469" t="s">
        <v>316</v>
      </c>
      <c>
        <v>0.244</v>
      </c>
      <c t="s">
        <v>45031</v>
      </c>
      <c t="s">
        <v>57810</v>
      </c>
      <c t="s">
        <v>23701</v>
      </c>
      <c t="s">
        <v>20578</v>
      </c>
      <c t="s">
        <v>60497</v>
      </c>
      <c t="s">
        <v>21837</v>
      </c>
      <c t="s">
        <v>47150</v>
      </c>
      <c t="s">
        <v>2517</v>
      </c>
      <c t="s">
        <v>39289</v>
      </c>
      <c>
        <v>33909</v>
      </c>
      <c t="s">
        <v>7487</v>
      </c>
      <c t="s">
        <v>48794</v>
      </c>
      <c t="s">
        <v>16421</v>
      </c>
      <c>
        <v>48620</v>
      </c>
      <c r="AI3469" t="s">
        <v>53312</v>
      </c>
      <c t="s">
        <v>45620</v>
      </c>
      <c r="AL3469" t="s">
        <v>12652</v>
      </c>
      <c t="s">
        <v>12652</v>
      </c>
      <c t="s">
        <v>65451</v>
      </c>
      <c t="s">
        <v>1985</v>
      </c>
      <c t="s">
        <v>18692</v>
      </c>
      <c t="s">
        <v>3093</v>
      </c>
      <c t="s">
        <v>1060</v>
      </c>
    </row>
    <row>
      <c t="s">
        <v>17594</v>
      </c>
      <c t="s">
        <v>25648</v>
      </c>
      <c t="s">
        <v>17428</v>
      </c>
      <c t="s">
        <v>37672</v>
      </c>
      <c t="s">
        <v>23486</v>
      </c>
      <c s="3">
        <v>20472</v>
      </c>
      <c s="3">
        <v>20472</v>
      </c>
      <c s="3">
        <v>9130</v>
      </c>
      <c>
        <v>0</v>
      </c>
      <c s="3">
        <v>0</v>
      </c>
      <c s="3">
        <v>620.8</v>
      </c>
      <c s="3">
        <v>20472</v>
      </c>
      <c r="O3470" s="1" t="str">
        <f ca="1">HYPERLINK("https://web.datatree.com/?/property?propertyId=33301605", "https://web.datatree.com/?/property?propertyId=33301605")</f>
        <v>https://web.datatree.com/?/property?propertyId=33301605</v>
      </c>
      <c r="Q3470" t="s">
        <v>316</v>
      </c>
      <c>
        <v>0.258</v>
      </c>
      <c t="s">
        <v>45031</v>
      </c>
      <c t="s">
        <v>47922</v>
      </c>
      <c t="s">
        <v>29212</v>
      </c>
      <c t="s">
        <v>56131</v>
      </c>
      <c t="s">
        <v>31841</v>
      </c>
      <c t="s">
        <v>50485</v>
      </c>
      <c t="s">
        <v>47150</v>
      </c>
      <c t="s">
        <v>2517</v>
      </c>
      <c t="s">
        <v>39289</v>
      </c>
      <c>
        <v>33909</v>
      </c>
      <c t="s">
        <v>33828</v>
      </c>
      <c t="s">
        <v>48794</v>
      </c>
      <c t="s">
        <v>40267</v>
      </c>
      <c>
        <v>812</v>
      </c>
      <c r="AI3470" t="s">
        <v>63667</v>
      </c>
      <c t="s">
        <v>1671</v>
      </c>
      <c r="AL3470" t="s">
        <v>17713</v>
      </c>
      <c t="s">
        <v>17713</v>
      </c>
      <c t="s">
        <v>19878</v>
      </c>
      <c t="s">
        <v>42039</v>
      </c>
      <c t="s">
        <v>44428</v>
      </c>
      <c t="s">
        <v>3093</v>
      </c>
      <c t="s">
        <v>61378</v>
      </c>
    </row>
    <row>
      <c t="s">
        <v>17594</v>
      </c>
      <c t="s">
        <v>196</v>
      </c>
      <c t="s">
        <v>58358</v>
      </c>
      <c t="s">
        <v>36194</v>
      </c>
      <c t="s">
        <v>11738</v>
      </c>
      <c s="3">
        <v>12544</v>
      </c>
      <c s="3">
        <v>12544</v>
      </c>
      <c s="3">
        <v>6389</v>
      </c>
      <c>
        <v>0</v>
      </c>
      <c s="3">
        <v>0</v>
      </c>
      <c s="3">
        <v>330.96</v>
      </c>
      <c s="3">
        <v>12544</v>
      </c>
      <c>
        <v>2020</v>
      </c>
      <c>
        <v>733.42</v>
      </c>
      <c s="1" t="str">
        <f ca="1">HYPERLINK("https://web.datatree.com/?/property?propertyId=33302784", "https://web.datatree.com/?/property?propertyId=33302784")</f>
        <v>https://web.datatree.com/?/property?propertyId=33302784</v>
      </c>
      <c r="Q3471" t="s">
        <v>316</v>
      </c>
      <c>
        <v>0.28</v>
      </c>
      <c t="s">
        <v>5471</v>
      </c>
      <c t="s">
        <v>21668</v>
      </c>
      <c t="s">
        <v>26319</v>
      </c>
      <c r="X3471" t="s">
        <v>31082</v>
      </c>
      <c t="s">
        <v>6481</v>
      </c>
      <c t="s">
        <v>65059</v>
      </c>
      <c t="s">
        <v>39289</v>
      </c>
      <c>
        <v>33905</v>
      </c>
      <c t="s">
        <v>12286</v>
      </c>
      <c t="s">
        <v>48794</v>
      </c>
      <c t="s">
        <v>53064</v>
      </c>
      <c>
        <v>4923</v>
      </c>
      <c r="AI3471" t="s">
        <v>50577</v>
      </c>
      <c t="s">
        <v>45620</v>
      </c>
      <c r="AL3471" t="s">
        <v>15179</v>
      </c>
      <c r="AN3471" t="s">
        <v>39289</v>
      </c>
      <c t="s">
        <v>40352</v>
      </c>
      <c t="s">
        <v>37774</v>
      </c>
      <c t="s">
        <v>3093</v>
      </c>
      <c t="s">
        <v>12530</v>
      </c>
    </row>
    <row>
      <c t="s">
        <v>17594</v>
      </c>
      <c t="s">
        <v>51861</v>
      </c>
      <c t="s">
        <v>45060</v>
      </c>
      <c t="s">
        <v>12664</v>
      </c>
      <c t="s">
        <v>7948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3472" s="1" t="str">
        <f ca="1">HYPERLINK("https://web.datatree.com/?/property?propertyId=33303606", "https://web.datatree.com/?/property?propertyId=33303606")</f>
        <v>https://web.datatree.com/?/property?propertyId=33303606</v>
      </c>
      <c r="Q3472" t="s">
        <v>316</v>
      </c>
      <c>
        <v>0.23</v>
      </c>
      <c t="s">
        <v>45031</v>
      </c>
      <c t="s">
        <v>41856</v>
      </c>
      <c t="s">
        <v>16784</v>
      </c>
      <c r="X3472" t="s">
        <v>21035</v>
      </c>
      <c t="s">
        <v>18679</v>
      </c>
      <c t="s">
        <v>2517</v>
      </c>
      <c t="s">
        <v>39289</v>
      </c>
      <c>
        <v>33909</v>
      </c>
      <c t="s">
        <v>14059</v>
      </c>
      <c t="s">
        <v>48794</v>
      </c>
      <c t="s">
        <v>39644</v>
      </c>
      <c>
        <v>9800</v>
      </c>
      <c r="AI3472" t="s">
        <v>7738</v>
      </c>
      <c t="s">
        <v>24900</v>
      </c>
      <c r="AL3472" t="s">
        <v>61173</v>
      </c>
      <c r="AN3472" t="s">
        <v>65451</v>
      </c>
      <c t="s">
        <v>24057</v>
      </c>
      <c t="s">
        <v>8434</v>
      </c>
      <c t="s">
        <v>3093</v>
      </c>
      <c t="s">
        <v>59617</v>
      </c>
    </row>
    <row>
      <c t="s">
        <v>17594</v>
      </c>
      <c t="s">
        <v>25570</v>
      </c>
      <c t="s">
        <v>18494</v>
      </c>
      <c t="s">
        <v>37065</v>
      </c>
      <c t="s">
        <v>11452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473" s="1" t="str">
        <f ca="1">HYPERLINK("https://web.datatree.com/?/property?propertyId=33303679", "https://web.datatree.com/?/property?propertyId=33303679")</f>
        <v>https://web.datatree.com/?/property?propertyId=33303679</v>
      </c>
      <c r="Q3473" t="s">
        <v>316</v>
      </c>
      <c>
        <v>0.23</v>
      </c>
      <c t="s">
        <v>58725</v>
      </c>
      <c t="s">
        <v>10361</v>
      </c>
      <c t="s">
        <v>52908</v>
      </c>
      <c r="X3473" t="s">
        <v>28596</v>
      </c>
      <c t="s">
        <v>57064</v>
      </c>
      <c t="s">
        <v>2517</v>
      </c>
      <c t="s">
        <v>39289</v>
      </c>
      <c>
        <v>33909</v>
      </c>
      <c t="s">
        <v>41148</v>
      </c>
      <c t="s">
        <v>48794</v>
      </c>
      <c t="s">
        <v>57259</v>
      </c>
      <c>
        <v>19</v>
      </c>
      <c r="AI3473" t="s">
        <v>56732</v>
      </c>
      <c t="s">
        <v>31192</v>
      </c>
      <c r="AL3473" t="s">
        <v>48156</v>
      </c>
      <c r="AN3473" t="s">
        <v>10909</v>
      </c>
      <c t="s">
        <v>46786</v>
      </c>
      <c r="AQ3473" t="s">
        <v>27814</v>
      </c>
      <c t="s">
        <v>16794</v>
      </c>
    </row>
    <row>
      <c t="s">
        <v>17594</v>
      </c>
      <c t="s">
        <v>12331</v>
      </c>
      <c t="s">
        <v>58192</v>
      </c>
      <c t="s">
        <v>31429</v>
      </c>
      <c t="s">
        <v>49844</v>
      </c>
      <c s="3">
        <v>26184</v>
      </c>
      <c s="3">
        <v>26184</v>
      </c>
      <c s="3">
        <v>12705</v>
      </c>
      <c>
        <v>0</v>
      </c>
      <c s="3">
        <v>0</v>
      </c>
      <c s="3">
        <v>2561.77</v>
      </c>
      <c s="3">
        <v>26184</v>
      </c>
      <c r="O3474" s="1" t="str">
        <f ca="1">HYPERLINK("https://web.datatree.com/?/property?propertyId=33305885", "https://web.datatree.com/?/property?propertyId=33305885")</f>
        <v>https://web.datatree.com/?/property?propertyId=33305885</v>
      </c>
      <c r="Q3474" t="s">
        <v>316</v>
      </c>
      <c>
        <v>0.409</v>
      </c>
      <c t="s">
        <v>6175</v>
      </c>
      <c t="s">
        <v>22078</v>
      </c>
      <c t="s">
        <v>2983</v>
      </c>
      <c r="X3474" t="s">
        <v>35195</v>
      </c>
      <c t="s">
        <v>58797</v>
      </c>
      <c t="s">
        <v>2517</v>
      </c>
      <c t="s">
        <v>39289</v>
      </c>
      <c>
        <v>33909</v>
      </c>
      <c t="s">
        <v>22977</v>
      </c>
      <c t="s">
        <v>48794</v>
      </c>
      <c t="s">
        <v>9780</v>
      </c>
      <c>
        <v>7062</v>
      </c>
      <c r="AH3474" t="s">
        <v>52165</v>
      </c>
      <c t="s">
        <v>46039</v>
      </c>
      <c t="s">
        <v>41372</v>
      </c>
      <c r="AL3474" t="s">
        <v>31327</v>
      </c>
      <c t="s">
        <v>31327</v>
      </c>
      <c t="s">
        <v>4477</v>
      </c>
      <c t="s">
        <v>7877</v>
      </c>
      <c t="s">
        <v>61564</v>
      </c>
      <c t="s">
        <v>3093</v>
      </c>
      <c t="s">
        <v>39168</v>
      </c>
    </row>
    <row>
      <c t="s">
        <v>17594</v>
      </c>
      <c t="s">
        <v>627</v>
      </c>
      <c t="s">
        <v>59608</v>
      </c>
      <c t="s">
        <v>26011</v>
      </c>
      <c t="s">
        <v>23834</v>
      </c>
      <c s="3">
        <v>138000</v>
      </c>
      <c s="3">
        <v>138000</v>
      </c>
      <c s="3">
        <v>77000</v>
      </c>
      <c>
        <v>0</v>
      </c>
      <c s="3">
        <v>0</v>
      </c>
      <c s="3">
        <v>1968.43</v>
      </c>
      <c s="3">
        <v>138000</v>
      </c>
      <c r="O3475" s="1" t="str">
        <f ca="1">HYPERLINK("https://web.datatree.com/?/property?propertyId=33308114", "https://web.datatree.com/?/property?propertyId=33308114")</f>
        <v>https://web.datatree.com/?/property?propertyId=33308114</v>
      </c>
      <c r="Q3475" t="s">
        <v>316</v>
      </c>
      <c>
        <v>0.23</v>
      </c>
      <c t="s">
        <v>22490</v>
      </c>
      <c r="U3475" t="s">
        <v>97</v>
      </c>
      <c t="s">
        <v>21379</v>
      </c>
      <c t="s">
        <v>34906</v>
      </c>
      <c t="s">
        <v>22855</v>
      </c>
      <c t="s">
        <v>49122</v>
      </c>
      <c t="s">
        <v>2517</v>
      </c>
      <c t="s">
        <v>39289</v>
      </c>
      <c>
        <v>33904</v>
      </c>
      <c t="s">
        <v>64141</v>
      </c>
      <c t="s">
        <v>48794</v>
      </c>
      <c t="s">
        <v>46443</v>
      </c>
      <c>
        <v>1</v>
      </c>
      <c r="AI3475" t="s">
        <v>35806</v>
      </c>
      <c t="s">
        <v>40123</v>
      </c>
      <c r="AL3475" t="s">
        <v>39535</v>
      </c>
      <c t="s">
        <v>39535</v>
      </c>
      <c t="s">
        <v>50917</v>
      </c>
      <c t="s">
        <v>31390</v>
      </c>
      <c t="s">
        <v>702</v>
      </c>
      <c t="s">
        <v>3093</v>
      </c>
      <c t="s">
        <v>15032</v>
      </c>
    </row>
    <row>
      <c t="s">
        <v>17594</v>
      </c>
      <c t="s">
        <v>49641</v>
      </c>
      <c t="s">
        <v>49649</v>
      </c>
      <c t="s">
        <v>49047</v>
      </c>
      <c t="s">
        <v>54007</v>
      </c>
      <c s="3">
        <v>74930</v>
      </c>
      <c s="3">
        <v>67250</v>
      </c>
      <c s="3">
        <v>71209</v>
      </c>
      <c>
        <v>0</v>
      </c>
      <c s="3">
        <v>0</v>
      </c>
      <c s="3">
        <v>1091.68</v>
      </c>
      <c s="3">
        <v>74930</v>
      </c>
      <c>
        <v>2021</v>
      </c>
      <c>
        <v>1060.57</v>
      </c>
      <c s="1" t="str">
        <f ca="1">HYPERLINK("https://web.datatree.com/?/property?propertyId=33308406", "https://web.datatree.com/?/property?propertyId=33308406")</f>
        <v>https://web.datatree.com/?/property?propertyId=33308406</v>
      </c>
      <c r="Q3476" t="s">
        <v>316</v>
      </c>
      <c>
        <v>0.098</v>
      </c>
      <c t="s">
        <v>26492</v>
      </c>
      <c t="s">
        <v>33321</v>
      </c>
      <c t="s">
        <v>61212</v>
      </c>
      <c t="s">
        <v>34805</v>
      </c>
      <c t="s">
        <v>61212</v>
      </c>
      <c t="s">
        <v>15490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54111</v>
      </c>
      <c>
        <v>82</v>
      </c>
      <c r="AI3476" t="s">
        <v>3086</v>
      </c>
      <c t="s">
        <v>24900</v>
      </c>
      <c r="AL3476" t="s">
        <v>39349</v>
      </c>
      <c t="s">
        <v>39349</v>
      </c>
      <c t="s">
        <v>27747</v>
      </c>
      <c t="s">
        <v>55644</v>
      </c>
      <c t="s">
        <v>7207</v>
      </c>
      <c t="s">
        <v>3093</v>
      </c>
      <c t="s">
        <v>26869</v>
      </c>
    </row>
    <row>
      <c t="s">
        <v>17594</v>
      </c>
      <c t="s">
        <v>32596</v>
      </c>
      <c t="s">
        <v>7645</v>
      </c>
      <c t="s">
        <v>17975</v>
      </c>
      <c t="s">
        <v>14415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477" s="1" t="str">
        <f ca="1">HYPERLINK("https://web.datatree.com/?/property?propertyId=33308721", "https://web.datatree.com/?/property?propertyId=33308721")</f>
        <v>https://web.datatree.com/?/property?propertyId=33308721</v>
      </c>
      <c r="Q3477" t="s">
        <v>316</v>
      </c>
      <c>
        <v>0.229</v>
      </c>
      <c t="s">
        <v>22490</v>
      </c>
      <c t="s">
        <v>50331</v>
      </c>
      <c t="s">
        <v>23841</v>
      </c>
      <c t="s">
        <v>24608</v>
      </c>
      <c t="s">
        <v>23841</v>
      </c>
      <c t="s">
        <v>29245</v>
      </c>
      <c t="s">
        <v>22731</v>
      </c>
      <c t="s">
        <v>2517</v>
      </c>
      <c t="s">
        <v>39289</v>
      </c>
      <c>
        <v>33909</v>
      </c>
      <c t="s">
        <v>12017</v>
      </c>
      <c t="s">
        <v>48794</v>
      </c>
      <c t="s">
        <v>47343</v>
      </c>
      <c>
        <v>4075</v>
      </c>
      <c r="AI3477" t="s">
        <v>5831</v>
      </c>
      <c t="s">
        <v>31192</v>
      </c>
      <c r="AL3477" t="s">
        <v>28301</v>
      </c>
      <c r="AN3477" t="s">
        <v>19878</v>
      </c>
      <c t="s">
        <v>5336</v>
      </c>
      <c t="s">
        <v>864</v>
      </c>
      <c t="s">
        <v>3093</v>
      </c>
      <c t="s">
        <v>44632</v>
      </c>
    </row>
    <row>
      <c t="s">
        <v>17594</v>
      </c>
      <c t="s">
        <v>36948</v>
      </c>
      <c t="s">
        <v>61059</v>
      </c>
      <c t="s">
        <v>42472</v>
      </c>
      <c t="s">
        <v>14852</v>
      </c>
      <c s="3">
        <v>283107</v>
      </c>
      <c s="3">
        <v>283107</v>
      </c>
      <c s="3">
        <v>121000</v>
      </c>
      <c>
        <v>0</v>
      </c>
      <c s="3">
        <v>0</v>
      </c>
      <c s="3">
        <v>2880.44</v>
      </c>
      <c s="3">
        <v>283107</v>
      </c>
      <c r="O3478" s="1" t="str">
        <f ca="1">HYPERLINK("https://web.datatree.com/?/property?propertyId=33309147", "https://web.datatree.com/?/property?propertyId=33309147")</f>
        <v>https://web.datatree.com/?/property?propertyId=33309147</v>
      </c>
      <c r="Q3478" t="s">
        <v>316</v>
      </c>
      <c>
        <v>0.274</v>
      </c>
      <c t="s">
        <v>22490</v>
      </c>
      <c t="s">
        <v>18066</v>
      </c>
      <c t="s">
        <v>11074</v>
      </c>
      <c t="s">
        <v>47355</v>
      </c>
      <c t="s">
        <v>11074</v>
      </c>
      <c t="s">
        <v>58587</v>
      </c>
      <c t="s">
        <v>46469</v>
      </c>
      <c t="s">
        <v>2517</v>
      </c>
      <c t="s">
        <v>39289</v>
      </c>
      <c>
        <v>33904</v>
      </c>
      <c>
        <v>33904</v>
      </c>
      <c t="s">
        <v>48794</v>
      </c>
      <c t="s">
        <v>48521</v>
      </c>
      <c>
        <v>10</v>
      </c>
      <c r="AI3478" t="s">
        <v>8264</v>
      </c>
      <c r="AL3478" t="s">
        <v>3174</v>
      </c>
      <c t="s">
        <v>3174</v>
      </c>
      <c t="s">
        <v>54650</v>
      </c>
      <c>
        <v>73072</v>
      </c>
      <c r="AR3478" t="s">
        <v>35218</v>
      </c>
    </row>
    <row>
      <c t="s">
        <v>17594</v>
      </c>
      <c t="s">
        <v>58530</v>
      </c>
      <c t="s">
        <v>62437</v>
      </c>
      <c t="s">
        <v>47245</v>
      </c>
      <c t="s">
        <v>17372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479" s="1" t="str">
        <f ca="1">HYPERLINK("https://web.datatree.com/?/property?propertyId=33310952", "https://web.datatree.com/?/property?propertyId=33310952")</f>
        <v>https://web.datatree.com/?/property?propertyId=33310952</v>
      </c>
      <c r="Q3479" t="s">
        <v>316</v>
      </c>
      <c>
        <v>0.232</v>
      </c>
      <c t="s">
        <v>6175</v>
      </c>
      <c t="s">
        <v>45340</v>
      </c>
      <c t="s">
        <v>43840</v>
      </c>
      <c t="s">
        <v>49741</v>
      </c>
      <c t="s">
        <v>61905</v>
      </c>
      <c t="s">
        <v>16144</v>
      </c>
      <c t="s">
        <v>29190</v>
      </c>
      <c t="s">
        <v>2517</v>
      </c>
      <c t="s">
        <v>39289</v>
      </c>
      <c>
        <v>33909</v>
      </c>
      <c t="s">
        <v>57233</v>
      </c>
      <c t="s">
        <v>48794</v>
      </c>
      <c t="s">
        <v>40799</v>
      </c>
      <c>
        <v>8108</v>
      </c>
      <c r="AI3479" t="s">
        <v>42439</v>
      </c>
      <c t="s">
        <v>55842</v>
      </c>
      <c r="AL3479" t="s">
        <v>62149</v>
      </c>
      <c r="AN3479" t="s">
        <v>39289</v>
      </c>
      <c t="s">
        <v>30501</v>
      </c>
      <c t="s">
        <v>12241</v>
      </c>
      <c t="s">
        <v>3093</v>
      </c>
      <c t="s">
        <v>11087</v>
      </c>
    </row>
    <row>
      <c t="s">
        <v>17594</v>
      </c>
      <c t="s">
        <v>23749</v>
      </c>
      <c t="s">
        <v>11433</v>
      </c>
      <c t="s">
        <v>13350</v>
      </c>
      <c t="s">
        <v>43637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480" s="1" t="str">
        <f ca="1">HYPERLINK("https://web.datatree.com/?/property?propertyId=33311213", "https://web.datatree.com/?/property?propertyId=33311213")</f>
        <v>https://web.datatree.com/?/property?propertyId=33311213</v>
      </c>
      <c r="Q3480" t="s">
        <v>316</v>
      </c>
      <c>
        <v>0.23</v>
      </c>
      <c t="s">
        <v>22490</v>
      </c>
      <c t="s">
        <v>51680</v>
      </c>
      <c t="s">
        <v>3062</v>
      </c>
      <c r="X3480" t="s">
        <v>962</v>
      </c>
      <c t="s">
        <v>2626</v>
      </c>
      <c t="s">
        <v>2517</v>
      </c>
      <c t="s">
        <v>39289</v>
      </c>
      <c>
        <v>33909</v>
      </c>
      <c t="s">
        <v>28919</v>
      </c>
      <c t="s">
        <v>48794</v>
      </c>
      <c t="s">
        <v>37039</v>
      </c>
      <c>
        <v>1242</v>
      </c>
      <c r="AI3480" t="s">
        <v>63942</v>
      </c>
      <c t="s">
        <v>45620</v>
      </c>
      <c>
        <v>42</v>
      </c>
      <c t="s">
        <v>2517</v>
      </c>
      <c t="s">
        <v>25649</v>
      </c>
      <c t="s">
        <v>39289</v>
      </c>
      <c t="s">
        <v>66848</v>
      </c>
      <c t="s">
        <v>34162</v>
      </c>
      <c t="s">
        <v>3093</v>
      </c>
      <c t="s">
        <v>8199</v>
      </c>
    </row>
    <row>
      <c t="s">
        <v>17594</v>
      </c>
      <c t="s">
        <v>1544</v>
      </c>
      <c t="s">
        <v>10615</v>
      </c>
      <c t="s">
        <v>62153</v>
      </c>
      <c t="s">
        <v>6368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>
        <v>2021</v>
      </c>
      <c>
        <v>591.97</v>
      </c>
      <c s="1" t="str">
        <f ca="1">HYPERLINK("https://web.datatree.com/?/property?propertyId=33311257", "https://web.datatree.com/?/property?propertyId=33311257")</f>
        <v>https://web.datatree.com/?/property?propertyId=33311257</v>
      </c>
      <c r="Q3481" t="s">
        <v>316</v>
      </c>
      <c>
        <v>0.23</v>
      </c>
      <c t="s">
        <v>22490</v>
      </c>
      <c t="s">
        <v>9303</v>
      </c>
      <c t="s">
        <v>6648</v>
      </c>
      <c r="X3481" t="s">
        <v>21974</v>
      </c>
      <c t="s">
        <v>57064</v>
      </c>
      <c t="s">
        <v>2517</v>
      </c>
      <c t="s">
        <v>39289</v>
      </c>
      <c>
        <v>33909</v>
      </c>
      <c t="s">
        <v>33252</v>
      </c>
      <c t="s">
        <v>48794</v>
      </c>
      <c t="s">
        <v>50707</v>
      </c>
      <c>
        <v>93</v>
      </c>
      <c r="AI3481" t="s">
        <v>26087</v>
      </c>
      <c r="AL3481" t="s">
        <v>29781</v>
      </c>
      <c r="AN3481" t="s">
        <v>32840</v>
      </c>
      <c r="AR3481" t="s">
        <v>20621</v>
      </c>
    </row>
    <row>
      <c t="s">
        <v>17594</v>
      </c>
      <c t="s">
        <v>24012</v>
      </c>
      <c t="s">
        <v>58464</v>
      </c>
      <c t="s">
        <v>56420</v>
      </c>
      <c t="s">
        <v>5847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482" s="1" t="str">
        <f ca="1">HYPERLINK("https://web.datatree.com/?/property?propertyId=33313050", "https://web.datatree.com/?/property?propertyId=33313050")</f>
        <v>https://web.datatree.com/?/property?propertyId=33313050</v>
      </c>
      <c r="Q3482" t="s">
        <v>316</v>
      </c>
      <c>
        <v>0.23</v>
      </c>
      <c t="s">
        <v>6175</v>
      </c>
      <c t="s">
        <v>26934</v>
      </c>
      <c t="s">
        <v>10151</v>
      </c>
      <c r="X3482" t="s">
        <v>24410</v>
      </c>
      <c t="s">
        <v>33179</v>
      </c>
      <c t="s">
        <v>2517</v>
      </c>
      <c t="s">
        <v>39289</v>
      </c>
      <c>
        <v>33909</v>
      </c>
      <c t="s">
        <v>40140</v>
      </c>
      <c t="s">
        <v>48794</v>
      </c>
      <c t="s">
        <v>662</v>
      </c>
      <c>
        <v>8880</v>
      </c>
      <c r="AI3482" t="s">
        <v>18704</v>
      </c>
      <c t="s">
        <v>45620</v>
      </c>
      <c>
        <v>250</v>
      </c>
      <c t="s">
        <v>38297</v>
      </c>
      <c t="s">
        <v>31151</v>
      </c>
      <c t="s">
        <v>27222</v>
      </c>
      <c t="s">
        <v>2778</v>
      </c>
      <c t="s">
        <v>35508</v>
      </c>
      <c t="s">
        <v>3093</v>
      </c>
      <c t="s">
        <v>13643</v>
      </c>
    </row>
    <row>
      <c t="s">
        <v>17594</v>
      </c>
      <c t="s">
        <v>28789</v>
      </c>
      <c t="s">
        <v>42043</v>
      </c>
      <c t="s">
        <v>42966</v>
      </c>
      <c t="s">
        <v>9651</v>
      </c>
      <c s="3">
        <v>20900</v>
      </c>
      <c s="3">
        <v>20900</v>
      </c>
      <c s="3">
        <v>10450</v>
      </c>
      <c>
        <v>0</v>
      </c>
      <c s="3">
        <v>0</v>
      </c>
      <c s="3">
        <v>597.57</v>
      </c>
      <c s="3">
        <v>20900</v>
      </c>
      <c r="O3483" s="1" t="str">
        <f ca="1">HYPERLINK("https://web.datatree.com/?/property?propertyId=33313091", "https://web.datatree.com/?/property?propertyId=33313091")</f>
        <v>https://web.datatree.com/?/property?propertyId=33313091</v>
      </c>
      <c r="Q3483" t="s">
        <v>316</v>
      </c>
      <c>
        <v>0.23</v>
      </c>
      <c t="s">
        <v>22490</v>
      </c>
      <c t="s">
        <v>35271</v>
      </c>
      <c t="s">
        <v>67232</v>
      </c>
      <c t="s">
        <v>14669</v>
      </c>
      <c t="s">
        <v>67232</v>
      </c>
      <c t="s">
        <v>57433</v>
      </c>
      <c t="s">
        <v>44061</v>
      </c>
      <c t="s">
        <v>2517</v>
      </c>
      <c t="s">
        <v>39289</v>
      </c>
      <c>
        <v>33909</v>
      </c>
      <c t="s">
        <v>53541</v>
      </c>
      <c t="s">
        <v>48794</v>
      </c>
      <c t="s">
        <v>56441</v>
      </c>
      <c>
        <v>469</v>
      </c>
      <c r="AI3483" t="s">
        <v>31661</v>
      </c>
      <c t="s">
        <v>45620</v>
      </c>
      <c r="AL3483" t="s">
        <v>4762</v>
      </c>
      <c r="AN3483" t="s">
        <v>26016</v>
      </c>
      <c t="s">
        <v>50677</v>
      </c>
      <c t="s">
        <v>49977</v>
      </c>
      <c t="s">
        <v>3093</v>
      </c>
      <c t="s">
        <v>25598</v>
      </c>
    </row>
    <row>
      <c t="s">
        <v>17594</v>
      </c>
      <c t="s">
        <v>60678</v>
      </c>
      <c t="s">
        <v>13853</v>
      </c>
      <c t="s">
        <v>6254</v>
      </c>
      <c t="s">
        <v>5805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484" s="1" t="str">
        <f ca="1">HYPERLINK("https://web.datatree.com/?/property?propertyId=33313194", "https://web.datatree.com/?/property?propertyId=33313194")</f>
        <v>https://web.datatree.com/?/property?propertyId=33313194</v>
      </c>
      <c r="Q3484" t="s">
        <v>316</v>
      </c>
      <c>
        <v>0.235</v>
      </c>
      <c t="s">
        <v>6175</v>
      </c>
      <c t="s">
        <v>52248</v>
      </c>
      <c t="s">
        <v>19236</v>
      </c>
      <c t="s">
        <v>43240</v>
      </c>
      <c t="s">
        <v>4166</v>
      </c>
      <c t="s">
        <v>59850</v>
      </c>
      <c t="s">
        <v>29190</v>
      </c>
      <c t="s">
        <v>2517</v>
      </c>
      <c t="s">
        <v>39289</v>
      </c>
      <c>
        <v>33909</v>
      </c>
      <c t="s">
        <v>10749</v>
      </c>
      <c t="s">
        <v>48794</v>
      </c>
      <c t="s">
        <v>41199</v>
      </c>
      <c>
        <v>14800</v>
      </c>
      <c r="AI3484" t="s">
        <v>13895</v>
      </c>
      <c t="s">
        <v>40123</v>
      </c>
      <c r="AL3484" t="s">
        <v>30190</v>
      </c>
      <c r="AN3484" t="s">
        <v>65467</v>
      </c>
      <c t="s">
        <v>57019</v>
      </c>
      <c t="s">
        <v>62830</v>
      </c>
      <c t="s">
        <v>3093</v>
      </c>
      <c t="s">
        <v>3036</v>
      </c>
    </row>
    <row>
      <c t="s">
        <v>17594</v>
      </c>
      <c t="s">
        <v>55627</v>
      </c>
      <c t="s">
        <v>13042</v>
      </c>
      <c t="s">
        <v>31241</v>
      </c>
      <c t="s">
        <v>18300</v>
      </c>
      <c s="3">
        <v>8400</v>
      </c>
      <c s="3">
        <v>8400</v>
      </c>
      <c s="3">
        <v>8400</v>
      </c>
      <c>
        <v>0</v>
      </c>
      <c s="3">
        <v>0</v>
      </c>
      <c s="3">
        <v>800.88</v>
      </c>
      <c s="3">
        <v>8400</v>
      </c>
      <c r="O3485" s="1" t="str">
        <f ca="1">HYPERLINK("https://web.datatree.com/?/property?propertyId=33313269", "https://web.datatree.com/?/property?propertyId=33313269")</f>
        <v>https://web.datatree.com/?/property?propertyId=33313269</v>
      </c>
      <c r="Q3485" t="s">
        <v>316</v>
      </c>
      <c>
        <v>0.311</v>
      </c>
      <c t="s">
        <v>22490</v>
      </c>
      <c t="s">
        <v>58272</v>
      </c>
      <c t="s">
        <v>37146</v>
      </c>
      <c r="X3485" t="s">
        <v>49530</v>
      </c>
      <c t="s">
        <v>7273</v>
      </c>
      <c t="s">
        <v>2517</v>
      </c>
      <c t="s">
        <v>39289</v>
      </c>
      <c>
        <v>33909</v>
      </c>
      <c>
        <v>33909</v>
      </c>
      <c t="s">
        <v>48794</v>
      </c>
      <c t="s">
        <v>44642</v>
      </c>
      <c>
        <v>1595</v>
      </c>
      <c r="AI3485" t="s">
        <v>24697</v>
      </c>
      <c t="s">
        <v>45393</v>
      </c>
      <c>
        <v>213</v>
      </c>
      <c t="s">
        <v>28490</v>
      </c>
      <c t="s">
        <v>28490</v>
      </c>
      <c t="s">
        <v>39289</v>
      </c>
      <c t="s">
        <v>9659</v>
      </c>
      <c t="s">
        <v>4480</v>
      </c>
      <c t="s">
        <v>3093</v>
      </c>
      <c t="s">
        <v>22543</v>
      </c>
    </row>
    <row>
      <c t="s">
        <v>17594</v>
      </c>
      <c t="s">
        <v>9207</v>
      </c>
      <c t="s">
        <v>29558</v>
      </c>
      <c t="s">
        <v>33001</v>
      </c>
      <c t="s">
        <v>66830</v>
      </c>
      <c s="3">
        <v>54724</v>
      </c>
      <c s="3">
        <v>54724</v>
      </c>
      <c s="3">
        <v>39797</v>
      </c>
      <c>
        <v>0</v>
      </c>
      <c s="3">
        <v>0</v>
      </c>
      <c s="3">
        <v>1238.32</v>
      </c>
      <c s="3">
        <v>54724</v>
      </c>
      <c r="O3486" s="1" t="str">
        <f ca="1">HYPERLINK("https://web.datatree.com/?/property?propertyId=33313550", "https://web.datatree.com/?/property?propertyId=33313550")</f>
        <v>https://web.datatree.com/?/property?propertyId=33313550</v>
      </c>
      <c r="Q3486" t="s">
        <v>316</v>
      </c>
      <c>
        <v>0.341</v>
      </c>
      <c t="s">
        <v>6175</v>
      </c>
      <c t="s">
        <v>66904</v>
      </c>
      <c t="s">
        <v>41570</v>
      </c>
      <c t="s">
        <v>40487</v>
      </c>
      <c t="s">
        <v>41570</v>
      </c>
      <c t="s">
        <v>10613</v>
      </c>
      <c t="s">
        <v>41506</v>
      </c>
      <c t="s">
        <v>2517</v>
      </c>
      <c t="s">
        <v>39289</v>
      </c>
      <c>
        <v>33904</v>
      </c>
      <c t="s">
        <v>49877</v>
      </c>
      <c t="s">
        <v>48794</v>
      </c>
      <c t="s">
        <v>2885</v>
      </c>
      <c>
        <v>2</v>
      </c>
      <c r="AI3486" t="s">
        <v>62772</v>
      </c>
      <c t="s">
        <v>24900</v>
      </c>
      <c r="AL3486" t="s">
        <v>21237</v>
      </c>
      <c r="AN3486" t="s">
        <v>14509</v>
      </c>
      <c t="s">
        <v>46197</v>
      </c>
      <c t="s">
        <v>18692</v>
      </c>
      <c t="s">
        <v>3093</v>
      </c>
      <c t="s">
        <v>26629</v>
      </c>
    </row>
    <row>
      <c t="s">
        <v>17594</v>
      </c>
      <c t="s">
        <v>30799</v>
      </c>
      <c t="s">
        <v>9442</v>
      </c>
      <c t="s">
        <v>24987</v>
      </c>
      <c t="s">
        <v>31008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3487" s="1" t="str">
        <f ca="1">HYPERLINK("https://web.datatree.com/?/property?propertyId=33313795", "https://web.datatree.com/?/property?propertyId=33313795")</f>
        <v>https://web.datatree.com/?/property?propertyId=33313795</v>
      </c>
      <c r="Q3487" t="s">
        <v>316</v>
      </c>
      <c>
        <v>0.23</v>
      </c>
      <c t="s">
        <v>22490</v>
      </c>
      <c t="s">
        <v>30846</v>
      </c>
      <c t="s">
        <v>35571</v>
      </c>
      <c t="s">
        <v>9592</v>
      </c>
      <c t="s">
        <v>29670</v>
      </c>
      <c t="s">
        <v>34835</v>
      </c>
      <c t="s">
        <v>55273</v>
      </c>
      <c t="s">
        <v>2517</v>
      </c>
      <c t="s">
        <v>39289</v>
      </c>
      <c>
        <v>33909</v>
      </c>
      <c t="s">
        <v>55689</v>
      </c>
      <c t="s">
        <v>48794</v>
      </c>
      <c t="s">
        <v>3558</v>
      </c>
      <c>
        <v>10690</v>
      </c>
      <c r="AI3487" t="s">
        <v>25017</v>
      </c>
      <c t="s">
        <v>45393</v>
      </c>
      <c r="AL3487" t="s">
        <v>4859</v>
      </c>
      <c t="s">
        <v>4859</v>
      </c>
      <c t="s">
        <v>39289</v>
      </c>
      <c t="s">
        <v>45766</v>
      </c>
      <c t="s">
        <v>33029</v>
      </c>
      <c t="s">
        <v>3093</v>
      </c>
      <c t="s">
        <v>30045</v>
      </c>
    </row>
    <row>
      <c t="s">
        <v>17594</v>
      </c>
      <c t="s">
        <v>37943</v>
      </c>
      <c t="s">
        <v>46650</v>
      </c>
      <c t="s">
        <v>46652</v>
      </c>
      <c t="s">
        <v>55154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3488" s="1" t="str">
        <f ca="1">HYPERLINK("https://web.datatree.com/?/property?propertyId=33313890", "https://web.datatree.com/?/property?propertyId=33313890")</f>
        <v>https://web.datatree.com/?/property?propertyId=33313890</v>
      </c>
      <c r="Q3488" t="s">
        <v>316</v>
      </c>
      <c>
        <v>0.23</v>
      </c>
      <c t="s">
        <v>54449</v>
      </c>
      <c t="s">
        <v>15316</v>
      </c>
      <c t="s">
        <v>27978</v>
      </c>
      <c r="X3488" t="s">
        <v>46844</v>
      </c>
      <c t="s">
        <v>39777</v>
      </c>
      <c t="s">
        <v>2517</v>
      </c>
      <c t="s">
        <v>39289</v>
      </c>
      <c>
        <v>33909</v>
      </c>
      <c t="s">
        <v>30283</v>
      </c>
      <c t="s">
        <v>48794</v>
      </c>
      <c t="s">
        <v>8802</v>
      </c>
      <c>
        <v>3859</v>
      </c>
      <c r="AI3488" t="s">
        <v>13170</v>
      </c>
      <c t="s">
        <v>24900</v>
      </c>
      <c r="AL3488" t="s">
        <v>7634</v>
      </c>
      <c t="s">
        <v>65608</v>
      </c>
      <c t="s">
        <v>39289</v>
      </c>
      <c t="s">
        <v>25653</v>
      </c>
      <c t="s">
        <v>4797</v>
      </c>
      <c t="s">
        <v>3093</v>
      </c>
      <c t="s">
        <v>41822</v>
      </c>
    </row>
    <row>
      <c t="s">
        <v>17594</v>
      </c>
      <c t="s">
        <v>42517</v>
      </c>
      <c t="s">
        <v>58085</v>
      </c>
      <c t="s">
        <v>45741</v>
      </c>
      <c t="s">
        <v>58515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3489" s="1" t="str">
        <f ca="1">HYPERLINK("https://web.datatree.com/?/property?propertyId=33314179", "https://web.datatree.com/?/property?propertyId=33314179")</f>
        <v>https://web.datatree.com/?/property?propertyId=33314179</v>
      </c>
      <c r="Q3489" t="s">
        <v>316</v>
      </c>
      <c>
        <v>0.23</v>
      </c>
      <c t="s">
        <v>58725</v>
      </c>
      <c t="s">
        <v>41661</v>
      </c>
      <c t="s">
        <v>54399</v>
      </c>
      <c r="X3489" t="s">
        <v>19419</v>
      </c>
      <c t="s">
        <v>57064</v>
      </c>
      <c t="s">
        <v>2517</v>
      </c>
      <c t="s">
        <v>39289</v>
      </c>
      <c>
        <v>33909</v>
      </c>
      <c t="s">
        <v>6306</v>
      </c>
      <c t="s">
        <v>48794</v>
      </c>
      <c t="s">
        <v>46506</v>
      </c>
      <c>
        <v>4504</v>
      </c>
      <c r="AI3489" t="s">
        <v>13065</v>
      </c>
      <c t="s">
        <v>45393</v>
      </c>
      <c r="AL3489" t="s">
        <v>46989</v>
      </c>
      <c t="s">
        <v>49348</v>
      </c>
      <c t="s">
        <v>39289</v>
      </c>
      <c t="s">
        <v>65047</v>
      </c>
      <c t="s">
        <v>61410</v>
      </c>
      <c t="s">
        <v>3093</v>
      </c>
      <c t="s">
        <v>49969</v>
      </c>
    </row>
    <row>
      <c t="s">
        <v>17594</v>
      </c>
      <c t="s">
        <v>15003</v>
      </c>
      <c t="s">
        <v>64893</v>
      </c>
      <c t="s">
        <v>41667</v>
      </c>
      <c t="s">
        <v>16352</v>
      </c>
      <c s="3">
        <v>2100</v>
      </c>
      <c s="3">
        <v>2100</v>
      </c>
      <c s="3">
        <v>310</v>
      </c>
      <c>
        <v>0</v>
      </c>
      <c s="3">
        <v>0</v>
      </c>
      <c s="3">
        <v>251.7</v>
      </c>
      <c s="3">
        <v>2100</v>
      </c>
      <c>
        <v>2021</v>
      </c>
      <c>
        <v>300.68</v>
      </c>
      <c s="1" t="str">
        <f ca="1">HYPERLINK("https://web.datatree.com/?/property?propertyId=33314243", "https://web.datatree.com/?/property?propertyId=33314243")</f>
        <v>https://web.datatree.com/?/property?propertyId=33314243</v>
      </c>
      <c r="Q3490" t="s">
        <v>316</v>
      </c>
      <c>
        <v>0.072</v>
      </c>
      <c t="s">
        <v>42044</v>
      </c>
      <c t="s">
        <v>33321</v>
      </c>
      <c t="s">
        <v>41408</v>
      </c>
      <c r="X3490" t="s">
        <v>53873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719</v>
      </c>
      <c r="AI3490" t="s">
        <v>25700</v>
      </c>
      <c t="s">
        <v>4985</v>
      </c>
      <c r="AL3490" t="s">
        <v>11713</v>
      </c>
      <c r="AN3490" t="s">
        <v>39289</v>
      </c>
      <c t="s">
        <v>53963</v>
      </c>
      <c t="s">
        <v>26242</v>
      </c>
      <c t="s">
        <v>3093</v>
      </c>
      <c t="s">
        <v>8039</v>
      </c>
    </row>
    <row>
      <c t="s">
        <v>17594</v>
      </c>
      <c t="s">
        <v>11437</v>
      </c>
      <c t="s">
        <v>67222</v>
      </c>
      <c t="s">
        <v>42611</v>
      </c>
      <c t="s">
        <v>56878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3491" s="1" t="str">
        <f ca="1">HYPERLINK("https://web.datatree.com/?/property?propertyId=33314307", "https://web.datatree.com/?/property?propertyId=33314307")</f>
        <v>https://web.datatree.com/?/property?propertyId=33314307</v>
      </c>
      <c r="Q3491" t="s">
        <v>316</v>
      </c>
      <c>
        <v>0.232</v>
      </c>
      <c t="s">
        <v>5471</v>
      </c>
      <c t="s">
        <v>19520</v>
      </c>
      <c t="s">
        <v>49611</v>
      </c>
      <c t="s">
        <v>1859</v>
      </c>
      <c t="s">
        <v>24536</v>
      </c>
      <c t="s">
        <v>35582</v>
      </c>
      <c t="s">
        <v>19394</v>
      </c>
      <c t="s">
        <v>65059</v>
      </c>
      <c t="s">
        <v>39289</v>
      </c>
      <c>
        <v>33905</v>
      </c>
      <c t="s">
        <v>602</v>
      </c>
      <c t="s">
        <v>48794</v>
      </c>
      <c t="s">
        <v>61601</v>
      </c>
      <c>
        <v>17894</v>
      </c>
      <c r="AI3491" t="s">
        <v>60363</v>
      </c>
      <c t="s">
        <v>45393</v>
      </c>
      <c r="AL3491" t="s">
        <v>21676</v>
      </c>
      <c r="AN3491" t="s">
        <v>39289</v>
      </c>
      <c t="s">
        <v>10035</v>
      </c>
      <c t="s">
        <v>36638</v>
      </c>
      <c t="s">
        <v>3093</v>
      </c>
      <c t="s">
        <v>474</v>
      </c>
    </row>
    <row>
      <c t="s">
        <v>17594</v>
      </c>
      <c t="s">
        <v>14126</v>
      </c>
      <c t="s">
        <v>58777</v>
      </c>
      <c t="s">
        <v>45917</v>
      </c>
      <c t="s">
        <v>46739</v>
      </c>
      <c s="3">
        <v>19478</v>
      </c>
      <c s="3">
        <v>19478</v>
      </c>
      <c s="3">
        <v>9339</v>
      </c>
      <c>
        <v>0</v>
      </c>
      <c s="3">
        <v>0</v>
      </c>
      <c s="3">
        <v>584.07</v>
      </c>
      <c s="3">
        <v>19478</v>
      </c>
      <c r="O3492" s="1" t="str">
        <f ca="1">HYPERLINK("https://web.datatree.com/?/property?propertyId=33314754", "https://web.datatree.com/?/property?propertyId=33314754")</f>
        <v>https://web.datatree.com/?/property?propertyId=33314754</v>
      </c>
      <c r="Q3492" t="s">
        <v>316</v>
      </c>
      <c>
        <v>0.247</v>
      </c>
      <c t="s">
        <v>6175</v>
      </c>
      <c t="s">
        <v>50331</v>
      </c>
      <c t="s">
        <v>57654</v>
      </c>
      <c r="X3492" t="s">
        <v>39495</v>
      </c>
      <c t="s">
        <v>53663</v>
      </c>
      <c t="s">
        <v>2517</v>
      </c>
      <c t="s">
        <v>39289</v>
      </c>
      <c>
        <v>33909</v>
      </c>
      <c t="s">
        <v>24526</v>
      </c>
      <c t="s">
        <v>48794</v>
      </c>
      <c t="s">
        <v>57679</v>
      </c>
      <c>
        <v>5</v>
      </c>
      <c r="AI3492" t="s">
        <v>60863</v>
      </c>
      <c t="s">
        <v>39321</v>
      </c>
      <c r="AL3492" t="s">
        <v>50598</v>
      </c>
      <c r="AN3492" t="s">
        <v>26016</v>
      </c>
      <c t="s">
        <v>66455</v>
      </c>
      <c t="s">
        <v>4480</v>
      </c>
      <c t="s">
        <v>3093</v>
      </c>
      <c t="s">
        <v>22193</v>
      </c>
    </row>
    <row>
      <c t="s">
        <v>17594</v>
      </c>
      <c t="s">
        <v>3104</v>
      </c>
      <c t="s">
        <v>35178</v>
      </c>
      <c t="s">
        <v>31455</v>
      </c>
      <c t="s">
        <v>66751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493" s="1" t="str">
        <f ca="1">HYPERLINK("https://web.datatree.com/?/property?propertyId=33314767", "https://web.datatree.com/?/property?propertyId=33314767")</f>
        <v>https://web.datatree.com/?/property?propertyId=33314767</v>
      </c>
      <c r="Q3493" t="s">
        <v>316</v>
      </c>
      <c>
        <v>0.23</v>
      </c>
      <c t="s">
        <v>6175</v>
      </c>
      <c t="s">
        <v>3293</v>
      </c>
      <c t="s">
        <v>22080</v>
      </c>
      <c t="s">
        <v>37690</v>
      </c>
      <c t="s">
        <v>22080</v>
      </c>
      <c t="s">
        <v>39911</v>
      </c>
      <c t="s">
        <v>61850</v>
      </c>
      <c t="s">
        <v>2517</v>
      </c>
      <c t="s">
        <v>39289</v>
      </c>
      <c>
        <v>33909</v>
      </c>
      <c t="s">
        <v>26489</v>
      </c>
      <c t="s">
        <v>48794</v>
      </c>
      <c t="s">
        <v>37725</v>
      </c>
      <c>
        <v>428</v>
      </c>
      <c r="AI3493" t="s">
        <v>59060</v>
      </c>
      <c t="s">
        <v>31192</v>
      </c>
      <c r="AL3493" t="s">
        <v>5350</v>
      </c>
      <c r="AN3493" t="s">
        <v>22275</v>
      </c>
      <c t="s">
        <v>66559</v>
      </c>
      <c t="s">
        <v>12241</v>
      </c>
      <c t="s">
        <v>3093</v>
      </c>
      <c t="s">
        <v>21799</v>
      </c>
    </row>
    <row>
      <c t="s">
        <v>17594</v>
      </c>
      <c t="s">
        <v>7035</v>
      </c>
      <c t="s">
        <v>35943</v>
      </c>
      <c t="s">
        <v>3454</v>
      </c>
      <c t="s">
        <v>33065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3494" s="1" t="str">
        <f ca="1">HYPERLINK("https://web.datatree.com/?/property?propertyId=33314927", "https://web.datatree.com/?/property?propertyId=33314927")</f>
        <v>https://web.datatree.com/?/property?propertyId=33314927</v>
      </c>
      <c r="Q3494" t="s">
        <v>316</v>
      </c>
      <c>
        <v>0.286</v>
      </c>
      <c t="s">
        <v>5471</v>
      </c>
      <c t="s">
        <v>26502</v>
      </c>
      <c t="s">
        <v>63607</v>
      </c>
      <c t="s">
        <v>60671</v>
      </c>
      <c t="s">
        <v>63607</v>
      </c>
      <c t="s">
        <v>40344</v>
      </c>
      <c t="s">
        <v>9755</v>
      </c>
      <c t="s">
        <v>65059</v>
      </c>
      <c t="s">
        <v>39289</v>
      </c>
      <c>
        <v>33905</v>
      </c>
      <c t="s">
        <v>1194</v>
      </c>
      <c t="s">
        <v>48794</v>
      </c>
      <c t="s">
        <v>17316</v>
      </c>
      <c>
        <v>40</v>
      </c>
      <c r="AI3494" t="s">
        <v>33309</v>
      </c>
      <c t="s">
        <v>31192</v>
      </c>
      <c r="AL3494" t="s">
        <v>31833</v>
      </c>
      <c r="AN3494" t="s">
        <v>14509</v>
      </c>
      <c t="s">
        <v>64272</v>
      </c>
      <c t="s">
        <v>22152</v>
      </c>
      <c t="s">
        <v>3093</v>
      </c>
      <c t="s">
        <v>444</v>
      </c>
    </row>
    <row>
      <c t="s">
        <v>17594</v>
      </c>
      <c t="s">
        <v>10337</v>
      </c>
      <c t="s">
        <v>59071</v>
      </c>
      <c t="s">
        <v>30568</v>
      </c>
      <c t="s">
        <v>20893</v>
      </c>
      <c s="3">
        <v>9278</v>
      </c>
      <c s="3">
        <v>9278</v>
      </c>
      <c s="3">
        <v>4972</v>
      </c>
      <c>
        <v>0</v>
      </c>
      <c s="3">
        <v>0</v>
      </c>
      <c s="3">
        <v>315.35</v>
      </c>
      <c s="3">
        <v>9278</v>
      </c>
      <c>
        <v>2021</v>
      </c>
      <c>
        <v>346.95</v>
      </c>
      <c s="1" t="str">
        <f ca="1">HYPERLINK("https://web.datatree.com/?/property?propertyId=33315762", "https://web.datatree.com/?/property?propertyId=33315762")</f>
        <v>https://web.datatree.com/?/property?propertyId=33315762</v>
      </c>
      <c r="Q3495" t="s">
        <v>316</v>
      </c>
      <c>
        <v>0.23</v>
      </c>
      <c t="s">
        <v>5471</v>
      </c>
      <c t="s">
        <v>50459</v>
      </c>
      <c t="s">
        <v>34217</v>
      </c>
      <c r="X3495" t="s">
        <v>21797</v>
      </c>
      <c t="s">
        <v>6481</v>
      </c>
      <c t="s">
        <v>65059</v>
      </c>
      <c t="s">
        <v>39289</v>
      </c>
      <c>
        <v>33905</v>
      </c>
      <c t="s">
        <v>20035</v>
      </c>
      <c t="s">
        <v>48794</v>
      </c>
      <c t="s">
        <v>291</v>
      </c>
      <c>
        <v>22</v>
      </c>
      <c r="AI3495" t="s">
        <v>39490</v>
      </c>
      <c t="s">
        <v>45620</v>
      </c>
      <c>
        <v>18</v>
      </c>
      <c t="s">
        <v>66114</v>
      </c>
      <c r="AN3495" t="s">
        <v>50917</v>
      </c>
      <c t="s">
        <v>43836</v>
      </c>
      <c t="s">
        <v>60160</v>
      </c>
      <c t="s">
        <v>3093</v>
      </c>
      <c t="s">
        <v>37246</v>
      </c>
    </row>
    <row>
      <c t="s">
        <v>17594</v>
      </c>
      <c t="s">
        <v>16304</v>
      </c>
      <c t="s">
        <v>27243</v>
      </c>
      <c t="s">
        <v>7515</v>
      </c>
      <c t="s">
        <v>6497</v>
      </c>
      <c s="3">
        <v>103096</v>
      </c>
      <c s="3">
        <v>93500</v>
      </c>
      <c s="3">
        <v>103096</v>
      </c>
      <c>
        <v>0</v>
      </c>
      <c s="3">
        <v>0</v>
      </c>
      <c s="3">
        <v>1548.4</v>
      </c>
      <c s="3">
        <v>103096</v>
      </c>
      <c r="O3496" s="1" t="str">
        <f ca="1">HYPERLINK("https://web.datatree.com/?/property?propertyId=33315931", "https://web.datatree.com/?/property?propertyId=33315931")</f>
        <v>https://web.datatree.com/?/property?propertyId=33315931</v>
      </c>
      <c r="Q3496" t="s">
        <v>316</v>
      </c>
      <c>
        <v>0.095</v>
      </c>
      <c t="s">
        <v>26492</v>
      </c>
      <c t="s">
        <v>41303</v>
      </c>
      <c t="s">
        <v>23381</v>
      </c>
      <c r="X3496" t="s">
        <v>30679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10780</v>
      </c>
      <c>
        <v>13418</v>
      </c>
      <c r="AI3496" t="s">
        <v>61508</v>
      </c>
      <c t="s">
        <v>39321</v>
      </c>
      <c r="AL3496" t="s">
        <v>55393</v>
      </c>
      <c t="s">
        <v>13598</v>
      </c>
      <c t="s">
        <v>39289</v>
      </c>
      <c t="s">
        <v>4028</v>
      </c>
      <c t="s">
        <v>26416</v>
      </c>
      <c t="s">
        <v>3093</v>
      </c>
      <c t="s">
        <v>30385</v>
      </c>
    </row>
    <row>
      <c t="s">
        <v>17594</v>
      </c>
      <c t="s">
        <v>18002</v>
      </c>
      <c t="s">
        <v>14630</v>
      </c>
      <c t="s">
        <v>63404</v>
      </c>
      <c t="s">
        <v>404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3497" s="1" t="str">
        <f ca="1">HYPERLINK("https://web.datatree.com/?/property?propertyId=33316214", "https://web.datatree.com/?/property?propertyId=33316214")</f>
        <v>https://web.datatree.com/?/property?propertyId=33316214</v>
      </c>
      <c r="Q3497" t="s">
        <v>316</v>
      </c>
      <c>
        <v>0.23</v>
      </c>
      <c t="s">
        <v>6175</v>
      </c>
      <c t="s">
        <v>65497</v>
      </c>
      <c t="s">
        <v>30367</v>
      </c>
      <c r="X3497" t="s">
        <v>139</v>
      </c>
      <c t="s">
        <v>23517</v>
      </c>
      <c t="s">
        <v>2517</v>
      </c>
      <c t="s">
        <v>39289</v>
      </c>
      <c>
        <v>33909</v>
      </c>
      <c t="s">
        <v>23360</v>
      </c>
      <c t="s">
        <v>48794</v>
      </c>
      <c t="s">
        <v>29672</v>
      </c>
      <c>
        <v>13617</v>
      </c>
      <c r="AI3497" t="s">
        <v>36743</v>
      </c>
      <c t="s">
        <v>835</v>
      </c>
      <c r="AL3497" t="s">
        <v>22531</v>
      </c>
      <c r="AN3497" t="s">
        <v>39289</v>
      </c>
      <c t="s">
        <v>34041</v>
      </c>
      <c t="s">
        <v>13315</v>
      </c>
      <c t="s">
        <v>3093</v>
      </c>
      <c t="s">
        <v>55395</v>
      </c>
    </row>
    <row>
      <c t="s">
        <v>17594</v>
      </c>
      <c t="s">
        <v>63034</v>
      </c>
      <c t="s">
        <v>24391</v>
      </c>
      <c t="s">
        <v>37334</v>
      </c>
      <c t="s">
        <v>271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498" s="1" t="str">
        <f ca="1">HYPERLINK("https://web.datatree.com/?/property?propertyId=33316636", "https://web.datatree.com/?/property?propertyId=33316636")</f>
        <v>https://web.datatree.com/?/property?propertyId=33316636</v>
      </c>
      <c r="Q3498" t="s">
        <v>316</v>
      </c>
      <c>
        <v>0.23</v>
      </c>
      <c t="s">
        <v>6175</v>
      </c>
      <c t="s">
        <v>18255</v>
      </c>
      <c t="s">
        <v>41980</v>
      </c>
      <c t="s">
        <v>16298</v>
      </c>
      <c t="s">
        <v>41980</v>
      </c>
      <c t="s">
        <v>7176</v>
      </c>
      <c t="s">
        <v>13829</v>
      </c>
      <c t="s">
        <v>2517</v>
      </c>
      <c t="s">
        <v>39289</v>
      </c>
      <c>
        <v>33909</v>
      </c>
      <c t="s">
        <v>3494</v>
      </c>
      <c t="s">
        <v>48794</v>
      </c>
      <c t="s">
        <v>27848</v>
      </c>
      <c r="AI3498" t="s">
        <v>10438</v>
      </c>
      <c r="AK3498">
        <v>44</v>
      </c>
      <c t="s">
        <v>64922</v>
      </c>
      <c r="AN3498" t="s">
        <v>63985</v>
      </c>
      <c>
        <v>41068</v>
      </c>
      <c r="AR3498" t="s">
        <v>23778</v>
      </c>
    </row>
    <row>
      <c t="s">
        <v>17594</v>
      </c>
      <c t="s">
        <v>43426</v>
      </c>
      <c t="s">
        <v>26667</v>
      </c>
      <c t="s">
        <v>27885</v>
      </c>
      <c t="s">
        <v>41450</v>
      </c>
      <c s="3">
        <v>58830</v>
      </c>
      <c s="3">
        <v>58830</v>
      </c>
      <c s="3">
        <v>46688</v>
      </c>
      <c>
        <v>0</v>
      </c>
      <c s="3">
        <v>0</v>
      </c>
      <c s="3">
        <v>708.13</v>
      </c>
      <c s="3">
        <v>58830</v>
      </c>
      <c r="O3499" s="1" t="str">
        <f ca="1">HYPERLINK("https://web.datatree.com/?/property?propertyId=33316873", "https://web.datatree.com/?/property?propertyId=33316873")</f>
        <v>https://web.datatree.com/?/property?propertyId=33316873</v>
      </c>
      <c r="Q3499" t="s">
        <v>316</v>
      </c>
      <c>
        <v>0.232</v>
      </c>
      <c t="s">
        <v>19439</v>
      </c>
      <c t="s">
        <v>39139</v>
      </c>
      <c t="s">
        <v>41557</v>
      </c>
      <c t="s">
        <v>16893</v>
      </c>
      <c t="s">
        <v>41557</v>
      </c>
      <c t="s">
        <v>55014</v>
      </c>
      <c t="s">
        <v>66811</v>
      </c>
      <c t="s">
        <v>65059</v>
      </c>
      <c t="s">
        <v>39289</v>
      </c>
      <c>
        <v>33908</v>
      </c>
      <c t="s">
        <v>46279</v>
      </c>
      <c t="s">
        <v>48794</v>
      </c>
      <c t="s">
        <v>12878</v>
      </c>
      <c>
        <v>1522</v>
      </c>
      <c r="AI3499" t="s">
        <v>62691</v>
      </c>
      <c t="s">
        <v>55842</v>
      </c>
      <c r="AL3499" t="s">
        <v>40949</v>
      </c>
      <c r="AN3499" t="s">
        <v>22275</v>
      </c>
      <c t="s">
        <v>24107</v>
      </c>
      <c t="s">
        <v>702</v>
      </c>
      <c t="s">
        <v>3093</v>
      </c>
      <c t="s">
        <v>64522</v>
      </c>
    </row>
    <row>
      <c t="s">
        <v>42103</v>
      </c>
      <c t="s">
        <v>2995</v>
      </c>
      <c t="s">
        <v>12469</v>
      </c>
      <c t="s">
        <v>57157</v>
      </c>
      <c t="s">
        <v>8779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>
        <v>2016</v>
      </c>
      <c>
        <v>4797.54</v>
      </c>
      <c s="1" t="str">
        <f ca="1">HYPERLINK("https://web.datatree.com/?/property?propertyId=33317369", "https://web.datatree.com/?/property?propertyId=33317369")</f>
        <v>https://web.datatree.com/?/property?propertyId=33317369</v>
      </c>
      <c r="Q3500" t="s">
        <v>316</v>
      </c>
      <c>
        <v>0.23</v>
      </c>
      <c t="s">
        <v>22490</v>
      </c>
      <c r="U3500" t="s">
        <v>64182</v>
      </c>
      <c r="X3500" t="s">
        <v>46174</v>
      </c>
      <c t="s">
        <v>66701</v>
      </c>
      <c t="s">
        <v>2517</v>
      </c>
      <c t="s">
        <v>39289</v>
      </c>
      <c>
        <v>33909</v>
      </c>
      <c t="s">
        <v>59199</v>
      </c>
      <c t="s">
        <v>48794</v>
      </c>
      <c t="s">
        <v>46424</v>
      </c>
      <c r="AI3500" t="s">
        <v>3868</v>
      </c>
      <c r="AL3500" t="s">
        <v>64280</v>
      </c>
      <c t="s">
        <v>64280</v>
      </c>
      <c t="s">
        <v>26016</v>
      </c>
      <c t="s">
        <v>46367</v>
      </c>
      <c t="s">
        <v>52202</v>
      </c>
      <c t="s">
        <v>3093</v>
      </c>
      <c t="s">
        <v>59242</v>
      </c>
    </row>
    <row>
      <c t="s">
        <v>17594</v>
      </c>
      <c t="s">
        <v>8477</v>
      </c>
      <c t="s">
        <v>17247</v>
      </c>
      <c t="s">
        <v>54467</v>
      </c>
      <c t="s">
        <v>13825</v>
      </c>
      <c s="3">
        <v>7700</v>
      </c>
      <c s="3">
        <v>7700</v>
      </c>
      <c s="3">
        <v>7700</v>
      </c>
      <c>
        <v>0</v>
      </c>
      <c s="3">
        <v>0</v>
      </c>
      <c s="3">
        <v>604.62</v>
      </c>
      <c s="3">
        <v>7700</v>
      </c>
      <c>
        <v>2020</v>
      </c>
      <c>
        <v>1871.69</v>
      </c>
      <c s="1" t="str">
        <f ca="1">HYPERLINK("https://web.datatree.com/?/property?propertyId=33317566", "https://web.datatree.com/?/property?propertyId=33317566")</f>
        <v>https://web.datatree.com/?/property?propertyId=33317566</v>
      </c>
      <c r="Q3501" t="s">
        <v>316</v>
      </c>
      <c>
        <v>0.296</v>
      </c>
      <c t="s">
        <v>6175</v>
      </c>
      <c t="s">
        <v>17594</v>
      </c>
      <c t="s">
        <v>15740</v>
      </c>
      <c t="s">
        <v>14925</v>
      </c>
      <c t="s">
        <v>15740</v>
      </c>
      <c t="s">
        <v>11039</v>
      </c>
      <c t="s">
        <v>29190</v>
      </c>
      <c t="s">
        <v>2517</v>
      </c>
      <c t="s">
        <v>39289</v>
      </c>
      <c>
        <v>33909</v>
      </c>
      <c t="s">
        <v>6915</v>
      </c>
      <c t="s">
        <v>48794</v>
      </c>
      <c t="s">
        <v>47270</v>
      </c>
      <c>
        <v>262</v>
      </c>
      <c r="AI3501" t="s">
        <v>22811</v>
      </c>
      <c t="s">
        <v>29535</v>
      </c>
      <c>
        <v>45</v>
      </c>
      <c t="s">
        <v>66304</v>
      </c>
      <c r="AN3501" t="s">
        <v>58811</v>
      </c>
      <c t="s">
        <v>48641</v>
      </c>
      <c r="AQ3501" t="s">
        <v>27814</v>
      </c>
      <c t="s">
        <v>36</v>
      </c>
    </row>
    <row>
      <c t="s">
        <v>42103</v>
      </c>
      <c t="s">
        <v>38731</v>
      </c>
      <c t="s">
        <v>18394</v>
      </c>
      <c t="s">
        <v>16719</v>
      </c>
      <c t="s">
        <v>37106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3502" s="1" t="str">
        <f ca="1">HYPERLINK("https://web.datatree.com/?/property?propertyId=33317851", "https://web.datatree.com/?/property?propertyId=33317851")</f>
        <v>https://web.datatree.com/?/property?propertyId=33317851</v>
      </c>
      <c r="Q3502" t="s">
        <v>316</v>
      </c>
      <c>
        <v>0.242</v>
      </c>
      <c t="s">
        <v>6175</v>
      </c>
      <c r="U3502" t="s">
        <v>59047</v>
      </c>
      <c r="W3502" t="s">
        <v>15788</v>
      </c>
      <c t="s">
        <v>7430</v>
      </c>
      <c t="s">
        <v>2619</v>
      </c>
      <c t="s">
        <v>2517</v>
      </c>
      <c t="s">
        <v>39289</v>
      </c>
      <c>
        <v>33909</v>
      </c>
      <c t="s">
        <v>57475</v>
      </c>
      <c t="s">
        <v>48794</v>
      </c>
      <c t="s">
        <v>526</v>
      </c>
      <c r="AI3502" t="s">
        <v>27837</v>
      </c>
      <c r="AL3502" t="s">
        <v>60771</v>
      </c>
      <c r="AN3502" t="s">
        <v>22275</v>
      </c>
      <c>
        <v>16421</v>
      </c>
      <c t="s">
        <v>23536</v>
      </c>
      <c t="s">
        <v>3093</v>
      </c>
      <c t="s">
        <v>52850</v>
      </c>
    </row>
    <row>
      <c t="s">
        <v>17594</v>
      </c>
      <c t="s">
        <v>62148</v>
      </c>
      <c t="s">
        <v>56469</v>
      </c>
      <c t="s">
        <v>51380</v>
      </c>
      <c t="s">
        <v>697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3503" s="1" t="str">
        <f ca="1">HYPERLINK("https://web.datatree.com/?/property?propertyId=33318011", "https://web.datatree.com/?/property?propertyId=33318011")</f>
        <v>https://web.datatree.com/?/property?propertyId=33318011</v>
      </c>
      <c r="Q3503" t="s">
        <v>316</v>
      </c>
      <c>
        <v>0.23</v>
      </c>
      <c t="s">
        <v>6175</v>
      </c>
      <c t="s">
        <v>16200</v>
      </c>
      <c t="s">
        <v>25464</v>
      </c>
      <c t="s">
        <v>43047</v>
      </c>
      <c t="s">
        <v>25464</v>
      </c>
      <c t="s">
        <v>57765</v>
      </c>
      <c t="s">
        <v>14534</v>
      </c>
      <c t="s">
        <v>2517</v>
      </c>
      <c t="s">
        <v>39289</v>
      </c>
      <c>
        <v>33909</v>
      </c>
      <c t="s">
        <v>59588</v>
      </c>
      <c t="s">
        <v>48794</v>
      </c>
      <c t="s">
        <v>58165</v>
      </c>
      <c>
        <v>1234</v>
      </c>
      <c r="AI3503" t="s">
        <v>19148</v>
      </c>
      <c t="s">
        <v>835</v>
      </c>
      <c r="AL3503" t="s">
        <v>4703</v>
      </c>
      <c r="AN3503" t="s">
        <v>65451</v>
      </c>
      <c t="s">
        <v>52750</v>
      </c>
      <c t="s">
        <v>38014</v>
      </c>
      <c t="s">
        <v>3093</v>
      </c>
      <c t="s">
        <v>15278</v>
      </c>
    </row>
    <row>
      <c t="s">
        <v>17594</v>
      </c>
      <c t="s">
        <v>42202</v>
      </c>
      <c t="s">
        <v>20286</v>
      </c>
      <c t="s">
        <v>53065</v>
      </c>
      <c t="s">
        <v>6647</v>
      </c>
      <c s="3">
        <v>95509</v>
      </c>
      <c s="3">
        <v>86250</v>
      </c>
      <c s="3">
        <v>81325</v>
      </c>
      <c>
        <v>0</v>
      </c>
      <c s="3">
        <v>0</v>
      </c>
      <c s="3">
        <v>1301.28</v>
      </c>
      <c s="3">
        <v>95509</v>
      </c>
      <c r="O3504" s="1" t="str">
        <f ca="1">HYPERLINK("https://web.datatree.com/?/property?propertyId=33318507", "https://web.datatree.com/?/property?propertyId=33318507")</f>
        <v>https://web.datatree.com/?/property?propertyId=33318507</v>
      </c>
      <c r="Q3504" t="s">
        <v>316</v>
      </c>
      <c>
        <v>0.106</v>
      </c>
      <c t="s">
        <v>26492</v>
      </c>
      <c t="s">
        <v>14827</v>
      </c>
      <c t="s">
        <v>59648</v>
      </c>
      <c t="s">
        <v>48320</v>
      </c>
      <c t="s">
        <v>51080</v>
      </c>
      <c t="s">
        <v>50035</v>
      </c>
      <c t="s">
        <v>43388</v>
      </c>
      <c t="s">
        <v>65059</v>
      </c>
      <c t="s">
        <v>39289</v>
      </c>
      <c>
        <v>33905</v>
      </c>
      <c>
        <v>33905</v>
      </c>
      <c t="s">
        <v>48794</v>
      </c>
      <c t="s">
        <v>28096</v>
      </c>
      <c>
        <v>411</v>
      </c>
      <c r="AI3504" t="s">
        <v>22464</v>
      </c>
      <c t="s">
        <v>45393</v>
      </c>
      <c>
        <v>19095</v>
      </c>
      <c t="s">
        <v>61590</v>
      </c>
      <c t="s">
        <v>61590</v>
      </c>
      <c t="s">
        <v>39289</v>
      </c>
      <c t="s">
        <v>55522</v>
      </c>
      <c t="s">
        <v>57971</v>
      </c>
      <c t="s">
        <v>3093</v>
      </c>
      <c t="s">
        <v>551</v>
      </c>
    </row>
    <row>
      <c t="s">
        <v>17594</v>
      </c>
      <c t="s">
        <v>21252</v>
      </c>
      <c t="s">
        <v>42308</v>
      </c>
      <c t="s">
        <v>38654</v>
      </c>
      <c t="s">
        <v>34464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3505" s="1" t="str">
        <f ca="1">HYPERLINK("https://web.datatree.com/?/property?propertyId=33318524", "https://web.datatree.com/?/property?propertyId=33318524")</f>
        <v>https://web.datatree.com/?/property?propertyId=33318524</v>
      </c>
      <c r="Q3505" t="s">
        <v>316</v>
      </c>
      <c>
        <v>0.259</v>
      </c>
      <c t="s">
        <v>5471</v>
      </c>
      <c t="s">
        <v>37541</v>
      </c>
      <c t="s">
        <v>6080</v>
      </c>
      <c t="s">
        <v>54618</v>
      </c>
      <c t="s">
        <v>6080</v>
      </c>
      <c t="s">
        <v>25131</v>
      </c>
      <c t="s">
        <v>62688</v>
      </c>
      <c t="s">
        <v>65059</v>
      </c>
      <c t="s">
        <v>39289</v>
      </c>
      <c>
        <v>33905</v>
      </c>
      <c t="s">
        <v>64131</v>
      </c>
      <c t="s">
        <v>48794</v>
      </c>
      <c t="s">
        <v>51603</v>
      </c>
      <c>
        <v>4</v>
      </c>
      <c r="AI3505" t="s">
        <v>57278</v>
      </c>
      <c t="s">
        <v>40123</v>
      </c>
      <c r="AL3505" t="s">
        <v>52306</v>
      </c>
      <c r="AN3505" t="s">
        <v>50917</v>
      </c>
      <c t="s">
        <v>30911</v>
      </c>
      <c t="s">
        <v>4797</v>
      </c>
      <c t="s">
        <v>3093</v>
      </c>
      <c t="s">
        <v>14427</v>
      </c>
    </row>
    <row>
      <c t="s">
        <v>17594</v>
      </c>
      <c t="s">
        <v>30906</v>
      </c>
      <c t="s">
        <v>24076</v>
      </c>
      <c t="s">
        <v>10937</v>
      </c>
      <c t="s">
        <v>61089</v>
      </c>
      <c s="3">
        <v>29340</v>
      </c>
      <c s="3">
        <v>29340</v>
      </c>
      <c s="3">
        <v>12511</v>
      </c>
      <c>
        <v>0</v>
      </c>
      <c s="3">
        <v>0</v>
      </c>
      <c s="3">
        <v>708.76</v>
      </c>
      <c s="3">
        <v>29340</v>
      </c>
      <c r="O3506" s="1" t="str">
        <f ca="1">HYPERLINK("https://web.datatree.com/?/property?propertyId=33318637", "https://web.datatree.com/?/property?propertyId=33318637")</f>
        <v>https://web.datatree.com/?/property?propertyId=33318637</v>
      </c>
      <c r="Q3506" t="s">
        <v>316</v>
      </c>
      <c>
        <v>0.281</v>
      </c>
      <c t="s">
        <v>22490</v>
      </c>
      <c t="s">
        <v>43288</v>
      </c>
      <c t="s">
        <v>23807</v>
      </c>
      <c t="s">
        <v>39768</v>
      </c>
      <c t="s">
        <v>52753</v>
      </c>
      <c t="s">
        <v>32282</v>
      </c>
      <c t="s">
        <v>66701</v>
      </c>
      <c t="s">
        <v>2517</v>
      </c>
      <c t="s">
        <v>39289</v>
      </c>
      <c>
        <v>33909</v>
      </c>
      <c t="s">
        <v>32727</v>
      </c>
      <c t="s">
        <v>48794</v>
      </c>
      <c t="s">
        <v>66798</v>
      </c>
      <c>
        <v>444</v>
      </c>
      <c r="AI3506" t="s">
        <v>64265</v>
      </c>
      <c t="s">
        <v>45393</v>
      </c>
      <c t="s">
        <v>8991</v>
      </c>
      <c t="s">
        <v>13397</v>
      </c>
      <c r="AN3506" t="s">
        <v>50917</v>
      </c>
      <c t="s">
        <v>15334</v>
      </c>
      <c t="s">
        <v>17380</v>
      </c>
      <c t="s">
        <v>3093</v>
      </c>
      <c t="s">
        <v>43230</v>
      </c>
    </row>
    <row>
      <c t="s">
        <v>17594</v>
      </c>
      <c t="s">
        <v>25306</v>
      </c>
      <c t="s">
        <v>2484</v>
      </c>
      <c t="s">
        <v>56929</v>
      </c>
      <c t="s">
        <v>24258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605.74</v>
      </c>
      <c s="1" t="str">
        <f ca="1">HYPERLINK("https://web.datatree.com/?/property?propertyId=33318667", "https://web.datatree.com/?/property?propertyId=33318667")</f>
        <v>https://web.datatree.com/?/property?propertyId=33318667</v>
      </c>
      <c r="Q3507" t="s">
        <v>316</v>
      </c>
      <c>
        <v>0.23</v>
      </c>
      <c t="s">
        <v>45031</v>
      </c>
      <c t="s">
        <v>4324</v>
      </c>
      <c t="s">
        <v>40228</v>
      </c>
      <c r="X3507" t="s">
        <v>5065</v>
      </c>
      <c t="s">
        <v>46469</v>
      </c>
      <c t="s">
        <v>2517</v>
      </c>
      <c t="s">
        <v>39289</v>
      </c>
      <c>
        <v>33909</v>
      </c>
      <c t="s">
        <v>2703</v>
      </c>
      <c t="s">
        <v>48794</v>
      </c>
      <c t="s">
        <v>29366</v>
      </c>
      <c>
        <v>3</v>
      </c>
      <c r="AI3507" t="s">
        <v>24105</v>
      </c>
      <c r="AL3507" t="s">
        <v>58299</v>
      </c>
      <c r="AN3507" t="s">
        <v>32840</v>
      </c>
      <c r="AR3507" t="s">
        <v>30074</v>
      </c>
    </row>
    <row>
      <c t="s">
        <v>17594</v>
      </c>
      <c t="s">
        <v>47134</v>
      </c>
      <c t="s">
        <v>32374</v>
      </c>
      <c t="s">
        <v>49779</v>
      </c>
      <c t="s">
        <v>34839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508" s="1" t="str">
        <f ca="1">HYPERLINK("https://web.datatree.com/?/property?propertyId=33318871", "https://web.datatree.com/?/property?propertyId=33318871")</f>
        <v>https://web.datatree.com/?/property?propertyId=33318871</v>
      </c>
      <c r="Q3508" t="s">
        <v>316</v>
      </c>
      <c>
        <v>0.23</v>
      </c>
      <c t="s">
        <v>22490</v>
      </c>
      <c t="s">
        <v>39139</v>
      </c>
      <c t="s">
        <v>38877</v>
      </c>
      <c t="s">
        <v>58703</v>
      </c>
      <c t="s">
        <v>38877</v>
      </c>
      <c t="s">
        <v>11511</v>
      </c>
      <c t="s">
        <v>53675</v>
      </c>
      <c t="s">
        <v>2517</v>
      </c>
      <c t="s">
        <v>39289</v>
      </c>
      <c>
        <v>33909</v>
      </c>
      <c t="s">
        <v>12391</v>
      </c>
      <c t="s">
        <v>48794</v>
      </c>
      <c t="s">
        <v>52970</v>
      </c>
      <c>
        <v>12521</v>
      </c>
      <c r="AI3508" t="s">
        <v>16790</v>
      </c>
      <c t="s">
        <v>31192</v>
      </c>
      <c r="AL3508" t="s">
        <v>8560</v>
      </c>
      <c t="s">
        <v>8560</v>
      </c>
      <c t="s">
        <v>65451</v>
      </c>
      <c t="s">
        <v>49984</v>
      </c>
      <c t="s">
        <v>29069</v>
      </c>
      <c t="s">
        <v>3093</v>
      </c>
      <c t="s">
        <v>3748</v>
      </c>
    </row>
    <row>
      <c t="s">
        <v>17594</v>
      </c>
      <c t="s">
        <v>29308</v>
      </c>
      <c t="s">
        <v>15583</v>
      </c>
      <c t="s">
        <v>21798</v>
      </c>
      <c t="s">
        <v>20411</v>
      </c>
      <c s="3">
        <v>23673</v>
      </c>
      <c s="3">
        <v>23673</v>
      </c>
      <c s="3">
        <v>9570</v>
      </c>
      <c>
        <v>0</v>
      </c>
      <c s="3">
        <v>0</v>
      </c>
      <c s="3">
        <v>629.6</v>
      </c>
      <c s="3">
        <v>23673</v>
      </c>
      <c r="O3509" s="1" t="str">
        <f ca="1">HYPERLINK("https://web.datatree.com/?/property?propertyId=33319106", "https://web.datatree.com/?/property?propertyId=33319106")</f>
        <v>https://web.datatree.com/?/property?propertyId=33319106</v>
      </c>
      <c r="Q3509" t="s">
        <v>316</v>
      </c>
      <c>
        <v>0.267</v>
      </c>
      <c t="s">
        <v>45031</v>
      </c>
      <c t="s">
        <v>8762</v>
      </c>
      <c t="s">
        <v>24062</v>
      </c>
      <c r="X3509" t="s">
        <v>27634</v>
      </c>
      <c t="s">
        <v>46469</v>
      </c>
      <c t="s">
        <v>2517</v>
      </c>
      <c t="s">
        <v>39289</v>
      </c>
      <c>
        <v>33909</v>
      </c>
      <c t="s">
        <v>22858</v>
      </c>
      <c t="s">
        <v>48794</v>
      </c>
      <c t="s">
        <v>39310</v>
      </c>
      <c>
        <v>5830</v>
      </c>
      <c r="AI3509" t="s">
        <v>55376</v>
      </c>
      <c t="s">
        <v>24900</v>
      </c>
      <c r="AL3509" t="s">
        <v>18092</v>
      </c>
      <c t="s">
        <v>18092</v>
      </c>
      <c t="s">
        <v>39289</v>
      </c>
      <c t="s">
        <v>49211</v>
      </c>
      <c t="s">
        <v>27780</v>
      </c>
      <c t="s">
        <v>3093</v>
      </c>
      <c t="s">
        <v>9332</v>
      </c>
    </row>
    <row>
      <c t="s">
        <v>17594</v>
      </c>
      <c t="s">
        <v>35424</v>
      </c>
      <c t="s">
        <v>58695</v>
      </c>
      <c t="s">
        <v>50731</v>
      </c>
      <c t="s">
        <v>62135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510" s="1" t="str">
        <f ca="1">HYPERLINK("https://web.datatree.com/?/property?propertyId=33319498", "https://web.datatree.com/?/property?propertyId=33319498")</f>
        <v>https://web.datatree.com/?/property?propertyId=33319498</v>
      </c>
      <c r="Q3510" t="s">
        <v>316</v>
      </c>
      <c>
        <v>0.23</v>
      </c>
      <c t="s">
        <v>6175</v>
      </c>
      <c t="s">
        <v>18252</v>
      </c>
      <c t="s">
        <v>19582</v>
      </c>
      <c t="s">
        <v>1376</v>
      </c>
      <c t="s">
        <v>19582</v>
      </c>
      <c t="s">
        <v>47135</v>
      </c>
      <c t="s">
        <v>2626</v>
      </c>
      <c t="s">
        <v>2517</v>
      </c>
      <c t="s">
        <v>39289</v>
      </c>
      <c>
        <v>33909</v>
      </c>
      <c t="s">
        <v>30442</v>
      </c>
      <c t="s">
        <v>48794</v>
      </c>
      <c t="s">
        <v>32602</v>
      </c>
      <c>
        <v>14120</v>
      </c>
      <c r="AI3510" t="s">
        <v>66775</v>
      </c>
      <c t="s">
        <v>31192</v>
      </c>
      <c r="AL3510" t="s">
        <v>258</v>
      </c>
      <c r="AN3510" t="s">
        <v>51137</v>
      </c>
      <c t="s">
        <v>49110</v>
      </c>
      <c t="s">
        <v>54916</v>
      </c>
      <c t="s">
        <v>3093</v>
      </c>
      <c t="s">
        <v>42361</v>
      </c>
    </row>
    <row>
      <c t="s">
        <v>17594</v>
      </c>
      <c t="s">
        <v>6519</v>
      </c>
      <c t="s">
        <v>44191</v>
      </c>
      <c t="s">
        <v>65502</v>
      </c>
      <c t="s">
        <v>54134</v>
      </c>
      <c s="3">
        <v>8742</v>
      </c>
      <c s="3">
        <v>8742</v>
      </c>
      <c s="3">
        <v>4972</v>
      </c>
      <c>
        <v>0</v>
      </c>
      <c s="3">
        <v>0</v>
      </c>
      <c s="3">
        <v>315.35</v>
      </c>
      <c s="3">
        <v>8742</v>
      </c>
      <c r="O3511" s="1" t="str">
        <f ca="1">HYPERLINK("https://web.datatree.com/?/property?propertyId=33319756", "https://web.datatree.com/?/property?propertyId=33319756")</f>
        <v>https://web.datatree.com/?/property?propertyId=33319756</v>
      </c>
      <c r="Q3511" t="s">
        <v>316</v>
      </c>
      <c>
        <v>0.234</v>
      </c>
      <c t="s">
        <v>5471</v>
      </c>
      <c t="s">
        <v>26502</v>
      </c>
      <c t="s">
        <v>52986</v>
      </c>
      <c r="X3511" t="s">
        <v>21441</v>
      </c>
      <c t="s">
        <v>3747</v>
      </c>
      <c t="s">
        <v>65059</v>
      </c>
      <c t="s">
        <v>39289</v>
      </c>
      <c>
        <v>33905</v>
      </c>
      <c t="s">
        <v>61499</v>
      </c>
      <c t="s">
        <v>48794</v>
      </c>
      <c t="s">
        <v>36706</v>
      </c>
      <c>
        <v>13346</v>
      </c>
      <c r="AI3511" t="s">
        <v>4551</v>
      </c>
      <c t="s">
        <v>835</v>
      </c>
      <c r="AL3511" t="s">
        <v>54251</v>
      </c>
      <c t="s">
        <v>54251</v>
      </c>
      <c t="s">
        <v>39289</v>
      </c>
      <c t="s">
        <v>18791</v>
      </c>
      <c t="s">
        <v>17380</v>
      </c>
      <c t="s">
        <v>3093</v>
      </c>
      <c t="s">
        <v>31310</v>
      </c>
    </row>
    <row>
      <c t="s">
        <v>17594</v>
      </c>
      <c t="s">
        <v>7117</v>
      </c>
      <c t="s">
        <v>57950</v>
      </c>
      <c t="s">
        <v>63305</v>
      </c>
      <c t="s">
        <v>41803</v>
      </c>
      <c s="3">
        <v>10000</v>
      </c>
      <c s="3">
        <v>10000</v>
      </c>
      <c s="3">
        <v>10000</v>
      </c>
      <c>
        <v>0</v>
      </c>
      <c s="3">
        <v>0</v>
      </c>
      <c s="3">
        <v>173.13</v>
      </c>
      <c s="3">
        <v>10000</v>
      </c>
      <c r="O3512" s="1" t="str">
        <f ca="1">HYPERLINK("https://web.datatree.com/?/property?propertyId=33319974", "https://web.datatree.com/?/property?propertyId=33319974")</f>
        <v>https://web.datatree.com/?/property?propertyId=33319974</v>
      </c>
      <c r="Q3512" t="s">
        <v>316</v>
      </c>
      <c>
        <v>0.166</v>
      </c>
      <c t="s">
        <v>66399</v>
      </c>
      <c t="s">
        <v>55774</v>
      </c>
      <c t="s">
        <v>58791</v>
      </c>
      <c r="X3512" t="s">
        <v>29813</v>
      </c>
      <c t="s">
        <v>56498</v>
      </c>
      <c t="s">
        <v>65059</v>
      </c>
      <c t="s">
        <v>39289</v>
      </c>
      <c>
        <v>33905</v>
      </c>
      <c t="s">
        <v>22054</v>
      </c>
      <c t="s">
        <v>48794</v>
      </c>
      <c t="s">
        <v>31696</v>
      </c>
      <c>
        <v>600</v>
      </c>
      <c r="AI3512" t="s">
        <v>25017</v>
      </c>
      <c t="s">
        <v>45393</v>
      </c>
      <c>
        <v>202</v>
      </c>
      <c t="s">
        <v>55393</v>
      </c>
      <c t="s">
        <v>55393</v>
      </c>
      <c t="s">
        <v>39289</v>
      </c>
      <c t="s">
        <v>53696</v>
      </c>
      <c t="s">
        <v>36802</v>
      </c>
      <c t="s">
        <v>3093</v>
      </c>
      <c t="s">
        <v>1925</v>
      </c>
    </row>
    <row>
      <c t="s">
        <v>17594</v>
      </c>
      <c t="s">
        <v>1775</v>
      </c>
      <c t="s">
        <v>58010</v>
      </c>
      <c t="s">
        <v>24682</v>
      </c>
      <c t="s">
        <v>16946</v>
      </c>
      <c s="3">
        <v>24937</v>
      </c>
      <c s="3">
        <v>24937</v>
      </c>
      <c s="3">
        <v>9438</v>
      </c>
      <c>
        <v>0</v>
      </c>
      <c s="3">
        <v>0</v>
      </c>
      <c s="3">
        <v>2913.71</v>
      </c>
      <c s="3">
        <v>24937</v>
      </c>
      <c>
        <v>2021</v>
      </c>
      <c>
        <v>2863.54</v>
      </c>
      <c s="1" t="str">
        <f ca="1">HYPERLINK("https://web.datatree.com/?/property?propertyId=33321109", "https://web.datatree.com/?/property?propertyId=33321109")</f>
        <v>https://web.datatree.com/?/property?propertyId=33321109</v>
      </c>
      <c r="Q3513" t="s">
        <v>316</v>
      </c>
      <c>
        <v>0.229</v>
      </c>
      <c t="s">
        <v>6175</v>
      </c>
      <c t="s">
        <v>34344</v>
      </c>
      <c t="s">
        <v>23623</v>
      </c>
      <c r="X3513" t="s">
        <v>63042</v>
      </c>
      <c t="s">
        <v>59356</v>
      </c>
      <c t="s">
        <v>2517</v>
      </c>
      <c t="s">
        <v>39289</v>
      </c>
      <c>
        <v>33909</v>
      </c>
      <c t="s">
        <v>62524</v>
      </c>
      <c t="s">
        <v>48794</v>
      </c>
      <c t="s">
        <v>34800</v>
      </c>
      <c>
        <v>2528</v>
      </c>
      <c r="AI3513" t="s">
        <v>53948</v>
      </c>
      <c t="s">
        <v>24900</v>
      </c>
      <c r="AL3513" t="s">
        <v>22539</v>
      </c>
      <c r="AN3513" t="s">
        <v>65451</v>
      </c>
      <c t="s">
        <v>43052</v>
      </c>
      <c t="s">
        <v>22613</v>
      </c>
      <c t="s">
        <v>3093</v>
      </c>
      <c t="s">
        <v>9988</v>
      </c>
    </row>
    <row>
      <c t="s">
        <v>17594</v>
      </c>
      <c t="s">
        <v>6026</v>
      </c>
      <c t="s">
        <v>10125</v>
      </c>
      <c t="s">
        <v>66256</v>
      </c>
      <c t="s">
        <v>47723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3514" s="1" t="str">
        <f ca="1">HYPERLINK("https://web.datatree.com/?/property?propertyId=33321419", "https://web.datatree.com/?/property?propertyId=33321419")</f>
        <v>https://web.datatree.com/?/property?propertyId=33321419</v>
      </c>
      <c r="Q3514" t="s">
        <v>316</v>
      </c>
      <c>
        <v>0.244</v>
      </c>
      <c t="s">
        <v>6175</v>
      </c>
      <c t="s">
        <v>54428</v>
      </c>
      <c t="s">
        <v>13771</v>
      </c>
      <c t="s">
        <v>1599</v>
      </c>
      <c t="s">
        <v>63211</v>
      </c>
      <c t="s">
        <v>52467</v>
      </c>
      <c t="s">
        <v>46469</v>
      </c>
      <c t="s">
        <v>2517</v>
      </c>
      <c t="s">
        <v>39289</v>
      </c>
      <c>
        <v>33909</v>
      </c>
      <c t="s">
        <v>25542</v>
      </c>
      <c t="s">
        <v>48794</v>
      </c>
      <c t="s">
        <v>45312</v>
      </c>
      <c>
        <v>32478</v>
      </c>
      <c r="AI3514" t="s">
        <v>37470</v>
      </c>
      <c t="s">
        <v>56275</v>
      </c>
      <c r="AL3514" t="s">
        <v>14824</v>
      </c>
      <c r="AN3514" t="s">
        <v>14798</v>
      </c>
      <c t="s">
        <v>28550</v>
      </c>
      <c t="s">
        <v>45975</v>
      </c>
      <c t="s">
        <v>3093</v>
      </c>
      <c t="s">
        <v>6599</v>
      </c>
    </row>
    <row>
      <c t="s">
        <v>17594</v>
      </c>
      <c t="s">
        <v>454</v>
      </c>
      <c t="s">
        <v>28644</v>
      </c>
      <c t="s">
        <v>30747</v>
      </c>
      <c t="s">
        <v>2555</v>
      </c>
      <c s="3">
        <v>33864</v>
      </c>
      <c s="3">
        <v>33864</v>
      </c>
      <c s="3">
        <v>17791</v>
      </c>
      <c>
        <v>0</v>
      </c>
      <c s="3">
        <v>0</v>
      </c>
      <c s="3">
        <v>343.42</v>
      </c>
      <c s="3">
        <v>33864</v>
      </c>
      <c r="O3515" s="1" t="str">
        <f ca="1">HYPERLINK("https://web.datatree.com/?/property?propertyId=33321836", "https://web.datatree.com/?/property?propertyId=33321836")</f>
        <v>https://web.datatree.com/?/property?propertyId=33321836</v>
      </c>
      <c r="Q3515" t="s">
        <v>316</v>
      </c>
      <c>
        <v>0.095</v>
      </c>
      <c t="s">
        <v>23582</v>
      </c>
      <c r="U3515" t="s">
        <v>51208</v>
      </c>
      <c r="W3515" t="s">
        <v>64751</v>
      </c>
      <c t="s">
        <v>14658</v>
      </c>
      <c t="s">
        <v>3764</v>
      </c>
      <c t="s">
        <v>65059</v>
      </c>
      <c t="s">
        <v>39289</v>
      </c>
      <c>
        <v>33908</v>
      </c>
      <c t="s">
        <v>65794</v>
      </c>
      <c t="s">
        <v>48794</v>
      </c>
      <c t="s">
        <v>24801</v>
      </c>
      <c>
        <v>10386</v>
      </c>
      <c r="AI3515" t="s">
        <v>55192</v>
      </c>
      <c t="s">
        <v>45620</v>
      </c>
      <c r="AL3515" t="s">
        <v>60487</v>
      </c>
      <c t="s">
        <v>53482</v>
      </c>
      <c t="s">
        <v>19878</v>
      </c>
      <c t="s">
        <v>6565</v>
      </c>
      <c t="s">
        <v>10634</v>
      </c>
      <c t="s">
        <v>3093</v>
      </c>
      <c t="s">
        <v>46976</v>
      </c>
    </row>
    <row>
      <c t="s">
        <v>17594</v>
      </c>
      <c t="s">
        <v>7941</v>
      </c>
      <c t="s">
        <v>9959</v>
      </c>
      <c t="s">
        <v>11034</v>
      </c>
      <c t="s">
        <v>42135</v>
      </c>
      <c s="3">
        <v>36210</v>
      </c>
      <c s="3">
        <v>36210</v>
      </c>
      <c s="3">
        <v>18150</v>
      </c>
      <c>
        <v>0</v>
      </c>
      <c s="3">
        <v>0</v>
      </c>
      <c s="3">
        <v>894.97</v>
      </c>
      <c s="3">
        <v>36210</v>
      </c>
      <c r="O3516" s="1" t="str">
        <f ca="1">HYPERLINK("https://web.datatree.com/?/property?propertyId=33321875", "https://web.datatree.com/?/property?propertyId=33321875")</f>
        <v>https://web.datatree.com/?/property?propertyId=33321875</v>
      </c>
      <c r="Q3516" t="s">
        <v>316</v>
      </c>
      <c>
        <v>0.241</v>
      </c>
      <c t="s">
        <v>65422</v>
      </c>
      <c t="s">
        <v>51166</v>
      </c>
      <c t="s">
        <v>59101</v>
      </c>
      <c r="X3516" t="s">
        <v>36614</v>
      </c>
      <c t="s">
        <v>7113</v>
      </c>
      <c t="s">
        <v>2517</v>
      </c>
      <c t="s">
        <v>39289</v>
      </c>
      <c>
        <v>33909</v>
      </c>
      <c t="s">
        <v>45153</v>
      </c>
      <c t="s">
        <v>48794</v>
      </c>
      <c t="s">
        <v>24171</v>
      </c>
      <c>
        <v>3465</v>
      </c>
      <c r="AI3516" t="s">
        <v>58797</v>
      </c>
      <c t="s">
        <v>24900</v>
      </c>
      <c r="AL3516" t="s">
        <v>55393</v>
      </c>
      <c t="s">
        <v>55393</v>
      </c>
      <c t="s">
        <v>39289</v>
      </c>
      <c t="s">
        <v>46035</v>
      </c>
      <c t="s">
        <v>61719</v>
      </c>
      <c t="s">
        <v>3093</v>
      </c>
      <c t="s">
        <v>30241</v>
      </c>
    </row>
    <row>
      <c t="s">
        <v>17594</v>
      </c>
      <c t="s">
        <v>34278</v>
      </c>
      <c t="s">
        <v>63107</v>
      </c>
      <c t="s">
        <v>20876</v>
      </c>
      <c t="s">
        <v>41653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>
        <v>2021</v>
      </c>
      <c>
        <v>542.5</v>
      </c>
      <c s="1" t="str">
        <f ca="1">HYPERLINK("https://web.datatree.com/?/property?propertyId=33322167", "https://web.datatree.com/?/property?propertyId=33322167")</f>
        <v>https://web.datatree.com/?/property?propertyId=33322167</v>
      </c>
      <c r="Q3517" t="s">
        <v>316</v>
      </c>
      <c>
        <v>0.23</v>
      </c>
      <c t="s">
        <v>6175</v>
      </c>
      <c t="s">
        <v>26069</v>
      </c>
      <c t="s">
        <v>54712</v>
      </c>
      <c r="X3517" t="s">
        <v>27540</v>
      </c>
      <c t="s">
        <v>18679</v>
      </c>
      <c t="s">
        <v>2517</v>
      </c>
      <c t="s">
        <v>39289</v>
      </c>
      <c>
        <v>33909</v>
      </c>
      <c t="s">
        <v>3850</v>
      </c>
      <c t="s">
        <v>48794</v>
      </c>
      <c t="s">
        <v>16729</v>
      </c>
      <c>
        <v>213</v>
      </c>
      <c r="AI3517" t="s">
        <v>37589</v>
      </c>
      <c t="s">
        <v>31192</v>
      </c>
      <c r="AL3517" t="s">
        <v>12112</v>
      </c>
      <c t="s">
        <v>12112</v>
      </c>
      <c t="s">
        <v>64022</v>
      </c>
      <c t="s">
        <v>60920</v>
      </c>
      <c t="s">
        <v>34162</v>
      </c>
      <c t="s">
        <v>3093</v>
      </c>
      <c t="s">
        <v>57121</v>
      </c>
    </row>
    <row>
      <c t="s">
        <v>17594</v>
      </c>
      <c t="s">
        <v>46241</v>
      </c>
      <c t="s">
        <v>29655</v>
      </c>
      <c t="s">
        <v>23082</v>
      </c>
      <c t="s">
        <v>65867</v>
      </c>
      <c s="3">
        <v>8100</v>
      </c>
      <c s="3">
        <v>8100</v>
      </c>
      <c s="3">
        <v>8100</v>
      </c>
      <c>
        <v>0</v>
      </c>
      <c s="3">
        <v>0</v>
      </c>
      <c s="3">
        <v>653.05</v>
      </c>
      <c s="3">
        <v>8100</v>
      </c>
      <c r="O3518" s="1" t="str">
        <f ca="1">HYPERLINK("https://web.datatree.com/?/property?propertyId=33323008", "https://web.datatree.com/?/property?propertyId=33323008")</f>
        <v>https://web.datatree.com/?/property?propertyId=33323008</v>
      </c>
      <c r="Q3518" t="s">
        <v>316</v>
      </c>
      <c>
        <v>0.241</v>
      </c>
      <c t="s">
        <v>6175</v>
      </c>
      <c t="s">
        <v>16200</v>
      </c>
      <c t="s">
        <v>43560</v>
      </c>
      <c t="s">
        <v>13860</v>
      </c>
      <c t="s">
        <v>43560</v>
      </c>
      <c t="s">
        <v>43999</v>
      </c>
      <c t="s">
        <v>60363</v>
      </c>
      <c t="s">
        <v>2517</v>
      </c>
      <c t="s">
        <v>39289</v>
      </c>
      <c>
        <v>33909</v>
      </c>
      <c t="s">
        <v>35095</v>
      </c>
      <c t="s">
        <v>48794</v>
      </c>
      <c t="s">
        <v>12781</v>
      </c>
      <c>
        <v>14754</v>
      </c>
      <c r="AI3518" t="s">
        <v>12340</v>
      </c>
      <c t="s">
        <v>45393</v>
      </c>
      <c r="AL3518" t="s">
        <v>64090</v>
      </c>
      <c t="s">
        <v>64090</v>
      </c>
      <c t="s">
        <v>51137</v>
      </c>
      <c t="s">
        <v>11242</v>
      </c>
      <c t="s">
        <v>55071</v>
      </c>
      <c t="s">
        <v>3093</v>
      </c>
      <c t="s">
        <v>54856</v>
      </c>
    </row>
    <row>
      <c t="s">
        <v>17594</v>
      </c>
      <c t="s">
        <v>41248</v>
      </c>
      <c t="s">
        <v>21784</v>
      </c>
      <c t="s">
        <v>64291</v>
      </c>
      <c t="s">
        <v>6804</v>
      </c>
      <c s="3">
        <v>10500</v>
      </c>
      <c s="3">
        <v>10500</v>
      </c>
      <c s="3">
        <v>9599</v>
      </c>
      <c>
        <v>0</v>
      </c>
      <c s="3">
        <v>0</v>
      </c>
      <c s="3">
        <v>757.96</v>
      </c>
      <c s="3">
        <v>10500</v>
      </c>
      <c r="O3519" s="1" t="str">
        <f ca="1">HYPERLINK("https://web.datatree.com/?/property?propertyId=33323042", "https://web.datatree.com/?/property?propertyId=33323042")</f>
        <v>https://web.datatree.com/?/property?propertyId=33323042</v>
      </c>
      <c r="Q3519" t="s">
        <v>316</v>
      </c>
      <c>
        <v>0.386</v>
      </c>
      <c t="s">
        <v>6175</v>
      </c>
      <c r="U3519" t="s">
        <v>8104</v>
      </c>
      <c r="X3519" t="s">
        <v>64731</v>
      </c>
      <c t="s">
        <v>14534</v>
      </c>
      <c t="s">
        <v>2517</v>
      </c>
      <c t="s">
        <v>39289</v>
      </c>
      <c>
        <v>33909</v>
      </c>
      <c t="s">
        <v>32869</v>
      </c>
      <c t="s">
        <v>48794</v>
      </c>
      <c t="s">
        <v>43625</v>
      </c>
      <c>
        <v>715</v>
      </c>
      <c r="AI3519" t="s">
        <v>41942</v>
      </c>
      <c t="s">
        <v>1671</v>
      </c>
      <c r="AL3519" t="s">
        <v>968</v>
      </c>
      <c r="AN3519" t="s">
        <v>39289</v>
      </c>
      <c t="s">
        <v>12604</v>
      </c>
      <c t="s">
        <v>13315</v>
      </c>
      <c t="s">
        <v>3093</v>
      </c>
      <c t="s">
        <v>40970</v>
      </c>
    </row>
    <row>
      <c t="s">
        <v>17594</v>
      </c>
      <c t="s">
        <v>19747</v>
      </c>
      <c t="s">
        <v>4096</v>
      </c>
      <c t="s">
        <v>7289</v>
      </c>
      <c t="s">
        <v>17115</v>
      </c>
      <c s="3">
        <v>17781</v>
      </c>
      <c s="3">
        <v>17781</v>
      </c>
      <c s="3">
        <v>8910</v>
      </c>
      <c>
        <v>0</v>
      </c>
      <c s="3">
        <v>0</v>
      </c>
      <c s="3">
        <v>566.28</v>
      </c>
      <c s="3">
        <v>17781</v>
      </c>
      <c r="O3520" s="1" t="str">
        <f ca="1">HYPERLINK("https://web.datatree.com/?/property?propertyId=33323109", "https://web.datatree.com/?/property?propertyId=33323109")</f>
        <v>https://web.datatree.com/?/property?propertyId=33323109</v>
      </c>
      <c r="Q3520" t="s">
        <v>316</v>
      </c>
      <c>
        <v>0.241</v>
      </c>
      <c t="s">
        <v>6175</v>
      </c>
      <c t="s">
        <v>35188</v>
      </c>
      <c t="s">
        <v>24432</v>
      </c>
      <c r="X3520" t="s">
        <v>5761</v>
      </c>
      <c t="s">
        <v>23517</v>
      </c>
      <c t="s">
        <v>2517</v>
      </c>
      <c t="s">
        <v>39289</v>
      </c>
      <c>
        <v>33909</v>
      </c>
      <c t="s">
        <v>10741</v>
      </c>
      <c t="s">
        <v>48794</v>
      </c>
      <c t="s">
        <v>23690</v>
      </c>
      <c>
        <v>1931</v>
      </c>
      <c r="AI3520" t="s">
        <v>50849</v>
      </c>
      <c t="s">
        <v>40123</v>
      </c>
      <c r="AL3520" t="s">
        <v>55393</v>
      </c>
      <c r="AN3520" t="s">
        <v>39289</v>
      </c>
      <c t="s">
        <v>20142</v>
      </c>
      <c t="s">
        <v>18692</v>
      </c>
      <c t="s">
        <v>3093</v>
      </c>
      <c t="s">
        <v>59256</v>
      </c>
    </row>
    <row>
      <c t="s">
        <v>17594</v>
      </c>
      <c t="s">
        <v>21805</v>
      </c>
      <c t="s">
        <v>44300</v>
      </c>
      <c t="s">
        <v>60876</v>
      </c>
      <c t="s">
        <v>52200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521" s="1" t="str">
        <f ca="1">HYPERLINK("https://web.datatree.com/?/property?propertyId=33323875", "https://web.datatree.com/?/property?propertyId=33323875")</f>
        <v>https://web.datatree.com/?/property?propertyId=33323875</v>
      </c>
      <c r="Q3521" t="s">
        <v>316</v>
      </c>
      <c>
        <v>0.23</v>
      </c>
      <c t="s">
        <v>6175</v>
      </c>
      <c r="U3521" t="s">
        <v>35585</v>
      </c>
      <c r="W3521" t="s">
        <v>8799</v>
      </c>
      <c t="s">
        <v>13213</v>
      </c>
      <c t="s">
        <v>30928</v>
      </c>
      <c t="s">
        <v>2517</v>
      </c>
      <c t="s">
        <v>39289</v>
      </c>
      <c>
        <v>33909</v>
      </c>
      <c t="s">
        <v>45388</v>
      </c>
      <c t="s">
        <v>48794</v>
      </c>
      <c t="s">
        <v>29142</v>
      </c>
      <c>
        <v>1660</v>
      </c>
      <c r="AI3521" t="s">
        <v>6036</v>
      </c>
      <c t="s">
        <v>835</v>
      </c>
      <c r="AL3521" t="s">
        <v>46513</v>
      </c>
      <c r="AN3521" t="s">
        <v>65451</v>
      </c>
      <c t="s">
        <v>43777</v>
      </c>
      <c t="s">
        <v>62830</v>
      </c>
      <c t="s">
        <v>3093</v>
      </c>
      <c t="s">
        <v>7526</v>
      </c>
    </row>
    <row>
      <c t="s">
        <v>17594</v>
      </c>
      <c t="s">
        <v>29829</v>
      </c>
      <c t="s">
        <v>740</v>
      </c>
      <c t="s">
        <v>36087</v>
      </c>
      <c t="s">
        <v>26539</v>
      </c>
      <c s="3">
        <v>7600</v>
      </c>
      <c s="3">
        <v>7600</v>
      </c>
      <c s="3">
        <v>7600</v>
      </c>
      <c>
        <v>0</v>
      </c>
      <c s="3">
        <v>0</v>
      </c>
      <c s="3">
        <v>555.27</v>
      </c>
      <c s="3">
        <v>7600</v>
      </c>
      <c r="O3522" s="1" t="str">
        <f ca="1">HYPERLINK("https://web.datatree.com/?/property?propertyId=33324141", "https://web.datatree.com/?/property?propertyId=33324141")</f>
        <v>https://web.datatree.com/?/property?propertyId=33324141</v>
      </c>
      <c r="Q3522" t="s">
        <v>316</v>
      </c>
      <c>
        <v>0.23</v>
      </c>
      <c t="s">
        <v>6175</v>
      </c>
      <c t="s">
        <v>39821</v>
      </c>
      <c t="s">
        <v>20597</v>
      </c>
      <c t="s">
        <v>60327</v>
      </c>
      <c t="s">
        <v>63134</v>
      </c>
      <c t="s">
        <v>33954</v>
      </c>
      <c t="s">
        <v>60363</v>
      </c>
      <c t="s">
        <v>2517</v>
      </c>
      <c t="s">
        <v>39289</v>
      </c>
      <c>
        <v>33909</v>
      </c>
      <c t="s">
        <v>19303</v>
      </c>
      <c t="s">
        <v>48794</v>
      </c>
      <c t="s">
        <v>20820</v>
      </c>
      <c>
        <v>1222</v>
      </c>
      <c r="AI3522" t="s">
        <v>19666</v>
      </c>
      <c t="s">
        <v>24900</v>
      </c>
      <c r="AL3522" t="s">
        <v>38297</v>
      </c>
      <c t="s">
        <v>37981</v>
      </c>
      <c t="s">
        <v>27222</v>
      </c>
      <c t="s">
        <v>20211</v>
      </c>
      <c t="s">
        <v>40645</v>
      </c>
      <c t="s">
        <v>3093</v>
      </c>
      <c t="s">
        <v>7339</v>
      </c>
    </row>
    <row>
      <c t="s">
        <v>17594</v>
      </c>
      <c t="s">
        <v>5259</v>
      </c>
      <c t="s">
        <v>29562</v>
      </c>
      <c t="s">
        <v>9001</v>
      </c>
      <c t="s">
        <v>45091</v>
      </c>
      <c s="3">
        <v>7500</v>
      </c>
      <c s="3">
        <v>7500</v>
      </c>
      <c s="3">
        <v>7500</v>
      </c>
      <c>
        <v>0</v>
      </c>
      <c s="3">
        <v>0</v>
      </c>
      <c s="3">
        <v>645.41</v>
      </c>
      <c s="3">
        <v>7500</v>
      </c>
      <c r="O3523" s="1" t="str">
        <f ca="1">HYPERLINK("https://web.datatree.com/?/property?propertyId=33324256", "https://web.datatree.com/?/property?propertyId=33324256")</f>
        <v>https://web.datatree.com/?/property?propertyId=33324256</v>
      </c>
      <c r="Q3523" t="s">
        <v>316</v>
      </c>
      <c>
        <v>0.251</v>
      </c>
      <c t="s">
        <v>6175</v>
      </c>
      <c t="s">
        <v>10361</v>
      </c>
      <c t="s">
        <v>41476</v>
      </c>
      <c t="s">
        <v>34344</v>
      </c>
      <c t="s">
        <v>41476</v>
      </c>
      <c t="s">
        <v>53834</v>
      </c>
      <c t="s">
        <v>5115</v>
      </c>
      <c t="s">
        <v>2517</v>
      </c>
      <c t="s">
        <v>39289</v>
      </c>
      <c>
        <v>33909</v>
      </c>
      <c t="s">
        <v>249</v>
      </c>
      <c t="s">
        <v>48794</v>
      </c>
      <c t="s">
        <v>25658</v>
      </c>
      <c>
        <v>28419</v>
      </c>
      <c r="AI3523" t="s">
        <v>40564</v>
      </c>
      <c t="s">
        <v>41372</v>
      </c>
      <c r="AL3523" t="s">
        <v>8628</v>
      </c>
      <c t="s">
        <v>8628</v>
      </c>
      <c t="s">
        <v>39289</v>
      </c>
      <c t="s">
        <v>40631</v>
      </c>
      <c t="s">
        <v>50106</v>
      </c>
      <c t="s">
        <v>3093</v>
      </c>
      <c t="s">
        <v>28871</v>
      </c>
    </row>
    <row>
      <c t="s">
        <v>17594</v>
      </c>
      <c t="s">
        <v>18192</v>
      </c>
      <c t="s">
        <v>50026</v>
      </c>
      <c t="s">
        <v>49660</v>
      </c>
      <c t="s">
        <v>16803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3524" s="1" t="str">
        <f ca="1">HYPERLINK("https://web.datatree.com/?/property?propertyId=33324994", "https://web.datatree.com/?/property?propertyId=33324994")</f>
        <v>https://web.datatree.com/?/property?propertyId=33324994</v>
      </c>
      <c r="Q3524" t="s">
        <v>316</v>
      </c>
      <c>
        <v>0.23</v>
      </c>
      <c t="s">
        <v>45031</v>
      </c>
      <c t="s">
        <v>50217</v>
      </c>
      <c t="s">
        <v>7586</v>
      </c>
      <c t="s">
        <v>64030</v>
      </c>
      <c t="s">
        <v>6871</v>
      </c>
      <c t="s">
        <v>15346</v>
      </c>
      <c t="s">
        <v>10653</v>
      </c>
      <c t="s">
        <v>2517</v>
      </c>
      <c t="s">
        <v>39289</v>
      </c>
      <c>
        <v>33909</v>
      </c>
      <c t="s">
        <v>57010</v>
      </c>
      <c t="s">
        <v>48794</v>
      </c>
      <c t="s">
        <v>38446</v>
      </c>
      <c>
        <v>14550</v>
      </c>
      <c r="AI3524" t="s">
        <v>62726</v>
      </c>
      <c t="s">
        <v>45620</v>
      </c>
      <c r="AL3524" t="s">
        <v>1121</v>
      </c>
      <c t="s">
        <v>1121</v>
      </c>
      <c t="s">
        <v>39289</v>
      </c>
      <c t="s">
        <v>35531</v>
      </c>
      <c t="s">
        <v>47183</v>
      </c>
      <c t="s">
        <v>3093</v>
      </c>
      <c t="s">
        <v>36936</v>
      </c>
    </row>
    <row>
      <c t="s">
        <v>17594</v>
      </c>
      <c t="s">
        <v>935</v>
      </c>
      <c t="s">
        <v>31834</v>
      </c>
      <c t="s">
        <v>43496</v>
      </c>
      <c t="s">
        <v>13540</v>
      </c>
      <c s="3">
        <v>12544</v>
      </c>
      <c s="3">
        <v>12544</v>
      </c>
      <c s="3">
        <v>4972</v>
      </c>
      <c>
        <v>0</v>
      </c>
      <c s="3">
        <v>0</v>
      </c>
      <c s="3">
        <v>320.56</v>
      </c>
      <c s="3">
        <v>12544</v>
      </c>
      <c r="O3525" s="1" t="str">
        <f ca="1">HYPERLINK("https://web.datatree.com/?/property?propertyId=33325419", "https://web.datatree.com/?/property?propertyId=33325419")</f>
        <v>https://web.datatree.com/?/property?propertyId=33325419</v>
      </c>
      <c r="Q3525" t="s">
        <v>316</v>
      </c>
      <c>
        <v>0.274</v>
      </c>
      <c t="s">
        <v>5471</v>
      </c>
      <c t="s">
        <v>33321</v>
      </c>
      <c t="s">
        <v>52856</v>
      </c>
      <c t="s">
        <v>56498</v>
      </c>
      <c t="s">
        <v>52856</v>
      </c>
      <c t="s">
        <v>33969</v>
      </c>
      <c t="s">
        <v>20086</v>
      </c>
      <c t="s">
        <v>65059</v>
      </c>
      <c t="s">
        <v>39289</v>
      </c>
      <c>
        <v>33905</v>
      </c>
      <c t="s">
        <v>18534</v>
      </c>
      <c t="s">
        <v>48794</v>
      </c>
      <c t="s">
        <v>67197</v>
      </c>
      <c>
        <v>2832</v>
      </c>
      <c r="AI3525" t="s">
        <v>26465</v>
      </c>
      <c t="s">
        <v>31192</v>
      </c>
      <c r="AL3525" t="s">
        <v>27398</v>
      </c>
      <c r="AN3525" t="s">
        <v>39289</v>
      </c>
      <c t="s">
        <v>20857</v>
      </c>
      <c t="s">
        <v>4797</v>
      </c>
      <c t="s">
        <v>3093</v>
      </c>
      <c t="s">
        <v>62787</v>
      </c>
    </row>
    <row>
      <c t="s">
        <v>17594</v>
      </c>
      <c t="s">
        <v>9966</v>
      </c>
      <c t="s">
        <v>18458</v>
      </c>
      <c t="s">
        <v>30282</v>
      </c>
      <c t="s">
        <v>29882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3526" s="1" t="str">
        <f ca="1">HYPERLINK("https://web.datatree.com/?/property?propertyId=33326019", "https://web.datatree.com/?/property?propertyId=33326019")</f>
        <v>https://web.datatree.com/?/property?propertyId=33326019</v>
      </c>
      <c r="Q3526" t="s">
        <v>316</v>
      </c>
      <c>
        <v>0.23</v>
      </c>
      <c t="s">
        <v>22490</v>
      </c>
      <c t="s">
        <v>61763</v>
      </c>
      <c t="s">
        <v>45551</v>
      </c>
      <c r="X3526" t="s">
        <v>56100</v>
      </c>
      <c t="s">
        <v>49122</v>
      </c>
      <c t="s">
        <v>2517</v>
      </c>
      <c t="s">
        <v>39289</v>
      </c>
      <c>
        <v>33909</v>
      </c>
      <c t="s">
        <v>50675</v>
      </c>
      <c t="s">
        <v>48794</v>
      </c>
      <c t="s">
        <v>58763</v>
      </c>
      <c>
        <v>2877</v>
      </c>
      <c r="AI3526" t="s">
        <v>49822</v>
      </c>
      <c t="s">
        <v>55842</v>
      </c>
      <c r="AL3526" t="s">
        <v>17200</v>
      </c>
      <c t="s">
        <v>17200</v>
      </c>
      <c t="s">
        <v>39289</v>
      </c>
      <c t="s">
        <v>10368</v>
      </c>
      <c t="s">
        <v>45010</v>
      </c>
      <c t="s">
        <v>3093</v>
      </c>
      <c t="s">
        <v>58397</v>
      </c>
    </row>
    <row>
      <c t="s">
        <v>17594</v>
      </c>
      <c t="s">
        <v>40864</v>
      </c>
      <c t="s">
        <v>10606</v>
      </c>
      <c t="s">
        <v>33647</v>
      </c>
      <c t="s">
        <v>17469</v>
      </c>
      <c s="3">
        <v>5237</v>
      </c>
      <c s="3">
        <v>5237</v>
      </c>
      <c s="3">
        <v>5237</v>
      </c>
      <c>
        <v>0</v>
      </c>
      <c s="3">
        <v>0</v>
      </c>
      <c s="3">
        <v>81.53</v>
      </c>
      <c s="3">
        <v>5237</v>
      </c>
      <c r="O3527" s="1" t="str">
        <f ca="1">HYPERLINK("https://web.datatree.com/?/property?propertyId=33326064", "https://web.datatree.com/?/property?propertyId=33326064")</f>
        <v>https://web.datatree.com/?/property?propertyId=33326064</v>
      </c>
      <c r="Q3527" t="s">
        <v>316</v>
      </c>
      <c>
        <v>0.156</v>
      </c>
      <c t="s">
        <v>5471</v>
      </c>
      <c t="s">
        <v>43826</v>
      </c>
      <c t="s">
        <v>48923</v>
      </c>
      <c t="s">
        <v>33555</v>
      </c>
      <c t="s">
        <v>18314</v>
      </c>
      <c t="s">
        <v>7528</v>
      </c>
      <c t="s">
        <v>61779</v>
      </c>
      <c t="s">
        <v>65059</v>
      </c>
      <c t="s">
        <v>39289</v>
      </c>
      <c>
        <v>33905</v>
      </c>
      <c t="s">
        <v>13545</v>
      </c>
      <c t="s">
        <v>48794</v>
      </c>
      <c t="s">
        <v>42826</v>
      </c>
      <c>
        <v>212</v>
      </c>
      <c r="AI3527" t="s">
        <v>22236</v>
      </c>
      <c t="s">
        <v>1671</v>
      </c>
      <c r="AL3527" t="s">
        <v>31886</v>
      </c>
      <c r="AN3527" t="s">
        <v>32657</v>
      </c>
      <c t="s">
        <v>23602</v>
      </c>
      <c t="s">
        <v>52247</v>
      </c>
      <c t="s">
        <v>3093</v>
      </c>
      <c t="s">
        <v>1526</v>
      </c>
    </row>
    <row>
      <c t="s">
        <v>17594</v>
      </c>
      <c t="s">
        <v>24768</v>
      </c>
      <c t="s">
        <v>57794</v>
      </c>
      <c t="s">
        <v>28959</v>
      </c>
      <c t="s">
        <v>42669</v>
      </c>
      <c s="3">
        <v>93024</v>
      </c>
      <c s="3">
        <v>93024</v>
      </c>
      <c s="3">
        <v>61189</v>
      </c>
      <c>
        <v>0</v>
      </c>
      <c s="3">
        <v>0</v>
      </c>
      <c s="3">
        <v>1077.72</v>
      </c>
      <c s="3">
        <v>93024</v>
      </c>
      <c r="O3528" s="1" t="str">
        <f ca="1">HYPERLINK("https://web.datatree.com/?/property?propertyId=33326082", "https://web.datatree.com/?/property?propertyId=33326082")</f>
        <v>https://web.datatree.com/?/property?propertyId=33326082</v>
      </c>
      <c r="Q3528" t="s">
        <v>316</v>
      </c>
      <c>
        <v>0.217</v>
      </c>
      <c t="s">
        <v>5471</v>
      </c>
      <c t="s">
        <v>43288</v>
      </c>
      <c t="s">
        <v>42379</v>
      </c>
      <c t="s">
        <v>64500</v>
      </c>
      <c t="s">
        <v>42379</v>
      </c>
      <c t="s">
        <v>7216</v>
      </c>
      <c t="s">
        <v>18088</v>
      </c>
      <c t="s">
        <v>54524</v>
      </c>
      <c t="s">
        <v>39289</v>
      </c>
      <c>
        <v>33903</v>
      </c>
      <c t="s">
        <v>39582</v>
      </c>
      <c t="s">
        <v>48794</v>
      </c>
      <c t="s">
        <v>48366</v>
      </c>
      <c>
        <v>1057</v>
      </c>
      <c r="AI3528" t="s">
        <v>48240</v>
      </c>
      <c r="AK3528">
        <v>214</v>
      </c>
      <c t="s">
        <v>17626</v>
      </c>
      <c r="AN3528" t="s">
        <v>39289</v>
      </c>
      <c t="s">
        <v>55350</v>
      </c>
      <c t="s">
        <v>26242</v>
      </c>
      <c t="s">
        <v>3093</v>
      </c>
      <c t="s">
        <v>32651</v>
      </c>
    </row>
    <row>
      <c t="s">
        <v>17594</v>
      </c>
      <c t="s">
        <v>37249</v>
      </c>
      <c t="s">
        <v>16141</v>
      </c>
      <c t="s">
        <v>22681</v>
      </c>
      <c t="s">
        <v>63567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>
        <v>2021</v>
      </c>
      <c>
        <v>311.6</v>
      </c>
      <c s="1" t="str">
        <f ca="1">HYPERLINK("https://web.datatree.com/?/property?propertyId=33326145", "https://web.datatree.com/?/property?propertyId=33326145")</f>
        <v>https://web.datatree.com/?/property?propertyId=33326145</v>
      </c>
      <c r="Q3529" t="s">
        <v>316</v>
      </c>
      <c>
        <v>0.248</v>
      </c>
      <c t="s">
        <v>5471</v>
      </c>
      <c t="s">
        <v>54158</v>
      </c>
      <c t="s">
        <v>30162</v>
      </c>
      <c t="s">
        <v>56004</v>
      </c>
      <c t="s">
        <v>30162</v>
      </c>
      <c t="s">
        <v>35234</v>
      </c>
      <c t="s">
        <v>6874</v>
      </c>
      <c t="s">
        <v>65059</v>
      </c>
      <c t="s">
        <v>39289</v>
      </c>
      <c>
        <v>33905</v>
      </c>
      <c t="s">
        <v>67191</v>
      </c>
      <c t="s">
        <v>48794</v>
      </c>
      <c t="s">
        <v>19570</v>
      </c>
      <c>
        <v>20410</v>
      </c>
      <c r="AI3529" t="s">
        <v>24999</v>
      </c>
      <c t="s">
        <v>24900</v>
      </c>
      <c r="AL3529" t="s">
        <v>20423</v>
      </c>
      <c r="AN3529" t="s">
        <v>50917</v>
      </c>
      <c t="s">
        <v>2255</v>
      </c>
      <c t="s">
        <v>27780</v>
      </c>
      <c t="s">
        <v>3093</v>
      </c>
      <c t="s">
        <v>44928</v>
      </c>
    </row>
    <row>
      <c t="s">
        <v>17594</v>
      </c>
      <c t="s">
        <v>32258</v>
      </c>
      <c t="s">
        <v>60196</v>
      </c>
      <c t="s">
        <v>55950</v>
      </c>
      <c t="s">
        <v>28174</v>
      </c>
      <c s="3">
        <v>28860</v>
      </c>
      <c s="3">
        <v>28860</v>
      </c>
      <c s="3">
        <v>28600</v>
      </c>
      <c>
        <v>0</v>
      </c>
      <c s="3">
        <v>0</v>
      </c>
      <c s="3">
        <v>393.89</v>
      </c>
      <c s="3">
        <v>28860</v>
      </c>
      <c r="O3530" s="1" t="str">
        <f ca="1">HYPERLINK("https://web.datatree.com/?/property?propertyId=33327191", "https://web.datatree.com/?/property?propertyId=33327191")</f>
        <v>https://web.datatree.com/?/property?propertyId=33327191</v>
      </c>
      <c r="Q3530" t="s">
        <v>316</v>
      </c>
      <c>
        <v>0.039</v>
      </c>
      <c t="s">
        <v>54329</v>
      </c>
      <c t="s">
        <v>49864</v>
      </c>
      <c t="s">
        <v>37102</v>
      </c>
      <c t="s">
        <v>66240</v>
      </c>
      <c t="s">
        <v>21668</v>
      </c>
      <c t="s">
        <v>31232</v>
      </c>
      <c t="s">
        <v>66072</v>
      </c>
      <c t="s">
        <v>65059</v>
      </c>
      <c t="s">
        <v>39289</v>
      </c>
      <c>
        <v>33908</v>
      </c>
      <c t="s">
        <v>31147</v>
      </c>
      <c t="s">
        <v>48794</v>
      </c>
      <c t="s">
        <v>43156</v>
      </c>
      <c>
        <v>588</v>
      </c>
      <c r="AI3530" t="s">
        <v>21812</v>
      </c>
      <c t="s">
        <v>45620</v>
      </c>
      <c r="AL3530" t="s">
        <v>32847</v>
      </c>
      <c t="s">
        <v>53482</v>
      </c>
      <c t="s">
        <v>3034</v>
      </c>
      <c t="s">
        <v>32795</v>
      </c>
      <c t="s">
        <v>52247</v>
      </c>
      <c t="s">
        <v>3093</v>
      </c>
      <c t="s">
        <v>31218</v>
      </c>
    </row>
    <row>
      <c t="s">
        <v>17594</v>
      </c>
      <c t="s">
        <v>33005</v>
      </c>
      <c t="s">
        <v>33204</v>
      </c>
      <c t="s">
        <v>60479</v>
      </c>
      <c t="s">
        <v>36056</v>
      </c>
      <c s="3">
        <v>12544</v>
      </c>
      <c s="3">
        <v>12544</v>
      </c>
      <c s="3">
        <v>6113</v>
      </c>
      <c>
        <v>0</v>
      </c>
      <c s="3">
        <v>0</v>
      </c>
      <c s="3">
        <v>325.28</v>
      </c>
      <c s="3">
        <v>12544</v>
      </c>
      <c r="O3531" s="1" t="str">
        <f ca="1">HYPERLINK("https://web.datatree.com/?/property?propertyId=33328230", "https://web.datatree.com/?/property?propertyId=33328230")</f>
        <v>https://web.datatree.com/?/property?propertyId=33328230</v>
      </c>
      <c r="Q3531" t="s">
        <v>316</v>
      </c>
      <c>
        <v>0.251</v>
      </c>
      <c t="s">
        <v>5471</v>
      </c>
      <c t="s">
        <v>65935</v>
      </c>
      <c t="s">
        <v>37439</v>
      </c>
      <c r="X3531" t="s">
        <v>64782</v>
      </c>
      <c t="s">
        <v>61415</v>
      </c>
      <c t="s">
        <v>65059</v>
      </c>
      <c t="s">
        <v>39289</v>
      </c>
      <c>
        <v>33905</v>
      </c>
      <c t="s">
        <v>64683</v>
      </c>
      <c t="s">
        <v>48794</v>
      </c>
      <c t="s">
        <v>15400</v>
      </c>
      <c>
        <v>9</v>
      </c>
      <c r="AI3531" t="s">
        <v>50343</v>
      </c>
      <c t="s">
        <v>55842</v>
      </c>
      <c r="AL3531" t="s">
        <v>56798</v>
      </c>
      <c r="AN3531" t="s">
        <v>26016</v>
      </c>
      <c t="s">
        <v>28908</v>
      </c>
      <c t="s">
        <v>4797</v>
      </c>
      <c t="s">
        <v>3093</v>
      </c>
      <c t="s">
        <v>42203</v>
      </c>
    </row>
    <row>
      <c t="s">
        <v>17594</v>
      </c>
      <c t="s">
        <v>32022</v>
      </c>
      <c t="s">
        <v>23848</v>
      </c>
      <c t="s">
        <v>16171</v>
      </c>
      <c t="s">
        <v>57774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3532" s="1" t="str">
        <f ca="1">HYPERLINK("https://web.datatree.com/?/property?propertyId=33329246", "https://web.datatree.com/?/property?propertyId=33329246")</f>
        <v>https://web.datatree.com/?/property?propertyId=33329246</v>
      </c>
      <c r="Q3532" t="s">
        <v>316</v>
      </c>
      <c>
        <v>0.23</v>
      </c>
      <c t="s">
        <v>5471</v>
      </c>
      <c t="s">
        <v>3293</v>
      </c>
      <c t="s">
        <v>28212</v>
      </c>
      <c t="s">
        <v>36241</v>
      </c>
      <c t="s">
        <v>28212</v>
      </c>
      <c t="s">
        <v>2063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23419</v>
      </c>
      <c>
        <v>4101</v>
      </c>
      <c r="AI3532" t="s">
        <v>42035</v>
      </c>
      <c t="s">
        <v>31192</v>
      </c>
      <c r="AL3532" t="s">
        <v>49215</v>
      </c>
      <c r="AN3532" t="s">
        <v>65451</v>
      </c>
      <c t="s">
        <v>34101</v>
      </c>
      <c t="s">
        <v>33029</v>
      </c>
      <c t="s">
        <v>3093</v>
      </c>
      <c t="s">
        <v>19847</v>
      </c>
    </row>
    <row>
      <c t="s">
        <v>17594</v>
      </c>
      <c t="s">
        <v>144</v>
      </c>
      <c t="s">
        <v>65159</v>
      </c>
      <c t="s">
        <v>65972</v>
      </c>
      <c t="s">
        <v>53367</v>
      </c>
      <c s="3">
        <v>88300</v>
      </c>
      <c s="3">
        <v>88300</v>
      </c>
      <c s="3">
        <v>88300</v>
      </c>
      <c>
        <v>0</v>
      </c>
      <c s="3">
        <v>0</v>
      </c>
      <c s="3">
        <v>1205.45</v>
      </c>
      <c s="3">
        <v>88300</v>
      </c>
      <c r="O3533" s="1" t="str">
        <f ca="1">HYPERLINK("https://web.datatree.com/?/property?propertyId=33329917", "https://web.datatree.com/?/property?propertyId=33329917")</f>
        <v>https://web.datatree.com/?/property?propertyId=33329917</v>
      </c>
      <c r="Q3533" t="s">
        <v>316</v>
      </c>
      <c>
        <v>0.289</v>
      </c>
      <c t="s">
        <v>5471</v>
      </c>
      <c t="s">
        <v>552</v>
      </c>
      <c t="s">
        <v>5116</v>
      </c>
      <c t="s">
        <v>40397</v>
      </c>
      <c t="s">
        <v>5116</v>
      </c>
      <c t="s">
        <v>12797</v>
      </c>
      <c t="s">
        <v>64777</v>
      </c>
      <c t="s">
        <v>65059</v>
      </c>
      <c t="s">
        <v>39289</v>
      </c>
      <c>
        <v>33905</v>
      </c>
      <c t="s">
        <v>12737</v>
      </c>
      <c t="s">
        <v>48794</v>
      </c>
      <c t="s">
        <v>27273</v>
      </c>
      <c>
        <v>142</v>
      </c>
      <c r="AI3533" t="s">
        <v>10899</v>
      </c>
      <c t="s">
        <v>55842</v>
      </c>
      <c r="AL3533" t="s">
        <v>9092</v>
      </c>
      <c t="s">
        <v>9092</v>
      </c>
      <c t="s">
        <v>22275</v>
      </c>
      <c t="s">
        <v>34443</v>
      </c>
      <c t="s">
        <v>60160</v>
      </c>
      <c t="s">
        <v>3093</v>
      </c>
      <c t="s">
        <v>66049</v>
      </c>
    </row>
    <row>
      <c t="s">
        <v>17594</v>
      </c>
      <c t="s">
        <v>54022</v>
      </c>
      <c t="s">
        <v>26849</v>
      </c>
      <c t="s">
        <v>17767</v>
      </c>
      <c t="s">
        <v>32693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3534" s="1" t="str">
        <f ca="1">HYPERLINK("https://web.datatree.com/?/property?propertyId=33330680", "https://web.datatree.com/?/property?propertyId=33330680")</f>
        <v>https://web.datatree.com/?/property?propertyId=33330680</v>
      </c>
      <c r="Q3534" t="s">
        <v>316</v>
      </c>
      <c>
        <v>0.23</v>
      </c>
      <c t="s">
        <v>22490</v>
      </c>
      <c t="s">
        <v>36941</v>
      </c>
      <c t="s">
        <v>66266</v>
      </c>
      <c t="s">
        <v>49004</v>
      </c>
      <c t="s">
        <v>46468</v>
      </c>
      <c t="s">
        <v>46597</v>
      </c>
      <c t="s">
        <v>53675</v>
      </c>
      <c t="s">
        <v>2517</v>
      </c>
      <c t="s">
        <v>39289</v>
      </c>
      <c>
        <v>33909</v>
      </c>
      <c t="s">
        <v>9548</v>
      </c>
      <c t="s">
        <v>48794</v>
      </c>
      <c t="s">
        <v>12987</v>
      </c>
      <c>
        <v>140</v>
      </c>
      <c r="AI3534" t="s">
        <v>32209</v>
      </c>
      <c r="AL3534" t="s">
        <v>15253</v>
      </c>
      <c r="AN3534" t="s">
        <v>32840</v>
      </c>
      <c r="AR3534" t="s">
        <v>41930</v>
      </c>
    </row>
    <row>
      <c t="s">
        <v>17594</v>
      </c>
      <c t="s">
        <v>56352</v>
      </c>
      <c t="s">
        <v>24447</v>
      </c>
      <c t="s">
        <v>10335</v>
      </c>
      <c t="s">
        <v>1255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3535" s="1" t="str">
        <f ca="1">HYPERLINK("https://web.datatree.com/?/property?propertyId=33330751", "https://web.datatree.com/?/property?propertyId=33330751")</f>
        <v>https://web.datatree.com/?/property?propertyId=33330751</v>
      </c>
      <c r="Q3535" t="s">
        <v>316</v>
      </c>
      <c>
        <v>0.23</v>
      </c>
      <c t="s">
        <v>6175</v>
      </c>
      <c t="s">
        <v>25659</v>
      </c>
      <c t="s">
        <v>48639</v>
      </c>
      <c r="X3535" t="s">
        <v>60252</v>
      </c>
      <c t="s">
        <v>34731</v>
      </c>
      <c t="s">
        <v>2517</v>
      </c>
      <c t="s">
        <v>39289</v>
      </c>
      <c>
        <v>33909</v>
      </c>
      <c t="s">
        <v>43622</v>
      </c>
      <c t="s">
        <v>48794</v>
      </c>
      <c t="s">
        <v>13542</v>
      </c>
      <c>
        <v>426</v>
      </c>
      <c r="AI3535" t="s">
        <v>9566</v>
      </c>
      <c t="s">
        <v>31192</v>
      </c>
      <c>
        <v>147</v>
      </c>
      <c t="s">
        <v>54231</v>
      </c>
      <c r="AN3535" t="s">
        <v>39289</v>
      </c>
      <c t="s">
        <v>2096</v>
      </c>
      <c t="s">
        <v>53800</v>
      </c>
      <c t="s">
        <v>3093</v>
      </c>
      <c t="s">
        <v>27888</v>
      </c>
    </row>
    <row>
      <c t="s">
        <v>17594</v>
      </c>
      <c t="s">
        <v>54561</v>
      </c>
      <c t="s">
        <v>35297</v>
      </c>
      <c t="s">
        <v>53426</v>
      </c>
      <c t="s">
        <v>8882</v>
      </c>
      <c s="3">
        <v>26249</v>
      </c>
      <c s="3">
        <v>26249</v>
      </c>
      <c s="3">
        <v>9339</v>
      </c>
      <c>
        <v>0</v>
      </c>
      <c s="3">
        <v>0</v>
      </c>
      <c s="3">
        <v>1235.17</v>
      </c>
      <c s="3">
        <v>26249</v>
      </c>
      <c r="O3536" s="1" t="str">
        <f ca="1">HYPERLINK("https://web.datatree.com/?/property?propertyId=33330859", "https://web.datatree.com/?/property?propertyId=33330859")</f>
        <v>https://web.datatree.com/?/property?propertyId=33330859</v>
      </c>
      <c r="Q3536" t="s">
        <v>316</v>
      </c>
      <c>
        <v>0.241</v>
      </c>
      <c t="s">
        <v>28270</v>
      </c>
      <c t="s">
        <v>1611</v>
      </c>
      <c t="s">
        <v>58582</v>
      </c>
      <c r="X3536" t="s">
        <v>5478</v>
      </c>
      <c t="s">
        <v>53675</v>
      </c>
      <c t="s">
        <v>2517</v>
      </c>
      <c t="s">
        <v>39289</v>
      </c>
      <c>
        <v>33909</v>
      </c>
      <c t="s">
        <v>23896</v>
      </c>
      <c t="s">
        <v>48794</v>
      </c>
      <c t="s">
        <v>32987</v>
      </c>
      <c>
        <v>5212</v>
      </c>
      <c r="AI3536" t="s">
        <v>51117</v>
      </c>
      <c t="s">
        <v>45393</v>
      </c>
      <c r="AL3536" t="s">
        <v>52636</v>
      </c>
      <c r="AN3536" t="s">
        <v>58811</v>
      </c>
      <c t="s">
        <v>34992</v>
      </c>
      <c r="AQ3536" t="s">
        <v>27814</v>
      </c>
      <c t="s">
        <v>23531</v>
      </c>
    </row>
    <row>
      <c t="s">
        <v>17594</v>
      </c>
      <c t="s">
        <v>38548</v>
      </c>
      <c t="s">
        <v>3930</v>
      </c>
      <c t="s">
        <v>11783</v>
      </c>
      <c t="s">
        <v>6242</v>
      </c>
      <c s="3">
        <v>24566</v>
      </c>
      <c s="3">
        <v>24566</v>
      </c>
      <c s="3">
        <v>10956</v>
      </c>
      <c>
        <v>0</v>
      </c>
      <c s="3">
        <v>0</v>
      </c>
      <c s="3">
        <v>717.52</v>
      </c>
      <c s="3">
        <v>24566</v>
      </c>
      <c r="O3537" s="1" t="str">
        <f ca="1">HYPERLINK("https://web.datatree.com/?/property?propertyId=33331217", "https://web.datatree.com/?/property?propertyId=33331217")</f>
        <v>https://web.datatree.com/?/property?propertyId=33331217</v>
      </c>
      <c r="Q3537" t="s">
        <v>316</v>
      </c>
      <c>
        <v>0.344</v>
      </c>
      <c t="s">
        <v>45031</v>
      </c>
      <c t="s">
        <v>37262</v>
      </c>
      <c t="s">
        <v>19484</v>
      </c>
      <c r="X3537" t="s">
        <v>46041</v>
      </c>
      <c t="s">
        <v>22731</v>
      </c>
      <c t="s">
        <v>2517</v>
      </c>
      <c t="s">
        <v>39289</v>
      </c>
      <c>
        <v>33909</v>
      </c>
      <c>
        <v>33909</v>
      </c>
      <c t="s">
        <v>48794</v>
      </c>
      <c t="s">
        <v>7886</v>
      </c>
      <c>
        <v>1625</v>
      </c>
      <c r="AH3537" t="s">
        <v>12549</v>
      </c>
      <c t="s">
        <v>38862</v>
      </c>
      <c t="s">
        <v>1671</v>
      </c>
      <c r="AL3537" t="s">
        <v>13492</v>
      </c>
      <c t="s">
        <v>13492</v>
      </c>
      <c t="s">
        <v>39289</v>
      </c>
      <c t="s">
        <v>6299</v>
      </c>
      <c t="s">
        <v>61410</v>
      </c>
      <c t="s">
        <v>3093</v>
      </c>
      <c t="s">
        <v>48854</v>
      </c>
    </row>
    <row>
      <c t="s">
        <v>17594</v>
      </c>
      <c t="s">
        <v>41138</v>
      </c>
      <c t="s">
        <v>39154</v>
      </c>
      <c t="s">
        <v>3299</v>
      </c>
      <c t="s">
        <v>3932</v>
      </c>
      <c s="3">
        <v>23012</v>
      </c>
      <c s="3">
        <v>23012</v>
      </c>
      <c s="3">
        <v>10450</v>
      </c>
      <c>
        <v>0</v>
      </c>
      <c s="3">
        <v>0</v>
      </c>
      <c s="3">
        <v>613.35</v>
      </c>
      <c s="3">
        <v>23012</v>
      </c>
      <c r="O3538" s="1" t="str">
        <f ca="1">HYPERLINK("https://web.datatree.com/?/property?propertyId=33331270", "https://web.datatree.com/?/property?propertyId=33331270")</f>
        <v>https://web.datatree.com/?/property?propertyId=33331270</v>
      </c>
      <c r="Q3538" t="s">
        <v>316</v>
      </c>
      <c>
        <v>0.244</v>
      </c>
      <c t="s">
        <v>22490</v>
      </c>
      <c t="s">
        <v>42801</v>
      </c>
      <c t="s">
        <v>45765</v>
      </c>
      <c t="s">
        <v>25273</v>
      </c>
      <c t="s">
        <v>45765</v>
      </c>
      <c t="s">
        <v>63137</v>
      </c>
      <c t="s">
        <v>22731</v>
      </c>
      <c t="s">
        <v>2517</v>
      </c>
      <c t="s">
        <v>39289</v>
      </c>
      <c>
        <v>33909</v>
      </c>
      <c t="s">
        <v>38108</v>
      </c>
      <c t="s">
        <v>48794</v>
      </c>
      <c t="s">
        <v>61332</v>
      </c>
      <c>
        <v>2621</v>
      </c>
      <c r="AI3538" t="s">
        <v>8176</v>
      </c>
      <c t="s">
        <v>31192</v>
      </c>
      <c r="AL3538" t="s">
        <v>9276</v>
      </c>
      <c t="s">
        <v>9276</v>
      </c>
      <c t="s">
        <v>18236</v>
      </c>
      <c t="s">
        <v>10059</v>
      </c>
      <c t="s">
        <v>30106</v>
      </c>
      <c t="s">
        <v>3093</v>
      </c>
      <c t="s">
        <v>44491</v>
      </c>
    </row>
    <row>
      <c t="s">
        <v>17594</v>
      </c>
      <c t="s">
        <v>16657</v>
      </c>
      <c t="s">
        <v>34626</v>
      </c>
      <c t="s">
        <v>58483</v>
      </c>
      <c t="s">
        <v>6202</v>
      </c>
      <c s="3">
        <v>223372</v>
      </c>
      <c s="3">
        <v>223372</v>
      </c>
      <c s="3">
        <v>223372</v>
      </c>
      <c>
        <v>0</v>
      </c>
      <c s="3">
        <v>0</v>
      </c>
      <c s="3">
        <v>3065.08</v>
      </c>
      <c s="3">
        <v>223372</v>
      </c>
      <c r="O3539" s="1" t="str">
        <f ca="1">HYPERLINK("https://web.datatree.com/?/property?propertyId=33331823", "https://web.datatree.com/?/property?propertyId=33331823")</f>
        <v>https://web.datatree.com/?/property?propertyId=33331823</v>
      </c>
      <c r="Q3539" t="s">
        <v>316</v>
      </c>
      <c>
        <v>0.394</v>
      </c>
      <c t="s">
        <v>29818</v>
      </c>
      <c t="s">
        <v>33168</v>
      </c>
      <c t="s">
        <v>8173</v>
      </c>
      <c t="s">
        <v>26059</v>
      </c>
      <c t="s">
        <v>8173</v>
      </c>
      <c t="s">
        <v>18810</v>
      </c>
      <c t="s">
        <v>21369</v>
      </c>
      <c t="s">
        <v>65059</v>
      </c>
      <c t="s">
        <v>39289</v>
      </c>
      <c>
        <v>33908</v>
      </c>
      <c t="s">
        <v>33795</v>
      </c>
      <c t="s">
        <v>48794</v>
      </c>
      <c t="s">
        <v>47631</v>
      </c>
      <c>
        <v>5817</v>
      </c>
      <c r="AH3539" t="s">
        <v>52165</v>
      </c>
      <c t="s">
        <v>25286</v>
      </c>
      <c t="s">
        <v>39321</v>
      </c>
      <c r="AL3539" t="s">
        <v>50237</v>
      </c>
      <c t="s">
        <v>50237</v>
      </c>
      <c t="s">
        <v>4477</v>
      </c>
      <c t="s">
        <v>55541</v>
      </c>
      <c t="s">
        <v>53800</v>
      </c>
      <c t="s">
        <v>3093</v>
      </c>
      <c t="s">
        <v>62145</v>
      </c>
    </row>
    <row>
      <c t="s">
        <v>42103</v>
      </c>
      <c t="s">
        <v>58592</v>
      </c>
      <c t="s">
        <v>40490</v>
      </c>
      <c t="s">
        <v>18199</v>
      </c>
      <c t="s">
        <v>53338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540" s="1" t="str">
        <f ca="1">HYPERLINK("https://web.datatree.com/?/property?propertyId=33331847", "https://web.datatree.com/?/property?propertyId=33331847")</f>
        <v>https://web.datatree.com/?/property?propertyId=33331847</v>
      </c>
      <c r="Q3540" t="s">
        <v>316</v>
      </c>
      <c>
        <v>0.23</v>
      </c>
      <c t="s">
        <v>6175</v>
      </c>
      <c t="s">
        <v>42388</v>
      </c>
      <c t="s">
        <v>23976</v>
      </c>
      <c r="X3540" t="s">
        <v>37356</v>
      </c>
      <c t="s">
        <v>30928</v>
      </c>
      <c t="s">
        <v>2517</v>
      </c>
      <c t="s">
        <v>39289</v>
      </c>
      <c>
        <v>33909</v>
      </c>
      <c t="s">
        <v>23431</v>
      </c>
      <c t="s">
        <v>48794</v>
      </c>
      <c t="s">
        <v>25642</v>
      </c>
      <c r="AI3540" t="s">
        <v>54072</v>
      </c>
      <c r="AL3540" t="s">
        <v>23022</v>
      </c>
      <c t="s">
        <v>23022</v>
      </c>
      <c t="s">
        <v>9387</v>
      </c>
      <c>
        <v>67880</v>
      </c>
      <c t="s">
        <v>39363</v>
      </c>
      <c t="s">
        <v>3093</v>
      </c>
      <c t="s">
        <v>49396</v>
      </c>
    </row>
    <row>
      <c t="s">
        <v>17594</v>
      </c>
      <c t="s">
        <v>50452</v>
      </c>
      <c t="s">
        <v>63670</v>
      </c>
      <c t="s">
        <v>19937</v>
      </c>
      <c t="s">
        <v>48756</v>
      </c>
      <c s="3">
        <v>20185</v>
      </c>
      <c s="3">
        <v>20185</v>
      </c>
      <c s="3">
        <v>9240</v>
      </c>
      <c>
        <v>0</v>
      </c>
      <c s="3">
        <v>0</v>
      </c>
      <c s="3">
        <v>584.18</v>
      </c>
      <c s="3">
        <v>20185</v>
      </c>
      <c r="O3541" s="1" t="str">
        <f ca="1">HYPERLINK("https://web.datatree.com/?/property?propertyId=33331982", "https://web.datatree.com/?/property?propertyId=33331982")</f>
        <v>https://web.datatree.com/?/property?propertyId=33331982</v>
      </c>
      <c r="Q3541" t="s">
        <v>316</v>
      </c>
      <c>
        <v>0.236</v>
      </c>
      <c t="s">
        <v>22490</v>
      </c>
      <c t="s">
        <v>42212</v>
      </c>
      <c t="s">
        <v>25500</v>
      </c>
      <c r="X3541" t="s">
        <v>15644</v>
      </c>
      <c t="s">
        <v>53675</v>
      </c>
      <c t="s">
        <v>2517</v>
      </c>
      <c t="s">
        <v>39289</v>
      </c>
      <c>
        <v>33909</v>
      </c>
      <c t="s">
        <v>3381</v>
      </c>
      <c t="s">
        <v>48794</v>
      </c>
      <c t="s">
        <v>10651</v>
      </c>
      <c>
        <v>47936</v>
      </c>
      <c r="AI3541" t="s">
        <v>8223</v>
      </c>
      <c r="AL3541" t="s">
        <v>53931</v>
      </c>
      <c r="AN3541" t="s">
        <v>40451</v>
      </c>
      <c t="s">
        <v>13377</v>
      </c>
      <c t="s">
        <v>702</v>
      </c>
      <c t="s">
        <v>3093</v>
      </c>
      <c t="s">
        <v>11002</v>
      </c>
    </row>
    <row>
      <c t="s">
        <v>17594</v>
      </c>
      <c t="s">
        <v>14898</v>
      </c>
      <c t="s">
        <v>33293</v>
      </c>
      <c t="s">
        <v>66759</v>
      </c>
      <c t="s">
        <v>64389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>
        <v>2021</v>
      </c>
      <c>
        <v>439.89</v>
      </c>
      <c s="1" t="str">
        <f ca="1">HYPERLINK("https://web.datatree.com/?/property?propertyId=33332057", "https://web.datatree.com/?/property?propertyId=33332057")</f>
        <v>https://web.datatree.com/?/property?propertyId=33332057</v>
      </c>
      <c r="Q3542" t="s">
        <v>316</v>
      </c>
      <c>
        <v>0.237</v>
      </c>
      <c t="s">
        <v>5471</v>
      </c>
      <c r="U3542" t="s">
        <v>65058</v>
      </c>
      <c r="W3542" t="s">
        <v>26881</v>
      </c>
      <c t="s">
        <v>17895</v>
      </c>
      <c t="s">
        <v>43940</v>
      </c>
      <c t="s">
        <v>65059</v>
      </c>
      <c t="s">
        <v>39289</v>
      </c>
      <c>
        <v>33905</v>
      </c>
      <c t="s">
        <v>42584</v>
      </c>
      <c t="s">
        <v>48794</v>
      </c>
      <c t="s">
        <v>63221</v>
      </c>
      <c>
        <v>1962</v>
      </c>
      <c r="AI3542" t="s">
        <v>34210</v>
      </c>
      <c t="s">
        <v>55842</v>
      </c>
      <c r="AL3542" t="s">
        <v>23695</v>
      </c>
      <c r="AN3542" t="s">
        <v>39289</v>
      </c>
      <c t="s">
        <v>63487</v>
      </c>
      <c t="s">
        <v>6081</v>
      </c>
      <c t="s">
        <v>3093</v>
      </c>
      <c t="s">
        <v>40789</v>
      </c>
    </row>
    <row>
      <c t="s">
        <v>17594</v>
      </c>
      <c t="s">
        <v>40721</v>
      </c>
      <c t="s">
        <v>14958</v>
      </c>
      <c t="s">
        <v>32059</v>
      </c>
      <c t="s">
        <v>27836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543" s="1" t="str">
        <f ca="1">HYPERLINK("https://web.datatree.com/?/property?propertyId=33332385", "https://web.datatree.com/?/property?propertyId=33332385")</f>
        <v>https://web.datatree.com/?/property?propertyId=33332385</v>
      </c>
      <c r="Q3543" t="s">
        <v>316</v>
      </c>
      <c>
        <v>0.25</v>
      </c>
      <c t="s">
        <v>5471</v>
      </c>
      <c t="s">
        <v>31357</v>
      </c>
      <c t="s">
        <v>11179</v>
      </c>
      <c r="X3543" t="s">
        <v>13051</v>
      </c>
      <c t="s">
        <v>23113</v>
      </c>
      <c t="s">
        <v>65059</v>
      </c>
      <c t="s">
        <v>39289</v>
      </c>
      <c>
        <v>33905</v>
      </c>
      <c t="s">
        <v>66487</v>
      </c>
      <c t="s">
        <v>48794</v>
      </c>
      <c t="s">
        <v>53135</v>
      </c>
      <c>
        <v>268</v>
      </c>
      <c r="AI3543" t="s">
        <v>27530</v>
      </c>
      <c t="s">
        <v>1671</v>
      </c>
      <c r="AL3543" t="s">
        <v>11713</v>
      </c>
      <c r="AN3543" t="s">
        <v>39289</v>
      </c>
      <c t="s">
        <v>45213</v>
      </c>
      <c t="s">
        <v>65450</v>
      </c>
      <c t="s">
        <v>3093</v>
      </c>
      <c t="s">
        <v>36562</v>
      </c>
    </row>
    <row>
      <c t="s">
        <v>17594</v>
      </c>
      <c t="s">
        <v>11547</v>
      </c>
      <c t="s">
        <v>17409</v>
      </c>
      <c t="s">
        <v>60103</v>
      </c>
      <c t="s">
        <v>60929</v>
      </c>
      <c s="3">
        <v>24711</v>
      </c>
      <c s="3">
        <v>24711</v>
      </c>
      <c s="3">
        <v>9900</v>
      </c>
      <c>
        <v>0</v>
      </c>
      <c s="3">
        <v>0</v>
      </c>
      <c s="3">
        <v>617.18</v>
      </c>
      <c s="3">
        <v>24711</v>
      </c>
      <c r="O3544" s="1" t="str">
        <f ca="1">HYPERLINK("https://web.datatree.com/?/property?propertyId=33333006", "https://web.datatree.com/?/property?propertyId=33333006")</f>
        <v>https://web.datatree.com/?/property?propertyId=33333006</v>
      </c>
      <c r="Q3544" t="s">
        <v>316</v>
      </c>
      <c>
        <v>0.244</v>
      </c>
      <c t="s">
        <v>22490</v>
      </c>
      <c r="U3544" t="s">
        <v>24577</v>
      </c>
      <c t="s">
        <v>57999</v>
      </c>
      <c t="s">
        <v>26574</v>
      </c>
      <c t="s">
        <v>20936</v>
      </c>
      <c t="s">
        <v>59763</v>
      </c>
      <c t="s">
        <v>2517</v>
      </c>
      <c t="s">
        <v>39289</v>
      </c>
      <c>
        <v>33909</v>
      </c>
      <c t="s">
        <v>28433</v>
      </c>
      <c t="s">
        <v>48794</v>
      </c>
      <c t="s">
        <v>41558</v>
      </c>
      <c>
        <v>2001</v>
      </c>
      <c r="AI3544" t="s">
        <v>42678</v>
      </c>
      <c t="s">
        <v>45620</v>
      </c>
      <c>
        <v>700</v>
      </c>
      <c t="s">
        <v>17003</v>
      </c>
      <c t="s">
        <v>17003</v>
      </c>
      <c t="s">
        <v>19878</v>
      </c>
      <c t="s">
        <v>51466</v>
      </c>
      <c t="s">
        <v>22302</v>
      </c>
      <c t="s">
        <v>3093</v>
      </c>
      <c t="s">
        <v>47338</v>
      </c>
    </row>
    <row>
      <c t="s">
        <v>17594</v>
      </c>
      <c t="s">
        <v>4864</v>
      </c>
      <c t="s">
        <v>58852</v>
      </c>
      <c t="s">
        <v>62215</v>
      </c>
      <c t="s">
        <v>47388</v>
      </c>
      <c s="3">
        <v>2867</v>
      </c>
      <c s="3">
        <v>2867</v>
      </c>
      <c s="3">
        <v>1980</v>
      </c>
      <c>
        <v>0</v>
      </c>
      <c s="3">
        <v>0</v>
      </c>
      <c s="3">
        <v>37.48</v>
      </c>
      <c s="3">
        <v>2867</v>
      </c>
      <c r="O3545" s="1" t="str">
        <f ca="1">HYPERLINK("https://web.datatree.com/?/property?propertyId=33333425", "https://web.datatree.com/?/property?propertyId=33333425")</f>
        <v>https://web.datatree.com/?/property?propertyId=33333425</v>
      </c>
      <c r="Q3545" t="s">
        <v>316</v>
      </c>
      <c>
        <v>0.07</v>
      </c>
      <c t="s">
        <v>36627</v>
      </c>
      <c t="s">
        <v>44457</v>
      </c>
      <c t="s">
        <v>11301</v>
      </c>
      <c r="X3545" t="s">
        <v>20540</v>
      </c>
      <c t="s">
        <v>9615</v>
      </c>
      <c t="s">
        <v>65059</v>
      </c>
      <c t="s">
        <v>39289</v>
      </c>
      <c>
        <v>33907</v>
      </c>
      <c t="s">
        <v>67092</v>
      </c>
      <c t="s">
        <v>48794</v>
      </c>
      <c t="s">
        <v>17119</v>
      </c>
      <c>
        <v>12032</v>
      </c>
      <c r="AI3545" t="s">
        <v>57193</v>
      </c>
      <c t="s">
        <v>40123</v>
      </c>
      <c>
        <v>205</v>
      </c>
      <c t="s">
        <v>55393</v>
      </c>
      <c r="AN3545" t="s">
        <v>39289</v>
      </c>
      <c t="s">
        <v>5119</v>
      </c>
      <c t="s">
        <v>14845</v>
      </c>
      <c t="s">
        <v>3093</v>
      </c>
      <c t="s">
        <v>62345</v>
      </c>
    </row>
    <row>
      <c t="s">
        <v>17594</v>
      </c>
      <c t="s">
        <v>14834</v>
      </c>
      <c t="s">
        <v>25491</v>
      </c>
      <c t="s">
        <v>21791</v>
      </c>
      <c t="s">
        <v>3064</v>
      </c>
      <c s="3">
        <v>8700</v>
      </c>
      <c s="3">
        <v>8700</v>
      </c>
      <c s="3">
        <v>8700</v>
      </c>
      <c>
        <v>0</v>
      </c>
      <c s="3">
        <v>0</v>
      </c>
      <c s="3">
        <v>606.84</v>
      </c>
      <c s="3">
        <v>8700</v>
      </c>
      <c r="O3546" s="1" t="str">
        <f ca="1">HYPERLINK("https://web.datatree.com/?/property?propertyId=33333455", "https://web.datatree.com/?/property?propertyId=33333455")</f>
        <v>https://web.datatree.com/?/property?propertyId=33333455</v>
      </c>
      <c r="Q3546" t="s">
        <v>316</v>
      </c>
      <c>
        <v>0.27</v>
      </c>
      <c t="s">
        <v>6175</v>
      </c>
      <c t="s">
        <v>25866</v>
      </c>
      <c t="s">
        <v>1859</v>
      </c>
      <c r="X3546" t="s">
        <v>6515</v>
      </c>
      <c t="s">
        <v>2619</v>
      </c>
      <c t="s">
        <v>2517</v>
      </c>
      <c t="s">
        <v>39289</v>
      </c>
      <c>
        <v>33909</v>
      </c>
      <c t="s">
        <v>11481</v>
      </c>
      <c t="s">
        <v>48794</v>
      </c>
      <c t="s">
        <v>29678</v>
      </c>
      <c>
        <v>8690</v>
      </c>
      <c r="AH3546" t="s">
        <v>63047</v>
      </c>
      <c t="s">
        <v>32440</v>
      </c>
      <c t="s">
        <v>1671</v>
      </c>
      <c r="AL3546" t="s">
        <v>59541</v>
      </c>
      <c t="s">
        <v>59541</v>
      </c>
      <c t="s">
        <v>39289</v>
      </c>
      <c t="s">
        <v>10041</v>
      </c>
      <c t="s">
        <v>52247</v>
      </c>
      <c t="s">
        <v>3093</v>
      </c>
      <c t="s">
        <v>21558</v>
      </c>
    </row>
    <row>
      <c t="s">
        <v>17594</v>
      </c>
      <c t="s">
        <v>16392</v>
      </c>
      <c t="s">
        <v>57997</v>
      </c>
      <c t="s">
        <v>9153</v>
      </c>
      <c t="s">
        <v>53997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547" s="1" t="str">
        <f ca="1">HYPERLINK("https://web.datatree.com/?/property?propertyId=33334788", "https://web.datatree.com/?/property?propertyId=33334788")</f>
        <v>https://web.datatree.com/?/property?propertyId=33334788</v>
      </c>
      <c r="Q3547" t="s">
        <v>316</v>
      </c>
      <c>
        <v>0.236</v>
      </c>
      <c t="s">
        <v>5471</v>
      </c>
      <c t="s">
        <v>47682</v>
      </c>
      <c t="s">
        <v>24606</v>
      </c>
      <c r="X3547" t="s">
        <v>66673</v>
      </c>
      <c t="s">
        <v>61272</v>
      </c>
      <c t="s">
        <v>65059</v>
      </c>
      <c t="s">
        <v>39289</v>
      </c>
      <c>
        <v>33905</v>
      </c>
      <c t="s">
        <v>59883</v>
      </c>
      <c t="s">
        <v>48794</v>
      </c>
      <c t="s">
        <v>20087</v>
      </c>
      <c>
        <v>8699</v>
      </c>
      <c r="AI3547" t="s">
        <v>20586</v>
      </c>
      <c t="s">
        <v>40123</v>
      </c>
      <c r="AL3547" t="s">
        <v>17200</v>
      </c>
      <c r="AN3547" t="s">
        <v>39289</v>
      </c>
      <c t="s">
        <v>36421</v>
      </c>
      <c t="s">
        <v>56186</v>
      </c>
      <c t="s">
        <v>3093</v>
      </c>
      <c t="s">
        <v>50071</v>
      </c>
    </row>
    <row>
      <c t="s">
        <v>17594</v>
      </c>
      <c t="s">
        <v>38254</v>
      </c>
      <c t="s">
        <v>55787</v>
      </c>
      <c t="s">
        <v>20160</v>
      </c>
      <c t="s">
        <v>15425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3548" s="1" t="str">
        <f ca="1">HYPERLINK("https://web.datatree.com/?/property?propertyId=33335653", "https://web.datatree.com/?/property?propertyId=33335653")</f>
        <v>https://web.datatree.com/?/property?propertyId=33335653</v>
      </c>
      <c r="Q3548" t="s">
        <v>316</v>
      </c>
      <c>
        <v>0.095</v>
      </c>
      <c t="s">
        <v>26492</v>
      </c>
      <c t="s">
        <v>33748</v>
      </c>
      <c t="s">
        <v>4772</v>
      </c>
      <c r="X3548" t="s">
        <v>34856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55564</v>
      </c>
      <c>
        <v>688</v>
      </c>
      <c r="AI3548" t="s">
        <v>46532</v>
      </c>
      <c t="s">
        <v>45620</v>
      </c>
      <c t="s">
        <v>17594</v>
      </c>
      <c t="s">
        <v>18337</v>
      </c>
      <c t="s">
        <v>40227</v>
      </c>
      <c t="s">
        <v>26016</v>
      </c>
      <c t="s">
        <v>33603</v>
      </c>
      <c t="s">
        <v>12251</v>
      </c>
      <c t="s">
        <v>3093</v>
      </c>
      <c t="s">
        <v>30309</v>
      </c>
    </row>
    <row>
      <c t="s">
        <v>42103</v>
      </c>
      <c t="s">
        <v>31684</v>
      </c>
      <c t="s">
        <v>23197</v>
      </c>
      <c t="s">
        <v>65043</v>
      </c>
      <c t="s">
        <v>8640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3549" s="1" t="str">
        <f ca="1">HYPERLINK("https://web.datatree.com/?/property?propertyId=33335678", "https://web.datatree.com/?/property?propertyId=33335678")</f>
        <v>https://web.datatree.com/?/property?propertyId=33335678</v>
      </c>
      <c r="Q3549" t="s">
        <v>316</v>
      </c>
      <c>
        <v>0.229</v>
      </c>
      <c t="s">
        <v>22490</v>
      </c>
      <c t="s">
        <v>64638</v>
      </c>
      <c t="s">
        <v>28215</v>
      </c>
      <c t="s">
        <v>21379</v>
      </c>
      <c t="s">
        <v>28215</v>
      </c>
      <c t="s">
        <v>39175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49119</v>
      </c>
      <c r="AI3549" t="s">
        <v>15387</v>
      </c>
      <c r="AL3549" t="s">
        <v>14309</v>
      </c>
      <c r="AN3549" t="s">
        <v>19878</v>
      </c>
      <c t="s">
        <v>11976</v>
      </c>
      <c t="s">
        <v>52202</v>
      </c>
      <c t="s">
        <v>3093</v>
      </c>
      <c t="s">
        <v>44424</v>
      </c>
    </row>
    <row>
      <c t="s">
        <v>42103</v>
      </c>
      <c t="s">
        <v>47287</v>
      </c>
      <c t="s">
        <v>23027</v>
      </c>
      <c t="s">
        <v>54657</v>
      </c>
      <c t="s">
        <v>12297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550" s="1" t="str">
        <f ca="1">HYPERLINK("https://web.datatree.com/?/property?propertyId=33335713", "https://web.datatree.com/?/property?propertyId=33335713")</f>
        <v>https://web.datatree.com/?/property?propertyId=33335713</v>
      </c>
      <c r="Q3550" t="s">
        <v>316</v>
      </c>
      <c>
        <v>0.23</v>
      </c>
      <c t="s">
        <v>45031</v>
      </c>
      <c t="s">
        <v>55321</v>
      </c>
      <c t="s">
        <v>46637</v>
      </c>
      <c r="X3550" t="s">
        <v>67067</v>
      </c>
      <c t="s">
        <v>30928</v>
      </c>
      <c t="s">
        <v>2517</v>
      </c>
      <c t="s">
        <v>39289</v>
      </c>
      <c>
        <v>33909</v>
      </c>
      <c t="s">
        <v>52945</v>
      </c>
      <c t="s">
        <v>48794</v>
      </c>
      <c t="s">
        <v>11198</v>
      </c>
      <c r="AI3550" t="s">
        <v>41330</v>
      </c>
      <c r="AL3550" t="s">
        <v>47755</v>
      </c>
      <c r="AN3550" t="s">
        <v>27747</v>
      </c>
      <c>
        <v>1949</v>
      </c>
      <c t="s">
        <v>31451</v>
      </c>
      <c t="s">
        <v>3093</v>
      </c>
      <c t="s">
        <v>25567</v>
      </c>
    </row>
    <row>
      <c t="s">
        <v>17594</v>
      </c>
      <c t="s">
        <v>3356</v>
      </c>
      <c t="s">
        <v>36666</v>
      </c>
      <c t="s">
        <v>34494</v>
      </c>
      <c t="s">
        <v>62479</v>
      </c>
      <c s="3">
        <v>10600</v>
      </c>
      <c s="3">
        <v>10600</v>
      </c>
      <c s="3">
        <v>9680</v>
      </c>
      <c>
        <v>0</v>
      </c>
      <c s="3">
        <v>0</v>
      </c>
      <c s="3">
        <v>2883.7</v>
      </c>
      <c s="3">
        <v>10600</v>
      </c>
      <c r="O3551" s="1" t="str">
        <f ca="1">HYPERLINK("https://web.datatree.com/?/property?propertyId=33335842", "https://web.datatree.com/?/property?propertyId=33335842")</f>
        <v>https://web.datatree.com/?/property?propertyId=33335842</v>
      </c>
      <c r="Q3551" t="s">
        <v>316</v>
      </c>
      <c>
        <v>0.23</v>
      </c>
      <c t="s">
        <v>6175</v>
      </c>
      <c t="s">
        <v>13593</v>
      </c>
      <c t="s">
        <v>65683</v>
      </c>
      <c r="X3551" t="s">
        <v>17447</v>
      </c>
      <c t="s">
        <v>55273</v>
      </c>
      <c t="s">
        <v>2517</v>
      </c>
      <c t="s">
        <v>39289</v>
      </c>
      <c>
        <v>33909</v>
      </c>
      <c t="s">
        <v>31821</v>
      </c>
      <c t="s">
        <v>48794</v>
      </c>
      <c t="s">
        <v>8341</v>
      </c>
      <c>
        <v>460</v>
      </c>
      <c r="AI3551" t="s">
        <v>42072</v>
      </c>
      <c t="s">
        <v>4151</v>
      </c>
      <c r="AL3551" t="s">
        <v>21309</v>
      </c>
      <c r="AN3551" t="s">
        <v>10909</v>
      </c>
      <c t="s">
        <v>66047</v>
      </c>
      <c r="AQ3551" t="s">
        <v>27814</v>
      </c>
      <c t="s">
        <v>57508</v>
      </c>
    </row>
    <row>
      <c t="s">
        <v>17594</v>
      </c>
      <c t="s">
        <v>20799</v>
      </c>
      <c t="s">
        <v>36070</v>
      </c>
      <c t="s">
        <v>14363</v>
      </c>
      <c t="s">
        <v>41046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552" s="1" t="str">
        <f ca="1">HYPERLINK("https://web.datatree.com/?/property?propertyId=33336884", "https://web.datatree.com/?/property?propertyId=33336884")</f>
        <v>https://web.datatree.com/?/property?propertyId=33336884</v>
      </c>
      <c r="Q3552" t="s">
        <v>316</v>
      </c>
      <c>
        <v>0.23</v>
      </c>
      <c t="s">
        <v>22490</v>
      </c>
      <c t="s">
        <v>35577</v>
      </c>
      <c t="s">
        <v>3535</v>
      </c>
      <c t="s">
        <v>50979</v>
      </c>
      <c t="s">
        <v>49352</v>
      </c>
      <c t="s">
        <v>24545</v>
      </c>
      <c t="s">
        <v>11985</v>
      </c>
      <c t="s">
        <v>2517</v>
      </c>
      <c t="s">
        <v>39289</v>
      </c>
      <c>
        <v>33909</v>
      </c>
      <c>
        <v>33909</v>
      </c>
      <c t="s">
        <v>48794</v>
      </c>
      <c t="s">
        <v>15531</v>
      </c>
      <c>
        <v>520</v>
      </c>
      <c r="AI3552" t="s">
        <v>40978</v>
      </c>
      <c t="s">
        <v>835</v>
      </c>
      <c r="AL3552" t="s">
        <v>28157</v>
      </c>
      <c r="AN3552" t="s">
        <v>65467</v>
      </c>
      <c t="s">
        <v>65994</v>
      </c>
      <c t="s">
        <v>14845</v>
      </c>
      <c t="s">
        <v>3093</v>
      </c>
      <c t="s">
        <v>36088</v>
      </c>
    </row>
    <row>
      <c t="s">
        <v>17594</v>
      </c>
      <c t="s">
        <v>60255</v>
      </c>
      <c t="s">
        <v>13924</v>
      </c>
      <c t="s">
        <v>24853</v>
      </c>
      <c t="s">
        <v>25718</v>
      </c>
      <c s="3">
        <v>8000</v>
      </c>
      <c s="3">
        <v>8000</v>
      </c>
      <c s="3">
        <v>8000</v>
      </c>
      <c>
        <v>0</v>
      </c>
      <c s="3">
        <v>0</v>
      </c>
      <c s="3">
        <v>566.81</v>
      </c>
      <c s="3">
        <v>8000</v>
      </c>
      <c r="O3553" s="1" t="str">
        <f ca="1">HYPERLINK("https://web.datatree.com/?/property?propertyId=33337400", "https://web.datatree.com/?/property?propertyId=33337400")</f>
        <v>https://web.datatree.com/?/property?propertyId=33337400</v>
      </c>
      <c r="Q3553" t="s">
        <v>316</v>
      </c>
      <c>
        <v>0.219</v>
      </c>
      <c t="s">
        <v>22490</v>
      </c>
      <c t="s">
        <v>56306</v>
      </c>
      <c t="s">
        <v>37991</v>
      </c>
      <c t="s">
        <v>2455</v>
      </c>
      <c t="s">
        <v>37991</v>
      </c>
      <c t="s">
        <v>22040</v>
      </c>
      <c t="s">
        <v>34136</v>
      </c>
      <c t="s">
        <v>2517</v>
      </c>
      <c t="s">
        <v>39289</v>
      </c>
      <c>
        <v>33909</v>
      </c>
      <c t="s">
        <v>7667</v>
      </c>
      <c t="s">
        <v>48794</v>
      </c>
      <c t="s">
        <v>21907</v>
      </c>
      <c>
        <v>2125</v>
      </c>
      <c r="AI3553" t="s">
        <v>3747</v>
      </c>
      <c t="s">
        <v>24900</v>
      </c>
      <c r="AL3553" t="s">
        <v>6144</v>
      </c>
      <c r="AN3553" t="s">
        <v>50917</v>
      </c>
      <c t="s">
        <v>51492</v>
      </c>
      <c t="s">
        <v>17380</v>
      </c>
      <c t="s">
        <v>3093</v>
      </c>
      <c t="s">
        <v>42138</v>
      </c>
    </row>
    <row>
      <c t="s">
        <v>17594</v>
      </c>
      <c t="s">
        <v>12897</v>
      </c>
      <c t="s">
        <v>19993</v>
      </c>
      <c t="s">
        <v>14494</v>
      </c>
      <c t="s">
        <v>38248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554" s="1" t="str">
        <f ca="1">HYPERLINK("https://web.datatree.com/?/property?propertyId=33337710", "https://web.datatree.com/?/property?propertyId=33337710")</f>
        <v>https://web.datatree.com/?/property?propertyId=33337710</v>
      </c>
      <c r="Q3554" t="s">
        <v>316</v>
      </c>
      <c>
        <v>0.23</v>
      </c>
      <c t="s">
        <v>6175</v>
      </c>
      <c t="s">
        <v>42397</v>
      </c>
      <c t="s">
        <v>38145</v>
      </c>
      <c t="s">
        <v>55966</v>
      </c>
      <c t="s">
        <v>38145</v>
      </c>
      <c t="s">
        <v>38812</v>
      </c>
      <c t="s">
        <v>34731</v>
      </c>
      <c t="s">
        <v>2517</v>
      </c>
      <c t="s">
        <v>39289</v>
      </c>
      <c>
        <v>33909</v>
      </c>
      <c t="s">
        <v>42855</v>
      </c>
      <c t="s">
        <v>48794</v>
      </c>
      <c t="s">
        <v>58172</v>
      </c>
      <c>
        <v>63</v>
      </c>
      <c r="AI3554" t="s">
        <v>414</v>
      </c>
      <c t="s">
        <v>45620</v>
      </c>
      <c r="AL3554" t="s">
        <v>51598</v>
      </c>
      <c r="AN3554" t="s">
        <v>50917</v>
      </c>
      <c t="s">
        <v>2419</v>
      </c>
      <c t="s">
        <v>34162</v>
      </c>
      <c t="s">
        <v>3093</v>
      </c>
      <c t="s">
        <v>52557</v>
      </c>
    </row>
    <row>
      <c t="s">
        <v>17594</v>
      </c>
      <c t="s">
        <v>37301</v>
      </c>
      <c t="s">
        <v>12768</v>
      </c>
      <c t="s">
        <v>43317</v>
      </c>
      <c t="s">
        <v>65869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555" s="1" t="str">
        <f ca="1">HYPERLINK("https://web.datatree.com/?/property?propertyId=33338446", "https://web.datatree.com/?/property?propertyId=33338446")</f>
        <v>https://web.datatree.com/?/property?propertyId=33338446</v>
      </c>
      <c r="Q3555" t="s">
        <v>316</v>
      </c>
      <c>
        <v>0.251</v>
      </c>
      <c t="s">
        <v>5471</v>
      </c>
      <c t="s">
        <v>2140</v>
      </c>
      <c t="s">
        <v>32018</v>
      </c>
      <c t="s">
        <v>41661</v>
      </c>
      <c t="s">
        <v>32018</v>
      </c>
      <c t="s">
        <v>61819</v>
      </c>
      <c t="s">
        <v>51938</v>
      </c>
      <c t="s">
        <v>65059</v>
      </c>
      <c t="s">
        <v>39289</v>
      </c>
      <c>
        <v>33905</v>
      </c>
      <c t="s">
        <v>8255</v>
      </c>
      <c t="s">
        <v>48794</v>
      </c>
      <c t="s">
        <v>49496</v>
      </c>
      <c>
        <v>1525</v>
      </c>
      <c r="AI3555" t="s">
        <v>22241</v>
      </c>
      <c t="s">
        <v>31192</v>
      </c>
      <c r="AL3555" t="s">
        <v>19458</v>
      </c>
      <c r="AN3555" t="s">
        <v>39289</v>
      </c>
      <c t="s">
        <v>52905</v>
      </c>
      <c t="s">
        <v>19978</v>
      </c>
      <c t="s">
        <v>3093</v>
      </c>
      <c t="s">
        <v>54632</v>
      </c>
    </row>
    <row>
      <c t="s">
        <v>17594</v>
      </c>
      <c t="s">
        <v>48644</v>
      </c>
      <c t="s">
        <v>15997</v>
      </c>
      <c t="s">
        <v>3550</v>
      </c>
      <c t="s">
        <v>1327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3556" s="1" t="str">
        <f ca="1">HYPERLINK("https://web.datatree.com/?/property?propertyId=33338922", "https://web.datatree.com/?/property?propertyId=33338922")</f>
        <v>https://web.datatree.com/?/property?propertyId=33338922</v>
      </c>
      <c r="Q3556" t="s">
        <v>316</v>
      </c>
      <c>
        <v>0.23</v>
      </c>
      <c t="s">
        <v>6175</v>
      </c>
      <c t="s">
        <v>18547</v>
      </c>
      <c t="s">
        <v>37991</v>
      </c>
      <c r="X3556" t="s">
        <v>7735</v>
      </c>
      <c t="s">
        <v>38550</v>
      </c>
      <c t="s">
        <v>2517</v>
      </c>
      <c t="s">
        <v>39289</v>
      </c>
      <c>
        <v>33909</v>
      </c>
      <c t="s">
        <v>40205</v>
      </c>
      <c t="s">
        <v>48794</v>
      </c>
      <c t="s">
        <v>48353</v>
      </c>
      <c>
        <v>1750</v>
      </c>
      <c r="AI3556" t="s">
        <v>3466</v>
      </c>
      <c t="s">
        <v>31192</v>
      </c>
      <c>
        <v>107</v>
      </c>
      <c t="s">
        <v>29515</v>
      </c>
      <c t="s">
        <v>29515</v>
      </c>
      <c t="s">
        <v>39289</v>
      </c>
      <c t="s">
        <v>57408</v>
      </c>
      <c t="s">
        <v>19978</v>
      </c>
      <c t="s">
        <v>3093</v>
      </c>
      <c t="s">
        <v>28444</v>
      </c>
    </row>
    <row>
      <c t="s">
        <v>17594</v>
      </c>
      <c t="s">
        <v>62489</v>
      </c>
      <c t="s">
        <v>60227</v>
      </c>
      <c t="s">
        <v>18551</v>
      </c>
      <c t="s">
        <v>61066</v>
      </c>
      <c s="3">
        <v>129385</v>
      </c>
      <c s="3">
        <v>123000</v>
      </c>
      <c s="3">
        <v>129385</v>
      </c>
      <c>
        <v>0</v>
      </c>
      <c s="3">
        <v>0</v>
      </c>
      <c s="3">
        <v>1988.83</v>
      </c>
      <c s="3">
        <v>129385</v>
      </c>
      <c r="O3557" s="1" t="str">
        <f ca="1">HYPERLINK("https://web.datatree.com/?/property?propertyId=33339314", "https://web.datatree.com/?/property?propertyId=33339314")</f>
        <v>https://web.datatree.com/?/property?propertyId=33339314</v>
      </c>
      <c r="Q3557" t="s">
        <v>316</v>
      </c>
      <c>
        <v>6.15</v>
      </c>
      <c t="s">
        <v>37489</v>
      </c>
      <c t="s">
        <v>50666</v>
      </c>
      <c t="s">
        <v>30261</v>
      </c>
      <c r="W3557" t="s">
        <v>39234</v>
      </c>
      <c t="s">
        <v>33347</v>
      </c>
      <c t="s">
        <v>40437</v>
      </c>
      <c t="s">
        <v>65059</v>
      </c>
      <c t="s">
        <v>39289</v>
      </c>
      <c>
        <v>33908</v>
      </c>
      <c t="s">
        <v>4466</v>
      </c>
      <c t="s">
        <v>48794</v>
      </c>
      <c t="s">
        <v>34121</v>
      </c>
      <c>
        <v>18663</v>
      </c>
      <c r="AH3557" t="s">
        <v>60953</v>
      </c>
      <c t="s">
        <v>36195</v>
      </c>
      <c t="s">
        <v>31192</v>
      </c>
      <c r="AL3557" t="s">
        <v>30105</v>
      </c>
      <c r="AN3557" t="s">
        <v>50829</v>
      </c>
      <c t="s">
        <v>56855</v>
      </c>
      <c t="s">
        <v>42082</v>
      </c>
      <c t="s">
        <v>3093</v>
      </c>
      <c t="s">
        <v>43032</v>
      </c>
      <c>
        <v>1990</v>
      </c>
    </row>
    <row>
      <c t="s">
        <v>17594</v>
      </c>
      <c t="s">
        <v>46672</v>
      </c>
      <c t="s">
        <v>22585</v>
      </c>
      <c t="s">
        <v>58049</v>
      </c>
      <c t="s">
        <v>34981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3558" s="1" t="str">
        <f ca="1">HYPERLINK("https://web.datatree.com/?/property?propertyId=33339566", "https://web.datatree.com/?/property?propertyId=33339566")</f>
        <v>https://web.datatree.com/?/property?propertyId=33339566</v>
      </c>
      <c r="Q3558" t="s">
        <v>316</v>
      </c>
      <c>
        <v>0.23</v>
      </c>
      <c t="s">
        <v>22490</v>
      </c>
      <c t="s">
        <v>25924</v>
      </c>
      <c t="s">
        <v>13919</v>
      </c>
      <c r="X3558" t="s">
        <v>28053</v>
      </c>
      <c t="s">
        <v>25017</v>
      </c>
      <c t="s">
        <v>2517</v>
      </c>
      <c t="s">
        <v>39289</v>
      </c>
      <c>
        <v>33909</v>
      </c>
      <c t="s">
        <v>34289</v>
      </c>
      <c t="s">
        <v>48794</v>
      </c>
      <c t="s">
        <v>62710</v>
      </c>
      <c>
        <v>4723</v>
      </c>
      <c r="AI3558" t="s">
        <v>9479</v>
      </c>
      <c t="s">
        <v>24900</v>
      </c>
      <c r="AL3558" t="s">
        <v>6144</v>
      </c>
      <c r="AN3558" t="s">
        <v>50917</v>
      </c>
      <c t="s">
        <v>24345</v>
      </c>
      <c t="s">
        <v>42082</v>
      </c>
      <c t="s">
        <v>3093</v>
      </c>
      <c t="s">
        <v>51354</v>
      </c>
    </row>
    <row>
      <c t="s">
        <v>17594</v>
      </c>
      <c t="s">
        <v>21397</v>
      </c>
      <c t="s">
        <v>10201</v>
      </c>
      <c t="s">
        <v>51837</v>
      </c>
      <c t="s">
        <v>50700</v>
      </c>
      <c s="3">
        <v>23594</v>
      </c>
      <c s="3">
        <v>23594</v>
      </c>
      <c s="3">
        <v>9599</v>
      </c>
      <c>
        <v>0</v>
      </c>
      <c s="3">
        <v>0</v>
      </c>
      <c s="3">
        <v>771.81</v>
      </c>
      <c s="3">
        <v>23594</v>
      </c>
      <c r="O3559" s="1" t="str">
        <f ca="1">HYPERLINK("https://web.datatree.com/?/property?propertyId=33340282", "https://web.datatree.com/?/property?propertyId=33340282")</f>
        <v>https://web.datatree.com/?/property?propertyId=33340282</v>
      </c>
      <c r="Q3559" t="s">
        <v>316</v>
      </c>
      <c>
        <v>0.443</v>
      </c>
      <c t="s">
        <v>6175</v>
      </c>
      <c t="s">
        <v>11570</v>
      </c>
      <c t="s">
        <v>24727</v>
      </c>
      <c r="X3559" t="s">
        <v>45702</v>
      </c>
      <c t="s">
        <v>49122</v>
      </c>
      <c t="s">
        <v>2517</v>
      </c>
      <c t="s">
        <v>39289</v>
      </c>
      <c>
        <v>33909</v>
      </c>
      <c t="s">
        <v>3116</v>
      </c>
      <c t="s">
        <v>48794</v>
      </c>
      <c t="s">
        <v>26726</v>
      </c>
      <c>
        <v>2236</v>
      </c>
      <c r="AI3559" t="s">
        <v>40151</v>
      </c>
      <c t="s">
        <v>4985</v>
      </c>
      <c r="AL3559" t="s">
        <v>11713</v>
      </c>
      <c r="AN3559" t="s">
        <v>39289</v>
      </c>
      <c t="s">
        <v>42101</v>
      </c>
      <c t="s">
        <v>56028</v>
      </c>
      <c t="s">
        <v>3093</v>
      </c>
      <c t="s">
        <v>2708</v>
      </c>
    </row>
    <row>
      <c t="s">
        <v>17594</v>
      </c>
      <c t="s">
        <v>22840</v>
      </c>
      <c t="s">
        <v>6167</v>
      </c>
      <c t="s">
        <v>22875</v>
      </c>
      <c t="s">
        <v>36417</v>
      </c>
      <c s="3">
        <v>26249</v>
      </c>
      <c s="3">
        <v>26249</v>
      </c>
      <c s="3">
        <v>12100</v>
      </c>
      <c>
        <v>0</v>
      </c>
      <c s="3">
        <v>0</v>
      </c>
      <c s="3">
        <v>653.92</v>
      </c>
      <c s="3">
        <v>26249</v>
      </c>
      <c r="O3560" s="1" t="str">
        <f ca="1">HYPERLINK("https://web.datatree.com/?/property?propertyId=33340746", "https://web.datatree.com/?/property?propertyId=33340746")</f>
        <v>https://web.datatree.com/?/property?propertyId=33340746</v>
      </c>
      <c r="Q3560" t="s">
        <v>316</v>
      </c>
      <c>
        <v>0.23</v>
      </c>
      <c t="s">
        <v>22490</v>
      </c>
      <c t="s">
        <v>16200</v>
      </c>
      <c t="s">
        <v>31576</v>
      </c>
      <c r="X3560" t="s">
        <v>39281</v>
      </c>
      <c t="s">
        <v>10653</v>
      </c>
      <c t="s">
        <v>2517</v>
      </c>
      <c t="s">
        <v>39289</v>
      </c>
      <c>
        <v>33909</v>
      </c>
      <c t="s">
        <v>45116</v>
      </c>
      <c t="s">
        <v>48794</v>
      </c>
      <c t="s">
        <v>18399</v>
      </c>
      <c>
        <v>126</v>
      </c>
      <c r="AI3560" t="s">
        <v>57374</v>
      </c>
      <c t="s">
        <v>55842</v>
      </c>
      <c r="AL3560" t="s">
        <v>22962</v>
      </c>
      <c r="AN3560" t="s">
        <v>14509</v>
      </c>
      <c t="s">
        <v>17499</v>
      </c>
      <c t="s">
        <v>18692</v>
      </c>
      <c t="s">
        <v>3093</v>
      </c>
      <c t="s">
        <v>51496</v>
      </c>
    </row>
    <row>
      <c t="s">
        <v>17594</v>
      </c>
      <c t="s">
        <v>40588</v>
      </c>
      <c t="s">
        <v>20080</v>
      </c>
      <c t="s">
        <v>36747</v>
      </c>
      <c t="s">
        <v>61231</v>
      </c>
      <c s="3">
        <v>72536</v>
      </c>
      <c s="3">
        <v>63500</v>
      </c>
      <c s="3">
        <v>70664</v>
      </c>
      <c>
        <v>0</v>
      </c>
      <c s="3">
        <v>0</v>
      </c>
      <c s="3">
        <v>1073.24</v>
      </c>
      <c s="3">
        <v>72536</v>
      </c>
      <c r="O3561" s="1" t="str">
        <f ca="1">HYPERLINK("https://web.datatree.com/?/property?propertyId=33340825", "https://web.datatree.com/?/property?propertyId=33340825")</f>
        <v>https://web.datatree.com/?/property?propertyId=33340825</v>
      </c>
      <c r="Q3561" t="s">
        <v>316</v>
      </c>
      <c>
        <v>0.095</v>
      </c>
      <c t="s">
        <v>26492</v>
      </c>
      <c t="s">
        <v>58113</v>
      </c>
      <c t="s">
        <v>41956</v>
      </c>
      <c t="s">
        <v>19520</v>
      </c>
      <c t="s">
        <v>41956</v>
      </c>
      <c t="s">
        <v>19668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25826</v>
      </c>
      <c>
        <v>8</v>
      </c>
      <c r="AI3561" t="s">
        <v>28744</v>
      </c>
      <c t="s">
        <v>24900</v>
      </c>
      <c r="AL3561" t="s">
        <v>54428</v>
      </c>
      <c t="s">
        <v>54428</v>
      </c>
      <c t="s">
        <v>65467</v>
      </c>
      <c t="s">
        <v>47793</v>
      </c>
      <c t="s">
        <v>4480</v>
      </c>
      <c t="s">
        <v>3093</v>
      </c>
      <c t="s">
        <v>18443</v>
      </c>
    </row>
    <row>
      <c t="s">
        <v>17594</v>
      </c>
      <c t="s">
        <v>17652</v>
      </c>
      <c t="s">
        <v>17335</v>
      </c>
      <c t="s">
        <v>25073</v>
      </c>
      <c t="s">
        <v>52184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3562" s="1" t="str">
        <f ca="1">HYPERLINK("https://web.datatree.com/?/property?propertyId=33341857", "https://web.datatree.com/?/property?propertyId=33341857")</f>
        <v>https://web.datatree.com/?/property?propertyId=33341857</v>
      </c>
      <c r="Q3562" t="s">
        <v>316</v>
      </c>
      <c>
        <v>0.23</v>
      </c>
      <c t="s">
        <v>22490</v>
      </c>
      <c t="s">
        <v>33664</v>
      </c>
      <c t="s">
        <v>51556</v>
      </c>
      <c r="X3562" t="s">
        <v>6834</v>
      </c>
      <c t="s">
        <v>15510</v>
      </c>
      <c t="s">
        <v>2517</v>
      </c>
      <c t="s">
        <v>39289</v>
      </c>
      <c>
        <v>33909</v>
      </c>
      <c t="s">
        <v>58320</v>
      </c>
      <c t="s">
        <v>48794</v>
      </c>
      <c t="s">
        <v>3129</v>
      </c>
      <c>
        <v>12161</v>
      </c>
      <c r="AI3562" t="s">
        <v>63103</v>
      </c>
      <c t="s">
        <v>56275</v>
      </c>
      <c r="AL3562" t="s">
        <v>32207</v>
      </c>
      <c t="s">
        <v>32207</v>
      </c>
      <c t="s">
        <v>39289</v>
      </c>
      <c t="s">
        <v>57575</v>
      </c>
      <c t="s">
        <v>29069</v>
      </c>
      <c t="s">
        <v>3093</v>
      </c>
      <c t="s">
        <v>19941</v>
      </c>
    </row>
    <row>
      <c t="s">
        <v>17594</v>
      </c>
      <c t="s">
        <v>35129</v>
      </c>
      <c t="s">
        <v>11134</v>
      </c>
      <c t="s">
        <v>19186</v>
      </c>
      <c t="s">
        <v>27934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563" s="1" t="str">
        <f ca="1">HYPERLINK("https://web.datatree.com/?/property?propertyId=33342517", "https://web.datatree.com/?/property?propertyId=33342517")</f>
        <v>https://web.datatree.com/?/property?propertyId=33342517</v>
      </c>
      <c r="Q3563" t="s">
        <v>316</v>
      </c>
      <c>
        <v>0.23</v>
      </c>
      <c t="s">
        <v>6175</v>
      </c>
      <c r="U3563" t="s">
        <v>855</v>
      </c>
      <c t="s">
        <v>18654</v>
      </c>
      <c t="s">
        <v>51584</v>
      </c>
      <c t="s">
        <v>56404</v>
      </c>
      <c t="s">
        <v>61850</v>
      </c>
      <c t="s">
        <v>2517</v>
      </c>
      <c t="s">
        <v>39289</v>
      </c>
      <c>
        <v>33909</v>
      </c>
      <c t="s">
        <v>33164</v>
      </c>
      <c t="s">
        <v>48794</v>
      </c>
      <c t="s">
        <v>42566</v>
      </c>
      <c>
        <v>20</v>
      </c>
      <c r="AI3563" t="s">
        <v>66533</v>
      </c>
      <c t="s">
        <v>31192</v>
      </c>
      <c>
        <v>320</v>
      </c>
      <c t="s">
        <v>2085</v>
      </c>
      <c t="s">
        <v>2085</v>
      </c>
      <c t="s">
        <v>32576</v>
      </c>
      <c t="s">
        <v>33563</v>
      </c>
      <c t="s">
        <v>4632</v>
      </c>
      <c t="s">
        <v>3093</v>
      </c>
      <c t="s">
        <v>11697</v>
      </c>
    </row>
    <row>
      <c t="s">
        <v>17594</v>
      </c>
      <c t="s">
        <v>18430</v>
      </c>
      <c t="s">
        <v>63805</v>
      </c>
      <c t="s">
        <v>24873</v>
      </c>
      <c t="s">
        <v>65407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3564" s="1" t="str">
        <f ca="1">HYPERLINK("https://web.datatree.com/?/property?propertyId=33342534", "https://web.datatree.com/?/property?propertyId=33342534")</f>
        <v>https://web.datatree.com/?/property?propertyId=33342534</v>
      </c>
      <c r="Q3564" t="s">
        <v>316</v>
      </c>
      <c>
        <v>0.23</v>
      </c>
      <c t="s">
        <v>22490</v>
      </c>
      <c t="s">
        <v>8467</v>
      </c>
      <c t="s">
        <v>42346</v>
      </c>
      <c t="s">
        <v>43661</v>
      </c>
      <c t="s">
        <v>42346</v>
      </c>
      <c t="s">
        <v>48926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28787</v>
      </c>
      <c>
        <v>1661</v>
      </c>
      <c r="AI3564" t="s">
        <v>42651</v>
      </c>
      <c t="s">
        <v>40123</v>
      </c>
      <c r="AL3564" t="s">
        <v>7957</v>
      </c>
      <c t="s">
        <v>7957</v>
      </c>
      <c t="s">
        <v>65451</v>
      </c>
      <c t="s">
        <v>25269</v>
      </c>
      <c t="s">
        <v>32746</v>
      </c>
      <c t="s">
        <v>3093</v>
      </c>
      <c t="s">
        <v>10063</v>
      </c>
    </row>
    <row>
      <c t="s">
        <v>17594</v>
      </c>
      <c t="s">
        <v>1630</v>
      </c>
      <c t="s">
        <v>24550</v>
      </c>
      <c t="s">
        <v>2160</v>
      </c>
      <c t="s">
        <v>24674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565" s="1" t="str">
        <f ca="1">HYPERLINK("https://web.datatree.com/?/property?propertyId=33342900", "https://web.datatree.com/?/property?propertyId=33342900")</f>
        <v>https://web.datatree.com/?/property?propertyId=33342900</v>
      </c>
      <c r="Q3565" t="s">
        <v>316</v>
      </c>
      <c>
        <v>0.231</v>
      </c>
      <c t="s">
        <v>22490</v>
      </c>
      <c t="s">
        <v>54943</v>
      </c>
      <c t="s">
        <v>47170</v>
      </c>
      <c r="X3565" t="s">
        <v>4499</v>
      </c>
      <c t="s">
        <v>41506</v>
      </c>
      <c t="s">
        <v>2517</v>
      </c>
      <c t="s">
        <v>39289</v>
      </c>
      <c>
        <v>33909</v>
      </c>
      <c t="s">
        <v>66034</v>
      </c>
      <c t="s">
        <v>48794</v>
      </c>
      <c t="s">
        <v>19746</v>
      </c>
      <c>
        <v>7</v>
      </c>
      <c r="AI3565" t="s">
        <v>26902</v>
      </c>
      <c t="s">
        <v>45393</v>
      </c>
      <c r="AL3565" t="s">
        <v>62902</v>
      </c>
      <c r="AN3565" t="s">
        <v>63985</v>
      </c>
      <c>
        <v>40549</v>
      </c>
      <c r="AR3565" t="s">
        <v>7819</v>
      </c>
    </row>
    <row>
      <c t="s">
        <v>17594</v>
      </c>
      <c t="s">
        <v>49070</v>
      </c>
      <c t="s">
        <v>34247</v>
      </c>
      <c t="s">
        <v>28552</v>
      </c>
      <c t="s">
        <v>42682</v>
      </c>
      <c s="3">
        <v>8500</v>
      </c>
      <c s="3">
        <v>8500</v>
      </c>
      <c s="3">
        <v>8500</v>
      </c>
      <c>
        <v>0</v>
      </c>
      <c s="3">
        <v>0</v>
      </c>
      <c s="3">
        <v>601.61</v>
      </c>
      <c s="3">
        <v>8500</v>
      </c>
      <c>
        <v>2021</v>
      </c>
      <c>
        <v>629.93</v>
      </c>
      <c s="1" t="str">
        <f ca="1">HYPERLINK("https://web.datatree.com/?/property?propertyId=33342971", "https://web.datatree.com/?/property?propertyId=33342971")</f>
        <v>https://web.datatree.com/?/property?propertyId=33342971</v>
      </c>
      <c r="Q3566" t="s">
        <v>316</v>
      </c>
      <c>
        <v>0.26</v>
      </c>
      <c t="s">
        <v>6175</v>
      </c>
      <c t="s">
        <v>60972</v>
      </c>
      <c t="s">
        <v>49610</v>
      </c>
      <c t="s">
        <v>29901</v>
      </c>
      <c t="s">
        <v>49610</v>
      </c>
      <c t="s">
        <v>44450</v>
      </c>
      <c t="s">
        <v>53663</v>
      </c>
      <c t="s">
        <v>2517</v>
      </c>
      <c t="s">
        <v>39289</v>
      </c>
      <c>
        <v>33909</v>
      </c>
      <c t="s">
        <v>40302</v>
      </c>
      <c t="s">
        <v>48794</v>
      </c>
      <c t="s">
        <v>10292</v>
      </c>
      <c>
        <v>7101</v>
      </c>
      <c r="AI3566" t="s">
        <v>66056</v>
      </c>
      <c t="s">
        <v>45393</v>
      </c>
      <c r="AL3566" t="s">
        <v>55393</v>
      </c>
      <c r="AN3566" t="s">
        <v>39289</v>
      </c>
      <c t="s">
        <v>12809</v>
      </c>
      <c t="s">
        <v>29069</v>
      </c>
      <c t="s">
        <v>3093</v>
      </c>
      <c t="s">
        <v>42420</v>
      </c>
    </row>
    <row>
      <c t="s">
        <v>17594</v>
      </c>
      <c t="s">
        <v>5340</v>
      </c>
      <c t="s">
        <v>31760</v>
      </c>
      <c t="s">
        <v>24146</v>
      </c>
      <c t="s">
        <v>2383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567" s="1" t="str">
        <f ca="1">HYPERLINK("https://web.datatree.com/?/property?propertyId=33343198", "https://web.datatree.com/?/property?propertyId=33343198")</f>
        <v>https://web.datatree.com/?/property?propertyId=33343198</v>
      </c>
      <c r="Q3567" t="s">
        <v>316</v>
      </c>
      <c>
        <v>0.23</v>
      </c>
      <c t="s">
        <v>6175</v>
      </c>
      <c r="U3567" t="s">
        <v>19801</v>
      </c>
      <c r="X3567" t="s">
        <v>6709</v>
      </c>
      <c t="s">
        <v>47150</v>
      </c>
      <c t="s">
        <v>2517</v>
      </c>
      <c t="s">
        <v>39289</v>
      </c>
      <c>
        <v>33909</v>
      </c>
      <c t="s">
        <v>40453</v>
      </c>
      <c t="s">
        <v>48794</v>
      </c>
      <c t="s">
        <v>10993</v>
      </c>
      <c>
        <v>3847</v>
      </c>
      <c r="AI3567" t="s">
        <v>60068</v>
      </c>
      <c t="s">
        <v>31192</v>
      </c>
      <c r="AL3567" t="s">
        <v>4811</v>
      </c>
      <c r="AN3567" t="s">
        <v>65451</v>
      </c>
      <c t="s">
        <v>16649</v>
      </c>
      <c t="s">
        <v>23744</v>
      </c>
      <c t="s">
        <v>3093</v>
      </c>
      <c t="s">
        <v>32672</v>
      </c>
    </row>
    <row>
      <c t="s">
        <v>17594</v>
      </c>
      <c t="s">
        <v>9121</v>
      </c>
      <c t="s">
        <v>22800</v>
      </c>
      <c t="s">
        <v>46782</v>
      </c>
      <c t="s">
        <v>42860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568" s="1" t="str">
        <f ca="1">HYPERLINK("https://web.datatree.com/?/property?propertyId=33343848", "https://web.datatree.com/?/property?propertyId=33343848")</f>
        <v>https://web.datatree.com/?/property?propertyId=33343848</v>
      </c>
      <c r="Q3568" t="s">
        <v>316</v>
      </c>
      <c>
        <v>0.23</v>
      </c>
      <c t="s">
        <v>22490</v>
      </c>
      <c t="s">
        <v>35815</v>
      </c>
      <c t="s">
        <v>44893</v>
      </c>
      <c t="s">
        <v>604</v>
      </c>
      <c t="s">
        <v>36031</v>
      </c>
      <c t="s">
        <v>61548</v>
      </c>
      <c t="s">
        <v>29190</v>
      </c>
      <c t="s">
        <v>2517</v>
      </c>
      <c t="s">
        <v>39289</v>
      </c>
      <c>
        <v>33909</v>
      </c>
      <c t="s">
        <v>48542</v>
      </c>
      <c t="s">
        <v>48794</v>
      </c>
      <c t="s">
        <v>14801</v>
      </c>
      <c>
        <v>185</v>
      </c>
      <c r="AI3568" t="s">
        <v>6173</v>
      </c>
      <c r="AK3568">
        <v>502</v>
      </c>
      <c t="s">
        <v>6779</v>
      </c>
      <c r="AN3568" t="s">
        <v>7157</v>
      </c>
      <c>
        <v>36100</v>
      </c>
      <c r="AR3568" t="s">
        <v>46117</v>
      </c>
    </row>
    <row>
      <c t="s">
        <v>17594</v>
      </c>
      <c t="s">
        <v>27948</v>
      </c>
      <c t="s">
        <v>27493</v>
      </c>
      <c t="s">
        <v>39697</v>
      </c>
      <c t="s">
        <v>64160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3569" s="1" t="str">
        <f ca="1">HYPERLINK("https://web.datatree.com/?/property?propertyId=33344174", "https://web.datatree.com/?/property?propertyId=33344174")</f>
        <v>https://web.datatree.com/?/property?propertyId=33344174</v>
      </c>
      <c r="Q3569" t="s">
        <v>316</v>
      </c>
      <c>
        <v>0.23</v>
      </c>
      <c t="s">
        <v>58725</v>
      </c>
      <c t="s">
        <v>11282</v>
      </c>
      <c t="s">
        <v>11301</v>
      </c>
      <c r="X3569" t="s">
        <v>60904</v>
      </c>
      <c t="s">
        <v>57064</v>
      </c>
      <c t="s">
        <v>2517</v>
      </c>
      <c t="s">
        <v>39289</v>
      </c>
      <c>
        <v>33909</v>
      </c>
      <c t="s">
        <v>6306</v>
      </c>
      <c t="s">
        <v>48794</v>
      </c>
      <c t="s">
        <v>25005</v>
      </c>
      <c>
        <v>78</v>
      </c>
      <c r="AI3569" t="s">
        <v>44351</v>
      </c>
      <c t="s">
        <v>1289</v>
      </c>
      <c r="AL3569" t="s">
        <v>11813</v>
      </c>
      <c t="s">
        <v>11813</v>
      </c>
      <c t="s">
        <v>50917</v>
      </c>
      <c t="s">
        <v>30518</v>
      </c>
      <c t="s">
        <v>26242</v>
      </c>
      <c t="s">
        <v>3093</v>
      </c>
      <c t="s">
        <v>46046</v>
      </c>
    </row>
    <row>
      <c t="s">
        <v>17594</v>
      </c>
      <c t="s">
        <v>64579</v>
      </c>
      <c t="s">
        <v>40979</v>
      </c>
      <c t="s">
        <v>33125</v>
      </c>
      <c t="s">
        <v>45230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570" s="1" t="str">
        <f ca="1">HYPERLINK("https://web.datatree.com/?/property?propertyId=33345160", "https://web.datatree.com/?/property?propertyId=33345160")</f>
        <v>https://web.datatree.com/?/property?propertyId=33345160</v>
      </c>
      <c r="Q3570" t="s">
        <v>316</v>
      </c>
      <c>
        <v>0.23</v>
      </c>
      <c t="s">
        <v>6175</v>
      </c>
      <c t="s">
        <v>28368</v>
      </c>
      <c t="s">
        <v>23949</v>
      </c>
      <c t="s">
        <v>40060</v>
      </c>
      <c t="s">
        <v>23949</v>
      </c>
      <c t="s">
        <v>29310</v>
      </c>
      <c t="s">
        <v>38550</v>
      </c>
      <c t="s">
        <v>2517</v>
      </c>
      <c t="s">
        <v>39289</v>
      </c>
      <c>
        <v>33909</v>
      </c>
      <c t="s">
        <v>56267</v>
      </c>
      <c t="s">
        <v>48794</v>
      </c>
      <c t="s">
        <v>4611</v>
      </c>
      <c>
        <v>1549</v>
      </c>
      <c r="AI3570" t="s">
        <v>45998</v>
      </c>
      <c t="s">
        <v>1671</v>
      </c>
      <c r="AL3570" t="s">
        <v>13544</v>
      </c>
      <c r="AN3570" t="s">
        <v>51087</v>
      </c>
      <c t="s">
        <v>54861</v>
      </c>
      <c t="s">
        <v>27780</v>
      </c>
      <c t="s">
        <v>3093</v>
      </c>
      <c t="s">
        <v>984</v>
      </c>
    </row>
    <row>
      <c t="s">
        <v>17594</v>
      </c>
      <c t="s">
        <v>17361</v>
      </c>
      <c t="s">
        <v>29362</v>
      </c>
      <c t="s">
        <v>60214</v>
      </c>
      <c t="s">
        <v>19483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571" s="1" t="str">
        <f ca="1">HYPERLINK("https://web.datatree.com/?/property?propertyId=33345466", "https://web.datatree.com/?/property?propertyId=33345466")</f>
        <v>https://web.datatree.com/?/property?propertyId=33345466</v>
      </c>
      <c r="Q3571" t="s">
        <v>316</v>
      </c>
      <c>
        <v>0.238</v>
      </c>
      <c t="s">
        <v>5471</v>
      </c>
      <c t="s">
        <v>17314</v>
      </c>
      <c t="s">
        <v>2702</v>
      </c>
      <c t="s">
        <v>16858</v>
      </c>
      <c t="s">
        <v>44335</v>
      </c>
      <c t="s">
        <v>19234</v>
      </c>
      <c t="s">
        <v>6481</v>
      </c>
      <c t="s">
        <v>65059</v>
      </c>
      <c t="s">
        <v>39289</v>
      </c>
      <c>
        <v>33905</v>
      </c>
      <c t="s">
        <v>20035</v>
      </c>
      <c t="s">
        <v>48794</v>
      </c>
      <c t="s">
        <v>13016</v>
      </c>
      <c>
        <v>131</v>
      </c>
      <c r="AI3571" t="s">
        <v>65572</v>
      </c>
      <c t="s">
        <v>45393</v>
      </c>
      <c r="AL3571" t="s">
        <v>50730</v>
      </c>
      <c r="AN3571" t="s">
        <v>50917</v>
      </c>
      <c t="s">
        <v>44655</v>
      </c>
      <c t="s">
        <v>62830</v>
      </c>
      <c t="s">
        <v>3093</v>
      </c>
      <c t="s">
        <v>22769</v>
      </c>
    </row>
    <row>
      <c t="s">
        <v>17594</v>
      </c>
      <c t="s">
        <v>49613</v>
      </c>
      <c t="s">
        <v>52456</v>
      </c>
      <c t="s">
        <v>42444</v>
      </c>
      <c t="s">
        <v>7050</v>
      </c>
      <c s="3">
        <v>34410</v>
      </c>
      <c s="3">
        <v>34410</v>
      </c>
      <c s="3">
        <v>34410</v>
      </c>
      <c>
        <v>0</v>
      </c>
      <c s="3">
        <v>0</v>
      </c>
      <c s="3">
        <v>477.04</v>
      </c>
      <c s="3">
        <v>34410</v>
      </c>
      <c r="O3572" s="1" t="str">
        <f ca="1">HYPERLINK("https://web.datatree.com/?/property?propertyId=33346156", "https://web.datatree.com/?/property?propertyId=33346156")</f>
        <v>https://web.datatree.com/?/property?propertyId=33346156</v>
      </c>
      <c r="Q3572" t="s">
        <v>316</v>
      </c>
      <c>
        <v>0.05</v>
      </c>
      <c t="s">
        <v>45526</v>
      </c>
      <c t="s">
        <v>9964</v>
      </c>
      <c t="s">
        <v>31503</v>
      </c>
      <c t="s">
        <v>16329</v>
      </c>
      <c t="s">
        <v>31503</v>
      </c>
      <c t="s">
        <v>44746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30718</v>
      </c>
      <c>
        <v>662</v>
      </c>
      <c r="AI3572" t="s">
        <v>28752</v>
      </c>
      <c t="s">
        <v>36828</v>
      </c>
      <c r="AL3572" t="s">
        <v>62680</v>
      </c>
      <c r="AN3572" t="s">
        <v>10909</v>
      </c>
      <c t="s">
        <v>10363</v>
      </c>
      <c r="AQ3572" t="s">
        <v>27814</v>
      </c>
      <c t="s">
        <v>27157</v>
      </c>
    </row>
    <row>
      <c t="s">
        <v>17594</v>
      </c>
      <c t="s">
        <v>36538</v>
      </c>
      <c t="s">
        <v>67004</v>
      </c>
      <c t="s">
        <v>47781</v>
      </c>
      <c t="s">
        <v>26273</v>
      </c>
      <c s="3">
        <v>22363</v>
      </c>
      <c s="3">
        <v>22363</v>
      </c>
      <c s="3">
        <v>8800</v>
      </c>
      <c>
        <v>0</v>
      </c>
      <c s="3">
        <v>0</v>
      </c>
      <c s="3">
        <v>588.39</v>
      </c>
      <c s="3">
        <v>22363</v>
      </c>
      <c r="O3573" s="1" t="str">
        <f ca="1">HYPERLINK("https://web.datatree.com/?/property?propertyId=33346228", "https://web.datatree.com/?/property?propertyId=33346228")</f>
        <v>https://web.datatree.com/?/property?propertyId=33346228</v>
      </c>
      <c r="Q3573" t="s">
        <v>316</v>
      </c>
      <c>
        <v>0.242</v>
      </c>
      <c t="s">
        <v>22490</v>
      </c>
      <c t="s">
        <v>38169</v>
      </c>
      <c t="s">
        <v>41342</v>
      </c>
      <c r="X3573" t="s">
        <v>37519</v>
      </c>
      <c t="s">
        <v>13829</v>
      </c>
      <c t="s">
        <v>2517</v>
      </c>
      <c t="s">
        <v>39289</v>
      </c>
      <c>
        <v>33909</v>
      </c>
      <c t="s">
        <v>42862</v>
      </c>
      <c t="s">
        <v>48794</v>
      </c>
      <c t="s">
        <v>22146</v>
      </c>
      <c>
        <v>20734</v>
      </c>
      <c r="AI3573" t="s">
        <v>58297</v>
      </c>
      <c t="s">
        <v>24900</v>
      </c>
      <c r="AL3573" t="s">
        <v>6106</v>
      </c>
      <c r="AN3573" t="s">
        <v>40451</v>
      </c>
      <c t="s">
        <v>57785</v>
      </c>
      <c t="s">
        <v>702</v>
      </c>
      <c t="s">
        <v>3093</v>
      </c>
      <c t="s">
        <v>17311</v>
      </c>
    </row>
    <row>
      <c t="s">
        <v>17594</v>
      </c>
      <c t="s">
        <v>471</v>
      </c>
      <c t="s">
        <v>22615</v>
      </c>
      <c t="s">
        <v>55930</v>
      </c>
      <c t="s">
        <v>30161</v>
      </c>
      <c s="3">
        <v>18361</v>
      </c>
      <c s="3">
        <v>18361</v>
      </c>
      <c s="3">
        <v>9130</v>
      </c>
      <c>
        <v>0</v>
      </c>
      <c s="3">
        <v>0</v>
      </c>
      <c s="3">
        <v>581.68</v>
      </c>
      <c s="3">
        <v>18361</v>
      </c>
      <c r="O3574" s="1" t="str">
        <f ca="1">HYPERLINK("https://web.datatree.com/?/property?propertyId=33346563", "https://web.datatree.com/?/property?propertyId=33346563")</f>
        <v>https://web.datatree.com/?/property?propertyId=33346563</v>
      </c>
      <c r="Q3574" t="s">
        <v>316</v>
      </c>
      <c>
        <v>0.23</v>
      </c>
      <c t="s">
        <v>22490</v>
      </c>
      <c t="s">
        <v>66073</v>
      </c>
      <c t="s">
        <v>13718</v>
      </c>
      <c r="X3574" t="s">
        <v>47167</v>
      </c>
      <c t="s">
        <v>53663</v>
      </c>
      <c t="s">
        <v>2517</v>
      </c>
      <c t="s">
        <v>39289</v>
      </c>
      <c>
        <v>33909</v>
      </c>
      <c>
        <v>33909</v>
      </c>
      <c t="s">
        <v>48794</v>
      </c>
      <c t="s">
        <v>24422</v>
      </c>
      <c>
        <v>265</v>
      </c>
      <c r="AI3574" t="s">
        <v>21931</v>
      </c>
      <c r="AL3574" t="s">
        <v>17695</v>
      </c>
      <c r="AN3574" t="s">
        <v>50917</v>
      </c>
      <c>
        <v>13090</v>
      </c>
      <c r="AR3574" t="s">
        <v>57319</v>
      </c>
    </row>
    <row>
      <c t="s">
        <v>17594</v>
      </c>
      <c t="s">
        <v>9151</v>
      </c>
      <c t="s">
        <v>25240</v>
      </c>
      <c t="s">
        <v>43168</v>
      </c>
      <c t="s">
        <v>66662</v>
      </c>
      <c s="3">
        <v>22000</v>
      </c>
      <c s="3">
        <v>22000</v>
      </c>
      <c s="3">
        <v>11374</v>
      </c>
      <c>
        <v>0</v>
      </c>
      <c s="3">
        <v>0</v>
      </c>
      <c s="3">
        <v>728.01</v>
      </c>
      <c s="3">
        <v>22000</v>
      </c>
      <c r="O3575" s="1" t="str">
        <f ca="1">HYPERLINK("https://web.datatree.com/?/property?propertyId=33346601", "https://web.datatree.com/?/property?propertyId=33346601")</f>
        <v>https://web.datatree.com/?/property?propertyId=33346601</v>
      </c>
      <c r="Q3575" t="s">
        <v>316</v>
      </c>
      <c>
        <v>0.359</v>
      </c>
      <c t="s">
        <v>42044</v>
      </c>
      <c t="s">
        <v>49589</v>
      </c>
      <c t="s">
        <v>64360</v>
      </c>
      <c r="X3575" t="s">
        <v>7373</v>
      </c>
      <c t="s">
        <v>7113</v>
      </c>
      <c t="s">
        <v>2517</v>
      </c>
      <c t="s">
        <v>39289</v>
      </c>
      <c>
        <v>33909</v>
      </c>
      <c t="s">
        <v>38353</v>
      </c>
      <c t="s">
        <v>48794</v>
      </c>
      <c t="s">
        <v>28911</v>
      </c>
      <c>
        <v>6423</v>
      </c>
      <c r="AI3575" t="s">
        <v>27830</v>
      </c>
      <c t="s">
        <v>45393</v>
      </c>
      <c r="AL3575" t="s">
        <v>66687</v>
      </c>
      <c t="s">
        <v>66687</v>
      </c>
      <c t="s">
        <v>65467</v>
      </c>
      <c t="s">
        <v>36914</v>
      </c>
      <c t="s">
        <v>40645</v>
      </c>
      <c t="s">
        <v>3093</v>
      </c>
      <c t="s">
        <v>12009</v>
      </c>
    </row>
    <row>
      <c t="s">
        <v>17594</v>
      </c>
      <c t="s">
        <v>36261</v>
      </c>
      <c t="s">
        <v>10104</v>
      </c>
      <c t="s">
        <v>1280</v>
      </c>
      <c t="s">
        <v>52603</v>
      </c>
      <c s="3">
        <v>64009</v>
      </c>
      <c s="3">
        <v>64009</v>
      </c>
      <c s="3">
        <v>64009</v>
      </c>
      <c>
        <v>0</v>
      </c>
      <c s="3">
        <v>0</v>
      </c>
      <c s="3">
        <v>1199.45</v>
      </c>
      <c s="3">
        <v>64009</v>
      </c>
      <c r="O3576" s="1" t="str">
        <f ca="1">HYPERLINK("https://web.datatree.com/?/property?propertyId=33346894", "https://web.datatree.com/?/property?propertyId=33346894")</f>
        <v>https://web.datatree.com/?/property?propertyId=33346894</v>
      </c>
      <c r="Q3576" t="s">
        <v>316</v>
      </c>
      <c>
        <v>0.313</v>
      </c>
      <c t="s">
        <v>6175</v>
      </c>
      <c t="s">
        <v>21379</v>
      </c>
      <c t="s">
        <v>57846</v>
      </c>
      <c t="s">
        <v>30750</v>
      </c>
      <c t="s">
        <v>57846</v>
      </c>
      <c t="s">
        <v>42742</v>
      </c>
      <c t="s">
        <v>55273</v>
      </c>
      <c t="s">
        <v>2517</v>
      </c>
      <c t="s">
        <v>39289</v>
      </c>
      <c>
        <v>33904</v>
      </c>
      <c t="s">
        <v>17653</v>
      </c>
      <c t="s">
        <v>48794</v>
      </c>
      <c t="s">
        <v>33833</v>
      </c>
      <c>
        <v>39</v>
      </c>
      <c r="AI3576" t="s">
        <v>36985</v>
      </c>
      <c t="s">
        <v>45620</v>
      </c>
      <c r="AL3576" t="s">
        <v>54269</v>
      </c>
      <c t="s">
        <v>54269</v>
      </c>
      <c t="s">
        <v>50917</v>
      </c>
      <c t="s">
        <v>50702</v>
      </c>
      <c t="s">
        <v>65563</v>
      </c>
      <c t="s">
        <v>3093</v>
      </c>
      <c t="s">
        <v>50073</v>
      </c>
    </row>
    <row>
      <c t="s">
        <v>17594</v>
      </c>
      <c t="s">
        <v>17623</v>
      </c>
      <c t="s">
        <v>36239</v>
      </c>
      <c t="s">
        <v>49898</v>
      </c>
      <c t="s">
        <v>21915</v>
      </c>
      <c s="3">
        <v>34130</v>
      </c>
      <c s="3">
        <v>34130</v>
      </c>
      <c s="3">
        <v>25300</v>
      </c>
      <c>
        <v>0</v>
      </c>
      <c s="3">
        <v>0</v>
      </c>
      <c s="3">
        <v>823.2</v>
      </c>
      <c s="3">
        <v>34130</v>
      </c>
      <c>
        <v>2021</v>
      </c>
      <c>
        <v>800.3</v>
      </c>
      <c s="1" t="str">
        <f ca="1">HYPERLINK("https://web.datatree.com/?/property?propertyId=33347117", "https://web.datatree.com/?/property?propertyId=33347117")</f>
        <v>https://web.datatree.com/?/property?propertyId=33347117</v>
      </c>
      <c r="Q3577" t="s">
        <v>316</v>
      </c>
      <c>
        <v>0.23</v>
      </c>
      <c t="s">
        <v>22490</v>
      </c>
      <c t="s">
        <v>37244</v>
      </c>
      <c t="s">
        <v>43112</v>
      </c>
      <c t="s">
        <v>16002</v>
      </c>
      <c t="s">
        <v>11649</v>
      </c>
      <c t="s">
        <v>63099</v>
      </c>
      <c t="s">
        <v>58797</v>
      </c>
      <c t="s">
        <v>2517</v>
      </c>
      <c t="s">
        <v>39289</v>
      </c>
      <c>
        <v>33909</v>
      </c>
      <c t="s">
        <v>24955</v>
      </c>
      <c t="s">
        <v>48794</v>
      </c>
      <c t="s">
        <v>43973</v>
      </c>
      <c>
        <v>2400</v>
      </c>
      <c r="AI3577" t="s">
        <v>18006</v>
      </c>
      <c t="s">
        <v>31192</v>
      </c>
      <c r="AL3577" t="s">
        <v>31244</v>
      </c>
      <c t="s">
        <v>31244</v>
      </c>
      <c t="s">
        <v>18236</v>
      </c>
      <c t="s">
        <v>45247</v>
      </c>
      <c t="s">
        <v>4175</v>
      </c>
      <c t="s">
        <v>3093</v>
      </c>
      <c t="s">
        <v>18276</v>
      </c>
    </row>
    <row>
      <c t="s">
        <v>17594</v>
      </c>
      <c t="s">
        <v>53525</v>
      </c>
      <c t="s">
        <v>16155</v>
      </c>
      <c t="s">
        <v>3923</v>
      </c>
      <c t="s">
        <v>14924</v>
      </c>
      <c s="3">
        <v>98014</v>
      </c>
      <c s="3">
        <v>90000</v>
      </c>
      <c s="3">
        <v>98014</v>
      </c>
      <c>
        <v>0</v>
      </c>
      <c s="3">
        <v>0</v>
      </c>
      <c s="3">
        <v>1472.33</v>
      </c>
      <c s="3">
        <v>98014</v>
      </c>
      <c r="O3578" s="1" t="str">
        <f ca="1">HYPERLINK("https://web.datatree.com/?/property?propertyId=33347845", "https://web.datatree.com/?/property?propertyId=33347845")</f>
        <v>https://web.datatree.com/?/property?propertyId=33347845</v>
      </c>
      <c r="Q3578" t="s">
        <v>316</v>
      </c>
      <c>
        <v>0.095</v>
      </c>
      <c t="s">
        <v>26492</v>
      </c>
      <c t="s">
        <v>23807</v>
      </c>
      <c t="s">
        <v>26997</v>
      </c>
      <c r="X3578" t="s">
        <v>26645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26971</v>
      </c>
      <c>
        <v>5860</v>
      </c>
      <c r="AI3578" t="s">
        <v>4048</v>
      </c>
      <c t="s">
        <v>45620</v>
      </c>
      <c r="AL3578" t="s">
        <v>48503</v>
      </c>
      <c t="s">
        <v>40227</v>
      </c>
      <c t="s">
        <v>65467</v>
      </c>
      <c t="s">
        <v>26829</v>
      </c>
      <c t="s">
        <v>14695</v>
      </c>
      <c t="s">
        <v>3093</v>
      </c>
      <c t="s">
        <v>59519</v>
      </c>
    </row>
    <row>
      <c t="s">
        <v>17594</v>
      </c>
      <c t="s">
        <v>6220</v>
      </c>
      <c t="s">
        <v>2895</v>
      </c>
      <c t="s">
        <v>62813</v>
      </c>
      <c t="s">
        <v>41367</v>
      </c>
      <c s="3">
        <v>20733</v>
      </c>
      <c s="3">
        <v>20733</v>
      </c>
      <c s="3">
        <v>10450</v>
      </c>
      <c>
        <v>0</v>
      </c>
      <c s="3">
        <v>0</v>
      </c>
      <c s="3">
        <v>613.35</v>
      </c>
      <c s="3">
        <v>20733</v>
      </c>
      <c r="O3579" s="1" t="str">
        <f ca="1">HYPERLINK("https://web.datatree.com/?/property?propertyId=33347914", "https://web.datatree.com/?/property?propertyId=33347914")</f>
        <v>https://web.datatree.com/?/property?propertyId=33347914</v>
      </c>
      <c r="Q3579" t="s">
        <v>316</v>
      </c>
      <c>
        <v>0.244</v>
      </c>
      <c t="s">
        <v>45031</v>
      </c>
      <c r="U3579" t="s">
        <v>28148</v>
      </c>
      <c r="W3579" t="s">
        <v>28540</v>
      </c>
      <c t="s">
        <v>56051</v>
      </c>
      <c t="s">
        <v>29190</v>
      </c>
      <c t="s">
        <v>2517</v>
      </c>
      <c t="s">
        <v>39289</v>
      </c>
      <c>
        <v>33909</v>
      </c>
      <c t="s">
        <v>7838</v>
      </c>
      <c t="s">
        <v>48794</v>
      </c>
      <c t="s">
        <v>14624</v>
      </c>
      <c>
        <v>2084</v>
      </c>
      <c r="AI3579" t="s">
        <v>43786</v>
      </c>
      <c t="s">
        <v>45393</v>
      </c>
      <c r="AL3579" t="s">
        <v>6285</v>
      </c>
      <c r="AN3579" t="s">
        <v>65451</v>
      </c>
      <c t="s">
        <v>15012</v>
      </c>
      <c t="s">
        <v>61410</v>
      </c>
      <c t="s">
        <v>3093</v>
      </c>
      <c t="s">
        <v>50176</v>
      </c>
    </row>
    <row>
      <c t="s">
        <v>17594</v>
      </c>
      <c t="s">
        <v>9130</v>
      </c>
      <c t="s">
        <v>30778</v>
      </c>
      <c t="s">
        <v>18464</v>
      </c>
      <c t="s">
        <v>19110</v>
      </c>
      <c s="3">
        <v>8000</v>
      </c>
      <c s="3">
        <v>8000</v>
      </c>
      <c s="3">
        <v>8000</v>
      </c>
      <c>
        <v>0</v>
      </c>
      <c s="3">
        <v>0</v>
      </c>
      <c s="3">
        <v>719.11</v>
      </c>
      <c s="3">
        <v>8000</v>
      </c>
      <c>
        <v>2021</v>
      </c>
      <c>
        <v>596.47</v>
      </c>
      <c s="1" t="str">
        <f ca="1">HYPERLINK("https://web.datatree.com/?/property?propertyId=33349069", "https://web.datatree.com/?/property?propertyId=33349069")</f>
        <v>https://web.datatree.com/?/property?propertyId=33349069</v>
      </c>
      <c r="Q3580" t="s">
        <v>316</v>
      </c>
      <c>
        <v>0.244</v>
      </c>
      <c t="s">
        <v>22490</v>
      </c>
      <c t="s">
        <v>46154</v>
      </c>
      <c t="s">
        <v>6442</v>
      </c>
      <c r="X3580" t="s">
        <v>62895</v>
      </c>
      <c t="s">
        <v>34136</v>
      </c>
      <c t="s">
        <v>2517</v>
      </c>
      <c t="s">
        <v>39289</v>
      </c>
      <c>
        <v>33909</v>
      </c>
      <c t="s">
        <v>38564</v>
      </c>
      <c t="s">
        <v>48794</v>
      </c>
      <c t="s">
        <v>1273</v>
      </c>
      <c>
        <v>1358</v>
      </c>
      <c r="AI3580" t="s">
        <v>46939</v>
      </c>
      <c t="s">
        <v>45393</v>
      </c>
      <c r="AL3580" t="s">
        <v>41017</v>
      </c>
      <c t="s">
        <v>41017</v>
      </c>
      <c t="s">
        <v>14798</v>
      </c>
      <c t="s">
        <v>41800</v>
      </c>
      <c t="s">
        <v>53800</v>
      </c>
      <c t="s">
        <v>3093</v>
      </c>
      <c t="s">
        <v>61423</v>
      </c>
    </row>
    <row>
      <c t="s">
        <v>17594</v>
      </c>
      <c t="s">
        <v>41932</v>
      </c>
      <c t="s">
        <v>2296</v>
      </c>
      <c t="s">
        <v>23241</v>
      </c>
      <c t="s">
        <v>43739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581" s="1" t="str">
        <f ca="1">HYPERLINK("https://web.datatree.com/?/property?propertyId=33349685", "https://web.datatree.com/?/property?propertyId=33349685")</f>
        <v>https://web.datatree.com/?/property?propertyId=33349685</v>
      </c>
      <c r="Q3581" t="s">
        <v>316</v>
      </c>
      <c>
        <v>0.23</v>
      </c>
      <c t="s">
        <v>6175</v>
      </c>
      <c t="s">
        <v>16200</v>
      </c>
      <c t="s">
        <v>2044</v>
      </c>
      <c t="s">
        <v>61844</v>
      </c>
      <c t="s">
        <v>2044</v>
      </c>
      <c t="s">
        <v>31633</v>
      </c>
      <c t="s">
        <v>61865</v>
      </c>
      <c t="s">
        <v>2517</v>
      </c>
      <c t="s">
        <v>39289</v>
      </c>
      <c>
        <v>33909</v>
      </c>
      <c t="s">
        <v>56434</v>
      </c>
      <c t="s">
        <v>48794</v>
      </c>
      <c t="s">
        <v>38655</v>
      </c>
      <c>
        <v>6900</v>
      </c>
      <c r="AI3581" t="s">
        <v>13365</v>
      </c>
      <c t="s">
        <v>31192</v>
      </c>
      <c r="AL3581" t="s">
        <v>8875</v>
      </c>
      <c r="AN3581" t="s">
        <v>51087</v>
      </c>
      <c t="s">
        <v>60231</v>
      </c>
      <c t="s">
        <v>38014</v>
      </c>
      <c t="s">
        <v>3093</v>
      </c>
      <c t="s">
        <v>64931</v>
      </c>
    </row>
    <row>
      <c t="s">
        <v>17594</v>
      </c>
      <c t="s">
        <v>13726</v>
      </c>
      <c t="s">
        <v>10912</v>
      </c>
      <c t="s">
        <v>48728</v>
      </c>
      <c t="s">
        <v>57221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582" s="1" t="str">
        <f ca="1">HYPERLINK("https://web.datatree.com/?/property?propertyId=33349725", "https://web.datatree.com/?/property?propertyId=33349725")</f>
        <v>https://web.datatree.com/?/property?propertyId=33349725</v>
      </c>
      <c r="Q3582" t="s">
        <v>316</v>
      </c>
      <c>
        <v>0.23</v>
      </c>
      <c t="s">
        <v>6175</v>
      </c>
      <c t="s">
        <v>64030</v>
      </c>
      <c t="s">
        <v>28323</v>
      </c>
      <c r="X3582" t="s">
        <v>32881</v>
      </c>
      <c t="s">
        <v>24999</v>
      </c>
      <c t="s">
        <v>2517</v>
      </c>
      <c t="s">
        <v>39289</v>
      </c>
      <c>
        <v>33909</v>
      </c>
      <c t="s">
        <v>37876</v>
      </c>
      <c t="s">
        <v>48794</v>
      </c>
      <c t="s">
        <v>7322</v>
      </c>
      <c>
        <v>14028</v>
      </c>
      <c r="AI3582" t="s">
        <v>50157</v>
      </c>
      <c t="s">
        <v>40123</v>
      </c>
      <c r="AL3582" t="s">
        <v>55393</v>
      </c>
      <c r="AN3582" t="s">
        <v>39289</v>
      </c>
      <c t="s">
        <v>37226</v>
      </c>
      <c t="s">
        <v>37774</v>
      </c>
      <c t="s">
        <v>3093</v>
      </c>
      <c t="s">
        <v>24753</v>
      </c>
    </row>
    <row>
      <c t="s">
        <v>17594</v>
      </c>
      <c t="s">
        <v>36125</v>
      </c>
      <c t="s">
        <v>26302</v>
      </c>
      <c t="s">
        <v>44854</v>
      </c>
      <c t="s">
        <v>64346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>
        <v>2020</v>
      </c>
      <c>
        <v>1733.19</v>
      </c>
      <c s="1" t="str">
        <f ca="1">HYPERLINK("https://web.datatree.com/?/property?propertyId=33350498", "https://web.datatree.com/?/property?propertyId=33350498")</f>
        <v>https://web.datatree.com/?/property?propertyId=33350498</v>
      </c>
      <c r="Q3583" t="s">
        <v>316</v>
      </c>
      <c>
        <v>0.241</v>
      </c>
      <c t="s">
        <v>6175</v>
      </c>
      <c t="s">
        <v>5759</v>
      </c>
      <c t="s">
        <v>691</v>
      </c>
      <c t="s">
        <v>21379</v>
      </c>
      <c t="s">
        <v>691</v>
      </c>
      <c t="s">
        <v>9147</v>
      </c>
      <c t="s">
        <v>61144</v>
      </c>
      <c t="s">
        <v>2517</v>
      </c>
      <c t="s">
        <v>39289</v>
      </c>
      <c>
        <v>33909</v>
      </c>
      <c t="s">
        <v>26052</v>
      </c>
      <c t="s">
        <v>48794</v>
      </c>
      <c t="s">
        <v>6948</v>
      </c>
      <c>
        <v>18220</v>
      </c>
      <c r="AI3583" t="s">
        <v>58463</v>
      </c>
      <c t="s">
        <v>31192</v>
      </c>
      <c r="AL3583" t="s">
        <v>63537</v>
      </c>
      <c r="AN3583" t="s">
        <v>49572</v>
      </c>
      <c t="s">
        <v>14092</v>
      </c>
      <c t="s">
        <v>47183</v>
      </c>
      <c t="s">
        <v>3093</v>
      </c>
      <c t="s">
        <v>6064</v>
      </c>
    </row>
    <row>
      <c t="s">
        <v>42103</v>
      </c>
      <c t="s">
        <v>13950</v>
      </c>
      <c t="s">
        <v>65168</v>
      </c>
      <c t="s">
        <v>2992</v>
      </c>
      <c t="s">
        <v>17628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>
        <v>2020</v>
      </c>
      <c>
        <v>1722.74</v>
      </c>
      <c s="1" t="str">
        <f ca="1">HYPERLINK("https://web.datatree.com/?/property?propertyId=33350622", "https://web.datatree.com/?/property?propertyId=33350622")</f>
        <v>https://web.datatree.com/?/property?propertyId=33350622</v>
      </c>
      <c r="Q3584" t="s">
        <v>316</v>
      </c>
      <c>
        <v>0.23</v>
      </c>
      <c t="s">
        <v>6175</v>
      </c>
      <c t="s">
        <v>10361</v>
      </c>
      <c t="s">
        <v>52943</v>
      </c>
      <c r="W3584" t="s">
        <v>855</v>
      </c>
      <c t="s">
        <v>41961</v>
      </c>
      <c t="s">
        <v>60363</v>
      </c>
      <c t="s">
        <v>2517</v>
      </c>
      <c t="s">
        <v>39289</v>
      </c>
      <c>
        <v>33909</v>
      </c>
      <c t="s">
        <v>60735</v>
      </c>
      <c t="s">
        <v>48794</v>
      </c>
      <c t="s">
        <v>60599</v>
      </c>
      <c r="AI3584" t="s">
        <v>34699</v>
      </c>
      <c r="AL3584" t="s">
        <v>13823</v>
      </c>
      <c t="s">
        <v>13823</v>
      </c>
      <c t="s">
        <v>9636</v>
      </c>
      <c t="s">
        <v>37667</v>
      </c>
      <c t="s">
        <v>15937</v>
      </c>
      <c t="s">
        <v>3093</v>
      </c>
      <c t="s">
        <v>2718</v>
      </c>
    </row>
    <row>
      <c t="s">
        <v>17594</v>
      </c>
      <c t="s">
        <v>44019</v>
      </c>
      <c t="s">
        <v>10086</v>
      </c>
      <c t="s">
        <v>36094</v>
      </c>
      <c t="s">
        <v>13684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3585" s="1" t="str">
        <f ca="1">HYPERLINK("https://web.datatree.com/?/property?propertyId=33351298", "https://web.datatree.com/?/property?propertyId=33351298")</f>
        <v>https://web.datatree.com/?/property?propertyId=33351298</v>
      </c>
      <c r="Q3585" t="s">
        <v>316</v>
      </c>
      <c>
        <v>0.244</v>
      </c>
      <c t="s">
        <v>6175</v>
      </c>
      <c t="s">
        <v>47754</v>
      </c>
      <c t="s">
        <v>11860</v>
      </c>
      <c t="s">
        <v>33698</v>
      </c>
      <c t="s">
        <v>13472</v>
      </c>
      <c t="s">
        <v>16690</v>
      </c>
      <c t="s">
        <v>33179</v>
      </c>
      <c t="s">
        <v>2517</v>
      </c>
      <c t="s">
        <v>39289</v>
      </c>
      <c>
        <v>33909</v>
      </c>
      <c t="s">
        <v>14124</v>
      </c>
      <c t="s">
        <v>48794</v>
      </c>
      <c t="s">
        <v>10828</v>
      </c>
      <c>
        <v>10</v>
      </c>
      <c r="AI3585" t="s">
        <v>43909</v>
      </c>
      <c r="AL3585" t="s">
        <v>63745</v>
      </c>
      <c r="AN3585" t="s">
        <v>9533</v>
      </c>
      <c t="s">
        <v>13382</v>
      </c>
      <c t="s">
        <v>53800</v>
      </c>
      <c t="s">
        <v>3093</v>
      </c>
      <c t="s">
        <v>65679</v>
      </c>
    </row>
    <row>
      <c t="s">
        <v>17594</v>
      </c>
      <c t="s">
        <v>28805</v>
      </c>
      <c t="s">
        <v>60802</v>
      </c>
      <c t="s">
        <v>17114</v>
      </c>
      <c t="s">
        <v>63665</v>
      </c>
      <c s="3">
        <v>23623</v>
      </c>
      <c s="3">
        <v>23623</v>
      </c>
      <c s="3">
        <v>11000</v>
      </c>
      <c>
        <v>0</v>
      </c>
      <c s="3">
        <v>0</v>
      </c>
      <c s="3">
        <v>622.94</v>
      </c>
      <c s="3">
        <v>23623</v>
      </c>
      <c r="O3586" s="1" t="str">
        <f ca="1">HYPERLINK("https://web.datatree.com/?/property?propertyId=33351417", "https://web.datatree.com/?/property?propertyId=33351417")</f>
        <v>https://web.datatree.com/?/property?propertyId=33351417</v>
      </c>
      <c r="Q3586" t="s">
        <v>316</v>
      </c>
      <c>
        <v>0.23</v>
      </c>
      <c t="s">
        <v>22490</v>
      </c>
      <c r="U3586" t="s">
        <v>37113</v>
      </c>
      <c t="s">
        <v>8790</v>
      </c>
      <c t="s">
        <v>53465</v>
      </c>
      <c t="s">
        <v>25824</v>
      </c>
      <c t="s">
        <v>25017</v>
      </c>
      <c t="s">
        <v>2517</v>
      </c>
      <c t="s">
        <v>39289</v>
      </c>
      <c>
        <v>33909</v>
      </c>
      <c t="s">
        <v>54655</v>
      </c>
      <c t="s">
        <v>48794</v>
      </c>
      <c t="s">
        <v>37308</v>
      </c>
      <c>
        <v>341</v>
      </c>
      <c r="AI3586" t="s">
        <v>9063</v>
      </c>
      <c t="s">
        <v>55842</v>
      </c>
      <c r="AL3586" t="s">
        <v>52220</v>
      </c>
      <c t="s">
        <v>52220</v>
      </c>
      <c t="s">
        <v>19878</v>
      </c>
      <c t="s">
        <v>55195</v>
      </c>
      <c t="s">
        <v>12251</v>
      </c>
      <c t="s">
        <v>3093</v>
      </c>
      <c t="s">
        <v>35232</v>
      </c>
    </row>
    <row>
      <c t="s">
        <v>17594</v>
      </c>
      <c t="s">
        <v>12026</v>
      </c>
      <c t="s">
        <v>53028</v>
      </c>
      <c t="s">
        <v>17438</v>
      </c>
      <c t="s">
        <v>45272</v>
      </c>
      <c s="3">
        <v>129161</v>
      </c>
      <c s="3">
        <v>114500</v>
      </c>
      <c s="3">
        <v>129161</v>
      </c>
      <c>
        <v>0</v>
      </c>
      <c s="3">
        <v>0</v>
      </c>
      <c s="3">
        <v>1938.64</v>
      </c>
      <c s="3">
        <v>129161</v>
      </c>
      <c r="O3587" s="1" t="str">
        <f ca="1">HYPERLINK("https://web.datatree.com/?/property?propertyId=33351600", "https://web.datatree.com/?/property?propertyId=33351600")</f>
        <v>https://web.datatree.com/?/property?propertyId=33351600</v>
      </c>
      <c r="Q3587" t="s">
        <v>316</v>
      </c>
      <c>
        <v>0.139</v>
      </c>
      <c t="s">
        <v>26492</v>
      </c>
      <c t="s">
        <v>13593</v>
      </c>
      <c t="s">
        <v>42761</v>
      </c>
      <c t="s">
        <v>52045</v>
      </c>
      <c t="s">
        <v>11274</v>
      </c>
      <c t="s">
        <v>43522</v>
      </c>
      <c t="s">
        <v>36549</v>
      </c>
      <c t="s">
        <v>65059</v>
      </c>
      <c t="s">
        <v>39289</v>
      </c>
      <c>
        <v>33905</v>
      </c>
      <c>
        <v>33905</v>
      </c>
      <c t="s">
        <v>48794</v>
      </c>
      <c t="s">
        <v>45552</v>
      </c>
      <c>
        <v>108</v>
      </c>
      <c r="AI3587" t="s">
        <v>32450</v>
      </c>
      <c t="s">
        <v>45620</v>
      </c>
      <c t="s">
        <v>59260</v>
      </c>
      <c t="s">
        <v>16933</v>
      </c>
      <c t="s">
        <v>40227</v>
      </c>
      <c t="s">
        <v>65467</v>
      </c>
      <c t="s">
        <v>17706</v>
      </c>
      <c t="s">
        <v>14695</v>
      </c>
      <c t="s">
        <v>3093</v>
      </c>
      <c t="s">
        <v>20258</v>
      </c>
      <c>
        <v>2005</v>
      </c>
    </row>
    <row>
      <c t="s">
        <v>17594</v>
      </c>
      <c t="s">
        <v>22632</v>
      </c>
      <c t="s">
        <v>37550</v>
      </c>
      <c t="s">
        <v>16642</v>
      </c>
      <c t="s">
        <v>41933</v>
      </c>
      <c s="3">
        <v>88181</v>
      </c>
      <c s="3">
        <v>88181</v>
      </c>
      <c s="3">
        <v>35840</v>
      </c>
      <c>
        <v>0</v>
      </c>
      <c s="3">
        <v>0</v>
      </c>
      <c s="3">
        <v>1077.32</v>
      </c>
      <c s="3">
        <v>88181</v>
      </c>
      <c r="O3588" s="1" t="str">
        <f ca="1">HYPERLINK("https://web.datatree.com/?/property?propertyId=33351698", "https://web.datatree.com/?/property?propertyId=33351698")</f>
        <v>https://web.datatree.com/?/property?propertyId=33351698</v>
      </c>
      <c r="Q3588" t="s">
        <v>316</v>
      </c>
      <c>
        <v>0.23</v>
      </c>
      <c t="s">
        <v>22490</v>
      </c>
      <c t="s">
        <v>29581</v>
      </c>
      <c t="s">
        <v>48923</v>
      </c>
      <c r="X3588" t="s">
        <v>30000</v>
      </c>
      <c t="s">
        <v>7959</v>
      </c>
      <c t="s">
        <v>2517</v>
      </c>
      <c t="s">
        <v>39289</v>
      </c>
      <c>
        <v>33904</v>
      </c>
      <c t="s">
        <v>25033</v>
      </c>
      <c t="s">
        <v>48794</v>
      </c>
      <c t="s">
        <v>31677</v>
      </c>
      <c>
        <v>661</v>
      </c>
      <c r="AI3588" t="s">
        <v>17804</v>
      </c>
      <c t="s">
        <v>45620</v>
      </c>
      <c r="AL3588" t="s">
        <v>56283</v>
      </c>
      <c r="AN3588" t="s">
        <v>51087</v>
      </c>
      <c t="s">
        <v>65279</v>
      </c>
      <c t="s">
        <v>22455</v>
      </c>
      <c t="s">
        <v>3093</v>
      </c>
      <c t="s">
        <v>51235</v>
      </c>
    </row>
    <row>
      <c t="s">
        <v>17594</v>
      </c>
      <c t="s">
        <v>43761</v>
      </c>
      <c t="s">
        <v>4159</v>
      </c>
      <c t="s">
        <v>22605</v>
      </c>
      <c t="s">
        <v>6778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589" s="1" t="str">
        <f ca="1">HYPERLINK("https://web.datatree.com/?/property?propertyId=33351932", "https://web.datatree.com/?/property?propertyId=33351932")</f>
        <v>https://web.datatree.com/?/property?propertyId=33351932</v>
      </c>
      <c r="Q3589" t="s">
        <v>316</v>
      </c>
      <c>
        <v>0.23</v>
      </c>
      <c t="s">
        <v>28270</v>
      </c>
      <c t="s">
        <v>1765</v>
      </c>
      <c t="s">
        <v>50085</v>
      </c>
      <c t="s">
        <v>23807</v>
      </c>
      <c t="s">
        <v>47513</v>
      </c>
      <c t="s">
        <v>21800</v>
      </c>
      <c t="s">
        <v>14534</v>
      </c>
      <c t="s">
        <v>2517</v>
      </c>
      <c t="s">
        <v>39289</v>
      </c>
      <c>
        <v>33909</v>
      </c>
      <c t="s">
        <v>43681</v>
      </c>
      <c t="s">
        <v>48794</v>
      </c>
      <c t="s">
        <v>39611</v>
      </c>
      <c>
        <v>790</v>
      </c>
      <c r="AI3589" t="s">
        <v>17072</v>
      </c>
      <c t="s">
        <v>24900</v>
      </c>
      <c>
        <v>1</v>
      </c>
      <c t="s">
        <v>8109</v>
      </c>
      <c r="AN3589" t="s">
        <v>50917</v>
      </c>
      <c t="s">
        <v>41161</v>
      </c>
      <c t="s">
        <v>48506</v>
      </c>
      <c t="s">
        <v>3093</v>
      </c>
      <c t="s">
        <v>20056</v>
      </c>
    </row>
    <row>
      <c t="s">
        <v>17594</v>
      </c>
      <c t="s">
        <v>35732</v>
      </c>
      <c t="s">
        <v>65126</v>
      </c>
      <c t="s">
        <v>7604</v>
      </c>
      <c t="s">
        <v>3680</v>
      </c>
      <c s="3">
        <v>31930</v>
      </c>
      <c s="3">
        <v>31930</v>
      </c>
      <c s="3">
        <v>11858</v>
      </c>
      <c>
        <v>0</v>
      </c>
      <c s="3">
        <v>0</v>
      </c>
      <c s="3">
        <v>2953.84</v>
      </c>
      <c s="3">
        <v>31930</v>
      </c>
      <c r="O3590" s="1" t="str">
        <f ca="1">HYPERLINK("https://web.datatree.com/?/property?propertyId=33352014", "https://web.datatree.com/?/property?propertyId=33352014")</f>
        <v>https://web.datatree.com/?/property?propertyId=33352014</v>
      </c>
      <c r="Q3590" t="s">
        <v>316</v>
      </c>
      <c>
        <v>0.235</v>
      </c>
      <c t="s">
        <v>32050</v>
      </c>
      <c t="s">
        <v>66073</v>
      </c>
      <c t="s">
        <v>32897</v>
      </c>
      <c r="X3590" t="s">
        <v>65747</v>
      </c>
      <c t="s">
        <v>2626</v>
      </c>
      <c t="s">
        <v>2517</v>
      </c>
      <c t="s">
        <v>39289</v>
      </c>
      <c>
        <v>33909</v>
      </c>
      <c t="s">
        <v>18131</v>
      </c>
      <c t="s">
        <v>48794</v>
      </c>
      <c t="s">
        <v>8660</v>
      </c>
      <c>
        <v>104</v>
      </c>
      <c r="AI3590" t="s">
        <v>38660</v>
      </c>
      <c t="s">
        <v>835</v>
      </c>
      <c r="AL3590" t="s">
        <v>66811</v>
      </c>
      <c r="AN3590" t="s">
        <v>18236</v>
      </c>
      <c t="s">
        <v>8531</v>
      </c>
      <c t="s">
        <v>4480</v>
      </c>
      <c t="s">
        <v>3093</v>
      </c>
      <c t="s">
        <v>47417</v>
      </c>
    </row>
    <row>
      <c t="s">
        <v>17594</v>
      </c>
      <c t="s">
        <v>12420</v>
      </c>
      <c t="s">
        <v>35364</v>
      </c>
      <c t="s">
        <v>56887</v>
      </c>
      <c t="s">
        <v>34022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575.6</v>
      </c>
      <c s="1" t="str">
        <f ca="1">HYPERLINK("https://web.datatree.com/?/property?propertyId=33352677", "https://web.datatree.com/?/property?propertyId=33352677")</f>
        <v>https://web.datatree.com/?/property?propertyId=33352677</v>
      </c>
      <c r="Q3591" t="s">
        <v>316</v>
      </c>
      <c>
        <v>0.23</v>
      </c>
      <c t="s">
        <v>6175</v>
      </c>
      <c t="s">
        <v>32675</v>
      </c>
      <c t="s">
        <v>16075</v>
      </c>
      <c r="X3591" t="s">
        <v>47096</v>
      </c>
      <c t="s">
        <v>371</v>
      </c>
      <c t="s">
        <v>2517</v>
      </c>
      <c t="s">
        <v>39289</v>
      </c>
      <c>
        <v>33909</v>
      </c>
      <c t="s">
        <v>3382</v>
      </c>
      <c t="s">
        <v>48794</v>
      </c>
      <c t="s">
        <v>41758</v>
      </c>
      <c>
        <v>197</v>
      </c>
      <c r="AI3591" t="s">
        <v>18490</v>
      </c>
      <c t="s">
        <v>705</v>
      </c>
      <c r="AL3591" t="s">
        <v>2082</v>
      </c>
      <c r="AN3591" t="s">
        <v>5859</v>
      </c>
      <c t="s">
        <v>63246</v>
      </c>
      <c t="s">
        <v>60160</v>
      </c>
      <c t="s">
        <v>3093</v>
      </c>
      <c t="s">
        <v>52302</v>
      </c>
    </row>
    <row>
      <c t="s">
        <v>17594</v>
      </c>
      <c t="s">
        <v>46479</v>
      </c>
      <c t="s">
        <v>29742</v>
      </c>
      <c t="s">
        <v>53810</v>
      </c>
      <c t="s">
        <v>38106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3592" s="1" t="str">
        <f ca="1">HYPERLINK("https://web.datatree.com/?/property?propertyId=33353236", "https://web.datatree.com/?/property?propertyId=33353236")</f>
        <v>https://web.datatree.com/?/property?propertyId=33353236</v>
      </c>
      <c r="Q3592" t="s">
        <v>316</v>
      </c>
      <c>
        <v>0.242</v>
      </c>
      <c t="s">
        <v>6175</v>
      </c>
      <c t="s">
        <v>62125</v>
      </c>
      <c t="s">
        <v>11679</v>
      </c>
      <c t="s">
        <v>47165</v>
      </c>
      <c t="s">
        <v>54299</v>
      </c>
      <c t="s">
        <v>46160</v>
      </c>
      <c t="s">
        <v>66701</v>
      </c>
      <c t="s">
        <v>2517</v>
      </c>
      <c t="s">
        <v>39289</v>
      </c>
      <c>
        <v>33909</v>
      </c>
      <c t="s">
        <v>7931</v>
      </c>
      <c t="s">
        <v>48794</v>
      </c>
      <c t="s">
        <v>5521</v>
      </c>
      <c>
        <v>4177</v>
      </c>
      <c r="AI3592" t="s">
        <v>2969</v>
      </c>
      <c t="s">
        <v>31192</v>
      </c>
      <c r="AL3592" t="s">
        <v>60882</v>
      </c>
      <c r="AN3592" t="s">
        <v>51137</v>
      </c>
      <c t="s">
        <v>48640</v>
      </c>
      <c t="s">
        <v>43313</v>
      </c>
      <c t="s">
        <v>3093</v>
      </c>
      <c t="s">
        <v>56992</v>
      </c>
    </row>
    <row>
      <c t="s">
        <v>17594</v>
      </c>
      <c t="s">
        <v>40687</v>
      </c>
      <c t="s">
        <v>41246</v>
      </c>
      <c t="s">
        <v>5468</v>
      </c>
      <c t="s">
        <v>3527</v>
      </c>
      <c s="3">
        <v>8540</v>
      </c>
      <c s="3">
        <v>8540</v>
      </c>
      <c s="3">
        <v>4972</v>
      </c>
      <c>
        <v>0</v>
      </c>
      <c s="3">
        <v>0</v>
      </c>
      <c s="3">
        <v>315.35</v>
      </c>
      <c s="3">
        <v>8540</v>
      </c>
      <c r="O3593" s="1" t="str">
        <f ca="1">HYPERLINK("https://web.datatree.com/?/property?propertyId=33353934", "https://web.datatree.com/?/property?propertyId=33353934")</f>
        <v>https://web.datatree.com/?/property?propertyId=33353934</v>
      </c>
      <c r="Q3593" t="s">
        <v>316</v>
      </c>
      <c>
        <v>0.231</v>
      </c>
      <c t="s">
        <v>5471</v>
      </c>
      <c t="s">
        <v>19965</v>
      </c>
      <c t="s">
        <v>17945</v>
      </c>
      <c r="X3593" t="s">
        <v>46999</v>
      </c>
      <c t="s">
        <v>15518</v>
      </c>
      <c t="s">
        <v>65059</v>
      </c>
      <c t="s">
        <v>39289</v>
      </c>
      <c>
        <v>33905</v>
      </c>
      <c t="s">
        <v>34623</v>
      </c>
      <c t="s">
        <v>48794</v>
      </c>
      <c t="s">
        <v>64781</v>
      </c>
      <c>
        <v>122</v>
      </c>
      <c r="AI3593" t="s">
        <v>50306</v>
      </c>
      <c t="s">
        <v>45620</v>
      </c>
      <c r="AL3593" t="s">
        <v>38729</v>
      </c>
      <c r="AN3593" t="s">
        <v>5982</v>
      </c>
      <c t="s">
        <v>23791</v>
      </c>
      <c t="s">
        <v>44428</v>
      </c>
      <c t="s">
        <v>3093</v>
      </c>
      <c t="s">
        <v>6797</v>
      </c>
    </row>
    <row>
      <c t="s">
        <v>17594</v>
      </c>
      <c t="s">
        <v>62517</v>
      </c>
      <c t="s">
        <v>8487</v>
      </c>
      <c t="s">
        <v>41366</v>
      </c>
      <c t="s">
        <v>45869</v>
      </c>
      <c s="3">
        <v>54000</v>
      </c>
      <c s="3">
        <v>54000</v>
      </c>
      <c s="3">
        <v>10848</v>
      </c>
      <c>
        <v>0</v>
      </c>
      <c s="3">
        <v>0</v>
      </c>
      <c s="3">
        <v>638.12</v>
      </c>
      <c s="3">
        <v>54000</v>
      </c>
      <c r="O3594" s="1" t="str">
        <f ca="1">HYPERLINK("https://web.datatree.com/?/property?propertyId=33354009", "https://web.datatree.com/?/property?propertyId=33354009")</f>
        <v>https://web.datatree.com/?/property?propertyId=33354009</v>
      </c>
      <c r="Q3594" t="s">
        <v>316</v>
      </c>
      <c>
        <v>0.23</v>
      </c>
      <c t="s">
        <v>6175</v>
      </c>
      <c t="s">
        <v>60243</v>
      </c>
      <c t="s">
        <v>29987</v>
      </c>
      <c r="W3594" t="s">
        <v>29987</v>
      </c>
      <c t="s">
        <v>52542</v>
      </c>
      <c t="s">
        <v>34731</v>
      </c>
      <c t="s">
        <v>2517</v>
      </c>
      <c t="s">
        <v>39289</v>
      </c>
      <c>
        <v>33909</v>
      </c>
      <c t="s">
        <v>4360</v>
      </c>
      <c t="s">
        <v>48794</v>
      </c>
      <c t="s">
        <v>40680</v>
      </c>
      <c>
        <v>1045</v>
      </c>
      <c r="AI3594" t="s">
        <v>43740</v>
      </c>
      <c t="s">
        <v>24900</v>
      </c>
      <c r="AL3594" t="s">
        <v>9794</v>
      </c>
      <c t="s">
        <v>9794</v>
      </c>
      <c t="s">
        <v>65451</v>
      </c>
      <c t="s">
        <v>32276</v>
      </c>
      <c t="s">
        <v>42082</v>
      </c>
      <c t="s">
        <v>3093</v>
      </c>
      <c t="s">
        <v>25452</v>
      </c>
    </row>
    <row>
      <c t="s">
        <v>17594</v>
      </c>
      <c t="s">
        <v>51806</v>
      </c>
      <c t="s">
        <v>27187</v>
      </c>
      <c t="s">
        <v>26950</v>
      </c>
      <c t="s">
        <v>52865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3595" s="1" t="str">
        <f ca="1">HYPERLINK("https://web.datatree.com/?/property?propertyId=33354745", "https://web.datatree.com/?/property?propertyId=33354745")</f>
        <v>https://web.datatree.com/?/property?propertyId=33354745</v>
      </c>
      <c r="Q3595" t="s">
        <v>316</v>
      </c>
      <c>
        <v>0.23</v>
      </c>
      <c t="s">
        <v>22490</v>
      </c>
      <c r="U3595" t="s">
        <v>65853</v>
      </c>
      <c t="s">
        <v>65985</v>
      </c>
      <c t="s">
        <v>46201</v>
      </c>
      <c t="s">
        <v>33439</v>
      </c>
      <c t="s">
        <v>35712</v>
      </c>
      <c t="s">
        <v>2517</v>
      </c>
      <c t="s">
        <v>39289</v>
      </c>
      <c>
        <v>33909</v>
      </c>
      <c t="s">
        <v>32593</v>
      </c>
      <c t="s">
        <v>48794</v>
      </c>
      <c t="s">
        <v>32458</v>
      </c>
      <c>
        <v>1100</v>
      </c>
      <c r="AI3595" t="s">
        <v>31393</v>
      </c>
      <c t="s">
        <v>45620</v>
      </c>
      <c>
        <v>1105</v>
      </c>
      <c t="s">
        <v>19042</v>
      </c>
      <c t="s">
        <v>19042</v>
      </c>
      <c t="s">
        <v>18236</v>
      </c>
      <c t="s">
        <v>9402</v>
      </c>
      <c t="s">
        <v>15968</v>
      </c>
      <c t="s">
        <v>3093</v>
      </c>
      <c t="s">
        <v>57012</v>
      </c>
    </row>
    <row>
      <c t="s">
        <v>17594</v>
      </c>
      <c t="s">
        <v>60909</v>
      </c>
      <c t="s">
        <v>7029</v>
      </c>
      <c t="s">
        <v>53532</v>
      </c>
      <c t="s">
        <v>62867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3596" s="1" t="str">
        <f ca="1">HYPERLINK("https://web.datatree.com/?/property?propertyId=33355071", "https://web.datatree.com/?/property?propertyId=33355071")</f>
        <v>https://web.datatree.com/?/property?propertyId=33355071</v>
      </c>
      <c r="Q3596" t="s">
        <v>316</v>
      </c>
      <c>
        <v>0.23</v>
      </c>
      <c t="s">
        <v>22490</v>
      </c>
      <c t="s">
        <v>50793</v>
      </c>
      <c t="s">
        <v>34217</v>
      </c>
      <c t="s">
        <v>47682</v>
      </c>
      <c t="s">
        <v>3535</v>
      </c>
      <c t="s">
        <v>57024</v>
      </c>
      <c t="s">
        <v>49122</v>
      </c>
      <c t="s">
        <v>2517</v>
      </c>
      <c t="s">
        <v>39289</v>
      </c>
      <c>
        <v>33909</v>
      </c>
      <c t="s">
        <v>33662</v>
      </c>
      <c t="s">
        <v>48794</v>
      </c>
      <c t="s">
        <v>42182</v>
      </c>
      <c>
        <v>35</v>
      </c>
      <c r="AI3596" t="s">
        <v>16081</v>
      </c>
      <c t="s">
        <v>1671</v>
      </c>
      <c r="AL3596" t="s">
        <v>33633</v>
      </c>
      <c t="s">
        <v>33633</v>
      </c>
      <c t="s">
        <v>5982</v>
      </c>
      <c t="s">
        <v>38404</v>
      </c>
      <c t="s">
        <v>19978</v>
      </c>
      <c t="s">
        <v>3093</v>
      </c>
      <c t="s">
        <v>43040</v>
      </c>
    </row>
    <row>
      <c t="s">
        <v>17594</v>
      </c>
      <c t="s">
        <v>51583</v>
      </c>
      <c t="s">
        <v>35735</v>
      </c>
      <c t="s">
        <v>21597</v>
      </c>
      <c t="s">
        <v>15307</v>
      </c>
      <c s="3">
        <v>26290</v>
      </c>
      <c s="3">
        <v>26290</v>
      </c>
      <c s="3">
        <v>12650</v>
      </c>
      <c>
        <v>0</v>
      </c>
      <c s="3">
        <v>0</v>
      </c>
      <c s="3">
        <v>2770.42</v>
      </c>
      <c s="3">
        <v>26290</v>
      </c>
      <c r="O3597" s="1" t="str">
        <f ca="1">HYPERLINK("https://web.datatree.com/?/property?propertyId=33355401", "https://web.datatree.com/?/property?propertyId=33355401")</f>
        <v>https://web.datatree.com/?/property?propertyId=33355401</v>
      </c>
      <c r="Q3597" t="s">
        <v>316</v>
      </c>
      <c>
        <v>0.23</v>
      </c>
      <c t="s">
        <v>22490</v>
      </c>
      <c t="s">
        <v>16200</v>
      </c>
      <c t="s">
        <v>66061</v>
      </c>
      <c t="s">
        <v>22046</v>
      </c>
      <c t="s">
        <v>66061</v>
      </c>
      <c t="s">
        <v>7764</v>
      </c>
      <c t="s">
        <v>17022</v>
      </c>
      <c t="s">
        <v>2517</v>
      </c>
      <c t="s">
        <v>39289</v>
      </c>
      <c>
        <v>33909</v>
      </c>
      <c t="s">
        <v>7883</v>
      </c>
      <c t="s">
        <v>48794</v>
      </c>
      <c t="s">
        <v>11434</v>
      </c>
      <c>
        <v>5633</v>
      </c>
      <c r="AI3597" t="s">
        <v>28333</v>
      </c>
      <c t="s">
        <v>31192</v>
      </c>
      <c r="AL3597" t="s">
        <v>37490</v>
      </c>
      <c r="AN3597" t="s">
        <v>18236</v>
      </c>
      <c t="s">
        <v>5501</v>
      </c>
      <c t="s">
        <v>5503</v>
      </c>
      <c t="s">
        <v>3093</v>
      </c>
      <c t="s">
        <v>12175</v>
      </c>
    </row>
    <row>
      <c t="s">
        <v>42103</v>
      </c>
      <c t="s">
        <v>3946</v>
      </c>
      <c t="s">
        <v>66096</v>
      </c>
      <c t="s">
        <v>14058</v>
      </c>
      <c t="s">
        <v>51701</v>
      </c>
      <c s="3">
        <v>48031</v>
      </c>
      <c s="3">
        <v>48031</v>
      </c>
      <c s="3">
        <v>15563</v>
      </c>
      <c>
        <v>0</v>
      </c>
      <c s="3">
        <v>0</v>
      </c>
      <c s="3">
        <v>969.44</v>
      </c>
      <c s="3">
        <v>48031</v>
      </c>
      <c r="O3598" s="1" t="str">
        <f ca="1">HYPERLINK("https://web.datatree.com/?/property?propertyId=33355457", "https://web.datatree.com/?/property?propertyId=33355457")</f>
        <v>https://web.datatree.com/?/property?propertyId=33355457</v>
      </c>
      <c r="Q3598" t="s">
        <v>316</v>
      </c>
      <c>
        <v>0.344</v>
      </c>
      <c t="s">
        <v>6175</v>
      </c>
      <c t="s">
        <v>18216</v>
      </c>
      <c t="s">
        <v>928</v>
      </c>
      <c r="X3598" t="s">
        <v>24909</v>
      </c>
      <c t="s">
        <v>22731</v>
      </c>
      <c t="s">
        <v>2517</v>
      </c>
      <c t="s">
        <v>39289</v>
      </c>
      <c>
        <v>33909</v>
      </c>
      <c t="s">
        <v>11108</v>
      </c>
      <c t="s">
        <v>48794</v>
      </c>
      <c t="s">
        <v>39354</v>
      </c>
      <c r="AI3598" t="s">
        <v>3759</v>
      </c>
      <c r="AL3598" t="s">
        <v>35412</v>
      </c>
      <c r="AN3598" t="s">
        <v>9533</v>
      </c>
      <c>
        <v>721</v>
      </c>
      <c t="s">
        <v>31451</v>
      </c>
      <c t="s">
        <v>3093</v>
      </c>
      <c t="s">
        <v>53059</v>
      </c>
    </row>
    <row>
      <c t="s">
        <v>17594</v>
      </c>
      <c t="s">
        <v>53573</v>
      </c>
      <c t="s">
        <v>66823</v>
      </c>
      <c t="s">
        <v>21968</v>
      </c>
      <c t="s">
        <v>26403</v>
      </c>
      <c s="3">
        <v>17382</v>
      </c>
      <c s="3">
        <v>17382</v>
      </c>
      <c s="3">
        <v>8910</v>
      </c>
      <c>
        <v>0</v>
      </c>
      <c s="3">
        <v>0</v>
      </c>
      <c s="3">
        <v>521.85</v>
      </c>
      <c s="3">
        <v>17382</v>
      </c>
      <c>
        <v>2021</v>
      </c>
      <c>
        <v>493.51</v>
      </c>
      <c s="1" t="str">
        <f ca="1">HYPERLINK("https://web.datatree.com/?/property?propertyId=33356027", "https://web.datatree.com/?/property?propertyId=33356027")</f>
        <v>https://web.datatree.com/?/property?propertyId=33356027</v>
      </c>
      <c r="Q3599" t="s">
        <v>316</v>
      </c>
      <c>
        <v>0.23</v>
      </c>
      <c t="s">
        <v>6175</v>
      </c>
      <c t="s">
        <v>6249</v>
      </c>
      <c t="s">
        <v>13824</v>
      </c>
      <c r="X3599" t="s">
        <v>35720</v>
      </c>
      <c t="s">
        <v>49122</v>
      </c>
      <c t="s">
        <v>2517</v>
      </c>
      <c t="s">
        <v>39289</v>
      </c>
      <c>
        <v>33909</v>
      </c>
      <c t="s">
        <v>62365</v>
      </c>
      <c t="s">
        <v>48794</v>
      </c>
      <c t="s">
        <v>2324</v>
      </c>
      <c>
        <v>1157</v>
      </c>
      <c r="AI3599" t="s">
        <v>40274</v>
      </c>
      <c t="s">
        <v>24900</v>
      </c>
      <c>
        <v>31</v>
      </c>
      <c t="s">
        <v>46985</v>
      </c>
      <c r="AN3599" t="s">
        <v>50917</v>
      </c>
      <c t="s">
        <v>18187</v>
      </c>
      <c t="s">
        <v>41946</v>
      </c>
      <c t="s">
        <v>3093</v>
      </c>
      <c t="s">
        <v>55022</v>
      </c>
    </row>
    <row>
      <c t="s">
        <v>17594</v>
      </c>
      <c t="s">
        <v>51075</v>
      </c>
      <c t="s">
        <v>358</v>
      </c>
      <c t="s">
        <v>25965</v>
      </c>
      <c t="s">
        <v>22471</v>
      </c>
      <c s="3">
        <v>88300</v>
      </c>
      <c s="3">
        <v>88300</v>
      </c>
      <c s="3">
        <v>88300</v>
      </c>
      <c>
        <v>0</v>
      </c>
      <c s="3">
        <v>0</v>
      </c>
      <c s="3">
        <v>1205.45</v>
      </c>
      <c s="3">
        <v>88300</v>
      </c>
      <c r="O3600" s="1" t="str">
        <f ca="1">HYPERLINK("https://web.datatree.com/?/property?propertyId=33356666", "https://web.datatree.com/?/property?propertyId=33356666")</f>
        <v>https://web.datatree.com/?/property?propertyId=33356666</v>
      </c>
      <c r="Q3600" t="s">
        <v>316</v>
      </c>
      <c>
        <v>0.308</v>
      </c>
      <c t="s">
        <v>5471</v>
      </c>
      <c t="s">
        <v>30591</v>
      </c>
      <c t="s">
        <v>41408</v>
      </c>
      <c t="s">
        <v>15209</v>
      </c>
      <c t="s">
        <v>41408</v>
      </c>
      <c t="s">
        <v>41219</v>
      </c>
      <c t="s">
        <v>7937</v>
      </c>
      <c t="s">
        <v>65059</v>
      </c>
      <c t="s">
        <v>39289</v>
      </c>
      <c>
        <v>33905</v>
      </c>
      <c t="s">
        <v>40694</v>
      </c>
      <c t="s">
        <v>48794</v>
      </c>
      <c t="s">
        <v>56554</v>
      </c>
      <c>
        <v>361</v>
      </c>
      <c r="AI3600" t="s">
        <v>5737</v>
      </c>
      <c t="s">
        <v>24900</v>
      </c>
      <c r="AL3600" t="s">
        <v>13392</v>
      </c>
      <c t="s">
        <v>13392</v>
      </c>
      <c t="s">
        <v>5859</v>
      </c>
      <c t="s">
        <v>23302</v>
      </c>
      <c t="s">
        <v>27780</v>
      </c>
      <c t="s">
        <v>3093</v>
      </c>
      <c t="s">
        <v>38080</v>
      </c>
    </row>
    <row>
      <c t="s">
        <v>17594</v>
      </c>
      <c t="s">
        <v>23260</v>
      </c>
      <c t="s">
        <v>24982</v>
      </c>
      <c t="s">
        <v>51735</v>
      </c>
      <c t="s">
        <v>45682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3601" s="1" t="str">
        <f ca="1">HYPERLINK("https://web.datatree.com/?/property?propertyId=33357577", "https://web.datatree.com/?/property?propertyId=33357577")</f>
        <v>https://web.datatree.com/?/property?propertyId=33357577</v>
      </c>
      <c r="Q3601" t="s">
        <v>316</v>
      </c>
      <c>
        <v>0.23</v>
      </c>
      <c t="s">
        <v>6175</v>
      </c>
      <c t="s">
        <v>3633</v>
      </c>
      <c t="s">
        <v>20175</v>
      </c>
      <c t="s">
        <v>4734</v>
      </c>
      <c t="s">
        <v>27124</v>
      </c>
      <c t="s">
        <v>51046</v>
      </c>
      <c t="s">
        <v>33179</v>
      </c>
      <c t="s">
        <v>2517</v>
      </c>
      <c t="s">
        <v>39289</v>
      </c>
      <c>
        <v>33909</v>
      </c>
      <c t="s">
        <v>62084</v>
      </c>
      <c t="s">
        <v>48794</v>
      </c>
      <c t="s">
        <v>62291</v>
      </c>
      <c>
        <v>87</v>
      </c>
      <c r="AI3601" t="s">
        <v>39044</v>
      </c>
      <c t="s">
        <v>24900</v>
      </c>
      <c r="AL3601" t="s">
        <v>14113</v>
      </c>
      <c t="s">
        <v>14113</v>
      </c>
      <c t="s">
        <v>26016</v>
      </c>
      <c t="s">
        <v>42692</v>
      </c>
      <c t="s">
        <v>1951</v>
      </c>
      <c t="s">
        <v>3093</v>
      </c>
      <c t="s">
        <v>25272</v>
      </c>
    </row>
    <row>
      <c t="s">
        <v>17594</v>
      </c>
      <c t="s">
        <v>18363</v>
      </c>
      <c t="s">
        <v>25048</v>
      </c>
      <c t="s">
        <v>36154</v>
      </c>
      <c t="s">
        <v>63379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>
        <v>2020</v>
      </c>
      <c>
        <v>1704.02</v>
      </c>
      <c s="1" t="str">
        <f ca="1">HYPERLINK("https://web.datatree.com/?/property?propertyId=33358042", "https://web.datatree.com/?/property?propertyId=33358042")</f>
        <v>https://web.datatree.com/?/property?propertyId=33358042</v>
      </c>
      <c r="Q3602" t="s">
        <v>316</v>
      </c>
      <c>
        <v>0.241</v>
      </c>
      <c t="s">
        <v>6175</v>
      </c>
      <c t="s">
        <v>10451</v>
      </c>
      <c t="s">
        <v>57654</v>
      </c>
      <c r="X3602" t="s">
        <v>34438</v>
      </c>
      <c t="s">
        <v>46469</v>
      </c>
      <c t="s">
        <v>2517</v>
      </c>
      <c t="s">
        <v>39289</v>
      </c>
      <c>
        <v>33909</v>
      </c>
      <c t="s">
        <v>42674</v>
      </c>
      <c t="s">
        <v>48794</v>
      </c>
      <c t="s">
        <v>12493</v>
      </c>
      <c>
        <v>140</v>
      </c>
      <c r="AI3602" t="s">
        <v>58372</v>
      </c>
      <c t="s">
        <v>45620</v>
      </c>
      <c r="AL3602" t="s">
        <v>45566</v>
      </c>
      <c r="AN3602" t="s">
        <v>32657</v>
      </c>
      <c t="s">
        <v>19694</v>
      </c>
      <c t="s">
        <v>22455</v>
      </c>
      <c t="s">
        <v>3093</v>
      </c>
      <c t="s">
        <v>52298</v>
      </c>
    </row>
    <row>
      <c t="s">
        <v>17594</v>
      </c>
      <c t="s">
        <v>60315</v>
      </c>
      <c t="s">
        <v>22292</v>
      </c>
      <c t="s">
        <v>2436</v>
      </c>
      <c t="s">
        <v>61720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>
        <v>2019</v>
      </c>
      <c>
        <v>3024.83</v>
      </c>
      <c s="1" t="str">
        <f ca="1">HYPERLINK("https://web.datatree.com/?/property?propertyId=33358067", "https://web.datatree.com/?/property?propertyId=33358067")</f>
        <v>https://web.datatree.com/?/property?propertyId=33358067</v>
      </c>
      <c r="Q3603" t="s">
        <v>316</v>
      </c>
      <c>
        <v>0.23</v>
      </c>
      <c t="s">
        <v>22490</v>
      </c>
      <c t="s">
        <v>27690</v>
      </c>
      <c t="s">
        <v>15977</v>
      </c>
      <c r="X3603" t="s">
        <v>51410</v>
      </c>
      <c t="s">
        <v>53675</v>
      </c>
      <c t="s">
        <v>2517</v>
      </c>
      <c t="s">
        <v>39289</v>
      </c>
      <c>
        <v>33909</v>
      </c>
      <c t="s">
        <v>15795</v>
      </c>
      <c t="s">
        <v>48794</v>
      </c>
      <c t="s">
        <v>60112</v>
      </c>
      <c>
        <v>26118</v>
      </c>
      <c r="AI3603" t="s">
        <v>51426</v>
      </c>
      <c t="s">
        <v>24900</v>
      </c>
      <c t="s">
        <v>25384</v>
      </c>
      <c t="s">
        <v>22359</v>
      </c>
      <c r="AN3603" t="s">
        <v>50917</v>
      </c>
      <c t="s">
        <v>26890</v>
      </c>
      <c t="s">
        <v>45980</v>
      </c>
      <c t="s">
        <v>3093</v>
      </c>
      <c t="s">
        <v>7986</v>
      </c>
    </row>
    <row>
      <c t="s">
        <v>17594</v>
      </c>
      <c t="s">
        <v>8179</v>
      </c>
      <c t="s">
        <v>66841</v>
      </c>
      <c t="s">
        <v>45827</v>
      </c>
      <c t="s">
        <v>44702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3604" s="1" t="str">
        <f ca="1">HYPERLINK("https://web.datatree.com/?/property?propertyId=33358812", "https://web.datatree.com/?/property?propertyId=33358812")</f>
        <v>https://web.datatree.com/?/property?propertyId=33358812</v>
      </c>
      <c r="Q3604" t="s">
        <v>316</v>
      </c>
      <c>
        <v>0.23</v>
      </c>
      <c t="s">
        <v>6175</v>
      </c>
      <c t="s">
        <v>14336</v>
      </c>
      <c t="s">
        <v>28121</v>
      </c>
      <c r="X3604" t="s">
        <v>5865</v>
      </c>
      <c t="s">
        <v>33179</v>
      </c>
      <c t="s">
        <v>2517</v>
      </c>
      <c t="s">
        <v>39289</v>
      </c>
      <c>
        <v>33909</v>
      </c>
      <c t="s">
        <v>11772</v>
      </c>
      <c t="s">
        <v>48794</v>
      </c>
      <c t="s">
        <v>64757</v>
      </c>
      <c>
        <v>2214</v>
      </c>
      <c r="AI3604" t="s">
        <v>15692</v>
      </c>
      <c t="s">
        <v>24900</v>
      </c>
      <c r="AL3604" t="s">
        <v>32131</v>
      </c>
      <c t="s">
        <v>22539</v>
      </c>
      <c t="s">
        <v>65451</v>
      </c>
      <c t="s">
        <v>10559</v>
      </c>
      <c t="s">
        <v>11138</v>
      </c>
      <c t="s">
        <v>3093</v>
      </c>
      <c t="s">
        <v>41786</v>
      </c>
    </row>
    <row>
      <c t="s">
        <v>17594</v>
      </c>
      <c t="s">
        <v>31448</v>
      </c>
      <c t="s">
        <v>41860</v>
      </c>
      <c t="s">
        <v>59284</v>
      </c>
      <c t="s">
        <v>14631</v>
      </c>
      <c s="3">
        <v>7700</v>
      </c>
      <c s="3">
        <v>7700</v>
      </c>
      <c s="3">
        <v>7700</v>
      </c>
      <c>
        <v>0</v>
      </c>
      <c s="3">
        <v>0</v>
      </c>
      <c s="3">
        <v>640.64</v>
      </c>
      <c s="3">
        <v>7700</v>
      </c>
      <c r="O3605" s="1" t="str">
        <f ca="1">HYPERLINK("https://web.datatree.com/?/property?propertyId=33358829", "https://web.datatree.com/?/property?propertyId=33358829")</f>
        <v>https://web.datatree.com/?/property?propertyId=33358829</v>
      </c>
      <c r="Q3605" t="s">
        <v>316</v>
      </c>
      <c>
        <v>0.242</v>
      </c>
      <c t="s">
        <v>6175</v>
      </c>
      <c t="s">
        <v>44541</v>
      </c>
      <c t="s">
        <v>57260</v>
      </c>
      <c r="X3605" t="s">
        <v>35182</v>
      </c>
      <c t="s">
        <v>29190</v>
      </c>
      <c t="s">
        <v>2517</v>
      </c>
      <c t="s">
        <v>39289</v>
      </c>
      <c>
        <v>33909</v>
      </c>
      <c t="s">
        <v>36167</v>
      </c>
      <c t="s">
        <v>48794</v>
      </c>
      <c t="s">
        <v>16903</v>
      </c>
      <c>
        <v>7</v>
      </c>
      <c r="AI3605" t="s">
        <v>50778</v>
      </c>
      <c t="s">
        <v>45620</v>
      </c>
      <c r="AL3605" t="s">
        <v>64433</v>
      </c>
      <c t="s">
        <v>64433</v>
      </c>
      <c t="s">
        <v>27747</v>
      </c>
      <c t="s">
        <v>35001</v>
      </c>
      <c t="s">
        <v>12241</v>
      </c>
      <c t="s">
        <v>3093</v>
      </c>
      <c t="s">
        <v>17712</v>
      </c>
    </row>
    <row>
      <c t="s">
        <v>17594</v>
      </c>
      <c t="s">
        <v>53285</v>
      </c>
      <c t="s">
        <v>32877</v>
      </c>
      <c t="s">
        <v>49733</v>
      </c>
      <c t="s">
        <v>55306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606" s="1" t="str">
        <f ca="1">HYPERLINK("https://web.datatree.com/?/property?propertyId=33358896", "https://web.datatree.com/?/property?propertyId=33358896")</f>
        <v>https://web.datatree.com/?/property?propertyId=33358896</v>
      </c>
      <c r="Q3606" t="s">
        <v>316</v>
      </c>
      <c>
        <v>0.23</v>
      </c>
      <c t="s">
        <v>6175</v>
      </c>
      <c t="s">
        <v>50331</v>
      </c>
      <c t="s">
        <v>58051</v>
      </c>
      <c t="s">
        <v>66736</v>
      </c>
      <c t="s">
        <v>58051</v>
      </c>
      <c t="s">
        <v>22943</v>
      </c>
      <c t="s">
        <v>25017</v>
      </c>
      <c t="s">
        <v>2517</v>
      </c>
      <c t="s">
        <v>39289</v>
      </c>
      <c>
        <v>33909</v>
      </c>
      <c t="s">
        <v>35764</v>
      </c>
      <c t="s">
        <v>48794</v>
      </c>
      <c t="s">
        <v>8371</v>
      </c>
      <c>
        <v>31</v>
      </c>
      <c r="AI3606" t="s">
        <v>31961</v>
      </c>
      <c t="s">
        <v>55842</v>
      </c>
      <c r="AL3606" t="s">
        <v>37818</v>
      </c>
      <c r="AN3606" t="s">
        <v>50917</v>
      </c>
      <c t="s">
        <v>61867</v>
      </c>
      <c t="s">
        <v>15968</v>
      </c>
      <c t="s">
        <v>3093</v>
      </c>
      <c t="s">
        <v>53012</v>
      </c>
    </row>
    <row>
      <c t="s">
        <v>17594</v>
      </c>
      <c t="s">
        <v>59178</v>
      </c>
      <c t="s">
        <v>15152</v>
      </c>
      <c t="s">
        <v>31927</v>
      </c>
      <c t="s">
        <v>20530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607" s="1" t="str">
        <f ca="1">HYPERLINK("https://web.datatree.com/?/property?propertyId=33358906", "https://web.datatree.com/?/property?propertyId=33358906")</f>
        <v>https://web.datatree.com/?/property?propertyId=33358906</v>
      </c>
      <c r="Q3607" t="s">
        <v>316</v>
      </c>
      <c>
        <v>0.23</v>
      </c>
      <c t="s">
        <v>22490</v>
      </c>
      <c t="s">
        <v>66446</v>
      </c>
      <c t="s">
        <v>37673</v>
      </c>
      <c t="s">
        <v>32415</v>
      </c>
      <c t="s">
        <v>44541</v>
      </c>
      <c t="s">
        <v>32750</v>
      </c>
      <c t="s">
        <v>34136</v>
      </c>
      <c t="s">
        <v>2517</v>
      </c>
      <c t="s">
        <v>39289</v>
      </c>
      <c>
        <v>33909</v>
      </c>
      <c t="s">
        <v>14463</v>
      </c>
      <c t="s">
        <v>48794</v>
      </c>
      <c t="s">
        <v>63983</v>
      </c>
      <c>
        <v>10058</v>
      </c>
      <c r="AI3607" t="s">
        <v>54608</v>
      </c>
      <c t="s">
        <v>41372</v>
      </c>
      <c r="AL3607" t="s">
        <v>4859</v>
      </c>
      <c r="AN3607" t="s">
        <v>39289</v>
      </c>
      <c t="s">
        <v>25186</v>
      </c>
      <c t="s">
        <v>27410</v>
      </c>
      <c t="s">
        <v>3093</v>
      </c>
      <c t="s">
        <v>33569</v>
      </c>
    </row>
    <row>
      <c t="s">
        <v>17594</v>
      </c>
      <c t="s">
        <v>51622</v>
      </c>
      <c t="s">
        <v>4075</v>
      </c>
      <c t="s">
        <v>8037</v>
      </c>
      <c t="s">
        <v>36877</v>
      </c>
      <c s="3">
        <v>18137</v>
      </c>
      <c s="3">
        <v>18137</v>
      </c>
      <c s="3">
        <v>7865</v>
      </c>
      <c>
        <v>0</v>
      </c>
      <c s="3">
        <v>0</v>
      </c>
      <c s="3">
        <v>492.2</v>
      </c>
      <c s="3">
        <v>18137</v>
      </c>
      <c r="O3608" s="1" t="str">
        <f ca="1">HYPERLINK("https://web.datatree.com/?/property?propertyId=33359096", "https://web.datatree.com/?/property?propertyId=33359096")</f>
        <v>https://web.datatree.com/?/property?propertyId=33359096</v>
      </c>
      <c r="Q3608" t="s">
        <v>316</v>
      </c>
      <c>
        <v>0.245</v>
      </c>
      <c t="s">
        <v>6175</v>
      </c>
      <c t="s">
        <v>65985</v>
      </c>
      <c t="s">
        <v>35571</v>
      </c>
      <c r="X3608" t="s">
        <v>51365</v>
      </c>
      <c t="s">
        <v>39082</v>
      </c>
      <c t="s">
        <v>2517</v>
      </c>
      <c t="s">
        <v>39289</v>
      </c>
      <c>
        <v>33909</v>
      </c>
      <c t="s">
        <v>23492</v>
      </c>
      <c t="s">
        <v>48794</v>
      </c>
      <c t="s">
        <v>26509</v>
      </c>
      <c>
        <v>6</v>
      </c>
      <c r="AI3608" t="s">
        <v>47121</v>
      </c>
      <c t="s">
        <v>31192</v>
      </c>
      <c r="AL3608" t="s">
        <v>17397</v>
      </c>
      <c r="AN3608" t="s">
        <v>22275</v>
      </c>
      <c t="s">
        <v>8709</v>
      </c>
      <c t="s">
        <v>12241</v>
      </c>
      <c t="s">
        <v>3093</v>
      </c>
      <c t="s">
        <v>30157</v>
      </c>
    </row>
    <row>
      <c t="s">
        <v>17594</v>
      </c>
      <c t="s">
        <v>28875</v>
      </c>
      <c t="s">
        <v>1108</v>
      </c>
      <c t="s">
        <v>48753</v>
      </c>
      <c t="s">
        <v>6214</v>
      </c>
      <c s="3">
        <v>51680</v>
      </c>
      <c s="3">
        <v>51680</v>
      </c>
      <c s="3">
        <v>30890</v>
      </c>
      <c>
        <v>0</v>
      </c>
      <c s="3">
        <v>0</v>
      </c>
      <c s="3">
        <v>1016.52</v>
      </c>
      <c s="3">
        <v>51680</v>
      </c>
      <c r="O3609" s="1" t="str">
        <f ca="1">HYPERLINK("https://web.datatree.com/?/property?propertyId=33359850", "https://web.datatree.com/?/property?propertyId=33359850")</f>
        <v>https://web.datatree.com/?/property?propertyId=33359850</v>
      </c>
      <c r="Q3609" t="s">
        <v>316</v>
      </c>
      <c>
        <v>0.23</v>
      </c>
      <c t="s">
        <v>6175</v>
      </c>
      <c t="s">
        <v>58276</v>
      </c>
      <c t="s">
        <v>66794</v>
      </c>
      <c r="X3609" t="s">
        <v>13669</v>
      </c>
      <c t="s">
        <v>20687</v>
      </c>
      <c t="s">
        <v>2517</v>
      </c>
      <c t="s">
        <v>39289</v>
      </c>
      <c>
        <v>33904</v>
      </c>
      <c t="s">
        <v>40824</v>
      </c>
      <c t="s">
        <v>48794</v>
      </c>
      <c t="s">
        <v>3050</v>
      </c>
      <c>
        <v>25</v>
      </c>
      <c r="AI3609" t="s">
        <v>28168</v>
      </c>
      <c t="s">
        <v>31192</v>
      </c>
      <c r="AL3609" t="s">
        <v>55963</v>
      </c>
      <c t="s">
        <v>55963</v>
      </c>
      <c t="s">
        <v>50917</v>
      </c>
      <c t="s">
        <v>41455</v>
      </c>
      <c t="s">
        <v>25140</v>
      </c>
      <c t="s">
        <v>3093</v>
      </c>
      <c t="s">
        <v>34433</v>
      </c>
    </row>
    <row>
      <c t="s">
        <v>17594</v>
      </c>
      <c t="s">
        <v>2199</v>
      </c>
      <c t="s">
        <v>8246</v>
      </c>
      <c t="s">
        <v>12757</v>
      </c>
      <c t="s">
        <v>36326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610" s="1" t="str">
        <f ca="1">HYPERLINK("https://web.datatree.com/?/property?propertyId=33360015", "https://web.datatree.com/?/property?propertyId=33360015")</f>
        <v>https://web.datatree.com/?/property?propertyId=33360015</v>
      </c>
      <c r="Q3610" t="s">
        <v>316</v>
      </c>
      <c>
        <v>0.23</v>
      </c>
      <c t="s">
        <v>6175</v>
      </c>
      <c t="s">
        <v>56333</v>
      </c>
      <c t="s">
        <v>50532</v>
      </c>
      <c t="s">
        <v>5588</v>
      </c>
      <c t="s">
        <v>50532</v>
      </c>
      <c t="s">
        <v>48216</v>
      </c>
      <c t="s">
        <v>61865</v>
      </c>
      <c t="s">
        <v>2517</v>
      </c>
      <c t="s">
        <v>39289</v>
      </c>
      <c>
        <v>33909</v>
      </c>
      <c t="s">
        <v>43530</v>
      </c>
      <c t="s">
        <v>48794</v>
      </c>
      <c t="s">
        <v>21504</v>
      </c>
      <c>
        <v>38</v>
      </c>
      <c r="AI3610" t="s">
        <v>42532</v>
      </c>
      <c t="s">
        <v>31192</v>
      </c>
      <c r="AL3610" t="s">
        <v>53400</v>
      </c>
      <c r="AN3610" t="s">
        <v>50917</v>
      </c>
      <c t="s">
        <v>9230</v>
      </c>
      <c t="s">
        <v>25140</v>
      </c>
      <c t="s">
        <v>3093</v>
      </c>
      <c t="s">
        <v>29100</v>
      </c>
    </row>
    <row>
      <c t="s">
        <v>17594</v>
      </c>
      <c t="s">
        <v>3604</v>
      </c>
      <c t="s">
        <v>62425</v>
      </c>
      <c t="s">
        <v>31131</v>
      </c>
      <c t="s">
        <v>25066</v>
      </c>
      <c s="3">
        <v>29340</v>
      </c>
      <c s="3">
        <v>29340</v>
      </c>
      <c s="3">
        <v>12511</v>
      </c>
      <c>
        <v>0</v>
      </c>
      <c s="3">
        <v>0</v>
      </c>
      <c s="3">
        <v>759.99</v>
      </c>
      <c s="3">
        <v>29340</v>
      </c>
      <c>
        <v>2021</v>
      </c>
      <c>
        <v>766.62</v>
      </c>
      <c s="1" t="str">
        <f ca="1">HYPERLINK("https://web.datatree.com/?/property?propertyId=33360300", "https://web.datatree.com/?/property?propertyId=33360300")</f>
        <v>https://web.datatree.com/?/property?propertyId=33360300</v>
      </c>
      <c r="Q3611" t="s">
        <v>316</v>
      </c>
      <c>
        <v>0.344</v>
      </c>
      <c t="s">
        <v>22490</v>
      </c>
      <c t="s">
        <v>1859</v>
      </c>
      <c t="s">
        <v>48923</v>
      </c>
      <c r="X3611" t="s">
        <v>61872</v>
      </c>
      <c t="s">
        <v>66701</v>
      </c>
      <c t="s">
        <v>2517</v>
      </c>
      <c t="s">
        <v>39289</v>
      </c>
      <c>
        <v>33909</v>
      </c>
      <c t="s">
        <v>37779</v>
      </c>
      <c t="s">
        <v>48794</v>
      </c>
      <c t="s">
        <v>61358</v>
      </c>
      <c>
        <v>100</v>
      </c>
      <c r="AI3611" t="s">
        <v>36145</v>
      </c>
      <c t="s">
        <v>45620</v>
      </c>
      <c>
        <v>25</v>
      </c>
      <c t="s">
        <v>45108</v>
      </c>
      <c r="AN3611" t="s">
        <v>14509</v>
      </c>
      <c t="s">
        <v>3384</v>
      </c>
      <c t="s">
        <v>4797</v>
      </c>
      <c t="s">
        <v>3093</v>
      </c>
      <c t="s">
        <v>37650</v>
      </c>
    </row>
    <row>
      <c t="s">
        <v>17594</v>
      </c>
      <c t="s">
        <v>64937</v>
      </c>
      <c t="s">
        <v>9580</v>
      </c>
      <c t="s">
        <v>8860</v>
      </c>
      <c t="s">
        <v>13287</v>
      </c>
      <c s="3">
        <v>18582</v>
      </c>
      <c s="3">
        <v>18582</v>
      </c>
      <c s="3">
        <v>6948</v>
      </c>
      <c>
        <v>0</v>
      </c>
      <c s="3">
        <v>0</v>
      </c>
      <c s="3">
        <v>175.63</v>
      </c>
      <c s="3">
        <v>18582</v>
      </c>
      <c r="O3612" s="1" t="str">
        <f ca="1">HYPERLINK("https://web.datatree.com/?/property?propertyId=33360578", "https://web.datatree.com/?/property?propertyId=33360578")</f>
        <v>https://web.datatree.com/?/property?propertyId=33360578</v>
      </c>
      <c r="Q3612" t="s">
        <v>316</v>
      </c>
      <c>
        <v>0.342</v>
      </c>
      <c t="s">
        <v>5471</v>
      </c>
      <c r="U3612" t="s">
        <v>46527</v>
      </c>
      <c r="W3612" t="s">
        <v>62730</v>
      </c>
      <c t="s">
        <v>65749</v>
      </c>
      <c t="s">
        <v>16673</v>
      </c>
      <c t="s">
        <v>54524</v>
      </c>
      <c t="s">
        <v>39289</v>
      </c>
      <c>
        <v>33903</v>
      </c>
      <c t="s">
        <v>8049</v>
      </c>
      <c t="s">
        <v>48794</v>
      </c>
      <c t="s">
        <v>25887</v>
      </c>
      <c>
        <v>60</v>
      </c>
      <c r="AI3612" t="s">
        <v>7964</v>
      </c>
      <c t="s">
        <v>24900</v>
      </c>
      <c r="AL3612" t="s">
        <v>14113</v>
      </c>
      <c r="AN3612" t="s">
        <v>26016</v>
      </c>
      <c t="s">
        <v>20454</v>
      </c>
      <c t="s">
        <v>24994</v>
      </c>
      <c t="s">
        <v>3093</v>
      </c>
      <c t="s">
        <v>16193</v>
      </c>
    </row>
    <row>
      <c t="s">
        <v>17594</v>
      </c>
      <c t="s">
        <v>50456</v>
      </c>
      <c t="s">
        <v>23745</v>
      </c>
      <c t="s">
        <v>11189</v>
      </c>
      <c t="s">
        <v>18260</v>
      </c>
      <c s="3">
        <v>63309</v>
      </c>
      <c s="3">
        <v>63309</v>
      </c>
      <c s="3">
        <v>51700</v>
      </c>
      <c>
        <v>0</v>
      </c>
      <c s="3">
        <v>0</v>
      </c>
      <c s="3">
        <v>1395.2</v>
      </c>
      <c s="3">
        <v>63309</v>
      </c>
      <c r="O3613" s="1" t="str">
        <f ca="1">HYPERLINK("https://web.datatree.com/?/property?propertyId=33360971", "https://web.datatree.com/?/property?propertyId=33360971")</f>
        <v>https://web.datatree.com/?/property?propertyId=33360971</v>
      </c>
      <c r="Q3613" t="s">
        <v>316</v>
      </c>
      <c>
        <v>0.239</v>
      </c>
      <c t="s">
        <v>6175</v>
      </c>
      <c t="s">
        <v>25238</v>
      </c>
      <c t="s">
        <v>35830</v>
      </c>
      <c t="s">
        <v>36057</v>
      </c>
      <c t="s">
        <v>35830</v>
      </c>
      <c t="s">
        <v>15774</v>
      </c>
      <c t="s">
        <v>64331</v>
      </c>
      <c t="s">
        <v>2517</v>
      </c>
      <c t="s">
        <v>39289</v>
      </c>
      <c>
        <v>33904</v>
      </c>
      <c t="s">
        <v>44169</v>
      </c>
      <c t="s">
        <v>48794</v>
      </c>
      <c t="s">
        <v>3239</v>
      </c>
      <c>
        <v>2501</v>
      </c>
      <c r="AI3613" t="s">
        <v>1230</v>
      </c>
      <c t="s">
        <v>24900</v>
      </c>
      <c r="AL3613" t="s">
        <v>37689</v>
      </c>
      <c r="AN3613" t="s">
        <v>19878</v>
      </c>
      <c t="s">
        <v>11929</v>
      </c>
      <c t="s">
        <v>32746</v>
      </c>
      <c t="s">
        <v>3093</v>
      </c>
      <c t="s">
        <v>51511</v>
      </c>
    </row>
    <row>
      <c t="s">
        <v>17594</v>
      </c>
      <c t="s">
        <v>42434</v>
      </c>
      <c t="s">
        <v>27286</v>
      </c>
      <c t="s">
        <v>8954</v>
      </c>
      <c t="s">
        <v>8188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614" s="1" t="str">
        <f ca="1">HYPERLINK("https://web.datatree.com/?/property?propertyId=33360992", "https://web.datatree.com/?/property?propertyId=33360992")</f>
        <v>https://web.datatree.com/?/property?propertyId=33360992</v>
      </c>
      <c r="Q3614" t="s">
        <v>316</v>
      </c>
      <c>
        <v>0.23</v>
      </c>
      <c t="s">
        <v>22490</v>
      </c>
      <c t="s">
        <v>61272</v>
      </c>
      <c t="s">
        <v>58076</v>
      </c>
      <c r="X3614" t="s">
        <v>42717</v>
      </c>
      <c t="s">
        <v>25017</v>
      </c>
      <c t="s">
        <v>2517</v>
      </c>
      <c t="s">
        <v>39289</v>
      </c>
      <c>
        <v>33909</v>
      </c>
      <c t="s">
        <v>33712</v>
      </c>
      <c t="s">
        <v>48794</v>
      </c>
      <c t="s">
        <v>61232</v>
      </c>
      <c>
        <v>5291</v>
      </c>
      <c r="AI3614" t="s">
        <v>2626</v>
      </c>
      <c t="s">
        <v>39321</v>
      </c>
      <c r="AL3614" t="s">
        <v>47510</v>
      </c>
      <c t="s">
        <v>55393</v>
      </c>
      <c t="s">
        <v>39289</v>
      </c>
      <c t="s">
        <v>24363</v>
      </c>
      <c t="s">
        <v>11138</v>
      </c>
      <c t="s">
        <v>3093</v>
      </c>
      <c t="s">
        <v>57349</v>
      </c>
    </row>
    <row>
      <c t="s">
        <v>17594</v>
      </c>
      <c t="s">
        <v>60400</v>
      </c>
      <c t="s">
        <v>32967</v>
      </c>
      <c t="s">
        <v>6054</v>
      </c>
      <c t="s">
        <v>29114</v>
      </c>
      <c s="3">
        <v>37307</v>
      </c>
      <c s="3">
        <v>37178</v>
      </c>
      <c s="3">
        <v>27958</v>
      </c>
      <c>
        <v>0</v>
      </c>
      <c s="3">
        <v>0</v>
      </c>
      <c s="3">
        <v>447.46</v>
      </c>
      <c s="3">
        <v>37307</v>
      </c>
      <c r="O3615" s="1" t="str">
        <f ca="1">HYPERLINK("https://web.datatree.com/?/property?propertyId=33361634", "https://web.datatree.com/?/property?propertyId=33361634")</f>
        <v>https://web.datatree.com/?/property?propertyId=33361634</v>
      </c>
      <c>
        <v>836</v>
      </c>
      <c t="s">
        <v>316</v>
      </c>
      <c>
        <v>0.076</v>
      </c>
      <c t="s">
        <v>54329</v>
      </c>
      <c t="s">
        <v>45883</v>
      </c>
      <c t="s">
        <v>10419</v>
      </c>
      <c t="s">
        <v>58892</v>
      </c>
      <c t="s">
        <v>10419</v>
      </c>
      <c t="s">
        <v>23228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11243</v>
      </c>
      <c>
        <v>1302</v>
      </c>
      <c r="AI3615" t="s">
        <v>5105</v>
      </c>
      <c t="s">
        <v>45393</v>
      </c>
      <c r="AL3615" t="s">
        <v>17179</v>
      </c>
      <c r="AN3615" t="s">
        <v>49572</v>
      </c>
      <c t="s">
        <v>8129</v>
      </c>
      <c t="s">
        <v>12241</v>
      </c>
      <c t="s">
        <v>3093</v>
      </c>
      <c t="s">
        <v>50543</v>
      </c>
      <c>
        <v>1984</v>
      </c>
    </row>
    <row>
      <c t="s">
        <v>17594</v>
      </c>
      <c t="s">
        <v>63663</v>
      </c>
      <c t="s">
        <v>902</v>
      </c>
      <c t="s">
        <v>61130</v>
      </c>
      <c t="s">
        <v>24255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3616" s="1" t="str">
        <f ca="1">HYPERLINK("https://web.datatree.com/?/property?propertyId=33362436", "https://web.datatree.com/?/property?propertyId=33362436")</f>
        <v>https://web.datatree.com/?/property?propertyId=33362436</v>
      </c>
      <c r="Q3616" t="s">
        <v>316</v>
      </c>
      <c>
        <v>0.23</v>
      </c>
      <c t="s">
        <v>45031</v>
      </c>
      <c t="s">
        <v>57514</v>
      </c>
      <c t="s">
        <v>44098</v>
      </c>
      <c r="X3616" t="s">
        <v>41480</v>
      </c>
      <c t="s">
        <v>22731</v>
      </c>
      <c t="s">
        <v>2517</v>
      </c>
      <c t="s">
        <v>39289</v>
      </c>
      <c>
        <v>33909</v>
      </c>
      <c t="s">
        <v>53151</v>
      </c>
      <c t="s">
        <v>48794</v>
      </c>
      <c t="s">
        <v>12606</v>
      </c>
      <c>
        <v>10</v>
      </c>
      <c r="AI3616" t="s">
        <v>62398</v>
      </c>
      <c t="s">
        <v>45393</v>
      </c>
      <c r="AL3616" t="s">
        <v>63672</v>
      </c>
      <c r="AN3616" t="s">
        <v>53599</v>
      </c>
      <c>
        <v>145</v>
      </c>
      <c r="AR3616" t="s">
        <v>49642</v>
      </c>
    </row>
    <row>
      <c t="s">
        <v>17594</v>
      </c>
      <c t="s">
        <v>39285</v>
      </c>
      <c t="s">
        <v>33667</v>
      </c>
      <c t="s">
        <v>52265</v>
      </c>
      <c t="s">
        <v>35168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3617" s="1" t="str">
        <f ca="1">HYPERLINK("https://web.datatree.com/?/property?propertyId=33362512", "https://web.datatree.com/?/property?propertyId=33362512")</f>
        <v>https://web.datatree.com/?/property?propertyId=33362512</v>
      </c>
      <c r="Q3617" t="s">
        <v>316</v>
      </c>
      <c>
        <v>0.244</v>
      </c>
      <c t="s">
        <v>6175</v>
      </c>
      <c t="s">
        <v>8444</v>
      </c>
      <c t="s">
        <v>35237</v>
      </c>
      <c t="s">
        <v>46916</v>
      </c>
      <c t="s">
        <v>35237</v>
      </c>
      <c t="s">
        <v>37518</v>
      </c>
      <c t="s">
        <v>30928</v>
      </c>
      <c t="s">
        <v>2517</v>
      </c>
      <c t="s">
        <v>39289</v>
      </c>
      <c>
        <v>33909</v>
      </c>
      <c t="s">
        <v>28362</v>
      </c>
      <c t="s">
        <v>48794</v>
      </c>
      <c t="s">
        <v>40315</v>
      </c>
      <c>
        <v>117</v>
      </c>
      <c r="AI3617" t="s">
        <v>15117</v>
      </c>
      <c t="s">
        <v>4985</v>
      </c>
      <c r="AL3617" t="s">
        <v>65537</v>
      </c>
      <c r="AN3617" t="s">
        <v>26016</v>
      </c>
      <c t="s">
        <v>44486</v>
      </c>
      <c t="s">
        <v>3364</v>
      </c>
      <c t="s">
        <v>3093</v>
      </c>
      <c t="s">
        <v>43528</v>
      </c>
    </row>
    <row>
      <c t="s">
        <v>17594</v>
      </c>
      <c t="s">
        <v>32313</v>
      </c>
      <c t="s">
        <v>47226</v>
      </c>
      <c t="s">
        <v>38245</v>
      </c>
      <c t="s">
        <v>25717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3618" s="1" t="str">
        <f ca="1">HYPERLINK("https://web.datatree.com/?/property?propertyId=33363546", "https://web.datatree.com/?/property?propertyId=33363546")</f>
        <v>https://web.datatree.com/?/property?propertyId=33363546</v>
      </c>
      <c r="Q3618" t="s">
        <v>316</v>
      </c>
      <c>
        <v>0.244</v>
      </c>
      <c t="s">
        <v>22490</v>
      </c>
      <c t="s">
        <v>60638</v>
      </c>
      <c t="s">
        <v>7714</v>
      </c>
      <c t="s">
        <v>18547</v>
      </c>
      <c t="s">
        <v>15358</v>
      </c>
      <c t="s">
        <v>38722</v>
      </c>
      <c t="s">
        <v>66701</v>
      </c>
      <c t="s">
        <v>2517</v>
      </c>
      <c t="s">
        <v>39289</v>
      </c>
      <c>
        <v>33909</v>
      </c>
      <c t="s">
        <v>32727</v>
      </c>
      <c t="s">
        <v>48794</v>
      </c>
      <c t="s">
        <v>35327</v>
      </c>
      <c>
        <v>73</v>
      </c>
      <c r="AI3618" t="s">
        <v>64748</v>
      </c>
      <c t="s">
        <v>24900</v>
      </c>
      <c r="AL3618" t="s">
        <v>4336</v>
      </c>
      <c r="AN3618" t="s">
        <v>50917</v>
      </c>
      <c t="s">
        <v>29453</v>
      </c>
      <c t="s">
        <v>42082</v>
      </c>
      <c t="s">
        <v>3093</v>
      </c>
      <c t="s">
        <v>49915</v>
      </c>
    </row>
    <row>
      <c t="s">
        <v>17594</v>
      </c>
      <c t="s">
        <v>15569</v>
      </c>
      <c t="s">
        <v>43370</v>
      </c>
      <c t="s">
        <v>19703</v>
      </c>
      <c t="s">
        <v>47488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619" s="1" t="str">
        <f ca="1">HYPERLINK("https://web.datatree.com/?/property?propertyId=33363567", "https://web.datatree.com/?/property?propertyId=33363567")</f>
        <v>https://web.datatree.com/?/property?propertyId=33363567</v>
      </c>
      <c r="Q3619" t="s">
        <v>316</v>
      </c>
      <c>
        <v>0.23</v>
      </c>
      <c t="s">
        <v>6175</v>
      </c>
      <c t="s">
        <v>10361</v>
      </c>
      <c t="s">
        <v>18343</v>
      </c>
      <c t="s">
        <v>42532</v>
      </c>
      <c t="s">
        <v>17162</v>
      </c>
      <c t="s">
        <v>55658</v>
      </c>
      <c t="s">
        <v>10653</v>
      </c>
      <c t="s">
        <v>2517</v>
      </c>
      <c t="s">
        <v>39289</v>
      </c>
      <c>
        <v>33909</v>
      </c>
      <c t="s">
        <v>65652</v>
      </c>
      <c t="s">
        <v>48794</v>
      </c>
      <c t="s">
        <v>16524</v>
      </c>
      <c>
        <v>107</v>
      </c>
      <c r="AI3619" t="s">
        <v>9816</v>
      </c>
      <c t="s">
        <v>31192</v>
      </c>
      <c r="AL3619" t="s">
        <v>8619</v>
      </c>
      <c r="AN3619" t="s">
        <v>39289</v>
      </c>
      <c t="s">
        <v>60141</v>
      </c>
      <c t="s">
        <v>53800</v>
      </c>
      <c t="s">
        <v>3093</v>
      </c>
      <c t="s">
        <v>21908</v>
      </c>
    </row>
    <row>
      <c t="s">
        <v>17594</v>
      </c>
      <c t="s">
        <v>53107</v>
      </c>
      <c t="s">
        <v>60752</v>
      </c>
      <c t="s">
        <v>26699</v>
      </c>
      <c t="s">
        <v>11007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>
        <v>2020</v>
      </c>
      <c>
        <v>1159.24</v>
      </c>
      <c s="1" t="str">
        <f ca="1">HYPERLINK("https://web.datatree.com/?/property?propertyId=33363967", "https://web.datatree.com/?/property?propertyId=33363967")</f>
        <v>https://web.datatree.com/?/property?propertyId=33363967</v>
      </c>
      <c r="Q3620" t="s">
        <v>316</v>
      </c>
      <c>
        <v>0.23</v>
      </c>
      <c t="s">
        <v>22490</v>
      </c>
      <c t="s">
        <v>52701</v>
      </c>
      <c t="s">
        <v>40611</v>
      </c>
      <c r="X3620" t="s">
        <v>37037</v>
      </c>
      <c t="s">
        <v>22731</v>
      </c>
      <c t="s">
        <v>2517</v>
      </c>
      <c t="s">
        <v>39289</v>
      </c>
      <c>
        <v>33909</v>
      </c>
      <c t="s">
        <v>8445</v>
      </c>
      <c t="s">
        <v>48794</v>
      </c>
      <c t="s">
        <v>36569</v>
      </c>
      <c>
        <v>8404</v>
      </c>
      <c r="AI3620" t="s">
        <v>9446</v>
      </c>
      <c t="s">
        <v>45620</v>
      </c>
      <c>
        <v>234</v>
      </c>
      <c t="s">
        <v>4859</v>
      </c>
      <c t="s">
        <v>4859</v>
      </c>
      <c t="s">
        <v>39289</v>
      </c>
      <c t="s">
        <v>7517</v>
      </c>
      <c t="s">
        <v>43446</v>
      </c>
      <c t="s">
        <v>3093</v>
      </c>
      <c t="s">
        <v>48902</v>
      </c>
    </row>
    <row>
      <c t="s">
        <v>17594</v>
      </c>
      <c t="s">
        <v>2782</v>
      </c>
      <c t="s">
        <v>54557</v>
      </c>
      <c t="s">
        <v>13299</v>
      </c>
      <c t="s">
        <v>49913</v>
      </c>
      <c s="3">
        <v>23623</v>
      </c>
      <c s="3">
        <v>23623</v>
      </c>
      <c s="3">
        <v>23623</v>
      </c>
      <c>
        <v>0</v>
      </c>
      <c s="3">
        <v>0</v>
      </c>
      <c s="3">
        <v>789.36</v>
      </c>
      <c s="3">
        <v>23623</v>
      </c>
      <c r="O3621" s="1" t="str">
        <f ca="1">HYPERLINK("https://web.datatree.com/?/property?propertyId=33364055", "https://web.datatree.com/?/property?propertyId=33364055")</f>
        <v>https://web.datatree.com/?/property?propertyId=33364055</v>
      </c>
      <c r="Q3621" t="s">
        <v>316</v>
      </c>
      <c>
        <v>0.23</v>
      </c>
      <c t="s">
        <v>22490</v>
      </c>
      <c t="s">
        <v>34217</v>
      </c>
      <c t="s">
        <v>5185</v>
      </c>
      <c t="s">
        <v>50459</v>
      </c>
      <c t="s">
        <v>64410</v>
      </c>
      <c t="s">
        <v>19190</v>
      </c>
      <c t="s">
        <v>30928</v>
      </c>
      <c t="s">
        <v>2517</v>
      </c>
      <c t="s">
        <v>39289</v>
      </c>
      <c>
        <v>33909</v>
      </c>
      <c t="s">
        <v>66226</v>
      </c>
      <c t="s">
        <v>48794</v>
      </c>
      <c t="s">
        <v>19312</v>
      </c>
      <c>
        <v>2311</v>
      </c>
      <c r="AI3621" t="s">
        <v>55279</v>
      </c>
      <c t="s">
        <v>4985</v>
      </c>
      <c>
        <v>111</v>
      </c>
      <c t="s">
        <v>2517</v>
      </c>
      <c t="s">
        <v>5749</v>
      </c>
      <c t="s">
        <v>39289</v>
      </c>
      <c t="s">
        <v>32085</v>
      </c>
      <c t="s">
        <v>38014</v>
      </c>
      <c t="s">
        <v>3093</v>
      </c>
      <c t="s">
        <v>15687</v>
      </c>
    </row>
    <row>
      <c t="s">
        <v>42103</v>
      </c>
      <c t="s">
        <v>25796</v>
      </c>
      <c t="s">
        <v>55189</v>
      </c>
      <c t="s">
        <v>20315</v>
      </c>
      <c t="s">
        <v>18541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622" s="1" t="str">
        <f ca="1">HYPERLINK("https://web.datatree.com/?/property?propertyId=33364278", "https://web.datatree.com/?/property?propertyId=33364278")</f>
        <v>https://web.datatree.com/?/property?propertyId=33364278</v>
      </c>
      <c r="Q3622" t="s">
        <v>316</v>
      </c>
      <c>
        <v>0.23</v>
      </c>
      <c t="s">
        <v>42044</v>
      </c>
      <c t="s">
        <v>47754</v>
      </c>
      <c t="s">
        <v>60887</v>
      </c>
      <c t="s">
        <v>35980</v>
      </c>
      <c t="s">
        <v>43112</v>
      </c>
      <c t="s">
        <v>54665</v>
      </c>
      <c t="s">
        <v>13478</v>
      </c>
      <c t="s">
        <v>2517</v>
      </c>
      <c t="s">
        <v>39289</v>
      </c>
      <c>
        <v>33909</v>
      </c>
      <c t="s">
        <v>54684</v>
      </c>
      <c t="s">
        <v>48794</v>
      </c>
      <c t="s">
        <v>22621</v>
      </c>
      <c r="AI3622" t="s">
        <v>21403</v>
      </c>
      <c r="AL3622" t="s">
        <v>44161</v>
      </c>
      <c r="AN3622" t="s">
        <v>9533</v>
      </c>
      <c>
        <v>735</v>
      </c>
      <c t="s">
        <v>23536</v>
      </c>
      <c t="s">
        <v>3093</v>
      </c>
      <c t="s">
        <v>8369</v>
      </c>
    </row>
    <row>
      <c t="s">
        <v>17594</v>
      </c>
      <c t="s">
        <v>45265</v>
      </c>
      <c t="s">
        <v>43413</v>
      </c>
      <c t="s">
        <v>4334</v>
      </c>
      <c t="s">
        <v>57882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623" s="1" t="str">
        <f ca="1">HYPERLINK("https://web.datatree.com/?/property?propertyId=33365778", "https://web.datatree.com/?/property?propertyId=33365778")</f>
        <v>https://web.datatree.com/?/property?propertyId=33365778</v>
      </c>
      <c r="Q3623" t="s">
        <v>316</v>
      </c>
      <c>
        <v>0.23</v>
      </c>
      <c t="s">
        <v>22490</v>
      </c>
      <c t="s">
        <v>2140</v>
      </c>
      <c t="s">
        <v>22624</v>
      </c>
      <c t="s">
        <v>53790</v>
      </c>
      <c t="s">
        <v>4319</v>
      </c>
      <c t="s">
        <v>33880</v>
      </c>
      <c t="s">
        <v>39082</v>
      </c>
      <c t="s">
        <v>2517</v>
      </c>
      <c t="s">
        <v>39289</v>
      </c>
      <c>
        <v>33909</v>
      </c>
      <c t="s">
        <v>9620</v>
      </c>
      <c t="s">
        <v>48794</v>
      </c>
      <c t="s">
        <v>46122</v>
      </c>
      <c>
        <v>1439</v>
      </c>
      <c r="AI3623" t="s">
        <v>54998</v>
      </c>
      <c t="s">
        <v>45620</v>
      </c>
      <c r="AL3623" t="s">
        <v>43451</v>
      </c>
      <c r="AN3623" t="s">
        <v>65467</v>
      </c>
      <c t="s">
        <v>46107</v>
      </c>
      <c t="s">
        <v>44428</v>
      </c>
      <c t="s">
        <v>3093</v>
      </c>
      <c t="s">
        <v>3344</v>
      </c>
    </row>
    <row>
      <c t="s">
        <v>17594</v>
      </c>
      <c t="s">
        <v>28359</v>
      </c>
      <c t="s">
        <v>19593</v>
      </c>
      <c t="s">
        <v>46968</v>
      </c>
      <c t="s">
        <v>59026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624" s="1" t="str">
        <f ca="1">HYPERLINK("https://web.datatree.com/?/property?propertyId=33365821", "https://web.datatree.com/?/property?propertyId=33365821")</f>
        <v>https://web.datatree.com/?/property?propertyId=33365821</v>
      </c>
      <c r="Q3624" t="s">
        <v>316</v>
      </c>
      <c>
        <v>0.235</v>
      </c>
      <c t="s">
        <v>5471</v>
      </c>
      <c t="s">
        <v>39139</v>
      </c>
      <c t="s">
        <v>53465</v>
      </c>
      <c t="s">
        <v>52045</v>
      </c>
      <c t="s">
        <v>53465</v>
      </c>
      <c t="s">
        <v>67114</v>
      </c>
      <c t="s">
        <v>17915</v>
      </c>
      <c t="s">
        <v>65059</v>
      </c>
      <c t="s">
        <v>39289</v>
      </c>
      <c>
        <v>33905</v>
      </c>
      <c>
        <v>33905</v>
      </c>
      <c t="s">
        <v>48794</v>
      </c>
      <c t="s">
        <v>39264</v>
      </c>
      <c>
        <v>391</v>
      </c>
      <c r="AI3624" t="s">
        <v>16321</v>
      </c>
      <c t="s">
        <v>45620</v>
      </c>
      <c r="AL3624" t="s">
        <v>53966</v>
      </c>
      <c t="s">
        <v>40227</v>
      </c>
      <c t="s">
        <v>50917</v>
      </c>
      <c t="s">
        <v>16148</v>
      </c>
      <c t="s">
        <v>14695</v>
      </c>
      <c t="s">
        <v>3093</v>
      </c>
      <c t="s">
        <v>21714</v>
      </c>
    </row>
    <row>
      <c t="s">
        <v>17594</v>
      </c>
      <c t="s">
        <v>11352</v>
      </c>
      <c t="s">
        <v>4696</v>
      </c>
      <c t="s">
        <v>20669</v>
      </c>
      <c t="s">
        <v>47484</v>
      </c>
      <c s="3">
        <v>8600</v>
      </c>
      <c s="3">
        <v>8600</v>
      </c>
      <c s="3">
        <v>8600</v>
      </c>
      <c>
        <v>0</v>
      </c>
      <c s="3">
        <v>0</v>
      </c>
      <c s="3">
        <v>2821.46</v>
      </c>
      <c s="3">
        <v>8600</v>
      </c>
      <c r="O3625" s="1" t="str">
        <f ca="1">HYPERLINK("https://web.datatree.com/?/property?propertyId=33366140", "https://web.datatree.com/?/property?propertyId=33366140")</f>
        <v>https://web.datatree.com/?/property?propertyId=33366140</v>
      </c>
      <c r="Q3625" t="s">
        <v>316</v>
      </c>
      <c>
        <v>0.226</v>
      </c>
      <c t="s">
        <v>6175</v>
      </c>
      <c t="s">
        <v>52347</v>
      </c>
      <c t="s">
        <v>55948</v>
      </c>
      <c t="s">
        <v>222</v>
      </c>
      <c t="s">
        <v>55948</v>
      </c>
      <c t="s">
        <v>46524</v>
      </c>
      <c t="s">
        <v>61865</v>
      </c>
      <c t="s">
        <v>2517</v>
      </c>
      <c t="s">
        <v>39289</v>
      </c>
      <c>
        <v>33909</v>
      </c>
      <c t="s">
        <v>1268</v>
      </c>
      <c t="s">
        <v>48794</v>
      </c>
      <c t="s">
        <v>29835</v>
      </c>
      <c>
        <v>2589</v>
      </c>
      <c r="AI3625" t="s">
        <v>60602</v>
      </c>
      <c t="s">
        <v>7412</v>
      </c>
      <c r="AL3625" t="s">
        <v>2602</v>
      </c>
      <c r="AN3625" t="s">
        <v>10909</v>
      </c>
      <c t="s">
        <v>22761</v>
      </c>
      <c r="AQ3625" t="s">
        <v>27814</v>
      </c>
      <c t="s">
        <v>20852</v>
      </c>
    </row>
    <row>
      <c t="s">
        <v>17594</v>
      </c>
      <c t="s">
        <v>40851</v>
      </c>
      <c t="s">
        <v>45083</v>
      </c>
      <c t="s">
        <v>67246</v>
      </c>
      <c t="s">
        <v>1415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626" s="1" t="str">
        <f ca="1">HYPERLINK("https://web.datatree.com/?/property?propertyId=33366847", "https://web.datatree.com/?/property?propertyId=33366847")</f>
        <v>https://web.datatree.com/?/property?propertyId=33366847</v>
      </c>
      <c r="Q3626" t="s">
        <v>316</v>
      </c>
      <c>
        <v>0.23</v>
      </c>
      <c t="s">
        <v>22490</v>
      </c>
      <c r="U3626" t="s">
        <v>33979</v>
      </c>
      <c r="X3626" t="s">
        <v>60700</v>
      </c>
      <c t="s">
        <v>2626</v>
      </c>
      <c t="s">
        <v>2517</v>
      </c>
      <c t="s">
        <v>39289</v>
      </c>
      <c>
        <v>33909</v>
      </c>
      <c t="s">
        <v>53751</v>
      </c>
      <c t="s">
        <v>48794</v>
      </c>
      <c t="s">
        <v>3919</v>
      </c>
      <c>
        <v>11074</v>
      </c>
      <c r="AH3626" t="s">
        <v>60953</v>
      </c>
      <c t="s">
        <v>47261</v>
      </c>
      <c t="s">
        <v>31192</v>
      </c>
      <c r="AL3626" t="s">
        <v>27266</v>
      </c>
      <c r="AN3626" t="s">
        <v>10804</v>
      </c>
      <c t="s">
        <v>38768</v>
      </c>
      <c t="s">
        <v>66341</v>
      </c>
      <c t="s">
        <v>3093</v>
      </c>
      <c t="s">
        <v>67200</v>
      </c>
    </row>
    <row>
      <c t="s">
        <v>17594</v>
      </c>
      <c t="s">
        <v>7270</v>
      </c>
      <c t="s">
        <v>10107</v>
      </c>
      <c t="s">
        <v>49402</v>
      </c>
      <c t="s">
        <v>26070</v>
      </c>
      <c s="3">
        <v>15675</v>
      </c>
      <c s="3">
        <v>15675</v>
      </c>
      <c s="3">
        <v>5657</v>
      </c>
      <c>
        <v>0</v>
      </c>
      <c s="3">
        <v>0</v>
      </c>
      <c s="3">
        <v>334.6</v>
      </c>
      <c s="3">
        <v>15675</v>
      </c>
      <c r="O3627" s="1" t="str">
        <f ca="1">HYPERLINK("https://web.datatree.com/?/property?propertyId=33367428", "https://web.datatree.com/?/property?propertyId=33367428")</f>
        <v>https://web.datatree.com/?/property?propertyId=33367428</v>
      </c>
      <c r="Q3627" t="s">
        <v>316</v>
      </c>
      <c>
        <v>0.238</v>
      </c>
      <c t="s">
        <v>5471</v>
      </c>
      <c t="s">
        <v>30591</v>
      </c>
      <c t="s">
        <v>13017</v>
      </c>
      <c r="X3627" t="s">
        <v>3671</v>
      </c>
      <c t="s">
        <v>51919</v>
      </c>
      <c t="s">
        <v>65059</v>
      </c>
      <c t="s">
        <v>39289</v>
      </c>
      <c>
        <v>33905</v>
      </c>
      <c t="s">
        <v>9115</v>
      </c>
      <c t="s">
        <v>48794</v>
      </c>
      <c t="s">
        <v>24357</v>
      </c>
      <c>
        <v>244</v>
      </c>
      <c r="AI3627" t="s">
        <v>48265</v>
      </c>
      <c t="s">
        <v>55842</v>
      </c>
      <c r="AL3627" t="s">
        <v>37363</v>
      </c>
      <c r="AN3627" t="s">
        <v>50917</v>
      </c>
      <c t="s">
        <v>54039</v>
      </c>
      <c t="s">
        <v>15968</v>
      </c>
      <c t="s">
        <v>3093</v>
      </c>
      <c t="s">
        <v>6812</v>
      </c>
    </row>
    <row>
      <c t="s">
        <v>17594</v>
      </c>
      <c t="s">
        <v>66854</v>
      </c>
      <c t="s">
        <v>34009</v>
      </c>
      <c t="s">
        <v>8014</v>
      </c>
      <c t="s">
        <v>14373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628" s="1" t="str">
        <f ca="1">HYPERLINK("https://web.datatree.com/?/property?propertyId=33367694", "https://web.datatree.com/?/property?propertyId=33367694")</f>
        <v>https://web.datatree.com/?/property?propertyId=33367694</v>
      </c>
      <c r="Q3628" t="s">
        <v>316</v>
      </c>
      <c>
        <v>0.23</v>
      </c>
      <c t="s">
        <v>6175</v>
      </c>
      <c t="s">
        <v>49741</v>
      </c>
      <c t="s">
        <v>9640</v>
      </c>
      <c t="s">
        <v>24179</v>
      </c>
      <c t="s">
        <v>49822</v>
      </c>
      <c t="s">
        <v>64531</v>
      </c>
      <c t="s">
        <v>25017</v>
      </c>
      <c t="s">
        <v>2517</v>
      </c>
      <c t="s">
        <v>39289</v>
      </c>
      <c>
        <v>33909</v>
      </c>
      <c t="s">
        <v>4057</v>
      </c>
      <c t="s">
        <v>48794</v>
      </c>
      <c t="s">
        <v>24337</v>
      </c>
      <c>
        <v>3</v>
      </c>
      <c r="AI3628" t="s">
        <v>17339</v>
      </c>
      <c t="s">
        <v>24900</v>
      </c>
      <c r="AL3628" t="s">
        <v>51962</v>
      </c>
      <c r="AN3628" t="s">
        <v>50917</v>
      </c>
      <c t="s">
        <v>6514</v>
      </c>
      <c t="s">
        <v>49842</v>
      </c>
      <c t="s">
        <v>3093</v>
      </c>
      <c t="s">
        <v>35992</v>
      </c>
    </row>
    <row>
      <c t="s">
        <v>17594</v>
      </c>
      <c t="s">
        <v>9938</v>
      </c>
      <c t="s">
        <v>49683</v>
      </c>
      <c t="s">
        <v>2803</v>
      </c>
      <c t="s">
        <v>34532</v>
      </c>
      <c s="3">
        <v>14982</v>
      </c>
      <c s="3">
        <v>14982</v>
      </c>
      <c s="3">
        <v>6133</v>
      </c>
      <c>
        <v>0</v>
      </c>
      <c s="3">
        <v>0</v>
      </c>
      <c s="3">
        <v>342.86</v>
      </c>
      <c s="3">
        <v>14982</v>
      </c>
      <c r="O3629" s="1" t="str">
        <f ca="1">HYPERLINK("https://web.datatree.com/?/property?propertyId=33367841", "https://web.datatree.com/?/property?propertyId=33367841")</f>
        <v>https://web.datatree.com/?/property?propertyId=33367841</v>
      </c>
      <c r="Q3629" t="s">
        <v>316</v>
      </c>
      <c>
        <v>0.277</v>
      </c>
      <c t="s">
        <v>19439</v>
      </c>
      <c t="s">
        <v>38202</v>
      </c>
      <c t="s">
        <v>8291</v>
      </c>
      <c r="X3629" t="s">
        <v>28904</v>
      </c>
      <c t="s">
        <v>51919</v>
      </c>
      <c t="s">
        <v>65059</v>
      </c>
      <c t="s">
        <v>39289</v>
      </c>
      <c>
        <v>33905</v>
      </c>
      <c>
        <v>33905</v>
      </c>
      <c t="s">
        <v>48794</v>
      </c>
      <c t="s">
        <v>10272</v>
      </c>
      <c>
        <v>2910</v>
      </c>
      <c r="AI3629" t="s">
        <v>18679</v>
      </c>
      <c t="s">
        <v>24900</v>
      </c>
      <c r="AL3629" t="s">
        <v>41642</v>
      </c>
      <c t="s">
        <v>41642</v>
      </c>
      <c t="s">
        <v>39289</v>
      </c>
      <c t="s">
        <v>37434</v>
      </c>
      <c t="s">
        <v>34025</v>
      </c>
      <c t="s">
        <v>3093</v>
      </c>
      <c t="s">
        <v>51143</v>
      </c>
    </row>
    <row>
      <c t="s">
        <v>17594</v>
      </c>
      <c t="s">
        <v>55650</v>
      </c>
      <c t="s">
        <v>61683</v>
      </c>
      <c t="s">
        <v>37847</v>
      </c>
      <c t="s">
        <v>57890</v>
      </c>
      <c s="3">
        <v>18361</v>
      </c>
      <c s="3">
        <v>18361</v>
      </c>
      <c s="3">
        <v>9339</v>
      </c>
      <c>
        <v>0</v>
      </c>
      <c s="3">
        <v>0</v>
      </c>
      <c s="3">
        <v>575.99</v>
      </c>
      <c s="3">
        <v>18361</v>
      </c>
      <c r="O3630" s="1" t="str">
        <f ca="1">HYPERLINK("https://web.datatree.com/?/property?propertyId=33367843", "https://web.datatree.com/?/property?propertyId=33367843")</f>
        <v>https://web.datatree.com/?/property?propertyId=33367843</v>
      </c>
      <c r="Q3630" t="s">
        <v>316</v>
      </c>
      <c>
        <v>0.23</v>
      </c>
      <c t="s">
        <v>28270</v>
      </c>
      <c t="s">
        <v>61669</v>
      </c>
      <c t="s">
        <v>14082</v>
      </c>
      <c t="s">
        <v>9877</v>
      </c>
      <c t="s">
        <v>12532</v>
      </c>
      <c t="s">
        <v>7729</v>
      </c>
      <c t="s">
        <v>39082</v>
      </c>
      <c t="s">
        <v>2517</v>
      </c>
      <c t="s">
        <v>39289</v>
      </c>
      <c>
        <v>33909</v>
      </c>
      <c t="s">
        <v>11628</v>
      </c>
      <c t="s">
        <v>48794</v>
      </c>
      <c t="s">
        <v>37782</v>
      </c>
      <c>
        <v>1382</v>
      </c>
      <c r="AI3630" t="s">
        <v>41313</v>
      </c>
      <c t="s">
        <v>24900</v>
      </c>
      <c t="s">
        <v>26058</v>
      </c>
      <c t="s">
        <v>6144</v>
      </c>
      <c t="s">
        <v>13397</v>
      </c>
      <c t="s">
        <v>50917</v>
      </c>
      <c t="s">
        <v>17571</v>
      </c>
      <c t="s">
        <v>12241</v>
      </c>
      <c t="s">
        <v>3093</v>
      </c>
      <c t="s">
        <v>56989</v>
      </c>
    </row>
    <row>
      <c t="s">
        <v>17594</v>
      </c>
      <c t="s">
        <v>25191</v>
      </c>
      <c t="s">
        <v>29075</v>
      </c>
      <c t="s">
        <v>58744</v>
      </c>
      <c t="s">
        <v>40159</v>
      </c>
      <c s="3">
        <v>41248</v>
      </c>
      <c s="3">
        <v>41248</v>
      </c>
      <c s="3">
        <v>35200</v>
      </c>
      <c>
        <v>0</v>
      </c>
      <c s="3">
        <v>0</v>
      </c>
      <c s="3">
        <v>1024.65</v>
      </c>
      <c s="3">
        <v>41248</v>
      </c>
      <c r="O3631" s="1" t="str">
        <f ca="1">HYPERLINK("https://web.datatree.com/?/property?propertyId=33368078", "https://web.datatree.com/?/property?propertyId=33368078")</f>
        <v>https://web.datatree.com/?/property?propertyId=33368078</v>
      </c>
      <c r="Q3631" t="s">
        <v>316</v>
      </c>
      <c>
        <v>0.23</v>
      </c>
      <c t="s">
        <v>22490</v>
      </c>
      <c t="s">
        <v>20069</v>
      </c>
      <c t="s">
        <v>67043</v>
      </c>
      <c t="s">
        <v>47411</v>
      </c>
      <c t="s">
        <v>67043</v>
      </c>
      <c t="s">
        <v>11195</v>
      </c>
      <c t="s">
        <v>30928</v>
      </c>
      <c t="s">
        <v>2517</v>
      </c>
      <c t="s">
        <v>39289</v>
      </c>
      <c>
        <v>33909</v>
      </c>
      <c t="s">
        <v>7633</v>
      </c>
      <c t="s">
        <v>48794</v>
      </c>
      <c t="s">
        <v>30875</v>
      </c>
      <c>
        <v>36</v>
      </c>
      <c r="AI3631" t="s">
        <v>49346</v>
      </c>
      <c t="s">
        <v>31192</v>
      </c>
      <c r="AL3631" t="s">
        <v>63089</v>
      </c>
      <c r="AN3631" t="s">
        <v>10909</v>
      </c>
      <c t="s">
        <v>54363</v>
      </c>
      <c r="AQ3631" t="s">
        <v>27814</v>
      </c>
      <c t="s">
        <v>31757</v>
      </c>
    </row>
    <row>
      <c t="s">
        <v>17594</v>
      </c>
      <c t="s">
        <v>58618</v>
      </c>
      <c t="s">
        <v>13427</v>
      </c>
      <c t="s">
        <v>54886</v>
      </c>
      <c t="s">
        <v>538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632" s="1" t="str">
        <f ca="1">HYPERLINK("https://web.datatree.com/?/property?propertyId=33368095", "https://web.datatree.com/?/property?propertyId=33368095")</f>
        <v>https://web.datatree.com/?/property?propertyId=33368095</v>
      </c>
      <c r="Q3632" t="s">
        <v>316</v>
      </c>
      <c>
        <v>0.23</v>
      </c>
      <c t="s">
        <v>6175</v>
      </c>
      <c t="s">
        <v>44541</v>
      </c>
      <c t="s">
        <v>29408</v>
      </c>
      <c t="s">
        <v>65351</v>
      </c>
      <c t="s">
        <v>29408</v>
      </c>
      <c t="s">
        <v>62702</v>
      </c>
      <c t="s">
        <v>55273</v>
      </c>
      <c t="s">
        <v>2517</v>
      </c>
      <c t="s">
        <v>39289</v>
      </c>
      <c>
        <v>33909</v>
      </c>
      <c t="s">
        <v>29097</v>
      </c>
      <c t="s">
        <v>48794</v>
      </c>
      <c t="s">
        <v>9867</v>
      </c>
      <c>
        <v>23305</v>
      </c>
      <c r="AI3632" t="s">
        <v>35496</v>
      </c>
      <c t="s">
        <v>24900</v>
      </c>
      <c r="AL3632" t="s">
        <v>39897</v>
      </c>
      <c r="AN3632" t="s">
        <v>50917</v>
      </c>
      <c t="s">
        <v>31718</v>
      </c>
      <c t="s">
        <v>23611</v>
      </c>
      <c t="s">
        <v>3093</v>
      </c>
      <c t="s">
        <v>40884</v>
      </c>
    </row>
    <row>
      <c t="s">
        <v>17594</v>
      </c>
      <c t="s">
        <v>20031</v>
      </c>
      <c t="s">
        <v>31000</v>
      </c>
      <c t="s">
        <v>241</v>
      </c>
      <c t="s">
        <v>49189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633" s="1" t="str">
        <f ca="1">HYPERLINK("https://web.datatree.com/?/property?propertyId=33368713", "https://web.datatree.com/?/property?propertyId=33368713")</f>
        <v>https://web.datatree.com/?/property?propertyId=33368713</v>
      </c>
      <c r="Q3633" t="s">
        <v>316</v>
      </c>
      <c>
        <v>0.23</v>
      </c>
      <c t="s">
        <v>14479</v>
      </c>
      <c r="U3633" t="s">
        <v>40261</v>
      </c>
      <c r="W3633" t="s">
        <v>28973</v>
      </c>
      <c t="s">
        <v>11742</v>
      </c>
      <c t="s">
        <v>30928</v>
      </c>
      <c t="s">
        <v>2517</v>
      </c>
      <c t="s">
        <v>39289</v>
      </c>
      <c>
        <v>33909</v>
      </c>
      <c t="s">
        <v>7766</v>
      </c>
      <c t="s">
        <v>48794</v>
      </c>
      <c t="s">
        <v>53190</v>
      </c>
      <c>
        <v>22704</v>
      </c>
      <c r="AI3633" t="s">
        <v>5345</v>
      </c>
      <c t="s">
        <v>31192</v>
      </c>
      <c r="AL3633" t="s">
        <v>22820</v>
      </c>
      <c t="s">
        <v>49645</v>
      </c>
      <c t="s">
        <v>39289</v>
      </c>
      <c t="s">
        <v>63773</v>
      </c>
      <c t="s">
        <v>5652</v>
      </c>
      <c t="s">
        <v>3093</v>
      </c>
      <c t="s">
        <v>50104</v>
      </c>
    </row>
    <row>
      <c t="s">
        <v>17594</v>
      </c>
      <c t="s">
        <v>43727</v>
      </c>
      <c t="s">
        <v>32480</v>
      </c>
      <c t="s">
        <v>30204</v>
      </c>
      <c t="s">
        <v>16437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3634" s="1" t="str">
        <f ca="1">HYPERLINK("https://web.datatree.com/?/property?propertyId=33368806", "https://web.datatree.com/?/property?propertyId=33368806")</f>
        <v>https://web.datatree.com/?/property?propertyId=33368806</v>
      </c>
      <c r="Q3634" t="s">
        <v>316</v>
      </c>
      <c>
        <v>0.23</v>
      </c>
      <c t="s">
        <v>6175</v>
      </c>
      <c r="U3634" t="s">
        <v>47616</v>
      </c>
      <c r="W3634" t="s">
        <v>470</v>
      </c>
      <c t="s">
        <v>15913</v>
      </c>
      <c t="s">
        <v>22731</v>
      </c>
      <c t="s">
        <v>2517</v>
      </c>
      <c t="s">
        <v>39289</v>
      </c>
      <c>
        <v>33909</v>
      </c>
      <c t="s">
        <v>44990</v>
      </c>
      <c t="s">
        <v>48794</v>
      </c>
      <c t="s">
        <v>6022</v>
      </c>
      <c>
        <v>118</v>
      </c>
      <c r="AI3634" t="s">
        <v>24479</v>
      </c>
      <c t="s">
        <v>24900</v>
      </c>
      <c r="AL3634" t="s">
        <v>34005</v>
      </c>
      <c t="s">
        <v>34005</v>
      </c>
      <c t="s">
        <v>26016</v>
      </c>
      <c t="s">
        <v>10412</v>
      </c>
      <c t="s">
        <v>17380</v>
      </c>
      <c t="s">
        <v>3093</v>
      </c>
      <c t="s">
        <v>62909</v>
      </c>
    </row>
    <row>
      <c t="s">
        <v>17594</v>
      </c>
      <c t="s">
        <v>43767</v>
      </c>
      <c t="s">
        <v>56036</v>
      </c>
      <c t="s">
        <v>60451</v>
      </c>
      <c t="s">
        <v>17082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3635" s="1" t="str">
        <f ca="1">HYPERLINK("https://web.datatree.com/?/property?propertyId=33368912", "https://web.datatree.com/?/property?propertyId=33368912")</f>
        <v>https://web.datatree.com/?/property?propertyId=33368912</v>
      </c>
      <c r="Q3635" t="s">
        <v>316</v>
      </c>
      <c>
        <v>0.23</v>
      </c>
      <c t="s">
        <v>6175</v>
      </c>
      <c t="s">
        <v>38690</v>
      </c>
      <c t="s">
        <v>62383</v>
      </c>
      <c r="X3635" t="s">
        <v>58459</v>
      </c>
      <c t="s">
        <v>53675</v>
      </c>
      <c t="s">
        <v>2517</v>
      </c>
      <c t="s">
        <v>39289</v>
      </c>
      <c>
        <v>33909</v>
      </c>
      <c t="s">
        <v>51764</v>
      </c>
      <c t="s">
        <v>48794</v>
      </c>
      <c t="s">
        <v>20451</v>
      </c>
      <c>
        <v>655</v>
      </c>
      <c r="AI3635" t="s">
        <v>39082</v>
      </c>
      <c t="s">
        <v>45393</v>
      </c>
      <c r="AL3635" t="s">
        <v>29515</v>
      </c>
      <c t="s">
        <v>29515</v>
      </c>
      <c t="s">
        <v>39289</v>
      </c>
      <c t="s">
        <v>35842</v>
      </c>
      <c t="s">
        <v>3364</v>
      </c>
      <c t="s">
        <v>3093</v>
      </c>
      <c t="s">
        <v>30340</v>
      </c>
    </row>
    <row>
      <c t="s">
        <v>17594</v>
      </c>
      <c t="s">
        <v>39117</v>
      </c>
      <c t="s">
        <v>27041</v>
      </c>
      <c t="s">
        <v>21939</v>
      </c>
      <c t="s">
        <v>60484</v>
      </c>
      <c s="3">
        <v>23310</v>
      </c>
      <c s="3">
        <v>23310</v>
      </c>
      <c s="3">
        <v>9599</v>
      </c>
      <c>
        <v>0</v>
      </c>
      <c s="3">
        <v>0</v>
      </c>
      <c s="3">
        <v>700.67</v>
      </c>
      <c s="3">
        <v>23310</v>
      </c>
      <c r="O3636" s="1" t="str">
        <f ca="1">HYPERLINK("https://web.datatree.com/?/property?propertyId=33369400", "https://web.datatree.com/?/property?propertyId=33369400")</f>
        <v>https://web.datatree.com/?/property?propertyId=33369400</v>
      </c>
      <c r="Q3636" t="s">
        <v>316</v>
      </c>
      <c>
        <v>0.356</v>
      </c>
      <c t="s">
        <v>6175</v>
      </c>
      <c t="s">
        <v>27351</v>
      </c>
      <c t="s">
        <v>55388</v>
      </c>
      <c r="X3636" t="s">
        <v>25128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11453</v>
      </c>
      <c>
        <v>150</v>
      </c>
      <c r="AI3636" t="s">
        <v>11711</v>
      </c>
      <c t="s">
        <v>45393</v>
      </c>
      <c t="s">
        <v>13379</v>
      </c>
      <c t="s">
        <v>13397</v>
      </c>
      <c r="AN3636" t="s">
        <v>50917</v>
      </c>
      <c t="s">
        <v>66875</v>
      </c>
      <c t="s">
        <v>19978</v>
      </c>
      <c t="s">
        <v>3093</v>
      </c>
      <c t="s">
        <v>51158</v>
      </c>
    </row>
    <row>
      <c t="s">
        <v>17594</v>
      </c>
      <c t="s">
        <v>52620</v>
      </c>
      <c t="s">
        <v>22265</v>
      </c>
      <c t="s">
        <v>50497</v>
      </c>
      <c t="s">
        <v>41562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523.58</v>
      </c>
      <c s="1" t="str">
        <f ca="1">HYPERLINK("https://web.datatree.com/?/property?propertyId=33369664", "https://web.datatree.com/?/property?propertyId=33369664")</f>
        <v>https://web.datatree.com/?/property?propertyId=33369664</v>
      </c>
      <c r="Q3637" t="s">
        <v>316</v>
      </c>
      <c>
        <v>0.23</v>
      </c>
      <c t="s">
        <v>6175</v>
      </c>
      <c t="s">
        <v>56832</v>
      </c>
      <c t="s">
        <v>26771</v>
      </c>
      <c t="s">
        <v>1834</v>
      </c>
      <c t="s">
        <v>26771</v>
      </c>
      <c t="s">
        <v>49410</v>
      </c>
      <c t="s">
        <v>2626</v>
      </c>
      <c t="s">
        <v>2517</v>
      </c>
      <c t="s">
        <v>39289</v>
      </c>
      <c>
        <v>33909</v>
      </c>
      <c t="s">
        <v>30690</v>
      </c>
      <c t="s">
        <v>48794</v>
      </c>
      <c t="s">
        <v>58274</v>
      </c>
      <c>
        <v>84</v>
      </c>
      <c r="AI3637" t="s">
        <v>47253</v>
      </c>
      <c t="s">
        <v>24900</v>
      </c>
      <c r="AL3637" t="s">
        <v>65258</v>
      </c>
      <c r="AN3637" t="s">
        <v>26016</v>
      </c>
      <c t="s">
        <v>58963</v>
      </c>
      <c t="s">
        <v>25140</v>
      </c>
      <c t="s">
        <v>3093</v>
      </c>
      <c t="s">
        <v>52048</v>
      </c>
    </row>
    <row>
      <c t="s">
        <v>17594</v>
      </c>
      <c t="s">
        <v>23476</v>
      </c>
      <c t="s">
        <v>33268</v>
      </c>
      <c t="s">
        <v>61095</v>
      </c>
      <c t="s">
        <v>54330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3638" s="1" t="str">
        <f ca="1">HYPERLINK("https://web.datatree.com/?/property?propertyId=33370032", "https://web.datatree.com/?/property?propertyId=33370032")</f>
        <v>https://web.datatree.com/?/property?propertyId=33370032</v>
      </c>
      <c r="Q3638" t="s">
        <v>316</v>
      </c>
      <c>
        <v>0.255</v>
      </c>
      <c t="s">
        <v>42044</v>
      </c>
      <c t="s">
        <v>47754</v>
      </c>
      <c t="s">
        <v>29799</v>
      </c>
      <c t="s">
        <v>19006</v>
      </c>
      <c t="s">
        <v>29799</v>
      </c>
      <c t="s">
        <v>14089</v>
      </c>
      <c t="s">
        <v>13478</v>
      </c>
      <c t="s">
        <v>2517</v>
      </c>
      <c t="s">
        <v>39289</v>
      </c>
      <c>
        <v>33909</v>
      </c>
      <c t="s">
        <v>44431</v>
      </c>
      <c t="s">
        <v>48794</v>
      </c>
      <c t="s">
        <v>59740</v>
      </c>
      <c>
        <v>5767</v>
      </c>
      <c r="AI3638" t="s">
        <v>17519</v>
      </c>
      <c t="s">
        <v>40123</v>
      </c>
      <c>
        <v>103</v>
      </c>
      <c t="s">
        <v>46703</v>
      </c>
      <c r="AN3638" t="s">
        <v>39289</v>
      </c>
      <c t="s">
        <v>54502</v>
      </c>
      <c t="s">
        <v>35679</v>
      </c>
      <c t="s">
        <v>3093</v>
      </c>
      <c t="s">
        <v>45804</v>
      </c>
    </row>
    <row>
      <c t="s">
        <v>17594</v>
      </c>
      <c t="s">
        <v>64406</v>
      </c>
      <c t="s">
        <v>12999</v>
      </c>
      <c t="s">
        <v>46221</v>
      </c>
      <c t="s">
        <v>61803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 r="O3639" s="1" t="str">
        <f ca="1">HYPERLINK("https://web.datatree.com/?/property?propertyId=33370133", "https://web.datatree.com/?/property?propertyId=33370133")</f>
        <v>https://web.datatree.com/?/property?propertyId=33370133</v>
      </c>
      <c r="Q3639" t="s">
        <v>316</v>
      </c>
      <c>
        <v>0.234</v>
      </c>
      <c t="s">
        <v>5471</v>
      </c>
      <c t="s">
        <v>33168</v>
      </c>
      <c t="s">
        <v>25067</v>
      </c>
      <c t="s">
        <v>3217</v>
      </c>
      <c t="s">
        <v>25067</v>
      </c>
      <c t="s">
        <v>21206</v>
      </c>
      <c t="s">
        <v>37009</v>
      </c>
      <c t="s">
        <v>65059</v>
      </c>
      <c t="s">
        <v>39289</v>
      </c>
      <c>
        <v>33905</v>
      </c>
      <c t="s">
        <v>60952</v>
      </c>
      <c t="s">
        <v>48794</v>
      </c>
      <c t="s">
        <v>28383</v>
      </c>
      <c>
        <v>763</v>
      </c>
      <c r="AI3639" t="s">
        <v>48923</v>
      </c>
      <c t="s">
        <v>45620</v>
      </c>
      <c r="AL3639" t="s">
        <v>23951</v>
      </c>
      <c r="AN3639" t="s">
        <v>50917</v>
      </c>
      <c t="s">
        <v>40271</v>
      </c>
      <c t="s">
        <v>52247</v>
      </c>
      <c t="s">
        <v>3093</v>
      </c>
      <c t="s">
        <v>57304</v>
      </c>
    </row>
    <row>
      <c t="s">
        <v>17594</v>
      </c>
      <c t="s">
        <v>57901</v>
      </c>
      <c t="s">
        <v>53422</v>
      </c>
      <c t="s">
        <v>49713</v>
      </c>
      <c t="s">
        <v>30551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3640" s="1" t="str">
        <f ca="1">HYPERLINK("https://web.datatree.com/?/property?propertyId=33370633", "https://web.datatree.com/?/property?propertyId=33370633")</f>
        <v>https://web.datatree.com/?/property?propertyId=33370633</v>
      </c>
      <c r="Q3640" t="s">
        <v>316</v>
      </c>
      <c>
        <v>0.233</v>
      </c>
      <c t="s">
        <v>5471</v>
      </c>
      <c t="s">
        <v>10361</v>
      </c>
      <c t="s">
        <v>45445</v>
      </c>
      <c t="s">
        <v>49981</v>
      </c>
      <c t="s">
        <v>30236</v>
      </c>
      <c t="s">
        <v>23935</v>
      </c>
      <c t="s">
        <v>19611</v>
      </c>
      <c t="s">
        <v>65059</v>
      </c>
      <c t="s">
        <v>39289</v>
      </c>
      <c>
        <v>33905</v>
      </c>
      <c t="s">
        <v>61387</v>
      </c>
      <c t="s">
        <v>48794</v>
      </c>
      <c t="s">
        <v>37257</v>
      </c>
      <c>
        <v>7</v>
      </c>
      <c r="AI3640" t="s">
        <v>36716</v>
      </c>
      <c t="s">
        <v>41372</v>
      </c>
      <c r="AL3640" t="s">
        <v>24561</v>
      </c>
      <c r="AN3640" t="s">
        <v>50917</v>
      </c>
      <c t="s">
        <v>14766</v>
      </c>
      <c t="s">
        <v>45980</v>
      </c>
      <c t="s">
        <v>3093</v>
      </c>
      <c t="s">
        <v>13591</v>
      </c>
    </row>
    <row>
      <c t="s">
        <v>17594</v>
      </c>
      <c t="s">
        <v>66944</v>
      </c>
      <c t="s">
        <v>15134</v>
      </c>
      <c t="s">
        <v>56882</v>
      </c>
      <c t="s">
        <v>5394</v>
      </c>
      <c s="3">
        <v>23352</v>
      </c>
      <c s="3">
        <v>23352</v>
      </c>
      <c s="3">
        <v>8800</v>
      </c>
      <c>
        <v>0</v>
      </c>
      <c s="3">
        <v>0</v>
      </c>
      <c s="3">
        <v>623.96</v>
      </c>
      <c s="3">
        <v>23352</v>
      </c>
      <c r="O3641" s="1" t="str">
        <f ca="1">HYPERLINK("https://web.datatree.com/?/property?propertyId=33370779", "https://web.datatree.com/?/property?propertyId=33370779")</f>
        <v>https://web.datatree.com/?/property?propertyId=33370779</v>
      </c>
      <c r="Q3641" t="s">
        <v>316</v>
      </c>
      <c>
        <v>0.272</v>
      </c>
      <c t="s">
        <v>22490</v>
      </c>
      <c t="s">
        <v>5100</v>
      </c>
      <c t="s">
        <v>48252</v>
      </c>
      <c t="s">
        <v>48119</v>
      </c>
      <c t="s">
        <v>48252</v>
      </c>
      <c t="s">
        <v>46741</v>
      </c>
      <c t="s">
        <v>46469</v>
      </c>
      <c t="s">
        <v>2517</v>
      </c>
      <c t="s">
        <v>39289</v>
      </c>
      <c>
        <v>33909</v>
      </c>
      <c t="s">
        <v>50544</v>
      </c>
      <c t="s">
        <v>48794</v>
      </c>
      <c t="s">
        <v>25</v>
      </c>
      <c>
        <v>62</v>
      </c>
      <c r="AI3641" t="s">
        <v>5105</v>
      </c>
      <c t="s">
        <v>45393</v>
      </c>
      <c r="AL3641" t="s">
        <v>50454</v>
      </c>
      <c t="s">
        <v>50454</v>
      </c>
      <c t="s">
        <v>50917</v>
      </c>
      <c t="s">
        <v>29579</v>
      </c>
      <c t="s">
        <v>34162</v>
      </c>
      <c t="s">
        <v>3093</v>
      </c>
      <c t="s">
        <v>9834</v>
      </c>
    </row>
    <row>
      <c t="s">
        <v>17594</v>
      </c>
      <c t="s">
        <v>23048</v>
      </c>
      <c t="s">
        <v>43958</v>
      </c>
      <c t="s">
        <v>18562</v>
      </c>
      <c t="s">
        <v>13580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3642" s="1" t="str">
        <f ca="1">HYPERLINK("https://web.datatree.com/?/property?propertyId=33371033", "https://web.datatree.com/?/property?propertyId=33371033")</f>
        <v>https://web.datatree.com/?/property?propertyId=33371033</v>
      </c>
      <c r="Q3642" t="s">
        <v>316</v>
      </c>
      <c>
        <v>0.241</v>
      </c>
      <c t="s">
        <v>54449</v>
      </c>
      <c r="U3642" t="s">
        <v>7717</v>
      </c>
      <c r="W3642" t="s">
        <v>1984</v>
      </c>
      <c t="s">
        <v>13434</v>
      </c>
      <c t="s">
        <v>38550</v>
      </c>
      <c t="s">
        <v>2517</v>
      </c>
      <c t="s">
        <v>39289</v>
      </c>
      <c>
        <v>33909</v>
      </c>
      <c t="s">
        <v>38941</v>
      </c>
      <c t="s">
        <v>48794</v>
      </c>
      <c t="s">
        <v>44420</v>
      </c>
      <c>
        <v>2752</v>
      </c>
      <c r="AI3642" t="s">
        <v>47150</v>
      </c>
      <c t="s">
        <v>45393</v>
      </c>
      <c r="AL3642" t="s">
        <v>55393</v>
      </c>
      <c t="s">
        <v>55393</v>
      </c>
      <c t="s">
        <v>39289</v>
      </c>
      <c t="s">
        <v>56159</v>
      </c>
      <c t="s">
        <v>43446</v>
      </c>
      <c t="s">
        <v>3093</v>
      </c>
      <c t="s">
        <v>4084</v>
      </c>
    </row>
    <row>
      <c t="s">
        <v>17594</v>
      </c>
      <c t="s">
        <v>31004</v>
      </c>
      <c t="s">
        <v>53081</v>
      </c>
      <c t="s">
        <v>3194</v>
      </c>
      <c t="s">
        <v>39358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643" s="1" t="str">
        <f ca="1">HYPERLINK("https://web.datatree.com/?/property?propertyId=33371098", "https://web.datatree.com/?/property?propertyId=33371098")</f>
        <v>https://web.datatree.com/?/property?propertyId=33371098</v>
      </c>
      <c r="Q3643" t="s">
        <v>316</v>
      </c>
      <c>
        <v>0.23</v>
      </c>
      <c t="s">
        <v>42044</v>
      </c>
      <c t="s">
        <v>24179</v>
      </c>
      <c t="s">
        <v>22924</v>
      </c>
      <c t="s">
        <v>35512</v>
      </c>
      <c t="s">
        <v>22924</v>
      </c>
      <c t="s">
        <v>46665</v>
      </c>
      <c t="s">
        <v>7113</v>
      </c>
      <c t="s">
        <v>2517</v>
      </c>
      <c t="s">
        <v>39289</v>
      </c>
      <c>
        <v>33909</v>
      </c>
      <c t="s">
        <v>53597</v>
      </c>
      <c t="s">
        <v>48794</v>
      </c>
      <c t="s">
        <v>24664</v>
      </c>
      <c>
        <v>523</v>
      </c>
      <c r="AI3643" t="s">
        <v>21376</v>
      </c>
      <c t="s">
        <v>45393</v>
      </c>
      <c>
        <v>2</v>
      </c>
      <c t="s">
        <v>26023</v>
      </c>
      <c r="AN3643" t="s">
        <v>26016</v>
      </c>
      <c t="s">
        <v>53099</v>
      </c>
      <c t="s">
        <v>5800</v>
      </c>
      <c t="s">
        <v>3093</v>
      </c>
      <c t="s">
        <v>25786</v>
      </c>
    </row>
    <row>
      <c t="s">
        <v>17594</v>
      </c>
      <c t="s">
        <v>1054</v>
      </c>
      <c t="s">
        <v>47073</v>
      </c>
      <c t="s">
        <v>30365</v>
      </c>
      <c t="s">
        <v>23591</v>
      </c>
      <c s="3">
        <v>71773</v>
      </c>
      <c s="3">
        <v>63500</v>
      </c>
      <c s="3">
        <v>71773</v>
      </c>
      <c>
        <v>0</v>
      </c>
      <c s="3">
        <v>0</v>
      </c>
      <c s="3">
        <v>1079.44</v>
      </c>
      <c s="3">
        <v>71773</v>
      </c>
      <c r="O3644" s="1" t="str">
        <f ca="1">HYPERLINK("https://web.datatree.com/?/property?propertyId=33371277", "https://web.datatree.com/?/property?propertyId=33371277")</f>
        <v>https://web.datatree.com/?/property?propertyId=33371277</v>
      </c>
      <c r="Q3644" t="s">
        <v>316</v>
      </c>
      <c>
        <v>0.11</v>
      </c>
      <c t="s">
        <v>26492</v>
      </c>
      <c r="U3644" t="s">
        <v>54246</v>
      </c>
      <c t="s">
        <v>25238</v>
      </c>
      <c t="s">
        <v>14344</v>
      </c>
      <c t="s">
        <v>34941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26943</v>
      </c>
      <c>
        <v>2035</v>
      </c>
      <c r="AI3644" t="s">
        <v>29111</v>
      </c>
      <c t="s">
        <v>31192</v>
      </c>
      <c r="AL3644" t="s">
        <v>1916</v>
      </c>
      <c t="s">
        <v>1916</v>
      </c>
      <c t="s">
        <v>58733</v>
      </c>
      <c t="s">
        <v>6217</v>
      </c>
      <c t="s">
        <v>22613</v>
      </c>
      <c t="s">
        <v>3093</v>
      </c>
      <c t="s">
        <v>15087</v>
      </c>
    </row>
    <row>
      <c t="s">
        <v>17594</v>
      </c>
      <c t="s">
        <v>22039</v>
      </c>
      <c t="s">
        <v>29500</v>
      </c>
      <c t="s">
        <v>55634</v>
      </c>
      <c t="s">
        <v>51300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645" s="1" t="str">
        <f ca="1">HYPERLINK("https://web.datatree.com/?/property?propertyId=33371562", "https://web.datatree.com/?/property?propertyId=33371562")</f>
        <v>https://web.datatree.com/?/property?propertyId=33371562</v>
      </c>
      <c r="Q3645" t="s">
        <v>316</v>
      </c>
      <c>
        <v>0.23</v>
      </c>
      <c t="s">
        <v>22490</v>
      </c>
      <c t="s">
        <v>24692</v>
      </c>
      <c t="s">
        <v>49272</v>
      </c>
      <c r="X3645" t="s">
        <v>8337</v>
      </c>
      <c t="s">
        <v>41506</v>
      </c>
      <c t="s">
        <v>2517</v>
      </c>
      <c t="s">
        <v>39289</v>
      </c>
      <c>
        <v>33909</v>
      </c>
      <c t="s">
        <v>318</v>
      </c>
      <c t="s">
        <v>48794</v>
      </c>
      <c t="s">
        <v>27245</v>
      </c>
      <c>
        <v>27421</v>
      </c>
      <c r="AH3645" t="s">
        <v>6851</v>
      </c>
      <c t="s">
        <v>11872</v>
      </c>
      <c t="s">
        <v>45620</v>
      </c>
      <c r="AL3645" t="s">
        <v>19280</v>
      </c>
      <c t="s">
        <v>19280</v>
      </c>
      <c t="s">
        <v>4477</v>
      </c>
      <c t="s">
        <v>5918</v>
      </c>
      <c t="s">
        <v>14695</v>
      </c>
      <c t="s">
        <v>3093</v>
      </c>
      <c t="s">
        <v>6104</v>
      </c>
    </row>
    <row>
      <c t="s">
        <v>17594</v>
      </c>
      <c s="2" t="s">
        <v>11791</v>
      </c>
      <c t="s">
        <v>10366</v>
      </c>
      <c t="s">
        <v>45752</v>
      </c>
      <c t="s">
        <v>40414</v>
      </c>
      <c s="3">
        <v>8124</v>
      </c>
      <c s="3">
        <v>8124</v>
      </c>
      <c s="3">
        <v>4972</v>
      </c>
      <c>
        <v>0</v>
      </c>
      <c s="3">
        <v>0</v>
      </c>
      <c s="3">
        <v>316.66</v>
      </c>
      <c s="3">
        <v>8124</v>
      </c>
      <c r="O3646" s="1" t="str">
        <f ca="1">HYPERLINK("https://web.datatree.com/?/property?propertyId=33371743", "https://web.datatree.com/?/property?propertyId=33371743")</f>
        <v>https://web.datatree.com/?/property?propertyId=33371743</v>
      </c>
      <c r="Q3646" t="s">
        <v>316</v>
      </c>
      <c>
        <v>0.236</v>
      </c>
      <c t="s">
        <v>5471</v>
      </c>
      <c t="s">
        <v>35852</v>
      </c>
      <c t="s">
        <v>13796</v>
      </c>
      <c r="X3646" t="s">
        <v>63466</v>
      </c>
      <c t="s">
        <v>3722</v>
      </c>
      <c t="s">
        <v>65059</v>
      </c>
      <c t="s">
        <v>39289</v>
      </c>
      <c>
        <v>33905</v>
      </c>
      <c t="s">
        <v>3137</v>
      </c>
      <c t="s">
        <v>48794</v>
      </c>
      <c s="2" t="s">
        <v>11653</v>
      </c>
      <c>
        <v>690</v>
      </c>
      <c r="AI3646" t="s">
        <v>50973</v>
      </c>
      <c t="s">
        <v>39321</v>
      </c>
      <c r="AL3646" t="s">
        <v>55393</v>
      </c>
      <c r="AN3646" t="s">
        <v>39289</v>
      </c>
      <c t="s">
        <v>39680</v>
      </c>
      <c t="s">
        <v>12241</v>
      </c>
      <c t="s">
        <v>3093</v>
      </c>
      <c t="s">
        <v>6247</v>
      </c>
    </row>
    <row>
      <c t="s">
        <v>17594</v>
      </c>
      <c t="s">
        <v>49369</v>
      </c>
      <c t="s">
        <v>5971</v>
      </c>
      <c t="s">
        <v>38510</v>
      </c>
      <c t="s">
        <v>32329</v>
      </c>
      <c s="3">
        <v>24937</v>
      </c>
      <c s="3">
        <v>24937</v>
      </c>
      <c s="3">
        <v>9079</v>
      </c>
      <c>
        <v>0</v>
      </c>
      <c s="3">
        <v>0</v>
      </c>
      <c s="3">
        <v>2027.11</v>
      </c>
      <c s="3">
        <v>24937</v>
      </c>
      <c r="O3647" s="1" t="str">
        <f ca="1">HYPERLINK("https://web.datatree.com/?/property?propertyId=33372447", "https://web.datatree.com/?/property?propertyId=33372447")</f>
        <v>https://web.datatree.com/?/property?propertyId=33372447</v>
      </c>
      <c r="Q3647" t="s">
        <v>316</v>
      </c>
      <c>
        <v>0.27</v>
      </c>
      <c t="s">
        <v>6175</v>
      </c>
      <c t="s">
        <v>55144</v>
      </c>
      <c t="s">
        <v>44076</v>
      </c>
      <c t="s">
        <v>4868</v>
      </c>
      <c t="s">
        <v>44076</v>
      </c>
      <c t="s">
        <v>58013</v>
      </c>
      <c t="s">
        <v>58797</v>
      </c>
      <c t="s">
        <v>2517</v>
      </c>
      <c t="s">
        <v>39289</v>
      </c>
      <c>
        <v>33909</v>
      </c>
      <c t="s">
        <v>32030</v>
      </c>
      <c t="s">
        <v>48794</v>
      </c>
      <c t="s">
        <v>43596</v>
      </c>
      <c>
        <v>1</v>
      </c>
      <c r="AI3647" t="s">
        <v>61099</v>
      </c>
      <c t="s">
        <v>31192</v>
      </c>
      <c r="AL3647" t="s">
        <v>59745</v>
      </c>
      <c r="AN3647" t="s">
        <v>19878</v>
      </c>
      <c t="s">
        <v>957</v>
      </c>
      <c t="s">
        <v>44428</v>
      </c>
      <c t="s">
        <v>3093</v>
      </c>
      <c t="s">
        <v>46121</v>
      </c>
    </row>
    <row>
      <c t="s">
        <v>17594</v>
      </c>
      <c t="s">
        <v>52173</v>
      </c>
      <c t="s">
        <v>11468</v>
      </c>
      <c t="s">
        <v>61176</v>
      </c>
      <c t="s">
        <v>18883</v>
      </c>
      <c s="3">
        <v>18056</v>
      </c>
      <c s="3">
        <v>18056</v>
      </c>
      <c s="3">
        <v>8470</v>
      </c>
      <c>
        <v>0</v>
      </c>
      <c s="3">
        <v>0</v>
      </c>
      <c s="3">
        <v>583.05</v>
      </c>
      <c s="3">
        <v>18056</v>
      </c>
      <c r="O3648" s="1" t="str">
        <f ca="1">HYPERLINK("https://web.datatree.com/?/property?propertyId=33373319", "https://web.datatree.com/?/property?propertyId=33373319")</f>
        <v>https://web.datatree.com/?/property?propertyId=33373319</v>
      </c>
      <c r="Q3648" t="s">
        <v>316</v>
      </c>
      <c>
        <v>0.272</v>
      </c>
      <c t="s">
        <v>6175</v>
      </c>
      <c t="s">
        <v>56458</v>
      </c>
      <c t="s">
        <v>51853</v>
      </c>
      <c r="X3648" t="s">
        <v>10302</v>
      </c>
      <c t="s">
        <v>29190</v>
      </c>
      <c t="s">
        <v>2517</v>
      </c>
      <c t="s">
        <v>39289</v>
      </c>
      <c>
        <v>33909</v>
      </c>
      <c t="s">
        <v>51902</v>
      </c>
      <c t="s">
        <v>48794</v>
      </c>
      <c t="s">
        <v>44531</v>
      </c>
      <c>
        <v>1348</v>
      </c>
      <c r="AI3648" t="s">
        <v>48779</v>
      </c>
      <c t="s">
        <v>31192</v>
      </c>
      <c r="AL3648" t="s">
        <v>1778</v>
      </c>
      <c r="AN3648" t="s">
        <v>19878</v>
      </c>
      <c t="s">
        <v>28772</v>
      </c>
      <c t="s">
        <v>26242</v>
      </c>
      <c t="s">
        <v>3093</v>
      </c>
      <c t="s">
        <v>49001</v>
      </c>
    </row>
    <row>
      <c t="s">
        <v>17594</v>
      </c>
      <c t="s">
        <v>43398</v>
      </c>
      <c t="s">
        <v>44215</v>
      </c>
      <c t="s">
        <v>14042</v>
      </c>
      <c t="s">
        <v>60357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2020</v>
      </c>
      <c>
        <v>1703.56</v>
      </c>
      <c s="1" t="str">
        <f ca="1">HYPERLINK("https://web.datatree.com/?/property?propertyId=33374170", "https://web.datatree.com/?/property?propertyId=33374170")</f>
        <v>https://web.datatree.com/?/property?propertyId=33374170</v>
      </c>
      <c r="Q3649" t="s">
        <v>316</v>
      </c>
      <c>
        <v>0.23</v>
      </c>
      <c t="s">
        <v>42044</v>
      </c>
      <c t="s">
        <v>44457</v>
      </c>
      <c t="s">
        <v>4190</v>
      </c>
      <c r="X3649" t="s">
        <v>37273</v>
      </c>
      <c t="s">
        <v>61144</v>
      </c>
      <c t="s">
        <v>2517</v>
      </c>
      <c t="s">
        <v>39289</v>
      </c>
      <c>
        <v>33909</v>
      </c>
      <c>
        <v>33909</v>
      </c>
      <c t="s">
        <v>48794</v>
      </c>
      <c t="s">
        <v>27257</v>
      </c>
      <c>
        <v>8675</v>
      </c>
      <c r="AI3649" t="s">
        <v>25566</v>
      </c>
      <c t="s">
        <v>40123</v>
      </c>
      <c r="AL3649" t="s">
        <v>55393</v>
      </c>
      <c r="AN3649" t="s">
        <v>39289</v>
      </c>
      <c t="s">
        <v>67270</v>
      </c>
      <c t="s">
        <v>4660</v>
      </c>
      <c t="s">
        <v>3093</v>
      </c>
      <c t="s">
        <v>65501</v>
      </c>
    </row>
    <row>
      <c t="s">
        <v>17594</v>
      </c>
      <c t="s">
        <v>53013</v>
      </c>
      <c t="s">
        <v>39613</v>
      </c>
      <c t="s">
        <v>61053</v>
      </c>
      <c t="s">
        <v>26866</v>
      </c>
      <c s="3">
        <v>51959</v>
      </c>
      <c s="3">
        <v>51959</v>
      </c>
      <c s="3">
        <v>42240</v>
      </c>
      <c>
        <v>0</v>
      </c>
      <c s="3">
        <v>0</v>
      </c>
      <c s="3">
        <v>1158.9</v>
      </c>
      <c s="3">
        <v>51959</v>
      </c>
      <c r="O3650" s="1" t="str">
        <f ca="1">HYPERLINK("https://web.datatree.com/?/property?propertyId=33374874", "https://web.datatree.com/?/property?propertyId=33374874")</f>
        <v>https://web.datatree.com/?/property?propertyId=33374874</v>
      </c>
      <c r="Q3650" t="s">
        <v>316</v>
      </c>
      <c>
        <v>0.249</v>
      </c>
      <c t="s">
        <v>22490</v>
      </c>
      <c t="s">
        <v>59344</v>
      </c>
      <c t="s">
        <v>53383</v>
      </c>
      <c r="X3650" t="s">
        <v>7103</v>
      </c>
      <c t="s">
        <v>34731</v>
      </c>
      <c t="s">
        <v>2517</v>
      </c>
      <c t="s">
        <v>39289</v>
      </c>
      <c>
        <v>33909</v>
      </c>
      <c t="s">
        <v>48625</v>
      </c>
      <c t="s">
        <v>48794</v>
      </c>
      <c t="s">
        <v>39740</v>
      </c>
      <c>
        <v>221</v>
      </c>
      <c r="AH3650" t="s">
        <v>26580</v>
      </c>
      <c t="s">
        <v>9572</v>
      </c>
      <c t="s">
        <v>40123</v>
      </c>
      <c r="AL3650" t="s">
        <v>15179</v>
      </c>
      <c r="AN3650" t="s">
        <v>39289</v>
      </c>
      <c t="s">
        <v>45228</v>
      </c>
      <c t="s">
        <v>53800</v>
      </c>
      <c t="s">
        <v>3093</v>
      </c>
      <c t="s">
        <v>4407</v>
      </c>
    </row>
    <row>
      <c t="s">
        <v>17594</v>
      </c>
      <c t="s">
        <v>47401</v>
      </c>
      <c t="s">
        <v>5546</v>
      </c>
      <c t="s">
        <v>27311</v>
      </c>
      <c t="s">
        <v>61122</v>
      </c>
      <c s="3">
        <v>7300</v>
      </c>
      <c s="3">
        <v>7300</v>
      </c>
      <c s="3">
        <v>7300</v>
      </c>
      <c>
        <v>0</v>
      </c>
      <c s="3">
        <v>0</v>
      </c>
      <c s="3">
        <v>686.53</v>
      </c>
      <c s="3">
        <v>7300</v>
      </c>
      <c r="O3651" s="1" t="str">
        <f ca="1">HYPERLINK("https://web.datatree.com/?/property?propertyId=33375054", "https://web.datatree.com/?/property?propertyId=33375054")</f>
        <v>https://web.datatree.com/?/property?propertyId=33375054</v>
      </c>
      <c r="Q3651" t="s">
        <v>316</v>
      </c>
      <c>
        <v>0.244</v>
      </c>
      <c t="s">
        <v>22490</v>
      </c>
      <c t="s">
        <v>63880</v>
      </c>
      <c t="s">
        <v>45794</v>
      </c>
      <c r="X3651" t="s">
        <v>12259</v>
      </c>
      <c t="s">
        <v>23517</v>
      </c>
      <c t="s">
        <v>2517</v>
      </c>
      <c t="s">
        <v>39289</v>
      </c>
      <c>
        <v>33909</v>
      </c>
      <c t="s">
        <v>8351</v>
      </c>
      <c t="s">
        <v>48794</v>
      </c>
      <c t="s">
        <v>51236</v>
      </c>
      <c>
        <v>1860</v>
      </c>
      <c r="AI3651" t="s">
        <v>21066</v>
      </c>
      <c t="s">
        <v>45393</v>
      </c>
      <c r="AL3651" t="s">
        <v>8109</v>
      </c>
      <c t="s">
        <v>13397</v>
      </c>
      <c t="s">
        <v>50917</v>
      </c>
      <c t="s">
        <v>32298</v>
      </c>
      <c t="s">
        <v>5800</v>
      </c>
      <c t="s">
        <v>3093</v>
      </c>
      <c t="s">
        <v>50717</v>
      </c>
    </row>
    <row>
      <c t="s">
        <v>17594</v>
      </c>
      <c t="s">
        <v>5399</v>
      </c>
      <c t="s">
        <v>65775</v>
      </c>
      <c t="s">
        <v>5073</v>
      </c>
      <c t="s">
        <v>23376</v>
      </c>
      <c s="3">
        <v>29167</v>
      </c>
      <c s="3">
        <v>28860</v>
      </c>
      <c s="3">
        <v>28948</v>
      </c>
      <c>
        <v>0</v>
      </c>
      <c s="3">
        <v>0</v>
      </c>
      <c s="3">
        <v>403.32</v>
      </c>
      <c s="3">
        <v>29167</v>
      </c>
      <c r="O3652" s="1" t="str">
        <f ca="1">HYPERLINK("https://web.datatree.com/?/property?propertyId=33375888", "https://web.datatree.com/?/property?propertyId=33375888")</f>
        <v>https://web.datatree.com/?/property?propertyId=33375888</v>
      </c>
      <c>
        <v>629</v>
      </c>
      <c t="s">
        <v>316</v>
      </c>
      <c>
        <v>0.04</v>
      </c>
      <c t="s">
        <v>54329</v>
      </c>
      <c t="s">
        <v>48794</v>
      </c>
      <c t="s">
        <v>25178</v>
      </c>
      <c t="s">
        <v>26502</v>
      </c>
      <c t="s">
        <v>25178</v>
      </c>
      <c t="s">
        <v>5940</v>
      </c>
      <c t="s">
        <v>40268</v>
      </c>
      <c t="s">
        <v>65059</v>
      </c>
      <c t="s">
        <v>39289</v>
      </c>
      <c>
        <v>33908</v>
      </c>
      <c t="s">
        <v>40082</v>
      </c>
      <c t="s">
        <v>48794</v>
      </c>
      <c t="s">
        <v>25582</v>
      </c>
      <c>
        <v>6612</v>
      </c>
      <c r="AI3652" t="s">
        <v>12349</v>
      </c>
      <c t="s">
        <v>45620</v>
      </c>
      <c r="AL3652" t="s">
        <v>26544</v>
      </c>
      <c t="s">
        <v>53482</v>
      </c>
      <c t="s">
        <v>50917</v>
      </c>
      <c t="s">
        <v>19590</v>
      </c>
      <c t="s">
        <v>22455</v>
      </c>
      <c t="s">
        <v>3093</v>
      </c>
      <c t="s">
        <v>47802</v>
      </c>
      <c>
        <v>1980</v>
      </c>
    </row>
    <row>
      <c t="s">
        <v>17594</v>
      </c>
      <c t="s">
        <v>35930</v>
      </c>
      <c t="s">
        <v>43140</v>
      </c>
      <c t="s">
        <v>18154</v>
      </c>
      <c t="s">
        <v>66101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3653" s="1" t="str">
        <f ca="1">HYPERLINK("https://web.datatree.com/?/property?propertyId=33376167", "https://web.datatree.com/?/property?propertyId=33376167")</f>
        <v>https://web.datatree.com/?/property?propertyId=33376167</v>
      </c>
      <c r="Q3653" t="s">
        <v>316</v>
      </c>
      <c>
        <v>0.244</v>
      </c>
      <c t="s">
        <v>6175</v>
      </c>
      <c t="s">
        <v>54943</v>
      </c>
      <c t="s">
        <v>43303</v>
      </c>
      <c t="s">
        <v>16734</v>
      </c>
      <c t="s">
        <v>43303</v>
      </c>
      <c t="s">
        <v>13321</v>
      </c>
      <c t="s">
        <v>18679</v>
      </c>
      <c t="s">
        <v>2517</v>
      </c>
      <c t="s">
        <v>39289</v>
      </c>
      <c>
        <v>33909</v>
      </c>
      <c t="s">
        <v>51106</v>
      </c>
      <c t="s">
        <v>48794</v>
      </c>
      <c t="s">
        <v>5402</v>
      </c>
      <c>
        <v>5561</v>
      </c>
      <c r="AI3653" t="s">
        <v>30650</v>
      </c>
      <c t="s">
        <v>55842</v>
      </c>
      <c r="AL3653" t="s">
        <v>7070</v>
      </c>
      <c r="AN3653" t="s">
        <v>10804</v>
      </c>
      <c t="s">
        <v>4761</v>
      </c>
      <c t="s">
        <v>18415</v>
      </c>
      <c t="s">
        <v>3093</v>
      </c>
      <c t="s">
        <v>15401</v>
      </c>
    </row>
    <row>
      <c t="s">
        <v>17594</v>
      </c>
      <c t="s">
        <v>26152</v>
      </c>
      <c t="s">
        <v>29833</v>
      </c>
      <c t="s">
        <v>32994</v>
      </c>
      <c t="s">
        <v>28071</v>
      </c>
      <c s="3">
        <v>7700</v>
      </c>
      <c s="3">
        <v>7700</v>
      </c>
      <c s="3">
        <v>7700</v>
      </c>
      <c>
        <v>0</v>
      </c>
      <c s="3">
        <v>0</v>
      </c>
      <c s="3">
        <v>687.83</v>
      </c>
      <c s="3">
        <v>7700</v>
      </c>
      <c r="O3654" s="1" t="str">
        <f ca="1">HYPERLINK("https://web.datatree.com/?/property?propertyId=33376217", "https://web.datatree.com/?/property?propertyId=33376217")</f>
        <v>https://web.datatree.com/?/property?propertyId=33376217</v>
      </c>
      <c r="Q3654" t="s">
        <v>316</v>
      </c>
      <c>
        <v>0.297</v>
      </c>
      <c t="s">
        <v>6175</v>
      </c>
      <c t="s">
        <v>43151</v>
      </c>
      <c t="s">
        <v>5807</v>
      </c>
      <c t="s">
        <v>65497</v>
      </c>
      <c t="s">
        <v>5807</v>
      </c>
      <c t="s">
        <v>4549</v>
      </c>
      <c t="s">
        <v>14534</v>
      </c>
      <c t="s">
        <v>2517</v>
      </c>
      <c t="s">
        <v>39289</v>
      </c>
      <c>
        <v>33909</v>
      </c>
      <c t="s">
        <v>23079</v>
      </c>
      <c t="s">
        <v>48794</v>
      </c>
      <c t="s">
        <v>22426</v>
      </c>
      <c>
        <v>1114</v>
      </c>
      <c r="AI3654" t="s">
        <v>33335</v>
      </c>
      <c t="s">
        <v>45393</v>
      </c>
      <c r="AL3654" t="s">
        <v>2517</v>
      </c>
      <c t="s">
        <v>62149</v>
      </c>
      <c t="s">
        <v>39289</v>
      </c>
      <c t="s">
        <v>53456</v>
      </c>
      <c t="s">
        <v>38085</v>
      </c>
      <c t="s">
        <v>3093</v>
      </c>
      <c t="s">
        <v>32404</v>
      </c>
    </row>
    <row>
      <c t="s">
        <v>42103</v>
      </c>
      <c t="s">
        <v>1477</v>
      </c>
      <c t="s">
        <v>46719</v>
      </c>
      <c t="s">
        <v>65634</v>
      </c>
      <c t="s">
        <v>14054</v>
      </c>
      <c s="3">
        <v>35572</v>
      </c>
      <c s="3">
        <v>34891</v>
      </c>
      <c s="3">
        <v>26072</v>
      </c>
      <c>
        <v>0</v>
      </c>
      <c s="3">
        <v>0</v>
      </c>
      <c s="3">
        <v>421.96</v>
      </c>
      <c s="3">
        <v>35572</v>
      </c>
      <c r="O3655" s="1" t="str">
        <f ca="1">HYPERLINK("https://web.datatree.com/?/property?propertyId=33377109", "https://web.datatree.com/?/property?propertyId=33377109")</f>
        <v>https://web.datatree.com/?/property?propertyId=33377109</v>
      </c>
      <c r="Q3655" t="s">
        <v>316</v>
      </c>
      <c>
        <v>0.068</v>
      </c>
      <c t="s">
        <v>54329</v>
      </c>
      <c t="s">
        <v>44541</v>
      </c>
      <c t="s">
        <v>32173</v>
      </c>
      <c t="s">
        <v>43948</v>
      </c>
      <c t="s">
        <v>28318</v>
      </c>
      <c t="s">
        <v>52286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25592</v>
      </c>
      <c r="AI3655" t="s">
        <v>59327</v>
      </c>
      <c r="AL3655" t="s">
        <v>8671</v>
      </c>
      <c r="AN3655" t="s">
        <v>51137</v>
      </c>
      <c t="s">
        <v>47374</v>
      </c>
      <c t="s">
        <v>14662</v>
      </c>
      <c t="s">
        <v>3093</v>
      </c>
      <c t="s">
        <v>54609</v>
      </c>
    </row>
    <row>
      <c t="s">
        <v>17594</v>
      </c>
      <c t="s">
        <v>47782</v>
      </c>
      <c t="s">
        <v>40613</v>
      </c>
      <c t="s">
        <v>22215</v>
      </c>
      <c t="s">
        <v>18138</v>
      </c>
      <c s="3">
        <v>9100</v>
      </c>
      <c s="3">
        <v>9100</v>
      </c>
      <c s="3">
        <v>9100</v>
      </c>
      <c>
        <v>0</v>
      </c>
      <c s="3">
        <v>0</v>
      </c>
      <c s="3">
        <v>586.77</v>
      </c>
      <c s="3">
        <v>9100</v>
      </c>
      <c r="O3656" s="1" t="str">
        <f ca="1">HYPERLINK("https://web.datatree.com/?/property?propertyId=33378474", "https://web.datatree.com/?/property?propertyId=33378474")</f>
        <v>https://web.datatree.com/?/property?propertyId=33378474</v>
      </c>
      <c r="Q3656" t="s">
        <v>316</v>
      </c>
      <c>
        <v>0.23</v>
      </c>
      <c t="s">
        <v>65422</v>
      </c>
      <c t="s">
        <v>20391</v>
      </c>
      <c t="s">
        <v>44602</v>
      </c>
      <c t="s">
        <v>31248</v>
      </c>
      <c t="s">
        <v>7888</v>
      </c>
      <c t="s">
        <v>7087</v>
      </c>
      <c t="s">
        <v>30928</v>
      </c>
      <c t="s">
        <v>2517</v>
      </c>
      <c t="s">
        <v>39289</v>
      </c>
      <c>
        <v>33909</v>
      </c>
      <c t="s">
        <v>45135</v>
      </c>
      <c t="s">
        <v>48794</v>
      </c>
      <c t="s">
        <v>36293</v>
      </c>
      <c>
        <v>5303</v>
      </c>
      <c r="AI3656" t="s">
        <v>17774</v>
      </c>
      <c t="s">
        <v>56275</v>
      </c>
      <c r="AL3656" t="s">
        <v>51808</v>
      </c>
      <c r="AN3656" t="s">
        <v>3034</v>
      </c>
      <c t="s">
        <v>46445</v>
      </c>
      <c t="s">
        <v>62983</v>
      </c>
      <c t="s">
        <v>3093</v>
      </c>
      <c t="s">
        <v>23052</v>
      </c>
    </row>
    <row>
      <c t="s">
        <v>17594</v>
      </c>
      <c t="s">
        <v>240</v>
      </c>
      <c t="s">
        <v>54391</v>
      </c>
      <c t="s">
        <v>12423</v>
      </c>
      <c t="s">
        <v>53757</v>
      </c>
      <c s="3">
        <v>23673</v>
      </c>
      <c s="3">
        <v>23673</v>
      </c>
      <c s="3">
        <v>9570</v>
      </c>
      <c>
        <v>0</v>
      </c>
      <c s="3">
        <v>0</v>
      </c>
      <c s="3">
        <v>612.06</v>
      </c>
      <c s="3">
        <v>23673</v>
      </c>
      <c r="O3657" s="1" t="str">
        <f ca="1">HYPERLINK("https://web.datatree.com/?/property?propertyId=33380556", "https://web.datatree.com/?/property?propertyId=33380556")</f>
        <v>https://web.datatree.com/?/property?propertyId=33380556</v>
      </c>
      <c r="Q3657" t="s">
        <v>316</v>
      </c>
      <c>
        <v>0.249</v>
      </c>
      <c t="s">
        <v>45031</v>
      </c>
      <c t="s">
        <v>44745</v>
      </c>
      <c t="s">
        <v>556</v>
      </c>
      <c r="X3657" t="s">
        <v>33844</v>
      </c>
      <c t="s">
        <v>38550</v>
      </c>
      <c t="s">
        <v>2517</v>
      </c>
      <c t="s">
        <v>39289</v>
      </c>
      <c>
        <v>33909</v>
      </c>
      <c t="s">
        <v>1086</v>
      </c>
      <c t="s">
        <v>48794</v>
      </c>
      <c t="s">
        <v>45618</v>
      </c>
      <c>
        <v>4</v>
      </c>
      <c r="AI3657" t="s">
        <v>46020</v>
      </c>
      <c r="AL3657" t="s">
        <v>31478</v>
      </c>
      <c t="s">
        <v>31478</v>
      </c>
      <c t="s">
        <v>39289</v>
      </c>
      <c>
        <v>34470</v>
      </c>
      <c r="AR3657" t="s">
        <v>21547</v>
      </c>
    </row>
    <row>
      <c t="s">
        <v>17594</v>
      </c>
      <c t="s">
        <v>60396</v>
      </c>
      <c s="7" t="s">
        <v>13517</v>
      </c>
      <c t="s">
        <v>56797</v>
      </c>
      <c t="s">
        <v>32014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3658" s="1" t="str">
        <f ca="1">HYPERLINK("https://web.datatree.com/?/property?propertyId=33380790", "https://web.datatree.com/?/property?propertyId=33380790")</f>
        <v>https://web.datatree.com/?/property?propertyId=33380790</v>
      </c>
      <c r="Q3658" t="s">
        <v>316</v>
      </c>
      <c>
        <v>0.23</v>
      </c>
      <c t="s">
        <v>22490</v>
      </c>
      <c t="s">
        <v>34173</v>
      </c>
      <c t="s">
        <v>65806</v>
      </c>
      <c t="s">
        <v>37000</v>
      </c>
      <c t="s">
        <v>65806</v>
      </c>
      <c t="s">
        <v>62112</v>
      </c>
      <c t="s">
        <v>38550</v>
      </c>
      <c t="s">
        <v>2517</v>
      </c>
      <c t="s">
        <v>39289</v>
      </c>
      <c>
        <v>33909</v>
      </c>
      <c t="s">
        <v>9143</v>
      </c>
      <c t="s">
        <v>48794</v>
      </c>
      <c t="s">
        <v>40040</v>
      </c>
      <c>
        <v>2</v>
      </c>
      <c r="AI3658" t="s">
        <v>22351</v>
      </c>
      <c t="s">
        <v>48479</v>
      </c>
      <c r="AL3658" t="s">
        <v>2138</v>
      </c>
      <c r="AN3658" t="s">
        <v>10909</v>
      </c>
      <c t="s">
        <v>31149</v>
      </c>
      <c r="AQ3658" t="s">
        <v>27814</v>
      </c>
      <c s="7" t="s">
        <v>17257</v>
      </c>
    </row>
    <row>
      <c t="s">
        <v>17594</v>
      </c>
      <c t="s">
        <v>31308</v>
      </c>
      <c t="s">
        <v>3939</v>
      </c>
      <c t="s">
        <v>46339</v>
      </c>
      <c t="s">
        <v>13238</v>
      </c>
      <c s="3">
        <v>15788</v>
      </c>
      <c s="3">
        <v>15788</v>
      </c>
      <c s="3">
        <v>8250</v>
      </c>
      <c>
        <v>0</v>
      </c>
      <c s="3">
        <v>0</v>
      </c>
      <c s="3">
        <v>568.23</v>
      </c>
      <c s="3">
        <v>15788</v>
      </c>
      <c r="O3659" s="1" t="str">
        <f ca="1">HYPERLINK("https://web.datatree.com/?/property?propertyId=33380962", "https://web.datatree.com/?/property?propertyId=33380962")</f>
        <v>https://web.datatree.com/?/property?propertyId=33380962</v>
      </c>
      <c r="Q3659" t="s">
        <v>316</v>
      </c>
      <c>
        <v>0.257</v>
      </c>
      <c t="s">
        <v>6175</v>
      </c>
      <c t="s">
        <v>39635</v>
      </c>
      <c t="s">
        <v>1390</v>
      </c>
      <c r="X3659" t="s">
        <v>32995</v>
      </c>
      <c t="s">
        <v>66701</v>
      </c>
      <c t="s">
        <v>2517</v>
      </c>
      <c t="s">
        <v>39289</v>
      </c>
      <c>
        <v>33909</v>
      </c>
      <c t="s">
        <v>11943</v>
      </c>
      <c t="s">
        <v>48794</v>
      </c>
      <c t="s">
        <v>32938</v>
      </c>
      <c>
        <v>5497</v>
      </c>
      <c r="AI3659" t="s">
        <v>53675</v>
      </c>
      <c t="s">
        <v>20065</v>
      </c>
      <c r="AL3659" t="s">
        <v>49835</v>
      </c>
      <c r="AN3659" t="s">
        <v>10909</v>
      </c>
      <c t="s">
        <v>32067</v>
      </c>
      <c r="AQ3659" t="s">
        <v>27814</v>
      </c>
      <c t="s">
        <v>21696</v>
      </c>
    </row>
    <row>
      <c t="s">
        <v>17594</v>
      </c>
      <c t="s">
        <v>64966</v>
      </c>
      <c t="s">
        <v>5030</v>
      </c>
      <c t="s">
        <v>47492</v>
      </c>
      <c t="s">
        <v>37983</v>
      </c>
      <c s="3">
        <v>23673</v>
      </c>
      <c s="3">
        <v>23673</v>
      </c>
      <c s="3">
        <v>9570</v>
      </c>
      <c>
        <v>0</v>
      </c>
      <c s="3">
        <v>0</v>
      </c>
      <c s="3">
        <v>651.18</v>
      </c>
      <c s="3">
        <v>23673</v>
      </c>
      <c r="O3660" s="1" t="str">
        <f ca="1">HYPERLINK("https://web.datatree.com/?/property?propertyId=33381111", "https://web.datatree.com/?/property?propertyId=33381111")</f>
        <v>https://web.datatree.com/?/property?propertyId=33381111</v>
      </c>
      <c r="Q3660" t="s">
        <v>316</v>
      </c>
      <c>
        <v>0.281</v>
      </c>
      <c t="s">
        <v>22490</v>
      </c>
      <c t="s">
        <v>56684</v>
      </c>
      <c t="s">
        <v>39707</v>
      </c>
      <c r="X3660" t="s">
        <v>61594</v>
      </c>
      <c t="s">
        <v>5115</v>
      </c>
      <c t="s">
        <v>2517</v>
      </c>
      <c t="s">
        <v>39289</v>
      </c>
      <c>
        <v>33909</v>
      </c>
      <c t="s">
        <v>36628</v>
      </c>
      <c t="s">
        <v>48794</v>
      </c>
      <c t="s">
        <v>53197</v>
      </c>
      <c>
        <v>1111</v>
      </c>
      <c r="AI3660" t="s">
        <v>32368</v>
      </c>
      <c t="s">
        <v>4985</v>
      </c>
      <c t="s">
        <v>20679</v>
      </c>
      <c t="s">
        <v>44757</v>
      </c>
      <c t="s">
        <v>44757</v>
      </c>
      <c t="s">
        <v>39289</v>
      </c>
      <c t="s">
        <v>27793</v>
      </c>
      <c t="s">
        <v>16126</v>
      </c>
      <c t="s">
        <v>3093</v>
      </c>
      <c t="s">
        <v>41845</v>
      </c>
    </row>
    <row>
      <c t="s">
        <v>17594</v>
      </c>
      <c t="s">
        <v>18968</v>
      </c>
      <c t="s">
        <v>23642</v>
      </c>
      <c t="s">
        <v>49647</v>
      </c>
      <c t="s">
        <v>64987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>
        <v>2021</v>
      </c>
      <c>
        <v>586.65</v>
      </c>
      <c s="1" t="str">
        <f ca="1">HYPERLINK("https://web.datatree.com/?/property?propertyId=33381260", "https://web.datatree.com/?/property?propertyId=33381260")</f>
        <v>https://web.datatree.com/?/property?propertyId=33381260</v>
      </c>
      <c r="Q3661" t="s">
        <v>316</v>
      </c>
      <c>
        <v>0.244</v>
      </c>
      <c t="s">
        <v>6175</v>
      </c>
      <c t="s">
        <v>1722</v>
      </c>
      <c t="s">
        <v>57842</v>
      </c>
      <c t="s">
        <v>64201</v>
      </c>
      <c t="s">
        <v>57842</v>
      </c>
      <c t="s">
        <v>59980</v>
      </c>
      <c t="s">
        <v>39832</v>
      </c>
      <c t="s">
        <v>2517</v>
      </c>
      <c t="s">
        <v>39289</v>
      </c>
      <c>
        <v>33909</v>
      </c>
      <c t="s">
        <v>33197</v>
      </c>
      <c t="s">
        <v>48794</v>
      </c>
      <c t="s">
        <v>38074</v>
      </c>
      <c>
        <v>11025</v>
      </c>
      <c r="AI3661" t="s">
        <v>57921</v>
      </c>
      <c t="s">
        <v>45393</v>
      </c>
      <c r="AL3661" t="s">
        <v>523</v>
      </c>
      <c t="s">
        <v>523</v>
      </c>
      <c t="s">
        <v>19878</v>
      </c>
      <c t="s">
        <v>50740</v>
      </c>
      <c t="s">
        <v>62983</v>
      </c>
      <c t="s">
        <v>3093</v>
      </c>
      <c t="s">
        <v>13983</v>
      </c>
    </row>
    <row>
      <c t="s">
        <v>17594</v>
      </c>
      <c t="s">
        <v>42975</v>
      </c>
      <c t="s">
        <v>57721</v>
      </c>
      <c t="s">
        <v>61375</v>
      </c>
      <c t="s">
        <v>16208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662" s="1" t="str">
        <f ca="1">HYPERLINK("https://web.datatree.com/?/property?propertyId=33381481", "https://web.datatree.com/?/property?propertyId=33381481")</f>
        <v>https://web.datatree.com/?/property?propertyId=33381481</v>
      </c>
      <c r="Q3662" t="s">
        <v>316</v>
      </c>
      <c>
        <v>0.23</v>
      </c>
      <c t="s">
        <v>6175</v>
      </c>
      <c t="s">
        <v>60000</v>
      </c>
      <c t="s">
        <v>28662</v>
      </c>
      <c r="X3662" t="s">
        <v>57429</v>
      </c>
      <c t="s">
        <v>61865</v>
      </c>
      <c t="s">
        <v>2517</v>
      </c>
      <c t="s">
        <v>39289</v>
      </c>
      <c>
        <v>33909</v>
      </c>
      <c t="s">
        <v>730</v>
      </c>
      <c t="s">
        <v>48794</v>
      </c>
      <c t="s">
        <v>41624</v>
      </c>
      <c>
        <v>702</v>
      </c>
      <c r="AI3662" t="s">
        <v>34731</v>
      </c>
      <c t="s">
        <v>24900</v>
      </c>
      <c>
        <v>406</v>
      </c>
      <c t="s">
        <v>56302</v>
      </c>
      <c t="s">
        <v>56302</v>
      </c>
      <c t="s">
        <v>39289</v>
      </c>
      <c t="s">
        <v>17458</v>
      </c>
      <c t="s">
        <v>38085</v>
      </c>
      <c t="s">
        <v>3093</v>
      </c>
      <c t="s">
        <v>29700</v>
      </c>
    </row>
    <row>
      <c t="s">
        <v>17594</v>
      </c>
      <c t="s">
        <v>11989</v>
      </c>
      <c t="s">
        <v>37533</v>
      </c>
      <c t="s">
        <v>54043</v>
      </c>
      <c t="s">
        <v>61793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3663" s="1" t="str">
        <f ca="1">HYPERLINK("https://web.datatree.com/?/property?propertyId=33381605", "https://web.datatree.com/?/property?propertyId=33381605")</f>
        <v>https://web.datatree.com/?/property?propertyId=33381605</v>
      </c>
      <c r="Q3663" t="s">
        <v>316</v>
      </c>
      <c>
        <v>0.23</v>
      </c>
      <c t="s">
        <v>22490</v>
      </c>
      <c t="s">
        <v>14827</v>
      </c>
      <c t="s">
        <v>28448</v>
      </c>
      <c t="s">
        <v>64201</v>
      </c>
      <c t="s">
        <v>28448</v>
      </c>
      <c t="s">
        <v>22266</v>
      </c>
      <c t="s">
        <v>66701</v>
      </c>
      <c t="s">
        <v>2517</v>
      </c>
      <c t="s">
        <v>39289</v>
      </c>
      <c>
        <v>33909</v>
      </c>
      <c t="s">
        <v>33143</v>
      </c>
      <c t="s">
        <v>48794</v>
      </c>
      <c t="s">
        <v>33108</v>
      </c>
      <c>
        <v>365</v>
      </c>
      <c r="AI3663" t="s">
        <v>35603</v>
      </c>
      <c t="s">
        <v>24900</v>
      </c>
      <c r="AL3663" t="s">
        <v>27125</v>
      </c>
      <c r="AN3663" t="s">
        <v>17134</v>
      </c>
      <c t="s">
        <v>4049</v>
      </c>
      <c t="s">
        <v>32746</v>
      </c>
      <c t="s">
        <v>3093</v>
      </c>
      <c t="s">
        <v>4672</v>
      </c>
    </row>
    <row>
      <c t="s">
        <v>17594</v>
      </c>
      <c t="s">
        <v>16215</v>
      </c>
      <c t="s">
        <v>27103</v>
      </c>
      <c t="s">
        <v>55645</v>
      </c>
      <c t="s">
        <v>4385</v>
      </c>
      <c s="3">
        <v>8195</v>
      </c>
      <c s="3">
        <v>8195</v>
      </c>
      <c s="3">
        <v>4972</v>
      </c>
      <c>
        <v>0</v>
      </c>
      <c s="3">
        <v>0</v>
      </c>
      <c s="3">
        <v>316.66</v>
      </c>
      <c s="3">
        <v>8195</v>
      </c>
      <c r="O3664" s="1" t="str">
        <f ca="1">HYPERLINK("https://web.datatree.com/?/property?propertyId=33382151", "https://web.datatree.com/?/property?propertyId=33382151")</f>
        <v>https://web.datatree.com/?/property?propertyId=33382151</v>
      </c>
      <c r="Q3664" t="s">
        <v>316</v>
      </c>
      <c>
        <v>0.24</v>
      </c>
      <c t="s">
        <v>5471</v>
      </c>
      <c t="s">
        <v>30490</v>
      </c>
      <c t="s">
        <v>50554</v>
      </c>
      <c r="X3664" t="s">
        <v>5541</v>
      </c>
      <c t="s">
        <v>52508</v>
      </c>
      <c t="s">
        <v>65059</v>
      </c>
      <c t="s">
        <v>39289</v>
      </c>
      <c>
        <v>33905</v>
      </c>
      <c t="s">
        <v>50827</v>
      </c>
      <c t="s">
        <v>48794</v>
      </c>
      <c t="s">
        <v>37208</v>
      </c>
      <c>
        <v>142</v>
      </c>
      <c r="AI3664" t="s">
        <v>8722</v>
      </c>
      <c t="s">
        <v>45393</v>
      </c>
      <c r="AL3664" t="s">
        <v>66317</v>
      </c>
      <c r="AN3664" t="s">
        <v>50917</v>
      </c>
      <c t="s">
        <v>60824</v>
      </c>
      <c t="s">
        <v>17380</v>
      </c>
      <c t="s">
        <v>3093</v>
      </c>
      <c t="s">
        <v>12280</v>
      </c>
    </row>
    <row>
      <c t="s">
        <v>17594</v>
      </c>
      <c t="s">
        <v>455</v>
      </c>
      <c t="s">
        <v>26251</v>
      </c>
      <c t="s">
        <v>15480</v>
      </c>
      <c t="s">
        <v>10443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3665" s="1" t="str">
        <f ca="1">HYPERLINK("https://web.datatree.com/?/property?propertyId=33382298", "https://web.datatree.com/?/property?propertyId=33382298")</f>
        <v>https://web.datatree.com/?/property?propertyId=33382298</v>
      </c>
      <c r="Q3665" t="s">
        <v>316</v>
      </c>
      <c>
        <v>0.23</v>
      </c>
      <c t="s">
        <v>6175</v>
      </c>
      <c t="s">
        <v>54943</v>
      </c>
      <c t="s">
        <v>58953</v>
      </c>
      <c r="X3665" t="s">
        <v>60136</v>
      </c>
      <c t="s">
        <v>10653</v>
      </c>
      <c t="s">
        <v>2517</v>
      </c>
      <c t="s">
        <v>39289</v>
      </c>
      <c>
        <v>33909</v>
      </c>
      <c t="s">
        <v>56348</v>
      </c>
      <c t="s">
        <v>48794</v>
      </c>
      <c t="s">
        <v>6868</v>
      </c>
      <c>
        <v>16701</v>
      </c>
      <c r="AI3665" t="s">
        <v>28308</v>
      </c>
      <c t="s">
        <v>18382</v>
      </c>
      <c r="AL3665" t="s">
        <v>26641</v>
      </c>
      <c t="s">
        <v>26641</v>
      </c>
      <c t="s">
        <v>39289</v>
      </c>
      <c t="s">
        <v>59140</v>
      </c>
      <c t="s">
        <v>33029</v>
      </c>
      <c t="s">
        <v>3093</v>
      </c>
      <c t="s">
        <v>1598</v>
      </c>
    </row>
    <row>
      <c t="s">
        <v>17594</v>
      </c>
      <c t="s">
        <v>52442</v>
      </c>
      <c t="s">
        <v>62536</v>
      </c>
      <c t="s">
        <v>9540</v>
      </c>
      <c t="s">
        <v>29316</v>
      </c>
      <c s="3">
        <v>36604</v>
      </c>
      <c s="3">
        <v>36604</v>
      </c>
      <c s="3">
        <v>36604</v>
      </c>
      <c>
        <v>0</v>
      </c>
      <c s="3">
        <v>0</v>
      </c>
      <c s="3">
        <v>1104.94</v>
      </c>
      <c s="3">
        <v>36604</v>
      </c>
      <c r="O3666" s="1" t="str">
        <f ca="1">HYPERLINK("https://web.datatree.com/?/property?propertyId=33382579", "https://web.datatree.com/?/property?propertyId=33382579")</f>
        <v>https://web.datatree.com/?/property?propertyId=33382579</v>
      </c>
      <c r="Q3666" t="s">
        <v>316</v>
      </c>
      <c>
        <v>0.344</v>
      </c>
      <c t="s">
        <v>65422</v>
      </c>
      <c t="s">
        <v>944</v>
      </c>
      <c t="s">
        <v>54789</v>
      </c>
      <c t="s">
        <v>59344</v>
      </c>
      <c t="s">
        <v>54789</v>
      </c>
      <c t="s">
        <v>24125</v>
      </c>
      <c t="s">
        <v>39082</v>
      </c>
      <c t="s">
        <v>2517</v>
      </c>
      <c t="s">
        <v>39289</v>
      </c>
      <c>
        <v>33904</v>
      </c>
      <c t="s">
        <v>59228</v>
      </c>
      <c t="s">
        <v>48794</v>
      </c>
      <c t="s">
        <v>39369</v>
      </c>
      <c>
        <v>13713</v>
      </c>
      <c r="AI3666" t="s">
        <v>7594</v>
      </c>
      <c t="s">
        <v>45393</v>
      </c>
      <c r="AL3666" t="s">
        <v>55393</v>
      </c>
      <c t="s">
        <v>51647</v>
      </c>
      <c t="s">
        <v>39289</v>
      </c>
      <c t="s">
        <v>16268</v>
      </c>
      <c t="s">
        <v>26416</v>
      </c>
      <c t="s">
        <v>3093</v>
      </c>
      <c t="s">
        <v>53772</v>
      </c>
    </row>
    <row>
      <c t="s">
        <v>17594</v>
      </c>
      <c t="s">
        <v>47812</v>
      </c>
      <c t="s">
        <v>31514</v>
      </c>
      <c t="s">
        <v>56356</v>
      </c>
      <c t="s">
        <v>52686</v>
      </c>
      <c s="3">
        <v>52000</v>
      </c>
      <c s="3">
        <v>52000</v>
      </c>
      <c s="3">
        <v>24522</v>
      </c>
      <c>
        <v>0</v>
      </c>
      <c s="3">
        <v>0</v>
      </c>
      <c s="3">
        <v>953.08</v>
      </c>
      <c s="3">
        <v>52000</v>
      </c>
      <c r="O3667" s="1" t="str">
        <f ca="1">HYPERLINK("https://web.datatree.com/?/property?propertyId=33383216", "https://web.datatree.com/?/property?propertyId=33383216")</f>
        <v>https://web.datatree.com/?/property?propertyId=33383216</v>
      </c>
      <c r="Q3667" t="s">
        <v>316</v>
      </c>
      <c>
        <v>0.228</v>
      </c>
      <c t="s">
        <v>22490</v>
      </c>
      <c t="s">
        <v>9451</v>
      </c>
      <c t="s">
        <v>37299</v>
      </c>
      <c t="s">
        <v>26023</v>
      </c>
      <c t="s">
        <v>37299</v>
      </c>
      <c t="s">
        <v>3450</v>
      </c>
      <c t="s">
        <v>58797</v>
      </c>
      <c t="s">
        <v>2517</v>
      </c>
      <c t="s">
        <v>39289</v>
      </c>
      <c>
        <v>33909</v>
      </c>
      <c t="s">
        <v>31671</v>
      </c>
      <c t="s">
        <v>48794</v>
      </c>
      <c t="s">
        <v>61314</v>
      </c>
      <c>
        <v>1802</v>
      </c>
      <c r="AI3667" t="s">
        <v>13109</v>
      </c>
      <c t="s">
        <v>24900</v>
      </c>
      <c r="AL3667" t="s">
        <v>27470</v>
      </c>
      <c r="AN3667" t="s">
        <v>19878</v>
      </c>
      <c t="s">
        <v>8756</v>
      </c>
      <c t="s">
        <v>44573</v>
      </c>
      <c t="s">
        <v>3093</v>
      </c>
      <c t="s">
        <v>30498</v>
      </c>
    </row>
    <row>
      <c t="s">
        <v>17594</v>
      </c>
      <c t="s">
        <v>20474</v>
      </c>
      <c t="s">
        <v>18303</v>
      </c>
      <c t="s">
        <v>38802</v>
      </c>
      <c t="s">
        <v>29688</v>
      </c>
      <c s="3">
        <v>17399</v>
      </c>
      <c s="3">
        <v>17399</v>
      </c>
      <c s="3">
        <v>8470</v>
      </c>
      <c>
        <v>0</v>
      </c>
      <c s="3">
        <v>0</v>
      </c>
      <c s="3">
        <v>576.29</v>
      </c>
      <c s="3">
        <v>17399</v>
      </c>
      <c r="O3668" s="1" t="str">
        <f ca="1">HYPERLINK("https://web.datatree.com/?/property?propertyId=33383487", "https://web.datatree.com/?/property?propertyId=33383487")</f>
        <v>https://web.datatree.com/?/property?propertyId=33383487</v>
      </c>
      <c r="Q3668" t="s">
        <v>316</v>
      </c>
      <c>
        <v>0.244</v>
      </c>
      <c t="s">
        <v>6175</v>
      </c>
      <c t="s">
        <v>24179</v>
      </c>
      <c t="s">
        <v>39982</v>
      </c>
      <c r="X3668" t="s">
        <v>46808</v>
      </c>
      <c t="s">
        <v>46469</v>
      </c>
      <c t="s">
        <v>2517</v>
      </c>
      <c t="s">
        <v>39289</v>
      </c>
      <c>
        <v>33909</v>
      </c>
      <c t="s">
        <v>25542</v>
      </c>
      <c t="s">
        <v>48794</v>
      </c>
      <c t="s">
        <v>63322</v>
      </c>
      <c>
        <v>80</v>
      </c>
      <c r="AI3668" t="s">
        <v>42943</v>
      </c>
      <c t="s">
        <v>24900</v>
      </c>
      <c t="s">
        <v>59260</v>
      </c>
      <c t="s">
        <v>21446</v>
      </c>
      <c t="s">
        <v>21446</v>
      </c>
      <c t="s">
        <v>26016</v>
      </c>
      <c t="s">
        <v>21900</v>
      </c>
      <c t="s">
        <v>32895</v>
      </c>
      <c t="s">
        <v>3093</v>
      </c>
      <c t="s">
        <v>40163</v>
      </c>
    </row>
    <row>
      <c t="s">
        <v>17594</v>
      </c>
      <c t="s">
        <v>16532</v>
      </c>
      <c t="s">
        <v>7779</v>
      </c>
      <c t="s">
        <v>29839</v>
      </c>
      <c t="s">
        <v>40310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669" s="1" t="str">
        <f ca="1">HYPERLINK("https://web.datatree.com/?/property?propertyId=33383576", "https://web.datatree.com/?/property?propertyId=33383576")</f>
        <v>https://web.datatree.com/?/property?propertyId=33383576</v>
      </c>
      <c r="Q3669" t="s">
        <v>316</v>
      </c>
      <c>
        <v>0.23</v>
      </c>
      <c t="s">
        <v>22490</v>
      </c>
      <c t="s">
        <v>4354</v>
      </c>
      <c t="s">
        <v>26608</v>
      </c>
      <c r="X3669" t="s">
        <v>59156</v>
      </c>
      <c t="s">
        <v>66701</v>
      </c>
      <c t="s">
        <v>2517</v>
      </c>
      <c t="s">
        <v>39289</v>
      </c>
      <c>
        <v>33909</v>
      </c>
      <c t="s">
        <v>468</v>
      </c>
      <c t="s">
        <v>48794</v>
      </c>
      <c t="s">
        <v>47145</v>
      </c>
      <c>
        <v>41008</v>
      </c>
      <c r="AI3669" t="s">
        <v>8609</v>
      </c>
      <c t="s">
        <v>55842</v>
      </c>
      <c r="AL3669" t="s">
        <v>40563</v>
      </c>
      <c r="AN3669" t="s">
        <v>51087</v>
      </c>
      <c t="s">
        <v>51855</v>
      </c>
      <c t="s">
        <v>14695</v>
      </c>
      <c t="s">
        <v>3093</v>
      </c>
      <c t="s">
        <v>38137</v>
      </c>
    </row>
    <row>
      <c t="s">
        <v>17594</v>
      </c>
      <c t="s">
        <v>1601</v>
      </c>
      <c t="s">
        <v>29733</v>
      </c>
      <c t="s">
        <v>48937</v>
      </c>
      <c t="s">
        <v>51385</v>
      </c>
      <c s="3">
        <v>56000</v>
      </c>
      <c s="3">
        <v>56000</v>
      </c>
      <c s="3">
        <v>12026</v>
      </c>
      <c>
        <v>0</v>
      </c>
      <c s="3">
        <v>0</v>
      </c>
      <c s="3">
        <v>2332.72</v>
      </c>
      <c s="3">
        <v>56000</v>
      </c>
      <c r="O3670" s="1" t="str">
        <f ca="1">HYPERLINK("https://web.datatree.com/?/property?propertyId=33383673", "https://web.datatree.com/?/property?propertyId=33383673")</f>
        <v>https://web.datatree.com/?/property?propertyId=33383673</v>
      </c>
      <c r="Q3670" t="s">
        <v>316</v>
      </c>
      <c>
        <v>0.37</v>
      </c>
      <c t="s">
        <v>6175</v>
      </c>
      <c t="s">
        <v>33269</v>
      </c>
      <c t="s">
        <v>13210</v>
      </c>
      <c t="s">
        <v>53622</v>
      </c>
      <c t="s">
        <v>13210</v>
      </c>
      <c t="s">
        <v>43160</v>
      </c>
      <c t="s">
        <v>24630</v>
      </c>
      <c t="s">
        <v>2517</v>
      </c>
      <c t="s">
        <v>39289</v>
      </c>
      <c>
        <v>33909</v>
      </c>
      <c>
        <v>33909</v>
      </c>
      <c t="s">
        <v>48794</v>
      </c>
      <c t="s">
        <v>4838</v>
      </c>
      <c>
        <v>20712</v>
      </c>
      <c r="AI3670" t="s">
        <v>30211</v>
      </c>
      <c t="s">
        <v>31192</v>
      </c>
      <c r="AL3670" t="s">
        <v>44208</v>
      </c>
      <c r="AN3670" t="s">
        <v>10804</v>
      </c>
      <c t="s">
        <v>3342</v>
      </c>
      <c t="s">
        <v>22152</v>
      </c>
      <c t="s">
        <v>3093</v>
      </c>
      <c t="s">
        <v>18144</v>
      </c>
    </row>
    <row>
      <c t="s">
        <v>17594</v>
      </c>
      <c t="s">
        <v>14347</v>
      </c>
      <c t="s">
        <v>2372</v>
      </c>
      <c t="s">
        <v>5135</v>
      </c>
      <c t="s">
        <v>60908</v>
      </c>
      <c s="3">
        <v>222000</v>
      </c>
      <c s="3">
        <v>222000</v>
      </c>
      <c s="3">
        <v>220000</v>
      </c>
      <c>
        <v>0</v>
      </c>
      <c s="3">
        <v>0</v>
      </c>
      <c s="3">
        <v>3029.93</v>
      </c>
      <c s="3">
        <v>222000</v>
      </c>
      <c r="O3671" s="1" t="str">
        <f ca="1">HYPERLINK("https://web.datatree.com/?/property?propertyId=33384513", "https://web.datatree.com/?/property?propertyId=33384513")</f>
        <v>https://web.datatree.com/?/property?propertyId=33384513</v>
      </c>
      <c r="Q3671" t="s">
        <v>316</v>
      </c>
      <c>
        <v>0.381</v>
      </c>
      <c t="s">
        <v>29818</v>
      </c>
      <c t="s">
        <v>34140</v>
      </c>
      <c t="s">
        <v>25576</v>
      </c>
      <c t="s">
        <v>30846</v>
      </c>
      <c t="s">
        <v>25576</v>
      </c>
      <c t="s">
        <v>8168</v>
      </c>
      <c t="s">
        <v>42842</v>
      </c>
      <c t="s">
        <v>65059</v>
      </c>
      <c t="s">
        <v>39289</v>
      </c>
      <c>
        <v>33908</v>
      </c>
      <c t="s">
        <v>13267</v>
      </c>
      <c t="s">
        <v>48794</v>
      </c>
      <c t="s">
        <v>15953</v>
      </c>
      <c>
        <v>706</v>
      </c>
      <c r="AI3671" t="s">
        <v>50860</v>
      </c>
      <c t="s">
        <v>31192</v>
      </c>
      <c r="AL3671" t="s">
        <v>45726</v>
      </c>
      <c t="s">
        <v>45726</v>
      </c>
      <c t="s">
        <v>19878</v>
      </c>
      <c t="s">
        <v>64939</v>
      </c>
      <c t="s">
        <v>40826</v>
      </c>
      <c t="s">
        <v>3093</v>
      </c>
      <c t="s">
        <v>3703</v>
      </c>
    </row>
    <row>
      <c t="s">
        <v>42103</v>
      </c>
      <c t="s">
        <v>26138</v>
      </c>
      <c t="s">
        <v>50558</v>
      </c>
      <c t="s">
        <v>5978</v>
      </c>
      <c t="s">
        <v>13484</v>
      </c>
      <c s="3">
        <v>21812</v>
      </c>
      <c s="3">
        <v>21812</v>
      </c>
      <c s="3">
        <v>10890</v>
      </c>
      <c>
        <v>0</v>
      </c>
      <c s="3">
        <v>0</v>
      </c>
      <c s="3">
        <v>720.3</v>
      </c>
      <c s="3">
        <v>21812</v>
      </c>
      <c>
        <v>2021</v>
      </c>
      <c>
        <v>686.4</v>
      </c>
      <c s="1" t="str">
        <f ca="1">HYPERLINK("https://web.datatree.com/?/property?propertyId=33384650", "https://web.datatree.com/?/property?propertyId=33384650")</f>
        <v>https://web.datatree.com/?/property?propertyId=33384650</v>
      </c>
      <c r="Q3672" t="s">
        <v>316</v>
      </c>
      <c>
        <v>0.373</v>
      </c>
      <c t="s">
        <v>6175</v>
      </c>
      <c t="s">
        <v>64030</v>
      </c>
      <c t="s">
        <v>50884</v>
      </c>
      <c t="s">
        <v>65351</v>
      </c>
      <c t="s">
        <v>63608</v>
      </c>
      <c t="s">
        <v>65232</v>
      </c>
      <c t="s">
        <v>52171</v>
      </c>
      <c t="s">
        <v>2517</v>
      </c>
      <c t="s">
        <v>39289</v>
      </c>
      <c>
        <v>33909</v>
      </c>
      <c t="s">
        <v>47458</v>
      </c>
      <c t="s">
        <v>48794</v>
      </c>
      <c t="s">
        <v>25168</v>
      </c>
      <c r="AI3672" t="s">
        <v>48966</v>
      </c>
      <c r="AL3672" t="s">
        <v>10181</v>
      </c>
      <c r="AN3672" t="s">
        <v>14798</v>
      </c>
      <c r="AQ3672" t="s">
        <v>3093</v>
      </c>
      <c t="s">
        <v>51889</v>
      </c>
    </row>
    <row>
      <c t="s">
        <v>17594</v>
      </c>
      <c t="s">
        <v>18454</v>
      </c>
      <c t="s">
        <v>38863</v>
      </c>
      <c t="s">
        <v>21680</v>
      </c>
      <c t="s">
        <v>10718</v>
      </c>
      <c s="3">
        <v>23352</v>
      </c>
      <c s="3">
        <v>23352</v>
      </c>
      <c s="3">
        <v>23352</v>
      </c>
      <c>
        <v>0</v>
      </c>
      <c s="3">
        <v>0</v>
      </c>
      <c s="3">
        <v>768.97</v>
      </c>
      <c s="3">
        <v>23352</v>
      </c>
      <c r="O3673" s="1" t="str">
        <f ca="1">HYPERLINK("https://web.datatree.com/?/property?propertyId=33384765", "https://web.datatree.com/?/property?propertyId=33384765")</f>
        <v>https://web.datatree.com/?/property?propertyId=33384765</v>
      </c>
      <c r="Q3673" t="s">
        <v>316</v>
      </c>
      <c>
        <v>0.265</v>
      </c>
      <c t="s">
        <v>22490</v>
      </c>
      <c t="s">
        <v>15753</v>
      </c>
      <c t="s">
        <v>21272</v>
      </c>
      <c r="X3673" t="s">
        <v>28690</v>
      </c>
      <c t="s">
        <v>15510</v>
      </c>
      <c t="s">
        <v>2517</v>
      </c>
      <c t="s">
        <v>39289</v>
      </c>
      <c>
        <v>33909</v>
      </c>
      <c t="s">
        <v>40526</v>
      </c>
      <c t="s">
        <v>48794</v>
      </c>
      <c t="s">
        <v>8782</v>
      </c>
      <c>
        <v>4828</v>
      </c>
      <c r="AI3673" t="s">
        <v>15374</v>
      </c>
      <c t="s">
        <v>24900</v>
      </c>
      <c t="s">
        <v>25384</v>
      </c>
      <c t="s">
        <v>23972</v>
      </c>
      <c t="s">
        <v>23972</v>
      </c>
      <c t="s">
        <v>19878</v>
      </c>
      <c t="s">
        <v>38629</v>
      </c>
      <c t="s">
        <v>61719</v>
      </c>
      <c t="s">
        <v>3093</v>
      </c>
      <c t="s">
        <v>57578</v>
      </c>
    </row>
    <row>
      <c t="s">
        <v>17594</v>
      </c>
      <c t="s">
        <v>34611</v>
      </c>
      <c t="s">
        <v>54823</v>
      </c>
      <c t="s">
        <v>55149</v>
      </c>
      <c t="s">
        <v>36262</v>
      </c>
      <c s="3">
        <v>48521</v>
      </c>
      <c s="3">
        <v>48521</v>
      </c>
      <c s="3">
        <v>22824</v>
      </c>
      <c>
        <v>0</v>
      </c>
      <c s="3">
        <v>0</v>
      </c>
      <c s="3">
        <v>911.15</v>
      </c>
      <c s="3">
        <v>48521</v>
      </c>
      <c r="O3674" s="1" t="str">
        <f ca="1">HYPERLINK("https://web.datatree.com/?/property?propertyId=33384837", "https://web.datatree.com/?/property?propertyId=33384837")</f>
        <v>https://web.datatree.com/?/property?propertyId=33384837</v>
      </c>
      <c r="Q3674" t="s">
        <v>316</v>
      </c>
      <c>
        <v>0.23</v>
      </c>
      <c t="s">
        <v>6175</v>
      </c>
      <c t="s">
        <v>30490</v>
      </c>
      <c t="s">
        <v>60810</v>
      </c>
      <c r="X3674" t="s">
        <v>28245</v>
      </c>
      <c t="s">
        <v>41506</v>
      </c>
      <c t="s">
        <v>2517</v>
      </c>
      <c t="s">
        <v>39289</v>
      </c>
      <c>
        <v>33904</v>
      </c>
      <c t="s">
        <v>55106</v>
      </c>
      <c t="s">
        <v>48794</v>
      </c>
      <c t="s">
        <v>37069</v>
      </c>
      <c>
        <v>1816</v>
      </c>
      <c r="AI3674" t="s">
        <v>35038</v>
      </c>
      <c t="s">
        <v>24900</v>
      </c>
      <c r="AL3674" t="s">
        <v>36080</v>
      </c>
      <c r="AN3674" t="s">
        <v>39289</v>
      </c>
      <c t="s">
        <v>58260</v>
      </c>
      <c t="s">
        <v>23744</v>
      </c>
      <c t="s">
        <v>3093</v>
      </c>
      <c t="s">
        <v>7609</v>
      </c>
    </row>
    <row>
      <c t="s">
        <v>17594</v>
      </c>
      <c t="s">
        <v>57947</v>
      </c>
      <c t="s">
        <v>39131</v>
      </c>
      <c t="s">
        <v>21650</v>
      </c>
      <c t="s">
        <v>20759</v>
      </c>
      <c s="3">
        <v>46344</v>
      </c>
      <c s="3">
        <v>46344</v>
      </c>
      <c s="3">
        <v>9339</v>
      </c>
      <c>
        <v>0</v>
      </c>
      <c s="3">
        <v>0</v>
      </c>
      <c s="3">
        <v>2991.87</v>
      </c>
      <c s="3">
        <v>46344</v>
      </c>
      <c r="O3675" s="1" t="str">
        <f ca="1">HYPERLINK("https://web.datatree.com/?/property?propertyId=33385373", "https://web.datatree.com/?/property?propertyId=33385373")</f>
        <v>https://web.datatree.com/?/property?propertyId=33385373</v>
      </c>
      <c r="Q3675" t="s">
        <v>316</v>
      </c>
      <c>
        <v>0.23</v>
      </c>
      <c t="s">
        <v>65422</v>
      </c>
      <c t="s">
        <v>111</v>
      </c>
      <c t="s">
        <v>44872</v>
      </c>
      <c t="s">
        <v>35571</v>
      </c>
      <c t="s">
        <v>32018</v>
      </c>
      <c t="s">
        <v>67031</v>
      </c>
      <c t="s">
        <v>8669</v>
      </c>
      <c t="s">
        <v>2517</v>
      </c>
      <c t="s">
        <v>39289</v>
      </c>
      <c>
        <v>33909</v>
      </c>
      <c t="s">
        <v>19364</v>
      </c>
      <c t="s">
        <v>48794</v>
      </c>
      <c t="s">
        <v>27189</v>
      </c>
      <c>
        <v>203</v>
      </c>
      <c r="AI3675" t="s">
        <v>46516</v>
      </c>
      <c t="s">
        <v>31192</v>
      </c>
      <c r="AL3675" t="s">
        <v>29573</v>
      </c>
      <c r="AN3675" t="s">
        <v>39289</v>
      </c>
      <c t="s">
        <v>43960</v>
      </c>
      <c t="s">
        <v>1951</v>
      </c>
      <c t="s">
        <v>3093</v>
      </c>
      <c t="s">
        <v>13106</v>
      </c>
    </row>
    <row>
      <c t="s">
        <v>17594</v>
      </c>
      <c t="s">
        <v>14989</v>
      </c>
      <c t="s">
        <v>9168</v>
      </c>
      <c t="s">
        <v>2077</v>
      </c>
      <c t="s">
        <v>44039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676" s="1" t="str">
        <f ca="1">HYPERLINK("https://web.datatree.com/?/property?propertyId=33385523", "https://web.datatree.com/?/property?propertyId=33385523")</f>
        <v>https://web.datatree.com/?/property?propertyId=33385523</v>
      </c>
      <c r="Q3676" t="s">
        <v>316</v>
      </c>
      <c>
        <v>0.23</v>
      </c>
      <c t="s">
        <v>6175</v>
      </c>
      <c r="U3676" t="s">
        <v>855</v>
      </c>
      <c t="s">
        <v>16558</v>
      </c>
      <c t="s">
        <v>48794</v>
      </c>
      <c t="s">
        <v>52702</v>
      </c>
      <c t="s">
        <v>44061</v>
      </c>
      <c t="s">
        <v>2517</v>
      </c>
      <c t="s">
        <v>39289</v>
      </c>
      <c>
        <v>33909</v>
      </c>
      <c t="s">
        <v>52539</v>
      </c>
      <c t="s">
        <v>48794</v>
      </c>
      <c t="s">
        <v>10153</v>
      </c>
      <c>
        <v>1116</v>
      </c>
      <c r="AI3676" t="s">
        <v>18478</v>
      </c>
      <c t="s">
        <v>24900</v>
      </c>
      <c>
        <v>4</v>
      </c>
      <c t="s">
        <v>56906</v>
      </c>
      <c t="s">
        <v>56906</v>
      </c>
      <c t="s">
        <v>65451</v>
      </c>
      <c t="s">
        <v>53021</v>
      </c>
      <c t="s">
        <v>24994</v>
      </c>
      <c t="s">
        <v>3093</v>
      </c>
      <c t="s">
        <v>21953</v>
      </c>
    </row>
    <row>
      <c t="s">
        <v>17594</v>
      </c>
      <c t="s">
        <v>10115</v>
      </c>
      <c t="s">
        <v>29112</v>
      </c>
      <c t="s">
        <v>51388</v>
      </c>
      <c t="s">
        <v>6311</v>
      </c>
      <c s="3">
        <v>17399</v>
      </c>
      <c s="3">
        <v>17399</v>
      </c>
      <c s="3">
        <v>8470</v>
      </c>
      <c>
        <v>0</v>
      </c>
      <c s="3">
        <v>0</v>
      </c>
      <c s="3">
        <v>576.29</v>
      </c>
      <c s="3">
        <v>17399</v>
      </c>
      <c>
        <v>2020</v>
      </c>
      <c>
        <v>1087.94</v>
      </c>
      <c s="1" t="str">
        <f ca="1">HYPERLINK("https://web.datatree.com/?/property?propertyId=33385551", "https://web.datatree.com/?/property?propertyId=33385551")</f>
        <v>https://web.datatree.com/?/property?propertyId=33385551</v>
      </c>
      <c r="Q3677" t="s">
        <v>316</v>
      </c>
      <c>
        <v>0.244</v>
      </c>
      <c t="s">
        <v>6175</v>
      </c>
      <c r="U3677" t="s">
        <v>66777</v>
      </c>
      <c r="W3677" t="s">
        <v>50958</v>
      </c>
      <c t="s">
        <v>17691</v>
      </c>
      <c t="s">
        <v>14534</v>
      </c>
      <c t="s">
        <v>2517</v>
      </c>
      <c t="s">
        <v>39289</v>
      </c>
      <c>
        <v>33909</v>
      </c>
      <c t="s">
        <v>40465</v>
      </c>
      <c t="s">
        <v>48794</v>
      </c>
      <c t="s">
        <v>15861</v>
      </c>
      <c>
        <v>2011</v>
      </c>
      <c r="AH3677" t="s">
        <v>60953</v>
      </c>
      <c t="s">
        <v>48577</v>
      </c>
      <c t="s">
        <v>31192</v>
      </c>
      <c r="AL3677" t="s">
        <v>29275</v>
      </c>
      <c r="AN3677" t="s">
        <v>34191</v>
      </c>
      <c t="s">
        <v>35949</v>
      </c>
      <c t="s">
        <v>12241</v>
      </c>
      <c t="s">
        <v>3093</v>
      </c>
      <c t="s">
        <v>62301</v>
      </c>
    </row>
    <row>
      <c t="s">
        <v>17594</v>
      </c>
      <c t="s">
        <v>19349</v>
      </c>
      <c t="s">
        <v>40395</v>
      </c>
      <c t="s">
        <v>54036</v>
      </c>
      <c t="s">
        <v>16030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3678" s="1" t="str">
        <f ca="1">HYPERLINK("https://web.datatree.com/?/property?propertyId=33386272", "https://web.datatree.com/?/property?propertyId=33386272")</f>
        <v>https://web.datatree.com/?/property?propertyId=33386272</v>
      </c>
      <c r="Q3678" t="s">
        <v>316</v>
      </c>
      <c>
        <v>0.244</v>
      </c>
      <c t="s">
        <v>6175</v>
      </c>
      <c t="s">
        <v>67028</v>
      </c>
      <c t="s">
        <v>15311</v>
      </c>
      <c r="X3678" t="s">
        <v>59656</v>
      </c>
      <c t="s">
        <v>30928</v>
      </c>
      <c t="s">
        <v>2517</v>
      </c>
      <c t="s">
        <v>39289</v>
      </c>
      <c>
        <v>33909</v>
      </c>
      <c t="s">
        <v>43546</v>
      </c>
      <c t="s">
        <v>48794</v>
      </c>
      <c t="s">
        <v>15427</v>
      </c>
      <c>
        <v>3025</v>
      </c>
      <c r="AI3678" t="s">
        <v>5311</v>
      </c>
      <c t="s">
        <v>45620</v>
      </c>
      <c r="AL3678" t="s">
        <v>48545</v>
      </c>
      <c r="AN3678" t="s">
        <v>7064</v>
      </c>
      <c t="s">
        <v>18989</v>
      </c>
      <c r="AQ3678" t="s">
        <v>27814</v>
      </c>
      <c t="s">
        <v>10951</v>
      </c>
    </row>
    <row>
      <c t="s">
        <v>17594</v>
      </c>
      <c t="s">
        <v>60210</v>
      </c>
      <c t="s">
        <v>21101</v>
      </c>
      <c t="s">
        <v>46391</v>
      </c>
      <c t="s">
        <v>54796</v>
      </c>
      <c s="3">
        <v>20472</v>
      </c>
      <c s="3">
        <v>20472</v>
      </c>
      <c s="3">
        <v>9130</v>
      </c>
      <c>
        <v>0</v>
      </c>
      <c s="3">
        <v>0</v>
      </c>
      <c s="3">
        <v>585.72</v>
      </c>
      <c s="3">
        <v>20472</v>
      </c>
      <c r="O3679" s="1" t="str">
        <f ca="1">HYPERLINK("https://web.datatree.com/?/property?propertyId=33386404", "https://web.datatree.com/?/property?propertyId=33386404")</f>
        <v>https://web.datatree.com/?/property?propertyId=33386404</v>
      </c>
      <c r="Q3679" t="s">
        <v>316</v>
      </c>
      <c>
        <v>0.243</v>
      </c>
      <c t="s">
        <v>45031</v>
      </c>
      <c t="s">
        <v>66736</v>
      </c>
      <c t="s">
        <v>24727</v>
      </c>
      <c r="X3679" t="s">
        <v>14178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61050</v>
      </c>
      <c>
        <v>2236</v>
      </c>
      <c r="AI3679" t="s">
        <v>39684</v>
      </c>
      <c t="s">
        <v>4985</v>
      </c>
      <c r="AL3679" t="s">
        <v>11713</v>
      </c>
      <c r="AN3679" t="s">
        <v>39289</v>
      </c>
      <c>
        <v>34110</v>
      </c>
      <c r="AQ3679" t="s">
        <v>3093</v>
      </c>
      <c t="s">
        <v>58277</v>
      </c>
    </row>
    <row>
      <c t="s">
        <v>17594</v>
      </c>
      <c t="s">
        <v>26847</v>
      </c>
      <c t="s">
        <v>5382</v>
      </c>
      <c t="s">
        <v>60151</v>
      </c>
      <c t="s">
        <v>40813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3680" s="1" t="str">
        <f ca="1">HYPERLINK("https://web.datatree.com/?/property?propertyId=33386461", "https://web.datatree.com/?/property?propertyId=33386461")</f>
        <v>https://web.datatree.com/?/property?propertyId=33386461</v>
      </c>
      <c r="Q3680" t="s">
        <v>316</v>
      </c>
      <c>
        <v>0.23</v>
      </c>
      <c t="s">
        <v>22490</v>
      </c>
      <c t="s">
        <v>51631</v>
      </c>
      <c t="s">
        <v>58188</v>
      </c>
      <c r="X3680" t="s">
        <v>44898</v>
      </c>
      <c t="s">
        <v>41506</v>
      </c>
      <c t="s">
        <v>2517</v>
      </c>
      <c t="s">
        <v>39289</v>
      </c>
      <c>
        <v>33909</v>
      </c>
      <c t="s">
        <v>45850</v>
      </c>
      <c t="s">
        <v>48794</v>
      </c>
      <c t="s">
        <v>40471</v>
      </c>
      <c>
        <v>25</v>
      </c>
      <c r="AI3680" t="s">
        <v>34068</v>
      </c>
      <c t="s">
        <v>45393</v>
      </c>
      <c r="AL3680" t="s">
        <v>32723</v>
      </c>
      <c r="AN3680" t="s">
        <v>22275</v>
      </c>
      <c t="s">
        <v>8449</v>
      </c>
      <c t="s">
        <v>25140</v>
      </c>
      <c t="s">
        <v>3093</v>
      </c>
      <c t="s">
        <v>8312</v>
      </c>
    </row>
    <row>
      <c t="s">
        <v>42103</v>
      </c>
      <c t="s">
        <v>52110</v>
      </c>
      <c t="s">
        <v>51706</v>
      </c>
      <c t="s">
        <v>42183</v>
      </c>
      <c t="s">
        <v>67210</v>
      </c>
      <c s="3">
        <v>200013</v>
      </c>
      <c s="3">
        <v>200013</v>
      </c>
      <c s="3">
        <v>170871</v>
      </c>
      <c>
        <v>0</v>
      </c>
      <c s="3">
        <v>0</v>
      </c>
      <c s="3">
        <v>3280.38</v>
      </c>
      <c s="3">
        <v>200013</v>
      </c>
      <c r="O3681" s="1" t="str">
        <f ca="1">HYPERLINK("https://web.datatree.com/?/property?propertyId=33386686", "https://web.datatree.com/?/property?propertyId=33386686")</f>
        <v>https://web.datatree.com/?/property?propertyId=33386686</v>
      </c>
      <c r="Q3681" t="s">
        <v>316</v>
      </c>
      <c>
        <v>0.238</v>
      </c>
      <c t="s">
        <v>22490</v>
      </c>
      <c r="U3681" t="s">
        <v>13942</v>
      </c>
      <c t="s">
        <v>10361</v>
      </c>
      <c t="s">
        <v>1046</v>
      </c>
      <c t="s">
        <v>49214</v>
      </c>
      <c t="s">
        <v>22731</v>
      </c>
      <c t="s">
        <v>2517</v>
      </c>
      <c t="s">
        <v>39289</v>
      </c>
      <c>
        <v>33904</v>
      </c>
      <c t="s">
        <v>64562</v>
      </c>
      <c t="s">
        <v>48794</v>
      </c>
      <c t="s">
        <v>56695</v>
      </c>
      <c r="AI3681" t="s">
        <v>22549</v>
      </c>
      <c r="AL3681" t="s">
        <v>27406</v>
      </c>
      <c r="AN3681" t="s">
        <v>63985</v>
      </c>
      <c>
        <v>53819</v>
      </c>
      <c r="AQ3681" t="s">
        <v>3093</v>
      </c>
      <c t="s">
        <v>23533</v>
      </c>
    </row>
    <row>
      <c t="s">
        <v>17594</v>
      </c>
      <c t="s">
        <v>151</v>
      </c>
      <c t="s">
        <v>51231</v>
      </c>
      <c t="s">
        <v>35475</v>
      </c>
      <c t="s">
        <v>36278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682" s="1" t="str">
        <f ca="1">HYPERLINK("https://web.datatree.com/?/property?propertyId=33386833", "https://web.datatree.com/?/property?propertyId=33386833")</f>
        <v>https://web.datatree.com/?/property?propertyId=33386833</v>
      </c>
      <c r="Q3682" t="s">
        <v>316</v>
      </c>
      <c>
        <v>0.23</v>
      </c>
      <c t="s">
        <v>6175</v>
      </c>
      <c t="s">
        <v>58054</v>
      </c>
      <c t="s">
        <v>64369</v>
      </c>
      <c r="X3682" t="s">
        <v>16426</v>
      </c>
      <c t="s">
        <v>5115</v>
      </c>
      <c t="s">
        <v>2517</v>
      </c>
      <c t="s">
        <v>39289</v>
      </c>
      <c>
        <v>33909</v>
      </c>
      <c t="s">
        <v>8092</v>
      </c>
      <c t="s">
        <v>48794</v>
      </c>
      <c t="s">
        <v>2943</v>
      </c>
      <c r="AI3682" t="s">
        <v>52138</v>
      </c>
      <c r="AL3682" t="s">
        <v>19633</v>
      </c>
      <c r="AN3682" t="s">
        <v>13328</v>
      </c>
      <c>
        <v>3963</v>
      </c>
      <c r="AR3682" t="s">
        <v>51449</v>
      </c>
    </row>
    <row>
      <c t="s">
        <v>17594</v>
      </c>
      <c t="s">
        <v>44595</v>
      </c>
      <c t="s">
        <v>40361</v>
      </c>
      <c t="s">
        <v>43611</v>
      </c>
      <c t="s">
        <v>28313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683" s="1" t="str">
        <f ca="1">HYPERLINK("https://web.datatree.com/?/property?propertyId=33386920", "https://web.datatree.com/?/property?propertyId=33386920")</f>
        <v>https://web.datatree.com/?/property?propertyId=33386920</v>
      </c>
      <c r="Q3683" t="s">
        <v>316</v>
      </c>
      <c>
        <v>0.245</v>
      </c>
      <c t="s">
        <v>5471</v>
      </c>
      <c t="s">
        <v>19092</v>
      </c>
      <c t="s">
        <v>62538</v>
      </c>
      <c t="s">
        <v>11769</v>
      </c>
      <c t="s">
        <v>62538</v>
      </c>
      <c t="s">
        <v>50364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15950</v>
      </c>
      <c>
        <v>1487</v>
      </c>
      <c r="AI3683" t="s">
        <v>27292</v>
      </c>
      <c t="s">
        <v>55842</v>
      </c>
      <c r="AL3683" t="s">
        <v>46797</v>
      </c>
      <c r="AN3683" t="s">
        <v>39289</v>
      </c>
      <c t="s">
        <v>13199</v>
      </c>
      <c t="s">
        <v>12241</v>
      </c>
      <c t="s">
        <v>3093</v>
      </c>
      <c t="s">
        <v>64908</v>
      </c>
    </row>
    <row>
      <c t="s">
        <v>17594</v>
      </c>
      <c t="s">
        <v>26370</v>
      </c>
      <c t="s">
        <v>63964</v>
      </c>
      <c t="s">
        <v>62507</v>
      </c>
      <c t="s">
        <v>29984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3684" s="1" t="str">
        <f ca="1">HYPERLINK("https://web.datatree.com/?/property?propertyId=33387260", "https://web.datatree.com/?/property?propertyId=33387260")</f>
        <v>https://web.datatree.com/?/property?propertyId=33387260</v>
      </c>
      <c r="Q3684" t="s">
        <v>316</v>
      </c>
      <c>
        <v>0.235</v>
      </c>
      <c t="s">
        <v>5471</v>
      </c>
      <c t="s">
        <v>22078</v>
      </c>
      <c t="s">
        <v>3960</v>
      </c>
      <c t="s">
        <v>25924</v>
      </c>
      <c t="s">
        <v>3960</v>
      </c>
      <c t="s">
        <v>57310</v>
      </c>
      <c t="s">
        <v>26386</v>
      </c>
      <c t="s">
        <v>65059</v>
      </c>
      <c t="s">
        <v>39289</v>
      </c>
      <c>
        <v>33905</v>
      </c>
      <c t="s">
        <v>7757</v>
      </c>
      <c t="s">
        <v>48794</v>
      </c>
      <c t="s">
        <v>36025</v>
      </c>
      <c>
        <v>2744</v>
      </c>
      <c r="AI3684" t="s">
        <v>35789</v>
      </c>
      <c t="s">
        <v>31192</v>
      </c>
      <c r="AL3684" t="s">
        <v>48150</v>
      </c>
      <c r="AN3684" t="s">
        <v>39289</v>
      </c>
      <c t="s">
        <v>62779</v>
      </c>
      <c t="s">
        <v>51114</v>
      </c>
      <c t="s">
        <v>3093</v>
      </c>
      <c t="s">
        <v>26597</v>
      </c>
    </row>
    <row>
      <c t="s">
        <v>17594</v>
      </c>
      <c t="s">
        <v>3631</v>
      </c>
      <c t="s">
        <v>1141</v>
      </c>
      <c t="s">
        <v>29707</v>
      </c>
      <c t="s">
        <v>46229</v>
      </c>
      <c s="3">
        <v>26538</v>
      </c>
      <c s="3">
        <v>26538</v>
      </c>
      <c s="3">
        <v>26538</v>
      </c>
      <c>
        <v>0</v>
      </c>
      <c s="3">
        <v>0</v>
      </c>
      <c s="3">
        <v>888.06</v>
      </c>
      <c s="3">
        <v>26538</v>
      </c>
      <c r="O3685" s="1" t="str">
        <f ca="1">HYPERLINK("https://web.datatree.com/?/property?propertyId=33387678", "https://web.datatree.com/?/property?propertyId=33387678")</f>
        <v>https://web.datatree.com/?/property?propertyId=33387678</v>
      </c>
      <c r="Q3685" t="s">
        <v>316</v>
      </c>
      <c>
        <v>0.344</v>
      </c>
      <c t="s">
        <v>22490</v>
      </c>
      <c t="s">
        <v>21059</v>
      </c>
      <c t="s">
        <v>24606</v>
      </c>
      <c r="X3685" t="s">
        <v>62707</v>
      </c>
      <c t="s">
        <v>52171</v>
      </c>
      <c t="s">
        <v>2517</v>
      </c>
      <c t="s">
        <v>39289</v>
      </c>
      <c>
        <v>33909</v>
      </c>
      <c t="s">
        <v>60085</v>
      </c>
      <c t="s">
        <v>48794</v>
      </c>
      <c t="s">
        <v>59266</v>
      </c>
      <c>
        <v>132</v>
      </c>
      <c r="AI3685" t="s">
        <v>14787</v>
      </c>
      <c t="s">
        <v>45620</v>
      </c>
      <c r="AL3685" t="s">
        <v>11145</v>
      </c>
      <c t="s">
        <v>11145</v>
      </c>
      <c t="s">
        <v>65451</v>
      </c>
      <c t="s">
        <v>16371</v>
      </c>
      <c t="s">
        <v>61719</v>
      </c>
      <c t="s">
        <v>3093</v>
      </c>
      <c t="s">
        <v>211</v>
      </c>
    </row>
    <row>
      <c t="s">
        <v>17594</v>
      </c>
      <c t="s">
        <v>24678</v>
      </c>
      <c t="s">
        <v>24093</v>
      </c>
      <c t="s">
        <v>42176</v>
      </c>
      <c t="s">
        <v>9608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3686" s="1" t="str">
        <f ca="1">HYPERLINK("https://web.datatree.com/?/property?propertyId=33387812", "https://web.datatree.com/?/property?propertyId=33387812")</f>
        <v>https://web.datatree.com/?/property?propertyId=33387812</v>
      </c>
      <c r="Q3686" t="s">
        <v>316</v>
      </c>
      <c>
        <v>0.23</v>
      </c>
      <c t="s">
        <v>22490</v>
      </c>
      <c t="s">
        <v>2140</v>
      </c>
      <c t="s">
        <v>23807</v>
      </c>
      <c r="X3686" t="s">
        <v>24522</v>
      </c>
      <c t="s">
        <v>29190</v>
      </c>
      <c t="s">
        <v>2517</v>
      </c>
      <c t="s">
        <v>39289</v>
      </c>
      <c>
        <v>33909</v>
      </c>
      <c t="s">
        <v>32524</v>
      </c>
      <c t="s">
        <v>48794</v>
      </c>
      <c t="s">
        <v>24326</v>
      </c>
      <c>
        <v>907</v>
      </c>
      <c r="AI3686" t="s">
        <v>51697</v>
      </c>
      <c t="s">
        <v>24900</v>
      </c>
      <c r="AL3686" t="s">
        <v>35727</v>
      </c>
      <c r="AN3686" t="s">
        <v>50917</v>
      </c>
      <c t="s">
        <v>62400</v>
      </c>
      <c t="s">
        <v>4480</v>
      </c>
      <c t="s">
        <v>3093</v>
      </c>
      <c t="s">
        <v>19548</v>
      </c>
    </row>
    <row>
      <c t="s">
        <v>17594</v>
      </c>
      <c t="s">
        <v>57289</v>
      </c>
      <c t="s">
        <v>36820</v>
      </c>
      <c t="s">
        <v>39429</v>
      </c>
      <c t="s">
        <v>52258</v>
      </c>
      <c s="3">
        <v>15574</v>
      </c>
      <c s="3">
        <v>15574</v>
      </c>
      <c s="3">
        <v>15574</v>
      </c>
      <c>
        <v>0</v>
      </c>
      <c s="3">
        <v>0</v>
      </c>
      <c s="3">
        <v>539.66</v>
      </c>
      <c s="3">
        <v>15574</v>
      </c>
      <c r="O3687" s="1" t="str">
        <f ca="1">HYPERLINK("https://web.datatree.com/?/property?propertyId=33387963", "https://web.datatree.com/?/property?propertyId=33387963")</f>
        <v>https://web.datatree.com/?/property?propertyId=33387963</v>
      </c>
      <c r="Q3687" t="s">
        <v>316</v>
      </c>
      <c>
        <v>0.23</v>
      </c>
      <c t="s">
        <v>6175</v>
      </c>
      <c t="s">
        <v>38946</v>
      </c>
      <c t="s">
        <v>63233</v>
      </c>
      <c r="X3687" t="s">
        <v>47998</v>
      </c>
      <c t="s">
        <v>38550</v>
      </c>
      <c t="s">
        <v>2517</v>
      </c>
      <c t="s">
        <v>39289</v>
      </c>
      <c>
        <v>33909</v>
      </c>
      <c t="s">
        <v>33767</v>
      </c>
      <c t="s">
        <v>48794</v>
      </c>
      <c t="s">
        <v>30891</v>
      </c>
      <c>
        <v>28241</v>
      </c>
      <c r="AI3687" t="s">
        <v>38865</v>
      </c>
      <c r="AL3687" t="s">
        <v>64412</v>
      </c>
      <c t="s">
        <v>64412</v>
      </c>
      <c t="s">
        <v>65451</v>
      </c>
      <c t="s">
        <v>47295</v>
      </c>
      <c t="s">
        <v>3364</v>
      </c>
      <c t="s">
        <v>3093</v>
      </c>
      <c t="s">
        <v>31364</v>
      </c>
    </row>
    <row>
      <c t="s">
        <v>17594</v>
      </c>
      <c t="s">
        <v>64145</v>
      </c>
      <c t="s">
        <v>25896</v>
      </c>
      <c t="s">
        <v>13028</v>
      </c>
      <c t="s">
        <v>58241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>
        <v>2021</v>
      </c>
      <c>
        <v>520</v>
      </c>
      <c s="1" t="str">
        <f ca="1">HYPERLINK("https://web.datatree.com/?/property?propertyId=33388240", "https://web.datatree.com/?/property?propertyId=33388240")</f>
        <v>https://web.datatree.com/?/property?propertyId=33388240</v>
      </c>
      <c r="Q3688" t="s">
        <v>316</v>
      </c>
      <c>
        <v>0.23</v>
      </c>
      <c t="s">
        <v>22490</v>
      </c>
      <c r="U3688" t="s">
        <v>46212</v>
      </c>
      <c r="W3688" t="s">
        <v>24324</v>
      </c>
      <c t="s">
        <v>48797</v>
      </c>
      <c t="s">
        <v>15510</v>
      </c>
      <c t="s">
        <v>2517</v>
      </c>
      <c t="s">
        <v>39289</v>
      </c>
      <c>
        <v>33909</v>
      </c>
      <c t="s">
        <v>7104</v>
      </c>
      <c t="s">
        <v>48794</v>
      </c>
      <c t="s">
        <v>38534</v>
      </c>
      <c>
        <v>1560</v>
      </c>
      <c r="AI3688" t="s">
        <v>9600</v>
      </c>
      <c t="s">
        <v>24900</v>
      </c>
      <c r="AL3688" t="s">
        <v>6365</v>
      </c>
      <c t="s">
        <v>6365</v>
      </c>
      <c t="s">
        <v>39289</v>
      </c>
      <c t="s">
        <v>35121</v>
      </c>
      <c t="s">
        <v>42082</v>
      </c>
      <c t="s">
        <v>3093</v>
      </c>
      <c t="s">
        <v>20421</v>
      </c>
    </row>
    <row>
      <c t="s">
        <v>17594</v>
      </c>
      <c t="s">
        <v>36002</v>
      </c>
      <c t="s">
        <v>46324</v>
      </c>
      <c t="s">
        <v>44245</v>
      </c>
      <c t="s">
        <v>38899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689" s="1" t="str">
        <f ca="1">HYPERLINK("https://web.datatree.com/?/property?propertyId=33388919", "https://web.datatree.com/?/property?propertyId=33388919")</f>
        <v>https://web.datatree.com/?/property?propertyId=33388919</v>
      </c>
      <c r="Q3689" t="s">
        <v>316</v>
      </c>
      <c>
        <v>0.23</v>
      </c>
      <c t="s">
        <v>22490</v>
      </c>
      <c t="s">
        <v>37086</v>
      </c>
      <c t="s">
        <v>14865</v>
      </c>
      <c t="s">
        <v>16558</v>
      </c>
      <c t="s">
        <v>14865</v>
      </c>
      <c t="s">
        <v>55511</v>
      </c>
      <c t="s">
        <v>49674</v>
      </c>
      <c t="s">
        <v>2517</v>
      </c>
      <c t="s">
        <v>39289</v>
      </c>
      <c>
        <v>33909</v>
      </c>
      <c t="s">
        <v>5644</v>
      </c>
      <c t="s">
        <v>48794</v>
      </c>
      <c t="s">
        <v>58772</v>
      </c>
      <c>
        <v>1001</v>
      </c>
      <c r="AI3689" t="s">
        <v>17106</v>
      </c>
      <c t="s">
        <v>1671</v>
      </c>
      <c r="AL3689" t="s">
        <v>29560</v>
      </c>
      <c r="AN3689" t="s">
        <v>39289</v>
      </c>
      <c t="s">
        <v>63995</v>
      </c>
      <c t="s">
        <v>11068</v>
      </c>
      <c t="s">
        <v>3093</v>
      </c>
      <c t="s">
        <v>9525</v>
      </c>
    </row>
    <row>
      <c t="s">
        <v>17594</v>
      </c>
      <c t="s">
        <v>65912</v>
      </c>
      <c t="s">
        <v>23164</v>
      </c>
      <c t="s">
        <v>65068</v>
      </c>
      <c t="s">
        <v>4208</v>
      </c>
      <c s="3">
        <v>31592</v>
      </c>
      <c s="3">
        <v>31592</v>
      </c>
      <c s="3">
        <v>31592</v>
      </c>
      <c>
        <v>0</v>
      </c>
      <c s="3">
        <v>0</v>
      </c>
      <c s="3">
        <v>3137.78</v>
      </c>
      <c s="3">
        <v>31592</v>
      </c>
      <c r="O3690" s="1" t="str">
        <f ca="1">HYPERLINK("https://web.datatree.com/?/property?propertyId=33389982", "https://web.datatree.com/?/property?propertyId=33389982")</f>
        <v>https://web.datatree.com/?/property?propertyId=33389982</v>
      </c>
      <c r="Q3690" t="s">
        <v>316</v>
      </c>
      <c>
        <v>0.23</v>
      </c>
      <c t="s">
        <v>32050</v>
      </c>
      <c t="s">
        <v>1635</v>
      </c>
      <c t="s">
        <v>39982</v>
      </c>
      <c t="s">
        <v>16214</v>
      </c>
      <c t="s">
        <v>38284</v>
      </c>
      <c t="s">
        <v>3863</v>
      </c>
      <c t="s">
        <v>2626</v>
      </c>
      <c t="s">
        <v>2517</v>
      </c>
      <c t="s">
        <v>39289</v>
      </c>
      <c>
        <v>33909</v>
      </c>
      <c>
        <v>33909</v>
      </c>
      <c t="s">
        <v>48794</v>
      </c>
      <c t="s">
        <v>4168</v>
      </c>
      <c>
        <v>1641</v>
      </c>
      <c r="AI3690" t="s">
        <v>25988</v>
      </c>
      <c t="s">
        <v>24900</v>
      </c>
      <c r="AL3690" t="s">
        <v>46989</v>
      </c>
      <c t="s">
        <v>49348</v>
      </c>
      <c t="s">
        <v>39289</v>
      </c>
      <c t="s">
        <v>29597</v>
      </c>
      <c t="s">
        <v>61410</v>
      </c>
      <c t="s">
        <v>3093</v>
      </c>
      <c t="s">
        <v>62563</v>
      </c>
    </row>
    <row>
      <c t="s">
        <v>17594</v>
      </c>
      <c t="s">
        <v>45961</v>
      </c>
      <c t="s">
        <v>21762</v>
      </c>
      <c t="s">
        <v>5176</v>
      </c>
      <c t="s">
        <v>1408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 r="O3691" s="1" t="str">
        <f ca="1">HYPERLINK("https://web.datatree.com/?/property?propertyId=33390294", "https://web.datatree.com/?/property?propertyId=33390294")</f>
        <v>https://web.datatree.com/?/property?propertyId=33390294</v>
      </c>
      <c r="Q3691" t="s">
        <v>316</v>
      </c>
      <c>
        <v>0.232</v>
      </c>
      <c t="s">
        <v>5471</v>
      </c>
      <c t="s">
        <v>50331</v>
      </c>
      <c t="s">
        <v>5100</v>
      </c>
      <c t="s">
        <v>6153</v>
      </c>
      <c t="s">
        <v>5100</v>
      </c>
      <c t="s">
        <v>65389</v>
      </c>
      <c t="s">
        <v>2642</v>
      </c>
      <c t="s">
        <v>65059</v>
      </c>
      <c t="s">
        <v>39289</v>
      </c>
      <c>
        <v>33905</v>
      </c>
      <c t="s">
        <v>24679</v>
      </c>
      <c t="s">
        <v>48794</v>
      </c>
      <c t="s">
        <v>23763</v>
      </c>
      <c>
        <v>430</v>
      </c>
      <c r="AI3691" t="s">
        <v>59060</v>
      </c>
      <c t="s">
        <v>45393</v>
      </c>
      <c>
        <v>1</v>
      </c>
      <c t="s">
        <v>48405</v>
      </c>
      <c t="s">
        <v>48405</v>
      </c>
      <c t="s">
        <v>27747</v>
      </c>
      <c t="s">
        <v>7702</v>
      </c>
      <c t="s">
        <v>61410</v>
      </c>
      <c t="s">
        <v>3093</v>
      </c>
      <c t="s">
        <v>39343</v>
      </c>
    </row>
    <row>
      <c t="s">
        <v>17594</v>
      </c>
      <c t="s">
        <v>37663</v>
      </c>
      <c t="s">
        <v>48293</v>
      </c>
      <c t="s">
        <v>13938</v>
      </c>
      <c t="s">
        <v>40077</v>
      </c>
      <c s="3">
        <v>7800</v>
      </c>
      <c s="3">
        <v>7800</v>
      </c>
      <c s="3">
        <v>7800</v>
      </c>
      <c>
        <v>0</v>
      </c>
      <c s="3">
        <v>0</v>
      </c>
      <c s="3">
        <v>570.56</v>
      </c>
      <c s="3">
        <v>7800</v>
      </c>
      <c r="O3692" s="1" t="str">
        <f ca="1">HYPERLINK("https://web.datatree.com/?/property?propertyId=33390352", "https://web.datatree.com/?/property?propertyId=33390352")</f>
        <v>https://web.datatree.com/?/property?propertyId=33390352</v>
      </c>
      <c r="Q3692" t="s">
        <v>316</v>
      </c>
      <c>
        <v>0.244</v>
      </c>
      <c t="s">
        <v>54449</v>
      </c>
      <c t="s">
        <v>10361</v>
      </c>
      <c t="s">
        <v>43311</v>
      </c>
      <c t="s">
        <v>26023</v>
      </c>
      <c t="s">
        <v>43311</v>
      </c>
      <c t="s">
        <v>45768</v>
      </c>
      <c t="s">
        <v>39082</v>
      </c>
      <c t="s">
        <v>2517</v>
      </c>
      <c t="s">
        <v>39289</v>
      </c>
      <c>
        <v>33909</v>
      </c>
      <c t="s">
        <v>8813</v>
      </c>
      <c t="s">
        <v>48794</v>
      </c>
      <c t="s">
        <v>41379</v>
      </c>
      <c>
        <v>744</v>
      </c>
      <c r="AI3692" t="s">
        <v>26104</v>
      </c>
      <c t="s">
        <v>45620</v>
      </c>
      <c r="AL3692" t="s">
        <v>9354</v>
      </c>
      <c r="AN3692" t="s">
        <v>26016</v>
      </c>
      <c t="s">
        <v>19271</v>
      </c>
      <c t="s">
        <v>14695</v>
      </c>
      <c t="s">
        <v>3093</v>
      </c>
      <c t="s">
        <v>18308</v>
      </c>
    </row>
    <row>
      <c t="s">
        <v>17594</v>
      </c>
      <c t="s">
        <v>58030</v>
      </c>
      <c t="s">
        <v>39904</v>
      </c>
      <c t="s">
        <v>1099</v>
      </c>
      <c t="s">
        <v>29223</v>
      </c>
      <c s="3">
        <v>20002</v>
      </c>
      <c s="3">
        <v>20002</v>
      </c>
      <c s="3">
        <v>9339</v>
      </c>
      <c>
        <v>0</v>
      </c>
      <c s="3">
        <v>0</v>
      </c>
      <c s="3">
        <v>671.29</v>
      </c>
      <c s="3">
        <v>20002</v>
      </c>
      <c r="O3693" s="1" t="str">
        <f ca="1">HYPERLINK("https://web.datatree.com/?/property?propertyId=33390594", "https://web.datatree.com/?/property?propertyId=33390594")</f>
        <v>https://web.datatree.com/?/property?propertyId=33390594</v>
      </c>
      <c r="Q3693" t="s">
        <v>316</v>
      </c>
      <c>
        <v>0.23</v>
      </c>
      <c t="s">
        <v>65422</v>
      </c>
      <c r="U3693" t="s">
        <v>36971</v>
      </c>
      <c r="W3693" t="s">
        <v>33793</v>
      </c>
      <c t="s">
        <v>14843</v>
      </c>
      <c t="s">
        <v>17022</v>
      </c>
      <c t="s">
        <v>2517</v>
      </c>
      <c t="s">
        <v>39289</v>
      </c>
      <c>
        <v>33909</v>
      </c>
      <c t="s">
        <v>12862</v>
      </c>
      <c t="s">
        <v>48794</v>
      </c>
      <c t="s">
        <v>46897</v>
      </c>
      <c>
        <v>1211</v>
      </c>
      <c r="AI3693" t="s">
        <v>58016</v>
      </c>
      <c t="s">
        <v>7412</v>
      </c>
      <c r="AL3693" t="s">
        <v>17179</v>
      </c>
      <c r="AN3693" t="s">
        <v>49572</v>
      </c>
      <c t="s">
        <v>51908</v>
      </c>
      <c t="s">
        <v>51100</v>
      </c>
      <c t="s">
        <v>3093</v>
      </c>
      <c t="s">
        <v>11778</v>
      </c>
    </row>
    <row>
      <c t="s">
        <v>17594</v>
      </c>
      <c t="s">
        <v>12225</v>
      </c>
      <c t="s">
        <v>64804</v>
      </c>
      <c t="s">
        <v>65596</v>
      </c>
      <c t="s">
        <v>47048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3694" s="1" t="str">
        <f ca="1">HYPERLINK("https://web.datatree.com/?/property?propertyId=33390676", "https://web.datatree.com/?/property?propertyId=33390676")</f>
        <v>https://web.datatree.com/?/property?propertyId=33390676</v>
      </c>
      <c r="Q3694" t="s">
        <v>316</v>
      </c>
      <c>
        <v>0.23</v>
      </c>
      <c t="s">
        <v>22490</v>
      </c>
      <c t="s">
        <v>9707</v>
      </c>
      <c t="s">
        <v>47727</v>
      </c>
      <c r="X3694" t="s">
        <v>51222</v>
      </c>
      <c t="s">
        <v>52171</v>
      </c>
      <c t="s">
        <v>2517</v>
      </c>
      <c t="s">
        <v>39289</v>
      </c>
      <c>
        <v>33909</v>
      </c>
      <c t="s">
        <v>27331</v>
      </c>
      <c t="s">
        <v>48794</v>
      </c>
      <c t="s">
        <v>51119</v>
      </c>
      <c>
        <v>105</v>
      </c>
      <c r="AI3694" t="s">
        <v>30938</v>
      </c>
      <c t="s">
        <v>31192</v>
      </c>
      <c r="AL3694" t="s">
        <v>28391</v>
      </c>
      <c r="AN3694" t="s">
        <v>26016</v>
      </c>
      <c t="s">
        <v>14920</v>
      </c>
      <c t="s">
        <v>52393</v>
      </c>
      <c t="s">
        <v>3093</v>
      </c>
      <c t="s">
        <v>44265</v>
      </c>
    </row>
    <row>
      <c t="s">
        <v>17594</v>
      </c>
      <c t="s">
        <v>4446</v>
      </c>
      <c t="s">
        <v>30318</v>
      </c>
      <c t="s">
        <v>46917</v>
      </c>
      <c t="s">
        <v>19276</v>
      </c>
      <c s="3">
        <v>49760</v>
      </c>
      <c s="3">
        <v>49760</v>
      </c>
      <c s="3">
        <v>24522</v>
      </c>
      <c>
        <v>0</v>
      </c>
      <c s="3">
        <v>0</v>
      </c>
      <c s="3">
        <v>953.08</v>
      </c>
      <c s="3">
        <v>49760</v>
      </c>
      <c r="O3695" s="1" t="str">
        <f ca="1">HYPERLINK("https://web.datatree.com/?/property?propertyId=33392557", "https://web.datatree.com/?/property?propertyId=33392557")</f>
        <v>https://web.datatree.com/?/property?propertyId=33392557</v>
      </c>
      <c r="Q3695" t="s">
        <v>316</v>
      </c>
      <c>
        <v>0.23</v>
      </c>
      <c t="s">
        <v>22490</v>
      </c>
      <c t="s">
        <v>31064</v>
      </c>
      <c t="s">
        <v>15941</v>
      </c>
      <c r="X3695" t="s">
        <v>14379</v>
      </c>
      <c t="s">
        <v>34731</v>
      </c>
      <c t="s">
        <v>2517</v>
      </c>
      <c t="s">
        <v>39289</v>
      </c>
      <c>
        <v>33909</v>
      </c>
      <c t="s">
        <v>35206</v>
      </c>
      <c t="s">
        <v>48794</v>
      </c>
      <c t="s">
        <v>48745</v>
      </c>
      <c>
        <v>2718</v>
      </c>
      <c r="AI3695" t="s">
        <v>35394</v>
      </c>
      <c t="s">
        <v>24900</v>
      </c>
      <c r="AL3695" t="s">
        <v>6144</v>
      </c>
      <c r="AN3695" t="s">
        <v>50917</v>
      </c>
      <c t="s">
        <v>26587</v>
      </c>
      <c t="s">
        <v>54916</v>
      </c>
      <c t="s">
        <v>3093</v>
      </c>
      <c t="s">
        <v>65764</v>
      </c>
    </row>
    <row>
      <c t="s">
        <v>17594</v>
      </c>
      <c t="s">
        <v>61596</v>
      </c>
      <c t="s">
        <v>23258</v>
      </c>
      <c t="s">
        <v>59708</v>
      </c>
      <c t="s">
        <v>22709</v>
      </c>
      <c s="3">
        <v>47586</v>
      </c>
      <c s="3">
        <v>47586</v>
      </c>
      <c s="3">
        <v>34606</v>
      </c>
      <c>
        <v>0</v>
      </c>
      <c s="3">
        <v>0</v>
      </c>
      <c s="3">
        <v>1031.81</v>
      </c>
      <c s="3">
        <v>47586</v>
      </c>
      <c r="O3696" s="1" t="str">
        <f ca="1">HYPERLINK("https://web.datatree.com/?/property?propertyId=33392677", "https://web.datatree.com/?/property?propertyId=33392677")</f>
        <v>https://web.datatree.com/?/property?propertyId=33392677</v>
      </c>
      <c r="Q3696" t="s">
        <v>316</v>
      </c>
      <c>
        <v>0.23</v>
      </c>
      <c t="s">
        <v>6175</v>
      </c>
      <c r="U3696" t="s">
        <v>17507</v>
      </c>
      <c r="W3696" t="s">
        <v>15446</v>
      </c>
      <c t="s">
        <v>30506</v>
      </c>
      <c t="s">
        <v>20194</v>
      </c>
      <c t="s">
        <v>2517</v>
      </c>
      <c t="s">
        <v>39289</v>
      </c>
      <c>
        <v>33904</v>
      </c>
      <c t="s">
        <v>43871</v>
      </c>
      <c t="s">
        <v>48794</v>
      </c>
      <c t="s">
        <v>20354</v>
      </c>
      <c>
        <v>2</v>
      </c>
      <c r="AI3696" t="s">
        <v>13200</v>
      </c>
      <c t="s">
        <v>31192</v>
      </c>
      <c r="AL3696" t="s">
        <v>23858</v>
      </c>
      <c r="AN3696" t="s">
        <v>50917</v>
      </c>
      <c t="s">
        <v>16798</v>
      </c>
      <c t="s">
        <v>35354</v>
      </c>
      <c t="s">
        <v>3093</v>
      </c>
      <c t="s">
        <v>59318</v>
      </c>
    </row>
    <row>
      <c t="s">
        <v>17594</v>
      </c>
      <c t="s">
        <v>22557</v>
      </c>
      <c t="s">
        <v>14941</v>
      </c>
      <c t="s">
        <v>6628</v>
      </c>
      <c t="s">
        <v>30951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2021</v>
      </c>
      <c>
        <v>594.94</v>
      </c>
      <c s="1" t="str">
        <f ca="1">HYPERLINK("https://web.datatree.com/?/property?propertyId=33393010", "https://web.datatree.com/?/property?propertyId=33393010")</f>
        <v>https://web.datatree.com/?/property?propertyId=33393010</v>
      </c>
      <c r="Q3697" t="s">
        <v>316</v>
      </c>
      <c>
        <v>0.23</v>
      </c>
      <c t="s">
        <v>6175</v>
      </c>
      <c t="s">
        <v>46</v>
      </c>
      <c t="s">
        <v>43626</v>
      </c>
      <c r="X3697" t="s">
        <v>57299</v>
      </c>
      <c t="s">
        <v>18679</v>
      </c>
      <c t="s">
        <v>2517</v>
      </c>
      <c t="s">
        <v>39289</v>
      </c>
      <c>
        <v>33909</v>
      </c>
      <c t="s">
        <v>45521</v>
      </c>
      <c t="s">
        <v>48794</v>
      </c>
      <c t="s">
        <v>30629</v>
      </c>
      <c>
        <v>47</v>
      </c>
      <c r="AI3697" t="s">
        <v>49656</v>
      </c>
      <c r="AL3697" t="s">
        <v>13314</v>
      </c>
      <c r="AN3697" t="s">
        <v>63985</v>
      </c>
      <c>
        <v>51515</v>
      </c>
      <c r="AR3697" t="s">
        <v>29020</v>
      </c>
    </row>
    <row>
      <c t="s">
        <v>17594</v>
      </c>
      <c t="s">
        <v>56150</v>
      </c>
      <c t="s">
        <v>15251</v>
      </c>
      <c t="s">
        <v>30419</v>
      </c>
      <c t="s">
        <v>22252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3698" s="1" t="str">
        <f ca="1">HYPERLINK("https://web.datatree.com/?/property?propertyId=33393353", "https://web.datatree.com/?/property?propertyId=33393353")</f>
        <v>https://web.datatree.com/?/property?propertyId=33393353</v>
      </c>
      <c r="Q3698" t="s">
        <v>316</v>
      </c>
      <c>
        <v>0.23</v>
      </c>
      <c t="s">
        <v>58725</v>
      </c>
      <c t="s">
        <v>552</v>
      </c>
      <c t="s">
        <v>45076</v>
      </c>
      <c t="s">
        <v>11223</v>
      </c>
      <c t="s">
        <v>61204</v>
      </c>
      <c t="s">
        <v>55970</v>
      </c>
      <c t="s">
        <v>39082</v>
      </c>
      <c t="s">
        <v>2517</v>
      </c>
      <c t="s">
        <v>39289</v>
      </c>
      <c>
        <v>33909</v>
      </c>
      <c t="s">
        <v>26533</v>
      </c>
      <c t="s">
        <v>48794</v>
      </c>
      <c t="s">
        <v>38703</v>
      </c>
      <c>
        <v>312</v>
      </c>
      <c r="AI3698" t="s">
        <v>39139</v>
      </c>
      <c t="s">
        <v>24900</v>
      </c>
      <c r="AL3698" t="s">
        <v>62077</v>
      </c>
      <c r="AN3698" t="s">
        <v>50917</v>
      </c>
      <c t="s">
        <v>35371</v>
      </c>
      <c t="s">
        <v>34162</v>
      </c>
      <c t="s">
        <v>3093</v>
      </c>
      <c t="s">
        <v>33351</v>
      </c>
    </row>
    <row>
      <c t="s">
        <v>17594</v>
      </c>
      <c t="s">
        <v>30374</v>
      </c>
      <c t="s">
        <v>37476</v>
      </c>
      <c t="s">
        <v>54383</v>
      </c>
      <c t="s">
        <v>61120</v>
      </c>
      <c s="3">
        <v>17741</v>
      </c>
      <c s="3">
        <v>17741</v>
      </c>
      <c s="3">
        <v>7865</v>
      </c>
      <c>
        <v>0</v>
      </c>
      <c s="3">
        <v>0</v>
      </c>
      <c s="3">
        <v>407.38</v>
      </c>
      <c s="3">
        <v>17741</v>
      </c>
      <c r="O3699" s="1" t="str">
        <f ca="1">HYPERLINK("https://web.datatree.com/?/property?propertyId=33394133", "https://web.datatree.com/?/property?propertyId=33394133")</f>
        <v>https://web.datatree.com/?/property?propertyId=33394133</v>
      </c>
      <c r="Q3699" t="s">
        <v>316</v>
      </c>
      <c>
        <v>0.23</v>
      </c>
      <c t="s">
        <v>6175</v>
      </c>
      <c t="s">
        <v>14866</v>
      </c>
      <c t="s">
        <v>38570</v>
      </c>
      <c r="X3699" t="s">
        <v>42445</v>
      </c>
      <c t="s">
        <v>13829</v>
      </c>
      <c t="s">
        <v>2517</v>
      </c>
      <c t="s">
        <v>39289</v>
      </c>
      <c>
        <v>33909</v>
      </c>
      <c t="s">
        <v>32758</v>
      </c>
      <c t="s">
        <v>48794</v>
      </c>
      <c t="s">
        <v>44967</v>
      </c>
      <c>
        <v>31</v>
      </c>
      <c r="AI3699" t="s">
        <v>8489</v>
      </c>
      <c r="AL3699" t="s">
        <v>8489</v>
      </c>
      <c r="AN3699" t="s">
        <v>40580</v>
      </c>
      <c>
        <v>9990</v>
      </c>
      <c r="AR3699" t="s">
        <v>29260</v>
      </c>
    </row>
    <row>
      <c t="s">
        <v>17594</v>
      </c>
      <c t="s">
        <v>38055</v>
      </c>
      <c s="4" t="s">
        <v>53007</v>
      </c>
      <c t="s">
        <v>35159</v>
      </c>
      <c t="s">
        <v>59184</v>
      </c>
      <c s="3">
        <v>311471</v>
      </c>
      <c s="3">
        <v>311471</v>
      </c>
      <c s="3">
        <v>265530</v>
      </c>
      <c>
        <v>0</v>
      </c>
      <c s="3">
        <v>0</v>
      </c>
      <c s="3">
        <v>4869.2</v>
      </c>
      <c s="3">
        <v>311471</v>
      </c>
      <c r="O3700" s="1" t="str">
        <f ca="1">HYPERLINK("https://web.datatree.com/?/property?propertyId=33394406", "https://web.datatree.com/?/property?propertyId=33394406")</f>
        <v>https://web.datatree.com/?/property?propertyId=33394406</v>
      </c>
      <c r="Q3700" t="s">
        <v>316</v>
      </c>
      <c>
        <v>0.245</v>
      </c>
      <c t="s">
        <v>22490</v>
      </c>
      <c r="U3700" t="s">
        <v>10659</v>
      </c>
      <c r="W3700" t="s">
        <v>51703</v>
      </c>
      <c t="s">
        <v>5648</v>
      </c>
      <c t="s">
        <v>65725</v>
      </c>
      <c t="s">
        <v>2517</v>
      </c>
      <c t="s">
        <v>39289</v>
      </c>
      <c>
        <v>33904</v>
      </c>
      <c>
        <v>33904</v>
      </c>
      <c t="s">
        <v>48794</v>
      </c>
      <c t="s">
        <v>55301</v>
      </c>
      <c>
        <v>10</v>
      </c>
      <c r="AI3700" t="s">
        <v>34763</v>
      </c>
      <c t="s">
        <v>45620</v>
      </c>
      <c r="AL3700" t="s">
        <v>63445</v>
      </c>
      <c t="s">
        <v>63445</v>
      </c>
      <c t="s">
        <v>14509</v>
      </c>
      <c t="s">
        <v>41403</v>
      </c>
      <c t="s">
        <v>6081</v>
      </c>
      <c t="s">
        <v>3093</v>
      </c>
      <c s="4" t="s">
        <v>18228</v>
      </c>
    </row>
    <row>
      <c t="s">
        <v>17594</v>
      </c>
      <c t="s">
        <v>60978</v>
      </c>
      <c t="s">
        <v>32068</v>
      </c>
      <c t="s">
        <v>51467</v>
      </c>
      <c t="s">
        <v>4589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>
        <v>2020</v>
      </c>
      <c>
        <v>1730.61</v>
      </c>
      <c s="1" t="str">
        <f ca="1">HYPERLINK("https://web.datatree.com/?/property?propertyId=33394601", "https://web.datatree.com/?/property?propertyId=33394601")</f>
        <v>https://web.datatree.com/?/property?propertyId=33394601</v>
      </c>
      <c r="Q3701" t="s">
        <v>316</v>
      </c>
      <c>
        <v>0.23</v>
      </c>
      <c t="s">
        <v>22490</v>
      </c>
      <c t="s">
        <v>22061</v>
      </c>
      <c t="s">
        <v>43112</v>
      </c>
      <c t="s">
        <v>20678</v>
      </c>
      <c t="s">
        <v>58782</v>
      </c>
      <c t="s">
        <v>45520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2670</v>
      </c>
      <c>
        <v>3920</v>
      </c>
      <c r="AI3701" t="s">
        <v>16451</v>
      </c>
      <c t="s">
        <v>24900</v>
      </c>
      <c r="AL3701" t="s">
        <v>55393</v>
      </c>
      <c t="s">
        <v>13066</v>
      </c>
      <c t="s">
        <v>39289</v>
      </c>
      <c t="s">
        <v>57379</v>
      </c>
      <c t="s">
        <v>22613</v>
      </c>
      <c t="s">
        <v>3093</v>
      </c>
      <c t="s">
        <v>39877</v>
      </c>
    </row>
    <row>
      <c t="s">
        <v>17594</v>
      </c>
      <c t="s">
        <v>7202</v>
      </c>
      <c t="s">
        <v>29629</v>
      </c>
      <c t="s">
        <v>26317</v>
      </c>
      <c t="s">
        <v>63068</v>
      </c>
      <c s="3">
        <v>8500</v>
      </c>
      <c s="3">
        <v>8500</v>
      </c>
      <c s="3">
        <v>8500</v>
      </c>
      <c>
        <v>0</v>
      </c>
      <c s="3">
        <v>0</v>
      </c>
      <c s="3">
        <v>574.51</v>
      </c>
      <c s="3">
        <v>8500</v>
      </c>
      <c>
        <v>2019</v>
      </c>
      <c>
        <v>2909.92</v>
      </c>
      <c s="1" t="str">
        <f ca="1">HYPERLINK("https://web.datatree.com/?/property?propertyId=33395001", "https://web.datatree.com/?/property?propertyId=33395001")</f>
        <v>https://web.datatree.com/?/property?propertyId=33395001</v>
      </c>
      <c r="Q3702" t="s">
        <v>316</v>
      </c>
      <c>
        <v>0.23</v>
      </c>
      <c t="s">
        <v>6175</v>
      </c>
      <c t="s">
        <v>28406</v>
      </c>
      <c t="s">
        <v>24432</v>
      </c>
      <c t="s">
        <v>56498</v>
      </c>
      <c t="s">
        <v>24432</v>
      </c>
      <c t="s">
        <v>43853</v>
      </c>
      <c t="s">
        <v>61850</v>
      </c>
      <c t="s">
        <v>2517</v>
      </c>
      <c t="s">
        <v>39289</v>
      </c>
      <c>
        <v>33909</v>
      </c>
      <c t="s">
        <v>6721</v>
      </c>
      <c t="s">
        <v>48794</v>
      </c>
      <c t="s">
        <v>18384</v>
      </c>
      <c>
        <v>7222</v>
      </c>
      <c r="AI3702" t="s">
        <v>47283</v>
      </c>
      <c t="s">
        <v>45393</v>
      </c>
      <c r="AL3702" t="s">
        <v>15127</v>
      </c>
      <c r="AN3702" t="s">
        <v>50917</v>
      </c>
      <c t="s">
        <v>63783</v>
      </c>
      <c t="s">
        <v>22613</v>
      </c>
      <c t="s">
        <v>3093</v>
      </c>
      <c t="s">
        <v>33975</v>
      </c>
    </row>
    <row>
      <c t="s">
        <v>17594</v>
      </c>
      <c t="s">
        <v>50094</v>
      </c>
      <c t="s">
        <v>57224</v>
      </c>
      <c t="s">
        <v>60854</v>
      </c>
      <c t="s">
        <v>31197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703" s="1" t="str">
        <f ca="1">HYPERLINK("https://web.datatree.com/?/property?propertyId=33395775", "https://web.datatree.com/?/property?propertyId=33395775")</f>
        <v>https://web.datatree.com/?/property?propertyId=33395775</v>
      </c>
      <c r="Q3703" t="s">
        <v>316</v>
      </c>
      <c>
        <v>0.23</v>
      </c>
      <c t="s">
        <v>6175</v>
      </c>
      <c t="s">
        <v>10361</v>
      </c>
      <c t="s">
        <v>24419</v>
      </c>
      <c t="s">
        <v>64649</v>
      </c>
      <c t="s">
        <v>1370</v>
      </c>
      <c t="s">
        <v>21374</v>
      </c>
      <c t="s">
        <v>13065</v>
      </c>
      <c t="s">
        <v>2517</v>
      </c>
      <c t="s">
        <v>39289</v>
      </c>
      <c>
        <v>33909</v>
      </c>
      <c t="s">
        <v>61336</v>
      </c>
      <c t="s">
        <v>48794</v>
      </c>
      <c t="s">
        <v>38492</v>
      </c>
      <c>
        <v>7218</v>
      </c>
      <c r="AI3703" t="s">
        <v>28838</v>
      </c>
      <c r="AL3703" t="s">
        <v>14120</v>
      </c>
      <c r="AN3703" t="s">
        <v>9533</v>
      </c>
      <c t="s">
        <v>4231</v>
      </c>
      <c t="s">
        <v>65529</v>
      </c>
      <c t="s">
        <v>3093</v>
      </c>
      <c t="s">
        <v>38576</v>
      </c>
    </row>
    <row>
      <c t="s">
        <v>17594</v>
      </c>
      <c t="s">
        <v>43797</v>
      </c>
      <c t="s">
        <v>35572</v>
      </c>
      <c t="s">
        <v>28107</v>
      </c>
      <c t="s">
        <v>18945</v>
      </c>
      <c s="3">
        <v>237526</v>
      </c>
      <c s="3">
        <v>237526</v>
      </c>
      <c s="3">
        <v>206032</v>
      </c>
      <c>
        <v>0</v>
      </c>
      <c s="3">
        <v>0</v>
      </c>
      <c s="3">
        <v>3854.91</v>
      </c>
      <c s="3">
        <v>237526</v>
      </c>
      <c r="O3704" s="1" t="str">
        <f ca="1">HYPERLINK("https://web.datatree.com/?/property?propertyId=33395951", "https://web.datatree.com/?/property?propertyId=33395951")</f>
        <v>https://web.datatree.com/?/property?propertyId=33395951</v>
      </c>
      <c r="Q3704" t="s">
        <v>316</v>
      </c>
      <c>
        <v>0.248</v>
      </c>
      <c t="s">
        <v>22490</v>
      </c>
      <c t="s">
        <v>65395</v>
      </c>
      <c t="s">
        <v>46224</v>
      </c>
      <c r="X3704" t="s">
        <v>13899</v>
      </c>
      <c t="s">
        <v>32788</v>
      </c>
      <c t="s">
        <v>2517</v>
      </c>
      <c t="s">
        <v>39289</v>
      </c>
      <c>
        <v>33904</v>
      </c>
      <c>
        <v>33904</v>
      </c>
      <c t="s">
        <v>48794</v>
      </c>
      <c t="s">
        <v>14828</v>
      </c>
      <c r="AI3704" t="s">
        <v>40916</v>
      </c>
      <c r="AK3704">
        <v>11</v>
      </c>
      <c t="s">
        <v>54274</v>
      </c>
      <c r="AN3704" t="s">
        <v>18236</v>
      </c>
      <c>
        <v>75173</v>
      </c>
      <c r="AR3704" t="s">
        <v>21249</v>
      </c>
    </row>
    <row>
      <c t="s">
        <v>17594</v>
      </c>
      <c t="s">
        <v>39275</v>
      </c>
      <c t="s">
        <v>3799</v>
      </c>
      <c t="s">
        <v>48795</v>
      </c>
      <c t="s">
        <v>27254</v>
      </c>
      <c s="3">
        <v>16199</v>
      </c>
      <c s="3">
        <v>16199</v>
      </c>
      <c s="3">
        <v>12524</v>
      </c>
      <c>
        <v>0</v>
      </c>
      <c s="3">
        <v>0</v>
      </c>
      <c s="3">
        <v>237.24</v>
      </c>
      <c s="3">
        <v>16199</v>
      </c>
      <c r="O3705" s="1" t="str">
        <f ca="1">HYPERLINK("https://web.datatree.com/?/property?propertyId=33395986", "https://web.datatree.com/?/property?propertyId=33395986")</f>
        <v>https://web.datatree.com/?/property?propertyId=33395986</v>
      </c>
      <c r="Q3705" t="s">
        <v>316</v>
      </c>
      <c>
        <v>0.277</v>
      </c>
      <c t="s">
        <v>58770</v>
      </c>
      <c t="s">
        <v>57107</v>
      </c>
      <c t="s">
        <v>43112</v>
      </c>
      <c t="s">
        <v>1599</v>
      </c>
      <c t="s">
        <v>53666</v>
      </c>
      <c t="s">
        <v>65940</v>
      </c>
      <c t="s">
        <v>33178</v>
      </c>
      <c t="s">
        <v>65059</v>
      </c>
      <c t="s">
        <v>39289</v>
      </c>
      <c>
        <v>33901</v>
      </c>
      <c>
        <v>33901</v>
      </c>
      <c t="s">
        <v>48794</v>
      </c>
      <c t="s">
        <v>61825</v>
      </c>
      <c>
        <v>3150</v>
      </c>
      <c r="AI3705" t="s">
        <v>48586</v>
      </c>
      <c t="s">
        <v>24900</v>
      </c>
      <c r="AL3705" t="s">
        <v>11713</v>
      </c>
      <c r="AN3705" t="s">
        <v>39289</v>
      </c>
      <c t="s">
        <v>48846</v>
      </c>
      <c t="s">
        <v>38085</v>
      </c>
      <c t="s">
        <v>3093</v>
      </c>
      <c t="s">
        <v>30063</v>
      </c>
    </row>
    <row>
      <c t="s">
        <v>17594</v>
      </c>
      <c t="s">
        <v>38234</v>
      </c>
      <c t="s">
        <v>2794</v>
      </c>
      <c t="s">
        <v>37608</v>
      </c>
      <c t="s">
        <v>51686</v>
      </c>
      <c s="3">
        <v>14982</v>
      </c>
      <c s="3">
        <v>14982</v>
      </c>
      <c s="3">
        <v>5840</v>
      </c>
      <c>
        <v>0</v>
      </c>
      <c s="3">
        <v>0</v>
      </c>
      <c s="3">
        <v>339.66</v>
      </c>
      <c s="3">
        <v>14982</v>
      </c>
      <c r="O3706" s="1" t="str">
        <f ca="1">HYPERLINK("https://web.datatree.com/?/property?propertyId=33396052", "https://web.datatree.com/?/property?propertyId=33396052")</f>
        <v>https://web.datatree.com/?/property?propertyId=33396052</v>
      </c>
      <c r="Q3706" t="s">
        <v>316</v>
      </c>
      <c>
        <v>0.265</v>
      </c>
      <c t="s">
        <v>5471</v>
      </c>
      <c t="s">
        <v>21118</v>
      </c>
      <c t="s">
        <v>37047</v>
      </c>
      <c t="s">
        <v>42388</v>
      </c>
      <c t="s">
        <v>37047</v>
      </c>
      <c t="s">
        <v>3006</v>
      </c>
      <c t="s">
        <v>51919</v>
      </c>
      <c t="s">
        <v>65059</v>
      </c>
      <c t="s">
        <v>39289</v>
      </c>
      <c>
        <v>33905</v>
      </c>
      <c>
        <v>33905</v>
      </c>
      <c t="s">
        <v>48794</v>
      </c>
      <c t="s">
        <v>1928</v>
      </c>
      <c>
        <v>10205</v>
      </c>
      <c r="AI3706" t="s">
        <v>25784</v>
      </c>
      <c t="s">
        <v>40123</v>
      </c>
      <c r="AL3706" t="s">
        <v>42404</v>
      </c>
      <c t="s">
        <v>40227</v>
      </c>
      <c t="s">
        <v>51087</v>
      </c>
      <c t="s">
        <v>37565</v>
      </c>
      <c t="s">
        <v>60333</v>
      </c>
      <c t="s">
        <v>3093</v>
      </c>
      <c t="s">
        <v>65926</v>
      </c>
    </row>
    <row>
      <c t="s">
        <v>17594</v>
      </c>
      <c t="s">
        <v>37218</v>
      </c>
      <c t="s">
        <v>45825</v>
      </c>
      <c t="s">
        <v>27991</v>
      </c>
      <c t="s">
        <v>66491</v>
      </c>
      <c s="3">
        <v>8500</v>
      </c>
      <c s="3">
        <v>8500</v>
      </c>
      <c s="3">
        <v>8500</v>
      </c>
      <c>
        <v>0</v>
      </c>
      <c s="3">
        <v>0</v>
      </c>
      <c s="3">
        <v>584.07</v>
      </c>
      <c s="3">
        <v>8500</v>
      </c>
      <c r="O3707" s="1" t="str">
        <f ca="1">HYPERLINK("https://web.datatree.com/?/property?propertyId=33396412", "https://web.datatree.com/?/property?propertyId=33396412")</f>
        <v>https://web.datatree.com/?/property?propertyId=33396412</v>
      </c>
      <c r="Q3707" t="s">
        <v>316</v>
      </c>
      <c>
        <v>0.249</v>
      </c>
      <c t="s">
        <v>6175</v>
      </c>
      <c t="s">
        <v>30592</v>
      </c>
      <c t="s">
        <v>22622</v>
      </c>
      <c t="s">
        <v>50875</v>
      </c>
      <c t="s">
        <v>22622</v>
      </c>
      <c t="s">
        <v>5744</v>
      </c>
      <c t="s">
        <v>53663</v>
      </c>
      <c t="s">
        <v>2517</v>
      </c>
      <c t="s">
        <v>39289</v>
      </c>
      <c>
        <v>33909</v>
      </c>
      <c t="s">
        <v>23236</v>
      </c>
      <c t="s">
        <v>48794</v>
      </c>
      <c t="s">
        <v>44234</v>
      </c>
      <c>
        <v>13</v>
      </c>
      <c r="AI3707" t="s">
        <v>5063</v>
      </c>
      <c r="AK3707">
        <v>911</v>
      </c>
      <c t="s">
        <v>60998</v>
      </c>
      <c r="AN3707" t="s">
        <v>14798</v>
      </c>
      <c r="AR3707" t="s">
        <v>58789</v>
      </c>
    </row>
    <row>
      <c t="s">
        <v>17594</v>
      </c>
      <c t="s">
        <v>18218</v>
      </c>
      <c t="s">
        <v>11469</v>
      </c>
      <c t="s">
        <v>66961</v>
      </c>
      <c t="s">
        <v>65680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708" s="1" t="str">
        <f ca="1">HYPERLINK("https://web.datatree.com/?/property?propertyId=33396727", "https://web.datatree.com/?/property?propertyId=33396727")</f>
        <v>https://web.datatree.com/?/property?propertyId=33396727</v>
      </c>
      <c r="Q3708" t="s">
        <v>316</v>
      </c>
      <c>
        <v>0.23</v>
      </c>
      <c t="s">
        <v>6175</v>
      </c>
      <c t="s">
        <v>66756</v>
      </c>
      <c t="s">
        <v>5003</v>
      </c>
      <c r="X3708" t="s">
        <v>33929</v>
      </c>
      <c t="s">
        <v>49122</v>
      </c>
      <c t="s">
        <v>2517</v>
      </c>
      <c t="s">
        <v>39289</v>
      </c>
      <c>
        <v>33909</v>
      </c>
      <c t="s">
        <v>28714</v>
      </c>
      <c t="s">
        <v>48794</v>
      </c>
      <c t="s">
        <v>27910</v>
      </c>
      <c>
        <v>753</v>
      </c>
      <c r="AI3708" t="s">
        <v>55034</v>
      </c>
      <c t="s">
        <v>45620</v>
      </c>
      <c r="AL3708" t="s">
        <v>33379</v>
      </c>
      <c r="AN3708" t="s">
        <v>10804</v>
      </c>
      <c t="s">
        <v>52575</v>
      </c>
      <c t="s">
        <v>38014</v>
      </c>
      <c t="s">
        <v>3093</v>
      </c>
      <c t="s">
        <v>19026</v>
      </c>
    </row>
    <row>
      <c t="s">
        <v>17594</v>
      </c>
      <c t="s">
        <v>44216</v>
      </c>
      <c t="s">
        <v>42243</v>
      </c>
      <c t="s">
        <v>7758</v>
      </c>
      <c t="s">
        <v>65173</v>
      </c>
      <c s="3">
        <v>121448</v>
      </c>
      <c s="3">
        <v>121448</v>
      </c>
      <c s="3">
        <v>103400</v>
      </c>
      <c>
        <v>0</v>
      </c>
      <c s="3">
        <v>0</v>
      </c>
      <c s="3">
        <v>2178.23</v>
      </c>
      <c s="3">
        <v>121448</v>
      </c>
      <c r="O3709" s="1" t="str">
        <f ca="1">HYPERLINK("https://web.datatree.com/?/property?propertyId=33397909", "https://web.datatree.com/?/property?propertyId=33397909")</f>
        <v>https://web.datatree.com/?/property?propertyId=33397909</v>
      </c>
      <c r="Q3709" t="s">
        <v>316</v>
      </c>
      <c>
        <v>0.27</v>
      </c>
      <c t="s">
        <v>22490</v>
      </c>
      <c t="s">
        <v>32955</v>
      </c>
      <c t="s">
        <v>4233</v>
      </c>
      <c t="s">
        <v>50865</v>
      </c>
      <c t="s">
        <v>4233</v>
      </c>
      <c t="s">
        <v>39591</v>
      </c>
      <c t="s">
        <v>18679</v>
      </c>
      <c t="s">
        <v>2517</v>
      </c>
      <c t="s">
        <v>39289</v>
      </c>
      <c>
        <v>33904</v>
      </c>
      <c t="s">
        <v>22772</v>
      </c>
      <c t="s">
        <v>48794</v>
      </c>
      <c t="s">
        <v>13961</v>
      </c>
      <c>
        <v>13211</v>
      </c>
      <c r="AI3709" t="s">
        <v>53960</v>
      </c>
      <c t="s">
        <v>1289</v>
      </c>
      <c t="s">
        <v>25384</v>
      </c>
      <c t="s">
        <v>21385</v>
      </c>
      <c t="s">
        <v>21385</v>
      </c>
      <c t="s">
        <v>9636</v>
      </c>
      <c t="s">
        <v>66514</v>
      </c>
      <c t="s">
        <v>23744</v>
      </c>
      <c t="s">
        <v>3093</v>
      </c>
      <c t="s">
        <v>60461</v>
      </c>
    </row>
    <row>
      <c t="s">
        <v>17594</v>
      </c>
      <c t="s">
        <v>22594</v>
      </c>
      <c t="s">
        <v>20195</v>
      </c>
      <c t="s">
        <v>17553</v>
      </c>
      <c t="s">
        <v>51307</v>
      </c>
      <c s="3">
        <v>19200</v>
      </c>
      <c s="3">
        <v>19200</v>
      </c>
      <c s="3">
        <v>9350</v>
      </c>
      <c>
        <v>0</v>
      </c>
      <c s="3">
        <v>0</v>
      </c>
      <c s="3">
        <v>580.14</v>
      </c>
      <c s="3">
        <v>19200</v>
      </c>
      <c r="O3710" s="1" t="str">
        <f ca="1">HYPERLINK("https://web.datatree.com/?/property?propertyId=33398075", "https://web.datatree.com/?/property?propertyId=33398075")</f>
        <v>https://web.datatree.com/?/property?propertyId=33398075</v>
      </c>
      <c r="Q3710" t="s">
        <v>316</v>
      </c>
      <c>
        <v>0.244</v>
      </c>
      <c t="s">
        <v>6175</v>
      </c>
      <c t="s">
        <v>19406</v>
      </c>
      <c t="s">
        <v>13702</v>
      </c>
      <c r="X3710" t="s">
        <v>30880</v>
      </c>
      <c t="s">
        <v>14534</v>
      </c>
      <c t="s">
        <v>2517</v>
      </c>
      <c t="s">
        <v>39289</v>
      </c>
      <c>
        <v>33909</v>
      </c>
      <c t="s">
        <v>23668</v>
      </c>
      <c t="s">
        <v>48794</v>
      </c>
      <c t="s">
        <v>33983</v>
      </c>
      <c>
        <v>1000</v>
      </c>
      <c r="AI3710" t="s">
        <v>55093</v>
      </c>
      <c t="s">
        <v>39321</v>
      </c>
      <c r="AL3710" t="s">
        <v>25857</v>
      </c>
      <c r="AN3710" t="s">
        <v>39289</v>
      </c>
      <c t="s">
        <v>46981</v>
      </c>
      <c t="s">
        <v>32746</v>
      </c>
      <c t="s">
        <v>3093</v>
      </c>
      <c t="s">
        <v>35517</v>
      </c>
    </row>
    <row>
      <c t="s">
        <v>17594</v>
      </c>
      <c t="s">
        <v>2225</v>
      </c>
      <c t="s">
        <v>26281</v>
      </c>
      <c t="s">
        <v>46839</v>
      </c>
      <c t="s">
        <v>18433</v>
      </c>
      <c s="3">
        <v>149632</v>
      </c>
      <c s="3">
        <v>149632</v>
      </c>
      <c s="3">
        <v>102913</v>
      </c>
      <c>
        <v>0</v>
      </c>
      <c s="3">
        <v>0</v>
      </c>
      <c s="3">
        <v>2179.12</v>
      </c>
      <c s="3">
        <v>149632</v>
      </c>
      <c r="O3711" s="1" t="str">
        <f ca="1">HYPERLINK("https://web.datatree.com/?/property?propertyId=33398431", "https://web.datatree.com/?/property?propertyId=33398431")</f>
        <v>https://web.datatree.com/?/property?propertyId=33398431</v>
      </c>
      <c r="Q3711" t="s">
        <v>316</v>
      </c>
      <c>
        <v>0.24</v>
      </c>
      <c t="s">
        <v>6175</v>
      </c>
      <c t="s">
        <v>60671</v>
      </c>
      <c t="s">
        <v>11391</v>
      </c>
      <c r="X3711" t="s">
        <v>26221</v>
      </c>
      <c t="s">
        <v>45617</v>
      </c>
      <c t="s">
        <v>2517</v>
      </c>
      <c t="s">
        <v>39289</v>
      </c>
      <c>
        <v>33904</v>
      </c>
      <c t="s">
        <v>30683</v>
      </c>
      <c t="s">
        <v>48794</v>
      </c>
      <c t="s">
        <v>46959</v>
      </c>
      <c>
        <v>2097</v>
      </c>
      <c r="AI3711" t="s">
        <v>60995</v>
      </c>
      <c t="s">
        <v>31192</v>
      </c>
      <c r="AL3711" t="s">
        <v>37370</v>
      </c>
      <c r="AN3711" t="s">
        <v>26016</v>
      </c>
      <c t="s">
        <v>13649</v>
      </c>
      <c t="s">
        <v>44428</v>
      </c>
      <c t="s">
        <v>3093</v>
      </c>
      <c t="s">
        <v>32641</v>
      </c>
    </row>
    <row>
      <c t="s">
        <v>17594</v>
      </c>
      <c t="s">
        <v>26274</v>
      </c>
      <c t="s">
        <v>15046</v>
      </c>
      <c t="s">
        <v>53711</v>
      </c>
      <c t="s">
        <v>63923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>
        <v>2021</v>
      </c>
      <c>
        <v>539.63</v>
      </c>
      <c s="1" t="str">
        <f ca="1">HYPERLINK("https://web.datatree.com/?/property?propertyId=33398501", "https://web.datatree.com/?/property?propertyId=33398501")</f>
        <v>https://web.datatree.com/?/property?propertyId=33398501</v>
      </c>
      <c r="Q3712" t="s">
        <v>316</v>
      </c>
      <c>
        <v>0.23</v>
      </c>
      <c t="s">
        <v>22490</v>
      </c>
      <c t="s">
        <v>34618</v>
      </c>
      <c t="s">
        <v>14011</v>
      </c>
      <c r="X3712" t="s">
        <v>58522</v>
      </c>
      <c t="s">
        <v>53675</v>
      </c>
      <c t="s">
        <v>2517</v>
      </c>
      <c t="s">
        <v>39289</v>
      </c>
      <c>
        <v>33909</v>
      </c>
      <c t="s">
        <v>2114</v>
      </c>
      <c t="s">
        <v>48794</v>
      </c>
      <c t="s">
        <v>47151</v>
      </c>
      <c>
        <v>14</v>
      </c>
      <c r="AI3712" t="s">
        <v>18313</v>
      </c>
      <c t="s">
        <v>45393</v>
      </c>
      <c r="AL3712" t="s">
        <v>37722</v>
      </c>
      <c r="AN3712" t="s">
        <v>32771</v>
      </c>
      <c r="AR3712" t="s">
        <v>30251</v>
      </c>
    </row>
    <row>
      <c t="s">
        <v>17594</v>
      </c>
      <c t="s">
        <v>64744</v>
      </c>
      <c t="s">
        <v>45407</v>
      </c>
      <c t="s">
        <v>44154</v>
      </c>
      <c t="s">
        <v>49239</v>
      </c>
      <c s="3">
        <v>102684</v>
      </c>
      <c s="3">
        <v>102684</v>
      </c>
      <c s="3">
        <v>102684</v>
      </c>
      <c>
        <v>0</v>
      </c>
      <c s="3">
        <v>0</v>
      </c>
      <c s="3">
        <v>1409.02</v>
      </c>
      <c s="3">
        <v>102684</v>
      </c>
      <c r="O3713" s="1" t="str">
        <f ca="1">HYPERLINK("https://web.datatree.com/?/property?propertyId=33398509", "https://web.datatree.com/?/property?propertyId=33398509")</f>
        <v>https://web.datatree.com/?/property?propertyId=33398509</v>
      </c>
      <c r="Q3713" t="s">
        <v>316</v>
      </c>
      <c>
        <v>1.034</v>
      </c>
      <c t="s">
        <v>30497</v>
      </c>
      <c r="U3713" t="s">
        <v>11276</v>
      </c>
      <c r="W3713" t="s">
        <v>8521</v>
      </c>
      <c t="s">
        <v>38476</v>
      </c>
      <c t="s">
        <v>58045</v>
      </c>
      <c t="s">
        <v>65059</v>
      </c>
      <c t="s">
        <v>39289</v>
      </c>
      <c>
        <v>33908</v>
      </c>
      <c>
        <v>33908</v>
      </c>
      <c t="s">
        <v>48794</v>
      </c>
      <c t="s">
        <v>11673</v>
      </c>
      <c t="s">
        <v>28546</v>
      </c>
      <c r="AI3713" t="s">
        <v>47680</v>
      </c>
      <c t="s">
        <v>31192</v>
      </c>
      <c r="AL3713" t="s">
        <v>40161</v>
      </c>
      <c r="AN3713" t="s">
        <v>27481</v>
      </c>
      <c>
        <v>53040</v>
      </c>
      <c r="AQ3713" t="s">
        <v>3093</v>
      </c>
      <c t="s">
        <v>57112</v>
      </c>
    </row>
    <row>
      <c t="s">
        <v>17594</v>
      </c>
      <c t="s">
        <v>13026</v>
      </c>
      <c t="s">
        <v>39152</v>
      </c>
      <c t="s">
        <v>15664</v>
      </c>
      <c t="s">
        <v>33129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3714" s="1" t="str">
        <f ca="1">HYPERLINK("https://web.datatree.com/?/property?propertyId=33398547", "https://web.datatree.com/?/property?propertyId=33398547")</f>
        <v>https://web.datatree.com/?/property?propertyId=33398547</v>
      </c>
      <c r="Q3714" t="s">
        <v>316</v>
      </c>
      <c>
        <v>0.23</v>
      </c>
      <c t="s">
        <v>22490</v>
      </c>
      <c t="s">
        <v>15812</v>
      </c>
      <c t="s">
        <v>27394</v>
      </c>
      <c t="s">
        <v>51891</v>
      </c>
      <c t="s">
        <v>27394</v>
      </c>
      <c t="s">
        <v>13886</v>
      </c>
      <c t="s">
        <v>11985</v>
      </c>
      <c t="s">
        <v>2517</v>
      </c>
      <c t="s">
        <v>39289</v>
      </c>
      <c>
        <v>33909</v>
      </c>
      <c>
        <v>33909</v>
      </c>
      <c t="s">
        <v>48794</v>
      </c>
      <c t="s">
        <v>45969</v>
      </c>
      <c>
        <v>242</v>
      </c>
      <c r="AI3714" t="s">
        <v>5331</v>
      </c>
      <c t="s">
        <v>31192</v>
      </c>
      <c r="AL3714" t="s">
        <v>1916</v>
      </c>
      <c r="AN3714" t="s">
        <v>58733</v>
      </c>
      <c t="s">
        <v>38255</v>
      </c>
      <c t="s">
        <v>53800</v>
      </c>
      <c t="s">
        <v>3093</v>
      </c>
      <c t="s">
        <v>15100</v>
      </c>
    </row>
    <row>
      <c t="s">
        <v>17594</v>
      </c>
      <c t="s">
        <v>42807</v>
      </c>
      <c t="s">
        <v>48770</v>
      </c>
      <c t="s">
        <v>56338</v>
      </c>
      <c t="s">
        <v>3110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3715" s="1" t="str">
        <f ca="1">HYPERLINK("https://web.datatree.com/?/property?propertyId=33399761", "https://web.datatree.com/?/property?propertyId=33399761")</f>
        <v>https://web.datatree.com/?/property?propertyId=33399761</v>
      </c>
      <c r="Q3715" t="s">
        <v>316</v>
      </c>
      <c>
        <v>0.23</v>
      </c>
      <c t="s">
        <v>6175</v>
      </c>
      <c t="s">
        <v>15214</v>
      </c>
      <c t="s">
        <v>26018</v>
      </c>
      <c t="s">
        <v>39994</v>
      </c>
      <c t="s">
        <v>29715</v>
      </c>
      <c t="s">
        <v>39170</v>
      </c>
      <c t="s">
        <v>22731</v>
      </c>
      <c t="s">
        <v>2517</v>
      </c>
      <c t="s">
        <v>39289</v>
      </c>
      <c>
        <v>33909</v>
      </c>
      <c t="s">
        <v>8844</v>
      </c>
      <c t="s">
        <v>48794</v>
      </c>
      <c t="s">
        <v>33414</v>
      </c>
      <c>
        <v>6209</v>
      </c>
      <c r="AI3715" t="s">
        <v>41139</v>
      </c>
      <c r="AL3715" t="s">
        <v>53927</v>
      </c>
      <c t="s">
        <v>53927</v>
      </c>
      <c t="s">
        <v>65467</v>
      </c>
      <c>
        <v>21045</v>
      </c>
      <c r="AQ3715" t="s">
        <v>3093</v>
      </c>
      <c t="s">
        <v>29646</v>
      </c>
    </row>
    <row>
      <c t="s">
        <v>17594</v>
      </c>
      <c t="s">
        <v>57089</v>
      </c>
      <c t="s">
        <v>45028</v>
      </c>
      <c t="s">
        <v>44589</v>
      </c>
      <c t="s">
        <v>37329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3716" s="1" t="str">
        <f ca="1">HYPERLINK("https://web.datatree.com/?/property?propertyId=33399880", "https://web.datatree.com/?/property?propertyId=33399880")</f>
        <v>https://web.datatree.com/?/property?propertyId=33399880</v>
      </c>
      <c r="Q3716" t="s">
        <v>316</v>
      </c>
      <c>
        <v>0.23</v>
      </c>
      <c t="s">
        <v>22490</v>
      </c>
      <c t="s">
        <v>33621</v>
      </c>
      <c t="s">
        <v>20787</v>
      </c>
      <c r="X3716" t="s">
        <v>63998</v>
      </c>
      <c t="s">
        <v>25017</v>
      </c>
      <c t="s">
        <v>2517</v>
      </c>
      <c t="s">
        <v>39289</v>
      </c>
      <c>
        <v>33909</v>
      </c>
      <c t="s">
        <v>63632</v>
      </c>
      <c t="s">
        <v>48794</v>
      </c>
      <c t="s">
        <v>12759</v>
      </c>
      <c>
        <v>67</v>
      </c>
      <c r="AI3716" t="s">
        <v>63077</v>
      </c>
      <c t="s">
        <v>31192</v>
      </c>
      <c r="AL3716" t="s">
        <v>61009</v>
      </c>
      <c r="AN3716" t="s">
        <v>26016</v>
      </c>
      <c t="s">
        <v>6456</v>
      </c>
      <c t="s">
        <v>52393</v>
      </c>
      <c t="s">
        <v>3093</v>
      </c>
      <c t="s">
        <v>26041</v>
      </c>
    </row>
    <row>
      <c t="s">
        <v>17594</v>
      </c>
      <c t="s">
        <v>37561</v>
      </c>
      <c t="s">
        <v>3072</v>
      </c>
      <c t="s">
        <v>13057</v>
      </c>
      <c t="s">
        <v>20085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3717" s="1" t="str">
        <f ca="1">HYPERLINK("https://web.datatree.com/?/property?propertyId=33400753", "https://web.datatree.com/?/property?propertyId=33400753")</f>
        <v>https://web.datatree.com/?/property?propertyId=33400753</v>
      </c>
      <c r="Q3717" t="s">
        <v>316</v>
      </c>
      <c>
        <v>0.244</v>
      </c>
      <c t="s">
        <v>6175</v>
      </c>
      <c t="s">
        <v>2140</v>
      </c>
      <c t="s">
        <v>48918</v>
      </c>
      <c t="s">
        <v>65497</v>
      </c>
      <c t="s">
        <v>48918</v>
      </c>
      <c t="s">
        <v>35550</v>
      </c>
      <c t="s">
        <v>29190</v>
      </c>
      <c t="s">
        <v>2517</v>
      </c>
      <c t="s">
        <v>39289</v>
      </c>
      <c>
        <v>33909</v>
      </c>
      <c t="s">
        <v>57204</v>
      </c>
      <c t="s">
        <v>48794</v>
      </c>
      <c t="s">
        <v>52648</v>
      </c>
      <c>
        <v>149</v>
      </c>
      <c r="AI3717" t="s">
        <v>63523</v>
      </c>
      <c t="s">
        <v>31192</v>
      </c>
      <c r="AL3717" t="s">
        <v>66387</v>
      </c>
      <c r="AN3717" t="s">
        <v>39289</v>
      </c>
      <c t="s">
        <v>26581</v>
      </c>
      <c t="s">
        <v>26242</v>
      </c>
      <c t="s">
        <v>3093</v>
      </c>
      <c t="s">
        <v>23560</v>
      </c>
    </row>
    <row>
      <c t="s">
        <v>17594</v>
      </c>
      <c t="s">
        <v>64989</v>
      </c>
      <c t="s">
        <v>63914</v>
      </c>
      <c t="s">
        <v>15572</v>
      </c>
      <c t="s">
        <v>18546</v>
      </c>
      <c s="3">
        <v>17913</v>
      </c>
      <c s="3">
        <v>17913</v>
      </c>
      <c s="3">
        <v>17913</v>
      </c>
      <c>
        <v>0</v>
      </c>
      <c s="3">
        <v>0</v>
      </c>
      <c s="3">
        <v>420.88</v>
      </c>
      <c s="3">
        <v>17913</v>
      </c>
      <c r="O3718" s="1" t="str">
        <f ca="1">HYPERLINK("https://web.datatree.com/?/property?propertyId=33400984", "https://web.datatree.com/?/property?propertyId=33400984")</f>
        <v>https://web.datatree.com/?/property?propertyId=33400984</v>
      </c>
      <c r="Q3718" t="s">
        <v>316</v>
      </c>
      <c>
        <v>0.236</v>
      </c>
      <c t="s">
        <v>6175</v>
      </c>
      <c t="s">
        <v>27398</v>
      </c>
      <c t="s">
        <v>19406</v>
      </c>
      <c t="s">
        <v>65351</v>
      </c>
      <c t="s">
        <v>19406</v>
      </c>
      <c t="s">
        <v>37432</v>
      </c>
      <c t="s">
        <v>18679</v>
      </c>
      <c t="s">
        <v>2517</v>
      </c>
      <c t="s">
        <v>39289</v>
      </c>
      <c>
        <v>33909</v>
      </c>
      <c t="s">
        <v>51106</v>
      </c>
      <c t="s">
        <v>48794</v>
      </c>
      <c t="s">
        <v>47839</v>
      </c>
      <c>
        <v>15845</v>
      </c>
      <c r="AI3718" t="s">
        <v>18657</v>
      </c>
      <c t="s">
        <v>45620</v>
      </c>
      <c r="AL3718" t="s">
        <v>42621</v>
      </c>
      <c t="s">
        <v>63325</v>
      </c>
      <c t="s">
        <v>65451</v>
      </c>
      <c t="s">
        <v>11854</v>
      </c>
      <c t="s">
        <v>22302</v>
      </c>
      <c t="s">
        <v>3093</v>
      </c>
      <c t="s">
        <v>57565</v>
      </c>
    </row>
    <row>
      <c t="s">
        <v>17594</v>
      </c>
      <c t="s">
        <v>50214</v>
      </c>
      <c t="s">
        <v>32845</v>
      </c>
      <c t="s">
        <v>45119</v>
      </c>
      <c t="s">
        <v>54293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3719" s="1" t="str">
        <f ca="1">HYPERLINK("https://web.datatree.com/?/property?propertyId=33401453", "https://web.datatree.com/?/property?propertyId=33401453")</f>
        <v>https://web.datatree.com/?/property?propertyId=33401453</v>
      </c>
      <c r="Q3719" t="s">
        <v>316</v>
      </c>
      <c>
        <v>0.23</v>
      </c>
      <c t="s">
        <v>6175</v>
      </c>
      <c t="s">
        <v>32606</v>
      </c>
      <c t="s">
        <v>54943</v>
      </c>
      <c r="X3719" t="s">
        <v>17411</v>
      </c>
      <c t="s">
        <v>53675</v>
      </c>
      <c t="s">
        <v>2517</v>
      </c>
      <c t="s">
        <v>39289</v>
      </c>
      <c>
        <v>33909</v>
      </c>
      <c t="s">
        <v>4027</v>
      </c>
      <c t="s">
        <v>48794</v>
      </c>
      <c t="s">
        <v>15091</v>
      </c>
      <c>
        <v>3901</v>
      </c>
      <c r="AI3719" t="s">
        <v>40963</v>
      </c>
      <c t="s">
        <v>31192</v>
      </c>
      <c r="AL3719" t="s">
        <v>51069</v>
      </c>
      <c r="AN3719" t="s">
        <v>66651</v>
      </c>
      <c t="s">
        <v>12359</v>
      </c>
      <c t="s">
        <v>4797</v>
      </c>
      <c t="s">
        <v>3093</v>
      </c>
      <c t="s">
        <v>43128</v>
      </c>
    </row>
    <row>
      <c t="s">
        <v>17594</v>
      </c>
      <c t="s">
        <v>59130</v>
      </c>
      <c t="s">
        <v>28303</v>
      </c>
      <c t="s">
        <v>40835</v>
      </c>
      <c t="s">
        <v>16892</v>
      </c>
      <c s="3">
        <v>23352</v>
      </c>
      <c s="3">
        <v>23352</v>
      </c>
      <c s="3">
        <v>8800</v>
      </c>
      <c>
        <v>0</v>
      </c>
      <c s="3">
        <v>0</v>
      </c>
      <c s="3">
        <v>623.96</v>
      </c>
      <c s="3">
        <v>23352</v>
      </c>
      <c r="O3720" s="1" t="str">
        <f ca="1">HYPERLINK("https://web.datatree.com/?/property?propertyId=33401829", "https://web.datatree.com/?/property?propertyId=33401829")</f>
        <v>https://web.datatree.com/?/property?propertyId=33401829</v>
      </c>
      <c r="Q3720" t="s">
        <v>316</v>
      </c>
      <c>
        <v>0.272</v>
      </c>
      <c t="s">
        <v>22490</v>
      </c>
      <c t="s">
        <v>42532</v>
      </c>
      <c t="s">
        <v>47925</v>
      </c>
      <c t="s">
        <v>19357</v>
      </c>
      <c t="s">
        <v>47925</v>
      </c>
      <c t="s">
        <v>59433</v>
      </c>
      <c t="s">
        <v>46469</v>
      </c>
      <c t="s">
        <v>2517</v>
      </c>
      <c t="s">
        <v>39289</v>
      </c>
      <c>
        <v>33909</v>
      </c>
      <c t="s">
        <v>22066</v>
      </c>
      <c t="s">
        <v>48794</v>
      </c>
      <c t="s">
        <v>43658</v>
      </c>
      <c>
        <v>1144</v>
      </c>
      <c r="AI3720" t="s">
        <v>57629</v>
      </c>
      <c t="s">
        <v>31192</v>
      </c>
      <c r="AL3720" t="s">
        <v>31985</v>
      </c>
      <c r="AN3720" t="s">
        <v>17134</v>
      </c>
      <c t="s">
        <v>35181</v>
      </c>
      <c t="s">
        <v>14695</v>
      </c>
      <c t="s">
        <v>3093</v>
      </c>
      <c t="s">
        <v>61492</v>
      </c>
    </row>
    <row>
      <c t="s">
        <v>17594</v>
      </c>
      <c t="s">
        <v>22706</v>
      </c>
      <c t="s">
        <v>59014</v>
      </c>
      <c t="s">
        <v>18538</v>
      </c>
      <c t="s">
        <v>30995</v>
      </c>
      <c s="3">
        <v>8000</v>
      </c>
      <c s="3">
        <v>8000</v>
      </c>
      <c s="3">
        <v>8000</v>
      </c>
      <c>
        <v>0</v>
      </c>
      <c s="3">
        <v>0</v>
      </c>
      <c s="3">
        <v>588.39</v>
      </c>
      <c s="3">
        <v>8000</v>
      </c>
      <c r="O3721" s="1" t="str">
        <f ca="1">HYPERLINK("https://web.datatree.com/?/property?propertyId=33401957", "https://web.datatree.com/?/property?propertyId=33401957")</f>
        <v>https://web.datatree.com/?/property?propertyId=33401957</v>
      </c>
      <c r="Q3721" t="s">
        <v>316</v>
      </c>
      <c>
        <v>0.241</v>
      </c>
      <c t="s">
        <v>22490</v>
      </c>
      <c t="s">
        <v>19795</v>
      </c>
      <c t="s">
        <v>62024</v>
      </c>
      <c r="X3721" t="s">
        <v>13873</v>
      </c>
      <c t="s">
        <v>38550</v>
      </c>
      <c t="s">
        <v>2517</v>
      </c>
      <c t="s">
        <v>39289</v>
      </c>
      <c>
        <v>33909</v>
      </c>
      <c t="s">
        <v>30977</v>
      </c>
      <c t="s">
        <v>48794</v>
      </c>
      <c t="s">
        <v>35175</v>
      </c>
      <c>
        <v>1290</v>
      </c>
      <c r="AI3721" t="s">
        <v>2497</v>
      </c>
      <c t="s">
        <v>4151</v>
      </c>
      <c r="AL3721" t="s">
        <v>13883</v>
      </c>
      <c r="AN3721" t="s">
        <v>10909</v>
      </c>
      <c t="s">
        <v>12591</v>
      </c>
      <c r="AQ3721" t="s">
        <v>27814</v>
      </c>
      <c t="s">
        <v>25702</v>
      </c>
    </row>
    <row>
      <c t="s">
        <v>17594</v>
      </c>
      <c t="s">
        <v>1552</v>
      </c>
      <c t="s">
        <v>36886</v>
      </c>
      <c t="s">
        <v>224</v>
      </c>
      <c t="s">
        <v>28884</v>
      </c>
      <c s="3">
        <v>20472</v>
      </c>
      <c s="3">
        <v>20472</v>
      </c>
      <c s="3">
        <v>20472</v>
      </c>
      <c>
        <v>0</v>
      </c>
      <c s="3">
        <v>0</v>
      </c>
      <c s="3">
        <v>697.83</v>
      </c>
      <c s="3">
        <v>20472</v>
      </c>
      <c r="O3722" s="1" t="str">
        <f ca="1">HYPERLINK("https://web.datatree.com/?/property?propertyId=33401993", "https://web.datatree.com/?/property?propertyId=33401993")</f>
        <v>https://web.datatree.com/?/property?propertyId=33401993</v>
      </c>
      <c r="Q3722" t="s">
        <v>316</v>
      </c>
      <c>
        <v>0.23</v>
      </c>
      <c t="s">
        <v>22490</v>
      </c>
      <c t="s">
        <v>35512</v>
      </c>
      <c t="s">
        <v>24595</v>
      </c>
      <c t="s">
        <v>58737</v>
      </c>
      <c t="s">
        <v>24595</v>
      </c>
      <c t="s">
        <v>27542</v>
      </c>
      <c t="s">
        <v>46469</v>
      </c>
      <c t="s">
        <v>2517</v>
      </c>
      <c t="s">
        <v>39289</v>
      </c>
      <c>
        <v>33909</v>
      </c>
      <c t="s">
        <v>36781</v>
      </c>
      <c t="s">
        <v>48794</v>
      </c>
      <c t="s">
        <v>32890</v>
      </c>
      <c>
        <v>9054</v>
      </c>
      <c r="AI3722" t="s">
        <v>52309</v>
      </c>
      <c t="s">
        <v>40123</v>
      </c>
      <c r="AL3722" t="s">
        <v>15179</v>
      </c>
      <c r="AN3722" t="s">
        <v>39289</v>
      </c>
      <c t="s">
        <v>8214</v>
      </c>
      <c t="s">
        <v>43294</v>
      </c>
      <c t="s">
        <v>3093</v>
      </c>
      <c t="s">
        <v>47366</v>
      </c>
    </row>
    <row>
      <c t="s">
        <v>17594</v>
      </c>
      <c t="s">
        <v>32031</v>
      </c>
      <c t="s">
        <v>39719</v>
      </c>
      <c t="s">
        <v>57256</v>
      </c>
      <c t="s">
        <v>44994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723" s="1" t="str">
        <f ca="1">HYPERLINK("https://web.datatree.com/?/property?propertyId=33402756", "https://web.datatree.com/?/property?propertyId=33402756")</f>
        <v>https://web.datatree.com/?/property?propertyId=33402756</v>
      </c>
      <c r="Q3723" t="s">
        <v>316</v>
      </c>
      <c>
        <v>0.23</v>
      </c>
      <c t="s">
        <v>28270</v>
      </c>
      <c t="s">
        <v>4814</v>
      </c>
      <c t="s">
        <v>25391</v>
      </c>
      <c t="s">
        <v>64704</v>
      </c>
      <c t="s">
        <v>25391</v>
      </c>
      <c t="s">
        <v>15406</v>
      </c>
      <c t="s">
        <v>14534</v>
      </c>
      <c t="s">
        <v>2517</v>
      </c>
      <c t="s">
        <v>39289</v>
      </c>
      <c>
        <v>33909</v>
      </c>
      <c t="s">
        <v>46177</v>
      </c>
      <c t="s">
        <v>48794</v>
      </c>
      <c t="s">
        <v>49216</v>
      </c>
      <c>
        <v>6</v>
      </c>
      <c r="AI3723" t="s">
        <v>49916</v>
      </c>
      <c t="s">
        <v>24900</v>
      </c>
      <c r="AL3723" t="s">
        <v>46576</v>
      </c>
      <c r="AN3723" t="s">
        <v>65451</v>
      </c>
      <c t="s">
        <v>8895</v>
      </c>
      <c t="s">
        <v>48506</v>
      </c>
      <c t="s">
        <v>3093</v>
      </c>
      <c t="s">
        <v>44887</v>
      </c>
    </row>
    <row>
      <c t="s">
        <v>42103</v>
      </c>
      <c t="s">
        <v>54189</v>
      </c>
      <c t="s">
        <v>36906</v>
      </c>
      <c t="s">
        <v>30766</v>
      </c>
      <c t="s">
        <v>55886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3724" s="1" t="str">
        <f ca="1">HYPERLINK("https://web.datatree.com/?/property?propertyId=33402953", "https://web.datatree.com/?/property?propertyId=33402953")</f>
        <v>https://web.datatree.com/?/property?propertyId=33402953</v>
      </c>
      <c r="Q3724" t="s">
        <v>316</v>
      </c>
      <c>
        <v>0.244</v>
      </c>
      <c t="s">
        <v>6175</v>
      </c>
      <c r="U3724" t="s">
        <v>65562</v>
      </c>
      <c t="s">
        <v>7682</v>
      </c>
      <c t="s">
        <v>35754</v>
      </c>
      <c t="s">
        <v>11490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20367</v>
      </c>
      <c r="AI3724" t="s">
        <v>31526</v>
      </c>
      <c r="AK3724" t="s">
        <v>45620</v>
      </c>
      <c t="s">
        <v>30991</v>
      </c>
      <c t="s">
        <v>30991</v>
      </c>
      <c t="s">
        <v>40451</v>
      </c>
      <c>
        <v>57745</v>
      </c>
      <c t="s">
        <v>39363</v>
      </c>
      <c t="s">
        <v>3093</v>
      </c>
      <c t="s">
        <v>16696</v>
      </c>
    </row>
    <row>
      <c t="s">
        <v>17594</v>
      </c>
      <c t="s">
        <v>20765</v>
      </c>
      <c t="s">
        <v>31277</v>
      </c>
      <c t="s">
        <v>52692</v>
      </c>
      <c t="s">
        <v>37655</v>
      </c>
      <c s="3">
        <v>8912</v>
      </c>
      <c s="3">
        <v>8912</v>
      </c>
      <c s="3">
        <v>4972</v>
      </c>
      <c>
        <v>0</v>
      </c>
      <c s="3">
        <v>0</v>
      </c>
      <c s="3">
        <v>317.96</v>
      </c>
      <c s="3">
        <v>8912</v>
      </c>
      <c r="O3725" s="1" t="str">
        <f ca="1">HYPERLINK("https://web.datatree.com/?/property?propertyId=33403166", "https://web.datatree.com/?/property?propertyId=33403166")</f>
        <v>https://web.datatree.com/?/property?propertyId=33403166</v>
      </c>
      <c r="Q3725" t="s">
        <v>316</v>
      </c>
      <c>
        <v>0.252</v>
      </c>
      <c t="s">
        <v>5471</v>
      </c>
      <c t="s">
        <v>57078</v>
      </c>
      <c t="s">
        <v>17044</v>
      </c>
      <c r="X3725" t="s">
        <v>55107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20999</v>
      </c>
      <c>
        <v>5807</v>
      </c>
      <c r="AI3725" t="s">
        <v>48110</v>
      </c>
      <c t="s">
        <v>4985</v>
      </c>
      <c r="AL3725" t="s">
        <v>62996</v>
      </c>
      <c r="AN3725" t="s">
        <v>50917</v>
      </c>
      <c t="s">
        <v>65365</v>
      </c>
      <c t="s">
        <v>4797</v>
      </c>
      <c t="s">
        <v>3093</v>
      </c>
      <c t="s">
        <v>1012</v>
      </c>
    </row>
    <row>
      <c t="s">
        <v>17594</v>
      </c>
      <c t="s">
        <v>45773</v>
      </c>
      <c t="s">
        <v>63837</v>
      </c>
      <c t="s">
        <v>8268</v>
      </c>
      <c t="s">
        <v>9226</v>
      </c>
      <c s="3">
        <v>8000</v>
      </c>
      <c s="3">
        <v>8000</v>
      </c>
      <c s="3">
        <v>8000</v>
      </c>
      <c>
        <v>0</v>
      </c>
      <c s="3">
        <v>0</v>
      </c>
      <c s="3">
        <v>592.43</v>
      </c>
      <c s="3">
        <v>8000</v>
      </c>
      <c r="O3726" s="1" t="str">
        <f ca="1">HYPERLINK("https://web.datatree.com/?/property?propertyId=33403501", "https://web.datatree.com/?/property?propertyId=33403501")</f>
        <v>https://web.datatree.com/?/property?propertyId=33403501</v>
      </c>
      <c r="Q3726" t="s">
        <v>316</v>
      </c>
      <c>
        <v>0.25</v>
      </c>
      <c t="s">
        <v>22490</v>
      </c>
      <c t="s">
        <v>12861</v>
      </c>
      <c t="s">
        <v>22829</v>
      </c>
      <c t="s">
        <v>27351</v>
      </c>
      <c t="s">
        <v>22829</v>
      </c>
      <c t="s">
        <v>12502</v>
      </c>
      <c t="s">
        <v>38550</v>
      </c>
      <c t="s">
        <v>2517</v>
      </c>
      <c t="s">
        <v>39289</v>
      </c>
      <c>
        <v>33909</v>
      </c>
      <c t="s">
        <v>54420</v>
      </c>
      <c t="s">
        <v>48794</v>
      </c>
      <c t="s">
        <v>1288</v>
      </c>
      <c>
        <v>820</v>
      </c>
      <c r="AI3726" t="s">
        <v>60127</v>
      </c>
      <c t="s">
        <v>835</v>
      </c>
      <c r="AL3726" t="s">
        <v>26305</v>
      </c>
      <c r="AN3726" t="s">
        <v>65451</v>
      </c>
      <c t="s">
        <v>48475</v>
      </c>
      <c t="s">
        <v>34342</v>
      </c>
      <c t="s">
        <v>3093</v>
      </c>
      <c t="s">
        <v>62336</v>
      </c>
    </row>
    <row>
      <c t="s">
        <v>17594</v>
      </c>
      <c t="s">
        <v>7675</v>
      </c>
      <c t="s">
        <v>59305</v>
      </c>
      <c t="s">
        <v>12561</v>
      </c>
      <c t="s">
        <v>59153</v>
      </c>
      <c s="3">
        <v>52000</v>
      </c>
      <c s="3">
        <v>52000</v>
      </c>
      <c s="3">
        <v>24759</v>
      </c>
      <c>
        <v>0</v>
      </c>
      <c s="3">
        <v>0</v>
      </c>
      <c s="3">
        <v>1860.23</v>
      </c>
      <c s="3">
        <v>52000</v>
      </c>
      <c r="O3727" s="1" t="str">
        <f ca="1">HYPERLINK("https://web.datatree.com/?/property?propertyId=33403940", "https://web.datatree.com/?/property?propertyId=33403940")</f>
        <v>https://web.datatree.com/?/property?propertyId=33403940</v>
      </c>
      <c r="Q3727" t="s">
        <v>316</v>
      </c>
      <c>
        <v>0.236</v>
      </c>
      <c t="s">
        <v>22490</v>
      </c>
      <c t="s">
        <v>54428</v>
      </c>
      <c t="s">
        <v>57731</v>
      </c>
      <c r="X3727" t="s">
        <v>11401</v>
      </c>
      <c t="s">
        <v>17022</v>
      </c>
      <c t="s">
        <v>2517</v>
      </c>
      <c t="s">
        <v>39289</v>
      </c>
      <c>
        <v>33909</v>
      </c>
      <c t="s">
        <v>42684</v>
      </c>
      <c t="s">
        <v>48794</v>
      </c>
      <c t="s">
        <v>47590</v>
      </c>
      <c>
        <v>10380</v>
      </c>
      <c r="AI3727" t="s">
        <v>57283</v>
      </c>
      <c t="s">
        <v>1289</v>
      </c>
      <c r="AL3727" t="s">
        <v>41412</v>
      </c>
      <c r="AN3727" t="s">
        <v>22275</v>
      </c>
      <c t="s">
        <v>35659</v>
      </c>
      <c t="s">
        <v>38085</v>
      </c>
      <c t="s">
        <v>3093</v>
      </c>
      <c t="s">
        <v>55160</v>
      </c>
    </row>
    <row>
      <c t="s">
        <v>17594</v>
      </c>
      <c t="s">
        <v>27451</v>
      </c>
      <c t="s">
        <v>66993</v>
      </c>
      <c t="s">
        <v>37461</v>
      </c>
      <c t="s">
        <v>3828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3728" s="1" t="str">
        <f ca="1">HYPERLINK("https://web.datatree.com/?/property?propertyId=33406207", "https://web.datatree.com/?/property?propertyId=33406207")</f>
        <v>https://web.datatree.com/?/property?propertyId=33406207</v>
      </c>
      <c r="Q3728" t="s">
        <v>316</v>
      </c>
      <c>
        <v>0.23</v>
      </c>
      <c t="s">
        <v>6175</v>
      </c>
      <c t="s">
        <v>52880</v>
      </c>
      <c t="s">
        <v>6019</v>
      </c>
      <c t="s">
        <v>6753</v>
      </c>
      <c t="s">
        <v>6019</v>
      </c>
      <c t="s">
        <v>56556</v>
      </c>
      <c t="s">
        <v>23517</v>
      </c>
      <c t="s">
        <v>2517</v>
      </c>
      <c t="s">
        <v>39289</v>
      </c>
      <c>
        <v>33909</v>
      </c>
      <c t="s">
        <v>37760</v>
      </c>
      <c t="s">
        <v>48794</v>
      </c>
      <c t="s">
        <v>1090</v>
      </c>
      <c>
        <v>7060</v>
      </c>
      <c r="AI3728" t="s">
        <v>59904</v>
      </c>
      <c t="s">
        <v>31192</v>
      </c>
      <c r="AL3728" t="s">
        <v>216</v>
      </c>
      <c r="AN3728" t="s">
        <v>66651</v>
      </c>
      <c t="s">
        <v>49308</v>
      </c>
      <c t="s">
        <v>22613</v>
      </c>
      <c t="s">
        <v>3093</v>
      </c>
      <c t="s">
        <v>54042</v>
      </c>
    </row>
    <row>
      <c t="s">
        <v>17594</v>
      </c>
      <c t="s">
        <v>18797</v>
      </c>
      <c t="s">
        <v>21404</v>
      </c>
      <c t="s">
        <v>25506</v>
      </c>
      <c t="s">
        <v>59328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3729" s="1" t="str">
        <f ca="1">HYPERLINK("https://web.datatree.com/?/property?propertyId=33406542", "https://web.datatree.com/?/property?propertyId=33406542")</f>
        <v>https://web.datatree.com/?/property?propertyId=33406542</v>
      </c>
      <c r="Q3729" t="s">
        <v>316</v>
      </c>
      <c>
        <v>0.244</v>
      </c>
      <c t="s">
        <v>22490</v>
      </c>
      <c t="s">
        <v>11723</v>
      </c>
      <c t="s">
        <v>50309</v>
      </c>
      <c t="s">
        <v>10586</v>
      </c>
      <c t="s">
        <v>50309</v>
      </c>
      <c t="s">
        <v>20015</v>
      </c>
      <c t="s">
        <v>30928</v>
      </c>
      <c t="s">
        <v>2517</v>
      </c>
      <c t="s">
        <v>39289</v>
      </c>
      <c>
        <v>33909</v>
      </c>
      <c t="s">
        <v>27592</v>
      </c>
      <c t="s">
        <v>48794</v>
      </c>
      <c t="s">
        <v>7188</v>
      </c>
      <c>
        <v>21</v>
      </c>
      <c r="AI3729" t="s">
        <v>41478</v>
      </c>
      <c r="AL3729" t="s">
        <v>29786</v>
      </c>
      <c r="AN3729" t="s">
        <v>66651</v>
      </c>
      <c>
        <v>30540</v>
      </c>
      <c r="AR3729" t="s">
        <v>22727</v>
      </c>
    </row>
    <row>
      <c t="s">
        <v>17594</v>
      </c>
      <c t="s">
        <v>41957</v>
      </c>
      <c t="s">
        <v>64174</v>
      </c>
      <c t="s">
        <v>30276</v>
      </c>
      <c t="s">
        <v>58123</v>
      </c>
      <c s="3">
        <v>9240</v>
      </c>
      <c s="3">
        <v>9240</v>
      </c>
      <c s="3">
        <v>9240</v>
      </c>
      <c>
        <v>0</v>
      </c>
      <c s="3">
        <v>0</v>
      </c>
      <c s="3">
        <v>668.03</v>
      </c>
      <c s="3">
        <v>9240</v>
      </c>
      <c r="O3730" s="1" t="str">
        <f ca="1">HYPERLINK("https://web.datatree.com/?/property?propertyId=33406714", "https://web.datatree.com/?/property?propertyId=33406714")</f>
        <v>https://web.datatree.com/?/property?propertyId=33406714</v>
      </c>
      <c r="Q3730" t="s">
        <v>316</v>
      </c>
      <c>
        <v>0.28</v>
      </c>
      <c t="s">
        <v>22490</v>
      </c>
      <c t="s">
        <v>58699</v>
      </c>
      <c t="s">
        <v>36865</v>
      </c>
      <c r="X3730" t="s">
        <v>3781</v>
      </c>
      <c t="s">
        <v>55273</v>
      </c>
      <c t="s">
        <v>2517</v>
      </c>
      <c t="s">
        <v>39289</v>
      </c>
      <c>
        <v>33909</v>
      </c>
      <c>
        <v>33909</v>
      </c>
      <c t="s">
        <v>48794</v>
      </c>
      <c t="s">
        <v>32034</v>
      </c>
      <c>
        <v>422</v>
      </c>
      <c r="AH3730" t="s">
        <v>26580</v>
      </c>
      <c t="s">
        <v>47150</v>
      </c>
      <c t="s">
        <v>24900</v>
      </c>
      <c r="AL3730" t="s">
        <v>12577</v>
      </c>
      <c t="s">
        <v>23609</v>
      </c>
      <c t="s">
        <v>50829</v>
      </c>
      <c t="s">
        <v>2685</v>
      </c>
      <c t="s">
        <v>44843</v>
      </c>
      <c t="s">
        <v>3093</v>
      </c>
      <c t="s">
        <v>28274</v>
      </c>
    </row>
    <row>
      <c t="s">
        <v>17594</v>
      </c>
      <c t="s">
        <v>53546</v>
      </c>
      <c t="s">
        <v>27635</v>
      </c>
      <c t="s">
        <v>17342</v>
      </c>
      <c t="s">
        <v>46928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731" s="1" t="str">
        <f ca="1">HYPERLINK("https://web.datatree.com/?/property?propertyId=33407625", "https://web.datatree.com/?/property?propertyId=33407625")</f>
        <v>https://web.datatree.com/?/property?propertyId=33407625</v>
      </c>
      <c r="Q3731" t="s">
        <v>316</v>
      </c>
      <c>
        <v>0.23</v>
      </c>
      <c t="s">
        <v>22490</v>
      </c>
      <c t="s">
        <v>56684</v>
      </c>
      <c t="s">
        <v>46481</v>
      </c>
      <c t="s">
        <v>4868</v>
      </c>
      <c t="s">
        <v>46481</v>
      </c>
      <c t="s">
        <v>63565</v>
      </c>
      <c t="s">
        <v>57064</v>
      </c>
      <c t="s">
        <v>2517</v>
      </c>
      <c t="s">
        <v>39289</v>
      </c>
      <c>
        <v>33909</v>
      </c>
      <c t="s">
        <v>33252</v>
      </c>
      <c t="s">
        <v>48794</v>
      </c>
      <c t="s">
        <v>23583</v>
      </c>
      <c>
        <v>11615</v>
      </c>
      <c r="AI3731" t="s">
        <v>49148</v>
      </c>
      <c t="s">
        <v>31192</v>
      </c>
      <c r="AL3731" t="s">
        <v>36080</v>
      </c>
      <c r="AN3731" t="s">
        <v>39289</v>
      </c>
      <c t="s">
        <v>59061</v>
      </c>
      <c t="s">
        <v>51114</v>
      </c>
      <c t="s">
        <v>3093</v>
      </c>
      <c t="s">
        <v>13673</v>
      </c>
    </row>
    <row>
      <c t="s">
        <v>17594</v>
      </c>
      <c t="s">
        <v>34680</v>
      </c>
      <c t="s">
        <v>7147</v>
      </c>
      <c t="s">
        <v>22590</v>
      </c>
      <c t="s">
        <v>52818</v>
      </c>
      <c s="3">
        <v>138237</v>
      </c>
      <c s="3">
        <v>138237</v>
      </c>
      <c s="3">
        <v>100238</v>
      </c>
      <c>
        <v>0</v>
      </c>
      <c s="3">
        <v>0</v>
      </c>
      <c s="3">
        <v>1586.62</v>
      </c>
      <c s="3">
        <v>138237</v>
      </c>
      <c>
        <v>2021</v>
      </c>
      <c>
        <v>1358.29</v>
      </c>
      <c s="1" t="str">
        <f ca="1">HYPERLINK("https://web.datatree.com/?/property?propertyId=33407912", "https://web.datatree.com/?/property?propertyId=33407912")</f>
        <v>https://web.datatree.com/?/property?propertyId=33407912</v>
      </c>
      <c r="Q3732" t="s">
        <v>316</v>
      </c>
      <c>
        <v>0.81</v>
      </c>
      <c t="s">
        <v>30497</v>
      </c>
      <c r="U3732" t="s">
        <v>2866</v>
      </c>
      <c r="W3732" t="s">
        <v>44080</v>
      </c>
      <c t="s">
        <v>38228</v>
      </c>
      <c t="s">
        <v>40437</v>
      </c>
      <c t="s">
        <v>65059</v>
      </c>
      <c t="s">
        <v>39289</v>
      </c>
      <c>
        <v>33908</v>
      </c>
      <c t="s">
        <v>28878</v>
      </c>
      <c t="s">
        <v>48794</v>
      </c>
      <c t="s">
        <v>10612</v>
      </c>
      <c>
        <v>9560</v>
      </c>
      <c r="AI3732" t="s">
        <v>66335</v>
      </c>
      <c t="s">
        <v>24900</v>
      </c>
      <c>
        <v>202</v>
      </c>
      <c t="s">
        <v>55393</v>
      </c>
      <c t="s">
        <v>461</v>
      </c>
      <c t="s">
        <v>39289</v>
      </c>
      <c t="s">
        <v>17685</v>
      </c>
      <c t="s">
        <v>28833</v>
      </c>
      <c t="s">
        <v>3093</v>
      </c>
      <c t="s">
        <v>4673</v>
      </c>
    </row>
    <row>
      <c t="s">
        <v>17594</v>
      </c>
      <c t="s">
        <v>48076</v>
      </c>
      <c t="s">
        <v>12386</v>
      </c>
      <c t="s">
        <v>1219</v>
      </c>
      <c t="s">
        <v>54311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733" s="1" t="str">
        <f ca="1">HYPERLINK("https://web.datatree.com/?/property?propertyId=33408135", "https://web.datatree.com/?/property?propertyId=33408135")</f>
        <v>https://web.datatree.com/?/property?propertyId=33408135</v>
      </c>
      <c r="Q3733" t="s">
        <v>316</v>
      </c>
      <c>
        <v>0.23</v>
      </c>
      <c t="s">
        <v>42044</v>
      </c>
      <c r="U3733" t="s">
        <v>12767</v>
      </c>
      <c r="W3733" t="s">
        <v>38837</v>
      </c>
      <c t="s">
        <v>3416</v>
      </c>
      <c t="s">
        <v>7113</v>
      </c>
      <c t="s">
        <v>2517</v>
      </c>
      <c t="s">
        <v>39289</v>
      </c>
      <c>
        <v>33909</v>
      </c>
      <c t="s">
        <v>7028</v>
      </c>
      <c t="s">
        <v>48794</v>
      </c>
      <c t="s">
        <v>32816</v>
      </c>
      <c>
        <v>720</v>
      </c>
      <c r="AH3733" t="s">
        <v>52165</v>
      </c>
      <c t="s">
        <v>17022</v>
      </c>
      <c t="s">
        <v>45393</v>
      </c>
      <c r="AL3733" t="s">
        <v>11713</v>
      </c>
      <c r="AN3733" t="s">
        <v>39289</v>
      </c>
      <c t="s">
        <v>41807</v>
      </c>
      <c t="s">
        <v>326</v>
      </c>
      <c t="s">
        <v>3093</v>
      </c>
      <c t="s">
        <v>54495</v>
      </c>
    </row>
    <row>
      <c t="s">
        <v>17594</v>
      </c>
      <c t="s">
        <v>18886</v>
      </c>
      <c t="s">
        <v>11557</v>
      </c>
      <c t="s">
        <v>36539</v>
      </c>
      <c t="s">
        <v>45811</v>
      </c>
      <c s="3">
        <v>539392</v>
      </c>
      <c s="3">
        <v>535066</v>
      </c>
      <c s="3">
        <v>266559</v>
      </c>
      <c>
        <v>0</v>
      </c>
      <c s="3">
        <v>0</v>
      </c>
      <c s="3">
        <v>4772.91</v>
      </c>
      <c s="3">
        <v>539392</v>
      </c>
      <c r="O3734" s="1" t="str">
        <f ca="1">HYPERLINK("https://web.datatree.com/?/property?propertyId=33408855", "https://web.datatree.com/?/property?propertyId=33408855")</f>
        <v>https://web.datatree.com/?/property?propertyId=33408855</v>
      </c>
      <c r="Q3734" t="s">
        <v>316</v>
      </c>
      <c>
        <v>0.23</v>
      </c>
      <c t="s">
        <v>22490</v>
      </c>
      <c t="s">
        <v>54158</v>
      </c>
      <c t="s">
        <v>41128</v>
      </c>
      <c t="s">
        <v>67269</v>
      </c>
      <c r="X3734" t="s">
        <v>42330</v>
      </c>
      <c t="s">
        <v>60565</v>
      </c>
      <c t="s">
        <v>2517</v>
      </c>
      <c t="s">
        <v>39289</v>
      </c>
      <c>
        <v>33904</v>
      </c>
      <c t="s">
        <v>27930</v>
      </c>
      <c t="s">
        <v>48794</v>
      </c>
      <c t="s">
        <v>41273</v>
      </c>
      <c>
        <v>39377</v>
      </c>
      <c r="AI3734" t="s">
        <v>56735</v>
      </c>
      <c t="s">
        <v>55842</v>
      </c>
      <c r="AL3734" t="s">
        <v>17296</v>
      </c>
      <c r="AN3734" t="s">
        <v>51137</v>
      </c>
      <c t="s">
        <v>14903</v>
      </c>
      <c t="s">
        <v>4797</v>
      </c>
      <c t="s">
        <v>3093</v>
      </c>
      <c t="s">
        <v>49026</v>
      </c>
    </row>
    <row>
      <c t="s">
        <v>42103</v>
      </c>
      <c t="s">
        <v>16205</v>
      </c>
      <c t="s">
        <v>37581</v>
      </c>
      <c t="s">
        <v>20534</v>
      </c>
      <c t="s">
        <v>13558</v>
      </c>
      <c s="3">
        <v>131946</v>
      </c>
      <c s="3">
        <v>131946</v>
      </c>
      <c s="3">
        <v>66965</v>
      </c>
      <c>
        <v>0</v>
      </c>
      <c s="3">
        <v>0</v>
      </c>
      <c s="3">
        <v>1863.41</v>
      </c>
      <c s="3">
        <v>131946</v>
      </c>
      <c r="O3735" s="1" t="str">
        <f ca="1">HYPERLINK("https://web.datatree.com/?/property?propertyId=33409048", "https://web.datatree.com/?/property?propertyId=33409048")</f>
        <v>https://web.datatree.com/?/property?propertyId=33409048</v>
      </c>
      <c r="Q3735" t="s">
        <v>316</v>
      </c>
      <c>
        <v>0.266</v>
      </c>
      <c t="s">
        <v>22490</v>
      </c>
      <c t="s">
        <v>15812</v>
      </c>
      <c t="s">
        <v>55130</v>
      </c>
      <c t="s">
        <v>58380</v>
      </c>
      <c t="s">
        <v>55130</v>
      </c>
      <c t="s">
        <v>36446</v>
      </c>
      <c t="s">
        <v>57064</v>
      </c>
      <c t="s">
        <v>2517</v>
      </c>
      <c t="s">
        <v>39289</v>
      </c>
      <c>
        <v>33904</v>
      </c>
      <c t="s">
        <v>52645</v>
      </c>
      <c t="s">
        <v>48794</v>
      </c>
      <c t="s">
        <v>50335</v>
      </c>
      <c r="AI3735" t="s">
        <v>52104</v>
      </c>
      <c r="AL3735" t="s">
        <v>64776</v>
      </c>
      <c t="s">
        <v>8253</v>
      </c>
      <c t="s">
        <v>36633</v>
      </c>
      <c>
        <v>25530</v>
      </c>
      <c t="s">
        <v>39363</v>
      </c>
      <c t="s">
        <v>3093</v>
      </c>
      <c t="s">
        <v>39461</v>
      </c>
    </row>
    <row>
      <c t="s">
        <v>17594</v>
      </c>
      <c t="s">
        <v>53434</v>
      </c>
      <c t="s">
        <v>29593</v>
      </c>
      <c t="s">
        <v>41038</v>
      </c>
      <c t="s">
        <v>46812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3736" s="1" t="str">
        <f ca="1">HYPERLINK("https://web.datatree.com/?/property?propertyId=33410784", "https://web.datatree.com/?/property?propertyId=33410784")</f>
        <v>https://web.datatree.com/?/property?propertyId=33410784</v>
      </c>
      <c r="Q3736" t="s">
        <v>316</v>
      </c>
      <c>
        <v>0.228</v>
      </c>
      <c t="s">
        <v>6175</v>
      </c>
      <c t="s">
        <v>21187</v>
      </c>
      <c t="s">
        <v>6791</v>
      </c>
      <c r="W3736" t="s">
        <v>16947</v>
      </c>
      <c t="s">
        <v>42077</v>
      </c>
      <c t="s">
        <v>371</v>
      </c>
      <c t="s">
        <v>2517</v>
      </c>
      <c t="s">
        <v>39289</v>
      </c>
      <c>
        <v>33909</v>
      </c>
      <c t="s">
        <v>62186</v>
      </c>
      <c t="s">
        <v>48794</v>
      </c>
      <c t="s">
        <v>37343</v>
      </c>
      <c>
        <v>718</v>
      </c>
      <c r="AH3736" t="s">
        <v>60953</v>
      </c>
      <c t="s">
        <v>30230</v>
      </c>
      <c t="s">
        <v>45393</v>
      </c>
      <c r="AL3736" t="s">
        <v>6148</v>
      </c>
      <c t="s">
        <v>6148</v>
      </c>
      <c t="s">
        <v>50829</v>
      </c>
      <c t="s">
        <v>44099</v>
      </c>
      <c t="s">
        <v>62845</v>
      </c>
      <c t="s">
        <v>3093</v>
      </c>
      <c t="s">
        <v>57839</v>
      </c>
    </row>
    <row>
      <c t="s">
        <v>17594</v>
      </c>
      <c t="s">
        <v>58216</v>
      </c>
      <c t="s">
        <v>16781</v>
      </c>
      <c t="s">
        <v>335</v>
      </c>
      <c t="s">
        <v>41249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3737" s="1" t="str">
        <f ca="1">HYPERLINK("https://web.datatree.com/?/property?propertyId=33410816", "https://web.datatree.com/?/property?propertyId=33410816")</f>
        <v>https://web.datatree.com/?/property?propertyId=33410816</v>
      </c>
      <c r="Q3737" t="s">
        <v>316</v>
      </c>
      <c>
        <v>0.23</v>
      </c>
      <c t="s">
        <v>22490</v>
      </c>
      <c t="s">
        <v>1904</v>
      </c>
      <c t="s">
        <v>2104</v>
      </c>
      <c r="X3737" t="s">
        <v>53903</v>
      </c>
      <c t="s">
        <v>38550</v>
      </c>
      <c t="s">
        <v>2517</v>
      </c>
      <c t="s">
        <v>39289</v>
      </c>
      <c>
        <v>33909</v>
      </c>
      <c t="s">
        <v>32369</v>
      </c>
      <c t="s">
        <v>48794</v>
      </c>
      <c t="s">
        <v>9483</v>
      </c>
      <c>
        <v>2852</v>
      </c>
      <c r="AI3737" t="s">
        <v>6107</v>
      </c>
      <c t="s">
        <v>31192</v>
      </c>
      <c r="AL3737" t="s">
        <v>50455</v>
      </c>
      <c r="AN3737" t="s">
        <v>27222</v>
      </c>
      <c>
        <v>89044</v>
      </c>
      <c t="s">
        <v>2355</v>
      </c>
      <c t="s">
        <v>3093</v>
      </c>
      <c t="s">
        <v>35064</v>
      </c>
    </row>
    <row>
      <c t="s">
        <v>17594</v>
      </c>
      <c t="s">
        <v>55814</v>
      </c>
      <c t="s">
        <v>33939</v>
      </c>
      <c t="s">
        <v>30787</v>
      </c>
      <c t="s">
        <v>61503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3738" s="1" t="str">
        <f ca="1">HYPERLINK("https://web.datatree.com/?/property?propertyId=33410837", "https://web.datatree.com/?/property?propertyId=33410837")</f>
        <v>https://web.datatree.com/?/property?propertyId=33410837</v>
      </c>
      <c r="Q3738" t="s">
        <v>316</v>
      </c>
      <c>
        <v>0.255</v>
      </c>
      <c t="s">
        <v>6175</v>
      </c>
      <c t="s">
        <v>52057</v>
      </c>
      <c t="s">
        <v>12782</v>
      </c>
      <c t="s">
        <v>13181</v>
      </c>
      <c t="s">
        <v>42466</v>
      </c>
      <c t="s">
        <v>8903</v>
      </c>
      <c t="s">
        <v>34731</v>
      </c>
      <c t="s">
        <v>2517</v>
      </c>
      <c t="s">
        <v>39289</v>
      </c>
      <c>
        <v>33909</v>
      </c>
      <c t="s">
        <v>25729</v>
      </c>
      <c t="s">
        <v>48794</v>
      </c>
      <c t="s">
        <v>5512</v>
      </c>
      <c>
        <v>9028</v>
      </c>
      <c r="AI3738" t="s">
        <v>56492</v>
      </c>
      <c t="s">
        <v>41372</v>
      </c>
      <c r="AL3738" t="s">
        <v>55393</v>
      </c>
      <c t="s">
        <v>461</v>
      </c>
      <c t="s">
        <v>39289</v>
      </c>
      <c t="s">
        <v>66613</v>
      </c>
      <c t="s">
        <v>61564</v>
      </c>
      <c t="s">
        <v>3093</v>
      </c>
      <c t="s">
        <v>53234</v>
      </c>
    </row>
    <row>
      <c t="s">
        <v>17594</v>
      </c>
      <c t="s">
        <v>57517</v>
      </c>
      <c t="s">
        <v>57551</v>
      </c>
      <c t="s">
        <v>50387</v>
      </c>
      <c t="s">
        <v>23316</v>
      </c>
      <c s="3">
        <v>62400</v>
      </c>
      <c s="3">
        <v>62400</v>
      </c>
      <c s="3">
        <v>34320</v>
      </c>
      <c>
        <v>0</v>
      </c>
      <c s="3">
        <v>0</v>
      </c>
      <c s="3">
        <v>1383.45</v>
      </c>
      <c s="3">
        <v>62400</v>
      </c>
      <c r="O3739" s="1" t="str">
        <f ca="1">HYPERLINK("https://web.datatree.com/?/property?propertyId=33410867", "https://web.datatree.com/?/property?propertyId=33410867")</f>
        <v>https://web.datatree.com/?/property?propertyId=33410867</v>
      </c>
      <c r="Q3739" t="s">
        <v>316</v>
      </c>
      <c>
        <v>0.498</v>
      </c>
      <c t="s">
        <v>22490</v>
      </c>
      <c t="s">
        <v>22960</v>
      </c>
      <c t="s">
        <v>49200</v>
      </c>
      <c t="s">
        <v>2609</v>
      </c>
      <c t="s">
        <v>34217</v>
      </c>
      <c t="s">
        <v>21319</v>
      </c>
      <c t="s">
        <v>10653</v>
      </c>
      <c t="s">
        <v>2517</v>
      </c>
      <c t="s">
        <v>39289</v>
      </c>
      <c>
        <v>33909</v>
      </c>
      <c t="s">
        <v>23784</v>
      </c>
      <c t="s">
        <v>48794</v>
      </c>
      <c t="s">
        <v>23063</v>
      </c>
      <c>
        <v>1953</v>
      </c>
      <c r="AI3739" t="s">
        <v>43390</v>
      </c>
      <c t="s">
        <v>55842</v>
      </c>
      <c r="AL3739" t="s">
        <v>49170</v>
      </c>
      <c t="s">
        <v>49170</v>
      </c>
      <c t="s">
        <v>19878</v>
      </c>
      <c t="s">
        <v>90</v>
      </c>
      <c t="s">
        <v>65563</v>
      </c>
      <c t="s">
        <v>3093</v>
      </c>
      <c t="s">
        <v>31316</v>
      </c>
    </row>
    <row>
      <c t="s">
        <v>17594</v>
      </c>
      <c t="s">
        <v>52342</v>
      </c>
      <c t="s">
        <v>3931</v>
      </c>
      <c t="s">
        <v>26558</v>
      </c>
      <c t="s">
        <v>45902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3740" s="1" t="str">
        <f ca="1">HYPERLINK("https://web.datatree.com/?/property?propertyId=33411411", "https://web.datatree.com/?/property?propertyId=33411411")</f>
        <v>https://web.datatree.com/?/property?propertyId=33411411</v>
      </c>
      <c r="Q3740" t="s">
        <v>316</v>
      </c>
      <c>
        <v>0.23</v>
      </c>
      <c t="s">
        <v>22490</v>
      </c>
      <c r="U3740" t="s">
        <v>25562</v>
      </c>
      <c r="W3740" t="s">
        <v>26984</v>
      </c>
      <c t="s">
        <v>25882</v>
      </c>
      <c t="s">
        <v>39082</v>
      </c>
      <c t="s">
        <v>2517</v>
      </c>
      <c t="s">
        <v>39289</v>
      </c>
      <c>
        <v>33909</v>
      </c>
      <c t="s">
        <v>4680</v>
      </c>
      <c t="s">
        <v>48794</v>
      </c>
      <c t="s">
        <v>1932</v>
      </c>
      <c>
        <v>15539</v>
      </c>
      <c r="AI3740" t="s">
        <v>47150</v>
      </c>
      <c t="s">
        <v>1671</v>
      </c>
      <c r="AL3740" t="s">
        <v>31478</v>
      </c>
      <c r="AN3740" t="s">
        <v>39289</v>
      </c>
      <c t="s">
        <v>11446</v>
      </c>
      <c t="s">
        <v>6928</v>
      </c>
      <c t="s">
        <v>3093</v>
      </c>
      <c t="s">
        <v>13880</v>
      </c>
    </row>
    <row>
      <c t="s">
        <v>17594</v>
      </c>
      <c t="s">
        <v>40089</v>
      </c>
      <c t="s">
        <v>16138</v>
      </c>
      <c t="s">
        <v>32218</v>
      </c>
      <c t="s">
        <v>64195</v>
      </c>
      <c s="3">
        <v>17662</v>
      </c>
      <c s="3">
        <v>17662</v>
      </c>
      <c s="3">
        <v>8470</v>
      </c>
      <c>
        <v>0</v>
      </c>
      <c s="3">
        <v>0</v>
      </c>
      <c s="3">
        <v>579.01</v>
      </c>
      <c s="3">
        <v>17662</v>
      </c>
      <c r="O3741" s="1" t="str">
        <f ca="1">HYPERLINK("https://web.datatree.com/?/property?propertyId=33412244", "https://web.datatree.com/?/property?propertyId=33412244")</f>
        <v>https://web.datatree.com/?/property?propertyId=33412244</v>
      </c>
      <c r="Q3741" t="s">
        <v>316</v>
      </c>
      <c>
        <v>0.259</v>
      </c>
      <c t="s">
        <v>6175</v>
      </c>
      <c r="U3741" t="s">
        <v>65968</v>
      </c>
      <c t="s">
        <v>55653</v>
      </c>
      <c t="s">
        <v>32668</v>
      </c>
      <c t="s">
        <v>61401</v>
      </c>
      <c t="s">
        <v>29190</v>
      </c>
      <c t="s">
        <v>2517</v>
      </c>
      <c t="s">
        <v>39289</v>
      </c>
      <c>
        <v>33909</v>
      </c>
      <c t="s">
        <v>17947</v>
      </c>
      <c t="s">
        <v>48794</v>
      </c>
      <c t="s">
        <v>3997</v>
      </c>
      <c>
        <v>19808</v>
      </c>
      <c r="AI3741" t="s">
        <v>1233</v>
      </c>
      <c t="s">
        <v>24900</v>
      </c>
      <c r="AL3741" t="s">
        <v>29515</v>
      </c>
      <c r="AN3741" t="s">
        <v>39289</v>
      </c>
      <c t="s">
        <v>65948</v>
      </c>
      <c t="s">
        <v>15968</v>
      </c>
      <c t="s">
        <v>3093</v>
      </c>
      <c t="s">
        <v>2049</v>
      </c>
    </row>
    <row>
      <c t="s">
        <v>17594</v>
      </c>
      <c t="s">
        <v>49373</v>
      </c>
      <c t="s">
        <v>21741</v>
      </c>
      <c t="s">
        <v>33389</v>
      </c>
      <c t="s">
        <v>21401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742" s="1" t="str">
        <f ca="1">HYPERLINK("https://web.datatree.com/?/property?propertyId=33412375", "https://web.datatree.com/?/property?propertyId=33412375")</f>
        <v>https://web.datatree.com/?/property?propertyId=33412375</v>
      </c>
      <c r="Q3742" t="s">
        <v>316</v>
      </c>
      <c>
        <v>0.23</v>
      </c>
      <c t="s">
        <v>22490</v>
      </c>
      <c t="s">
        <v>41320</v>
      </c>
      <c t="s">
        <v>28670</v>
      </c>
      <c t="s">
        <v>25010</v>
      </c>
      <c t="s">
        <v>34217</v>
      </c>
      <c t="s">
        <v>42476</v>
      </c>
      <c t="s">
        <v>49674</v>
      </c>
      <c t="s">
        <v>2517</v>
      </c>
      <c t="s">
        <v>39289</v>
      </c>
      <c>
        <v>33909</v>
      </c>
      <c t="s">
        <v>49443</v>
      </c>
      <c t="s">
        <v>48794</v>
      </c>
      <c t="s">
        <v>11903</v>
      </c>
      <c>
        <v>7410</v>
      </c>
      <c r="AI3742" t="s">
        <v>17003</v>
      </c>
      <c t="s">
        <v>31192</v>
      </c>
      <c r="AL3742" t="s">
        <v>1999</v>
      </c>
      <c t="s">
        <v>1999</v>
      </c>
      <c t="s">
        <v>26443</v>
      </c>
      <c t="s">
        <v>66957</v>
      </c>
      <c t="s">
        <v>18692</v>
      </c>
      <c t="s">
        <v>3093</v>
      </c>
      <c t="s">
        <v>25666</v>
      </c>
    </row>
    <row>
      <c t="s">
        <v>17594</v>
      </c>
      <c t="s">
        <v>45625</v>
      </c>
      <c t="s">
        <v>26891</v>
      </c>
      <c t="s">
        <v>51243</v>
      </c>
      <c t="s">
        <v>31385</v>
      </c>
      <c s="3">
        <v>18361</v>
      </c>
      <c s="3">
        <v>18361</v>
      </c>
      <c s="3">
        <v>9130</v>
      </c>
      <c>
        <v>0</v>
      </c>
      <c s="3">
        <v>0</v>
      </c>
      <c s="3">
        <v>581.68</v>
      </c>
      <c s="3">
        <v>18361</v>
      </c>
      <c r="O3743" s="1" t="str">
        <f ca="1">HYPERLINK("https://web.datatree.com/?/property?propertyId=33413070", "https://web.datatree.com/?/property?propertyId=33413070")</f>
        <v>https://web.datatree.com/?/property?propertyId=33413070</v>
      </c>
      <c r="Q3743" t="s">
        <v>316</v>
      </c>
      <c>
        <v>0.23</v>
      </c>
      <c t="s">
        <v>22490</v>
      </c>
      <c t="s">
        <v>25238</v>
      </c>
      <c t="s">
        <v>36204</v>
      </c>
      <c r="X3743" t="s">
        <v>6574</v>
      </c>
      <c t="s">
        <v>55273</v>
      </c>
      <c t="s">
        <v>2517</v>
      </c>
      <c t="s">
        <v>39289</v>
      </c>
      <c>
        <v>33909</v>
      </c>
      <c t="s">
        <v>55689</v>
      </c>
      <c t="s">
        <v>48794</v>
      </c>
      <c t="s">
        <v>21326</v>
      </c>
      <c>
        <v>5314</v>
      </c>
      <c r="AI3743" t="s">
        <v>55282</v>
      </c>
      <c t="s">
        <v>55842</v>
      </c>
      <c r="AL3743" t="s">
        <v>14512</v>
      </c>
      <c r="AN3743" t="s">
        <v>66651</v>
      </c>
      <c t="s">
        <v>23109</v>
      </c>
      <c t="s">
        <v>50779</v>
      </c>
      <c t="s">
        <v>3093</v>
      </c>
      <c t="s">
        <v>50155</v>
      </c>
    </row>
    <row>
      <c t="s">
        <v>17594</v>
      </c>
      <c t="s">
        <v>58810</v>
      </c>
      <c t="s">
        <v>13686</v>
      </c>
      <c t="s">
        <v>3113</v>
      </c>
      <c t="s">
        <v>29034</v>
      </c>
      <c s="3">
        <v>41248</v>
      </c>
      <c s="3">
        <v>41248</v>
      </c>
      <c s="3">
        <v>29476</v>
      </c>
      <c>
        <v>0</v>
      </c>
      <c s="3">
        <v>0</v>
      </c>
      <c s="3">
        <v>966.01</v>
      </c>
      <c s="3">
        <v>41248</v>
      </c>
      <c>
        <v>2021</v>
      </c>
      <c>
        <v>939.39</v>
      </c>
      <c s="1" t="str">
        <f ca="1">HYPERLINK("https://web.datatree.com/?/property?propertyId=33413123", "https://web.datatree.com/?/property?propertyId=33413123")</f>
        <v>https://web.datatree.com/?/property?propertyId=33413123</v>
      </c>
      <c r="Q3744" t="s">
        <v>316</v>
      </c>
      <c>
        <v>0.23</v>
      </c>
      <c t="s">
        <v>22490</v>
      </c>
      <c t="s">
        <v>44541</v>
      </c>
      <c t="s">
        <v>1120</v>
      </c>
      <c t="s">
        <v>58827</v>
      </c>
      <c t="s">
        <v>1120</v>
      </c>
      <c t="s">
        <v>34745</v>
      </c>
      <c t="s">
        <v>34731</v>
      </c>
      <c t="s">
        <v>2517</v>
      </c>
      <c t="s">
        <v>39289</v>
      </c>
      <c>
        <v>33909</v>
      </c>
      <c t="s">
        <v>54515</v>
      </c>
      <c t="s">
        <v>48794</v>
      </c>
      <c t="s">
        <v>64348</v>
      </c>
      <c>
        <v>8</v>
      </c>
      <c r="AI3744" t="s">
        <v>41862</v>
      </c>
      <c t="s">
        <v>40123</v>
      </c>
      <c r="AL3744" t="s">
        <v>21446</v>
      </c>
      <c r="AN3744" t="s">
        <v>26016</v>
      </c>
      <c t="s">
        <v>5060</v>
      </c>
      <c t="s">
        <v>48506</v>
      </c>
      <c t="s">
        <v>3093</v>
      </c>
      <c t="s">
        <v>65420</v>
      </c>
    </row>
    <row>
      <c t="s">
        <v>17594</v>
      </c>
      <c t="s">
        <v>35020</v>
      </c>
      <c t="s">
        <v>14681</v>
      </c>
      <c t="s">
        <v>27956</v>
      </c>
      <c t="s">
        <v>31365</v>
      </c>
      <c s="3">
        <v>23506</v>
      </c>
      <c s="3">
        <v>23506</v>
      </c>
      <c s="3">
        <v>8674</v>
      </c>
      <c>
        <v>0</v>
      </c>
      <c s="3">
        <v>0</v>
      </c>
      <c s="3">
        <v>644.12</v>
      </c>
      <c s="3">
        <v>23506</v>
      </c>
      <c r="O3745" s="1" t="str">
        <f ca="1">HYPERLINK("https://web.datatree.com/?/property?propertyId=33413576", "https://web.datatree.com/?/property?propertyId=33413576")</f>
        <v>https://web.datatree.com/?/property?propertyId=33413576</v>
      </c>
      <c r="Q3745" t="s">
        <v>316</v>
      </c>
      <c>
        <v>0.316</v>
      </c>
      <c t="s">
        <v>22490</v>
      </c>
      <c t="s">
        <v>55572</v>
      </c>
      <c t="s">
        <v>4190</v>
      </c>
      <c r="X3745" t="s">
        <v>60635</v>
      </c>
      <c t="s">
        <v>39082</v>
      </c>
      <c t="s">
        <v>2517</v>
      </c>
      <c t="s">
        <v>39289</v>
      </c>
      <c>
        <v>33909</v>
      </c>
      <c t="s">
        <v>20733</v>
      </c>
      <c t="s">
        <v>48794</v>
      </c>
      <c t="s">
        <v>44333</v>
      </c>
      <c>
        <v>2307</v>
      </c>
      <c r="AI3745" t="s">
        <v>8507</v>
      </c>
      <c t="s">
        <v>45393</v>
      </c>
      <c t="s">
        <v>6163</v>
      </c>
      <c t="s">
        <v>29515</v>
      </c>
      <c r="AN3745" t="s">
        <v>39289</v>
      </c>
      <c t="s">
        <v>745</v>
      </c>
      <c t="s">
        <v>17246</v>
      </c>
      <c t="s">
        <v>3093</v>
      </c>
      <c t="s">
        <v>56838</v>
      </c>
    </row>
    <row>
      <c t="s">
        <v>17594</v>
      </c>
      <c t="s">
        <v>63158</v>
      </c>
      <c t="s">
        <v>47849</v>
      </c>
      <c t="s">
        <v>45326</v>
      </c>
      <c t="s">
        <v>5975</v>
      </c>
      <c s="3">
        <v>171089</v>
      </c>
      <c s="3">
        <v>171089</v>
      </c>
      <c s="3">
        <v>171089</v>
      </c>
      <c>
        <v>0</v>
      </c>
      <c s="3">
        <v>0</v>
      </c>
      <c s="3">
        <v>3115.92</v>
      </c>
      <c s="3">
        <v>171089</v>
      </c>
      <c r="O3746" s="1" t="str">
        <f ca="1">HYPERLINK("https://web.datatree.com/?/property?propertyId=33414417", "https://web.datatree.com/?/property?propertyId=33414417")</f>
        <v>https://web.datatree.com/?/property?propertyId=33414417</v>
      </c>
      <c r="Q3746" t="s">
        <v>316</v>
      </c>
      <c>
        <v>0.23</v>
      </c>
      <c t="s">
        <v>22490</v>
      </c>
      <c t="s">
        <v>45883</v>
      </c>
      <c t="s">
        <v>31476</v>
      </c>
      <c r="X3746" t="s">
        <v>63308</v>
      </c>
      <c t="s">
        <v>40043</v>
      </c>
      <c t="s">
        <v>2517</v>
      </c>
      <c t="s">
        <v>39289</v>
      </c>
      <c>
        <v>33904</v>
      </c>
      <c>
        <v>33904</v>
      </c>
      <c t="s">
        <v>48794</v>
      </c>
      <c t="s">
        <v>42667</v>
      </c>
      <c>
        <v>20870</v>
      </c>
      <c r="AI3746" t="s">
        <v>41947</v>
      </c>
      <c t="s">
        <v>31192</v>
      </c>
      <c r="AL3746" t="s">
        <v>34463</v>
      </c>
      <c r="AN3746" t="s">
        <v>49572</v>
      </c>
      <c t="s">
        <v>18112</v>
      </c>
      <c t="s">
        <v>10634</v>
      </c>
      <c t="s">
        <v>3093</v>
      </c>
      <c t="s">
        <v>55346</v>
      </c>
    </row>
    <row>
      <c t="s">
        <v>17594</v>
      </c>
      <c t="s">
        <v>40736</v>
      </c>
      <c t="s">
        <v>13394</v>
      </c>
      <c t="s">
        <v>426</v>
      </c>
      <c t="s">
        <v>58846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3747" s="1" t="str">
        <f ca="1">HYPERLINK("https://web.datatree.com/?/property?propertyId=33414848", "https://web.datatree.com/?/property?propertyId=33414848")</f>
        <v>https://web.datatree.com/?/property?propertyId=33414848</v>
      </c>
      <c r="Q3747" t="s">
        <v>316</v>
      </c>
      <c>
        <v>0.23</v>
      </c>
      <c t="s">
        <v>22490</v>
      </c>
      <c t="s">
        <v>33698</v>
      </c>
      <c t="s">
        <v>53486</v>
      </c>
      <c r="X3747" t="s">
        <v>8274</v>
      </c>
      <c t="s">
        <v>49122</v>
      </c>
      <c t="s">
        <v>2517</v>
      </c>
      <c t="s">
        <v>39289</v>
      </c>
      <c>
        <v>33909</v>
      </c>
      <c t="s">
        <v>447</v>
      </c>
      <c t="s">
        <v>48794</v>
      </c>
      <c t="s">
        <v>66188</v>
      </c>
      <c>
        <v>7502</v>
      </c>
      <c r="AI3747" t="s">
        <v>25512</v>
      </c>
      <c t="s">
        <v>40123</v>
      </c>
      <c r="AL3747" t="s">
        <v>14095</v>
      </c>
      <c t="s">
        <v>14095</v>
      </c>
      <c t="s">
        <v>51087</v>
      </c>
      <c t="s">
        <v>8968</v>
      </c>
      <c t="s">
        <v>66620</v>
      </c>
      <c t="s">
        <v>3093</v>
      </c>
      <c t="s">
        <v>40829</v>
      </c>
    </row>
    <row>
      <c t="s">
        <v>17594</v>
      </c>
      <c t="s">
        <v>26426</v>
      </c>
      <c t="s">
        <v>48782</v>
      </c>
      <c t="s">
        <v>53802</v>
      </c>
      <c t="s">
        <v>24136</v>
      </c>
      <c s="3">
        <v>19200</v>
      </c>
      <c s="3">
        <v>19200</v>
      </c>
      <c s="3">
        <v>9130</v>
      </c>
      <c>
        <v>0</v>
      </c>
      <c s="3">
        <v>0</v>
      </c>
      <c s="3">
        <v>585.72</v>
      </c>
      <c s="3">
        <v>19200</v>
      </c>
      <c r="O3748" s="1" t="str">
        <f ca="1">HYPERLINK("https://web.datatree.com/?/property?propertyId=33415158", "https://web.datatree.com/?/property?propertyId=33415158")</f>
        <v>https://web.datatree.com/?/property?propertyId=33415158</v>
      </c>
      <c r="Q3748" t="s">
        <v>316</v>
      </c>
      <c>
        <v>0.244</v>
      </c>
      <c t="s">
        <v>45031</v>
      </c>
      <c t="s">
        <v>21379</v>
      </c>
      <c t="s">
        <v>12523</v>
      </c>
      <c r="X3748" t="s">
        <v>21300</v>
      </c>
      <c t="s">
        <v>22731</v>
      </c>
      <c t="s">
        <v>2517</v>
      </c>
      <c t="s">
        <v>39289</v>
      </c>
      <c>
        <v>33909</v>
      </c>
      <c t="s">
        <v>53291</v>
      </c>
      <c t="s">
        <v>48794</v>
      </c>
      <c t="s">
        <v>44894</v>
      </c>
      <c>
        <v>4756</v>
      </c>
      <c r="AI3748" t="s">
        <v>53324</v>
      </c>
      <c t="s">
        <v>63316</v>
      </c>
      <c r="AL3748" t="s">
        <v>31478</v>
      </c>
      <c r="AN3748" t="s">
        <v>39289</v>
      </c>
      <c t="s">
        <v>33169</v>
      </c>
      <c t="s">
        <v>39073</v>
      </c>
      <c t="s">
        <v>3093</v>
      </c>
      <c t="s">
        <v>48821</v>
      </c>
    </row>
    <row>
      <c t="s">
        <v>42103</v>
      </c>
      <c t="s">
        <v>45256</v>
      </c>
      <c t="s">
        <v>55055</v>
      </c>
      <c t="s">
        <v>18498</v>
      </c>
      <c t="s">
        <v>33495</v>
      </c>
      <c s="3">
        <v>166059</v>
      </c>
      <c s="3">
        <v>166059</v>
      </c>
      <c s="3">
        <v>166059</v>
      </c>
      <c>
        <v>0</v>
      </c>
      <c s="3">
        <v>0</v>
      </c>
      <c s="3">
        <v>2585.01</v>
      </c>
      <c s="3">
        <v>166059</v>
      </c>
      <c r="O3749" s="1" t="str">
        <f ca="1">HYPERLINK("https://web.datatree.com/?/property?propertyId=33415213", "https://web.datatree.com/?/property?propertyId=33415213")</f>
        <v>https://web.datatree.com/?/property?propertyId=33415213</v>
      </c>
      <c r="Q3749" t="s">
        <v>316</v>
      </c>
      <c>
        <v>0.489</v>
      </c>
      <c t="s">
        <v>5471</v>
      </c>
      <c r="U3749" t="s">
        <v>34006</v>
      </c>
      <c r="W3749" t="s">
        <v>20737</v>
      </c>
      <c t="s">
        <v>35855</v>
      </c>
      <c t="s">
        <v>35789</v>
      </c>
      <c t="s">
        <v>65059</v>
      </c>
      <c t="s">
        <v>39289</v>
      </c>
      <c>
        <v>33905</v>
      </c>
      <c>
        <v>33905</v>
      </c>
      <c t="s">
        <v>48794</v>
      </c>
      <c t="s">
        <v>33380</v>
      </c>
      <c r="AI3749" t="s">
        <v>8256</v>
      </c>
      <c r="AL3749" t="s">
        <v>11713</v>
      </c>
      <c t="s">
        <v>40227</v>
      </c>
      <c t="s">
        <v>39289</v>
      </c>
      <c t="s">
        <v>37117</v>
      </c>
      <c t="s">
        <v>27370</v>
      </c>
      <c t="s">
        <v>3093</v>
      </c>
      <c t="s">
        <v>41189</v>
      </c>
    </row>
    <row>
      <c t="s">
        <v>17594</v>
      </c>
      <c t="s">
        <v>7283</v>
      </c>
      <c t="s">
        <v>56893</v>
      </c>
      <c t="s">
        <v>59845</v>
      </c>
      <c t="s">
        <v>35193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3750" s="1" t="str">
        <f ca="1">HYPERLINK("https://web.datatree.com/?/property?propertyId=33415290", "https://web.datatree.com/?/property?propertyId=33415290")</f>
        <v>https://web.datatree.com/?/property?propertyId=33415290</v>
      </c>
      <c r="Q3750" t="s">
        <v>316</v>
      </c>
      <c>
        <v>0.23</v>
      </c>
      <c t="s">
        <v>22490</v>
      </c>
      <c t="s">
        <v>43371</v>
      </c>
      <c t="s">
        <v>41267</v>
      </c>
      <c r="W3750" t="s">
        <v>10109</v>
      </c>
      <c t="s">
        <v>32685</v>
      </c>
      <c t="s">
        <v>47150</v>
      </c>
      <c t="s">
        <v>2517</v>
      </c>
      <c t="s">
        <v>39289</v>
      </c>
      <c>
        <v>33909</v>
      </c>
      <c t="s">
        <v>10082</v>
      </c>
      <c t="s">
        <v>48794</v>
      </c>
      <c t="s">
        <v>26290</v>
      </c>
      <c>
        <v>1126</v>
      </c>
      <c r="AI3750" t="s">
        <v>64474</v>
      </c>
      <c t="s">
        <v>45393</v>
      </c>
      <c r="AL3750" t="s">
        <v>39366</v>
      </c>
      <c t="s">
        <v>39366</v>
      </c>
      <c t="s">
        <v>43132</v>
      </c>
      <c t="s">
        <v>40828</v>
      </c>
      <c t="s">
        <v>51249</v>
      </c>
      <c t="s">
        <v>3093</v>
      </c>
      <c t="s">
        <v>47254</v>
      </c>
    </row>
    <row>
      <c t="s">
        <v>17594</v>
      </c>
      <c t="s">
        <v>30993</v>
      </c>
      <c t="s">
        <v>50643</v>
      </c>
      <c t="s">
        <v>26300</v>
      </c>
      <c t="s">
        <v>1714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751" s="1" t="str">
        <f ca="1">HYPERLINK("https://web.datatree.com/?/property?propertyId=33415857", "https://web.datatree.com/?/property?propertyId=33415857")</f>
        <v>https://web.datatree.com/?/property?propertyId=33415857</v>
      </c>
      <c r="Q3751" t="s">
        <v>316</v>
      </c>
      <c>
        <v>0.245</v>
      </c>
      <c t="s">
        <v>5471</v>
      </c>
      <c t="s">
        <v>66817</v>
      </c>
      <c t="s">
        <v>46648</v>
      </c>
      <c t="s">
        <v>24864</v>
      </c>
      <c t="s">
        <v>46648</v>
      </c>
      <c t="s">
        <v>8627</v>
      </c>
      <c t="s">
        <v>58047</v>
      </c>
      <c t="s">
        <v>65059</v>
      </c>
      <c t="s">
        <v>39289</v>
      </c>
      <c>
        <v>33905</v>
      </c>
      <c t="s">
        <v>31432</v>
      </c>
      <c t="s">
        <v>48794</v>
      </c>
      <c t="s">
        <v>64994</v>
      </c>
      <c>
        <v>20532</v>
      </c>
      <c r="AI3751" t="s">
        <v>46601</v>
      </c>
      <c t="s">
        <v>24900</v>
      </c>
      <c r="AL3751" t="s">
        <v>55393</v>
      </c>
      <c r="AN3751" t="s">
        <v>39289</v>
      </c>
      <c t="s">
        <v>12788</v>
      </c>
      <c t="s">
        <v>33029</v>
      </c>
      <c t="s">
        <v>3093</v>
      </c>
      <c t="s">
        <v>5590</v>
      </c>
    </row>
    <row>
      <c t="s">
        <v>17594</v>
      </c>
      <c t="s">
        <v>21360</v>
      </c>
      <c t="s">
        <v>18843</v>
      </c>
      <c t="s">
        <v>28496</v>
      </c>
      <c t="s">
        <v>45345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3752" s="1" t="str">
        <f ca="1">HYPERLINK("https://web.datatree.com/?/property?propertyId=33416517", "https://web.datatree.com/?/property?propertyId=33416517")</f>
        <v>https://web.datatree.com/?/property?propertyId=33416517</v>
      </c>
      <c r="Q3752" t="s">
        <v>316</v>
      </c>
      <c>
        <v>0.237</v>
      </c>
      <c t="s">
        <v>22490</v>
      </c>
      <c t="s">
        <v>48664</v>
      </c>
      <c t="s">
        <v>9592</v>
      </c>
      <c r="X3752" t="s">
        <v>30479</v>
      </c>
      <c t="s">
        <v>39082</v>
      </c>
      <c t="s">
        <v>2517</v>
      </c>
      <c t="s">
        <v>39289</v>
      </c>
      <c>
        <v>33909</v>
      </c>
      <c t="s">
        <v>47718</v>
      </c>
      <c t="s">
        <v>48794</v>
      </c>
      <c t="s">
        <v>58471</v>
      </c>
      <c>
        <v>811</v>
      </c>
      <c r="AI3752" t="s">
        <v>17720</v>
      </c>
      <c t="s">
        <v>24900</v>
      </c>
      <c r="AL3752" t="s">
        <v>52174</v>
      </c>
      <c t="s">
        <v>52174</v>
      </c>
      <c t="s">
        <v>26016</v>
      </c>
      <c>
        <v>7078</v>
      </c>
      <c r="AQ3752" t="s">
        <v>3093</v>
      </c>
      <c t="s">
        <v>64447</v>
      </c>
    </row>
    <row>
      <c t="s">
        <v>17594</v>
      </c>
      <c t="s">
        <v>2100</v>
      </c>
      <c t="s">
        <v>6967</v>
      </c>
      <c t="s">
        <v>17735</v>
      </c>
      <c t="s">
        <v>11026</v>
      </c>
      <c s="3">
        <v>39142</v>
      </c>
      <c s="3">
        <v>38689</v>
      </c>
      <c s="3">
        <v>39142</v>
      </c>
      <c>
        <v>0</v>
      </c>
      <c s="3">
        <v>0</v>
      </c>
      <c s="3">
        <v>541.97</v>
      </c>
      <c s="3">
        <v>39142</v>
      </c>
      <c r="O3753" s="1" t="str">
        <f ca="1">HYPERLINK("https://web.datatree.com/?/property?propertyId=33416964", "https://web.datatree.com/?/property?propertyId=33416964")</f>
        <v>https://web.datatree.com/?/property?propertyId=33416964</v>
      </c>
      <c r="Q3753" t="s">
        <v>316</v>
      </c>
      <c>
        <v>0.046</v>
      </c>
      <c t="s">
        <v>54329</v>
      </c>
      <c t="s">
        <v>48545</v>
      </c>
      <c t="s">
        <v>47358</v>
      </c>
      <c t="s">
        <v>43826</v>
      </c>
      <c t="s">
        <v>47358</v>
      </c>
      <c t="s">
        <v>49593</v>
      </c>
      <c t="s">
        <v>32195</v>
      </c>
      <c t="s">
        <v>65059</v>
      </c>
      <c t="s">
        <v>39289</v>
      </c>
      <c>
        <v>33908</v>
      </c>
      <c>
        <v>33908</v>
      </c>
      <c t="s">
        <v>48794</v>
      </c>
      <c t="s">
        <v>21338</v>
      </c>
      <c>
        <v>9700</v>
      </c>
      <c r="AI3753" t="s">
        <v>51823</v>
      </c>
      <c r="AL3753" t="s">
        <v>42128</v>
      </c>
      <c r="AN3753" t="s">
        <v>19878</v>
      </c>
      <c t="s">
        <v>45588</v>
      </c>
      <c t="s">
        <v>58683</v>
      </c>
      <c t="s">
        <v>3093</v>
      </c>
      <c t="s">
        <v>40529</v>
      </c>
      <c>
        <v>1983</v>
      </c>
    </row>
    <row>
      <c t="s">
        <v>17594</v>
      </c>
      <c t="s">
        <v>1929</v>
      </c>
      <c t="s">
        <v>59235</v>
      </c>
      <c t="s">
        <v>3928</v>
      </c>
      <c t="s">
        <v>50111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3754" s="1" t="str">
        <f ca="1">HYPERLINK("https://web.datatree.com/?/property?propertyId=33417575", "https://web.datatree.com/?/property?propertyId=33417575")</f>
        <v>https://web.datatree.com/?/property?propertyId=33417575</v>
      </c>
      <c r="Q3754" t="s">
        <v>316</v>
      </c>
      <c>
        <v>0.255</v>
      </c>
      <c t="s">
        <v>6175</v>
      </c>
      <c t="s">
        <v>47754</v>
      </c>
      <c t="s">
        <v>12261</v>
      </c>
      <c t="s">
        <v>12915</v>
      </c>
      <c t="s">
        <v>12261</v>
      </c>
      <c t="s">
        <v>13721</v>
      </c>
      <c t="s">
        <v>34731</v>
      </c>
      <c t="s">
        <v>2517</v>
      </c>
      <c t="s">
        <v>39289</v>
      </c>
      <c>
        <v>33909</v>
      </c>
      <c t="s">
        <v>47203</v>
      </c>
      <c t="s">
        <v>48794</v>
      </c>
      <c t="s">
        <v>13236</v>
      </c>
      <c>
        <v>7988</v>
      </c>
      <c r="AI3754" t="s">
        <v>55155</v>
      </c>
      <c t="s">
        <v>45393</v>
      </c>
      <c r="AL3754" t="s">
        <v>29515</v>
      </c>
      <c r="AN3754" t="s">
        <v>39289</v>
      </c>
      <c t="s">
        <v>29291</v>
      </c>
      <c t="s">
        <v>7207</v>
      </c>
      <c t="s">
        <v>3093</v>
      </c>
      <c t="s">
        <v>67009</v>
      </c>
    </row>
    <row>
      <c t="s">
        <v>17594</v>
      </c>
      <c t="s">
        <v>19495</v>
      </c>
      <c t="s">
        <v>13231</v>
      </c>
      <c t="s">
        <v>10375</v>
      </c>
      <c t="s">
        <v>11624</v>
      </c>
      <c s="3">
        <v>23673</v>
      </c>
      <c s="3">
        <v>23673</v>
      </c>
      <c s="3">
        <v>23673</v>
      </c>
      <c>
        <v>0</v>
      </c>
      <c s="3">
        <v>0</v>
      </c>
      <c s="3">
        <v>752.42</v>
      </c>
      <c s="3">
        <v>23673</v>
      </c>
      <c r="O3755" s="1" t="str">
        <f ca="1">HYPERLINK("https://web.datatree.com/?/property?propertyId=33418339", "https://web.datatree.com/?/property?propertyId=33418339")</f>
        <v>https://web.datatree.com/?/property?propertyId=33418339</v>
      </c>
      <c r="Q3755" t="s">
        <v>316</v>
      </c>
      <c>
        <v>0.242</v>
      </c>
      <c t="s">
        <v>22490</v>
      </c>
      <c t="s">
        <v>24028</v>
      </c>
      <c t="s">
        <v>19406</v>
      </c>
      <c t="s">
        <v>47715</v>
      </c>
      <c t="s">
        <v>101</v>
      </c>
      <c t="s">
        <v>59756</v>
      </c>
      <c t="s">
        <v>41506</v>
      </c>
      <c t="s">
        <v>2517</v>
      </c>
      <c t="s">
        <v>39289</v>
      </c>
      <c>
        <v>33909</v>
      </c>
      <c t="s">
        <v>27549</v>
      </c>
      <c t="s">
        <v>48794</v>
      </c>
      <c t="s">
        <v>12050</v>
      </c>
      <c>
        <v>3300</v>
      </c>
      <c r="AI3755" t="s">
        <v>17676</v>
      </c>
      <c t="s">
        <v>45393</v>
      </c>
      <c>
        <v>1610</v>
      </c>
      <c t="s">
        <v>55393</v>
      </c>
      <c t="s">
        <v>45140</v>
      </c>
      <c t="s">
        <v>39289</v>
      </c>
      <c t="s">
        <v>10506</v>
      </c>
      <c t="s">
        <v>17380</v>
      </c>
      <c t="s">
        <v>3093</v>
      </c>
      <c t="s">
        <v>51887</v>
      </c>
    </row>
    <row>
      <c t="s">
        <v>17594</v>
      </c>
      <c t="s">
        <v>3686</v>
      </c>
      <c t="s">
        <v>46342</v>
      </c>
      <c t="s">
        <v>54447</v>
      </c>
      <c t="s">
        <v>32414</v>
      </c>
      <c s="3">
        <v>8640</v>
      </c>
      <c s="3">
        <v>8640</v>
      </c>
      <c s="3">
        <v>8640</v>
      </c>
      <c>
        <v>0</v>
      </c>
      <c s="3">
        <v>0</v>
      </c>
      <c s="3">
        <v>514.95</v>
      </c>
      <c s="3">
        <v>8640</v>
      </c>
      <c>
        <v>2021</v>
      </c>
      <c>
        <v>608.28</v>
      </c>
      <c s="1" t="str">
        <f ca="1">HYPERLINK("https://web.datatree.com/?/property?propertyId=33418511", "https://web.datatree.com/?/property?propertyId=33418511")</f>
        <v>https://web.datatree.com/?/property?propertyId=33418511</v>
      </c>
      <c r="Q3756" t="s">
        <v>316</v>
      </c>
      <c>
        <v>0.243</v>
      </c>
      <c t="s">
        <v>6175</v>
      </c>
      <c t="s">
        <v>53569</v>
      </c>
      <c t="s">
        <v>39982</v>
      </c>
      <c r="X3756" t="s">
        <v>65686</v>
      </c>
      <c t="s">
        <v>17022</v>
      </c>
      <c t="s">
        <v>2517</v>
      </c>
      <c t="s">
        <v>39289</v>
      </c>
      <c>
        <v>33909</v>
      </c>
      <c t="s">
        <v>39586</v>
      </c>
      <c t="s">
        <v>48794</v>
      </c>
      <c t="s">
        <v>51421</v>
      </c>
      <c>
        <v>14819</v>
      </c>
      <c r="AI3756" t="s">
        <v>59150</v>
      </c>
      <c t="s">
        <v>39321</v>
      </c>
      <c r="AL3756" t="s">
        <v>55393</v>
      </c>
      <c t="s">
        <v>49823</v>
      </c>
      <c t="s">
        <v>39289</v>
      </c>
      <c t="s">
        <v>60507</v>
      </c>
      <c t="s">
        <v>35354</v>
      </c>
      <c t="s">
        <v>3093</v>
      </c>
      <c t="s">
        <v>5702</v>
      </c>
    </row>
    <row>
      <c t="s">
        <v>17594</v>
      </c>
      <c t="s">
        <v>19471</v>
      </c>
      <c t="s">
        <v>40671</v>
      </c>
      <c t="s">
        <v>14105</v>
      </c>
      <c t="s">
        <v>1175</v>
      </c>
      <c s="3">
        <v>107603</v>
      </c>
      <c s="3">
        <v>93500</v>
      </c>
      <c s="3">
        <v>107603</v>
      </c>
      <c>
        <v>0</v>
      </c>
      <c s="3">
        <v>0</v>
      </c>
      <c s="3">
        <v>1615.88</v>
      </c>
      <c s="3">
        <v>107603</v>
      </c>
      <c r="O3757" s="1" t="str">
        <f ca="1">HYPERLINK("https://web.datatree.com/?/property?propertyId=33420281", "https://web.datatree.com/?/property?propertyId=33420281")</f>
        <v>https://web.datatree.com/?/property?propertyId=33420281</v>
      </c>
      <c r="Q3757" t="s">
        <v>316</v>
      </c>
      <c>
        <v>0.101</v>
      </c>
      <c t="s">
        <v>26492</v>
      </c>
      <c t="s">
        <v>49241</v>
      </c>
      <c t="s">
        <v>17165</v>
      </c>
      <c t="s">
        <v>36241</v>
      </c>
      <c t="s">
        <v>17165</v>
      </c>
      <c t="s">
        <v>36469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44002</v>
      </c>
      <c>
        <v>1852</v>
      </c>
      <c r="AI3757" t="s">
        <v>32884</v>
      </c>
      <c t="s">
        <v>55842</v>
      </c>
      <c r="AL3757" t="s">
        <v>51043</v>
      </c>
      <c t="s">
        <v>40227</v>
      </c>
      <c t="s">
        <v>19878</v>
      </c>
      <c t="s">
        <v>27091</v>
      </c>
      <c t="s">
        <v>30106</v>
      </c>
      <c t="s">
        <v>3093</v>
      </c>
      <c t="s">
        <v>22832</v>
      </c>
      <c>
        <v>2005</v>
      </c>
    </row>
    <row>
      <c t="s">
        <v>17594</v>
      </c>
      <c t="s">
        <v>47747</v>
      </c>
      <c t="s">
        <v>55203</v>
      </c>
      <c t="s">
        <v>45168</v>
      </c>
      <c t="s">
        <v>352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3758" s="1" t="str">
        <f ca="1">HYPERLINK("https://web.datatree.com/?/property?propertyId=33420538", "https://web.datatree.com/?/property?propertyId=33420538")</f>
        <v>https://web.datatree.com/?/property?propertyId=33420538</v>
      </c>
      <c r="Q3758" t="s">
        <v>316</v>
      </c>
      <c>
        <v>0.23</v>
      </c>
      <c t="s">
        <v>22490</v>
      </c>
      <c t="s">
        <v>54943</v>
      </c>
      <c t="s">
        <v>61275</v>
      </c>
      <c r="X3758" t="s">
        <v>6983</v>
      </c>
      <c t="s">
        <v>25017</v>
      </c>
      <c t="s">
        <v>2517</v>
      </c>
      <c t="s">
        <v>39289</v>
      </c>
      <c>
        <v>33909</v>
      </c>
      <c t="s">
        <v>13933</v>
      </c>
      <c t="s">
        <v>48794</v>
      </c>
      <c t="s">
        <v>59251</v>
      </c>
      <c>
        <v>57</v>
      </c>
      <c r="AI3758" t="s">
        <v>5267</v>
      </c>
      <c t="s">
        <v>31192</v>
      </c>
      <c r="AL3758" t="s">
        <v>30137</v>
      </c>
      <c t="s">
        <v>28391</v>
      </c>
      <c t="s">
        <v>50917</v>
      </c>
      <c t="s">
        <v>6243</v>
      </c>
      <c t="s">
        <v>22455</v>
      </c>
      <c t="s">
        <v>3093</v>
      </c>
      <c t="s">
        <v>12383</v>
      </c>
    </row>
    <row>
      <c t="s">
        <v>17594</v>
      </c>
      <c t="s">
        <v>5269</v>
      </c>
      <c t="s">
        <v>34320</v>
      </c>
      <c t="s">
        <v>61437</v>
      </c>
      <c t="s">
        <v>21270</v>
      </c>
      <c s="3">
        <v>17097</v>
      </c>
      <c s="3">
        <v>17097</v>
      </c>
      <c s="3">
        <v>8470</v>
      </c>
      <c>
        <v>0</v>
      </c>
      <c s="3">
        <v>0</v>
      </c>
      <c s="3">
        <v>557.43</v>
      </c>
      <c s="3">
        <v>17097</v>
      </c>
      <c>
        <v>2021</v>
      </c>
      <c>
        <v>590.56</v>
      </c>
      <c s="1" t="str">
        <f ca="1">HYPERLINK("https://web.datatree.com/?/property?propertyId=33421587", "https://web.datatree.com/?/property?propertyId=33421587")</f>
        <v>https://web.datatree.com/?/property?propertyId=33421587</v>
      </c>
      <c r="Q3759" t="s">
        <v>316</v>
      </c>
      <c>
        <v>0.244</v>
      </c>
      <c t="s">
        <v>6175</v>
      </c>
      <c t="s">
        <v>20069</v>
      </c>
      <c t="s">
        <v>64949</v>
      </c>
      <c r="X3759" t="s">
        <v>21297</v>
      </c>
      <c t="s">
        <v>13065</v>
      </c>
      <c t="s">
        <v>2517</v>
      </c>
      <c t="s">
        <v>39289</v>
      </c>
      <c>
        <v>33909</v>
      </c>
      <c t="s">
        <v>5799</v>
      </c>
      <c t="s">
        <v>48794</v>
      </c>
      <c t="s">
        <v>47140</v>
      </c>
      <c>
        <v>521</v>
      </c>
      <c r="AI3759" t="s">
        <v>36205</v>
      </c>
      <c t="s">
        <v>31192</v>
      </c>
      <c r="AL3759" t="s">
        <v>25403</v>
      </c>
      <c r="AN3759" t="s">
        <v>10804</v>
      </c>
      <c t="s">
        <v>4756</v>
      </c>
      <c t="s">
        <v>61719</v>
      </c>
      <c t="s">
        <v>3093</v>
      </c>
      <c t="s">
        <v>4773</v>
      </c>
    </row>
    <row>
      <c t="s">
        <v>17594</v>
      </c>
      <c t="s">
        <v>57323</v>
      </c>
      <c t="s">
        <v>29755</v>
      </c>
      <c t="s">
        <v>44777</v>
      </c>
      <c t="s">
        <v>58938</v>
      </c>
      <c s="3">
        <v>8639</v>
      </c>
      <c s="3">
        <v>8639</v>
      </c>
      <c s="3">
        <v>4972</v>
      </c>
      <c>
        <v>0</v>
      </c>
      <c s="3">
        <v>0</v>
      </c>
      <c s="3">
        <v>315.35</v>
      </c>
      <c s="3">
        <v>8639</v>
      </c>
      <c r="O3760" s="1" t="str">
        <f ca="1">HYPERLINK("https://web.datatree.com/?/property?propertyId=33421647", "https://web.datatree.com/?/property?propertyId=33421647")</f>
        <v>https://web.datatree.com/?/property?propertyId=33421647</v>
      </c>
      <c r="Q3760" t="s">
        <v>316</v>
      </c>
      <c>
        <v>0.232</v>
      </c>
      <c t="s">
        <v>5471</v>
      </c>
      <c t="s">
        <v>18053</v>
      </c>
      <c t="s">
        <v>51838</v>
      </c>
      <c r="X3760" t="s">
        <v>43811</v>
      </c>
      <c t="s">
        <v>20086</v>
      </c>
      <c t="s">
        <v>65059</v>
      </c>
      <c t="s">
        <v>39289</v>
      </c>
      <c>
        <v>33905</v>
      </c>
      <c t="s">
        <v>18534</v>
      </c>
      <c t="s">
        <v>48794</v>
      </c>
      <c t="s">
        <v>15189</v>
      </c>
      <c>
        <v>29606</v>
      </c>
      <c r="AI3760" t="s">
        <v>57620</v>
      </c>
      <c t="s">
        <v>4985</v>
      </c>
      <c>
        <v>254</v>
      </c>
      <c t="s">
        <v>16939</v>
      </c>
      <c r="AN3760" t="s">
        <v>48152</v>
      </c>
      <c t="s">
        <v>57472</v>
      </c>
      <c t="s">
        <v>35479</v>
      </c>
      <c t="s">
        <v>3093</v>
      </c>
      <c t="s">
        <v>58195</v>
      </c>
    </row>
    <row>
      <c t="s">
        <v>17594</v>
      </c>
      <c t="s">
        <v>3771</v>
      </c>
      <c t="s">
        <v>25618</v>
      </c>
      <c t="s">
        <v>24656</v>
      </c>
      <c t="s">
        <v>64674</v>
      </c>
      <c s="3">
        <v>9000</v>
      </c>
      <c s="3">
        <v>9000</v>
      </c>
      <c s="3">
        <v>9000</v>
      </c>
      <c>
        <v>0</v>
      </c>
      <c s="3">
        <v>0</v>
      </c>
      <c s="3">
        <v>974.78</v>
      </c>
      <c s="3">
        <v>9000</v>
      </c>
      <c r="O3761" s="1" t="str">
        <f ca="1">HYPERLINK("https://web.datatree.com/?/property?propertyId=33421683", "https://web.datatree.com/?/property?propertyId=33421683")</f>
        <v>https://web.datatree.com/?/property?propertyId=33421683</v>
      </c>
      <c r="Q3761" t="s">
        <v>316</v>
      </c>
      <c>
        <v>0.395</v>
      </c>
      <c t="s">
        <v>6175</v>
      </c>
      <c t="s">
        <v>44457</v>
      </c>
      <c t="s">
        <v>38388</v>
      </c>
      <c t="s">
        <v>41145</v>
      </c>
      <c t="s">
        <v>38388</v>
      </c>
      <c t="s">
        <v>22894</v>
      </c>
      <c t="s">
        <v>17022</v>
      </c>
      <c t="s">
        <v>2517</v>
      </c>
      <c t="s">
        <v>39289</v>
      </c>
      <c>
        <v>33909</v>
      </c>
      <c t="s">
        <v>43918</v>
      </c>
      <c t="s">
        <v>48794</v>
      </c>
      <c t="s">
        <v>11254</v>
      </c>
      <c>
        <v>41430</v>
      </c>
      <c r="AI3761" t="s">
        <v>66974</v>
      </c>
      <c t="s">
        <v>55842</v>
      </c>
      <c r="AL3761" t="s">
        <v>64963</v>
      </c>
      <c t="s">
        <v>64963</v>
      </c>
      <c t="s">
        <v>51137</v>
      </c>
      <c t="s">
        <v>57380</v>
      </c>
      <c t="s">
        <v>54916</v>
      </c>
      <c t="s">
        <v>3093</v>
      </c>
      <c t="s">
        <v>25954</v>
      </c>
    </row>
    <row>
      <c t="s">
        <v>17594</v>
      </c>
      <c t="s">
        <v>10857</v>
      </c>
      <c t="s">
        <v>53519</v>
      </c>
      <c t="s">
        <v>59160</v>
      </c>
      <c t="s">
        <v>19512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762" s="1" t="str">
        <f ca="1">HYPERLINK("https://web.datatree.com/?/property?propertyId=33421820", "https://web.datatree.com/?/property?propertyId=33421820")</f>
        <v>https://web.datatree.com/?/property?propertyId=33421820</v>
      </c>
      <c r="Q3762" t="s">
        <v>316</v>
      </c>
      <c>
        <v>0.251</v>
      </c>
      <c t="s">
        <v>5471</v>
      </c>
      <c t="s">
        <v>49994</v>
      </c>
      <c t="s">
        <v>23487</v>
      </c>
      <c t="s">
        <v>18849</v>
      </c>
      <c t="s">
        <v>8070</v>
      </c>
      <c t="s">
        <v>45801</v>
      </c>
      <c t="s">
        <v>61415</v>
      </c>
      <c t="s">
        <v>65059</v>
      </c>
      <c t="s">
        <v>39289</v>
      </c>
      <c>
        <v>33905</v>
      </c>
      <c t="s">
        <v>64683</v>
      </c>
      <c t="s">
        <v>48794</v>
      </c>
      <c t="s">
        <v>51316</v>
      </c>
      <c>
        <v>11</v>
      </c>
      <c r="AI3762" t="s">
        <v>2044</v>
      </c>
      <c t="s">
        <v>45620</v>
      </c>
      <c r="AL3762" t="s">
        <v>24288</v>
      </c>
      <c r="AN3762" t="s">
        <v>27747</v>
      </c>
      <c t="s">
        <v>42285</v>
      </c>
      <c t="s">
        <v>64128</v>
      </c>
      <c t="s">
        <v>3093</v>
      </c>
      <c t="s">
        <v>61487</v>
      </c>
    </row>
    <row>
      <c t="s">
        <v>17594</v>
      </c>
      <c t="s">
        <v>52364</v>
      </c>
      <c t="s">
        <v>11800</v>
      </c>
      <c t="s">
        <v>13421</v>
      </c>
      <c t="s">
        <v>6060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3763" s="1" t="str">
        <f ca="1">HYPERLINK("https://web.datatree.com/?/property?propertyId=33421960", "https://web.datatree.com/?/property?propertyId=33421960")</f>
        <v>https://web.datatree.com/?/property?propertyId=33421960</v>
      </c>
      <c r="Q3763" t="s">
        <v>316</v>
      </c>
      <c>
        <v>0.241</v>
      </c>
      <c t="s">
        <v>6175</v>
      </c>
      <c r="U3763" t="s">
        <v>58593</v>
      </c>
      <c r="W3763" t="s">
        <v>59124</v>
      </c>
      <c t="s">
        <v>48512</v>
      </c>
      <c t="s">
        <v>17022</v>
      </c>
      <c t="s">
        <v>2517</v>
      </c>
      <c t="s">
        <v>39289</v>
      </c>
      <c>
        <v>33909</v>
      </c>
      <c t="s">
        <v>42836</v>
      </c>
      <c t="s">
        <v>48794</v>
      </c>
      <c t="s">
        <v>24735</v>
      </c>
      <c>
        <v>410</v>
      </c>
      <c r="AI3763" t="s">
        <v>41413</v>
      </c>
      <c r="AL3763" t="s">
        <v>9733</v>
      </c>
      <c r="AN3763" t="s">
        <v>48152</v>
      </c>
      <c t="s">
        <v>7403</v>
      </c>
      <c t="s">
        <v>15968</v>
      </c>
      <c t="s">
        <v>3093</v>
      </c>
      <c t="s">
        <v>37280</v>
      </c>
    </row>
    <row>
      <c t="s">
        <v>42103</v>
      </c>
      <c t="s">
        <v>63442</v>
      </c>
      <c t="s">
        <v>7512</v>
      </c>
      <c t="s">
        <v>33675</v>
      </c>
      <c t="s">
        <v>2197</v>
      </c>
      <c s="3">
        <v>7700</v>
      </c>
      <c s="3">
        <v>7700</v>
      </c>
      <c s="3">
        <v>7700</v>
      </c>
      <c>
        <v>0</v>
      </c>
      <c s="3">
        <v>0</v>
      </c>
      <c s="3">
        <v>555.82</v>
      </c>
      <c s="3">
        <v>7700</v>
      </c>
      <c r="O3764" s="1" t="str">
        <f ca="1">HYPERLINK("https://web.datatree.com/?/property?propertyId=33422255", "https://web.datatree.com/?/property?propertyId=33422255")</f>
        <v>https://web.datatree.com/?/property?propertyId=33422255</v>
      </c>
      <c r="Q3764" t="s">
        <v>316</v>
      </c>
      <c>
        <v>0.23</v>
      </c>
      <c t="s">
        <v>6175</v>
      </c>
      <c t="s">
        <v>64030</v>
      </c>
      <c t="s">
        <v>41362</v>
      </c>
      <c t="s">
        <v>66689</v>
      </c>
      <c t="s">
        <v>3704</v>
      </c>
      <c t="s">
        <v>39557</v>
      </c>
      <c t="s">
        <v>38550</v>
      </c>
      <c t="s">
        <v>2517</v>
      </c>
      <c t="s">
        <v>39289</v>
      </c>
      <c>
        <v>33909</v>
      </c>
      <c t="s">
        <v>63200</v>
      </c>
      <c t="s">
        <v>48794</v>
      </c>
      <c t="s">
        <v>62901</v>
      </c>
      <c r="AI3764" t="s">
        <v>20395</v>
      </c>
      <c r="AL3764" t="s">
        <v>11713</v>
      </c>
      <c r="AN3764" t="s">
        <v>39289</v>
      </c>
      <c t="s">
        <v>36265</v>
      </c>
      <c t="s">
        <v>21016</v>
      </c>
      <c t="s">
        <v>3093</v>
      </c>
      <c t="s">
        <v>3334</v>
      </c>
    </row>
    <row>
      <c t="s">
        <v>17594</v>
      </c>
      <c t="s">
        <v>7691</v>
      </c>
      <c t="s">
        <v>45636</v>
      </c>
      <c t="s">
        <v>48731</v>
      </c>
      <c t="s">
        <v>30398</v>
      </c>
      <c s="3">
        <v>17100</v>
      </c>
      <c s="3">
        <v>17100</v>
      </c>
      <c s="3">
        <v>9900</v>
      </c>
      <c>
        <v>0</v>
      </c>
      <c s="3">
        <v>0</v>
      </c>
      <c s="3">
        <v>686.81</v>
      </c>
      <c s="3">
        <v>17100</v>
      </c>
      <c r="O3765" s="1" t="str">
        <f ca="1">HYPERLINK("https://web.datatree.com/?/property?propertyId=33422700", "https://web.datatree.com/?/property?propertyId=33422700")</f>
        <v>https://web.datatree.com/?/property?propertyId=33422700</v>
      </c>
      <c r="Q3765" t="s">
        <v>316</v>
      </c>
      <c>
        <v>0.373</v>
      </c>
      <c t="s">
        <v>6175</v>
      </c>
      <c t="s">
        <v>3293</v>
      </c>
      <c t="s">
        <v>47658</v>
      </c>
      <c t="s">
        <v>65985</v>
      </c>
      <c t="s">
        <v>47658</v>
      </c>
      <c t="s">
        <v>22462</v>
      </c>
      <c t="s">
        <v>46469</v>
      </c>
      <c t="s">
        <v>2517</v>
      </c>
      <c t="s">
        <v>39289</v>
      </c>
      <c>
        <v>33909</v>
      </c>
      <c t="s">
        <v>35343</v>
      </c>
      <c t="s">
        <v>48794</v>
      </c>
      <c t="s">
        <v>30675</v>
      </c>
      <c>
        <v>14</v>
      </c>
      <c r="AI3765" t="s">
        <v>66208</v>
      </c>
      <c t="s">
        <v>55842</v>
      </c>
      <c r="AL3765" t="s">
        <v>34655</v>
      </c>
      <c r="AN3765" t="s">
        <v>39289</v>
      </c>
      <c t="s">
        <v>28865</v>
      </c>
      <c t="s">
        <v>21201</v>
      </c>
      <c t="s">
        <v>3093</v>
      </c>
      <c t="s">
        <v>62242</v>
      </c>
    </row>
    <row>
      <c t="s">
        <v>17594</v>
      </c>
      <c t="s">
        <v>10660</v>
      </c>
      <c t="s">
        <v>17985</v>
      </c>
      <c t="s">
        <v>38415</v>
      </c>
      <c t="s">
        <v>52916</v>
      </c>
      <c s="3">
        <v>95732</v>
      </c>
      <c s="3">
        <v>86250</v>
      </c>
      <c s="3">
        <v>81710</v>
      </c>
      <c>
        <v>0</v>
      </c>
      <c s="3">
        <v>0</v>
      </c>
      <c s="3">
        <v>1306.15</v>
      </c>
      <c s="3">
        <v>95732</v>
      </c>
      <c r="O3766" s="1" t="str">
        <f ca="1">HYPERLINK("https://web.datatree.com/?/property?propertyId=33422866", "https://web.datatree.com/?/property?propertyId=33422866")</f>
        <v>https://web.datatree.com/?/property?propertyId=33422866</v>
      </c>
      <c r="Q3766" t="s">
        <v>316</v>
      </c>
      <c>
        <v>0.095</v>
      </c>
      <c t="s">
        <v>26492</v>
      </c>
      <c r="U3766" t="s">
        <v>39882</v>
      </c>
      <c r="W3766" t="s">
        <v>29345</v>
      </c>
      <c t="s">
        <v>28932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58105</v>
      </c>
      <c>
        <v>1320</v>
      </c>
      <c r="AI3766" t="s">
        <v>26714</v>
      </c>
      <c t="s">
        <v>45620</v>
      </c>
      <c r="AL3766" t="s">
        <v>25974</v>
      </c>
      <c t="s">
        <v>40227</v>
      </c>
      <c t="s">
        <v>22275</v>
      </c>
      <c t="s">
        <v>63038</v>
      </c>
      <c t="s">
        <v>14695</v>
      </c>
      <c t="s">
        <v>3093</v>
      </c>
      <c t="s">
        <v>15599</v>
      </c>
      <c>
        <v>2005</v>
      </c>
    </row>
    <row>
      <c t="s">
        <v>42103</v>
      </c>
      <c t="s">
        <v>25620</v>
      </c>
      <c t="s">
        <v>6353</v>
      </c>
      <c t="s">
        <v>42230</v>
      </c>
      <c t="s">
        <v>51048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767" s="1" t="str">
        <f ca="1">HYPERLINK("https://web.datatree.com/?/property?propertyId=33423192", "https://web.datatree.com/?/property?propertyId=33423192")</f>
        <v>https://web.datatree.com/?/property?propertyId=33423192</v>
      </c>
      <c r="Q3767" t="s">
        <v>316</v>
      </c>
      <c>
        <v>0.23</v>
      </c>
      <c t="s">
        <v>6175</v>
      </c>
      <c r="U3767" t="s">
        <v>16072</v>
      </c>
      <c r="W3767" t="s">
        <v>12125</v>
      </c>
      <c t="s">
        <v>46427</v>
      </c>
      <c t="s">
        <v>25017</v>
      </c>
      <c t="s">
        <v>2517</v>
      </c>
      <c t="s">
        <v>39289</v>
      </c>
      <c>
        <v>33909</v>
      </c>
      <c t="s">
        <v>39600</v>
      </c>
      <c t="s">
        <v>48794</v>
      </c>
      <c t="s">
        <v>1104</v>
      </c>
      <c r="AI3767" t="s">
        <v>23200</v>
      </c>
      <c r="AL3767" t="s">
        <v>49594</v>
      </c>
      <c r="AN3767" t="s">
        <v>50917</v>
      </c>
      <c>
        <v>13811</v>
      </c>
      <c t="s">
        <v>61509</v>
      </c>
      <c t="s">
        <v>3093</v>
      </c>
      <c t="s">
        <v>40472</v>
      </c>
    </row>
    <row>
      <c t="s">
        <v>17594</v>
      </c>
      <c t="s">
        <v>54139</v>
      </c>
      <c t="s">
        <v>53178</v>
      </c>
      <c t="s">
        <v>8111</v>
      </c>
      <c t="s">
        <v>66744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>
        <v>2021</v>
      </c>
      <c>
        <v>525.35</v>
      </c>
      <c s="1" t="str">
        <f ca="1">HYPERLINK("https://web.datatree.com/?/property?propertyId=33423539", "https://web.datatree.com/?/property?propertyId=33423539")</f>
        <v>https://web.datatree.com/?/property?propertyId=33423539</v>
      </c>
      <c r="Q3768" t="s">
        <v>316</v>
      </c>
      <c>
        <v>0.23</v>
      </c>
      <c t="s">
        <v>6175</v>
      </c>
      <c t="s">
        <v>9176</v>
      </c>
      <c t="s">
        <v>18478</v>
      </c>
      <c r="X3768" t="s">
        <v>55838</v>
      </c>
      <c t="s">
        <v>60363</v>
      </c>
      <c t="s">
        <v>2517</v>
      </c>
      <c t="s">
        <v>39289</v>
      </c>
      <c>
        <v>33909</v>
      </c>
      <c t="s">
        <v>45376</v>
      </c>
      <c t="s">
        <v>48794</v>
      </c>
      <c t="s">
        <v>21545</v>
      </c>
      <c>
        <v>1870</v>
      </c>
      <c r="AI3768" t="s">
        <v>61850</v>
      </c>
      <c t="s">
        <v>45393</v>
      </c>
      <c r="AL3768" t="s">
        <v>55393</v>
      </c>
      <c r="AN3768" t="s">
        <v>39289</v>
      </c>
      <c t="s">
        <v>39879</v>
      </c>
      <c t="s">
        <v>62983</v>
      </c>
      <c t="s">
        <v>3093</v>
      </c>
      <c t="s">
        <v>23954</v>
      </c>
    </row>
    <row>
      <c t="s">
        <v>17594</v>
      </c>
      <c t="s">
        <v>32531</v>
      </c>
      <c t="s">
        <v>63813</v>
      </c>
      <c t="s">
        <v>58871</v>
      </c>
      <c t="s">
        <v>41540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>
        <v>2020</v>
      </c>
      <c>
        <v>1061.9</v>
      </c>
      <c s="1" t="str">
        <f ca="1">HYPERLINK("https://web.datatree.com/?/property?propertyId=33423621", "https://web.datatree.com/?/property?propertyId=33423621")</f>
        <v>https://web.datatree.com/?/property?propertyId=33423621</v>
      </c>
      <c r="Q3769" t="s">
        <v>316</v>
      </c>
      <c>
        <v>0.278</v>
      </c>
      <c t="s">
        <v>5471</v>
      </c>
      <c r="U3769" t="s">
        <v>64802</v>
      </c>
      <c r="X3769" t="s">
        <v>51394</v>
      </c>
      <c t="s">
        <v>6481</v>
      </c>
      <c t="s">
        <v>65059</v>
      </c>
      <c t="s">
        <v>39289</v>
      </c>
      <c>
        <v>33905</v>
      </c>
      <c t="s">
        <v>20035</v>
      </c>
      <c t="s">
        <v>48794</v>
      </c>
      <c t="s">
        <v>39962</v>
      </c>
      <c>
        <v>530</v>
      </c>
      <c r="AI3769" t="s">
        <v>48038</v>
      </c>
      <c t="s">
        <v>24900</v>
      </c>
      <c>
        <v>115</v>
      </c>
      <c t="s">
        <v>55242</v>
      </c>
      <c r="AN3769" t="s">
        <v>65451</v>
      </c>
      <c t="s">
        <v>33369</v>
      </c>
      <c t="s">
        <v>19978</v>
      </c>
      <c t="s">
        <v>3093</v>
      </c>
      <c t="s">
        <v>18129</v>
      </c>
    </row>
    <row>
      <c t="s">
        <v>17594</v>
      </c>
      <c t="s">
        <v>63056</v>
      </c>
      <c t="s">
        <v>49794</v>
      </c>
      <c t="s">
        <v>66234</v>
      </c>
      <c t="s">
        <v>52149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3770" s="1" t="str">
        <f ca="1">HYPERLINK("https://web.datatree.com/?/property?propertyId=33424268", "https://web.datatree.com/?/property?propertyId=33424268")</f>
        <v>https://web.datatree.com/?/property?propertyId=33424268</v>
      </c>
      <c r="Q3770" t="s">
        <v>316</v>
      </c>
      <c>
        <v>0.23</v>
      </c>
      <c t="s">
        <v>22490</v>
      </c>
      <c t="s">
        <v>41643</v>
      </c>
      <c t="s">
        <v>59048</v>
      </c>
      <c t="s">
        <v>56253</v>
      </c>
      <c t="s">
        <v>34217</v>
      </c>
      <c t="s">
        <v>61421</v>
      </c>
      <c t="s">
        <v>38550</v>
      </c>
      <c t="s">
        <v>2517</v>
      </c>
      <c t="s">
        <v>39289</v>
      </c>
      <c>
        <v>33909</v>
      </c>
      <c t="s">
        <v>59657</v>
      </c>
      <c t="s">
        <v>48794</v>
      </c>
      <c t="s">
        <v>35824</v>
      </c>
      <c>
        <v>4763</v>
      </c>
      <c r="AI3770" t="s">
        <v>53220</v>
      </c>
      <c t="s">
        <v>52583</v>
      </c>
      <c r="AL3770" t="s">
        <v>2602</v>
      </c>
      <c r="AN3770" t="s">
        <v>10909</v>
      </c>
      <c t="s">
        <v>18404</v>
      </c>
      <c r="AQ3770" t="s">
        <v>27814</v>
      </c>
      <c t="s">
        <v>39119</v>
      </c>
    </row>
    <row>
      <c t="s">
        <v>17594</v>
      </c>
      <c t="s">
        <v>66802</v>
      </c>
      <c t="s">
        <v>55274</v>
      </c>
      <c t="s">
        <v>30588</v>
      </c>
      <c t="s">
        <v>9792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3771" s="1" t="str">
        <f ca="1">HYPERLINK("https://web.datatree.com/?/property?propertyId=33424616", "https://web.datatree.com/?/property?propertyId=33424616")</f>
        <v>https://web.datatree.com/?/property?propertyId=33424616</v>
      </c>
      <c r="Q3771" t="s">
        <v>316</v>
      </c>
      <c>
        <v>0.23</v>
      </c>
      <c t="s">
        <v>45031</v>
      </c>
      <c r="U3771" t="s">
        <v>59392</v>
      </c>
      <c r="X3771" t="s">
        <v>40364</v>
      </c>
      <c t="s">
        <v>18679</v>
      </c>
      <c t="s">
        <v>2517</v>
      </c>
      <c t="s">
        <v>39289</v>
      </c>
      <c>
        <v>33909</v>
      </c>
      <c t="s">
        <v>1337</v>
      </c>
      <c t="s">
        <v>48794</v>
      </c>
      <c t="s">
        <v>47671</v>
      </c>
      <c>
        <v>3305</v>
      </c>
      <c r="AI3771" t="s">
        <v>61453</v>
      </c>
      <c r="AL3771" t="s">
        <v>26045</v>
      </c>
      <c r="AN3771" t="s">
        <v>51087</v>
      </c>
      <c t="s">
        <v>66991</v>
      </c>
      <c t="s">
        <v>53660</v>
      </c>
      <c t="s">
        <v>3093</v>
      </c>
      <c t="s">
        <v>38817</v>
      </c>
    </row>
    <row>
      <c t="s">
        <v>17594</v>
      </c>
      <c t="s">
        <v>26858</v>
      </c>
      <c t="s">
        <v>23909</v>
      </c>
      <c t="s">
        <v>121</v>
      </c>
      <c t="s">
        <v>27821</v>
      </c>
      <c s="3">
        <v>19712</v>
      </c>
      <c s="3">
        <v>19712</v>
      </c>
      <c s="3">
        <v>6839</v>
      </c>
      <c>
        <v>0</v>
      </c>
      <c s="3">
        <v>0</v>
      </c>
      <c s="3">
        <v>389.26</v>
      </c>
      <c s="3">
        <v>19712</v>
      </c>
      <c r="O3772" s="1" t="str">
        <f ca="1">HYPERLINK("https://web.datatree.com/?/property?propertyId=33424827", "https://web.datatree.com/?/property?propertyId=33424827")</f>
        <v>https://web.datatree.com/?/property?propertyId=33424827</v>
      </c>
      <c r="Q3772" t="s">
        <v>316</v>
      </c>
      <c>
        <v>0.397</v>
      </c>
      <c t="s">
        <v>37489</v>
      </c>
      <c t="s">
        <v>42768</v>
      </c>
      <c t="s">
        <v>16057</v>
      </c>
      <c r="X3772" t="s">
        <v>7349</v>
      </c>
      <c t="s">
        <v>18019</v>
      </c>
      <c t="s">
        <v>65059</v>
      </c>
      <c t="s">
        <v>39289</v>
      </c>
      <c>
        <v>33905</v>
      </c>
      <c t="s">
        <v>58985</v>
      </c>
      <c t="s">
        <v>48794</v>
      </c>
      <c t="s">
        <v>37527</v>
      </c>
      <c>
        <v>356</v>
      </c>
      <c r="AI3772" t="s">
        <v>52047</v>
      </c>
      <c t="s">
        <v>45620</v>
      </c>
      <c r="AL3772" t="s">
        <v>21600</v>
      </c>
      <c r="AN3772" t="s">
        <v>50917</v>
      </c>
      <c t="s">
        <v>25763</v>
      </c>
      <c t="s">
        <v>43294</v>
      </c>
      <c t="s">
        <v>3093</v>
      </c>
      <c t="s">
        <v>25775</v>
      </c>
    </row>
    <row>
      <c t="s">
        <v>42103</v>
      </c>
      <c t="s">
        <v>44517</v>
      </c>
      <c t="s">
        <v>56475</v>
      </c>
      <c t="s">
        <v>37087</v>
      </c>
      <c t="s">
        <v>13541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3773" s="1" t="str">
        <f ca="1">HYPERLINK("https://web.datatree.com/?/property?propertyId=33425027", "https://web.datatree.com/?/property?propertyId=33425027")</f>
        <v>https://web.datatree.com/?/property?propertyId=33425027</v>
      </c>
      <c r="Q3773" t="s">
        <v>316</v>
      </c>
      <c>
        <v>0.23</v>
      </c>
      <c t="s">
        <v>22490</v>
      </c>
      <c t="s">
        <v>47922</v>
      </c>
      <c t="s">
        <v>22209</v>
      </c>
      <c t="s">
        <v>37293</v>
      </c>
      <c t="s">
        <v>14432</v>
      </c>
      <c t="s">
        <v>46453</v>
      </c>
      <c t="s">
        <v>22731</v>
      </c>
      <c t="s">
        <v>2517</v>
      </c>
      <c t="s">
        <v>39289</v>
      </c>
      <c>
        <v>33909</v>
      </c>
      <c t="s">
        <v>12094</v>
      </c>
      <c t="s">
        <v>48794</v>
      </c>
      <c t="s">
        <v>131</v>
      </c>
      <c r="AI3773" t="s">
        <v>11233</v>
      </c>
      <c r="AL3773" t="s">
        <v>41782</v>
      </c>
      <c r="AN3773" t="s">
        <v>2120</v>
      </c>
      <c>
        <v>9645</v>
      </c>
      <c t="s">
        <v>48506</v>
      </c>
      <c t="s">
        <v>3093</v>
      </c>
      <c t="s">
        <v>37078</v>
      </c>
    </row>
    <row>
      <c t="s">
        <v>17594</v>
      </c>
      <c t="s">
        <v>11257</v>
      </c>
      <c t="s">
        <v>16158</v>
      </c>
      <c t="s">
        <v>34743</v>
      </c>
      <c t="s">
        <v>35062</v>
      </c>
      <c s="3">
        <v>16849</v>
      </c>
      <c s="3">
        <v>16849</v>
      </c>
      <c s="3">
        <v>8470</v>
      </c>
      <c>
        <v>0</v>
      </c>
      <c s="3">
        <v>0</v>
      </c>
      <c s="3">
        <v>557.43</v>
      </c>
      <c s="3">
        <v>16849</v>
      </c>
      <c r="O3774" s="1" t="str">
        <f ca="1">HYPERLINK("https://web.datatree.com/?/property?propertyId=33425106", "https://web.datatree.com/?/property?propertyId=33425106")</f>
        <v>https://web.datatree.com/?/property?propertyId=33425106</v>
      </c>
      <c r="Q3774" t="s">
        <v>316</v>
      </c>
      <c>
        <v>0.236</v>
      </c>
      <c t="s">
        <v>6175</v>
      </c>
      <c t="s">
        <v>11199</v>
      </c>
      <c t="s">
        <v>45036</v>
      </c>
      <c r="X3774" t="s">
        <v>20494</v>
      </c>
      <c t="s">
        <v>29190</v>
      </c>
      <c t="s">
        <v>2517</v>
      </c>
      <c t="s">
        <v>39289</v>
      </c>
      <c>
        <v>33909</v>
      </c>
      <c t="s">
        <v>29765</v>
      </c>
      <c t="s">
        <v>48794</v>
      </c>
      <c t="s">
        <v>6268</v>
      </c>
      <c>
        <v>17</v>
      </c>
      <c r="AI3774" t="s">
        <v>64432</v>
      </c>
      <c t="s">
        <v>31192</v>
      </c>
      <c r="AL3774" t="s">
        <v>11369</v>
      </c>
      <c r="AN3774" t="s">
        <v>39289</v>
      </c>
      <c t="s">
        <v>43755</v>
      </c>
      <c t="s">
        <v>65563</v>
      </c>
      <c t="s">
        <v>3093</v>
      </c>
      <c t="s">
        <v>62932</v>
      </c>
    </row>
    <row>
      <c t="s">
        <v>17594</v>
      </c>
      <c t="s">
        <v>33049</v>
      </c>
      <c t="s">
        <v>7094</v>
      </c>
      <c t="s">
        <v>30871</v>
      </c>
      <c t="s">
        <v>72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 r="O3775" s="1" t="str">
        <f ca="1">HYPERLINK("https://web.datatree.com/?/property?propertyId=33425259", "https://web.datatree.com/?/property?propertyId=33425259")</f>
        <v>https://web.datatree.com/?/property?propertyId=33425259</v>
      </c>
      <c r="Q3775" t="s">
        <v>316</v>
      </c>
      <c>
        <v>0.25</v>
      </c>
      <c t="s">
        <v>6175</v>
      </c>
      <c t="s">
        <v>24179</v>
      </c>
      <c t="s">
        <v>23388</v>
      </c>
      <c t="s">
        <v>32393</v>
      </c>
      <c t="s">
        <v>55482</v>
      </c>
      <c t="s">
        <v>34070</v>
      </c>
      <c t="s">
        <v>15510</v>
      </c>
      <c t="s">
        <v>2517</v>
      </c>
      <c t="s">
        <v>39289</v>
      </c>
      <c>
        <v>33909</v>
      </c>
      <c t="s">
        <v>65026</v>
      </c>
      <c t="s">
        <v>48794</v>
      </c>
      <c t="s">
        <v>58164</v>
      </c>
      <c>
        <v>3354</v>
      </c>
      <c r="AI3775" t="s">
        <v>5881</v>
      </c>
      <c t="s">
        <v>24900</v>
      </c>
      <c r="AL3775" t="s">
        <v>23972</v>
      </c>
      <c r="AN3775" t="s">
        <v>19878</v>
      </c>
      <c t="s">
        <v>5107</v>
      </c>
      <c t="s">
        <v>66620</v>
      </c>
      <c t="s">
        <v>3093</v>
      </c>
      <c t="s">
        <v>9534</v>
      </c>
    </row>
    <row>
      <c t="s">
        <v>17594</v>
      </c>
      <c t="s">
        <v>64278</v>
      </c>
      <c t="s">
        <v>13074</v>
      </c>
      <c t="s">
        <v>11951</v>
      </c>
      <c t="s">
        <v>31133</v>
      </c>
      <c s="3">
        <v>24937</v>
      </c>
      <c s="3">
        <v>24937</v>
      </c>
      <c s="3">
        <v>9079</v>
      </c>
      <c>
        <v>0</v>
      </c>
      <c s="3">
        <v>0</v>
      </c>
      <c s="3">
        <v>2928.2</v>
      </c>
      <c s="3">
        <v>24937</v>
      </c>
      <c r="O3776" s="1" t="str">
        <f ca="1">HYPERLINK("https://web.datatree.com/?/property?propertyId=33426237", "https://web.datatree.com/?/property?propertyId=33426237")</f>
        <v>https://web.datatree.com/?/property?propertyId=33426237</v>
      </c>
      <c r="Q3776" t="s">
        <v>316</v>
      </c>
      <c>
        <v>0.235</v>
      </c>
      <c t="s">
        <v>6175</v>
      </c>
      <c t="s">
        <v>42913</v>
      </c>
      <c t="s">
        <v>45436</v>
      </c>
      <c t="s">
        <v>35571</v>
      </c>
      <c t="s">
        <v>45436</v>
      </c>
      <c t="s">
        <v>56717</v>
      </c>
      <c t="s">
        <v>13478</v>
      </c>
      <c t="s">
        <v>2517</v>
      </c>
      <c t="s">
        <v>39289</v>
      </c>
      <c>
        <v>33909</v>
      </c>
      <c t="s">
        <v>45577</v>
      </c>
      <c t="s">
        <v>48794</v>
      </c>
      <c t="s">
        <v>28955</v>
      </c>
      <c>
        <v>336</v>
      </c>
      <c r="AI3776" t="s">
        <v>9566</v>
      </c>
      <c t="s">
        <v>4985</v>
      </c>
      <c r="AL3776" t="s">
        <v>3843</v>
      </c>
      <c r="AN3776" t="s">
        <v>26016</v>
      </c>
      <c t="s">
        <v>30222</v>
      </c>
      <c t="s">
        <v>19978</v>
      </c>
      <c t="s">
        <v>3093</v>
      </c>
      <c t="s">
        <v>55141</v>
      </c>
    </row>
    <row>
      <c t="s">
        <v>17594</v>
      </c>
      <c t="s">
        <v>18786</v>
      </c>
      <c t="s">
        <v>55261</v>
      </c>
      <c t="s">
        <v>54819</v>
      </c>
      <c t="s">
        <v>29067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3777" s="1" t="str">
        <f ca="1">HYPERLINK("https://web.datatree.com/?/property?propertyId=33427570", "https://web.datatree.com/?/property?propertyId=33427570")</f>
        <v>https://web.datatree.com/?/property?propertyId=33427570</v>
      </c>
      <c r="Q3777" t="s">
        <v>316</v>
      </c>
      <c>
        <v>0.237</v>
      </c>
      <c t="s">
        <v>6175</v>
      </c>
      <c t="s">
        <v>22422</v>
      </c>
      <c t="s">
        <v>435</v>
      </c>
      <c t="s">
        <v>26023</v>
      </c>
      <c t="s">
        <v>435</v>
      </c>
      <c t="s">
        <v>55485</v>
      </c>
      <c t="s">
        <v>53663</v>
      </c>
      <c t="s">
        <v>2517</v>
      </c>
      <c t="s">
        <v>39289</v>
      </c>
      <c>
        <v>33909</v>
      </c>
      <c t="s">
        <v>40302</v>
      </c>
      <c t="s">
        <v>48794</v>
      </c>
      <c t="s">
        <v>860</v>
      </c>
      <c>
        <v>4592</v>
      </c>
      <c r="AI3777" t="s">
        <v>42130</v>
      </c>
      <c t="s">
        <v>40123</v>
      </c>
      <c r="AL3777" t="s">
        <v>53102</v>
      </c>
      <c r="AN3777" t="s">
        <v>51087</v>
      </c>
      <c t="s">
        <v>16634</v>
      </c>
      <c t="s">
        <v>44585</v>
      </c>
      <c t="s">
        <v>3093</v>
      </c>
      <c t="s">
        <v>16163</v>
      </c>
    </row>
    <row>
      <c t="s">
        <v>17594</v>
      </c>
      <c t="s">
        <v>48296</v>
      </c>
      <c t="s">
        <v>379</v>
      </c>
      <c t="s">
        <v>63381</v>
      </c>
      <c t="s">
        <v>6122</v>
      </c>
      <c s="3">
        <v>9000</v>
      </c>
      <c s="3">
        <v>9000</v>
      </c>
      <c s="3">
        <v>9000</v>
      </c>
      <c>
        <v>0</v>
      </c>
      <c s="3">
        <v>0</v>
      </c>
      <c s="3">
        <v>774.51</v>
      </c>
      <c s="3">
        <v>9000</v>
      </c>
      <c>
        <v>2020</v>
      </c>
      <c>
        <v>2282.77</v>
      </c>
      <c s="1" t="str">
        <f ca="1">HYPERLINK("https://web.datatree.com/?/property?propertyId=33428680", "https://web.datatree.com/?/property?propertyId=33428680")</f>
        <v>https://web.datatree.com/?/property?propertyId=33428680</v>
      </c>
      <c r="Q3778" t="s">
        <v>316</v>
      </c>
      <c>
        <v>0.413</v>
      </c>
      <c t="s">
        <v>32782</v>
      </c>
      <c t="s">
        <v>4814</v>
      </c>
      <c t="s">
        <v>66560</v>
      </c>
      <c t="s">
        <v>51968</v>
      </c>
      <c t="s">
        <v>66560</v>
      </c>
      <c t="s">
        <v>33923</v>
      </c>
      <c t="s">
        <v>8669</v>
      </c>
      <c t="s">
        <v>2517</v>
      </c>
      <c t="s">
        <v>39289</v>
      </c>
      <c>
        <v>33909</v>
      </c>
      <c t="s">
        <v>36484</v>
      </c>
      <c t="s">
        <v>48794</v>
      </c>
      <c t="s">
        <v>49767</v>
      </c>
      <c>
        <v>2302</v>
      </c>
      <c r="AI3778" t="s">
        <v>2420</v>
      </c>
      <c t="s">
        <v>45393</v>
      </c>
      <c r="AL3778" t="s">
        <v>31138</v>
      </c>
      <c r="AN3778" t="s">
        <v>50917</v>
      </c>
      <c t="s">
        <v>13239</v>
      </c>
      <c t="s">
        <v>49977</v>
      </c>
      <c t="s">
        <v>3093</v>
      </c>
      <c t="s">
        <v>52853</v>
      </c>
    </row>
    <row>
      <c t="s">
        <v>17594</v>
      </c>
      <c t="s">
        <v>16681</v>
      </c>
      <c t="s">
        <v>33264</v>
      </c>
      <c t="s">
        <v>62963</v>
      </c>
      <c t="s">
        <v>15521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779" s="1" t="str">
        <f ca="1">HYPERLINK("https://web.datatree.com/?/property?propertyId=33429129", "https://web.datatree.com/?/property?propertyId=33429129")</f>
        <v>https://web.datatree.com/?/property?propertyId=33429129</v>
      </c>
      <c r="Q3779" t="s">
        <v>316</v>
      </c>
      <c>
        <v>0.229</v>
      </c>
      <c t="s">
        <v>6175</v>
      </c>
      <c t="s">
        <v>54158</v>
      </c>
      <c t="s">
        <v>39549</v>
      </c>
      <c r="W3779" t="s">
        <v>23494</v>
      </c>
      <c t="s">
        <v>29451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51624</v>
      </c>
      <c>
        <v>10751</v>
      </c>
      <c r="AH3779" t="s">
        <v>26580</v>
      </c>
      <c t="s">
        <v>32207</v>
      </c>
      <c t="s">
        <v>55842</v>
      </c>
      <c r="AL3779" t="s">
        <v>49353</v>
      </c>
      <c t="s">
        <v>49353</v>
      </c>
      <c t="s">
        <v>50829</v>
      </c>
      <c t="s">
        <v>37267</v>
      </c>
      <c t="s">
        <v>12241</v>
      </c>
      <c t="s">
        <v>3093</v>
      </c>
      <c t="s">
        <v>66569</v>
      </c>
    </row>
    <row>
      <c t="s">
        <v>17594</v>
      </c>
      <c t="s">
        <v>2465</v>
      </c>
      <c t="s">
        <v>31363</v>
      </c>
      <c t="s">
        <v>4405</v>
      </c>
      <c t="s">
        <v>67106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586.06</v>
      </c>
      <c s="1" t="str">
        <f ca="1">HYPERLINK("https://web.datatree.com/?/property?propertyId=33429698", "https://web.datatree.com/?/property?propertyId=33429698")</f>
        <v>https://web.datatree.com/?/property?propertyId=33429698</v>
      </c>
      <c r="Q3780" t="s">
        <v>316</v>
      </c>
      <c>
        <v>0.23</v>
      </c>
      <c t="s">
        <v>6175</v>
      </c>
      <c t="s">
        <v>67038</v>
      </c>
      <c t="s">
        <v>46687</v>
      </c>
      <c t="s">
        <v>14629</v>
      </c>
      <c t="s">
        <v>46687</v>
      </c>
      <c t="s">
        <v>33665</v>
      </c>
      <c t="s">
        <v>22731</v>
      </c>
      <c t="s">
        <v>2517</v>
      </c>
      <c t="s">
        <v>39289</v>
      </c>
      <c>
        <v>33909</v>
      </c>
      <c t="s">
        <v>12017</v>
      </c>
      <c t="s">
        <v>48794</v>
      </c>
      <c t="s">
        <v>29426</v>
      </c>
      <c>
        <v>1769</v>
      </c>
      <c r="AI3780" t="s">
        <v>2619</v>
      </c>
      <c t="s">
        <v>45393</v>
      </c>
      <c r="AL3780" t="s">
        <v>8109</v>
      </c>
      <c r="AN3780" t="s">
        <v>50917</v>
      </c>
      <c t="s">
        <v>30960</v>
      </c>
      <c t="s">
        <v>26242</v>
      </c>
      <c t="s">
        <v>3093</v>
      </c>
      <c t="s">
        <v>10509</v>
      </c>
    </row>
    <row>
      <c t="s">
        <v>17594</v>
      </c>
      <c t="s">
        <v>43549</v>
      </c>
      <c t="s">
        <v>57930</v>
      </c>
      <c t="s">
        <v>10234</v>
      </c>
      <c t="s">
        <v>1240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3781" s="1" t="str">
        <f ca="1">HYPERLINK("https://web.datatree.com/?/property?propertyId=33430266", "https://web.datatree.com/?/property?propertyId=33430266")</f>
        <v>https://web.datatree.com/?/property?propertyId=33430266</v>
      </c>
      <c r="Q3781" t="s">
        <v>316</v>
      </c>
      <c>
        <v>0.233</v>
      </c>
      <c t="s">
        <v>22490</v>
      </c>
      <c t="s">
        <v>5124</v>
      </c>
      <c t="s">
        <v>8632</v>
      </c>
      <c r="X3781" t="s">
        <v>19075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33871</v>
      </c>
      <c>
        <v>830</v>
      </c>
      <c r="AI3781" t="s">
        <v>8602</v>
      </c>
      <c t="s">
        <v>55842</v>
      </c>
      <c r="AL3781" t="s">
        <v>27095</v>
      </c>
      <c r="AN3781" t="s">
        <v>66651</v>
      </c>
      <c t="s">
        <v>18888</v>
      </c>
      <c t="s">
        <v>60575</v>
      </c>
      <c t="s">
        <v>3093</v>
      </c>
      <c t="s">
        <v>42269</v>
      </c>
    </row>
    <row>
      <c t="s">
        <v>17594</v>
      </c>
      <c t="s">
        <v>1305</v>
      </c>
      <c t="s">
        <v>20584</v>
      </c>
      <c t="s">
        <v>23882</v>
      </c>
      <c t="s">
        <v>26784</v>
      </c>
      <c s="3">
        <v>10600</v>
      </c>
      <c s="3">
        <v>10600</v>
      </c>
      <c s="3">
        <v>9339</v>
      </c>
      <c>
        <v>0</v>
      </c>
      <c s="3">
        <v>0</v>
      </c>
      <c s="3">
        <v>1224.02</v>
      </c>
      <c s="3">
        <v>10600</v>
      </c>
      <c r="O3782" s="1" t="str">
        <f ca="1">HYPERLINK("https://web.datatree.com/?/property?propertyId=33431141", "https://web.datatree.com/?/property?propertyId=33431141")</f>
        <v>https://web.datatree.com/?/property?propertyId=33431141</v>
      </c>
      <c r="Q3782" t="s">
        <v>316</v>
      </c>
      <c>
        <v>0.23</v>
      </c>
      <c t="s">
        <v>6175</v>
      </c>
      <c r="U3782" t="s">
        <v>48319</v>
      </c>
      <c r="W3782" t="s">
        <v>48460</v>
      </c>
      <c t="s">
        <v>52328</v>
      </c>
      <c t="s">
        <v>53675</v>
      </c>
      <c t="s">
        <v>2517</v>
      </c>
      <c t="s">
        <v>39289</v>
      </c>
      <c>
        <v>33909</v>
      </c>
      <c t="s">
        <v>52560</v>
      </c>
      <c t="s">
        <v>48794</v>
      </c>
      <c t="s">
        <v>66531</v>
      </c>
      <c>
        <v>14094</v>
      </c>
      <c r="AI3782" t="s">
        <v>35113</v>
      </c>
      <c t="s">
        <v>55842</v>
      </c>
      <c r="AL3782" t="s">
        <v>15650</v>
      </c>
      <c t="s">
        <v>15650</v>
      </c>
      <c t="s">
        <v>51137</v>
      </c>
      <c t="s">
        <v>45955</v>
      </c>
      <c t="s">
        <v>32895</v>
      </c>
      <c t="s">
        <v>3093</v>
      </c>
      <c t="s">
        <v>48316</v>
      </c>
    </row>
    <row>
      <c t="s">
        <v>17594</v>
      </c>
      <c t="s">
        <v>54554</v>
      </c>
      <c t="s">
        <v>61285</v>
      </c>
      <c t="s">
        <v>36796</v>
      </c>
      <c t="s">
        <v>47234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3783" s="1" t="str">
        <f ca="1">HYPERLINK("https://web.datatree.com/?/property?propertyId=33432133", "https://web.datatree.com/?/property?propertyId=33432133")</f>
        <v>https://web.datatree.com/?/property?propertyId=33432133</v>
      </c>
      <c r="Q3783" t="s">
        <v>316</v>
      </c>
      <c>
        <v>0.229</v>
      </c>
      <c t="s">
        <v>6175</v>
      </c>
      <c t="s">
        <v>111</v>
      </c>
      <c t="s">
        <v>20597</v>
      </c>
      <c t="s">
        <v>25477</v>
      </c>
      <c t="s">
        <v>20597</v>
      </c>
      <c t="s">
        <v>31059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42131</v>
      </c>
      <c>
        <v>7305</v>
      </c>
      <c r="AI3783" t="s">
        <v>7281</v>
      </c>
      <c t="s">
        <v>41372</v>
      </c>
      <c r="AL3783" t="s">
        <v>55393</v>
      </c>
      <c r="AN3783" t="s">
        <v>39289</v>
      </c>
      <c t="s">
        <v>12743</v>
      </c>
      <c t="s">
        <v>49695</v>
      </c>
      <c t="s">
        <v>3093</v>
      </c>
      <c t="s">
        <v>20291</v>
      </c>
    </row>
    <row>
      <c t="s">
        <v>17594</v>
      </c>
      <c t="s">
        <v>7007</v>
      </c>
      <c t="s">
        <v>27882</v>
      </c>
      <c t="s">
        <v>21246</v>
      </c>
      <c t="s">
        <v>14342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784" s="1" t="str">
        <f ca="1">HYPERLINK("https://web.datatree.com/?/property?propertyId=33432729", "https://web.datatree.com/?/property?propertyId=33432729")</f>
        <v>https://web.datatree.com/?/property?propertyId=33432729</v>
      </c>
      <c r="Q3784" t="s">
        <v>316</v>
      </c>
      <c>
        <v>0.23</v>
      </c>
      <c t="s">
        <v>45031</v>
      </c>
      <c t="s">
        <v>16200</v>
      </c>
      <c t="s">
        <v>12532</v>
      </c>
      <c t="s">
        <v>64736</v>
      </c>
      <c t="s">
        <v>12532</v>
      </c>
      <c t="s">
        <v>35744</v>
      </c>
      <c t="s">
        <v>22731</v>
      </c>
      <c t="s">
        <v>2517</v>
      </c>
      <c t="s">
        <v>39289</v>
      </c>
      <c>
        <v>33909</v>
      </c>
      <c t="s">
        <v>57047</v>
      </c>
      <c t="s">
        <v>48794</v>
      </c>
      <c t="s">
        <v>21472</v>
      </c>
      <c>
        <v>41</v>
      </c>
      <c r="AI3784" t="s">
        <v>13593</v>
      </c>
      <c t="s">
        <v>45393</v>
      </c>
      <c r="AL3784" t="s">
        <v>38053</v>
      </c>
      <c r="AN3784" t="s">
        <v>27747</v>
      </c>
      <c t="s">
        <v>33136</v>
      </c>
      <c t="s">
        <v>4797</v>
      </c>
      <c t="s">
        <v>3093</v>
      </c>
      <c t="s">
        <v>9473</v>
      </c>
    </row>
    <row>
      <c t="s">
        <v>17594</v>
      </c>
      <c t="s">
        <v>54553</v>
      </c>
      <c t="s">
        <v>12496</v>
      </c>
      <c t="s">
        <v>55475</v>
      </c>
      <c t="s">
        <v>61262</v>
      </c>
      <c s="3">
        <v>10000</v>
      </c>
      <c s="3">
        <v>10000</v>
      </c>
      <c s="3">
        <v>4675</v>
      </c>
      <c>
        <v>0</v>
      </c>
      <c s="3">
        <v>0</v>
      </c>
      <c s="3">
        <v>110.52</v>
      </c>
      <c s="3">
        <v>10000</v>
      </c>
      <c r="O3785" s="1" t="str">
        <f ca="1">HYPERLINK("https://web.datatree.com/?/property?propertyId=33433596", "https://web.datatree.com/?/property?propertyId=33433596")</f>
        <v>https://web.datatree.com/?/property?propertyId=33433596</v>
      </c>
      <c r="Q3785" t="s">
        <v>316</v>
      </c>
      <c>
        <v>0.139</v>
      </c>
      <c t="s">
        <v>66399</v>
      </c>
      <c t="s">
        <v>7346</v>
      </c>
      <c t="s">
        <v>41760</v>
      </c>
      <c t="s">
        <v>17594</v>
      </c>
      <c t="s">
        <v>21026</v>
      </c>
      <c t="s">
        <v>9089</v>
      </c>
      <c t="s">
        <v>13397</v>
      </c>
      <c t="s">
        <v>65059</v>
      </c>
      <c t="s">
        <v>39289</v>
      </c>
      <c>
        <v>33905</v>
      </c>
      <c t="s">
        <v>13228</v>
      </c>
      <c t="s">
        <v>48794</v>
      </c>
      <c t="s">
        <v>30621</v>
      </c>
      <c>
        <v>1555</v>
      </c>
      <c r="AI3785" t="s">
        <v>38220</v>
      </c>
      <c t="s">
        <v>40123</v>
      </c>
      <c r="AL3785" t="s">
        <v>55393</v>
      </c>
      <c r="AN3785" t="s">
        <v>39289</v>
      </c>
      <c t="s">
        <v>18011</v>
      </c>
      <c t="s">
        <v>51114</v>
      </c>
      <c t="s">
        <v>3093</v>
      </c>
      <c t="s">
        <v>8984</v>
      </c>
    </row>
    <row>
      <c t="s">
        <v>17594</v>
      </c>
      <c t="s">
        <v>55194</v>
      </c>
      <c t="s">
        <v>26033</v>
      </c>
      <c t="s">
        <v>7772</v>
      </c>
      <c t="s">
        <v>8466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3786" s="1" t="str">
        <f ca="1">HYPERLINK("https://web.datatree.com/?/property?propertyId=33434341", "https://web.datatree.com/?/property?propertyId=33434341")</f>
        <v>https://web.datatree.com/?/property?propertyId=33434341</v>
      </c>
      <c r="Q3786" t="s">
        <v>316</v>
      </c>
      <c>
        <v>0.288</v>
      </c>
      <c t="s">
        <v>37489</v>
      </c>
      <c t="s">
        <v>3540</v>
      </c>
      <c t="s">
        <v>44647</v>
      </c>
      <c t="s">
        <v>12889</v>
      </c>
      <c t="s">
        <v>44647</v>
      </c>
      <c t="s">
        <v>5946</v>
      </c>
      <c t="s">
        <v>10854</v>
      </c>
      <c t="s">
        <v>65059</v>
      </c>
      <c t="s">
        <v>39289</v>
      </c>
      <c>
        <v>33905</v>
      </c>
      <c t="s">
        <v>8820</v>
      </c>
      <c t="s">
        <v>48794</v>
      </c>
      <c t="s">
        <v>39659</v>
      </c>
      <c>
        <v>436</v>
      </c>
      <c r="AI3786" t="s">
        <v>41142</v>
      </c>
      <c t="s">
        <v>24900</v>
      </c>
      <c r="AL3786" t="s">
        <v>42521</v>
      </c>
      <c r="AN3786" t="s">
        <v>50917</v>
      </c>
      <c t="s">
        <v>58156</v>
      </c>
      <c t="s">
        <v>19978</v>
      </c>
      <c t="s">
        <v>3093</v>
      </c>
      <c t="s">
        <v>63185</v>
      </c>
    </row>
    <row>
      <c t="s">
        <v>42103</v>
      </c>
      <c t="s">
        <v>62958</v>
      </c>
      <c t="s">
        <v>64738</v>
      </c>
      <c t="s">
        <v>47380</v>
      </c>
      <c t="s">
        <v>48722</v>
      </c>
      <c s="3">
        <v>36210</v>
      </c>
      <c s="3">
        <v>36210</v>
      </c>
      <c s="3">
        <v>9339</v>
      </c>
      <c>
        <v>0</v>
      </c>
      <c s="3">
        <v>0</v>
      </c>
      <c s="3">
        <v>700.95</v>
      </c>
      <c s="3">
        <v>36210</v>
      </c>
      <c r="O3787" s="1" t="str">
        <f ca="1">HYPERLINK("https://web.datatree.com/?/property?propertyId=33434617", "https://web.datatree.com/?/property?propertyId=33434617")</f>
        <v>https://web.datatree.com/?/property?propertyId=33434617</v>
      </c>
      <c r="Q3787" t="s">
        <v>316</v>
      </c>
      <c>
        <v>0.275</v>
      </c>
      <c t="s">
        <v>32782</v>
      </c>
      <c t="s">
        <v>25353</v>
      </c>
      <c t="s">
        <v>18314</v>
      </c>
      <c t="s">
        <v>51968</v>
      </c>
      <c t="s">
        <v>18314</v>
      </c>
      <c t="s">
        <v>65614</v>
      </c>
      <c t="s">
        <v>8669</v>
      </c>
      <c t="s">
        <v>2517</v>
      </c>
      <c t="s">
        <v>39289</v>
      </c>
      <c>
        <v>33909</v>
      </c>
      <c t="s">
        <v>54443</v>
      </c>
      <c t="s">
        <v>48794</v>
      </c>
      <c t="s">
        <v>32872</v>
      </c>
      <c r="AI3787" t="s">
        <v>11881</v>
      </c>
      <c r="AL3787" t="s">
        <v>2143</v>
      </c>
      <c r="AN3787" t="s">
        <v>14798</v>
      </c>
      <c t="s">
        <v>63531</v>
      </c>
      <c t="s">
        <v>44380</v>
      </c>
      <c t="s">
        <v>3093</v>
      </c>
      <c t="s">
        <v>38005</v>
      </c>
    </row>
    <row>
      <c t="s">
        <v>17594</v>
      </c>
      <c t="s">
        <v>51176</v>
      </c>
      <c t="s">
        <v>54164</v>
      </c>
      <c t="s">
        <v>23772</v>
      </c>
      <c t="s">
        <v>26034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3788" s="1" t="str">
        <f ca="1">HYPERLINK("https://web.datatree.com/?/property?propertyId=33435313", "https://web.datatree.com/?/property?propertyId=33435313")</f>
        <v>https://web.datatree.com/?/property?propertyId=33435313</v>
      </c>
      <c r="Q3788" t="s">
        <v>316</v>
      </c>
      <c>
        <v>0.23</v>
      </c>
      <c t="s">
        <v>22490</v>
      </c>
      <c t="s">
        <v>5831</v>
      </c>
      <c t="s">
        <v>62509</v>
      </c>
      <c t="s">
        <v>67028</v>
      </c>
      <c t="s">
        <v>62509</v>
      </c>
      <c t="s">
        <v>64402</v>
      </c>
      <c t="s">
        <v>30928</v>
      </c>
      <c t="s">
        <v>2517</v>
      </c>
      <c t="s">
        <v>39289</v>
      </c>
      <c>
        <v>33909</v>
      </c>
      <c t="s">
        <v>40424</v>
      </c>
      <c t="s">
        <v>48794</v>
      </c>
      <c t="s">
        <v>25377</v>
      </c>
      <c>
        <v>429</v>
      </c>
      <c r="AH3788" t="s">
        <v>57851</v>
      </c>
      <c t="s">
        <v>8956</v>
      </c>
      <c t="s">
        <v>24900</v>
      </c>
      <c r="AL3788" t="s">
        <v>17856</v>
      </c>
      <c r="AN3788" t="s">
        <v>50829</v>
      </c>
      <c t="s">
        <v>7439</v>
      </c>
      <c t="s">
        <v>33029</v>
      </c>
      <c t="s">
        <v>3093</v>
      </c>
      <c t="s">
        <v>35562</v>
      </c>
    </row>
    <row>
      <c t="s">
        <v>17594</v>
      </c>
      <c t="s">
        <v>21943</v>
      </c>
      <c t="s">
        <v>46392</v>
      </c>
      <c t="s">
        <v>48680</v>
      </c>
      <c t="s">
        <v>57824</v>
      </c>
      <c s="3">
        <v>8640</v>
      </c>
      <c s="3">
        <v>8640</v>
      </c>
      <c s="3">
        <v>4972</v>
      </c>
      <c>
        <v>0</v>
      </c>
      <c s="3">
        <v>0</v>
      </c>
      <c s="3">
        <v>316.66</v>
      </c>
      <c s="3">
        <v>8640</v>
      </c>
      <c r="O3789" s="1" t="str">
        <f ca="1">HYPERLINK("https://web.datatree.com/?/property?propertyId=33435963", "https://web.datatree.com/?/property?propertyId=33435963")</f>
        <v>https://web.datatree.com/?/property?propertyId=33435963</v>
      </c>
      <c r="Q3789" t="s">
        <v>316</v>
      </c>
      <c>
        <v>0.237</v>
      </c>
      <c t="s">
        <v>5471</v>
      </c>
      <c t="s">
        <v>52701</v>
      </c>
      <c t="s">
        <v>62547</v>
      </c>
      <c r="X3789" t="s">
        <v>66897</v>
      </c>
      <c t="s">
        <v>58506</v>
      </c>
      <c t="s">
        <v>65059</v>
      </c>
      <c t="s">
        <v>39289</v>
      </c>
      <c>
        <v>33905</v>
      </c>
      <c t="s">
        <v>18698</v>
      </c>
      <c t="s">
        <v>48794</v>
      </c>
      <c t="s">
        <v>35292</v>
      </c>
      <c>
        <v>239</v>
      </c>
      <c r="AI3789" t="s">
        <v>60471</v>
      </c>
      <c t="s">
        <v>45393</v>
      </c>
      <c>
        <v>8</v>
      </c>
      <c t="s">
        <v>13397</v>
      </c>
      <c t="s">
        <v>40227</v>
      </c>
      <c t="s">
        <v>50917</v>
      </c>
      <c>
        <v>10128</v>
      </c>
      <c t="s">
        <v>2477</v>
      </c>
      <c t="s">
        <v>3093</v>
      </c>
      <c t="s">
        <v>38826</v>
      </c>
    </row>
    <row>
      <c t="s">
        <v>17594</v>
      </c>
      <c t="s">
        <v>27444</v>
      </c>
      <c t="s">
        <v>15519</v>
      </c>
      <c t="s">
        <v>66588</v>
      </c>
      <c t="s">
        <v>30608</v>
      </c>
      <c s="3">
        <v>75961</v>
      </c>
      <c s="3">
        <v>63500</v>
      </c>
      <c s="3">
        <v>75961</v>
      </c>
      <c>
        <v>0</v>
      </c>
      <c s="3">
        <v>0</v>
      </c>
      <c s="3">
        <v>1142.13</v>
      </c>
      <c s="3">
        <v>75961</v>
      </c>
      <c r="O3790" s="1" t="str">
        <f ca="1">HYPERLINK("https://web.datatree.com/?/property?propertyId=33436564", "https://web.datatree.com/?/property?propertyId=33436564")</f>
        <v>https://web.datatree.com/?/property?propertyId=33436564</v>
      </c>
      <c r="Q3790" t="s">
        <v>316</v>
      </c>
      <c>
        <v>0.094</v>
      </c>
      <c t="s">
        <v>26492</v>
      </c>
      <c t="s">
        <v>58113</v>
      </c>
      <c t="s">
        <v>7553</v>
      </c>
      <c t="s">
        <v>26059</v>
      </c>
      <c t="s">
        <v>16303</v>
      </c>
      <c t="s">
        <v>23096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52572</v>
      </c>
      <c>
        <v>901</v>
      </c>
      <c r="AI3790" t="s">
        <v>19285</v>
      </c>
      <c t="s">
        <v>8550</v>
      </c>
      <c r="AL3790" t="s">
        <v>24180</v>
      </c>
      <c t="s">
        <v>24180</v>
      </c>
      <c t="s">
        <v>39289</v>
      </c>
      <c t="s">
        <v>36127</v>
      </c>
      <c t="s">
        <v>702</v>
      </c>
      <c t="s">
        <v>3093</v>
      </c>
      <c t="s">
        <v>49234</v>
      </c>
    </row>
    <row>
      <c t="s">
        <v>17594</v>
      </c>
      <c t="s">
        <v>26819</v>
      </c>
      <c t="s">
        <v>45358</v>
      </c>
      <c t="s">
        <v>28582</v>
      </c>
      <c t="s">
        <v>13952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791" s="1" t="str">
        <f ca="1">HYPERLINK("https://web.datatree.com/?/property?propertyId=33437065", "https://web.datatree.com/?/property?propertyId=33437065")</f>
        <v>https://web.datatree.com/?/property?propertyId=33437065</v>
      </c>
      <c r="Q3791" t="s">
        <v>316</v>
      </c>
      <c>
        <v>0.23</v>
      </c>
      <c t="s">
        <v>6175</v>
      </c>
      <c t="s">
        <v>21379</v>
      </c>
      <c t="s">
        <v>64864</v>
      </c>
      <c r="X3791" t="s">
        <v>52599</v>
      </c>
      <c t="s">
        <v>8669</v>
      </c>
      <c t="s">
        <v>2517</v>
      </c>
      <c t="s">
        <v>39289</v>
      </c>
      <c>
        <v>33909</v>
      </c>
      <c t="s">
        <v>24905</v>
      </c>
      <c t="s">
        <v>48794</v>
      </c>
      <c t="s">
        <v>33864</v>
      </c>
      <c>
        <v>12840</v>
      </c>
      <c r="AI3791" t="s">
        <v>60882</v>
      </c>
      <c t="s">
        <v>45393</v>
      </c>
      <c r="AL3791" t="s">
        <v>16664</v>
      </c>
      <c t="s">
        <v>16664</v>
      </c>
      <c t="s">
        <v>9387</v>
      </c>
      <c t="s">
        <v>19368</v>
      </c>
      <c t="s">
        <v>53476</v>
      </c>
      <c t="s">
        <v>3093</v>
      </c>
      <c t="s">
        <v>65233</v>
      </c>
    </row>
    <row>
      <c t="s">
        <v>17594</v>
      </c>
      <c t="s">
        <v>31912</v>
      </c>
      <c t="s">
        <v>10442</v>
      </c>
      <c t="s">
        <v>63206</v>
      </c>
      <c t="s">
        <v>67150</v>
      </c>
      <c s="3">
        <v>22152</v>
      </c>
      <c s="3">
        <v>22152</v>
      </c>
      <c s="3">
        <v>8800</v>
      </c>
      <c>
        <v>0</v>
      </c>
      <c s="3">
        <v>0</v>
      </c>
      <c s="3">
        <v>678.39</v>
      </c>
      <c s="3">
        <v>22152</v>
      </c>
      <c r="O3792" s="1" t="str">
        <f ca="1">HYPERLINK("https://web.datatree.com/?/property?propertyId=33437107", "https://web.datatree.com/?/property?propertyId=33437107")</f>
        <v>https://web.datatree.com/?/property?propertyId=33437107</v>
      </c>
      <c r="Q3792" t="s">
        <v>316</v>
      </c>
      <c>
        <v>0.344</v>
      </c>
      <c t="s">
        <v>22490</v>
      </c>
      <c t="s">
        <v>45883</v>
      </c>
      <c t="s">
        <v>9592</v>
      </c>
      <c r="X3792" t="s">
        <v>33337</v>
      </c>
      <c t="s">
        <v>2626</v>
      </c>
      <c t="s">
        <v>2517</v>
      </c>
      <c t="s">
        <v>39289</v>
      </c>
      <c>
        <v>33909</v>
      </c>
      <c t="s">
        <v>58671</v>
      </c>
      <c t="s">
        <v>48794</v>
      </c>
      <c t="s">
        <v>58268</v>
      </c>
      <c>
        <v>30638</v>
      </c>
      <c r="AI3792" t="s">
        <v>37375</v>
      </c>
      <c t="s">
        <v>31192</v>
      </c>
      <c r="AL3792" t="s">
        <v>8628</v>
      </c>
      <c t="s">
        <v>8628</v>
      </c>
      <c t="s">
        <v>39289</v>
      </c>
      <c t="s">
        <v>6040</v>
      </c>
      <c t="s">
        <v>8296</v>
      </c>
      <c t="s">
        <v>3093</v>
      </c>
      <c t="s">
        <v>33160</v>
      </c>
    </row>
    <row>
      <c t="s">
        <v>42103</v>
      </c>
      <c t="s">
        <v>17317</v>
      </c>
      <c t="s">
        <v>9896</v>
      </c>
      <c t="s">
        <v>1036</v>
      </c>
      <c t="s">
        <v>46587</v>
      </c>
      <c s="3">
        <v>23352</v>
      </c>
      <c s="3">
        <v>23352</v>
      </c>
      <c s="3">
        <v>23352</v>
      </c>
      <c>
        <v>0</v>
      </c>
      <c s="3">
        <v>0</v>
      </c>
      <c s="3">
        <v>764.93</v>
      </c>
      <c s="3">
        <v>23352</v>
      </c>
      <c r="O3793" s="1" t="str">
        <f ca="1">HYPERLINK("https://web.datatree.com/?/property?propertyId=33437214", "https://web.datatree.com/?/property?propertyId=33437214")</f>
        <v>https://web.datatree.com/?/property?propertyId=33437214</v>
      </c>
      <c r="Q3793" t="s">
        <v>316</v>
      </c>
      <c>
        <v>0.254</v>
      </c>
      <c t="s">
        <v>22490</v>
      </c>
      <c t="s">
        <v>61373</v>
      </c>
      <c t="s">
        <v>33459</v>
      </c>
      <c r="X3793" t="s">
        <v>22831</v>
      </c>
      <c t="s">
        <v>49122</v>
      </c>
      <c t="s">
        <v>2517</v>
      </c>
      <c t="s">
        <v>39289</v>
      </c>
      <c>
        <v>33909</v>
      </c>
      <c t="s">
        <v>29860</v>
      </c>
      <c t="s">
        <v>48794</v>
      </c>
      <c t="s">
        <v>23818</v>
      </c>
      <c r="AI3793" t="s">
        <v>9611</v>
      </c>
      <c r="AL3793" t="s">
        <v>5299</v>
      </c>
      <c t="s">
        <v>5299</v>
      </c>
      <c t="s">
        <v>4477</v>
      </c>
      <c>
        <v>98625</v>
      </c>
      <c t="s">
        <v>31451</v>
      </c>
      <c t="s">
        <v>3093</v>
      </c>
      <c t="s">
        <v>38318</v>
      </c>
    </row>
    <row>
      <c t="s">
        <v>17594</v>
      </c>
      <c t="s">
        <v>35340</v>
      </c>
      <c t="s">
        <v>5536</v>
      </c>
      <c t="s">
        <v>32206</v>
      </c>
      <c t="s">
        <v>17159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794" s="1" t="str">
        <f ca="1">HYPERLINK("https://web.datatree.com/?/property?propertyId=33437528", "https://web.datatree.com/?/property?propertyId=33437528")</f>
        <v>https://web.datatree.com/?/property?propertyId=33437528</v>
      </c>
      <c r="Q3794" t="s">
        <v>316</v>
      </c>
      <c>
        <v>0.23</v>
      </c>
      <c t="s">
        <v>6175</v>
      </c>
      <c t="s">
        <v>10361</v>
      </c>
      <c t="s">
        <v>61431</v>
      </c>
      <c t="s">
        <v>34344</v>
      </c>
      <c t="s">
        <v>61431</v>
      </c>
      <c t="s">
        <v>6440</v>
      </c>
      <c t="s">
        <v>39832</v>
      </c>
      <c t="s">
        <v>2517</v>
      </c>
      <c t="s">
        <v>39289</v>
      </c>
      <c>
        <v>33909</v>
      </c>
      <c t="s">
        <v>46338</v>
      </c>
      <c t="s">
        <v>48794</v>
      </c>
      <c t="s">
        <v>40702</v>
      </c>
      <c>
        <v>2645</v>
      </c>
      <c r="AI3794" t="s">
        <v>3217</v>
      </c>
      <c t="s">
        <v>24900</v>
      </c>
      <c>
        <v>213</v>
      </c>
      <c t="s">
        <v>32381</v>
      </c>
      <c r="AN3794" t="s">
        <v>39289</v>
      </c>
      <c t="s">
        <v>56610</v>
      </c>
      <c t="s">
        <v>60333</v>
      </c>
      <c t="s">
        <v>3093</v>
      </c>
      <c t="s">
        <v>35331</v>
      </c>
    </row>
    <row>
      <c t="s">
        <v>17594</v>
      </c>
      <c t="s">
        <v>35249</v>
      </c>
      <c t="s">
        <v>12100</v>
      </c>
      <c t="s">
        <v>55621</v>
      </c>
      <c t="s">
        <v>29242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3795" s="1" t="str">
        <f ca="1">HYPERLINK("https://web.datatree.com/?/property?propertyId=33438463", "https://web.datatree.com/?/property?propertyId=33438463")</f>
        <v>https://web.datatree.com/?/property?propertyId=33438463</v>
      </c>
      <c r="Q3795" t="s">
        <v>316</v>
      </c>
      <c>
        <v>0.23</v>
      </c>
      <c t="s">
        <v>22490</v>
      </c>
      <c t="s">
        <v>22679</v>
      </c>
      <c t="s">
        <v>46154</v>
      </c>
      <c r="X3795" t="s">
        <v>58710</v>
      </c>
      <c t="s">
        <v>38550</v>
      </c>
      <c t="s">
        <v>2517</v>
      </c>
      <c t="s">
        <v>39289</v>
      </c>
      <c>
        <v>33909</v>
      </c>
      <c t="s">
        <v>50393</v>
      </c>
      <c t="s">
        <v>48794</v>
      </c>
      <c t="s">
        <v>37708</v>
      </c>
      <c>
        <v>1813</v>
      </c>
      <c r="AI3795" t="s">
        <v>31272</v>
      </c>
      <c t="s">
        <v>41372</v>
      </c>
      <c r="AL3795" t="s">
        <v>309</v>
      </c>
      <c t="s">
        <v>309</v>
      </c>
      <c t="s">
        <v>26304</v>
      </c>
      <c t="s">
        <v>52979</v>
      </c>
      <c t="s">
        <v>35354</v>
      </c>
      <c t="s">
        <v>3093</v>
      </c>
      <c t="s">
        <v>46066</v>
      </c>
    </row>
    <row>
      <c t="s">
        <v>17594</v>
      </c>
      <c t="s">
        <v>15864</v>
      </c>
      <c t="s">
        <v>62606</v>
      </c>
      <c t="s">
        <v>56212</v>
      </c>
      <c t="s">
        <v>66989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3796" s="1" t="str">
        <f ca="1">HYPERLINK("https://web.datatree.com/?/property?propertyId=33439093", "https://web.datatree.com/?/property?propertyId=33439093")</f>
        <v>https://web.datatree.com/?/property?propertyId=33439093</v>
      </c>
      <c r="Q3796" t="s">
        <v>316</v>
      </c>
      <c>
        <v>0.23</v>
      </c>
      <c t="s">
        <v>22490</v>
      </c>
      <c t="s">
        <v>50437</v>
      </c>
      <c t="s">
        <v>16646</v>
      </c>
      <c t="s">
        <v>5941</v>
      </c>
      <c t="s">
        <v>16646</v>
      </c>
      <c t="s">
        <v>28903</v>
      </c>
      <c t="s">
        <v>10653</v>
      </c>
      <c t="s">
        <v>2517</v>
      </c>
      <c t="s">
        <v>39289</v>
      </c>
      <c>
        <v>33904</v>
      </c>
      <c t="s">
        <v>42778</v>
      </c>
      <c t="s">
        <v>48794</v>
      </c>
      <c t="s">
        <v>35166</v>
      </c>
      <c>
        <v>7600</v>
      </c>
      <c r="AI3796" t="s">
        <v>2243</v>
      </c>
      <c t="s">
        <v>20615</v>
      </c>
      <c t="s">
        <v>20366</v>
      </c>
      <c t="s">
        <v>56386</v>
      </c>
      <c t="s">
        <v>13397</v>
      </c>
      <c t="s">
        <v>50917</v>
      </c>
      <c t="s">
        <v>62893</v>
      </c>
      <c t="s">
        <v>12241</v>
      </c>
      <c t="s">
        <v>3093</v>
      </c>
      <c t="s">
        <v>13214</v>
      </c>
    </row>
    <row>
      <c t="s">
        <v>17594</v>
      </c>
      <c t="s">
        <v>53444</v>
      </c>
      <c t="s">
        <v>12633</v>
      </c>
      <c t="s">
        <v>19370</v>
      </c>
      <c t="s">
        <v>41494</v>
      </c>
      <c s="3">
        <v>93570</v>
      </c>
      <c s="3">
        <v>93570</v>
      </c>
      <c s="3">
        <v>93570</v>
      </c>
      <c>
        <v>0</v>
      </c>
      <c s="3">
        <v>0</v>
      </c>
      <c s="3">
        <v>2528.91</v>
      </c>
      <c s="3">
        <v>93570</v>
      </c>
      <c r="O3797" s="1" t="str">
        <f ca="1">HYPERLINK("https://web.datatree.com/?/property?propertyId=33439205", "https://web.datatree.com/?/property?propertyId=33439205")</f>
        <v>https://web.datatree.com/?/property?propertyId=33439205</v>
      </c>
      <c r="Q3797" t="s">
        <v>316</v>
      </c>
      <c>
        <v>0.266</v>
      </c>
      <c t="s">
        <v>22490</v>
      </c>
      <c t="s">
        <v>23807</v>
      </c>
      <c t="s">
        <v>27696</v>
      </c>
      <c t="s">
        <v>46578</v>
      </c>
      <c t="s">
        <v>53848</v>
      </c>
      <c t="s">
        <v>19088</v>
      </c>
      <c t="s">
        <v>33335</v>
      </c>
      <c t="s">
        <v>2517</v>
      </c>
      <c t="s">
        <v>39289</v>
      </c>
      <c>
        <v>33904</v>
      </c>
      <c t="s">
        <v>22473</v>
      </c>
      <c t="s">
        <v>48794</v>
      </c>
      <c t="s">
        <v>52626</v>
      </c>
      <c>
        <v>177</v>
      </c>
      <c r="AI3797" t="s">
        <v>18133</v>
      </c>
      <c t="s">
        <v>31192</v>
      </c>
      <c r="AL3797" t="s">
        <v>63181</v>
      </c>
      <c t="s">
        <v>63181</v>
      </c>
      <c t="s">
        <v>19878</v>
      </c>
      <c t="s">
        <v>16510</v>
      </c>
      <c t="s">
        <v>11138</v>
      </c>
      <c t="s">
        <v>3093</v>
      </c>
      <c t="s">
        <v>67122</v>
      </c>
    </row>
    <row>
      <c t="s">
        <v>42103</v>
      </c>
      <c t="s">
        <v>41426</v>
      </c>
      <c t="s">
        <v>31887</v>
      </c>
      <c t="s">
        <v>19269</v>
      </c>
      <c t="s">
        <v>48621</v>
      </c>
      <c s="3">
        <v>22874</v>
      </c>
      <c s="3">
        <v>22874</v>
      </c>
      <c s="3">
        <v>9433</v>
      </c>
      <c>
        <v>0</v>
      </c>
      <c s="3">
        <v>0</v>
      </c>
      <c s="3">
        <v>413.07</v>
      </c>
      <c s="3">
        <v>22874</v>
      </c>
      <c r="O3798" s="1" t="str">
        <f ca="1">HYPERLINK("https://web.datatree.com/?/property?propertyId=33441207", "https://web.datatree.com/?/property?propertyId=33441207")</f>
        <v>https://web.datatree.com/?/property?propertyId=33441207</v>
      </c>
      <c r="Q3798" t="s">
        <v>316</v>
      </c>
      <c>
        <v>0.226</v>
      </c>
      <c t="s">
        <v>5471</v>
      </c>
      <c t="s">
        <v>54854</v>
      </c>
      <c t="s">
        <v>35571</v>
      </c>
      <c r="X3798" t="s">
        <v>18705</v>
      </c>
      <c t="s">
        <v>10881</v>
      </c>
      <c t="s">
        <v>65059</v>
      </c>
      <c t="s">
        <v>39289</v>
      </c>
      <c>
        <v>33905</v>
      </c>
      <c t="s">
        <v>40154</v>
      </c>
      <c t="s">
        <v>48794</v>
      </c>
      <c t="s">
        <v>37806</v>
      </c>
      <c r="AI3798" t="s">
        <v>38803</v>
      </c>
      <c r="AL3798" t="s">
        <v>6144</v>
      </c>
      <c r="AN3798" t="s">
        <v>50917</v>
      </c>
      <c>
        <v>10469</v>
      </c>
      <c t="s">
        <v>31451</v>
      </c>
      <c t="s">
        <v>3093</v>
      </c>
      <c t="s">
        <v>45775</v>
      </c>
    </row>
    <row>
      <c t="s">
        <v>17594</v>
      </c>
      <c t="s">
        <v>38517</v>
      </c>
      <c t="s">
        <v>1786</v>
      </c>
      <c t="s">
        <v>9712</v>
      </c>
      <c t="s">
        <v>27146</v>
      </c>
      <c s="3">
        <v>1125017</v>
      </c>
      <c s="3">
        <v>1112410</v>
      </c>
      <c s="3">
        <v>1108368</v>
      </c>
      <c>
        <v>0</v>
      </c>
      <c s="3">
        <v>0</v>
      </c>
      <c s="3">
        <v>15257.07</v>
      </c>
      <c s="3">
        <v>1125017</v>
      </c>
      <c r="O3799" s="1" t="str">
        <f ca="1">HYPERLINK("https://web.datatree.com/?/property?propertyId=33442407", "https://web.datatree.com/?/property?propertyId=33442407")</f>
        <v>https://web.datatree.com/?/property?propertyId=33442407</v>
      </c>
      <c r="Q3799" t="s">
        <v>316</v>
      </c>
      <c>
        <v>0.76</v>
      </c>
      <c t="s">
        <v>29818</v>
      </c>
      <c t="s">
        <v>552</v>
      </c>
      <c t="s">
        <v>55832</v>
      </c>
      <c t="s">
        <v>53790</v>
      </c>
      <c t="s">
        <v>55832</v>
      </c>
      <c t="s">
        <v>42661</v>
      </c>
      <c t="s">
        <v>42842</v>
      </c>
      <c t="s">
        <v>65059</v>
      </c>
      <c t="s">
        <v>39289</v>
      </c>
      <c>
        <v>33908</v>
      </c>
      <c t="s">
        <v>66498</v>
      </c>
      <c t="s">
        <v>48794</v>
      </c>
      <c t="s">
        <v>39384</v>
      </c>
      <c>
        <v>100</v>
      </c>
      <c r="AI3799" t="s">
        <v>40319</v>
      </c>
      <c t="s">
        <v>4985</v>
      </c>
      <c t="s">
        <v>18456</v>
      </c>
      <c t="s">
        <v>45566</v>
      </c>
      <c t="s">
        <v>45566</v>
      </c>
      <c t="s">
        <v>3034</v>
      </c>
      <c t="s">
        <v>50449</v>
      </c>
      <c t="s">
        <v>65563</v>
      </c>
      <c t="s">
        <v>3093</v>
      </c>
      <c t="s">
        <v>25863</v>
      </c>
    </row>
    <row>
      <c t="s">
        <v>17594</v>
      </c>
      <c t="s">
        <v>36629</v>
      </c>
      <c t="s">
        <v>622</v>
      </c>
      <c t="s">
        <v>66739</v>
      </c>
      <c t="s">
        <v>28243</v>
      </c>
      <c s="3">
        <v>12544</v>
      </c>
      <c s="3">
        <v>12544</v>
      </c>
      <c s="3">
        <v>6389</v>
      </c>
      <c>
        <v>0</v>
      </c>
      <c s="3">
        <v>0</v>
      </c>
      <c s="3">
        <v>324.45</v>
      </c>
      <c s="3">
        <v>12544</v>
      </c>
      <c r="O3800" s="1" t="str">
        <f ca="1">HYPERLINK("https://web.datatree.com/?/property?propertyId=33442673", "https://web.datatree.com/?/property?propertyId=33442673")</f>
        <v>https://web.datatree.com/?/property?propertyId=33442673</v>
      </c>
      <c r="Q3800" t="s">
        <v>316</v>
      </c>
      <c>
        <v>0.231</v>
      </c>
      <c t="s">
        <v>5471</v>
      </c>
      <c t="s">
        <v>3152</v>
      </c>
      <c t="s">
        <v>34649</v>
      </c>
      <c t="s">
        <v>50703</v>
      </c>
      <c t="s">
        <v>34649</v>
      </c>
      <c t="s">
        <v>35952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26541</v>
      </c>
      <c>
        <v>92</v>
      </c>
      <c r="AI3800" t="s">
        <v>35113</v>
      </c>
      <c t="s">
        <v>45620</v>
      </c>
      <c r="AL3800" t="s">
        <v>2394</v>
      </c>
      <c r="AN3800" t="s">
        <v>10909</v>
      </c>
      <c t="s">
        <v>57941</v>
      </c>
      <c r="AQ3800" t="s">
        <v>27814</v>
      </c>
      <c t="s">
        <v>58769</v>
      </c>
    </row>
    <row>
      <c t="s">
        <v>17594</v>
      </c>
      <c t="s">
        <v>37153</v>
      </c>
      <c t="s">
        <v>6136</v>
      </c>
      <c t="s">
        <v>7293</v>
      </c>
      <c t="s">
        <v>60002</v>
      </c>
      <c s="3">
        <v>7600</v>
      </c>
      <c s="3">
        <v>7600</v>
      </c>
      <c s="3">
        <v>7600</v>
      </c>
      <c>
        <v>0</v>
      </c>
      <c s="3">
        <v>0</v>
      </c>
      <c s="3">
        <v>636.05</v>
      </c>
      <c s="3">
        <v>7600</v>
      </c>
      <c r="O3801" s="1" t="str">
        <f ca="1">HYPERLINK("https://web.datatree.com/?/property?propertyId=33442796", "https://web.datatree.com/?/property?propertyId=33442796")</f>
        <v>https://web.datatree.com/?/property?propertyId=33442796</v>
      </c>
      <c r="Q3801" t="s">
        <v>316</v>
      </c>
      <c>
        <v>0.23</v>
      </c>
      <c t="s">
        <v>6175</v>
      </c>
      <c t="s">
        <v>3805</v>
      </c>
      <c t="s">
        <v>14394</v>
      </c>
      <c r="X3801" t="s">
        <v>52873</v>
      </c>
      <c t="s">
        <v>23517</v>
      </c>
      <c t="s">
        <v>2517</v>
      </c>
      <c t="s">
        <v>39289</v>
      </c>
      <c>
        <v>33909</v>
      </c>
      <c t="s">
        <v>25791</v>
      </c>
      <c t="s">
        <v>48794</v>
      </c>
      <c t="s">
        <v>42313</v>
      </c>
      <c>
        <v>9</v>
      </c>
      <c r="AI3801" t="s">
        <v>63593</v>
      </c>
      <c t="s">
        <v>45393</v>
      </c>
      <c r="AL3801" t="s">
        <v>38829</v>
      </c>
      <c t="s">
        <v>46764</v>
      </c>
      <c t="s">
        <v>27747</v>
      </c>
      <c t="s">
        <v>40334</v>
      </c>
      <c t="s">
        <v>34162</v>
      </c>
      <c t="s">
        <v>3093</v>
      </c>
      <c t="s">
        <v>16415</v>
      </c>
    </row>
    <row>
      <c t="s">
        <v>17594</v>
      </c>
      <c t="s">
        <v>48763</v>
      </c>
      <c t="s">
        <v>22552</v>
      </c>
      <c t="s">
        <v>27396</v>
      </c>
      <c t="s">
        <v>40398</v>
      </c>
      <c s="3">
        <v>13400</v>
      </c>
      <c s="3">
        <v>13400</v>
      </c>
      <c s="3">
        <v>13400</v>
      </c>
      <c>
        <v>0</v>
      </c>
      <c s="3">
        <v>0</v>
      </c>
      <c s="3">
        <v>214.01</v>
      </c>
      <c s="3">
        <v>13400</v>
      </c>
      <c r="O3802" s="1" t="str">
        <f ca="1">HYPERLINK("https://web.datatree.com/?/property?propertyId=33442875", "https://web.datatree.com/?/property?propertyId=33442875")</f>
        <v>https://web.datatree.com/?/property?propertyId=33442875</v>
      </c>
      <c r="Q3802" t="s">
        <v>316</v>
      </c>
      <c>
        <v>0.222</v>
      </c>
      <c t="s">
        <v>5471</v>
      </c>
      <c t="s">
        <v>18484</v>
      </c>
      <c t="s">
        <v>30466</v>
      </c>
      <c r="X3802" t="s">
        <v>53631</v>
      </c>
      <c t="s">
        <v>9380</v>
      </c>
      <c t="s">
        <v>54524</v>
      </c>
      <c t="s">
        <v>39289</v>
      </c>
      <c>
        <v>33903</v>
      </c>
      <c t="s">
        <v>22122</v>
      </c>
      <c t="s">
        <v>48794</v>
      </c>
      <c t="s">
        <v>26449</v>
      </c>
      <c>
        <v>339</v>
      </c>
      <c r="AI3802" t="s">
        <v>56042</v>
      </c>
      <c t="s">
        <v>55842</v>
      </c>
      <c r="AL3802" t="s">
        <v>30060</v>
      </c>
      <c t="s">
        <v>30060</v>
      </c>
      <c t="s">
        <v>50917</v>
      </c>
      <c t="s">
        <v>19559</v>
      </c>
      <c t="s">
        <v>32621</v>
      </c>
      <c t="s">
        <v>3093</v>
      </c>
      <c t="s">
        <v>38385</v>
      </c>
    </row>
    <row>
      <c t="s">
        <v>17594</v>
      </c>
      <c t="s">
        <v>32268</v>
      </c>
      <c t="s">
        <v>18637</v>
      </c>
      <c t="s">
        <v>27375</v>
      </c>
      <c t="s">
        <v>14339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803" s="1" t="str">
        <f ca="1">HYPERLINK("https://web.datatree.com/?/property?propertyId=33442927", "https://web.datatree.com/?/property?propertyId=33442927")</f>
        <v>https://web.datatree.com/?/property?propertyId=33442927</v>
      </c>
      <c r="Q3803" t="s">
        <v>316</v>
      </c>
      <c>
        <v>0.23</v>
      </c>
      <c t="s">
        <v>6175</v>
      </c>
      <c t="s">
        <v>44541</v>
      </c>
      <c t="s">
        <v>18314</v>
      </c>
      <c t="s">
        <v>44541</v>
      </c>
      <c t="s">
        <v>18314</v>
      </c>
      <c t="s">
        <v>48796</v>
      </c>
      <c t="s">
        <v>15510</v>
      </c>
      <c t="s">
        <v>2517</v>
      </c>
      <c t="s">
        <v>39289</v>
      </c>
      <c>
        <v>33909</v>
      </c>
      <c t="s">
        <v>22757</v>
      </c>
      <c t="s">
        <v>48794</v>
      </c>
      <c t="s">
        <v>15996</v>
      </c>
      <c>
        <v>11284</v>
      </c>
      <c r="AI3803" t="s">
        <v>37528</v>
      </c>
      <c t="s">
        <v>835</v>
      </c>
      <c r="AL3803" t="s">
        <v>11513</v>
      </c>
      <c t="s">
        <v>39042</v>
      </c>
      <c t="s">
        <v>65467</v>
      </c>
      <c t="s">
        <v>53984</v>
      </c>
      <c t="s">
        <v>7364</v>
      </c>
      <c t="s">
        <v>3093</v>
      </c>
      <c t="s">
        <v>56379</v>
      </c>
    </row>
    <row>
      <c t="s">
        <v>17594</v>
      </c>
      <c t="s">
        <v>50845</v>
      </c>
      <c t="s">
        <v>49114</v>
      </c>
      <c t="s">
        <v>33834</v>
      </c>
      <c t="s">
        <v>40778</v>
      </c>
      <c s="3">
        <v>19584</v>
      </c>
      <c s="3">
        <v>19584</v>
      </c>
      <c s="3">
        <v>17600</v>
      </c>
      <c>
        <v>0</v>
      </c>
      <c s="3">
        <v>0</v>
      </c>
      <c s="3">
        <v>273.57</v>
      </c>
      <c s="3">
        <v>19584</v>
      </c>
      <c r="O3804" s="1" t="str">
        <f ca="1">HYPERLINK("https://web.datatree.com/?/property?propertyId=33443033", "https://web.datatree.com/?/property?propertyId=33443033")</f>
        <v>https://web.datatree.com/?/property?propertyId=33443033</v>
      </c>
      <c r="Q3804" t="s">
        <v>316</v>
      </c>
      <c>
        <v>0.097</v>
      </c>
      <c t="s">
        <v>23582</v>
      </c>
      <c t="s">
        <v>35571</v>
      </c>
      <c t="s">
        <v>14637</v>
      </c>
      <c t="s">
        <v>1611</v>
      </c>
      <c t="s">
        <v>14637</v>
      </c>
      <c t="s">
        <v>13010</v>
      </c>
      <c t="s">
        <v>1387</v>
      </c>
      <c t="s">
        <v>54524</v>
      </c>
      <c t="s">
        <v>39289</v>
      </c>
      <c>
        <v>33903</v>
      </c>
      <c t="s">
        <v>13222</v>
      </c>
      <c t="s">
        <v>48794</v>
      </c>
      <c t="s">
        <v>41290</v>
      </c>
      <c>
        <v>10926</v>
      </c>
      <c r="AH3804" t="s">
        <v>26580</v>
      </c>
      <c t="s">
        <v>8990</v>
      </c>
      <c t="s">
        <v>24900</v>
      </c>
      <c r="AL3804" t="s">
        <v>54734</v>
      </c>
      <c r="AN3804" t="s">
        <v>50829</v>
      </c>
      <c t="s">
        <v>50436</v>
      </c>
      <c t="s">
        <v>17380</v>
      </c>
      <c t="s">
        <v>3093</v>
      </c>
      <c t="s">
        <v>49807</v>
      </c>
    </row>
    <row>
      <c t="s">
        <v>17594</v>
      </c>
      <c t="s">
        <v>59884</v>
      </c>
      <c t="s">
        <v>35672</v>
      </c>
      <c t="s">
        <v>3585</v>
      </c>
      <c t="s">
        <v>15756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3805" s="1" t="str">
        <f ca="1">HYPERLINK("https://web.datatree.com/?/property?propertyId=33443671", "https://web.datatree.com/?/property?propertyId=33443671")</f>
        <v>https://web.datatree.com/?/property?propertyId=33443671</v>
      </c>
      <c r="Q3805" t="s">
        <v>316</v>
      </c>
      <c>
        <v>0.23</v>
      </c>
      <c t="s">
        <v>45031</v>
      </c>
      <c t="s">
        <v>26624</v>
      </c>
      <c t="s">
        <v>26572</v>
      </c>
      <c r="X3805" t="s">
        <v>13808</v>
      </c>
      <c t="s">
        <v>29190</v>
      </c>
      <c t="s">
        <v>2517</v>
      </c>
      <c t="s">
        <v>39289</v>
      </c>
      <c>
        <v>33909</v>
      </c>
      <c t="s">
        <v>7838</v>
      </c>
      <c t="s">
        <v>48794</v>
      </c>
      <c t="s">
        <v>35408</v>
      </c>
      <c>
        <v>3</v>
      </c>
      <c r="AI3805" t="s">
        <v>15449</v>
      </c>
      <c r="AL3805" t="s">
        <v>28569</v>
      </c>
      <c r="AN3805" t="s">
        <v>50917</v>
      </c>
      <c>
        <v>12850</v>
      </c>
      <c r="AR3805" t="s">
        <v>49596</v>
      </c>
    </row>
    <row>
      <c t="s">
        <v>17594</v>
      </c>
      <c t="s">
        <v>57098</v>
      </c>
      <c t="s">
        <v>38416</v>
      </c>
      <c t="s">
        <v>3955</v>
      </c>
      <c t="s">
        <v>9368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3806" s="1" t="str">
        <f ca="1">HYPERLINK("https://web.datatree.com/?/property?propertyId=33445551", "https://web.datatree.com/?/property?propertyId=33445551")</f>
        <v>https://web.datatree.com/?/property?propertyId=33445551</v>
      </c>
      <c r="Q3806" t="s">
        <v>316</v>
      </c>
      <c>
        <v>0.236</v>
      </c>
      <c t="s">
        <v>22490</v>
      </c>
      <c t="s">
        <v>2140</v>
      </c>
      <c t="s">
        <v>26007</v>
      </c>
      <c r="X3806" t="s">
        <v>2624</v>
      </c>
      <c t="s">
        <v>22731</v>
      </c>
      <c t="s">
        <v>2517</v>
      </c>
      <c t="s">
        <v>39289</v>
      </c>
      <c>
        <v>33909</v>
      </c>
      <c t="s">
        <v>45803</v>
      </c>
      <c t="s">
        <v>48794</v>
      </c>
      <c t="s">
        <v>18032</v>
      </c>
      <c>
        <v>2559</v>
      </c>
      <c r="AI3806" t="s">
        <v>35872</v>
      </c>
      <c t="s">
        <v>31192</v>
      </c>
      <c r="AL3806" t="s">
        <v>14519</v>
      </c>
      <c r="AN3806" t="s">
        <v>65451</v>
      </c>
      <c t="s">
        <v>32827</v>
      </c>
      <c t="s">
        <v>49977</v>
      </c>
      <c t="s">
        <v>3093</v>
      </c>
      <c t="s">
        <v>35753</v>
      </c>
    </row>
    <row>
      <c t="s">
        <v>17594</v>
      </c>
      <c t="s">
        <v>26844</v>
      </c>
      <c t="s">
        <v>39476</v>
      </c>
      <c t="s">
        <v>42332</v>
      </c>
      <c t="s">
        <v>26093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3807" s="1" t="str">
        <f ca="1">HYPERLINK("https://web.datatree.com/?/property?propertyId=33446070", "https://web.datatree.com/?/property?propertyId=33446070")</f>
        <v>https://web.datatree.com/?/property?propertyId=33446070</v>
      </c>
      <c r="Q3807" t="s">
        <v>316</v>
      </c>
      <c>
        <v>0.23</v>
      </c>
      <c t="s">
        <v>6175</v>
      </c>
      <c t="s">
        <v>6977</v>
      </c>
      <c t="s">
        <v>51418</v>
      </c>
      <c t="s">
        <v>65572</v>
      </c>
      <c t="s">
        <v>45864</v>
      </c>
      <c t="s">
        <v>33290</v>
      </c>
      <c t="s">
        <v>29190</v>
      </c>
      <c t="s">
        <v>2517</v>
      </c>
      <c t="s">
        <v>39289</v>
      </c>
      <c>
        <v>33909</v>
      </c>
      <c t="s">
        <v>47814</v>
      </c>
      <c t="s">
        <v>48794</v>
      </c>
      <c t="s">
        <v>33779</v>
      </c>
      <c>
        <v>3995</v>
      </c>
      <c r="AI3807" t="s">
        <v>33179</v>
      </c>
      <c t="s">
        <v>45393</v>
      </c>
      <c r="AL3807" t="s">
        <v>47510</v>
      </c>
      <c r="AN3807" t="s">
        <v>39289</v>
      </c>
      <c t="s">
        <v>35211</v>
      </c>
      <c t="s">
        <v>44573</v>
      </c>
      <c t="s">
        <v>3093</v>
      </c>
      <c t="s">
        <v>9013</v>
      </c>
    </row>
    <row>
      <c t="s">
        <v>17594</v>
      </c>
      <c t="s">
        <v>52027</v>
      </c>
      <c t="s">
        <v>28495</v>
      </c>
      <c t="s">
        <v>37277</v>
      </c>
      <c t="s">
        <v>17239</v>
      </c>
      <c s="3">
        <v>26290</v>
      </c>
      <c s="3">
        <v>26290</v>
      </c>
      <c s="3">
        <v>12650</v>
      </c>
      <c>
        <v>0</v>
      </c>
      <c s="3">
        <v>0</v>
      </c>
      <c s="3">
        <v>654.09</v>
      </c>
      <c s="3">
        <v>26290</v>
      </c>
      <c r="O3808" s="1" t="str">
        <f ca="1">HYPERLINK("https://web.datatree.com/?/property?propertyId=33446692", "https://web.datatree.com/?/property?propertyId=33446692")</f>
        <v>https://web.datatree.com/?/property?propertyId=33446692</v>
      </c>
      <c r="Q3808" t="s">
        <v>316</v>
      </c>
      <c>
        <v>0.244</v>
      </c>
      <c t="s">
        <v>22490</v>
      </c>
      <c t="s">
        <v>5100</v>
      </c>
      <c t="s">
        <v>15603</v>
      </c>
      <c t="s">
        <v>33621</v>
      </c>
      <c t="s">
        <v>15603</v>
      </c>
      <c t="s">
        <v>56130</v>
      </c>
      <c t="s">
        <v>66701</v>
      </c>
      <c t="s">
        <v>2517</v>
      </c>
      <c t="s">
        <v>39289</v>
      </c>
      <c>
        <v>33909</v>
      </c>
      <c t="s">
        <v>22646</v>
      </c>
      <c t="s">
        <v>48794</v>
      </c>
      <c t="s">
        <v>3840</v>
      </c>
      <c>
        <v>13</v>
      </c>
      <c r="AI3808" t="s">
        <v>60139</v>
      </c>
      <c t="s">
        <v>31192</v>
      </c>
      <c r="AL3808" t="s">
        <v>49281</v>
      </c>
      <c r="AN3808" t="s">
        <v>50917</v>
      </c>
      <c t="s">
        <v>39392</v>
      </c>
      <c t="s">
        <v>14845</v>
      </c>
      <c t="s">
        <v>3093</v>
      </c>
      <c t="s">
        <v>65475</v>
      </c>
    </row>
    <row>
      <c t="s">
        <v>17594</v>
      </c>
      <c t="s">
        <v>66449</v>
      </c>
      <c t="s">
        <v>44511</v>
      </c>
      <c t="s">
        <v>63180</v>
      </c>
      <c t="s">
        <v>39886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809" s="1" t="str">
        <f ca="1">HYPERLINK("https://web.datatree.com/?/property?propertyId=33447278", "https://web.datatree.com/?/property?propertyId=33447278")</f>
        <v>https://web.datatree.com/?/property?propertyId=33447278</v>
      </c>
      <c r="Q3809" t="s">
        <v>316</v>
      </c>
      <c>
        <v>0.23</v>
      </c>
      <c t="s">
        <v>22490</v>
      </c>
      <c t="s">
        <v>44541</v>
      </c>
      <c t="s">
        <v>33256</v>
      </c>
      <c t="s">
        <v>16194</v>
      </c>
      <c t="s">
        <v>33256</v>
      </c>
      <c t="s">
        <v>20407</v>
      </c>
      <c t="s">
        <v>25017</v>
      </c>
      <c t="s">
        <v>2517</v>
      </c>
      <c t="s">
        <v>39289</v>
      </c>
      <c>
        <v>33909</v>
      </c>
      <c t="s">
        <v>54655</v>
      </c>
      <c t="s">
        <v>48794</v>
      </c>
      <c t="s">
        <v>6343</v>
      </c>
      <c>
        <v>155</v>
      </c>
      <c r="AI3809" t="s">
        <v>51912</v>
      </c>
      <c t="s">
        <v>45620</v>
      </c>
      <c r="AL3809" t="s">
        <v>819</v>
      </c>
      <c r="AN3809" t="s">
        <v>27747</v>
      </c>
      <c t="s">
        <v>20651</v>
      </c>
      <c t="s">
        <v>60160</v>
      </c>
      <c t="s">
        <v>3093</v>
      </c>
      <c t="s">
        <v>5460</v>
      </c>
    </row>
    <row>
      <c t="s">
        <v>17594</v>
      </c>
      <c t="s">
        <v>53752</v>
      </c>
      <c t="s">
        <v>46029</v>
      </c>
      <c t="s">
        <v>35244</v>
      </c>
      <c t="s">
        <v>2536</v>
      </c>
      <c s="3">
        <v>40684</v>
      </c>
      <c s="3">
        <v>40684</v>
      </c>
      <c s="3">
        <v>28985</v>
      </c>
      <c>
        <v>0</v>
      </c>
      <c s="3">
        <v>0</v>
      </c>
      <c s="3">
        <v>973.27</v>
      </c>
      <c s="3">
        <v>40684</v>
      </c>
      <c r="O3810" s="1" t="str">
        <f ca="1">HYPERLINK("https://web.datatree.com/?/property?propertyId=33447283", "https://web.datatree.com/?/property?propertyId=33447283")</f>
        <v>https://web.datatree.com/?/property?propertyId=33447283</v>
      </c>
      <c r="Q3810" t="s">
        <v>316</v>
      </c>
      <c>
        <v>0.275</v>
      </c>
      <c t="s">
        <v>6175</v>
      </c>
      <c t="s">
        <v>51166</v>
      </c>
      <c t="s">
        <v>50376</v>
      </c>
      <c t="s">
        <v>49812</v>
      </c>
      <c t="s">
        <v>39982</v>
      </c>
      <c t="s">
        <v>18699</v>
      </c>
      <c t="s">
        <v>28635</v>
      </c>
      <c t="s">
        <v>2517</v>
      </c>
      <c t="s">
        <v>39289</v>
      </c>
      <c>
        <v>33904</v>
      </c>
      <c>
        <v>33904</v>
      </c>
      <c t="s">
        <v>48794</v>
      </c>
      <c t="s">
        <v>65194</v>
      </c>
      <c>
        <v>8850</v>
      </c>
      <c r="AI3810" t="s">
        <v>49674</v>
      </c>
      <c t="s">
        <v>45393</v>
      </c>
      <c r="AL3810" t="s">
        <v>55393</v>
      </c>
      <c t="s">
        <v>523</v>
      </c>
      <c t="s">
        <v>39289</v>
      </c>
      <c t="s">
        <v>23029</v>
      </c>
      <c t="s">
        <v>26242</v>
      </c>
      <c t="s">
        <v>3093</v>
      </c>
      <c t="s">
        <v>60888</v>
      </c>
    </row>
    <row>
      <c t="s">
        <v>17594</v>
      </c>
      <c t="s">
        <v>9822</v>
      </c>
      <c t="s">
        <v>62469</v>
      </c>
      <c t="s">
        <v>35845</v>
      </c>
      <c t="s">
        <v>30453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3811" s="1" t="str">
        <f ca="1">HYPERLINK("https://web.datatree.com/?/property?propertyId=33447422", "https://web.datatree.com/?/property?propertyId=33447422")</f>
        <v>https://web.datatree.com/?/property?propertyId=33447422</v>
      </c>
      <c r="Q3811" t="s">
        <v>316</v>
      </c>
      <c>
        <v>0.23</v>
      </c>
      <c t="s">
        <v>54449</v>
      </c>
      <c t="s">
        <v>39574</v>
      </c>
      <c t="s">
        <v>40870</v>
      </c>
      <c r="X3811" t="s">
        <v>11543</v>
      </c>
      <c t="s">
        <v>39777</v>
      </c>
      <c t="s">
        <v>2517</v>
      </c>
      <c t="s">
        <v>39289</v>
      </c>
      <c>
        <v>33909</v>
      </c>
      <c t="s">
        <v>31038</v>
      </c>
      <c t="s">
        <v>48794</v>
      </c>
      <c t="s">
        <v>18148</v>
      </c>
      <c>
        <v>89</v>
      </c>
      <c r="AI3811" t="s">
        <v>22464</v>
      </c>
      <c t="s">
        <v>45620</v>
      </c>
      <c r="AL3811" t="s">
        <v>7331</v>
      </c>
      <c r="AN3811" t="s">
        <v>50917</v>
      </c>
      <c t="s">
        <v>7815</v>
      </c>
      <c t="s">
        <v>15968</v>
      </c>
      <c t="s">
        <v>3093</v>
      </c>
      <c t="s">
        <v>5534</v>
      </c>
    </row>
    <row>
      <c t="s">
        <v>17594</v>
      </c>
      <c t="s">
        <v>17492</v>
      </c>
      <c t="s">
        <v>34400</v>
      </c>
      <c t="s">
        <v>40650</v>
      </c>
      <c t="s">
        <v>54049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812" s="1" t="str">
        <f ca="1">HYPERLINK("https://web.datatree.com/?/property?propertyId=33447543", "https://web.datatree.com/?/property?propertyId=33447543")</f>
        <v>https://web.datatree.com/?/property?propertyId=33447543</v>
      </c>
      <c r="Q3812" t="s">
        <v>316</v>
      </c>
      <c>
        <v>0.234</v>
      </c>
      <c t="s">
        <v>22490</v>
      </c>
      <c r="U3812" t="s">
        <v>7330</v>
      </c>
      <c r="X3812" t="s">
        <v>47904</v>
      </c>
      <c t="s">
        <v>22731</v>
      </c>
      <c t="s">
        <v>2517</v>
      </c>
      <c t="s">
        <v>39289</v>
      </c>
      <c>
        <v>33909</v>
      </c>
      <c t="s">
        <v>12017</v>
      </c>
      <c t="s">
        <v>48794</v>
      </c>
      <c t="s">
        <v>42583</v>
      </c>
      <c>
        <v>1461</v>
      </c>
      <c r="AI3812" t="s">
        <v>28298</v>
      </c>
      <c r="AL3812" t="s">
        <v>10383</v>
      </c>
      <c r="AN3812" t="s">
        <v>18236</v>
      </c>
      <c t="s">
        <v>27302</v>
      </c>
      <c t="s">
        <v>14695</v>
      </c>
      <c t="s">
        <v>3093</v>
      </c>
      <c t="s">
        <v>11196</v>
      </c>
    </row>
    <row>
      <c t="s">
        <v>17594</v>
      </c>
      <c t="s">
        <v>47840</v>
      </c>
      <c t="s">
        <v>21505</v>
      </c>
      <c t="s">
        <v>21745</v>
      </c>
      <c t="s">
        <v>35706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3813" s="1" t="str">
        <f ca="1">HYPERLINK("https://web.datatree.com/?/property?propertyId=33448112", "https://web.datatree.com/?/property?propertyId=33448112")</f>
        <v>https://web.datatree.com/?/property?propertyId=33448112</v>
      </c>
      <c r="Q3813" t="s">
        <v>316</v>
      </c>
      <c>
        <v>0.23</v>
      </c>
      <c t="s">
        <v>22490</v>
      </c>
      <c t="s">
        <v>36321</v>
      </c>
      <c t="s">
        <v>3389</v>
      </c>
      <c t="s">
        <v>63047</v>
      </c>
      <c r="X3813" t="s">
        <v>7328</v>
      </c>
      <c t="s">
        <v>24999</v>
      </c>
      <c t="s">
        <v>2517</v>
      </c>
      <c t="s">
        <v>39289</v>
      </c>
      <c>
        <v>33909</v>
      </c>
      <c t="s">
        <v>19283</v>
      </c>
      <c t="s">
        <v>48794</v>
      </c>
      <c t="s">
        <v>33409</v>
      </c>
      <c>
        <v>48065</v>
      </c>
      <c r="AI3813" t="s">
        <v>22159</v>
      </c>
      <c t="s">
        <v>40123</v>
      </c>
      <c r="AL3813" t="s">
        <v>33911</v>
      </c>
      <c r="AN3813" t="s">
        <v>51137</v>
      </c>
      <c t="s">
        <v>53606</v>
      </c>
      <c t="s">
        <v>44428</v>
      </c>
      <c t="s">
        <v>3093</v>
      </c>
      <c t="s">
        <v>33170</v>
      </c>
    </row>
    <row>
      <c t="s">
        <v>17594</v>
      </c>
      <c t="s">
        <v>20975</v>
      </c>
      <c t="s">
        <v>47946</v>
      </c>
      <c t="s">
        <v>22322</v>
      </c>
      <c t="s">
        <v>33642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>
        <v>2021</v>
      </c>
      <c>
        <v>534.29</v>
      </c>
      <c s="1" t="str">
        <f ca="1">HYPERLINK("https://web.datatree.com/?/property?propertyId=33448768", "https://web.datatree.com/?/property?propertyId=33448768")</f>
        <v>https://web.datatree.com/?/property?propertyId=33448768</v>
      </c>
      <c r="Q3814" t="s">
        <v>316</v>
      </c>
      <c>
        <v>0.23</v>
      </c>
      <c t="s">
        <v>6175</v>
      </c>
      <c t="s">
        <v>54427</v>
      </c>
      <c t="s">
        <v>59658</v>
      </c>
      <c r="X3814" t="s">
        <v>41140</v>
      </c>
      <c t="s">
        <v>23517</v>
      </c>
      <c t="s">
        <v>2517</v>
      </c>
      <c t="s">
        <v>39289</v>
      </c>
      <c>
        <v>33909</v>
      </c>
      <c t="s">
        <v>43172</v>
      </c>
      <c t="s">
        <v>48794</v>
      </c>
      <c t="s">
        <v>10596</v>
      </c>
      <c>
        <v>4328</v>
      </c>
      <c r="AI3814" t="s">
        <v>2463</v>
      </c>
      <c t="s">
        <v>24900</v>
      </c>
      <c r="AL3814" t="s">
        <v>11121</v>
      </c>
      <c t="s">
        <v>11121</v>
      </c>
      <c t="s">
        <v>9387</v>
      </c>
      <c t="s">
        <v>36361</v>
      </c>
      <c t="s">
        <v>46114</v>
      </c>
      <c t="s">
        <v>3093</v>
      </c>
      <c t="s">
        <v>12974</v>
      </c>
    </row>
    <row>
      <c t="s">
        <v>17594</v>
      </c>
      <c t="s">
        <v>19743</v>
      </c>
      <c t="s">
        <v>19417</v>
      </c>
      <c t="s">
        <v>63332</v>
      </c>
      <c t="s">
        <v>45087</v>
      </c>
      <c s="3">
        <v>31830</v>
      </c>
      <c s="3">
        <v>31830</v>
      </c>
      <c s="3">
        <v>23108</v>
      </c>
      <c>
        <v>0</v>
      </c>
      <c s="3">
        <v>0</v>
      </c>
      <c s="3">
        <v>826.51</v>
      </c>
      <c s="3">
        <v>31830</v>
      </c>
      <c r="O3815" s="1" t="str">
        <f ca="1">HYPERLINK("https://web.datatree.com/?/property?propertyId=33448871", "https://web.datatree.com/?/property?propertyId=33448871")</f>
        <v>https://web.datatree.com/?/property?propertyId=33448871</v>
      </c>
      <c r="Q3815" t="s">
        <v>316</v>
      </c>
      <c>
        <v>0.23</v>
      </c>
      <c t="s">
        <v>6175</v>
      </c>
      <c r="U3815" t="s">
        <v>55404</v>
      </c>
      <c r="W3815" t="s">
        <v>42649</v>
      </c>
      <c t="s">
        <v>37686</v>
      </c>
      <c t="s">
        <v>60363</v>
      </c>
      <c t="s">
        <v>2517</v>
      </c>
      <c t="s">
        <v>39289</v>
      </c>
      <c>
        <v>33904</v>
      </c>
      <c t="s">
        <v>32136</v>
      </c>
      <c t="s">
        <v>48794</v>
      </c>
      <c t="s">
        <v>6988</v>
      </c>
      <c>
        <v>320</v>
      </c>
      <c r="AI3815" t="s">
        <v>17165</v>
      </c>
      <c t="s">
        <v>24900</v>
      </c>
      <c r="AL3815" t="s">
        <v>42655</v>
      </c>
      <c r="AN3815" t="s">
        <v>19878</v>
      </c>
      <c t="s">
        <v>14507</v>
      </c>
      <c t="s">
        <v>38085</v>
      </c>
      <c t="s">
        <v>3093</v>
      </c>
      <c t="s">
        <v>46063</v>
      </c>
    </row>
    <row>
      <c t="s">
        <v>17594</v>
      </c>
      <c t="s">
        <v>15388</v>
      </c>
      <c t="s">
        <v>393</v>
      </c>
      <c t="s">
        <v>36992</v>
      </c>
      <c t="s">
        <v>65362</v>
      </c>
      <c s="3">
        <v>36210</v>
      </c>
      <c s="3">
        <v>36210</v>
      </c>
      <c s="3">
        <v>36210</v>
      </c>
      <c>
        <v>0</v>
      </c>
      <c s="3">
        <v>0</v>
      </c>
      <c s="3">
        <v>946.48</v>
      </c>
      <c s="3">
        <v>36210</v>
      </c>
      <c r="O3816" s="1" t="str">
        <f ca="1">HYPERLINK("https://web.datatree.com/?/property?propertyId=33448904", "https://web.datatree.com/?/property?propertyId=33448904")</f>
        <v>https://web.datatree.com/?/property?propertyId=33448904</v>
      </c>
      <c r="Q3816" t="s">
        <v>316</v>
      </c>
      <c>
        <v>0.23</v>
      </c>
      <c t="s">
        <v>32782</v>
      </c>
      <c t="s">
        <v>24179</v>
      </c>
      <c t="s">
        <v>11175</v>
      </c>
      <c t="s">
        <v>21996</v>
      </c>
      <c t="s">
        <v>6492</v>
      </c>
      <c t="s">
        <v>46291</v>
      </c>
      <c t="s">
        <v>7113</v>
      </c>
      <c t="s">
        <v>2517</v>
      </c>
      <c t="s">
        <v>39289</v>
      </c>
      <c>
        <v>33909</v>
      </c>
      <c>
        <v>33909</v>
      </c>
      <c t="s">
        <v>48794</v>
      </c>
      <c t="s">
        <v>35046</v>
      </c>
      <c>
        <v>1261</v>
      </c>
      <c r="AH3816" t="s">
        <v>12549</v>
      </c>
      <c t="s">
        <v>11288</v>
      </c>
      <c t="s">
        <v>4985</v>
      </c>
      <c r="AL3816" t="s">
        <v>11713</v>
      </c>
      <c r="AN3816" t="s">
        <v>39289</v>
      </c>
      <c t="s">
        <v>58532</v>
      </c>
      <c t="s">
        <v>23846</v>
      </c>
      <c t="s">
        <v>3093</v>
      </c>
      <c t="s">
        <v>26060</v>
      </c>
    </row>
    <row>
      <c t="s">
        <v>17594</v>
      </c>
      <c t="s">
        <v>7058</v>
      </c>
      <c t="s">
        <v>31790</v>
      </c>
      <c t="s">
        <v>66626</v>
      </c>
      <c t="s">
        <v>3519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3817" s="1" t="str">
        <f ca="1">HYPERLINK("https://web.datatree.com/?/property?propertyId=33449295", "https://web.datatree.com/?/property?propertyId=33449295")</f>
        <v>https://web.datatree.com/?/property?propertyId=33449295</v>
      </c>
      <c r="Q3817" t="s">
        <v>316</v>
      </c>
      <c>
        <v>0.243</v>
      </c>
      <c t="s">
        <v>6175</v>
      </c>
      <c t="s">
        <v>50746</v>
      </c>
      <c t="s">
        <v>21755</v>
      </c>
      <c t="s">
        <v>2916</v>
      </c>
      <c t="s">
        <v>21755</v>
      </c>
      <c t="s">
        <v>9082</v>
      </c>
      <c t="s">
        <v>23517</v>
      </c>
      <c t="s">
        <v>2517</v>
      </c>
      <c t="s">
        <v>39289</v>
      </c>
      <c>
        <v>33909</v>
      </c>
      <c>
        <v>33909</v>
      </c>
      <c t="s">
        <v>48794</v>
      </c>
      <c t="s">
        <v>60391</v>
      </c>
      <c>
        <v>3352</v>
      </c>
      <c r="AH3817" t="s">
        <v>15376</v>
      </c>
      <c t="s">
        <v>30023</v>
      </c>
      <c t="s">
        <v>45620</v>
      </c>
      <c r="AL3817" t="s">
        <v>216</v>
      </c>
      <c r="AN3817" t="s">
        <v>66651</v>
      </c>
      <c t="s">
        <v>3463</v>
      </c>
      <c t="s">
        <v>19978</v>
      </c>
      <c t="s">
        <v>3093</v>
      </c>
      <c t="s">
        <v>23424</v>
      </c>
    </row>
    <row>
      <c t="s">
        <v>17594</v>
      </c>
      <c t="s">
        <v>42969</v>
      </c>
      <c t="s">
        <v>21061</v>
      </c>
      <c t="s">
        <v>45040</v>
      </c>
      <c t="s">
        <v>18090</v>
      </c>
      <c s="3">
        <v>10600</v>
      </c>
      <c s="3">
        <v>10600</v>
      </c>
      <c s="3">
        <v>10600</v>
      </c>
      <c>
        <v>0</v>
      </c>
      <c s="3">
        <v>0</v>
      </c>
      <c s="3">
        <v>708.33</v>
      </c>
      <c s="3">
        <v>10600</v>
      </c>
      <c r="O3818" s="1" t="str">
        <f ca="1">HYPERLINK("https://web.datatree.com/?/property?propertyId=33450928", "https://web.datatree.com/?/property?propertyId=33450928")</f>
        <v>https://web.datatree.com/?/property?propertyId=33450928</v>
      </c>
      <c r="Q3818" t="s">
        <v>316</v>
      </c>
      <c>
        <v>0.23</v>
      </c>
      <c t="s">
        <v>6175</v>
      </c>
      <c t="s">
        <v>27026</v>
      </c>
      <c t="s">
        <v>50606</v>
      </c>
      <c t="s">
        <v>3253</v>
      </c>
      <c t="s">
        <v>11491</v>
      </c>
      <c t="s">
        <v>23603</v>
      </c>
      <c t="s">
        <v>39082</v>
      </c>
      <c t="s">
        <v>2517</v>
      </c>
      <c t="s">
        <v>39289</v>
      </c>
      <c>
        <v>33909</v>
      </c>
      <c t="s">
        <v>29254</v>
      </c>
      <c t="s">
        <v>48794</v>
      </c>
      <c t="s">
        <v>33579</v>
      </c>
      <c>
        <v>252</v>
      </c>
      <c r="AI3818" t="s">
        <v>47110</v>
      </c>
      <c t="s">
        <v>31192</v>
      </c>
      <c r="AL3818" t="s">
        <v>30742</v>
      </c>
      <c r="AN3818" t="s">
        <v>26016</v>
      </c>
      <c t="s">
        <v>15481</v>
      </c>
      <c t="s">
        <v>21201</v>
      </c>
      <c t="s">
        <v>3093</v>
      </c>
      <c t="s">
        <v>6366</v>
      </c>
    </row>
    <row>
      <c t="s">
        <v>17594</v>
      </c>
      <c t="s">
        <v>23036</v>
      </c>
      <c t="s">
        <v>14561</v>
      </c>
      <c t="s">
        <v>12294</v>
      </c>
      <c t="s">
        <v>63216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3819" s="1" t="str">
        <f ca="1">HYPERLINK("https://web.datatree.com/?/property?propertyId=33451040", "https://web.datatree.com/?/property?propertyId=33451040")</f>
        <v>https://web.datatree.com/?/property?propertyId=33451040</v>
      </c>
      <c r="Q3819" t="s">
        <v>316</v>
      </c>
      <c>
        <v>0.23</v>
      </c>
      <c t="s">
        <v>22490</v>
      </c>
      <c t="s">
        <v>7097</v>
      </c>
      <c t="s">
        <v>49349</v>
      </c>
      <c r="X3819" t="s">
        <v>926</v>
      </c>
      <c t="s">
        <v>49122</v>
      </c>
      <c t="s">
        <v>2517</v>
      </c>
      <c t="s">
        <v>39289</v>
      </c>
      <c>
        <v>33909</v>
      </c>
      <c t="s">
        <v>33662</v>
      </c>
      <c t="s">
        <v>48794</v>
      </c>
      <c t="s">
        <v>30896</v>
      </c>
      <c>
        <v>38</v>
      </c>
      <c r="AI3819" t="s">
        <v>25636</v>
      </c>
      <c t="s">
        <v>45393</v>
      </c>
      <c r="AL3819" t="s">
        <v>61317</v>
      </c>
      <c r="AN3819" t="s">
        <v>26016</v>
      </c>
      <c t="s">
        <v>4259</v>
      </c>
      <c t="s">
        <v>15968</v>
      </c>
      <c t="s">
        <v>3093</v>
      </c>
      <c t="s">
        <v>54127</v>
      </c>
    </row>
    <row>
      <c t="s">
        <v>17594</v>
      </c>
      <c t="s">
        <v>65099</v>
      </c>
      <c t="s">
        <v>64146</v>
      </c>
      <c t="s">
        <v>8902</v>
      </c>
      <c t="s">
        <v>34830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3820" s="1" t="str">
        <f ca="1">HYPERLINK("https://web.datatree.com/?/property?propertyId=33451544", "https://web.datatree.com/?/property?propertyId=33451544")</f>
        <v>https://web.datatree.com/?/property?propertyId=33451544</v>
      </c>
      <c r="Q3820" t="s">
        <v>316</v>
      </c>
      <c>
        <v>0.292</v>
      </c>
      <c t="s">
        <v>5471</v>
      </c>
      <c t="s">
        <v>19005</v>
      </c>
      <c t="s">
        <v>40731</v>
      </c>
      <c t="s">
        <v>36632</v>
      </c>
      <c t="s">
        <v>40731</v>
      </c>
      <c t="s">
        <v>16192</v>
      </c>
      <c t="s">
        <v>16121</v>
      </c>
      <c t="s">
        <v>65059</v>
      </c>
      <c t="s">
        <v>39289</v>
      </c>
      <c>
        <v>33905</v>
      </c>
      <c t="s">
        <v>29594</v>
      </c>
      <c t="s">
        <v>48794</v>
      </c>
      <c t="s">
        <v>21165</v>
      </c>
      <c>
        <v>10974</v>
      </c>
      <c r="AI3820" t="s">
        <v>764</v>
      </c>
      <c t="s">
        <v>41372</v>
      </c>
      <c r="AL3820" t="s">
        <v>16712</v>
      </c>
      <c r="AN3820" t="s">
        <v>14798</v>
      </c>
      <c t="s">
        <v>27726</v>
      </c>
      <c t="s">
        <v>864</v>
      </c>
      <c t="s">
        <v>3093</v>
      </c>
      <c t="s">
        <v>23375</v>
      </c>
    </row>
    <row>
      <c t="s">
        <v>17594</v>
      </c>
      <c t="s">
        <v>497</v>
      </c>
      <c t="s">
        <v>50348</v>
      </c>
      <c t="s">
        <v>3159</v>
      </c>
      <c t="s">
        <v>25080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3821" s="1" t="str">
        <f ca="1">HYPERLINK("https://web.datatree.com/?/property?propertyId=33452054", "https://web.datatree.com/?/property?propertyId=33452054")</f>
        <v>https://web.datatree.com/?/property?propertyId=33452054</v>
      </c>
      <c r="Q3821" t="s">
        <v>316</v>
      </c>
      <c>
        <v>0.23</v>
      </c>
      <c t="s">
        <v>6175</v>
      </c>
      <c t="s">
        <v>26069</v>
      </c>
      <c t="s">
        <v>37019</v>
      </c>
      <c t="s">
        <v>39139</v>
      </c>
      <c t="s">
        <v>37019</v>
      </c>
      <c t="s">
        <v>57586</v>
      </c>
      <c t="s">
        <v>49122</v>
      </c>
      <c t="s">
        <v>2517</v>
      </c>
      <c t="s">
        <v>39289</v>
      </c>
      <c>
        <v>33909</v>
      </c>
      <c t="s">
        <v>8002</v>
      </c>
      <c t="s">
        <v>48794</v>
      </c>
      <c t="s">
        <v>10162</v>
      </c>
      <c>
        <v>15049</v>
      </c>
      <c r="AI3821" t="s">
        <v>46059</v>
      </c>
      <c t="s">
        <v>45620</v>
      </c>
      <c r="AL3821" t="s">
        <v>14945</v>
      </c>
      <c r="AN3821" t="s">
        <v>65467</v>
      </c>
      <c t="s">
        <v>59915</v>
      </c>
      <c t="s">
        <v>22455</v>
      </c>
      <c t="s">
        <v>3093</v>
      </c>
      <c t="s">
        <v>9215</v>
      </c>
    </row>
    <row>
      <c t="s">
        <v>17594</v>
      </c>
      <c t="s">
        <v>27955</v>
      </c>
      <c t="s">
        <v>40353</v>
      </c>
      <c t="s">
        <v>33933</v>
      </c>
      <c t="s">
        <v>65711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3822" s="1" t="str">
        <f ca="1">HYPERLINK("https://web.datatree.com/?/property?propertyId=33452217", "https://web.datatree.com/?/property?propertyId=33452217")</f>
        <v>https://web.datatree.com/?/property?propertyId=33452217</v>
      </c>
      <c r="Q3822" t="s">
        <v>316</v>
      </c>
      <c>
        <v>0.244</v>
      </c>
      <c t="s">
        <v>6175</v>
      </c>
      <c t="s">
        <v>31966</v>
      </c>
      <c t="s">
        <v>39673</v>
      </c>
      <c r="X3822" t="s">
        <v>29587</v>
      </c>
      <c t="s">
        <v>39082</v>
      </c>
      <c t="s">
        <v>2517</v>
      </c>
      <c t="s">
        <v>39289</v>
      </c>
      <c>
        <v>33909</v>
      </c>
      <c t="s">
        <v>8071</v>
      </c>
      <c t="s">
        <v>48794</v>
      </c>
      <c t="s">
        <v>22599</v>
      </c>
      <c>
        <v>322</v>
      </c>
      <c r="AI3822" t="s">
        <v>50440</v>
      </c>
      <c t="s">
        <v>45393</v>
      </c>
      <c r="AL3822" t="s">
        <v>1484</v>
      </c>
      <c r="AN3822" t="s">
        <v>26016</v>
      </c>
      <c t="s">
        <v>25676</v>
      </c>
      <c t="s">
        <v>38085</v>
      </c>
      <c t="s">
        <v>3093</v>
      </c>
      <c t="s">
        <v>36740</v>
      </c>
    </row>
    <row>
      <c t="s">
        <v>17594</v>
      </c>
      <c t="s">
        <v>51073</v>
      </c>
      <c t="s">
        <v>61615</v>
      </c>
      <c t="s">
        <v>42123</v>
      </c>
      <c t="s">
        <v>12484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3823" s="1" t="str">
        <f ca="1">HYPERLINK("https://web.datatree.com/?/property?propertyId=33452320", "https://web.datatree.com/?/property?propertyId=33452320")</f>
        <v>https://web.datatree.com/?/property?propertyId=33452320</v>
      </c>
      <c r="Q3823" t="s">
        <v>316</v>
      </c>
      <c>
        <v>0.23</v>
      </c>
      <c t="s">
        <v>22490</v>
      </c>
      <c t="s">
        <v>64698</v>
      </c>
      <c t="s">
        <v>49367</v>
      </c>
      <c r="X3823" t="s">
        <v>15729</v>
      </c>
      <c t="s">
        <v>10653</v>
      </c>
      <c t="s">
        <v>2517</v>
      </c>
      <c t="s">
        <v>39289</v>
      </c>
      <c>
        <v>33909</v>
      </c>
      <c t="s">
        <v>55553</v>
      </c>
      <c t="s">
        <v>48794</v>
      </c>
      <c t="s">
        <v>31681</v>
      </c>
      <c>
        <v>15</v>
      </c>
      <c r="AI3823" t="s">
        <v>65724</v>
      </c>
      <c r="AL3823" t="s">
        <v>11898</v>
      </c>
      <c t="s">
        <v>11898</v>
      </c>
      <c t="s">
        <v>26443</v>
      </c>
      <c>
        <v>51240</v>
      </c>
      <c r="AR3823" t="s">
        <v>52153</v>
      </c>
    </row>
    <row>
      <c t="s">
        <v>17594</v>
      </c>
      <c t="s">
        <v>43537</v>
      </c>
      <c s="7" t="s">
        <v>33329</v>
      </c>
      <c t="s">
        <v>8514</v>
      </c>
      <c t="s">
        <v>55263</v>
      </c>
      <c s="3">
        <v>17200</v>
      </c>
      <c s="3">
        <v>17200</v>
      </c>
      <c s="3">
        <v>17200</v>
      </c>
      <c>
        <v>0</v>
      </c>
      <c s="3">
        <v>0</v>
      </c>
      <c s="3">
        <v>979.8</v>
      </c>
      <c s="3">
        <v>17200</v>
      </c>
      <c r="O3824" s="1" t="str">
        <f ca="1">HYPERLINK("https://web.datatree.com/?/property?propertyId=33452952", "https://web.datatree.com/?/property?propertyId=33452952")</f>
        <v>https://web.datatree.com/?/property?propertyId=33452952</v>
      </c>
      <c r="Q3824" t="s">
        <v>316</v>
      </c>
      <c>
        <v>0.469</v>
      </c>
      <c t="s">
        <v>42044</v>
      </c>
      <c t="s">
        <v>981</v>
      </c>
      <c t="s">
        <v>60757</v>
      </c>
      <c t="s">
        <v>44541</v>
      </c>
      <c t="s">
        <v>32448</v>
      </c>
      <c t="s">
        <v>26406</v>
      </c>
      <c t="s">
        <v>7113</v>
      </c>
      <c t="s">
        <v>2517</v>
      </c>
      <c t="s">
        <v>39289</v>
      </c>
      <c>
        <v>33909</v>
      </c>
      <c t="s">
        <v>50897</v>
      </c>
      <c t="s">
        <v>48794</v>
      </c>
      <c t="s">
        <v>25594</v>
      </c>
      <c>
        <v>3</v>
      </c>
      <c r="AI3824" t="s">
        <v>8707</v>
      </c>
      <c t="s">
        <v>45393</v>
      </c>
      <c r="AL3824" t="s">
        <v>63445</v>
      </c>
      <c t="s">
        <v>63445</v>
      </c>
      <c t="s">
        <v>14509</v>
      </c>
      <c t="s">
        <v>5849</v>
      </c>
      <c t="s">
        <v>45852</v>
      </c>
      <c t="s">
        <v>3093</v>
      </c>
      <c s="7" t="s">
        <v>32650</v>
      </c>
    </row>
    <row>
      <c t="s">
        <v>17594</v>
      </c>
      <c t="s">
        <v>51301</v>
      </c>
      <c t="s">
        <v>13244</v>
      </c>
      <c t="s">
        <v>42819</v>
      </c>
      <c t="s">
        <v>16261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3825" s="1" t="str">
        <f ca="1">HYPERLINK("https://web.datatree.com/?/property?propertyId=33453112", "https://web.datatree.com/?/property?propertyId=33453112")</f>
        <v>https://web.datatree.com/?/property?propertyId=33453112</v>
      </c>
      <c r="Q3825" t="s">
        <v>316</v>
      </c>
      <c>
        <v>0.23</v>
      </c>
      <c t="s">
        <v>22490</v>
      </c>
      <c t="s">
        <v>44610</v>
      </c>
      <c t="s">
        <v>18809</v>
      </c>
      <c r="X3825" t="s">
        <v>16134</v>
      </c>
      <c t="s">
        <v>49122</v>
      </c>
      <c t="s">
        <v>2517</v>
      </c>
      <c t="s">
        <v>39289</v>
      </c>
      <c>
        <v>33909</v>
      </c>
      <c t="s">
        <v>66432</v>
      </c>
      <c t="s">
        <v>48794</v>
      </c>
      <c t="s">
        <v>16508</v>
      </c>
      <c>
        <v>211</v>
      </c>
      <c r="AI3825" t="s">
        <v>56518</v>
      </c>
      <c t="s">
        <v>24900</v>
      </c>
      <c r="AL3825" t="s">
        <v>61981</v>
      </c>
      <c t="s">
        <v>61981</v>
      </c>
      <c t="s">
        <v>27747</v>
      </c>
      <c t="s">
        <v>1243</v>
      </c>
      <c t="s">
        <v>27780</v>
      </c>
      <c t="s">
        <v>3093</v>
      </c>
      <c t="s">
        <v>64646</v>
      </c>
    </row>
    <row>
      <c t="s">
        <v>17594</v>
      </c>
      <c t="s">
        <v>3504</v>
      </c>
      <c t="s">
        <v>62130</v>
      </c>
      <c t="s">
        <v>59196</v>
      </c>
      <c t="s">
        <v>58527</v>
      </c>
      <c s="3">
        <v>28000</v>
      </c>
      <c s="3">
        <v>28000</v>
      </c>
      <c s="3">
        <v>12320</v>
      </c>
      <c>
        <v>0</v>
      </c>
      <c s="3">
        <v>0</v>
      </c>
      <c s="3">
        <v>656.17</v>
      </c>
      <c s="3">
        <v>28000</v>
      </c>
      <c r="O3826" s="1" t="str">
        <f ca="1">HYPERLINK("https://web.datatree.com/?/property?propertyId=33453362", "https://web.datatree.com/?/property?propertyId=33453362")</f>
        <v>https://web.datatree.com/?/property?propertyId=33453362</v>
      </c>
      <c r="Q3826" t="s">
        <v>316</v>
      </c>
      <c>
        <v>0.23</v>
      </c>
      <c t="s">
        <v>45031</v>
      </c>
      <c t="s">
        <v>54971</v>
      </c>
      <c t="s">
        <v>2740</v>
      </c>
      <c r="X3826" t="s">
        <v>64512</v>
      </c>
      <c t="s">
        <v>39082</v>
      </c>
      <c t="s">
        <v>2517</v>
      </c>
      <c t="s">
        <v>39289</v>
      </c>
      <c>
        <v>33909</v>
      </c>
      <c t="s">
        <v>23683</v>
      </c>
      <c t="s">
        <v>48794</v>
      </c>
      <c t="s">
        <v>22188</v>
      </c>
      <c>
        <v>1780</v>
      </c>
      <c r="AI3826" t="s">
        <v>21616</v>
      </c>
      <c t="s">
        <v>55842</v>
      </c>
      <c r="AL3826" t="s">
        <v>49873</v>
      </c>
      <c t="s">
        <v>19597</v>
      </c>
      <c t="s">
        <v>44551</v>
      </c>
      <c t="s">
        <v>6526</v>
      </c>
      <c t="s">
        <v>27780</v>
      </c>
      <c t="s">
        <v>3093</v>
      </c>
      <c t="s">
        <v>23338</v>
      </c>
    </row>
    <row>
      <c t="s">
        <v>17594</v>
      </c>
      <c t="s">
        <v>30254</v>
      </c>
      <c t="s">
        <v>27585</v>
      </c>
      <c t="s">
        <v>2502</v>
      </c>
      <c t="s">
        <v>12620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>
        <v>2021</v>
      </c>
      <c>
        <v>591.97</v>
      </c>
      <c s="1" t="str">
        <f ca="1">HYPERLINK("https://web.datatree.com/?/property?propertyId=33453917", "https://web.datatree.com/?/property?propertyId=33453917")</f>
        <v>https://web.datatree.com/?/property?propertyId=33453917</v>
      </c>
      <c r="Q3827" t="s">
        <v>316</v>
      </c>
      <c>
        <v>0.232</v>
      </c>
      <c t="s">
        <v>22490</v>
      </c>
      <c t="s">
        <v>1859</v>
      </c>
      <c t="s">
        <v>48794</v>
      </c>
      <c t="s">
        <v>229</v>
      </c>
      <c t="s">
        <v>48794</v>
      </c>
      <c t="s">
        <v>3493</v>
      </c>
      <c t="s">
        <v>14917</v>
      </c>
      <c t="s">
        <v>2517</v>
      </c>
      <c t="s">
        <v>39289</v>
      </c>
      <c>
        <v>33909</v>
      </c>
      <c>
        <v>33909</v>
      </c>
      <c t="s">
        <v>48794</v>
      </c>
      <c t="s">
        <v>26825</v>
      </c>
      <c r="AI3827" t="s">
        <v>6206</v>
      </c>
      <c r="AL3827" t="s">
        <v>4492</v>
      </c>
      <c r="AN3827" t="s">
        <v>37824</v>
      </c>
      <c r="AR3827" t="s">
        <v>51578</v>
      </c>
    </row>
    <row>
      <c t="s">
        <v>17594</v>
      </c>
      <c t="s">
        <v>34492</v>
      </c>
      <c t="s">
        <v>28284</v>
      </c>
      <c t="s">
        <v>30831</v>
      </c>
      <c t="s">
        <v>57445</v>
      </c>
      <c s="3">
        <v>26290</v>
      </c>
      <c s="3">
        <v>26290</v>
      </c>
      <c s="3">
        <v>12650</v>
      </c>
      <c>
        <v>0</v>
      </c>
      <c s="3">
        <v>0</v>
      </c>
      <c s="3">
        <v>2914.32</v>
      </c>
      <c s="3">
        <v>26290</v>
      </c>
      <c r="O3828" s="1" t="str">
        <f ca="1">HYPERLINK("https://web.datatree.com/?/property?propertyId=33454090", "https://web.datatree.com/?/property?propertyId=33454090")</f>
        <v>https://web.datatree.com/?/property?propertyId=33454090</v>
      </c>
      <c r="Q3828" t="s">
        <v>316</v>
      </c>
      <c>
        <v>0.23</v>
      </c>
      <c t="s">
        <v>22490</v>
      </c>
      <c r="U3828" t="s">
        <v>35489</v>
      </c>
      <c r="X3828" t="s">
        <v>36929</v>
      </c>
      <c t="s">
        <v>17022</v>
      </c>
      <c t="s">
        <v>2517</v>
      </c>
      <c t="s">
        <v>39289</v>
      </c>
      <c>
        <v>33909</v>
      </c>
      <c t="s">
        <v>40449</v>
      </c>
      <c t="s">
        <v>48794</v>
      </c>
      <c t="s">
        <v>47199</v>
      </c>
      <c>
        <v>650</v>
      </c>
      <c r="AH3828" t="s">
        <v>52165</v>
      </c>
      <c t="s">
        <v>61850</v>
      </c>
      <c t="s">
        <v>24900</v>
      </c>
      <c r="AL3828" t="s">
        <v>11713</v>
      </c>
      <c t="s">
        <v>29515</v>
      </c>
      <c t="s">
        <v>39289</v>
      </c>
      <c t="s">
        <v>46922</v>
      </c>
      <c t="s">
        <v>43446</v>
      </c>
      <c t="s">
        <v>3093</v>
      </c>
      <c t="s">
        <v>48864</v>
      </c>
    </row>
    <row>
      <c t="s">
        <v>17594</v>
      </c>
      <c t="s">
        <v>41998</v>
      </c>
      <c t="s">
        <v>52764</v>
      </c>
      <c t="s">
        <v>12299</v>
      </c>
      <c t="s">
        <v>55869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3829" s="1" t="str">
        <f ca="1">HYPERLINK("https://web.datatree.com/?/property?propertyId=33454190", "https://web.datatree.com/?/property?propertyId=33454190")</f>
        <v>https://web.datatree.com/?/property?propertyId=33454190</v>
      </c>
      <c r="Q3829" t="s">
        <v>316</v>
      </c>
      <c>
        <v>0.23</v>
      </c>
      <c t="s">
        <v>22490</v>
      </c>
      <c t="s">
        <v>56806</v>
      </c>
      <c t="s">
        <v>20617</v>
      </c>
      <c r="X3829" t="s">
        <v>44763</v>
      </c>
      <c t="s">
        <v>25017</v>
      </c>
      <c t="s">
        <v>2517</v>
      </c>
      <c t="s">
        <v>39289</v>
      </c>
      <c>
        <v>33909</v>
      </c>
      <c t="s">
        <v>33712</v>
      </c>
      <c t="s">
        <v>48794</v>
      </c>
      <c t="s">
        <v>60644</v>
      </c>
      <c>
        <v>34</v>
      </c>
      <c r="AI3829" t="s">
        <v>11049</v>
      </c>
      <c t="s">
        <v>55842</v>
      </c>
      <c r="AL3829" t="s">
        <v>53966</v>
      </c>
      <c r="AN3829" t="s">
        <v>27747</v>
      </c>
      <c t="s">
        <v>7464</v>
      </c>
      <c t="s">
        <v>60160</v>
      </c>
      <c t="s">
        <v>3093</v>
      </c>
      <c t="s">
        <v>31117</v>
      </c>
    </row>
    <row>
      <c t="s">
        <v>17594</v>
      </c>
      <c t="s">
        <v>29739</v>
      </c>
      <c t="s">
        <v>8331</v>
      </c>
      <c t="s">
        <v>28146</v>
      </c>
      <c t="s">
        <v>51700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830" s="1" t="str">
        <f ca="1">HYPERLINK("https://web.datatree.com/?/property?propertyId=33454563", "https://web.datatree.com/?/property?propertyId=33454563")</f>
        <v>https://web.datatree.com/?/property?propertyId=33454563</v>
      </c>
      <c r="Q3830" t="s">
        <v>316</v>
      </c>
      <c>
        <v>0.23</v>
      </c>
      <c t="s">
        <v>22490</v>
      </c>
      <c t="s">
        <v>51229</v>
      </c>
      <c t="s">
        <v>41964</v>
      </c>
      <c t="s">
        <v>51344</v>
      </c>
      <c t="s">
        <v>41964</v>
      </c>
      <c t="s">
        <v>66752</v>
      </c>
      <c t="s">
        <v>41506</v>
      </c>
      <c t="s">
        <v>2517</v>
      </c>
      <c t="s">
        <v>39289</v>
      </c>
      <c>
        <v>33909</v>
      </c>
      <c t="s">
        <v>318</v>
      </c>
      <c t="s">
        <v>48794</v>
      </c>
      <c t="s">
        <v>40836</v>
      </c>
      <c>
        <v>6010</v>
      </c>
      <c r="AI3830" t="s">
        <v>53675</v>
      </c>
      <c t="s">
        <v>39321</v>
      </c>
      <c r="AL3830" t="s">
        <v>7780</v>
      </c>
      <c t="s">
        <v>7780</v>
      </c>
      <c t="s">
        <v>39289</v>
      </c>
      <c t="s">
        <v>42551</v>
      </c>
      <c t="s">
        <v>22302</v>
      </c>
      <c t="s">
        <v>3093</v>
      </c>
      <c t="s">
        <v>18946</v>
      </c>
    </row>
    <row>
      <c t="s">
        <v>17594</v>
      </c>
      <c t="s">
        <v>62440</v>
      </c>
      <c t="s">
        <v>14338</v>
      </c>
      <c t="s">
        <v>6269</v>
      </c>
      <c t="s">
        <v>49143</v>
      </c>
      <c s="3">
        <v>42330</v>
      </c>
      <c s="3">
        <v>42330</v>
      </c>
      <c s="3">
        <v>9339</v>
      </c>
      <c>
        <v>0</v>
      </c>
      <c s="3">
        <v>0</v>
      </c>
      <c s="3">
        <v>700.95</v>
      </c>
      <c s="3">
        <v>42330</v>
      </c>
      <c r="O3831" s="1" t="str">
        <f ca="1">HYPERLINK("https://web.datatree.com/?/property?propertyId=33454647", "https://web.datatree.com/?/property?propertyId=33454647")</f>
        <v>https://web.datatree.com/?/property?propertyId=33454647</v>
      </c>
      <c r="Q3831" t="s">
        <v>316</v>
      </c>
      <c>
        <v>0.275</v>
      </c>
      <c t="s">
        <v>32782</v>
      </c>
      <c t="s">
        <v>3293</v>
      </c>
      <c t="s">
        <v>52908</v>
      </c>
      <c r="X3831" t="s">
        <v>59329</v>
      </c>
      <c t="s">
        <v>8669</v>
      </c>
      <c t="s">
        <v>2517</v>
      </c>
      <c t="s">
        <v>39289</v>
      </c>
      <c>
        <v>33909</v>
      </c>
      <c t="s">
        <v>54443</v>
      </c>
      <c t="s">
        <v>48794</v>
      </c>
      <c t="s">
        <v>57069</v>
      </c>
      <c>
        <v>2608</v>
      </c>
      <c r="AI3831" t="s">
        <v>8340</v>
      </c>
      <c t="s">
        <v>40123</v>
      </c>
      <c r="AL3831" t="s">
        <v>51967</v>
      </c>
      <c r="AN3831" t="s">
        <v>65467</v>
      </c>
      <c t="s">
        <v>28942</v>
      </c>
      <c t="s">
        <v>38014</v>
      </c>
      <c t="s">
        <v>3093</v>
      </c>
      <c t="s">
        <v>53084</v>
      </c>
    </row>
    <row>
      <c t="s">
        <v>17594</v>
      </c>
      <c t="s">
        <v>49371</v>
      </c>
      <c t="s">
        <v>7095</v>
      </c>
      <c t="s">
        <v>63450</v>
      </c>
      <c t="s">
        <v>27680</v>
      </c>
      <c s="3">
        <v>17855</v>
      </c>
      <c s="3">
        <v>17855</v>
      </c>
      <c s="3">
        <v>7865</v>
      </c>
      <c>
        <v>0</v>
      </c>
      <c s="3">
        <v>0</v>
      </c>
      <c s="3">
        <v>488.16</v>
      </c>
      <c s="3">
        <v>17855</v>
      </c>
      <c r="O3832" s="1" t="str">
        <f ca="1">HYPERLINK("https://web.datatree.com/?/property?propertyId=33454779", "https://web.datatree.com/?/property?propertyId=33454779")</f>
        <v>https://web.datatree.com/?/property?propertyId=33454779</v>
      </c>
      <c r="Q3832" t="s">
        <v>316</v>
      </c>
      <c>
        <v>0.235</v>
      </c>
      <c t="s">
        <v>6175</v>
      </c>
      <c t="s">
        <v>50331</v>
      </c>
      <c t="s">
        <v>55102</v>
      </c>
      <c r="X3832" t="s">
        <v>39645</v>
      </c>
      <c t="s">
        <v>17022</v>
      </c>
      <c t="s">
        <v>2517</v>
      </c>
      <c t="s">
        <v>39289</v>
      </c>
      <c>
        <v>33909</v>
      </c>
      <c t="s">
        <v>34939</v>
      </c>
      <c t="s">
        <v>48794</v>
      </c>
      <c t="s">
        <v>45788</v>
      </c>
      <c>
        <v>7</v>
      </c>
      <c r="AI3832" t="s">
        <v>55572</v>
      </c>
      <c t="s">
        <v>24900</v>
      </c>
      <c r="AL3832" t="s">
        <v>48116</v>
      </c>
      <c r="AN3832" t="s">
        <v>27747</v>
      </c>
      <c t="s">
        <v>26668</v>
      </c>
      <c t="s">
        <v>62830</v>
      </c>
      <c t="s">
        <v>3093</v>
      </c>
      <c t="s">
        <v>55777</v>
      </c>
    </row>
    <row>
      <c t="s">
        <v>17594</v>
      </c>
      <c t="s">
        <v>46040</v>
      </c>
      <c t="s">
        <v>64765</v>
      </c>
      <c t="s">
        <v>38634</v>
      </c>
      <c t="s">
        <v>27086</v>
      </c>
      <c s="3">
        <v>8622</v>
      </c>
      <c s="3">
        <v>8622</v>
      </c>
      <c s="3">
        <v>4952</v>
      </c>
      <c>
        <v>0</v>
      </c>
      <c s="3">
        <v>0</v>
      </c>
      <c s="3">
        <v>315.22</v>
      </c>
      <c s="3">
        <v>8622</v>
      </c>
      <c r="O3833" s="1" t="str">
        <f ca="1">HYPERLINK("https://web.datatree.com/?/property?propertyId=33455469", "https://web.datatree.com/?/property?propertyId=33455469")</f>
        <v>https://web.datatree.com/?/property?propertyId=33455469</v>
      </c>
      <c r="Q3833" t="s">
        <v>316</v>
      </c>
      <c>
        <v>0.225</v>
      </c>
      <c t="s">
        <v>5471</v>
      </c>
      <c t="s">
        <v>10361</v>
      </c>
      <c t="s">
        <v>65859</v>
      </c>
      <c r="X3833" t="s">
        <v>30565</v>
      </c>
      <c t="s">
        <v>51290</v>
      </c>
      <c t="s">
        <v>65059</v>
      </c>
      <c t="s">
        <v>39289</v>
      </c>
      <c>
        <v>33905</v>
      </c>
      <c t="s">
        <v>26106</v>
      </c>
      <c t="s">
        <v>48794</v>
      </c>
      <c t="s">
        <v>60921</v>
      </c>
      <c r="AI3833" t="s">
        <v>27358</v>
      </c>
      <c r="AK3833">
        <v>204</v>
      </c>
      <c t="s">
        <v>16381</v>
      </c>
      <c t="s">
        <v>40227</v>
      </c>
      <c t="s">
        <v>18507</v>
      </c>
      <c>
        <v>201</v>
      </c>
      <c r="AR3833" t="s">
        <v>22177</v>
      </c>
    </row>
    <row>
      <c t="s">
        <v>17594</v>
      </c>
      <c t="s">
        <v>12096</v>
      </c>
      <c t="s">
        <v>8119</v>
      </c>
      <c t="s">
        <v>47728</v>
      </c>
      <c t="s">
        <v>63347</v>
      </c>
      <c s="3">
        <v>38760</v>
      </c>
      <c s="3">
        <v>38760</v>
      </c>
      <c s="3">
        <v>23863</v>
      </c>
      <c>
        <v>0</v>
      </c>
      <c s="3">
        <v>0</v>
      </c>
      <c s="3">
        <v>935.55</v>
      </c>
      <c s="3">
        <v>38760</v>
      </c>
      <c r="O3834" s="1" t="str">
        <f ca="1">HYPERLINK("https://web.datatree.com/?/property?propertyId=33456207", "https://web.datatree.com/?/property?propertyId=33456207")</f>
        <v>https://web.datatree.com/?/property?propertyId=33456207</v>
      </c>
      <c r="Q3834" t="s">
        <v>316</v>
      </c>
      <c>
        <v>0.297</v>
      </c>
      <c t="s">
        <v>6175</v>
      </c>
      <c t="s">
        <v>28916</v>
      </c>
      <c t="s">
        <v>6566</v>
      </c>
      <c t="s">
        <v>24400</v>
      </c>
      <c t="s">
        <v>6566</v>
      </c>
      <c t="s">
        <v>53483</v>
      </c>
      <c t="s">
        <v>52171</v>
      </c>
      <c t="s">
        <v>2517</v>
      </c>
      <c t="s">
        <v>39289</v>
      </c>
      <c>
        <v>33904</v>
      </c>
      <c t="s">
        <v>31184</v>
      </c>
      <c t="s">
        <v>48794</v>
      </c>
      <c t="s">
        <v>1336</v>
      </c>
      <c>
        <v>3941</v>
      </c>
      <c r="AI3834" t="s">
        <v>56853</v>
      </c>
      <c t="s">
        <v>24900</v>
      </c>
      <c r="AL3834" t="s">
        <v>6144</v>
      </c>
      <c r="AN3834" t="s">
        <v>50917</v>
      </c>
      <c t="s">
        <v>9671</v>
      </c>
      <c t="s">
        <v>66620</v>
      </c>
      <c t="s">
        <v>3093</v>
      </c>
      <c t="s">
        <v>27833</v>
      </c>
    </row>
    <row>
      <c t="s">
        <v>17594</v>
      </c>
      <c t="s">
        <v>42900</v>
      </c>
      <c t="s">
        <v>56512</v>
      </c>
      <c t="s">
        <v>62847</v>
      </c>
      <c t="s">
        <v>17065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3835" s="1" t="str">
        <f ca="1">HYPERLINK("https://web.datatree.com/?/property?propertyId=33456583", "https://web.datatree.com/?/property?propertyId=33456583")</f>
        <v>https://web.datatree.com/?/property?propertyId=33456583</v>
      </c>
      <c r="Q3835" t="s">
        <v>316</v>
      </c>
      <c>
        <v>0.23</v>
      </c>
      <c t="s">
        <v>22490</v>
      </c>
      <c t="s">
        <v>65985</v>
      </c>
      <c t="s">
        <v>26202</v>
      </c>
      <c r="X3835" t="s">
        <v>42073</v>
      </c>
      <c t="s">
        <v>2626</v>
      </c>
      <c t="s">
        <v>2517</v>
      </c>
      <c t="s">
        <v>39289</v>
      </c>
      <c>
        <v>33909</v>
      </c>
      <c t="s">
        <v>26368</v>
      </c>
      <c t="s">
        <v>48794</v>
      </c>
      <c t="s">
        <v>2468</v>
      </c>
      <c>
        <v>4</v>
      </c>
      <c r="AI3835" t="s">
        <v>59032</v>
      </c>
      <c t="s">
        <v>31192</v>
      </c>
      <c r="AL3835" t="s">
        <v>43082</v>
      </c>
      <c t="s">
        <v>43082</v>
      </c>
      <c t="s">
        <v>26016</v>
      </c>
      <c t="s">
        <v>62230</v>
      </c>
      <c t="s">
        <v>49842</v>
      </c>
      <c t="s">
        <v>3093</v>
      </c>
      <c t="s">
        <v>60470</v>
      </c>
    </row>
    <row>
      <c t="s">
        <v>17594</v>
      </c>
      <c t="s">
        <v>5199</v>
      </c>
      <c t="s">
        <v>32334</v>
      </c>
      <c t="s">
        <v>18027</v>
      </c>
      <c t="s">
        <v>44668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836" s="1" t="str">
        <f ca="1">HYPERLINK("https://web.datatree.com/?/property?propertyId=33457001", "https://web.datatree.com/?/property?propertyId=33457001")</f>
        <v>https://web.datatree.com/?/property?propertyId=33457001</v>
      </c>
      <c r="Q3836" t="s">
        <v>316</v>
      </c>
      <c>
        <v>0.23</v>
      </c>
      <c t="s">
        <v>45031</v>
      </c>
      <c t="s">
        <v>28189</v>
      </c>
      <c t="s">
        <v>53879</v>
      </c>
      <c t="s">
        <v>15209</v>
      </c>
      <c t="s">
        <v>53879</v>
      </c>
      <c t="s">
        <v>59117</v>
      </c>
      <c t="s">
        <v>30928</v>
      </c>
      <c t="s">
        <v>2517</v>
      </c>
      <c t="s">
        <v>39289</v>
      </c>
      <c>
        <v>33909</v>
      </c>
      <c t="s">
        <v>38928</v>
      </c>
      <c t="s">
        <v>48794</v>
      </c>
      <c t="s">
        <v>22180</v>
      </c>
      <c>
        <v>1480</v>
      </c>
      <c r="AI3836" t="s">
        <v>29275</v>
      </c>
      <c t="s">
        <v>45620</v>
      </c>
      <c r="AL3836" t="s">
        <v>29275</v>
      </c>
      <c r="AN3836" t="s">
        <v>22275</v>
      </c>
      <c t="s">
        <v>29551</v>
      </c>
      <c t="s">
        <v>5652</v>
      </c>
      <c t="s">
        <v>3093</v>
      </c>
      <c t="s">
        <v>52005</v>
      </c>
    </row>
    <row>
      <c t="s">
        <v>17594</v>
      </c>
      <c t="s">
        <v>61498</v>
      </c>
      <c t="s">
        <v>30975</v>
      </c>
      <c t="s">
        <v>911</v>
      </c>
      <c t="s">
        <v>41484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3837" s="1" t="str">
        <f ca="1">HYPERLINK("https://web.datatree.com/?/property?propertyId=33459158", "https://web.datatree.com/?/property?propertyId=33459158")</f>
        <v>https://web.datatree.com/?/property?propertyId=33459158</v>
      </c>
      <c r="Q3837" t="s">
        <v>316</v>
      </c>
      <c>
        <v>0.23</v>
      </c>
      <c t="s">
        <v>22490</v>
      </c>
      <c t="s">
        <v>50331</v>
      </c>
      <c t="s">
        <v>8558</v>
      </c>
      <c r="X3837" t="s">
        <v>60488</v>
      </c>
      <c t="s">
        <v>66701</v>
      </c>
      <c t="s">
        <v>2517</v>
      </c>
      <c t="s">
        <v>39289</v>
      </c>
      <c>
        <v>33909</v>
      </c>
      <c t="s">
        <v>55178</v>
      </c>
      <c t="s">
        <v>48794</v>
      </c>
      <c t="s">
        <v>55871</v>
      </c>
      <c>
        <v>414</v>
      </c>
      <c r="AI3837" t="s">
        <v>17882</v>
      </c>
      <c t="s">
        <v>1671</v>
      </c>
      <c r="AL3837" t="s">
        <v>47177</v>
      </c>
      <c t="s">
        <v>47177</v>
      </c>
      <c t="s">
        <v>65451</v>
      </c>
      <c t="s">
        <v>41163</v>
      </c>
      <c t="s">
        <v>30106</v>
      </c>
      <c t="s">
        <v>3093</v>
      </c>
      <c t="s">
        <v>53950</v>
      </c>
    </row>
    <row>
      <c t="s">
        <v>17594</v>
      </c>
      <c t="s">
        <v>23349</v>
      </c>
      <c t="s">
        <v>65011</v>
      </c>
      <c t="s">
        <v>38711</v>
      </c>
      <c t="s">
        <v>44259</v>
      </c>
      <c s="3">
        <v>12544</v>
      </c>
      <c s="3">
        <v>12544</v>
      </c>
      <c s="3">
        <v>7700</v>
      </c>
      <c>
        <v>0</v>
      </c>
      <c s="3">
        <v>0</v>
      </c>
      <c s="3">
        <v>332.83</v>
      </c>
      <c s="3">
        <v>12544</v>
      </c>
      <c r="O3838" s="1" t="str">
        <f ca="1">HYPERLINK("https://web.datatree.com/?/property?propertyId=33459769", "https://web.datatree.com/?/property?propertyId=33459769")</f>
        <v>https://web.datatree.com/?/property?propertyId=33459769</v>
      </c>
      <c r="Q3838" t="s">
        <v>316</v>
      </c>
      <c>
        <v>0.232</v>
      </c>
      <c t="s">
        <v>5471</v>
      </c>
      <c t="s">
        <v>64119</v>
      </c>
      <c t="s">
        <v>46648</v>
      </c>
      <c r="X3838" t="s">
        <v>47639</v>
      </c>
      <c t="s">
        <v>55985</v>
      </c>
      <c t="s">
        <v>65059</v>
      </c>
      <c t="s">
        <v>39289</v>
      </c>
      <c>
        <v>33905</v>
      </c>
      <c t="s">
        <v>36598</v>
      </c>
      <c t="s">
        <v>48794</v>
      </c>
      <c t="s">
        <v>26870</v>
      </c>
      <c>
        <v>645</v>
      </c>
      <c r="AI3838" t="s">
        <v>33854</v>
      </c>
      <c t="s">
        <v>45393</v>
      </c>
      <c r="AL3838" t="s">
        <v>1206</v>
      </c>
      <c t="s">
        <v>1206</v>
      </c>
      <c t="s">
        <v>26016</v>
      </c>
      <c t="s">
        <v>16665</v>
      </c>
      <c t="s">
        <v>32746</v>
      </c>
      <c t="s">
        <v>3093</v>
      </c>
      <c t="s">
        <v>63764</v>
      </c>
    </row>
    <row>
      <c t="s">
        <v>17594</v>
      </c>
      <c t="s">
        <v>60895</v>
      </c>
      <c t="s">
        <v>56010</v>
      </c>
      <c t="s">
        <v>33249</v>
      </c>
      <c t="s">
        <v>30086</v>
      </c>
      <c s="3">
        <v>96680</v>
      </c>
      <c s="3">
        <v>85250</v>
      </c>
      <c s="3">
        <v>96680</v>
      </c>
      <c>
        <v>0</v>
      </c>
      <c s="3">
        <v>0</v>
      </c>
      <c s="3">
        <v>1452.36</v>
      </c>
      <c s="3">
        <v>96680</v>
      </c>
      <c r="O3839" s="1" t="str">
        <f ca="1">HYPERLINK("https://web.datatree.com/?/property?propertyId=33459806", "https://web.datatree.com/?/property?propertyId=33459806")</f>
        <v>https://web.datatree.com/?/property?propertyId=33459806</v>
      </c>
      <c r="Q3839" t="s">
        <v>316</v>
      </c>
      <c>
        <v>0.125</v>
      </c>
      <c t="s">
        <v>26492</v>
      </c>
      <c t="s">
        <v>54943</v>
      </c>
      <c t="s">
        <v>844</v>
      </c>
      <c t="s">
        <v>64413</v>
      </c>
      <c t="s">
        <v>844</v>
      </c>
      <c t="s">
        <v>53479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24901</v>
      </c>
      <c>
        <v>65</v>
      </c>
      <c r="AI3839" t="s">
        <v>40191</v>
      </c>
      <c t="s">
        <v>45393</v>
      </c>
      <c r="AL3839" t="s">
        <v>43685</v>
      </c>
      <c t="s">
        <v>40227</v>
      </c>
      <c t="s">
        <v>27747</v>
      </c>
      <c t="s">
        <v>9</v>
      </c>
      <c t="s">
        <v>22455</v>
      </c>
      <c t="s">
        <v>3093</v>
      </c>
      <c t="s">
        <v>24327</v>
      </c>
    </row>
    <row>
      <c t="s">
        <v>17594</v>
      </c>
      <c t="s">
        <v>57499</v>
      </c>
      <c t="s">
        <v>22499</v>
      </c>
      <c t="s">
        <v>53016</v>
      </c>
      <c t="s">
        <v>15807</v>
      </c>
      <c s="3">
        <v>54688</v>
      </c>
      <c s="3">
        <v>54688</v>
      </c>
      <c s="3">
        <v>22824</v>
      </c>
      <c>
        <v>0</v>
      </c>
      <c s="3">
        <v>0</v>
      </c>
      <c s="3">
        <v>911.15</v>
      </c>
      <c s="3">
        <v>54688</v>
      </c>
      <c r="O3840" s="1" t="str">
        <f ca="1">HYPERLINK("https://web.datatree.com/?/property?propertyId=33461783", "https://web.datatree.com/?/property?propertyId=33461783")</f>
        <v>https://web.datatree.com/?/property?propertyId=33461783</v>
      </c>
      <c r="Q3840" t="s">
        <v>316</v>
      </c>
      <c>
        <v>0.23</v>
      </c>
      <c t="s">
        <v>6175</v>
      </c>
      <c t="s">
        <v>38923</v>
      </c>
      <c t="s">
        <v>56579</v>
      </c>
      <c r="X3840" t="s">
        <v>6055</v>
      </c>
      <c t="s">
        <v>17022</v>
      </c>
      <c t="s">
        <v>2517</v>
      </c>
      <c t="s">
        <v>39289</v>
      </c>
      <c>
        <v>33904</v>
      </c>
      <c t="s">
        <v>33511</v>
      </c>
      <c t="s">
        <v>48794</v>
      </c>
      <c t="s">
        <v>62272</v>
      </c>
      <c>
        <v>2449</v>
      </c>
      <c r="AI3840" t="s">
        <v>38029</v>
      </c>
      <c t="s">
        <v>45393</v>
      </c>
      <c r="AL3840" t="s">
        <v>47753</v>
      </c>
      <c r="AN3840" t="s">
        <v>26016</v>
      </c>
      <c t="s">
        <v>56126</v>
      </c>
      <c t="s">
        <v>4480</v>
      </c>
      <c t="s">
        <v>3093</v>
      </c>
      <c t="s">
        <v>27172</v>
      </c>
    </row>
    <row>
      <c t="s">
        <v>42103</v>
      </c>
      <c t="s">
        <v>47818</v>
      </c>
      <c t="s">
        <v>23502</v>
      </c>
      <c t="s">
        <v>42730</v>
      </c>
      <c t="s">
        <v>46951</v>
      </c>
      <c s="3">
        <v>10600</v>
      </c>
      <c s="3">
        <v>10600</v>
      </c>
      <c s="3">
        <v>9339</v>
      </c>
      <c>
        <v>0</v>
      </c>
      <c s="3">
        <v>0</v>
      </c>
      <c s="3">
        <v>2880.21</v>
      </c>
      <c s="3">
        <v>10600</v>
      </c>
      <c r="O3841" s="1" t="str">
        <f ca="1">HYPERLINK("https://web.datatree.com/?/property?propertyId=33462295", "https://web.datatree.com/?/property?propertyId=33462295")</f>
        <v>https://web.datatree.com/?/property?propertyId=33462295</v>
      </c>
      <c r="Q3841" t="s">
        <v>316</v>
      </c>
      <c>
        <v>0.23</v>
      </c>
      <c t="s">
        <v>6175</v>
      </c>
      <c t="s">
        <v>64030</v>
      </c>
      <c t="s">
        <v>30410</v>
      </c>
      <c r="X3841" t="s">
        <v>63391</v>
      </c>
      <c t="s">
        <v>18679</v>
      </c>
      <c t="s">
        <v>2517</v>
      </c>
      <c t="s">
        <v>39289</v>
      </c>
      <c>
        <v>33909</v>
      </c>
      <c t="s">
        <v>58022</v>
      </c>
      <c t="s">
        <v>48794</v>
      </c>
      <c t="s">
        <v>60204</v>
      </c>
      <c r="AI3841" t="s">
        <v>27012</v>
      </c>
      <c r="AL3841" t="s">
        <v>5307</v>
      </c>
      <c t="s">
        <v>8225</v>
      </c>
      <c t="s">
        <v>51087</v>
      </c>
      <c>
        <v>20101</v>
      </c>
      <c r="AR3841" t="s">
        <v>25710</v>
      </c>
    </row>
    <row>
      <c t="s">
        <v>17594</v>
      </c>
      <c t="s">
        <v>15003</v>
      </c>
      <c t="s">
        <v>25070</v>
      </c>
      <c t="s">
        <v>40264</v>
      </c>
      <c t="s">
        <v>47265</v>
      </c>
      <c s="3">
        <v>2100</v>
      </c>
      <c s="3">
        <v>2100</v>
      </c>
      <c s="3">
        <v>1561</v>
      </c>
      <c>
        <v>0</v>
      </c>
      <c s="3">
        <v>0</v>
      </c>
      <c s="3">
        <v>264.52</v>
      </c>
      <c s="3">
        <v>2100</v>
      </c>
      <c r="O3842" s="1" t="str">
        <f ca="1">HYPERLINK("https://web.datatree.com/?/property?propertyId=33462315", "https://web.datatree.com/?/property?propertyId=33462315")</f>
        <v>https://web.datatree.com/?/property?propertyId=33462315</v>
      </c>
      <c r="Q3842" t="s">
        <v>316</v>
      </c>
      <c>
        <v>0.069</v>
      </c>
      <c t="s">
        <v>42044</v>
      </c>
      <c t="s">
        <v>2140</v>
      </c>
      <c t="s">
        <v>10742</v>
      </c>
      <c r="X3842" t="s">
        <v>4124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1611</v>
      </c>
      <c r="AI3842" t="s">
        <v>40325</v>
      </c>
      <c t="s">
        <v>55842</v>
      </c>
      <c r="AL3842" t="s">
        <v>54132</v>
      </c>
      <c r="AN3842" t="s">
        <v>5859</v>
      </c>
      <c t="s">
        <v>15636</v>
      </c>
      <c t="s">
        <v>52247</v>
      </c>
      <c t="s">
        <v>3093</v>
      </c>
      <c t="s">
        <v>61834</v>
      </c>
    </row>
    <row>
      <c t="s">
        <v>17594</v>
      </c>
      <c t="s">
        <v>13595</v>
      </c>
      <c t="s">
        <v>58897</v>
      </c>
      <c t="s">
        <v>28282</v>
      </c>
      <c t="s">
        <v>7963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843" s="1" t="str">
        <f ca="1">HYPERLINK("https://web.datatree.com/?/property?propertyId=33463145", "https://web.datatree.com/?/property?propertyId=33463145")</f>
        <v>https://web.datatree.com/?/property?propertyId=33463145</v>
      </c>
      <c r="Q3843" t="s">
        <v>316</v>
      </c>
      <c>
        <v>0.249</v>
      </c>
      <c t="s">
        <v>5471</v>
      </c>
      <c t="s">
        <v>4909</v>
      </c>
      <c t="s">
        <v>43112</v>
      </c>
      <c t="s">
        <v>64413</v>
      </c>
      <c t="s">
        <v>43112</v>
      </c>
      <c t="s">
        <v>35878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44118</v>
      </c>
      <c>
        <v>11128</v>
      </c>
      <c r="AI3843" t="s">
        <v>13884</v>
      </c>
      <c t="s">
        <v>31192</v>
      </c>
      <c r="AL3843" t="s">
        <v>15650</v>
      </c>
      <c t="s">
        <v>15650</v>
      </c>
      <c t="s">
        <v>39289</v>
      </c>
      <c t="s">
        <v>10263</v>
      </c>
      <c t="s">
        <v>3068</v>
      </c>
      <c t="s">
        <v>3093</v>
      </c>
      <c t="s">
        <v>53060</v>
      </c>
    </row>
    <row>
      <c t="s">
        <v>17594</v>
      </c>
      <c t="s">
        <v>5964</v>
      </c>
      <c t="s">
        <v>55770</v>
      </c>
      <c t="s">
        <v>46621</v>
      </c>
      <c t="s">
        <v>36618</v>
      </c>
      <c s="3">
        <v>23969</v>
      </c>
      <c s="3">
        <v>23969</v>
      </c>
      <c s="3">
        <v>15180</v>
      </c>
      <c>
        <v>0</v>
      </c>
      <c s="3">
        <v>0</v>
      </c>
      <c s="3">
        <v>821.16</v>
      </c>
      <c s="3">
        <v>23969</v>
      </c>
      <c r="O3844" s="1" t="str">
        <f ca="1">HYPERLINK("https://web.datatree.com/?/property?propertyId=33464727", "https://web.datatree.com/?/property?propertyId=33464727")</f>
        <v>https://web.datatree.com/?/property?propertyId=33464727</v>
      </c>
      <c r="Q3844" t="s">
        <v>316</v>
      </c>
      <c>
        <v>0.373</v>
      </c>
      <c t="s">
        <v>22490</v>
      </c>
      <c t="s">
        <v>66812</v>
      </c>
      <c t="s">
        <v>12343</v>
      </c>
      <c r="X3844" t="s">
        <v>58213</v>
      </c>
      <c t="s">
        <v>39082</v>
      </c>
      <c t="s">
        <v>2517</v>
      </c>
      <c t="s">
        <v>39289</v>
      </c>
      <c>
        <v>33909</v>
      </c>
      <c t="s">
        <v>46050</v>
      </c>
      <c t="s">
        <v>48794</v>
      </c>
      <c t="s">
        <v>5324</v>
      </c>
      <c>
        <v>165</v>
      </c>
      <c r="AI3844" t="s">
        <v>65608</v>
      </c>
      <c t="s">
        <v>24900</v>
      </c>
      <c r="AL3844" t="s">
        <v>35229</v>
      </c>
      <c r="AN3844" t="s">
        <v>39289</v>
      </c>
      <c t="s">
        <v>49440</v>
      </c>
      <c t="s">
        <v>22613</v>
      </c>
      <c t="s">
        <v>3093</v>
      </c>
      <c t="s">
        <v>47642</v>
      </c>
    </row>
    <row>
      <c t="s">
        <v>17594</v>
      </c>
      <c t="s">
        <v>10636</v>
      </c>
      <c t="s">
        <v>17598</v>
      </c>
      <c t="s">
        <v>18776</v>
      </c>
      <c t="s">
        <v>36046</v>
      </c>
      <c s="3">
        <v>8640</v>
      </c>
      <c s="3">
        <v>8640</v>
      </c>
      <c s="3">
        <v>8640</v>
      </c>
      <c>
        <v>0</v>
      </c>
      <c s="3">
        <v>0</v>
      </c>
      <c s="3">
        <v>365.2</v>
      </c>
      <c s="3">
        <v>8640</v>
      </c>
      <c r="O3845" s="1" t="str">
        <f ca="1">HYPERLINK("https://web.datatree.com/?/property?propertyId=33465403", "https://web.datatree.com/?/property?propertyId=33465403")</f>
        <v>https://web.datatree.com/?/property?propertyId=33465403</v>
      </c>
      <c r="Q3845" t="s">
        <v>316</v>
      </c>
      <c>
        <v>0.236</v>
      </c>
      <c t="s">
        <v>5471</v>
      </c>
      <c t="s">
        <v>18485</v>
      </c>
      <c t="s">
        <v>47754</v>
      </c>
      <c r="X3845" t="s">
        <v>20946</v>
      </c>
      <c t="s">
        <v>48116</v>
      </c>
      <c t="s">
        <v>65059</v>
      </c>
      <c t="s">
        <v>39289</v>
      </c>
      <c>
        <v>33905</v>
      </c>
      <c t="s">
        <v>58591</v>
      </c>
      <c t="s">
        <v>48794</v>
      </c>
      <c t="s">
        <v>40945</v>
      </c>
      <c>
        <v>3854</v>
      </c>
      <c r="AI3845" t="s">
        <v>48116</v>
      </c>
      <c t="s">
        <v>31192</v>
      </c>
      <c r="AL3845" t="s">
        <v>24693</v>
      </c>
      <c t="s">
        <v>13082</v>
      </c>
      <c t="s">
        <v>51087</v>
      </c>
      <c t="s">
        <v>43414</v>
      </c>
      <c t="s">
        <v>17246</v>
      </c>
      <c t="s">
        <v>3093</v>
      </c>
      <c t="s">
        <v>40945</v>
      </c>
    </row>
    <row>
      <c t="s">
        <v>42103</v>
      </c>
      <c t="s">
        <v>7810</v>
      </c>
      <c t="s">
        <v>4718</v>
      </c>
      <c t="s">
        <v>52689</v>
      </c>
      <c t="s">
        <v>57263</v>
      </c>
      <c s="3">
        <v>12203</v>
      </c>
      <c s="3">
        <v>12203</v>
      </c>
      <c s="3">
        <v>8195</v>
      </c>
      <c>
        <v>0</v>
      </c>
      <c s="3">
        <v>0</v>
      </c>
      <c s="3">
        <v>144.95</v>
      </c>
      <c s="3">
        <v>12203</v>
      </c>
      <c r="O3846" s="1" t="str">
        <f ca="1">HYPERLINK("https://web.datatree.com/?/property?propertyId=33465897", "https://web.datatree.com/?/property?propertyId=33465897")</f>
        <v>https://web.datatree.com/?/property?propertyId=33465897</v>
      </c>
      <c r="Q3846" t="s">
        <v>316</v>
      </c>
      <c>
        <v>0.228</v>
      </c>
      <c t="s">
        <v>5471</v>
      </c>
      <c t="s">
        <v>48755</v>
      </c>
      <c t="s">
        <v>47667</v>
      </c>
      <c t="s">
        <v>45987</v>
      </c>
      <c t="s">
        <v>47667</v>
      </c>
      <c t="s">
        <v>7685</v>
      </c>
      <c t="s">
        <v>25518</v>
      </c>
      <c t="s">
        <v>65059</v>
      </c>
      <c t="s">
        <v>39289</v>
      </c>
      <c>
        <v>33905</v>
      </c>
      <c t="s">
        <v>7259</v>
      </c>
      <c t="s">
        <v>48794</v>
      </c>
      <c t="s">
        <v>10131</v>
      </c>
      <c r="AI3846" t="s">
        <v>25793</v>
      </c>
      <c r="AL3846" t="s">
        <v>34656</v>
      </c>
      <c t="s">
        <v>34656</v>
      </c>
      <c t="s">
        <v>3034</v>
      </c>
      <c>
        <v>41702</v>
      </c>
      <c t="s">
        <v>9590</v>
      </c>
      <c t="s">
        <v>3093</v>
      </c>
      <c t="s">
        <v>45891</v>
      </c>
    </row>
    <row>
      <c t="s">
        <v>17594</v>
      </c>
      <c t="s">
        <v>55298</v>
      </c>
      <c t="s">
        <v>18956</v>
      </c>
      <c t="s">
        <v>26035</v>
      </c>
      <c t="s">
        <v>37790</v>
      </c>
      <c s="3">
        <v>26290</v>
      </c>
      <c s="3">
        <v>26290</v>
      </c>
      <c s="3">
        <v>12650</v>
      </c>
      <c>
        <v>0</v>
      </c>
      <c s="3">
        <v>0</v>
      </c>
      <c s="3">
        <v>2914.32</v>
      </c>
      <c s="3">
        <v>26290</v>
      </c>
      <c r="O3847" s="1" t="str">
        <f ca="1">HYPERLINK("https://web.datatree.com/?/property?propertyId=33466853", "https://web.datatree.com/?/property?propertyId=33466853")</f>
        <v>https://web.datatree.com/?/property?propertyId=33466853</v>
      </c>
      <c r="Q3847" t="s">
        <v>316</v>
      </c>
      <c>
        <v>0.23</v>
      </c>
      <c t="s">
        <v>22490</v>
      </c>
      <c t="s">
        <v>2925</v>
      </c>
      <c t="s">
        <v>28500</v>
      </c>
      <c r="X3847" t="s">
        <v>65298</v>
      </c>
      <c t="s">
        <v>17022</v>
      </c>
      <c t="s">
        <v>2517</v>
      </c>
      <c t="s">
        <v>39289</v>
      </c>
      <c>
        <v>33909</v>
      </c>
      <c t="s">
        <v>50745</v>
      </c>
      <c t="s">
        <v>48794</v>
      </c>
      <c t="s">
        <v>1699</v>
      </c>
      <c>
        <v>263</v>
      </c>
      <c r="AI3847" t="s">
        <v>28192</v>
      </c>
      <c t="s">
        <v>45393</v>
      </c>
      <c r="AL3847" t="s">
        <v>6224</v>
      </c>
      <c t="s">
        <v>6224</v>
      </c>
      <c t="s">
        <v>27481</v>
      </c>
      <c>
        <v>53129</v>
      </c>
      <c r="AR3847" t="s">
        <v>65534</v>
      </c>
    </row>
    <row>
      <c t="s">
        <v>17594</v>
      </c>
      <c t="s">
        <v>3621</v>
      </c>
      <c t="s">
        <v>20860</v>
      </c>
      <c t="s">
        <v>17052</v>
      </c>
      <c t="s">
        <v>24138</v>
      </c>
      <c s="3">
        <v>20249</v>
      </c>
      <c s="3">
        <v>20249</v>
      </c>
      <c s="3">
        <v>9240</v>
      </c>
      <c>
        <v>0</v>
      </c>
      <c s="3">
        <v>0</v>
      </c>
      <c s="3">
        <v>584.18</v>
      </c>
      <c s="3">
        <v>20249</v>
      </c>
      <c r="O3848" s="1" t="str">
        <f ca="1">HYPERLINK("https://web.datatree.com/?/property?propertyId=33467114", "https://web.datatree.com/?/property?propertyId=33467114")</f>
        <v>https://web.datatree.com/?/property?propertyId=33467114</v>
      </c>
      <c r="Q3848" t="s">
        <v>316</v>
      </c>
      <c>
        <v>0.239</v>
      </c>
      <c t="s">
        <v>22490</v>
      </c>
      <c t="s">
        <v>49698</v>
      </c>
      <c t="s">
        <v>44376</v>
      </c>
      <c r="X3848" t="s">
        <v>41325</v>
      </c>
      <c t="s">
        <v>53675</v>
      </c>
      <c t="s">
        <v>2517</v>
      </c>
      <c t="s">
        <v>39289</v>
      </c>
      <c>
        <v>33909</v>
      </c>
      <c t="s">
        <v>2114</v>
      </c>
      <c t="s">
        <v>48794</v>
      </c>
      <c t="s">
        <v>53946</v>
      </c>
      <c>
        <v>6</v>
      </c>
      <c r="AI3848" t="s">
        <v>34956</v>
      </c>
      <c t="s">
        <v>55842</v>
      </c>
      <c r="AL3848" t="s">
        <v>36794</v>
      </c>
      <c r="AN3848" t="s">
        <v>26016</v>
      </c>
      <c t="s">
        <v>17516</v>
      </c>
      <c t="s">
        <v>44428</v>
      </c>
      <c t="s">
        <v>3093</v>
      </c>
      <c t="s">
        <v>31088</v>
      </c>
    </row>
    <row>
      <c t="s">
        <v>17594</v>
      </c>
      <c t="s">
        <v>54032</v>
      </c>
      <c t="s">
        <v>9702</v>
      </c>
      <c t="s">
        <v>4803</v>
      </c>
      <c t="s">
        <v>64571</v>
      </c>
      <c s="3">
        <v>26250</v>
      </c>
      <c s="3">
        <v>26250</v>
      </c>
      <c s="3">
        <v>9433</v>
      </c>
      <c>
        <v>0</v>
      </c>
      <c s="3">
        <v>0</v>
      </c>
      <c s="3">
        <v>418.28</v>
      </c>
      <c s="3">
        <v>26250</v>
      </c>
      <c r="O3849" s="1" t="str">
        <f ca="1">HYPERLINK("https://web.datatree.com/?/property?propertyId=33467662", "https://web.datatree.com/?/property?propertyId=33467662")</f>
        <v>https://web.datatree.com/?/property?propertyId=33467662</v>
      </c>
      <c r="Q3849" t="s">
        <v>316</v>
      </c>
      <c>
        <v>0.272</v>
      </c>
      <c t="s">
        <v>5471</v>
      </c>
      <c t="s">
        <v>54428</v>
      </c>
      <c t="s">
        <v>26504</v>
      </c>
      <c t="s">
        <v>45331</v>
      </c>
      <c t="s">
        <v>26504</v>
      </c>
      <c t="s">
        <v>45045</v>
      </c>
      <c t="s">
        <v>7199</v>
      </c>
      <c t="s">
        <v>65059</v>
      </c>
      <c t="s">
        <v>39289</v>
      </c>
      <c>
        <v>33905</v>
      </c>
      <c t="s">
        <v>10571</v>
      </c>
      <c t="s">
        <v>48794</v>
      </c>
      <c t="s">
        <v>2392</v>
      </c>
      <c>
        <v>154</v>
      </c>
      <c r="AI3849" t="s">
        <v>63401</v>
      </c>
      <c t="s">
        <v>24900</v>
      </c>
      <c r="AL3849" t="s">
        <v>66317</v>
      </c>
      <c r="AN3849" t="s">
        <v>50917</v>
      </c>
      <c t="s">
        <v>11567</v>
      </c>
      <c t="s">
        <v>61410</v>
      </c>
      <c t="s">
        <v>3093</v>
      </c>
      <c t="s">
        <v>32362</v>
      </c>
    </row>
    <row>
      <c t="s">
        <v>17594</v>
      </c>
      <c t="s">
        <v>24457</v>
      </c>
      <c t="s">
        <v>10028</v>
      </c>
      <c t="s">
        <v>24046</v>
      </c>
      <c t="s">
        <v>41053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>
        <v>2018</v>
      </c>
      <c>
        <v>4347.82</v>
      </c>
      <c s="1" t="str">
        <f ca="1">HYPERLINK("https://web.datatree.com/?/property?propertyId=33467700", "https://web.datatree.com/?/property?propertyId=33467700")</f>
        <v>https://web.datatree.com/?/property?propertyId=33467700</v>
      </c>
      <c r="Q3850" t="s">
        <v>316</v>
      </c>
      <c>
        <v>0.23</v>
      </c>
      <c t="s">
        <v>54449</v>
      </c>
      <c t="s">
        <v>2104</v>
      </c>
      <c t="s">
        <v>63833</v>
      </c>
      <c r="W3850" t="s">
        <v>23859</v>
      </c>
      <c t="s">
        <v>12751</v>
      </c>
      <c t="s">
        <v>39777</v>
      </c>
      <c t="s">
        <v>2517</v>
      </c>
      <c t="s">
        <v>39289</v>
      </c>
      <c>
        <v>33909</v>
      </c>
      <c t="s">
        <v>32741</v>
      </c>
      <c t="s">
        <v>48794</v>
      </c>
      <c t="s">
        <v>41409</v>
      </c>
      <c r="AI3850" t="s">
        <v>40234</v>
      </c>
      <c r="AK3850" t="s">
        <v>16120</v>
      </c>
      <c t="s">
        <v>61981</v>
      </c>
      <c r="AN3850" t="s">
        <v>7234</v>
      </c>
      <c>
        <v>0</v>
      </c>
      <c r="AR3850" t="s">
        <v>45779</v>
      </c>
    </row>
    <row>
      <c t="s">
        <v>17594</v>
      </c>
      <c t="s">
        <v>42329</v>
      </c>
      <c t="s">
        <v>35120</v>
      </c>
      <c t="s">
        <v>51683</v>
      </c>
      <c t="s">
        <v>49531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851" s="1" t="str">
        <f ca="1">HYPERLINK("https://web.datatree.com/?/property?propertyId=33467777", "https://web.datatree.com/?/property?propertyId=33467777")</f>
        <v>https://web.datatree.com/?/property?propertyId=33467777</v>
      </c>
      <c r="Q3851" t="s">
        <v>316</v>
      </c>
      <c>
        <v>0.23</v>
      </c>
      <c t="s">
        <v>6175</v>
      </c>
      <c t="s">
        <v>64740</v>
      </c>
      <c t="s">
        <v>65910</v>
      </c>
      <c t="s">
        <v>33990</v>
      </c>
      <c t="s">
        <v>60425</v>
      </c>
      <c t="s">
        <v>9632</v>
      </c>
      <c t="s">
        <v>41506</v>
      </c>
      <c t="s">
        <v>2517</v>
      </c>
      <c t="s">
        <v>39289</v>
      </c>
      <c>
        <v>33909</v>
      </c>
      <c t="s">
        <v>36270</v>
      </c>
      <c t="s">
        <v>48794</v>
      </c>
      <c t="s">
        <v>32676</v>
      </c>
      <c>
        <v>11890</v>
      </c>
      <c r="AI3851" t="s">
        <v>17022</v>
      </c>
      <c t="s">
        <v>45393</v>
      </c>
      <c>
        <v>503</v>
      </c>
      <c t="s">
        <v>55393</v>
      </c>
      <c t="s">
        <v>51647</v>
      </c>
      <c t="s">
        <v>39289</v>
      </c>
      <c t="s">
        <v>40693</v>
      </c>
      <c t="s">
        <v>13610</v>
      </c>
      <c t="s">
        <v>3093</v>
      </c>
      <c t="s">
        <v>22007</v>
      </c>
    </row>
    <row>
      <c t="s">
        <v>17594</v>
      </c>
      <c t="s">
        <v>41858</v>
      </c>
      <c t="s">
        <v>2734</v>
      </c>
      <c t="s">
        <v>19223</v>
      </c>
      <c t="s">
        <v>64082</v>
      </c>
      <c s="3">
        <v>26249</v>
      </c>
      <c s="3">
        <v>26249</v>
      </c>
      <c s="3">
        <v>4671</v>
      </c>
      <c>
        <v>0</v>
      </c>
      <c s="3">
        <v>0</v>
      </c>
      <c s="3">
        <v>387.28</v>
      </c>
      <c s="3">
        <v>26249</v>
      </c>
      <c>
        <v>2017</v>
      </c>
      <c>
        <v>4261.78</v>
      </c>
      <c s="1" t="str">
        <f ca="1">HYPERLINK("https://web.datatree.com/?/property?propertyId=33468233", "https://web.datatree.com/?/property?propertyId=33468233")</f>
        <v>https://web.datatree.com/?/property?propertyId=33468233</v>
      </c>
      <c r="Q3852" t="s">
        <v>316</v>
      </c>
      <c>
        <v>0.115</v>
      </c>
      <c t="s">
        <v>65422</v>
      </c>
      <c t="s">
        <v>22027</v>
      </c>
      <c t="s">
        <v>9314</v>
      </c>
      <c r="X3852" t="s">
        <v>27362</v>
      </c>
      <c t="s">
        <v>47150</v>
      </c>
      <c t="s">
        <v>2517</v>
      </c>
      <c t="s">
        <v>39289</v>
      </c>
      <c>
        <v>33909</v>
      </c>
      <c t="s">
        <v>55281</v>
      </c>
      <c t="s">
        <v>48794</v>
      </c>
      <c t="s">
        <v>17644</v>
      </c>
      <c>
        <v>40</v>
      </c>
      <c r="AI3852" t="s">
        <v>37451</v>
      </c>
      <c r="AL3852" t="s">
        <v>25997</v>
      </c>
      <c r="AN3852" t="s">
        <v>14798</v>
      </c>
      <c r="AR3852" t="s">
        <v>30101</v>
      </c>
    </row>
    <row>
      <c t="s">
        <v>17594</v>
      </c>
      <c t="s">
        <v>62414</v>
      </c>
      <c t="s">
        <v>10311</v>
      </c>
      <c t="s">
        <v>1223</v>
      </c>
      <c t="s">
        <v>13831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3853" s="1" t="str">
        <f ca="1">HYPERLINK("https://web.datatree.com/?/property?propertyId=33469184", "https://web.datatree.com/?/property?propertyId=33469184")</f>
        <v>https://web.datatree.com/?/property?propertyId=33469184</v>
      </c>
      <c r="Q3853" t="s">
        <v>316</v>
      </c>
      <c>
        <v>0.23</v>
      </c>
      <c t="s">
        <v>58725</v>
      </c>
      <c t="s">
        <v>3562</v>
      </c>
      <c t="s">
        <v>29940</v>
      </c>
      <c t="s">
        <v>944</v>
      </c>
      <c t="s">
        <v>29940</v>
      </c>
      <c t="s">
        <v>19456</v>
      </c>
      <c t="s">
        <v>57064</v>
      </c>
      <c t="s">
        <v>2517</v>
      </c>
      <c t="s">
        <v>39289</v>
      </c>
      <c>
        <v>33909</v>
      </c>
      <c t="s">
        <v>11423</v>
      </c>
      <c t="s">
        <v>48794</v>
      </c>
      <c t="s">
        <v>35101</v>
      </c>
      <c>
        <v>1401</v>
      </c>
      <c r="AI3853" t="s">
        <v>30261</v>
      </c>
      <c t="s">
        <v>45620</v>
      </c>
      <c t="s">
        <v>58823</v>
      </c>
      <c t="s">
        <v>57187</v>
      </c>
      <c t="s">
        <v>57187</v>
      </c>
      <c t="s">
        <v>4477</v>
      </c>
      <c t="s">
        <v>57852</v>
      </c>
      <c t="s">
        <v>27410</v>
      </c>
      <c t="s">
        <v>3093</v>
      </c>
      <c t="s">
        <v>55292</v>
      </c>
    </row>
    <row>
      <c t="s">
        <v>17594</v>
      </c>
      <c t="s">
        <v>30242</v>
      </c>
      <c t="s">
        <v>11829</v>
      </c>
      <c t="s">
        <v>56472</v>
      </c>
      <c t="s">
        <v>36028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>
        <v>2020</v>
      </c>
      <c>
        <v>1771.01</v>
      </c>
      <c s="1" t="str">
        <f ca="1">HYPERLINK("https://web.datatree.com/?/property?propertyId=33470087", "https://web.datatree.com/?/property?propertyId=33470087")</f>
        <v>https://web.datatree.com/?/property?propertyId=33470087</v>
      </c>
      <c r="Q3854" t="s">
        <v>316</v>
      </c>
      <c>
        <v>0.256</v>
      </c>
      <c t="s">
        <v>6175</v>
      </c>
      <c t="s">
        <v>1859</v>
      </c>
      <c t="s">
        <v>46201</v>
      </c>
      <c t="s">
        <v>30591</v>
      </c>
      <c t="s">
        <v>46201</v>
      </c>
      <c t="s">
        <v>8739</v>
      </c>
      <c t="s">
        <v>2626</v>
      </c>
      <c t="s">
        <v>2517</v>
      </c>
      <c t="s">
        <v>39289</v>
      </c>
      <c>
        <v>33909</v>
      </c>
      <c t="s">
        <v>30690</v>
      </c>
      <c t="s">
        <v>48794</v>
      </c>
      <c t="s">
        <v>40532</v>
      </c>
      <c>
        <v>11649</v>
      </c>
      <c r="AI3854" t="s">
        <v>8572</v>
      </c>
      <c t="s">
        <v>45393</v>
      </c>
      <c r="AL3854" t="s">
        <v>31245</v>
      </c>
      <c r="AN3854" t="s">
        <v>65451</v>
      </c>
      <c t="s">
        <v>22277</v>
      </c>
      <c t="s">
        <v>53800</v>
      </c>
      <c t="s">
        <v>3093</v>
      </c>
      <c t="s">
        <v>12651</v>
      </c>
    </row>
    <row>
      <c t="s">
        <v>17594</v>
      </c>
      <c t="s">
        <v>46574</v>
      </c>
      <c t="s">
        <v>28849</v>
      </c>
      <c t="s">
        <v>5754</v>
      </c>
      <c t="s">
        <v>58913</v>
      </c>
      <c s="3">
        <v>17276</v>
      </c>
      <c s="3">
        <v>17276</v>
      </c>
      <c s="3">
        <v>8470</v>
      </c>
      <c>
        <v>0</v>
      </c>
      <c s="3">
        <v>0</v>
      </c>
      <c s="3">
        <v>576.29</v>
      </c>
      <c s="3">
        <v>17276</v>
      </c>
      <c>
        <v>2020</v>
      </c>
      <c>
        <v>1113.46</v>
      </c>
      <c s="1" t="str">
        <f ca="1">HYPERLINK("https://web.datatree.com/?/property?propertyId=33470265", "https://web.datatree.com/?/property?propertyId=33470265")</f>
        <v>https://web.datatree.com/?/property?propertyId=33470265</v>
      </c>
      <c r="Q3855" t="s">
        <v>316</v>
      </c>
      <c>
        <v>0.241</v>
      </c>
      <c t="s">
        <v>6175</v>
      </c>
      <c t="s">
        <v>9607</v>
      </c>
      <c t="s">
        <v>22475</v>
      </c>
      <c r="X3855" t="s">
        <v>27439</v>
      </c>
      <c t="s">
        <v>44061</v>
      </c>
      <c t="s">
        <v>2517</v>
      </c>
      <c t="s">
        <v>39289</v>
      </c>
      <c>
        <v>33909</v>
      </c>
      <c t="s">
        <v>17391</v>
      </c>
      <c t="s">
        <v>48794</v>
      </c>
      <c t="s">
        <v>10008</v>
      </c>
      <c>
        <v>20325</v>
      </c>
      <c r="AI3855" t="s">
        <v>22487</v>
      </c>
      <c t="s">
        <v>31192</v>
      </c>
      <c r="AL3855" t="s">
        <v>36080</v>
      </c>
      <c r="AN3855" t="s">
        <v>39289</v>
      </c>
      <c t="s">
        <v>29294</v>
      </c>
      <c t="s">
        <v>33888</v>
      </c>
      <c t="s">
        <v>3093</v>
      </c>
      <c t="s">
        <v>58339</v>
      </c>
    </row>
    <row>
      <c t="s">
        <v>17594</v>
      </c>
      <c t="s">
        <v>34798</v>
      </c>
      <c s="2" t="s">
        <v>55054</v>
      </c>
      <c t="s">
        <v>63775</v>
      </c>
      <c t="s">
        <v>58642</v>
      </c>
      <c s="3">
        <v>23969</v>
      </c>
      <c s="3">
        <v>23969</v>
      </c>
      <c s="3">
        <v>23969</v>
      </c>
      <c>
        <v>0</v>
      </c>
      <c s="3">
        <v>0</v>
      </c>
      <c s="3">
        <v>789.75</v>
      </c>
      <c s="3">
        <v>23969</v>
      </c>
      <c r="O3856" s="1" t="str">
        <f ca="1">HYPERLINK("https://web.datatree.com/?/property?propertyId=33470625", "https://web.datatree.com/?/property?propertyId=33470625")</f>
        <v>https://web.datatree.com/?/property?propertyId=33470625</v>
      </c>
      <c r="Q3856" t="s">
        <v>316</v>
      </c>
      <c>
        <v>0.23</v>
      </c>
      <c t="s">
        <v>22490</v>
      </c>
      <c t="s">
        <v>54158</v>
      </c>
      <c t="s">
        <v>38166</v>
      </c>
      <c t="s">
        <v>43942</v>
      </c>
      <c t="s">
        <v>38166</v>
      </c>
      <c t="s">
        <v>55990</v>
      </c>
      <c t="s">
        <v>66701</v>
      </c>
      <c t="s">
        <v>2517</v>
      </c>
      <c t="s">
        <v>39289</v>
      </c>
      <c>
        <v>33909</v>
      </c>
      <c t="s">
        <v>3538</v>
      </c>
      <c t="s">
        <v>48794</v>
      </c>
      <c t="s">
        <v>38362</v>
      </c>
      <c>
        <v>41</v>
      </c>
      <c r="AI3856" t="s">
        <v>18645</v>
      </c>
      <c t="s">
        <v>31192</v>
      </c>
      <c r="AL3856" t="s">
        <v>3859</v>
      </c>
      <c t="s">
        <v>3859</v>
      </c>
      <c t="s">
        <v>50917</v>
      </c>
      <c t="s">
        <v>42804</v>
      </c>
      <c t="s">
        <v>61719</v>
      </c>
      <c t="s">
        <v>3093</v>
      </c>
      <c s="2" t="s">
        <v>64004</v>
      </c>
    </row>
    <row>
      <c t="s">
        <v>17594</v>
      </c>
      <c t="s">
        <v>15305</v>
      </c>
      <c t="s">
        <v>58653</v>
      </c>
      <c t="s">
        <v>44484</v>
      </c>
      <c t="s">
        <v>19388</v>
      </c>
      <c s="3">
        <v>39960</v>
      </c>
      <c s="3">
        <v>39960</v>
      </c>
      <c s="3">
        <v>39960</v>
      </c>
      <c>
        <v>0</v>
      </c>
      <c s="3">
        <v>0</v>
      </c>
      <c s="3">
        <v>553.21</v>
      </c>
      <c s="3">
        <v>39960</v>
      </c>
      <c>
        <v>2021</v>
      </c>
      <c>
        <v>471.07</v>
      </c>
      <c s="1" t="str">
        <f ca="1">HYPERLINK("https://web.datatree.com/?/property?propertyId=33471159", "https://web.datatree.com/?/property?propertyId=33471159")</f>
        <v>https://web.datatree.com/?/property?propertyId=33471159</v>
      </c>
      <c r="Q3857" t="s">
        <v>316</v>
      </c>
      <c>
        <v>0.043</v>
      </c>
      <c t="s">
        <v>45526</v>
      </c>
      <c t="s">
        <v>1994</v>
      </c>
      <c t="s">
        <v>32525</v>
      </c>
      <c r="X3857" t="s">
        <v>29159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32623</v>
      </c>
      <c>
        <v>1040</v>
      </c>
      <c r="AI3857" t="s">
        <v>33652</v>
      </c>
      <c t="s">
        <v>45620</v>
      </c>
      <c r="AL3857" t="s">
        <v>66562</v>
      </c>
      <c t="s">
        <v>66562</v>
      </c>
      <c t="s">
        <v>17134</v>
      </c>
      <c t="s">
        <v>32046</v>
      </c>
      <c t="s">
        <v>702</v>
      </c>
      <c t="s">
        <v>3093</v>
      </c>
      <c t="s">
        <v>55378</v>
      </c>
    </row>
    <row>
      <c t="s">
        <v>17594</v>
      </c>
      <c t="s">
        <v>41525</v>
      </c>
      <c t="s">
        <v>15404</v>
      </c>
      <c t="s">
        <v>67141</v>
      </c>
      <c t="s">
        <v>45598</v>
      </c>
      <c s="3">
        <v>7700</v>
      </c>
      <c s="3">
        <v>7700</v>
      </c>
      <c s="3">
        <v>7700</v>
      </c>
      <c>
        <v>0</v>
      </c>
      <c s="3">
        <v>0</v>
      </c>
      <c s="3">
        <v>604.62</v>
      </c>
      <c s="3">
        <v>7700</v>
      </c>
      <c r="O3858" s="1" t="str">
        <f ca="1">HYPERLINK("https://web.datatree.com/?/property?propertyId=33471272", "https://web.datatree.com/?/property?propertyId=33471272")</f>
        <v>https://web.datatree.com/?/property?propertyId=33471272</v>
      </c>
      <c r="Q3858" t="s">
        <v>316</v>
      </c>
      <c>
        <v>0.293</v>
      </c>
      <c t="s">
        <v>6175</v>
      </c>
      <c t="s">
        <v>32793</v>
      </c>
      <c t="s">
        <v>52090</v>
      </c>
      <c r="W3858" t="s">
        <v>855</v>
      </c>
      <c t="s">
        <v>20184</v>
      </c>
      <c t="s">
        <v>29190</v>
      </c>
      <c t="s">
        <v>2517</v>
      </c>
      <c t="s">
        <v>39289</v>
      </c>
      <c>
        <v>33909</v>
      </c>
      <c t="s">
        <v>57233</v>
      </c>
      <c t="s">
        <v>48794</v>
      </c>
      <c t="s">
        <v>3017</v>
      </c>
      <c>
        <v>3495</v>
      </c>
      <c r="AI3858" t="s">
        <v>59489</v>
      </c>
      <c t="s">
        <v>31192</v>
      </c>
      <c r="AL3858" t="s">
        <v>40199</v>
      </c>
      <c t="s">
        <v>40199</v>
      </c>
      <c t="s">
        <v>49730</v>
      </c>
      <c t="s">
        <v>61359</v>
      </c>
      <c t="s">
        <v>13449</v>
      </c>
      <c t="s">
        <v>3093</v>
      </c>
      <c t="s">
        <v>25381</v>
      </c>
    </row>
    <row>
      <c t="s">
        <v>17594</v>
      </c>
      <c t="s">
        <v>15003</v>
      </c>
      <c t="s">
        <v>66694</v>
      </c>
      <c t="s">
        <v>372</v>
      </c>
      <c t="s">
        <v>62120</v>
      </c>
      <c s="3">
        <v>2100</v>
      </c>
      <c s="3">
        <v>2100</v>
      </c>
      <c s="3">
        <v>310</v>
      </c>
      <c>
        <v>0</v>
      </c>
      <c s="3">
        <v>0</v>
      </c>
      <c s="3">
        <v>251.7</v>
      </c>
      <c s="3">
        <v>2100</v>
      </c>
      <c r="O3859" s="1" t="str">
        <f ca="1">HYPERLINK("https://web.datatree.com/?/property?propertyId=33471833", "https://web.datatree.com/?/property?propertyId=33471833")</f>
        <v>https://web.datatree.com/?/property?propertyId=33471833</v>
      </c>
      <c r="Q3859" t="s">
        <v>316</v>
      </c>
      <c>
        <v>0.072</v>
      </c>
      <c t="s">
        <v>42044</v>
      </c>
      <c t="s">
        <v>16893</v>
      </c>
      <c t="s">
        <v>41408</v>
      </c>
      <c t="s">
        <v>67213</v>
      </c>
      <c t="s">
        <v>19171</v>
      </c>
      <c t="s">
        <v>18181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831</v>
      </c>
      <c r="AI3859" t="s">
        <v>38598</v>
      </c>
      <c t="s">
        <v>45620</v>
      </c>
      <c r="AL3859" t="s">
        <v>18256</v>
      </c>
      <c r="AN3859" t="s">
        <v>14798</v>
      </c>
      <c t="s">
        <v>31158</v>
      </c>
      <c t="s">
        <v>57614</v>
      </c>
      <c t="s">
        <v>3093</v>
      </c>
      <c t="s">
        <v>58842</v>
      </c>
    </row>
    <row>
      <c t="s">
        <v>17594</v>
      </c>
      <c t="s">
        <v>62281</v>
      </c>
      <c t="s">
        <v>37202</v>
      </c>
      <c t="s">
        <v>24418</v>
      </c>
      <c t="s">
        <v>59151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>
        <v>2021</v>
      </c>
      <c>
        <v>351.4</v>
      </c>
      <c s="1" t="str">
        <f ca="1">HYPERLINK("https://web.datatree.com/?/property?propertyId=33472188", "https://web.datatree.com/?/property?propertyId=33472188")</f>
        <v>https://web.datatree.com/?/property?propertyId=33472188</v>
      </c>
      <c r="Q3860" t="s">
        <v>316</v>
      </c>
      <c>
        <v>0.252</v>
      </c>
      <c t="s">
        <v>5471</v>
      </c>
      <c t="s">
        <v>3293</v>
      </c>
      <c t="s">
        <v>29250</v>
      </c>
      <c t="s">
        <v>50331</v>
      </c>
      <c t="s">
        <v>29250</v>
      </c>
      <c t="s">
        <v>29333</v>
      </c>
      <c t="s">
        <v>48116</v>
      </c>
      <c t="s">
        <v>65059</v>
      </c>
      <c t="s">
        <v>39289</v>
      </c>
      <c>
        <v>33905</v>
      </c>
      <c t="s">
        <v>10905</v>
      </c>
      <c t="s">
        <v>48794</v>
      </c>
      <c t="s">
        <v>19679</v>
      </c>
      <c>
        <v>693</v>
      </c>
      <c r="AH3860" t="s">
        <v>63047</v>
      </c>
      <c>
        <v>275</v>
      </c>
      <c r="AL3860" t="s">
        <v>66562</v>
      </c>
      <c r="AN3860" t="s">
        <v>49572</v>
      </c>
      <c t="s">
        <v>5960</v>
      </c>
      <c t="s">
        <v>43294</v>
      </c>
      <c t="s">
        <v>3093</v>
      </c>
      <c t="s">
        <v>19624</v>
      </c>
    </row>
    <row>
      <c t="s">
        <v>17594</v>
      </c>
      <c t="s">
        <v>42488</v>
      </c>
      <c t="s">
        <v>37302</v>
      </c>
      <c t="s">
        <v>33699</v>
      </c>
      <c t="s">
        <v>17433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>
        <v>2021</v>
      </c>
      <c>
        <v>527.66</v>
      </c>
      <c s="1" t="str">
        <f ca="1">HYPERLINK("https://web.datatree.com/?/property?propertyId=33472237", "https://web.datatree.com/?/property?propertyId=33472237")</f>
        <v>https://web.datatree.com/?/property?propertyId=33472237</v>
      </c>
      <c r="Q3861" t="s">
        <v>316</v>
      </c>
      <c>
        <v>0.241</v>
      </c>
      <c t="s">
        <v>6175</v>
      </c>
      <c t="s">
        <v>4868</v>
      </c>
      <c t="s">
        <v>7671</v>
      </c>
      <c t="s">
        <v>40088</v>
      </c>
      <c t="s">
        <v>50165</v>
      </c>
      <c t="s">
        <v>48051</v>
      </c>
      <c t="s">
        <v>41506</v>
      </c>
      <c t="s">
        <v>2517</v>
      </c>
      <c t="s">
        <v>39289</v>
      </c>
      <c>
        <v>33909</v>
      </c>
      <c t="s">
        <v>37855</v>
      </c>
      <c t="s">
        <v>48794</v>
      </c>
      <c t="s">
        <v>3788</v>
      </c>
      <c>
        <v>328</v>
      </c>
      <c r="AI3861" t="s">
        <v>63061</v>
      </c>
      <c t="s">
        <v>45393</v>
      </c>
      <c r="AL3861" t="s">
        <v>51149</v>
      </c>
      <c t="s">
        <v>51149</v>
      </c>
      <c t="s">
        <v>17134</v>
      </c>
      <c t="s">
        <v>53837</v>
      </c>
      <c t="s">
        <v>49977</v>
      </c>
      <c t="s">
        <v>3093</v>
      </c>
      <c t="s">
        <v>5231</v>
      </c>
    </row>
    <row>
      <c t="s">
        <v>17594</v>
      </c>
      <c t="s">
        <v>59723</v>
      </c>
      <c t="s">
        <v>48301</v>
      </c>
      <c t="s">
        <v>1769</v>
      </c>
      <c t="s">
        <v>50599</v>
      </c>
      <c s="3">
        <v>42643</v>
      </c>
      <c s="3">
        <v>40248</v>
      </c>
      <c s="3">
        <v>32057</v>
      </c>
      <c>
        <v>0</v>
      </c>
      <c s="3">
        <v>0</v>
      </c>
      <c s="3">
        <v>501.97</v>
      </c>
      <c s="3">
        <v>42643</v>
      </c>
      <c r="O3862" s="1" t="str">
        <f ca="1">HYPERLINK("https://web.datatree.com/?/property?propertyId=33472258", "https://web.datatree.com/?/property?propertyId=33472258")</f>
        <v>https://web.datatree.com/?/property?propertyId=33472258</v>
      </c>
      <c r="Q3862" t="s">
        <v>316</v>
      </c>
      <c>
        <v>0.042</v>
      </c>
      <c t="s">
        <v>45526</v>
      </c>
      <c t="s">
        <v>43826</v>
      </c>
      <c t="s">
        <v>53537</v>
      </c>
      <c r="X3862" t="s">
        <v>48608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21036</v>
      </c>
      <c>
        <v>2639</v>
      </c>
      <c r="AI3862" t="s">
        <v>20903</v>
      </c>
      <c t="s">
        <v>45393</v>
      </c>
      <c r="AL3862" t="s">
        <v>20423</v>
      </c>
      <c r="AN3862" t="s">
        <v>50917</v>
      </c>
      <c t="s">
        <v>3801</v>
      </c>
      <c t="s">
        <v>66620</v>
      </c>
      <c t="s">
        <v>3093</v>
      </c>
      <c t="s">
        <v>4020</v>
      </c>
    </row>
    <row>
      <c t="s">
        <v>17594</v>
      </c>
      <c t="s">
        <v>13878</v>
      </c>
      <c t="s">
        <v>65371</v>
      </c>
      <c t="s">
        <v>722</v>
      </c>
      <c t="s">
        <v>59316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3863" s="1" t="str">
        <f ca="1">HYPERLINK("https://web.datatree.com/?/property?propertyId=33472471", "https://web.datatree.com/?/property?propertyId=33472471")</f>
        <v>https://web.datatree.com/?/property?propertyId=33472471</v>
      </c>
      <c r="Q3863" t="s">
        <v>316</v>
      </c>
      <c>
        <v>0.23</v>
      </c>
      <c t="s">
        <v>6175</v>
      </c>
      <c t="s">
        <v>3293</v>
      </c>
      <c t="s">
        <v>57119</v>
      </c>
      <c r="X3863" t="s">
        <v>61474</v>
      </c>
      <c t="s">
        <v>33179</v>
      </c>
      <c t="s">
        <v>2517</v>
      </c>
      <c t="s">
        <v>39289</v>
      </c>
      <c>
        <v>33909</v>
      </c>
      <c t="s">
        <v>37036</v>
      </c>
      <c t="s">
        <v>48794</v>
      </c>
      <c t="s">
        <v>30628</v>
      </c>
      <c>
        <v>413</v>
      </c>
      <c r="AI3863" t="s">
        <v>57054</v>
      </c>
      <c t="s">
        <v>4985</v>
      </c>
      <c r="AL3863" t="s">
        <v>67236</v>
      </c>
      <c r="AN3863" t="s">
        <v>51087</v>
      </c>
      <c t="s">
        <v>5268</v>
      </c>
      <c t="s">
        <v>61420</v>
      </c>
      <c t="s">
        <v>3093</v>
      </c>
      <c t="s">
        <v>26424</v>
      </c>
    </row>
    <row>
      <c t="s">
        <v>17594</v>
      </c>
      <c t="s">
        <v>55152</v>
      </c>
      <c t="s">
        <v>1726</v>
      </c>
      <c t="s">
        <v>24610</v>
      </c>
      <c t="s">
        <v>29667</v>
      </c>
      <c s="3">
        <v>12544</v>
      </c>
      <c s="3">
        <v>12544</v>
      </c>
      <c s="3">
        <v>4972</v>
      </c>
      <c>
        <v>0</v>
      </c>
      <c s="3">
        <v>0</v>
      </c>
      <c s="3">
        <v>340.08</v>
      </c>
      <c s="3">
        <v>12544</v>
      </c>
      <c r="O3864" s="1" t="str">
        <f ca="1">HYPERLINK("https://web.datatree.com/?/property?propertyId=33472651", "https://web.datatree.com/?/property?propertyId=33472651")</f>
        <v>https://web.datatree.com/?/property?propertyId=33472651</v>
      </c>
      <c r="Q3864" t="s">
        <v>316</v>
      </c>
      <c>
        <v>0.419</v>
      </c>
      <c t="s">
        <v>5471</v>
      </c>
      <c t="s">
        <v>16200</v>
      </c>
      <c t="s">
        <v>33056</v>
      </c>
      <c t="s">
        <v>51968</v>
      </c>
      <c t="s">
        <v>33056</v>
      </c>
      <c t="s">
        <v>60623</v>
      </c>
      <c t="s">
        <v>51290</v>
      </c>
      <c t="s">
        <v>65059</v>
      </c>
      <c t="s">
        <v>39289</v>
      </c>
      <c>
        <v>33905</v>
      </c>
      <c t="s">
        <v>35345</v>
      </c>
      <c t="s">
        <v>48794</v>
      </c>
      <c t="s">
        <v>64641</v>
      </c>
      <c>
        <v>7506</v>
      </c>
      <c r="AI3864" t="s">
        <v>8936</v>
      </c>
      <c t="s">
        <v>45393</v>
      </c>
      <c r="AL3864" t="s">
        <v>29256</v>
      </c>
      <c r="AN3864" t="s">
        <v>39289</v>
      </c>
      <c t="s">
        <v>16227</v>
      </c>
      <c t="s">
        <v>17380</v>
      </c>
      <c t="s">
        <v>3093</v>
      </c>
      <c t="s">
        <v>28201</v>
      </c>
    </row>
    <row>
      <c t="s">
        <v>17594</v>
      </c>
      <c t="s">
        <v>43041</v>
      </c>
      <c t="s">
        <v>48961</v>
      </c>
      <c t="s">
        <v>13555</v>
      </c>
      <c t="s">
        <v>34074</v>
      </c>
      <c s="3">
        <v>28050</v>
      </c>
      <c s="3">
        <v>28050</v>
      </c>
      <c s="3">
        <v>20904</v>
      </c>
      <c>
        <v>0</v>
      </c>
      <c s="3">
        <v>0</v>
      </c>
      <c s="3">
        <v>335.47</v>
      </c>
      <c s="3">
        <v>28050</v>
      </c>
      <c r="O3865" s="1" t="str">
        <f ca="1">HYPERLINK("https://web.datatree.com/?/property?propertyId=33473233", "https://web.datatree.com/?/property?propertyId=33473233")</f>
        <v>https://web.datatree.com/?/property?propertyId=33473233</v>
      </c>
      <c r="Q3865" t="s">
        <v>316</v>
      </c>
      <c>
        <v>0.532</v>
      </c>
      <c r="T3865" t="s">
        <v>13419</v>
      </c>
      <c t="s">
        <v>59806</v>
      </c>
      <c r="X3865" t="s">
        <v>43250</v>
      </c>
      <c t="s">
        <v>33179</v>
      </c>
      <c t="s">
        <v>65059</v>
      </c>
      <c t="s">
        <v>39289</v>
      </c>
      <c>
        <v>33907</v>
      </c>
      <c t="s">
        <v>36117</v>
      </c>
      <c t="s">
        <v>48794</v>
      </c>
      <c t="s">
        <v>54771</v>
      </c>
      <c>
        <v>363</v>
      </c>
      <c r="AI3865" t="s">
        <v>65615</v>
      </c>
      <c t="s">
        <v>41372</v>
      </c>
      <c r="AL3865" t="s">
        <v>12532</v>
      </c>
      <c r="AN3865" t="s">
        <v>17134</v>
      </c>
      <c t="s">
        <v>40908</v>
      </c>
      <c t="s">
        <v>49977</v>
      </c>
      <c t="s">
        <v>3093</v>
      </c>
      <c t="s">
        <v>48249</v>
      </c>
    </row>
    <row>
      <c t="s">
        <v>17594</v>
      </c>
      <c t="s">
        <v>29282</v>
      </c>
      <c t="s">
        <v>5155</v>
      </c>
      <c t="s">
        <v>26609</v>
      </c>
      <c t="s">
        <v>66638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866" s="1" t="str">
        <f ca="1">HYPERLINK("https://web.datatree.com/?/property?propertyId=33473899", "https://web.datatree.com/?/property?propertyId=33473899")</f>
        <v>https://web.datatree.com/?/property?propertyId=33473899</v>
      </c>
      <c r="Q3866" t="s">
        <v>316</v>
      </c>
      <c>
        <v>0.23</v>
      </c>
      <c t="s">
        <v>22490</v>
      </c>
      <c t="s">
        <v>58665</v>
      </c>
      <c t="s">
        <v>42112</v>
      </c>
      <c t="s">
        <v>27417</v>
      </c>
      <c t="s">
        <v>51288</v>
      </c>
      <c t="s">
        <v>44124</v>
      </c>
      <c t="s">
        <v>30928</v>
      </c>
      <c t="s">
        <v>2517</v>
      </c>
      <c t="s">
        <v>39289</v>
      </c>
      <c>
        <v>33909</v>
      </c>
      <c t="s">
        <v>58845</v>
      </c>
      <c t="s">
        <v>48794</v>
      </c>
      <c t="s">
        <v>7958</v>
      </c>
      <c>
        <v>1065</v>
      </c>
      <c r="AI3866" t="s">
        <v>55888</v>
      </c>
      <c t="s">
        <v>55842</v>
      </c>
      <c>
        <v>2105</v>
      </c>
      <c t="s">
        <v>11713</v>
      </c>
      <c r="AN3866" t="s">
        <v>39289</v>
      </c>
      <c t="s">
        <v>1751</v>
      </c>
      <c t="s">
        <v>30049</v>
      </c>
      <c t="s">
        <v>3093</v>
      </c>
      <c t="s">
        <v>30009</v>
      </c>
    </row>
    <row>
      <c t="s">
        <v>17594</v>
      </c>
      <c t="s">
        <v>49428</v>
      </c>
      <c t="s">
        <v>39229</v>
      </c>
      <c t="s">
        <v>12717</v>
      </c>
      <c t="s">
        <v>54397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3867" s="1" t="str">
        <f ca="1">HYPERLINK("https://web.datatree.com/?/property?propertyId=33473945", "https://web.datatree.com/?/property?propertyId=33473945")</f>
        <v>https://web.datatree.com/?/property?propertyId=33473945</v>
      </c>
      <c r="Q3867" t="s">
        <v>316</v>
      </c>
      <c>
        <v>0.23</v>
      </c>
      <c t="s">
        <v>45031</v>
      </c>
      <c t="s">
        <v>64030</v>
      </c>
      <c t="s">
        <v>43112</v>
      </c>
      <c r="X3867" t="s">
        <v>8732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22910</v>
      </c>
      <c>
        <v>3212</v>
      </c>
      <c r="AH3867" t="s">
        <v>52165</v>
      </c>
      <c t="s">
        <v>45304</v>
      </c>
      <c t="s">
        <v>31192</v>
      </c>
      <c r="AL3867" t="s">
        <v>21604</v>
      </c>
      <c t="s">
        <v>34949</v>
      </c>
      <c t="s">
        <v>50829</v>
      </c>
      <c t="s">
        <v>49780</v>
      </c>
      <c t="s">
        <v>4797</v>
      </c>
      <c t="s">
        <v>3093</v>
      </c>
      <c t="s">
        <v>37745</v>
      </c>
    </row>
    <row>
      <c t="s">
        <v>17594</v>
      </c>
      <c t="s">
        <v>17019</v>
      </c>
      <c t="s">
        <v>29870</v>
      </c>
      <c t="s">
        <v>15680</v>
      </c>
      <c t="s">
        <v>17948</v>
      </c>
      <c s="3">
        <v>17521</v>
      </c>
      <c s="3">
        <v>17521</v>
      </c>
      <c s="3">
        <v>8470</v>
      </c>
      <c>
        <v>0</v>
      </c>
      <c s="3">
        <v>0</v>
      </c>
      <c s="3">
        <v>576.29</v>
      </c>
      <c s="3">
        <v>17521</v>
      </c>
      <c r="O3868" s="1" t="str">
        <f ca="1">HYPERLINK("https://web.datatree.com/?/property?propertyId=33476064", "https://web.datatree.com/?/property?propertyId=33476064")</f>
        <v>https://web.datatree.com/?/property?propertyId=33476064</v>
      </c>
      <c r="Q3868" t="s">
        <v>316</v>
      </c>
      <c>
        <v>0.246</v>
      </c>
      <c t="s">
        <v>6175</v>
      </c>
      <c t="s">
        <v>48615</v>
      </c>
      <c t="s">
        <v>56216</v>
      </c>
      <c r="X3868" t="s">
        <v>10267</v>
      </c>
      <c t="s">
        <v>50440</v>
      </c>
      <c t="s">
        <v>2517</v>
      </c>
      <c t="s">
        <v>39289</v>
      </c>
      <c>
        <v>33909</v>
      </c>
      <c t="s">
        <v>59746</v>
      </c>
      <c t="s">
        <v>48794</v>
      </c>
      <c t="s">
        <v>2648</v>
      </c>
      <c>
        <v>3801</v>
      </c>
      <c r="AI3868" t="s">
        <v>34019</v>
      </c>
      <c t="s">
        <v>55910</v>
      </c>
      <c r="AL3868" t="s">
        <v>41151</v>
      </c>
      <c r="AN3868" t="s">
        <v>66651</v>
      </c>
      <c t="s">
        <v>62131</v>
      </c>
      <c t="s">
        <v>12251</v>
      </c>
      <c t="s">
        <v>3093</v>
      </c>
      <c t="s">
        <v>61901</v>
      </c>
    </row>
    <row>
      <c t="s">
        <v>17594</v>
      </c>
      <c t="s">
        <v>9633</v>
      </c>
      <c t="s">
        <v>25738</v>
      </c>
      <c t="s">
        <v>48837</v>
      </c>
      <c t="s">
        <v>35319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3869" s="1" t="str">
        <f ca="1">HYPERLINK("https://web.datatree.com/?/property?propertyId=33477398", "https://web.datatree.com/?/property?propertyId=33477398")</f>
        <v>https://web.datatree.com/?/property?propertyId=33477398</v>
      </c>
      <c r="Q3869" t="s">
        <v>316</v>
      </c>
      <c>
        <v>0.23</v>
      </c>
      <c t="s">
        <v>22490</v>
      </c>
      <c t="s">
        <v>46504</v>
      </c>
      <c t="s">
        <v>4033</v>
      </c>
      <c r="X3869" t="s">
        <v>51961</v>
      </c>
      <c t="s">
        <v>49122</v>
      </c>
      <c t="s">
        <v>2517</v>
      </c>
      <c t="s">
        <v>39289</v>
      </c>
      <c>
        <v>33909</v>
      </c>
      <c t="s">
        <v>53067</v>
      </c>
      <c t="s">
        <v>48794</v>
      </c>
      <c t="s">
        <v>27514</v>
      </c>
      <c t="str">
        <f>"5-4-102"</f>
        <v>5-4-102</v>
      </c>
      <c r="AI3869" t="s">
        <v>22102</v>
      </c>
      <c r="AL3869" t="s">
        <v>13397</v>
      </c>
      <c t="s">
        <v>13397</v>
      </c>
      <c t="s">
        <v>50917</v>
      </c>
      <c>
        <v>10008</v>
      </c>
      <c r="AR3869" t="s">
        <v>18918</v>
      </c>
    </row>
    <row>
      <c t="s">
        <v>17594</v>
      </c>
      <c t="s">
        <v>38314</v>
      </c>
      <c t="s">
        <v>17671</v>
      </c>
      <c t="s">
        <v>17286</v>
      </c>
      <c t="s">
        <v>66331</v>
      </c>
      <c s="3">
        <v>14982</v>
      </c>
      <c s="3">
        <v>14982</v>
      </c>
      <c s="3">
        <v>8583</v>
      </c>
      <c>
        <v>0</v>
      </c>
      <c s="3">
        <v>0</v>
      </c>
      <c s="3">
        <v>352.04</v>
      </c>
      <c s="3">
        <v>14982</v>
      </c>
      <c>
        <v>2021</v>
      </c>
      <c>
        <v>356.66</v>
      </c>
      <c s="1" t="str">
        <f ca="1">HYPERLINK("https://web.datatree.com/?/property?propertyId=33477530", "https://web.datatree.com/?/property?propertyId=33477530")</f>
        <v>https://web.datatree.com/?/property?propertyId=33477530</v>
      </c>
      <c r="Q3870" t="s">
        <v>316</v>
      </c>
      <c>
        <v>0.227</v>
      </c>
      <c t="s">
        <v>5471</v>
      </c>
      <c t="s">
        <v>66789</v>
      </c>
      <c t="s">
        <v>5955</v>
      </c>
      <c r="X3870" t="s">
        <v>31967</v>
      </c>
      <c t="s">
        <v>51919</v>
      </c>
      <c t="s">
        <v>65059</v>
      </c>
      <c t="s">
        <v>39289</v>
      </c>
      <c>
        <v>33905</v>
      </c>
      <c t="s">
        <v>27263</v>
      </c>
      <c t="s">
        <v>48794</v>
      </c>
      <c t="s">
        <v>9155</v>
      </c>
      <c>
        <v>6770</v>
      </c>
      <c r="AI3870" t="s">
        <v>21474</v>
      </c>
      <c t="s">
        <v>4985</v>
      </c>
      <c t="s">
        <v>17594</v>
      </c>
      <c t="s">
        <v>11713</v>
      </c>
      <c r="AN3870" t="s">
        <v>39289</v>
      </c>
      <c t="s">
        <v>35600</v>
      </c>
      <c t="s">
        <v>49195</v>
      </c>
      <c t="s">
        <v>3093</v>
      </c>
      <c t="s">
        <v>12210</v>
      </c>
    </row>
    <row>
      <c t="s">
        <v>17594</v>
      </c>
      <c t="s">
        <v>27534</v>
      </c>
      <c t="s">
        <v>60083</v>
      </c>
      <c t="s">
        <v>33876</v>
      </c>
      <c t="s">
        <v>33398</v>
      </c>
      <c s="3">
        <v>9612</v>
      </c>
      <c s="3">
        <v>9612</v>
      </c>
      <c s="3">
        <v>4972</v>
      </c>
      <c>
        <v>0</v>
      </c>
      <c s="3">
        <v>0</v>
      </c>
      <c s="3">
        <v>329.67</v>
      </c>
      <c s="3">
        <v>9612</v>
      </c>
      <c r="O3871" s="1" t="str">
        <f ca="1">HYPERLINK("https://web.datatree.com/?/property?propertyId=33477952", "https://web.datatree.com/?/property?propertyId=33477952")</f>
        <v>https://web.datatree.com/?/property?propertyId=33477952</v>
      </c>
      <c r="Q3871" t="s">
        <v>316</v>
      </c>
      <c>
        <v>0.342</v>
      </c>
      <c t="s">
        <v>5471</v>
      </c>
      <c r="U3871" t="s">
        <v>18525</v>
      </c>
      <c r="X3871" t="s">
        <v>6595</v>
      </c>
      <c t="s">
        <v>7871</v>
      </c>
      <c t="s">
        <v>65059</v>
      </c>
      <c t="s">
        <v>39289</v>
      </c>
      <c>
        <v>33905</v>
      </c>
      <c>
        <v>33905</v>
      </c>
      <c t="s">
        <v>48794</v>
      </c>
      <c t="s">
        <v>37190</v>
      </c>
      <c>
        <v>4032</v>
      </c>
      <c r="AI3871" t="s">
        <v>28610</v>
      </c>
      <c t="s">
        <v>45620</v>
      </c>
      <c r="AL3871" t="s">
        <v>31249</v>
      </c>
      <c t="s">
        <v>40227</v>
      </c>
      <c t="s">
        <v>50917</v>
      </c>
      <c t="s">
        <v>15972</v>
      </c>
      <c t="s">
        <v>22455</v>
      </c>
      <c t="s">
        <v>3093</v>
      </c>
      <c t="s">
        <v>41873</v>
      </c>
    </row>
    <row>
      <c t="s">
        <v>17594</v>
      </c>
      <c t="s">
        <v>34820</v>
      </c>
      <c t="s">
        <v>16881</v>
      </c>
      <c t="s">
        <v>21046</v>
      </c>
      <c t="s">
        <v>23941</v>
      </c>
      <c s="3">
        <v>70616</v>
      </c>
      <c s="3">
        <v>70616</v>
      </c>
      <c s="3">
        <v>70616</v>
      </c>
      <c>
        <v>0</v>
      </c>
      <c s="3">
        <v>0</v>
      </c>
      <c s="3">
        <v>964.03</v>
      </c>
      <c s="3">
        <v>70616</v>
      </c>
      <c r="O3872" s="1" t="str">
        <f ca="1">HYPERLINK("https://web.datatree.com/?/property?propertyId=33479089", "https://web.datatree.com/?/property?propertyId=33479089")</f>
        <v>https://web.datatree.com/?/property?propertyId=33479089</v>
      </c>
      <c r="Q3872" t="s">
        <v>316</v>
      </c>
      <c>
        <v>0.193</v>
      </c>
      <c t="s">
        <v>5471</v>
      </c>
      <c t="s">
        <v>27704</v>
      </c>
      <c t="s">
        <v>49897</v>
      </c>
      <c t="s">
        <v>63863</v>
      </c>
      <c t="s">
        <v>49897</v>
      </c>
      <c t="s">
        <v>11177</v>
      </c>
      <c t="s">
        <v>63132</v>
      </c>
      <c t="s">
        <v>65059</v>
      </c>
      <c t="s">
        <v>39289</v>
      </c>
      <c>
        <v>33905</v>
      </c>
      <c>
        <v>33905</v>
      </c>
      <c t="s">
        <v>48794</v>
      </c>
      <c t="s">
        <v>5871</v>
      </c>
      <c>
        <v>16095</v>
      </c>
      <c r="AI3872" t="s">
        <v>54905</v>
      </c>
      <c t="s">
        <v>31192</v>
      </c>
      <c r="AL3872" t="s">
        <v>1837</v>
      </c>
      <c t="s">
        <v>40227</v>
      </c>
      <c t="s">
        <v>39289</v>
      </c>
      <c t="s">
        <v>35634</v>
      </c>
      <c t="s">
        <v>34171</v>
      </c>
      <c t="s">
        <v>3093</v>
      </c>
      <c t="s">
        <v>27280</v>
      </c>
    </row>
    <row>
      <c t="s">
        <v>17594</v>
      </c>
      <c t="s">
        <v>61191</v>
      </c>
      <c t="s">
        <v>59109</v>
      </c>
      <c t="s">
        <v>2222</v>
      </c>
      <c t="s">
        <v>23212</v>
      </c>
      <c s="3">
        <v>23244</v>
      </c>
      <c s="3">
        <v>23244</v>
      </c>
      <c s="3">
        <v>9350</v>
      </c>
      <c>
        <v>0</v>
      </c>
      <c s="3">
        <v>0</v>
      </c>
      <c s="3">
        <v>535.82</v>
      </c>
      <c s="3">
        <v>23244</v>
      </c>
      <c r="O3873" s="1" t="str">
        <f ca="1">HYPERLINK("https://web.datatree.com/?/property?propertyId=33480986", "https://web.datatree.com/?/property?propertyId=33480986")</f>
        <v>https://web.datatree.com/?/property?propertyId=33480986</v>
      </c>
      <c r="Q3873" t="s">
        <v>316</v>
      </c>
      <c>
        <v>0.313</v>
      </c>
      <c t="s">
        <v>6175</v>
      </c>
      <c r="U3873" t="s">
        <v>55165</v>
      </c>
      <c r="W3873" t="s">
        <v>37706</v>
      </c>
      <c t="s">
        <v>609</v>
      </c>
      <c t="s">
        <v>14534</v>
      </c>
      <c t="s">
        <v>2517</v>
      </c>
      <c t="s">
        <v>39289</v>
      </c>
      <c>
        <v>33909</v>
      </c>
      <c t="s">
        <v>22368</v>
      </c>
      <c t="s">
        <v>48794</v>
      </c>
      <c t="s">
        <v>37165</v>
      </c>
      <c>
        <v>440</v>
      </c>
      <c r="AI3873" t="s">
        <v>11743</v>
      </c>
      <c t="s">
        <v>45620</v>
      </c>
      <c r="AL3873" t="s">
        <v>10022</v>
      </c>
      <c r="AN3873" t="s">
        <v>50917</v>
      </c>
      <c t="s">
        <v>43780</v>
      </c>
      <c t="s">
        <v>22455</v>
      </c>
      <c t="s">
        <v>3093</v>
      </c>
      <c t="s">
        <v>59718</v>
      </c>
    </row>
    <row>
      <c t="s">
        <v>17594</v>
      </c>
      <c t="s">
        <v>65578</v>
      </c>
      <c t="s">
        <v>42815</v>
      </c>
      <c t="s">
        <v>29988</v>
      </c>
      <c t="s">
        <v>8923</v>
      </c>
      <c s="3">
        <v>10904</v>
      </c>
      <c s="3">
        <v>10904</v>
      </c>
      <c s="3">
        <v>5510</v>
      </c>
      <c>
        <v>0</v>
      </c>
      <c s="3">
        <v>0</v>
      </c>
      <c s="3">
        <v>117.99</v>
      </c>
      <c s="3">
        <v>10904</v>
      </c>
      <c r="O3874" s="1" t="str">
        <f ca="1">HYPERLINK("https://web.datatree.com/?/property?propertyId=33481030", "https://web.datatree.com/?/property?propertyId=33481030")</f>
        <v>https://web.datatree.com/?/property?propertyId=33481030</v>
      </c>
      <c r="Q3874" t="s">
        <v>316</v>
      </c>
      <c>
        <v>0.17</v>
      </c>
      <c t="s">
        <v>5471</v>
      </c>
      <c t="s">
        <v>20345</v>
      </c>
      <c t="s">
        <v>21668</v>
      </c>
      <c t="s">
        <v>61506</v>
      </c>
      <c t="s">
        <v>30424</v>
      </c>
      <c t="s">
        <v>30081</v>
      </c>
      <c t="s">
        <v>33854</v>
      </c>
      <c t="s">
        <v>54524</v>
      </c>
      <c t="s">
        <v>39289</v>
      </c>
      <c>
        <v>33903</v>
      </c>
      <c t="s">
        <v>28870</v>
      </c>
      <c t="s">
        <v>48794</v>
      </c>
      <c t="s">
        <v>8642</v>
      </c>
      <c>
        <v>69</v>
      </c>
      <c r="AI3874" t="s">
        <v>28473</v>
      </c>
      <c t="s">
        <v>45393</v>
      </c>
      <c r="AL3874" t="s">
        <v>5027</v>
      </c>
      <c t="s">
        <v>5027</v>
      </c>
      <c t="s">
        <v>27747</v>
      </c>
      <c t="s">
        <v>65415</v>
      </c>
      <c t="s">
        <v>26242</v>
      </c>
      <c t="s">
        <v>3093</v>
      </c>
      <c t="s">
        <v>43146</v>
      </c>
    </row>
    <row>
      <c t="s">
        <v>17594</v>
      </c>
      <c t="s">
        <v>62564</v>
      </c>
      <c t="s">
        <v>18778</v>
      </c>
      <c t="s">
        <v>31318</v>
      </c>
      <c t="s">
        <v>8734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875" s="1" t="str">
        <f ca="1">HYPERLINK("https://web.datatree.com/?/property?propertyId=33481536", "https://web.datatree.com/?/property?propertyId=33481536")</f>
        <v>https://web.datatree.com/?/property?propertyId=33481536</v>
      </c>
      <c r="Q3875" t="s">
        <v>316</v>
      </c>
      <c>
        <v>0.23</v>
      </c>
      <c t="s">
        <v>22490</v>
      </c>
      <c t="s">
        <v>55653</v>
      </c>
      <c t="s">
        <v>25547</v>
      </c>
      <c r="X3875" t="s">
        <v>21387</v>
      </c>
      <c t="s">
        <v>41506</v>
      </c>
      <c t="s">
        <v>2517</v>
      </c>
      <c t="s">
        <v>39289</v>
      </c>
      <c>
        <v>33909</v>
      </c>
      <c t="s">
        <v>50857</v>
      </c>
      <c t="s">
        <v>48794</v>
      </c>
      <c t="s">
        <v>29556</v>
      </c>
      <c>
        <v>4129</v>
      </c>
      <c r="AI3875" t="s">
        <v>55273</v>
      </c>
      <c t="s">
        <v>55842</v>
      </c>
      <c r="AL3875" t="s">
        <v>29515</v>
      </c>
      <c t="s">
        <v>29515</v>
      </c>
      <c t="s">
        <v>39289</v>
      </c>
      <c t="s">
        <v>6545</v>
      </c>
      <c t="s">
        <v>7207</v>
      </c>
      <c t="s">
        <v>3093</v>
      </c>
      <c t="s">
        <v>61143</v>
      </c>
    </row>
    <row>
      <c t="s">
        <v>17594</v>
      </c>
      <c t="s">
        <v>47845</v>
      </c>
      <c t="s">
        <v>33431</v>
      </c>
      <c t="s">
        <v>48192</v>
      </c>
      <c t="s">
        <v>58964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3876" s="1" t="str">
        <f ca="1">HYPERLINK("https://web.datatree.com/?/property?propertyId=33481927", "https://web.datatree.com/?/property?propertyId=33481927")</f>
        <v>https://web.datatree.com/?/property?propertyId=33481927</v>
      </c>
      <c r="Q3876" t="s">
        <v>316</v>
      </c>
      <c>
        <v>0.259</v>
      </c>
      <c t="s">
        <v>5471</v>
      </c>
      <c t="s">
        <v>53569</v>
      </c>
      <c t="s">
        <v>20341</v>
      </c>
      <c t="s">
        <v>52701</v>
      </c>
      <c t="s">
        <v>20341</v>
      </c>
      <c t="s">
        <v>18975</v>
      </c>
      <c t="s">
        <v>65695</v>
      </c>
      <c t="s">
        <v>65059</v>
      </c>
      <c t="s">
        <v>39289</v>
      </c>
      <c>
        <v>33905</v>
      </c>
      <c t="s">
        <v>33993</v>
      </c>
      <c t="s">
        <v>48794</v>
      </c>
      <c t="s">
        <v>64114</v>
      </c>
      <c>
        <v>10184</v>
      </c>
      <c r="AI3876" t="s">
        <v>63650</v>
      </c>
      <c t="s">
        <v>1671</v>
      </c>
      <c r="AL3876" t="s">
        <v>11713</v>
      </c>
      <c r="AN3876" t="s">
        <v>39289</v>
      </c>
      <c t="s">
        <v>3838</v>
      </c>
      <c t="s">
        <v>10873</v>
      </c>
      <c t="s">
        <v>3093</v>
      </c>
      <c t="s">
        <v>48074</v>
      </c>
    </row>
    <row>
      <c t="s">
        <v>17594</v>
      </c>
      <c t="s">
        <v>19745</v>
      </c>
      <c t="s">
        <v>33013</v>
      </c>
      <c t="s">
        <v>65723</v>
      </c>
      <c t="s">
        <v>22885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3877" s="1" t="str">
        <f ca="1">HYPERLINK("https://web.datatree.com/?/property?propertyId=33482238", "https://web.datatree.com/?/property?propertyId=33482238")</f>
        <v>https://web.datatree.com/?/property?propertyId=33482238</v>
      </c>
      <c r="Q3877" t="s">
        <v>316</v>
      </c>
      <c>
        <v>0.257</v>
      </c>
      <c t="s">
        <v>6175</v>
      </c>
      <c t="s">
        <v>51338</v>
      </c>
      <c t="s">
        <v>5687</v>
      </c>
      <c t="s">
        <v>35754</v>
      </c>
      <c t="s">
        <v>5687</v>
      </c>
      <c t="s">
        <v>65954</v>
      </c>
      <c t="s">
        <v>34731</v>
      </c>
      <c t="s">
        <v>2517</v>
      </c>
      <c t="s">
        <v>39289</v>
      </c>
      <c>
        <v>33909</v>
      </c>
      <c t="s">
        <v>13166</v>
      </c>
      <c t="s">
        <v>48794</v>
      </c>
      <c t="s">
        <v>5961</v>
      </c>
      <c>
        <v>16764</v>
      </c>
      <c r="AI3877" t="s">
        <v>38295</v>
      </c>
      <c t="s">
        <v>24900</v>
      </c>
      <c r="AL3877" t="s">
        <v>49306</v>
      </c>
      <c t="s">
        <v>49306</v>
      </c>
      <c t="s">
        <v>65451</v>
      </c>
      <c t="s">
        <v>47262</v>
      </c>
      <c t="s">
        <v>49454</v>
      </c>
      <c t="s">
        <v>3093</v>
      </c>
      <c t="s">
        <v>29004</v>
      </c>
    </row>
    <row>
      <c t="s">
        <v>17594</v>
      </c>
      <c t="s">
        <v>5169</v>
      </c>
      <c t="s">
        <v>28325</v>
      </c>
      <c t="s">
        <v>48045</v>
      </c>
      <c t="s">
        <v>14592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3878" s="1" t="str">
        <f ca="1">HYPERLINK("https://web.datatree.com/?/property?propertyId=33482276", "https://web.datatree.com/?/property?propertyId=33482276")</f>
        <v>https://web.datatree.com/?/property?propertyId=33482276</v>
      </c>
      <c r="Q3878" t="s">
        <v>316</v>
      </c>
      <c>
        <v>0.23</v>
      </c>
      <c t="s">
        <v>45031</v>
      </c>
      <c t="s">
        <v>25924</v>
      </c>
      <c t="s">
        <v>25361</v>
      </c>
      <c r="X3878" t="s">
        <v>47442</v>
      </c>
      <c t="s">
        <v>18679</v>
      </c>
      <c t="s">
        <v>2517</v>
      </c>
      <c t="s">
        <v>39289</v>
      </c>
      <c>
        <v>33909</v>
      </c>
      <c t="s">
        <v>35652</v>
      </c>
      <c t="s">
        <v>48794</v>
      </c>
      <c t="s">
        <v>61764</v>
      </c>
      <c>
        <v>4421</v>
      </c>
      <c r="AI3878" t="s">
        <v>13860</v>
      </c>
      <c t="s">
        <v>31192</v>
      </c>
      <c r="AL3878" t="s">
        <v>6605</v>
      </c>
      <c r="AN3878" t="s">
        <v>51137</v>
      </c>
      <c t="s">
        <v>1303</v>
      </c>
      <c t="s">
        <v>10847</v>
      </c>
      <c t="s">
        <v>3093</v>
      </c>
      <c t="s">
        <v>32376</v>
      </c>
    </row>
    <row>
      <c t="s">
        <v>17594</v>
      </c>
      <c t="s">
        <v>43556</v>
      </c>
      <c t="s">
        <v>26251</v>
      </c>
      <c t="s">
        <v>66962</v>
      </c>
      <c t="s">
        <v>30861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3879" s="1" t="str">
        <f ca="1">HYPERLINK("https://web.datatree.com/?/property?propertyId=33482432", "https://web.datatree.com/?/property?propertyId=33482432")</f>
        <v>https://web.datatree.com/?/property?propertyId=33482432</v>
      </c>
      <c r="Q3879" t="s">
        <v>316</v>
      </c>
      <c>
        <v>0.23</v>
      </c>
      <c t="s">
        <v>6175</v>
      </c>
      <c t="s">
        <v>5458</v>
      </c>
      <c t="s">
        <v>34315</v>
      </c>
      <c r="X3879" t="s">
        <v>38062</v>
      </c>
      <c t="s">
        <v>13065</v>
      </c>
      <c t="s">
        <v>2517</v>
      </c>
      <c t="s">
        <v>39289</v>
      </c>
      <c>
        <v>33909</v>
      </c>
      <c t="s">
        <v>65281</v>
      </c>
      <c t="s">
        <v>48794</v>
      </c>
      <c t="s">
        <v>64221</v>
      </c>
      <c>
        <v>16701</v>
      </c>
      <c r="AI3879" t="s">
        <v>28308</v>
      </c>
      <c t="s">
        <v>18382</v>
      </c>
      <c r="AL3879" t="s">
        <v>26641</v>
      </c>
      <c t="s">
        <v>26641</v>
      </c>
      <c t="s">
        <v>39289</v>
      </c>
      <c t="s">
        <v>59140</v>
      </c>
      <c t="s">
        <v>33029</v>
      </c>
      <c t="s">
        <v>3093</v>
      </c>
      <c t="s">
        <v>1598</v>
      </c>
    </row>
    <row>
      <c t="s">
        <v>17594</v>
      </c>
      <c t="s">
        <v>50687</v>
      </c>
      <c t="s">
        <v>5885</v>
      </c>
      <c t="s">
        <v>29548</v>
      </c>
      <c t="s">
        <v>56255</v>
      </c>
      <c s="3">
        <v>71989</v>
      </c>
      <c s="3">
        <v>63500</v>
      </c>
      <c s="3">
        <v>71989</v>
      </c>
      <c>
        <v>0</v>
      </c>
      <c s="3">
        <v>0</v>
      </c>
      <c s="3">
        <v>1082.69</v>
      </c>
      <c s="3">
        <v>71989</v>
      </c>
      <c r="O3880" s="1" t="str">
        <f ca="1">HYPERLINK("https://web.datatree.com/?/property?propertyId=33483451", "https://web.datatree.com/?/property?propertyId=33483451")</f>
        <v>https://web.datatree.com/?/property?propertyId=33483451</v>
      </c>
      <c r="Q3880" t="s">
        <v>316</v>
      </c>
      <c>
        <v>0.11</v>
      </c>
      <c t="s">
        <v>26492</v>
      </c>
      <c t="s">
        <v>54943</v>
      </c>
      <c t="s">
        <v>13060</v>
      </c>
      <c t="s">
        <v>14166</v>
      </c>
      <c t="s">
        <v>13060</v>
      </c>
      <c t="s">
        <v>33897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62587</v>
      </c>
      <c>
        <v>1881</v>
      </c>
      <c r="AI3880" t="s">
        <v>5105</v>
      </c>
      <c t="s">
        <v>45393</v>
      </c>
      <c r="AL3880" t="s">
        <v>29275</v>
      </c>
      <c t="s">
        <v>40227</v>
      </c>
      <c t="s">
        <v>22275</v>
      </c>
      <c t="s">
        <v>54931</v>
      </c>
      <c t="s">
        <v>52247</v>
      </c>
      <c t="s">
        <v>3093</v>
      </c>
      <c t="s">
        <v>44822</v>
      </c>
    </row>
    <row>
      <c t="s">
        <v>17594</v>
      </c>
      <c t="s">
        <v>31735</v>
      </c>
      <c t="s">
        <v>60253</v>
      </c>
      <c t="s">
        <v>47289</v>
      </c>
      <c t="s">
        <v>45696</v>
      </c>
      <c s="3">
        <v>4875</v>
      </c>
      <c s="3">
        <v>4875</v>
      </c>
      <c s="3">
        <v>4875</v>
      </c>
      <c>
        <v>0</v>
      </c>
      <c s="3">
        <v>0</v>
      </c>
      <c s="3">
        <v>75.88</v>
      </c>
      <c s="3">
        <v>4875</v>
      </c>
      <c r="O3881" s="1" t="str">
        <f ca="1">HYPERLINK("https://web.datatree.com/?/property?propertyId=33483467", "https://web.datatree.com/?/property?propertyId=33483467")</f>
        <v>https://web.datatree.com/?/property?propertyId=33483467</v>
      </c>
      <c r="Q3881" t="s">
        <v>316</v>
      </c>
      <c>
        <v>0.105</v>
      </c>
      <c t="s">
        <v>5471</v>
      </c>
      <c t="s">
        <v>28750</v>
      </c>
      <c t="s">
        <v>19965</v>
      </c>
      <c t="s">
        <v>44157</v>
      </c>
      <c t="s">
        <v>19965</v>
      </c>
      <c t="s">
        <v>24489</v>
      </c>
      <c t="s">
        <v>35789</v>
      </c>
      <c t="s">
        <v>65059</v>
      </c>
      <c t="s">
        <v>39289</v>
      </c>
      <c>
        <v>33905</v>
      </c>
      <c>
        <v>33905</v>
      </c>
      <c t="s">
        <v>48794</v>
      </c>
      <c t="s">
        <v>821</v>
      </c>
      <c>
        <v>6348</v>
      </c>
      <c r="AH3881" t="s">
        <v>63047</v>
      </c>
      <c t="s">
        <v>65448</v>
      </c>
      <c r="AL3881" t="s">
        <v>30513</v>
      </c>
      <c t="s">
        <v>40227</v>
      </c>
      <c t="s">
        <v>17134</v>
      </c>
      <c t="s">
        <v>59481</v>
      </c>
      <c t="s">
        <v>17258</v>
      </c>
      <c t="s">
        <v>3093</v>
      </c>
      <c t="s">
        <v>58498</v>
      </c>
    </row>
    <row>
      <c t="s">
        <v>17594</v>
      </c>
      <c t="s">
        <v>41875</v>
      </c>
      <c t="s">
        <v>8094</v>
      </c>
      <c t="s">
        <v>24509</v>
      </c>
      <c t="s">
        <v>14278</v>
      </c>
      <c s="3">
        <v>10563</v>
      </c>
      <c s="3">
        <v>10563</v>
      </c>
      <c s="3">
        <v>10563</v>
      </c>
      <c>
        <v>0</v>
      </c>
      <c s="3">
        <v>0</v>
      </c>
      <c s="3">
        <v>382.12</v>
      </c>
      <c s="3">
        <v>10563</v>
      </c>
      <c r="O3882" s="1" t="str">
        <f ca="1">HYPERLINK("https://web.datatree.com/?/property?propertyId=33483496", "https://web.datatree.com/?/property?propertyId=33483496")</f>
        <v>https://web.datatree.com/?/property?propertyId=33483496</v>
      </c>
      <c r="Q3882" t="s">
        <v>316</v>
      </c>
      <c>
        <v>0.375</v>
      </c>
      <c t="s">
        <v>5471</v>
      </c>
      <c t="s">
        <v>48389</v>
      </c>
      <c t="s">
        <v>54852</v>
      </c>
      <c t="s">
        <v>27417</v>
      </c>
      <c t="s">
        <v>54852</v>
      </c>
      <c t="s">
        <v>25721</v>
      </c>
      <c t="s">
        <v>18225</v>
      </c>
      <c t="s">
        <v>65059</v>
      </c>
      <c t="s">
        <v>39289</v>
      </c>
      <c>
        <v>33905</v>
      </c>
      <c t="s">
        <v>1710</v>
      </c>
      <c t="s">
        <v>48794</v>
      </c>
      <c t="s">
        <v>7020</v>
      </c>
      <c>
        <v>3005</v>
      </c>
      <c r="AI3882" t="s">
        <v>58659</v>
      </c>
      <c t="s">
        <v>31192</v>
      </c>
      <c r="AL3882" t="s">
        <v>1837</v>
      </c>
      <c t="s">
        <v>56003</v>
      </c>
      <c t="s">
        <v>39289</v>
      </c>
      <c t="s">
        <v>9273</v>
      </c>
      <c t="s">
        <v>35354</v>
      </c>
      <c t="s">
        <v>3093</v>
      </c>
      <c t="s">
        <v>2113</v>
      </c>
    </row>
    <row>
      <c t="s">
        <v>17594</v>
      </c>
      <c t="s">
        <v>11271</v>
      </c>
      <c t="s">
        <v>18457</v>
      </c>
      <c t="s">
        <v>63823</v>
      </c>
      <c t="s">
        <v>19873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883" s="1" t="str">
        <f ca="1">HYPERLINK("https://web.datatree.com/?/property?propertyId=33487575", "https://web.datatree.com/?/property?propertyId=33487575")</f>
        <v>https://web.datatree.com/?/property?propertyId=33487575</v>
      </c>
      <c r="Q3883" t="s">
        <v>316</v>
      </c>
      <c>
        <v>0.23</v>
      </c>
      <c t="s">
        <v>6175</v>
      </c>
      <c t="s">
        <v>44150</v>
      </c>
      <c t="s">
        <v>21778</v>
      </c>
      <c r="X3883" t="s">
        <v>57951</v>
      </c>
      <c t="s">
        <v>25017</v>
      </c>
      <c t="s">
        <v>2517</v>
      </c>
      <c t="s">
        <v>39289</v>
      </c>
      <c>
        <v>33909</v>
      </c>
      <c t="s">
        <v>18651</v>
      </c>
      <c t="s">
        <v>48794</v>
      </c>
      <c t="s">
        <v>39416</v>
      </c>
      <c>
        <v>12931</v>
      </c>
      <c r="AI3883" t="s">
        <v>9600</v>
      </c>
      <c t="s">
        <v>45393</v>
      </c>
      <c r="AL3883" t="s">
        <v>55393</v>
      </c>
      <c t="s">
        <v>41156</v>
      </c>
      <c t="s">
        <v>39289</v>
      </c>
      <c t="s">
        <v>26108</v>
      </c>
      <c t="s">
        <v>5800</v>
      </c>
      <c t="s">
        <v>3093</v>
      </c>
      <c t="s">
        <v>29317</v>
      </c>
    </row>
    <row>
      <c t="s">
        <v>17594</v>
      </c>
      <c t="s">
        <v>37425</v>
      </c>
      <c t="s">
        <v>25781</v>
      </c>
      <c t="s">
        <v>54725</v>
      </c>
      <c t="s">
        <v>58681</v>
      </c>
      <c s="3">
        <v>28000</v>
      </c>
      <c s="3">
        <v>28000</v>
      </c>
      <c s="3">
        <v>28000</v>
      </c>
      <c>
        <v>0</v>
      </c>
      <c s="3">
        <v>0</v>
      </c>
      <c s="3">
        <v>2937.12</v>
      </c>
      <c s="3">
        <v>28000</v>
      </c>
      <c r="O3884" s="1" t="str">
        <f ca="1">HYPERLINK("https://web.datatree.com/?/property?propertyId=33488506", "https://web.datatree.com/?/property?propertyId=33488506")</f>
        <v>https://web.datatree.com/?/property?propertyId=33488506</v>
      </c>
      <c r="Q3884" t="s">
        <v>316</v>
      </c>
      <c>
        <v>0.23</v>
      </c>
      <c t="s">
        <v>45031</v>
      </c>
      <c t="s">
        <v>19038</v>
      </c>
      <c t="s">
        <v>61846</v>
      </c>
      <c t="s">
        <v>48086</v>
      </c>
      <c t="s">
        <v>51935</v>
      </c>
      <c t="s">
        <v>66144</v>
      </c>
      <c t="s">
        <v>2619</v>
      </c>
      <c t="s">
        <v>2517</v>
      </c>
      <c t="s">
        <v>39289</v>
      </c>
      <c>
        <v>33909</v>
      </c>
      <c t="s">
        <v>61488</v>
      </c>
      <c t="s">
        <v>48794</v>
      </c>
      <c t="s">
        <v>48696</v>
      </c>
      <c>
        <v>1121</v>
      </c>
      <c r="AI3884" t="s">
        <v>34731</v>
      </c>
      <c t="s">
        <v>45393</v>
      </c>
      <c t="s">
        <v>17594</v>
      </c>
      <c t="s">
        <v>49668</v>
      </c>
      <c t="s">
        <v>49668</v>
      </c>
      <c t="s">
        <v>65451</v>
      </c>
      <c t="s">
        <v>39734</v>
      </c>
      <c t="s">
        <v>29069</v>
      </c>
      <c t="s">
        <v>3093</v>
      </c>
      <c t="s">
        <v>5514</v>
      </c>
    </row>
    <row>
      <c t="s">
        <v>17594</v>
      </c>
      <c t="s">
        <v>47026</v>
      </c>
      <c t="s">
        <v>13305</v>
      </c>
      <c t="s">
        <v>63339</v>
      </c>
      <c t="s">
        <v>33436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3885" s="1" t="str">
        <f ca="1">HYPERLINK("https://web.datatree.com/?/property?propertyId=33488775", "https://web.datatree.com/?/property?propertyId=33488775")</f>
        <v>https://web.datatree.com/?/property?propertyId=33488775</v>
      </c>
      <c r="Q3885" t="s">
        <v>316</v>
      </c>
      <c>
        <v>0.23</v>
      </c>
      <c t="s">
        <v>6175</v>
      </c>
      <c r="U3885" t="s">
        <v>19971</v>
      </c>
      <c r="W3885" t="s">
        <v>5801</v>
      </c>
      <c t="s">
        <v>29010</v>
      </c>
      <c t="s">
        <v>18679</v>
      </c>
      <c t="s">
        <v>2517</v>
      </c>
      <c t="s">
        <v>39289</v>
      </c>
      <c>
        <v>33909</v>
      </c>
      <c t="s">
        <v>4501</v>
      </c>
      <c t="s">
        <v>48794</v>
      </c>
      <c t="s">
        <v>54215</v>
      </c>
      <c>
        <v>4045</v>
      </c>
      <c r="AH3885" t="s">
        <v>6851</v>
      </c>
      <c t="s">
        <v>53663</v>
      </c>
      <c t="s">
        <v>24900</v>
      </c>
      <c r="AL3885" t="s">
        <v>11713</v>
      </c>
      <c r="AN3885" t="s">
        <v>39289</v>
      </c>
      <c t="s">
        <v>46372</v>
      </c>
      <c t="s">
        <v>58683</v>
      </c>
      <c t="s">
        <v>3093</v>
      </c>
      <c t="s">
        <v>1687</v>
      </c>
    </row>
    <row>
      <c t="s">
        <v>17594</v>
      </c>
      <c t="s">
        <v>2219</v>
      </c>
      <c t="s">
        <v>18215</v>
      </c>
      <c t="s">
        <v>47951</v>
      </c>
      <c t="s">
        <v>43996</v>
      </c>
      <c s="3">
        <v>7600</v>
      </c>
      <c s="3">
        <v>7600</v>
      </c>
      <c s="3">
        <v>7600</v>
      </c>
      <c>
        <v>0</v>
      </c>
      <c s="3">
        <v>0</v>
      </c>
      <c s="3">
        <v>581.71</v>
      </c>
      <c s="3">
        <v>7600</v>
      </c>
      <c r="O3886" s="1" t="str">
        <f ca="1">HYPERLINK("https://web.datatree.com/?/property?propertyId=33488846", "https://web.datatree.com/?/property?propertyId=33488846")</f>
        <v>https://web.datatree.com/?/property?propertyId=33488846</v>
      </c>
      <c r="Q3886" t="s">
        <v>316</v>
      </c>
      <c>
        <v>0.272</v>
      </c>
      <c t="s">
        <v>6175</v>
      </c>
      <c t="s">
        <v>43826</v>
      </c>
      <c t="s">
        <v>39769</v>
      </c>
      <c t="s">
        <v>10361</v>
      </c>
      <c t="s">
        <v>39769</v>
      </c>
      <c t="s">
        <v>18373</v>
      </c>
      <c t="s">
        <v>60363</v>
      </c>
      <c t="s">
        <v>2517</v>
      </c>
      <c t="s">
        <v>39289</v>
      </c>
      <c>
        <v>33909</v>
      </c>
      <c t="s">
        <v>45376</v>
      </c>
      <c t="s">
        <v>48794</v>
      </c>
      <c t="s">
        <v>1570</v>
      </c>
      <c>
        <v>3781</v>
      </c>
      <c r="AI3886" t="s">
        <v>66574</v>
      </c>
      <c t="s">
        <v>31192</v>
      </c>
      <c r="AL3886" t="s">
        <v>66562</v>
      </c>
      <c r="AN3886" t="s">
        <v>17134</v>
      </c>
      <c t="s">
        <v>9339</v>
      </c>
      <c t="s">
        <v>12241</v>
      </c>
      <c t="s">
        <v>3093</v>
      </c>
      <c t="s">
        <v>44584</v>
      </c>
    </row>
    <row>
      <c t="s">
        <v>17594</v>
      </c>
      <c t="s">
        <v>56490</v>
      </c>
      <c t="s">
        <v>24972</v>
      </c>
      <c t="s">
        <v>33624</v>
      </c>
      <c t="s">
        <v>63853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3887" s="1" t="str">
        <f ca="1">HYPERLINK("https://web.datatree.com/?/property?propertyId=33489229", "https://web.datatree.com/?/property?propertyId=33489229")</f>
        <v>https://web.datatree.com/?/property?propertyId=33489229</v>
      </c>
      <c r="Q3887" t="s">
        <v>316</v>
      </c>
      <c>
        <v>0.23</v>
      </c>
      <c t="s">
        <v>6175</v>
      </c>
      <c t="s">
        <v>3617</v>
      </c>
      <c t="s">
        <v>2384</v>
      </c>
      <c r="X3887" t="s">
        <v>26680</v>
      </c>
      <c t="s">
        <v>14534</v>
      </c>
      <c t="s">
        <v>2517</v>
      </c>
      <c t="s">
        <v>39289</v>
      </c>
      <c>
        <v>33909</v>
      </c>
      <c t="s">
        <v>14188</v>
      </c>
      <c t="s">
        <v>48794</v>
      </c>
      <c t="s">
        <v>16579</v>
      </c>
      <c>
        <v>10311</v>
      </c>
      <c r="AI3887" t="s">
        <v>19985</v>
      </c>
      <c t="s">
        <v>1671</v>
      </c>
      <c r="AL3887" t="s">
        <v>12505</v>
      </c>
      <c t="s">
        <v>12505</v>
      </c>
      <c t="s">
        <v>39289</v>
      </c>
      <c t="s">
        <v>51455</v>
      </c>
      <c t="s">
        <v>62845</v>
      </c>
      <c t="s">
        <v>3093</v>
      </c>
      <c t="s">
        <v>64027</v>
      </c>
    </row>
    <row>
      <c t="s">
        <v>17594</v>
      </c>
      <c t="s">
        <v>59554</v>
      </c>
      <c t="s">
        <v>38000</v>
      </c>
      <c t="s">
        <v>30510</v>
      </c>
      <c t="s">
        <v>50747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888" s="1" t="str">
        <f ca="1">HYPERLINK("https://web.datatree.com/?/property?propertyId=33490730", "https://web.datatree.com/?/property?propertyId=33490730")</f>
        <v>https://web.datatree.com/?/property?propertyId=33490730</v>
      </c>
      <c r="Q3888" t="s">
        <v>316</v>
      </c>
      <c>
        <v>0.235</v>
      </c>
      <c t="s">
        <v>22490</v>
      </c>
      <c r="U3888" t="s">
        <v>46519</v>
      </c>
      <c r="X3888" t="s">
        <v>5526</v>
      </c>
      <c t="s">
        <v>22731</v>
      </c>
      <c t="s">
        <v>2517</v>
      </c>
      <c t="s">
        <v>39289</v>
      </c>
      <c>
        <v>33909</v>
      </c>
      <c t="s">
        <v>34430</v>
      </c>
      <c t="s">
        <v>48794</v>
      </c>
      <c t="s">
        <v>41152</v>
      </c>
      <c>
        <v>29</v>
      </c>
      <c r="AI3888" t="s">
        <v>3235</v>
      </c>
      <c r="AL3888" t="s">
        <v>66974</v>
      </c>
      <c t="s">
        <v>66974</v>
      </c>
      <c t="s">
        <v>40451</v>
      </c>
      <c>
        <v>57555</v>
      </c>
      <c r="AQ3888" t="s">
        <v>3093</v>
      </c>
      <c t="s">
        <v>52222</v>
      </c>
    </row>
    <row>
      <c t="s">
        <v>17594</v>
      </c>
      <c t="s">
        <v>46914</v>
      </c>
      <c t="s">
        <v>34778</v>
      </c>
      <c t="s">
        <v>12</v>
      </c>
      <c t="s">
        <v>56953</v>
      </c>
      <c s="3">
        <v>8600</v>
      </c>
      <c s="3">
        <v>8600</v>
      </c>
      <c s="3">
        <v>8600</v>
      </c>
      <c>
        <v>0</v>
      </c>
      <c s="3">
        <v>0</v>
      </c>
      <c s="3">
        <v>574.36</v>
      </c>
      <c s="3">
        <v>8600</v>
      </c>
      <c r="O3889" s="1" t="str">
        <f ca="1">HYPERLINK("https://web.datatree.com/?/property?propertyId=33490753", "https://web.datatree.com/?/property?propertyId=33490753")</f>
        <v>https://web.datatree.com/?/property?propertyId=33490753</v>
      </c>
      <c r="Q3889" t="s">
        <v>316</v>
      </c>
      <c>
        <v>0.25</v>
      </c>
      <c t="s">
        <v>6175</v>
      </c>
      <c t="s">
        <v>50322</v>
      </c>
      <c t="s">
        <v>9592</v>
      </c>
      <c r="X3889" t="s">
        <v>4892</v>
      </c>
      <c t="s">
        <v>2626</v>
      </c>
      <c t="s">
        <v>2517</v>
      </c>
      <c t="s">
        <v>39289</v>
      </c>
      <c>
        <v>33909</v>
      </c>
      <c t="s">
        <v>38739</v>
      </c>
      <c t="s">
        <v>48794</v>
      </c>
      <c t="s">
        <v>43137</v>
      </c>
      <c>
        <v>6201</v>
      </c>
      <c r="AI3889" t="s">
        <v>52671</v>
      </c>
      <c t="s">
        <v>31192</v>
      </c>
      <c r="AL3889" t="s">
        <v>55393</v>
      </c>
      <c r="AN3889" t="s">
        <v>39289</v>
      </c>
      <c t="s">
        <v>45855</v>
      </c>
      <c t="s">
        <v>66620</v>
      </c>
      <c t="s">
        <v>3093</v>
      </c>
      <c t="s">
        <v>32391</v>
      </c>
    </row>
    <row>
      <c t="s">
        <v>17594</v>
      </c>
      <c t="s">
        <v>52497</v>
      </c>
      <c t="s">
        <v>20904</v>
      </c>
      <c t="s">
        <v>1130</v>
      </c>
      <c t="s">
        <v>590</v>
      </c>
      <c s="3">
        <v>21600</v>
      </c>
      <c s="3">
        <v>21600</v>
      </c>
      <c s="3">
        <v>9900</v>
      </c>
      <c>
        <v>0</v>
      </c>
      <c s="3">
        <v>0</v>
      </c>
      <c s="3">
        <v>690.24</v>
      </c>
      <c s="3">
        <v>21600</v>
      </c>
      <c r="O3890" s="1" t="str">
        <f ca="1">HYPERLINK("https://web.datatree.com/?/property?propertyId=33491374", "https://web.datatree.com/?/property?propertyId=33491374")</f>
        <v>https://web.datatree.com/?/property?propertyId=33491374</v>
      </c>
      <c r="Q3890" t="s">
        <v>316</v>
      </c>
      <c>
        <v>0.344</v>
      </c>
      <c t="s">
        <v>6175</v>
      </c>
      <c t="s">
        <v>51891</v>
      </c>
      <c t="s">
        <v>12578</v>
      </c>
      <c r="X3890" t="s">
        <v>60452</v>
      </c>
      <c t="s">
        <v>34731</v>
      </c>
      <c t="s">
        <v>2517</v>
      </c>
      <c t="s">
        <v>39289</v>
      </c>
      <c>
        <v>33909</v>
      </c>
      <c t="s">
        <v>2274</v>
      </c>
      <c t="s">
        <v>48794</v>
      </c>
      <c t="s">
        <v>16796</v>
      </c>
      <c>
        <v>15621</v>
      </c>
      <c r="AI3890" t="s">
        <v>58221</v>
      </c>
      <c t="s">
        <v>24900</v>
      </c>
      <c r="AL3890" t="s">
        <v>55393</v>
      </c>
      <c t="s">
        <v>7500</v>
      </c>
      <c t="s">
        <v>39289</v>
      </c>
      <c t="s">
        <v>15585</v>
      </c>
      <c t="s">
        <v>66620</v>
      </c>
      <c t="s">
        <v>3093</v>
      </c>
      <c t="s">
        <v>13487</v>
      </c>
    </row>
    <row>
      <c t="s">
        <v>17594</v>
      </c>
      <c t="s">
        <v>9231</v>
      </c>
      <c t="s">
        <v>47084</v>
      </c>
      <c t="s">
        <v>8575</v>
      </c>
      <c t="s">
        <v>25042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3891" s="1" t="str">
        <f ca="1">HYPERLINK("https://web.datatree.com/?/property?propertyId=33491420", "https://web.datatree.com/?/property?propertyId=33491420")</f>
        <v>https://web.datatree.com/?/property?propertyId=33491420</v>
      </c>
      <c r="Q3891" t="s">
        <v>316</v>
      </c>
      <c>
        <v>0.244</v>
      </c>
      <c t="s">
        <v>6175</v>
      </c>
      <c t="s">
        <v>48718</v>
      </c>
      <c t="s">
        <v>44457</v>
      </c>
      <c r="X3891" t="s">
        <v>54335</v>
      </c>
      <c t="s">
        <v>13829</v>
      </c>
      <c t="s">
        <v>2517</v>
      </c>
      <c t="s">
        <v>39289</v>
      </c>
      <c>
        <v>33909</v>
      </c>
      <c t="s">
        <v>43579</v>
      </c>
      <c t="s">
        <v>48794</v>
      </c>
      <c t="s">
        <v>19317</v>
      </c>
      <c>
        <v>7015</v>
      </c>
      <c r="AI3891" t="s">
        <v>1943</v>
      </c>
      <c t="s">
        <v>24900</v>
      </c>
      <c r="AL3891" t="s">
        <v>36080</v>
      </c>
      <c t="s">
        <v>30786</v>
      </c>
      <c t="s">
        <v>39289</v>
      </c>
      <c t="s">
        <v>741</v>
      </c>
      <c t="s">
        <v>8434</v>
      </c>
      <c t="s">
        <v>3093</v>
      </c>
      <c t="s">
        <v>27920</v>
      </c>
    </row>
    <row>
      <c t="s">
        <v>17594</v>
      </c>
      <c t="s">
        <v>17389</v>
      </c>
      <c t="s">
        <v>34454</v>
      </c>
      <c t="s">
        <v>30633</v>
      </c>
      <c t="s">
        <v>55288</v>
      </c>
      <c s="3">
        <v>23352</v>
      </c>
      <c s="3">
        <v>23352</v>
      </c>
      <c s="3">
        <v>23352</v>
      </c>
      <c>
        <v>0</v>
      </c>
      <c s="3">
        <v>0</v>
      </c>
      <c s="3">
        <v>747.39</v>
      </c>
      <c s="3">
        <v>23352</v>
      </c>
      <c r="O3892" s="1" t="str">
        <f ca="1">HYPERLINK("https://web.datatree.com/?/property?propertyId=33492630", "https://web.datatree.com/?/property?propertyId=33492630")</f>
        <v>https://web.datatree.com/?/property?propertyId=33492630</v>
      </c>
      <c r="Q3892" t="s">
        <v>316</v>
      </c>
      <c>
        <v>0.244</v>
      </c>
      <c t="s">
        <v>22490</v>
      </c>
      <c t="s">
        <v>44541</v>
      </c>
      <c t="s">
        <v>9592</v>
      </c>
      <c r="X3892" t="s">
        <v>42432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65654</v>
      </c>
      <c>
        <v>29</v>
      </c>
      <c r="AI3892" t="s">
        <v>66335</v>
      </c>
      <c t="s">
        <v>45393</v>
      </c>
      <c r="AL3892" t="s">
        <v>14926</v>
      </c>
      <c t="s">
        <v>14926</v>
      </c>
      <c t="s">
        <v>39289</v>
      </c>
      <c t="s">
        <v>44087</v>
      </c>
      <c t="s">
        <v>26242</v>
      </c>
      <c t="s">
        <v>3093</v>
      </c>
      <c t="s">
        <v>9144</v>
      </c>
    </row>
    <row>
      <c t="s">
        <v>17594</v>
      </c>
      <c t="s">
        <v>28732</v>
      </c>
      <c t="s">
        <v>19325</v>
      </c>
      <c t="s">
        <v>32629</v>
      </c>
      <c t="s">
        <v>40224</v>
      </c>
      <c s="3">
        <v>17100</v>
      </c>
      <c s="3">
        <v>17100</v>
      </c>
      <c s="3">
        <v>9599</v>
      </c>
      <c>
        <v>0</v>
      </c>
      <c s="3">
        <v>0</v>
      </c>
      <c s="3">
        <v>662.12</v>
      </c>
      <c s="3">
        <v>17100</v>
      </c>
      <c r="O3893" s="1" t="str">
        <f ca="1">HYPERLINK("https://web.datatree.com/?/property?propertyId=33493227", "https://web.datatree.com/?/property?propertyId=33493227")</f>
        <v>https://web.datatree.com/?/property?propertyId=33493227</v>
      </c>
      <c r="Q3893" t="s">
        <v>316</v>
      </c>
      <c>
        <v>0.344</v>
      </c>
      <c t="s">
        <v>6175</v>
      </c>
      <c t="s">
        <v>4868</v>
      </c>
      <c t="s">
        <v>29072</v>
      </c>
      <c t="s">
        <v>43240</v>
      </c>
      <c t="s">
        <v>41145</v>
      </c>
      <c t="s">
        <v>27332</v>
      </c>
      <c t="s">
        <v>53663</v>
      </c>
      <c t="s">
        <v>2517</v>
      </c>
      <c t="s">
        <v>39289</v>
      </c>
      <c>
        <v>33909</v>
      </c>
      <c t="s">
        <v>18287</v>
      </c>
      <c t="s">
        <v>48794</v>
      </c>
      <c t="s">
        <v>1159</v>
      </c>
      <c>
        <v>268</v>
      </c>
      <c r="AI3893" t="s">
        <v>34754</v>
      </c>
      <c t="s">
        <v>45620</v>
      </c>
      <c r="AL3893" t="s">
        <v>60959</v>
      </c>
      <c r="AN3893" t="s">
        <v>26016</v>
      </c>
      <c t="s">
        <v>16883</v>
      </c>
      <c t="s">
        <v>24994</v>
      </c>
      <c t="s">
        <v>3093</v>
      </c>
      <c t="s">
        <v>58813</v>
      </c>
    </row>
    <row>
      <c t="s">
        <v>17594</v>
      </c>
      <c t="s">
        <v>60843</v>
      </c>
      <c t="s">
        <v>36433</v>
      </c>
      <c t="s">
        <v>469</v>
      </c>
      <c t="s">
        <v>62110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894" s="1" t="str">
        <f ca="1">HYPERLINK("https://web.datatree.com/?/property?propertyId=33494180", "https://web.datatree.com/?/property?propertyId=33494180")</f>
        <v>https://web.datatree.com/?/property?propertyId=33494180</v>
      </c>
      <c r="Q3894" t="s">
        <v>316</v>
      </c>
      <c>
        <v>0.23</v>
      </c>
      <c t="s">
        <v>6175</v>
      </c>
      <c t="s">
        <v>16871</v>
      </c>
      <c t="s">
        <v>64030</v>
      </c>
      <c r="X3894" t="s">
        <v>23083</v>
      </c>
      <c t="s">
        <v>10653</v>
      </c>
      <c t="s">
        <v>2517</v>
      </c>
      <c t="s">
        <v>39289</v>
      </c>
      <c>
        <v>33909</v>
      </c>
      <c t="s">
        <v>41663</v>
      </c>
      <c t="s">
        <v>48794</v>
      </c>
      <c t="s">
        <v>3595</v>
      </c>
      <c>
        <v>219</v>
      </c>
      <c r="AI3894" t="s">
        <v>39825</v>
      </c>
      <c t="s">
        <v>24900</v>
      </c>
      <c r="AL3894" t="s">
        <v>39016</v>
      </c>
      <c t="s">
        <v>39016</v>
      </c>
      <c t="s">
        <v>50917</v>
      </c>
      <c t="s">
        <v>23347</v>
      </c>
      <c t="s">
        <v>43446</v>
      </c>
      <c t="s">
        <v>3093</v>
      </c>
      <c t="s">
        <v>22489</v>
      </c>
    </row>
    <row>
      <c t="s">
        <v>17594</v>
      </c>
      <c t="s">
        <v>56828</v>
      </c>
      <c t="s">
        <v>42940</v>
      </c>
      <c t="s">
        <v>8464</v>
      </c>
      <c t="s">
        <v>28389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3895" s="1" t="str">
        <f ca="1">HYPERLINK("https://web.datatree.com/?/property?propertyId=33494648", "https://web.datatree.com/?/property?propertyId=33494648")</f>
        <v>https://web.datatree.com/?/property?propertyId=33494648</v>
      </c>
      <c r="Q3895" t="s">
        <v>316</v>
      </c>
      <c>
        <v>0.23</v>
      </c>
      <c t="s">
        <v>22490</v>
      </c>
      <c t="s">
        <v>66240</v>
      </c>
      <c t="s">
        <v>55687</v>
      </c>
      <c r="X3895" t="s">
        <v>37292</v>
      </c>
      <c t="s">
        <v>22731</v>
      </c>
      <c t="s">
        <v>2517</v>
      </c>
      <c t="s">
        <v>39289</v>
      </c>
      <c>
        <v>33909</v>
      </c>
      <c t="s">
        <v>31465</v>
      </c>
      <c t="s">
        <v>48794</v>
      </c>
      <c t="s">
        <v>11972</v>
      </c>
      <c>
        <v>9510</v>
      </c>
      <c r="AI3895" t="s">
        <v>27249</v>
      </c>
      <c t="s">
        <v>66410</v>
      </c>
      <c r="AL3895" t="s">
        <v>27095</v>
      </c>
      <c r="AN3895" t="s">
        <v>66651</v>
      </c>
      <c t="s">
        <v>21603</v>
      </c>
      <c t="s">
        <v>33856</v>
      </c>
      <c t="s">
        <v>3093</v>
      </c>
      <c t="s">
        <v>3610</v>
      </c>
    </row>
    <row>
      <c t="s">
        <v>17594</v>
      </c>
      <c t="s">
        <v>60266</v>
      </c>
      <c t="s">
        <v>58977</v>
      </c>
      <c t="s">
        <v>4636</v>
      </c>
      <c t="s">
        <v>43416</v>
      </c>
      <c s="3">
        <v>51030</v>
      </c>
      <c s="3">
        <v>51030</v>
      </c>
      <c s="3">
        <v>9680</v>
      </c>
      <c>
        <v>0</v>
      </c>
      <c s="3">
        <v>0</v>
      </c>
      <c s="3">
        <v>798.51</v>
      </c>
      <c s="3">
        <v>51030</v>
      </c>
      <c r="O3896" s="1" t="str">
        <f ca="1">HYPERLINK("https://web.datatree.com/?/property?propertyId=33494714", "https://web.datatree.com/?/property?propertyId=33494714")</f>
        <v>https://web.datatree.com/?/property?propertyId=33494714</v>
      </c>
      <c r="Q3896" t="s">
        <v>316</v>
      </c>
      <c>
        <v>0.244</v>
      </c>
      <c t="s">
        <v>65422</v>
      </c>
      <c t="s">
        <v>48052</v>
      </c>
      <c t="s">
        <v>4033</v>
      </c>
      <c r="X3896" t="s">
        <v>34434</v>
      </c>
      <c t="s">
        <v>39082</v>
      </c>
      <c t="s">
        <v>2517</v>
      </c>
      <c t="s">
        <v>39289</v>
      </c>
      <c>
        <v>33909</v>
      </c>
      <c t="s">
        <v>47031</v>
      </c>
      <c t="s">
        <v>48794</v>
      </c>
      <c t="s">
        <v>13265</v>
      </c>
      <c>
        <v>4077</v>
      </c>
      <c r="AI3896" t="s">
        <v>12708</v>
      </c>
      <c t="s">
        <v>55842</v>
      </c>
      <c r="AL3896" t="s">
        <v>26641</v>
      </c>
      <c t="s">
        <v>26641</v>
      </c>
      <c t="s">
        <v>39289</v>
      </c>
      <c t="s">
        <v>42341</v>
      </c>
      <c t="s">
        <v>3364</v>
      </c>
      <c t="s">
        <v>3093</v>
      </c>
      <c t="s">
        <v>6411</v>
      </c>
    </row>
    <row>
      <c t="s">
        <v>17594</v>
      </c>
      <c t="s">
        <v>50557</v>
      </c>
      <c t="s">
        <v>33668</v>
      </c>
      <c t="s">
        <v>27446</v>
      </c>
      <c t="s">
        <v>40887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897" s="1" t="str">
        <f ca="1">HYPERLINK("https://web.datatree.com/?/property?propertyId=33494906", "https://web.datatree.com/?/property?propertyId=33494906")</f>
        <v>https://web.datatree.com/?/property?propertyId=33494906</v>
      </c>
      <c r="Q3897" t="s">
        <v>316</v>
      </c>
      <c>
        <v>0.23</v>
      </c>
      <c t="s">
        <v>22490</v>
      </c>
      <c t="s">
        <v>32056</v>
      </c>
      <c t="s">
        <v>62548</v>
      </c>
      <c t="s">
        <v>44541</v>
      </c>
      <c t="s">
        <v>17121</v>
      </c>
      <c t="s">
        <v>23331</v>
      </c>
      <c t="s">
        <v>38550</v>
      </c>
      <c t="s">
        <v>2517</v>
      </c>
      <c t="s">
        <v>39289</v>
      </c>
      <c>
        <v>33909</v>
      </c>
      <c t="s">
        <v>32369</v>
      </c>
      <c t="s">
        <v>48794</v>
      </c>
      <c t="s">
        <v>63294</v>
      </c>
      <c>
        <v>8523</v>
      </c>
      <c r="AI3897" t="s">
        <v>34197</v>
      </c>
      <c t="s">
        <v>55842</v>
      </c>
      <c r="AL3897" t="s">
        <v>24048</v>
      </c>
      <c r="AN3897" t="s">
        <v>50829</v>
      </c>
      <c t="s">
        <v>22195</v>
      </c>
      <c t="s">
        <v>32746</v>
      </c>
      <c t="s">
        <v>3093</v>
      </c>
      <c t="s">
        <v>60942</v>
      </c>
    </row>
    <row>
      <c t="s">
        <v>17594</v>
      </c>
      <c t="s">
        <v>33042</v>
      </c>
      <c t="s">
        <v>48330</v>
      </c>
      <c t="s">
        <v>35141</v>
      </c>
      <c t="s">
        <v>57080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898" s="1" t="str">
        <f ca="1">HYPERLINK("https://web.datatree.com/?/property?propertyId=33494924", "https://web.datatree.com/?/property?propertyId=33494924")</f>
        <v>https://web.datatree.com/?/property?propertyId=33494924</v>
      </c>
      <c r="Q3898" t="s">
        <v>316</v>
      </c>
      <c>
        <v>0.23</v>
      </c>
      <c t="s">
        <v>6175</v>
      </c>
      <c t="s">
        <v>39994</v>
      </c>
      <c t="s">
        <v>59760</v>
      </c>
      <c t="s">
        <v>43397</v>
      </c>
      <c t="s">
        <v>21455</v>
      </c>
      <c t="s">
        <v>27896</v>
      </c>
      <c t="s">
        <v>15510</v>
      </c>
      <c t="s">
        <v>2517</v>
      </c>
      <c t="s">
        <v>39289</v>
      </c>
      <c>
        <v>33909</v>
      </c>
      <c t="s">
        <v>62960</v>
      </c>
      <c t="s">
        <v>48794</v>
      </c>
      <c t="s">
        <v>6280</v>
      </c>
      <c>
        <v>16797</v>
      </c>
      <c r="AI3898" t="s">
        <v>53125</v>
      </c>
      <c t="s">
        <v>40123</v>
      </c>
      <c r="AL3898" t="s">
        <v>29515</v>
      </c>
      <c t="s">
        <v>1121</v>
      </c>
      <c t="s">
        <v>39289</v>
      </c>
      <c t="s">
        <v>39041</v>
      </c>
      <c t="s">
        <v>58683</v>
      </c>
      <c t="s">
        <v>3093</v>
      </c>
      <c t="s">
        <v>4056</v>
      </c>
    </row>
    <row>
      <c t="s">
        <v>17594</v>
      </c>
      <c t="s">
        <v>19918</v>
      </c>
      <c t="s">
        <v>30770</v>
      </c>
      <c t="s">
        <v>56044</v>
      </c>
      <c t="s">
        <v>46898</v>
      </c>
      <c s="3">
        <v>7315</v>
      </c>
      <c s="3">
        <v>7315</v>
      </c>
      <c s="3">
        <v>3727</v>
      </c>
      <c>
        <v>0</v>
      </c>
      <c s="3">
        <v>0</v>
      </c>
      <c s="3">
        <v>296.96</v>
      </c>
      <c s="3">
        <v>7315</v>
      </c>
      <c>
        <v>2021</v>
      </c>
      <c>
        <v>291.89</v>
      </c>
      <c s="1" t="str">
        <f ca="1">HYPERLINK("https://web.datatree.com/?/property?propertyId=33495101", "https://web.datatree.com/?/property?propertyId=33495101")</f>
        <v>https://web.datatree.com/?/property?propertyId=33495101</v>
      </c>
      <c r="Q3899" t="s">
        <v>316</v>
      </c>
      <c>
        <v>0.147</v>
      </c>
      <c t="s">
        <v>37489</v>
      </c>
      <c t="s">
        <v>38402</v>
      </c>
      <c t="s">
        <v>45084</v>
      </c>
      <c r="X3899" t="s">
        <v>14351</v>
      </c>
      <c t="s">
        <v>65695</v>
      </c>
      <c t="s">
        <v>65059</v>
      </c>
      <c t="s">
        <v>39289</v>
      </c>
      <c>
        <v>33905</v>
      </c>
      <c t="s">
        <v>33993</v>
      </c>
      <c t="s">
        <v>48794</v>
      </c>
      <c t="s">
        <v>41308</v>
      </c>
      <c>
        <v>18009</v>
      </c>
      <c r="AI3899" t="s">
        <v>35112</v>
      </c>
      <c t="s">
        <v>45393</v>
      </c>
      <c r="AL3899" t="s">
        <v>24744</v>
      </c>
      <c t="s">
        <v>24744</v>
      </c>
      <c t="s">
        <v>65451</v>
      </c>
      <c t="s">
        <v>55899</v>
      </c>
      <c t="s">
        <v>4660</v>
      </c>
      <c t="s">
        <v>3093</v>
      </c>
      <c t="s">
        <v>12424</v>
      </c>
    </row>
    <row>
      <c t="s">
        <v>17594</v>
      </c>
      <c t="s">
        <v>64215</v>
      </c>
      <c t="s">
        <v>61306</v>
      </c>
      <c t="s">
        <v>13237</v>
      </c>
      <c t="s">
        <v>36903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3900" s="1" t="str">
        <f ca="1">HYPERLINK("https://web.datatree.com/?/property?propertyId=33495264", "https://web.datatree.com/?/property?propertyId=33495264")</f>
        <v>https://web.datatree.com/?/property?propertyId=33495264</v>
      </c>
      <c r="Q3900" t="s">
        <v>316</v>
      </c>
      <c>
        <v>0.23</v>
      </c>
      <c t="s">
        <v>45031</v>
      </c>
      <c t="s">
        <v>38402</v>
      </c>
      <c t="s">
        <v>10361</v>
      </c>
      <c t="s">
        <v>1149</v>
      </c>
      <c t="s">
        <v>10361</v>
      </c>
      <c t="s">
        <v>9390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55754</v>
      </c>
      <c>
        <v>588</v>
      </c>
      <c r="AI3900" t="s">
        <v>43491</v>
      </c>
      <c t="s">
        <v>45620</v>
      </c>
      <c r="AL3900" t="s">
        <v>57134</v>
      </c>
      <c r="AN3900" t="s">
        <v>26016</v>
      </c>
      <c t="s">
        <v>21328</v>
      </c>
      <c t="s">
        <v>12241</v>
      </c>
      <c t="s">
        <v>3093</v>
      </c>
      <c t="s">
        <v>37055</v>
      </c>
    </row>
    <row>
      <c t="s">
        <v>17594</v>
      </c>
      <c t="s">
        <v>32246</v>
      </c>
      <c t="s">
        <v>1433</v>
      </c>
      <c t="s">
        <v>60936</v>
      </c>
      <c t="s">
        <v>29590</v>
      </c>
      <c s="3">
        <v>34130</v>
      </c>
      <c s="3">
        <v>34130</v>
      </c>
      <c s="3">
        <v>34130</v>
      </c>
      <c>
        <v>0</v>
      </c>
      <c s="3">
        <v>0</v>
      </c>
      <c s="3">
        <v>913.63</v>
      </c>
      <c s="3">
        <v>34130</v>
      </c>
      <c r="O3901" s="1" t="str">
        <f ca="1">HYPERLINK("https://web.datatree.com/?/property?propertyId=33496067", "https://web.datatree.com/?/property?propertyId=33496067")</f>
        <v>https://web.datatree.com/?/property?propertyId=33496067</v>
      </c>
      <c r="Q3901" t="s">
        <v>316</v>
      </c>
      <c>
        <v>0.235</v>
      </c>
      <c t="s">
        <v>22490</v>
      </c>
      <c t="s">
        <v>4629</v>
      </c>
      <c t="s">
        <v>31111</v>
      </c>
      <c t="s">
        <v>53275</v>
      </c>
      <c t="s">
        <v>31111</v>
      </c>
      <c t="s">
        <v>66849</v>
      </c>
      <c t="s">
        <v>30928</v>
      </c>
      <c t="s">
        <v>2517</v>
      </c>
      <c t="s">
        <v>39289</v>
      </c>
      <c>
        <v>33909</v>
      </c>
      <c t="s">
        <v>66226</v>
      </c>
      <c t="s">
        <v>48794</v>
      </c>
      <c t="s">
        <v>53187</v>
      </c>
      <c>
        <v>29</v>
      </c>
      <c r="AI3901" t="s">
        <v>39293</v>
      </c>
      <c t="s">
        <v>31192</v>
      </c>
      <c r="AL3901" t="s">
        <v>9097</v>
      </c>
      <c t="s">
        <v>9097</v>
      </c>
      <c t="s">
        <v>65451</v>
      </c>
      <c t="s">
        <v>13815</v>
      </c>
      <c t="s">
        <v>65563</v>
      </c>
      <c t="s">
        <v>3093</v>
      </c>
      <c t="s">
        <v>21631</v>
      </c>
    </row>
    <row>
      <c t="s">
        <v>17594</v>
      </c>
      <c t="s">
        <v>59887</v>
      </c>
      <c t="s">
        <v>14000</v>
      </c>
      <c t="s">
        <v>56207</v>
      </c>
      <c t="s">
        <v>39938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3902" s="1" t="str">
        <f ca="1">HYPERLINK("https://web.datatree.com/?/property?propertyId=33496190", "https://web.datatree.com/?/property?propertyId=33496190")</f>
        <v>https://web.datatree.com/?/property?propertyId=33496190</v>
      </c>
      <c r="Q3902" t="s">
        <v>316</v>
      </c>
      <c>
        <v>0.23</v>
      </c>
      <c t="s">
        <v>22490</v>
      </c>
      <c t="s">
        <v>6161</v>
      </c>
      <c t="s">
        <v>8950</v>
      </c>
      <c r="X3902" t="s">
        <v>19255</v>
      </c>
      <c t="s">
        <v>49122</v>
      </c>
      <c t="s">
        <v>2517</v>
      </c>
      <c t="s">
        <v>39289</v>
      </c>
      <c>
        <v>33909</v>
      </c>
      <c t="s">
        <v>447</v>
      </c>
      <c t="s">
        <v>48794</v>
      </c>
      <c t="s">
        <v>31369</v>
      </c>
      <c r="AI3902" t="s">
        <v>4275</v>
      </c>
      <c r="AK3902">
        <v>1</v>
      </c>
      <c t="s">
        <v>42920</v>
      </c>
      <c r="AN3902" t="s">
        <v>63985</v>
      </c>
      <c>
        <v>27211</v>
      </c>
      <c r="AR3902" t="s">
        <v>9065</v>
      </c>
    </row>
    <row>
      <c t="s">
        <v>17594</v>
      </c>
      <c t="s">
        <v>11935</v>
      </c>
      <c t="s">
        <v>36411</v>
      </c>
      <c t="s">
        <v>3698</v>
      </c>
      <c t="s">
        <v>39763</v>
      </c>
      <c s="3">
        <v>85179</v>
      </c>
      <c s="3">
        <v>63500</v>
      </c>
      <c s="3">
        <v>83483</v>
      </c>
      <c>
        <v>0</v>
      </c>
      <c s="3">
        <v>0</v>
      </c>
      <c s="3">
        <v>1264.2</v>
      </c>
      <c s="3">
        <v>85179</v>
      </c>
      <c r="O3903" s="1" t="str">
        <f ca="1">HYPERLINK("https://web.datatree.com/?/property?propertyId=33496204", "https://web.datatree.com/?/property?propertyId=33496204")</f>
        <v>https://web.datatree.com/?/property?propertyId=33496204</v>
      </c>
      <c r="Q3903" t="s">
        <v>316</v>
      </c>
      <c>
        <v>0.1</v>
      </c>
      <c t="s">
        <v>26492</v>
      </c>
      <c t="s">
        <v>4886</v>
      </c>
      <c t="s">
        <v>41736</v>
      </c>
      <c t="s">
        <v>23807</v>
      </c>
      <c t="s">
        <v>54747</v>
      </c>
      <c t="s">
        <v>54782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34404</v>
      </c>
      <c>
        <v>2289</v>
      </c>
      <c r="AI3903" t="s">
        <v>49353</v>
      </c>
      <c t="s">
        <v>45620</v>
      </c>
      <c r="AL3903" t="s">
        <v>28604</v>
      </c>
      <c t="s">
        <v>40227</v>
      </c>
      <c t="s">
        <v>10909</v>
      </c>
      <c t="s">
        <v>5009</v>
      </c>
      <c r="AQ3903" t="s">
        <v>27814</v>
      </c>
      <c t="s">
        <v>18315</v>
      </c>
    </row>
    <row>
      <c t="s">
        <v>17594</v>
      </c>
      <c t="s">
        <v>19715</v>
      </c>
      <c t="s">
        <v>25044</v>
      </c>
      <c t="s">
        <v>1353</v>
      </c>
      <c t="s">
        <v>15567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3904" s="1" t="str">
        <f ca="1">HYPERLINK("https://web.datatree.com/?/property?propertyId=33496444", "https://web.datatree.com/?/property?propertyId=33496444")</f>
        <v>https://web.datatree.com/?/property?propertyId=33496444</v>
      </c>
      <c r="Q3904" t="s">
        <v>316</v>
      </c>
      <c>
        <v>0.23</v>
      </c>
      <c t="s">
        <v>22490</v>
      </c>
      <c t="s">
        <v>36977</v>
      </c>
      <c t="s">
        <v>28868</v>
      </c>
      <c r="X3904" t="s">
        <v>30821</v>
      </c>
      <c t="s">
        <v>29190</v>
      </c>
      <c t="s">
        <v>2517</v>
      </c>
      <c t="s">
        <v>39289</v>
      </c>
      <c>
        <v>33909</v>
      </c>
      <c t="s">
        <v>39202</v>
      </c>
      <c t="s">
        <v>48794</v>
      </c>
      <c t="s">
        <v>15619</v>
      </c>
      <c>
        <v>18580</v>
      </c>
      <c r="AI3904" t="s">
        <v>40440</v>
      </c>
      <c t="s">
        <v>31192</v>
      </c>
      <c r="AL3904" t="s">
        <v>52434</v>
      </c>
      <c r="AN3904" t="s">
        <v>39289</v>
      </c>
      <c t="s">
        <v>14224</v>
      </c>
      <c t="s">
        <v>12399</v>
      </c>
      <c t="s">
        <v>3093</v>
      </c>
      <c t="s">
        <v>11425</v>
      </c>
    </row>
    <row>
      <c t="s">
        <v>17594</v>
      </c>
      <c t="s">
        <v>48800</v>
      </c>
      <c s="7" t="s">
        <v>43334</v>
      </c>
      <c t="s">
        <v>13140</v>
      </c>
      <c t="s">
        <v>27099</v>
      </c>
      <c s="3">
        <v>36970</v>
      </c>
      <c s="3">
        <v>36970</v>
      </c>
      <c s="3">
        <v>27587</v>
      </c>
      <c>
        <v>0</v>
      </c>
      <c s="3">
        <v>0</v>
      </c>
      <c s="3">
        <v>437.58</v>
      </c>
      <c s="3">
        <v>36970</v>
      </c>
      <c r="O3905" s="1" t="str">
        <f ca="1">HYPERLINK("https://web.datatree.com/?/property?propertyId=33497375", "https://web.datatree.com/?/property?propertyId=33497375")</f>
        <v>https://web.datatree.com/?/property?propertyId=33497375</v>
      </c>
      <c r="Q3905" t="s">
        <v>316</v>
      </c>
      <c>
        <v>0.071</v>
      </c>
      <c t="s">
        <v>54329</v>
      </c>
      <c t="s">
        <v>3965</v>
      </c>
      <c t="s">
        <v>41703</v>
      </c>
      <c r="X3905" t="s">
        <v>6283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15281</v>
      </c>
      <c>
        <v>12</v>
      </c>
      <c r="AI3905" t="s">
        <v>5522</v>
      </c>
      <c t="s">
        <v>24900</v>
      </c>
      <c>
        <v>2</v>
      </c>
      <c t="s">
        <v>24469</v>
      </c>
      <c r="AN3905" t="s">
        <v>65451</v>
      </c>
      <c t="s">
        <v>57707</v>
      </c>
      <c t="s">
        <v>44843</v>
      </c>
      <c t="s">
        <v>3093</v>
      </c>
      <c s="7" t="s">
        <v>63351</v>
      </c>
    </row>
    <row>
      <c t="s">
        <v>17594</v>
      </c>
      <c t="s">
        <v>38067</v>
      </c>
      <c t="s">
        <v>25509</v>
      </c>
      <c t="s">
        <v>20222</v>
      </c>
      <c t="s">
        <v>21633</v>
      </c>
      <c s="3">
        <v>20036</v>
      </c>
      <c s="3">
        <v>20036</v>
      </c>
      <c s="3">
        <v>8030</v>
      </c>
      <c>
        <v>0</v>
      </c>
      <c s="3">
        <v>0</v>
      </c>
      <c s="3">
        <v>569.07</v>
      </c>
      <c s="3">
        <v>20036</v>
      </c>
      <c r="O3906" s="1" t="str">
        <f ca="1">HYPERLINK("https://web.datatree.com/?/property?propertyId=33497402", "https://web.datatree.com/?/property?propertyId=33497402")</f>
        <v>https://web.datatree.com/?/property?propertyId=33497402</v>
      </c>
      <c r="Q3906" t="s">
        <v>316</v>
      </c>
      <c>
        <v>0.244</v>
      </c>
      <c t="s">
        <v>22490</v>
      </c>
      <c t="s">
        <v>42532</v>
      </c>
      <c t="s">
        <v>62508</v>
      </c>
      <c r="X3906" t="s">
        <v>41036</v>
      </c>
      <c t="s">
        <v>49122</v>
      </c>
      <c t="s">
        <v>2517</v>
      </c>
      <c t="s">
        <v>39289</v>
      </c>
      <c>
        <v>33909</v>
      </c>
      <c t="s">
        <v>6975</v>
      </c>
      <c t="s">
        <v>48794</v>
      </c>
      <c t="s">
        <v>1827</v>
      </c>
      <c>
        <v>48</v>
      </c>
      <c r="AI3906" t="s">
        <v>64500</v>
      </c>
      <c t="s">
        <v>55842</v>
      </c>
      <c r="AL3906" t="s">
        <v>14980</v>
      </c>
      <c r="AN3906" t="s">
        <v>50917</v>
      </c>
      <c t="s">
        <v>56209</v>
      </c>
      <c t="s">
        <v>22455</v>
      </c>
      <c t="s">
        <v>3093</v>
      </c>
      <c t="s">
        <v>41866</v>
      </c>
    </row>
    <row>
      <c t="s">
        <v>17594</v>
      </c>
      <c t="s">
        <v>23564</v>
      </c>
      <c t="s">
        <v>11420</v>
      </c>
      <c t="s">
        <v>16264</v>
      </c>
      <c t="s">
        <v>6480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3907" s="1" t="str">
        <f ca="1">HYPERLINK("https://web.datatree.com/?/property?propertyId=33497427", "https://web.datatree.com/?/property?propertyId=33497427")</f>
        <v>https://web.datatree.com/?/property?propertyId=33497427</v>
      </c>
      <c r="Q3907" t="s">
        <v>316</v>
      </c>
      <c>
        <v>0.23</v>
      </c>
      <c t="s">
        <v>6175</v>
      </c>
      <c r="U3907" t="s">
        <v>62346</v>
      </c>
      <c r="W3907" t="s">
        <v>3040</v>
      </c>
      <c t="s">
        <v>63679</v>
      </c>
      <c t="s">
        <v>39082</v>
      </c>
      <c t="s">
        <v>2517</v>
      </c>
      <c t="s">
        <v>39289</v>
      </c>
      <c>
        <v>33909</v>
      </c>
      <c t="s">
        <v>36033</v>
      </c>
      <c t="s">
        <v>48794</v>
      </c>
      <c t="s">
        <v>65244</v>
      </c>
      <c>
        <v>26</v>
      </c>
      <c r="AI3907" t="s">
        <v>34306</v>
      </c>
      <c t="s">
        <v>45620</v>
      </c>
      <c r="AL3907" t="s">
        <v>61282</v>
      </c>
      <c r="AN3907" t="s">
        <v>14509</v>
      </c>
      <c t="s">
        <v>43165</v>
      </c>
      <c t="s">
        <v>27410</v>
      </c>
      <c t="s">
        <v>3093</v>
      </c>
      <c t="s">
        <v>8536</v>
      </c>
    </row>
    <row>
      <c t="s">
        <v>17594</v>
      </c>
      <c t="s">
        <v>7280</v>
      </c>
      <c t="s">
        <v>47426</v>
      </c>
      <c t="s">
        <v>52518</v>
      </c>
      <c t="s">
        <v>56914</v>
      </c>
      <c s="3">
        <v>23310</v>
      </c>
      <c s="3">
        <v>23310</v>
      </c>
      <c s="3">
        <v>10467</v>
      </c>
      <c>
        <v>0</v>
      </c>
      <c s="3">
        <v>0</v>
      </c>
      <c s="3">
        <v>705.52</v>
      </c>
      <c s="3">
        <v>23310</v>
      </c>
      <c r="O3908" s="1" t="str">
        <f ca="1">HYPERLINK("https://web.datatree.com/?/property?propertyId=33498696", "https://web.datatree.com/?/property?propertyId=33498696")</f>
        <v>https://web.datatree.com/?/property?propertyId=33498696</v>
      </c>
      <c r="Q3908" t="s">
        <v>316</v>
      </c>
      <c>
        <v>0.344</v>
      </c>
      <c t="s">
        <v>6175</v>
      </c>
      <c t="s">
        <v>20155</v>
      </c>
      <c t="s">
        <v>38319</v>
      </c>
      <c t="s">
        <v>46482</v>
      </c>
      <c t="s">
        <v>38319</v>
      </c>
      <c t="s">
        <v>18173</v>
      </c>
      <c t="s">
        <v>34731</v>
      </c>
      <c t="s">
        <v>2517</v>
      </c>
      <c t="s">
        <v>39289</v>
      </c>
      <c>
        <v>33909</v>
      </c>
      <c t="s">
        <v>41889</v>
      </c>
      <c t="s">
        <v>48794</v>
      </c>
      <c t="s">
        <v>61018</v>
      </c>
      <c>
        <v>1524</v>
      </c>
      <c r="AI3908" t="s">
        <v>38960</v>
      </c>
      <c t="s">
        <v>24900</v>
      </c>
      <c r="AL3908" t="s">
        <v>43854</v>
      </c>
      <c r="AN3908" t="s">
        <v>27222</v>
      </c>
      <c t="s">
        <v>5346</v>
      </c>
      <c t="s">
        <v>33275</v>
      </c>
      <c t="s">
        <v>3093</v>
      </c>
      <c t="s">
        <v>37250</v>
      </c>
    </row>
    <row>
      <c t="s">
        <v>17594</v>
      </c>
      <c t="s">
        <v>16723</v>
      </c>
      <c t="s">
        <v>28923</v>
      </c>
      <c t="s">
        <v>17757</v>
      </c>
      <c t="s">
        <v>25572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3909" s="1" t="str">
        <f ca="1">HYPERLINK("https://web.datatree.com/?/property?propertyId=33499080", "https://web.datatree.com/?/property?propertyId=33499080")</f>
        <v>https://web.datatree.com/?/property?propertyId=33499080</v>
      </c>
      <c r="Q3909" t="s">
        <v>316</v>
      </c>
      <c>
        <v>0.23</v>
      </c>
      <c t="s">
        <v>6175</v>
      </c>
      <c t="s">
        <v>23991</v>
      </c>
      <c t="s">
        <v>57248</v>
      </c>
      <c r="X3909" t="s">
        <v>64829</v>
      </c>
      <c t="s">
        <v>53675</v>
      </c>
      <c t="s">
        <v>2517</v>
      </c>
      <c t="s">
        <v>39289</v>
      </c>
      <c>
        <v>33909</v>
      </c>
      <c t="s">
        <v>21686</v>
      </c>
      <c t="s">
        <v>48794</v>
      </c>
      <c t="s">
        <v>33095</v>
      </c>
      <c>
        <v>15</v>
      </c>
      <c r="AI3909" t="s">
        <v>11665</v>
      </c>
      <c t="s">
        <v>55842</v>
      </c>
      <c>
        <v>2</v>
      </c>
      <c t="s">
        <v>67080</v>
      </c>
      <c r="AN3909" t="s">
        <v>7157</v>
      </c>
      <c>
        <v>106</v>
      </c>
      <c r="AR3909" t="s">
        <v>28608</v>
      </c>
    </row>
    <row>
      <c t="s">
        <v>17594</v>
      </c>
      <c t="s">
        <v>54536</v>
      </c>
      <c s="7" t="s">
        <v>33157</v>
      </c>
      <c t="s">
        <v>42167</v>
      </c>
      <c t="s">
        <v>62629</v>
      </c>
      <c s="3">
        <v>46344</v>
      </c>
      <c s="3">
        <v>46344</v>
      </c>
      <c s="3">
        <v>21780</v>
      </c>
      <c>
        <v>0</v>
      </c>
      <c s="3">
        <v>0</v>
      </c>
      <c s="3">
        <v>855</v>
      </c>
      <c s="3">
        <v>46344</v>
      </c>
      <c>
        <v>2019</v>
      </c>
      <c>
        <v>2430.67</v>
      </c>
      <c s="1" t="str">
        <f ca="1">HYPERLINK("https://web.datatree.com/?/property?propertyId=33499391", "https://web.datatree.com/?/property?propertyId=33499391")</f>
        <v>https://web.datatree.com/?/property?propertyId=33499391</v>
      </c>
      <c r="Q3910" t="s">
        <v>316</v>
      </c>
      <c>
        <v>0.23</v>
      </c>
      <c t="s">
        <v>65422</v>
      </c>
      <c t="s">
        <v>30591</v>
      </c>
      <c t="s">
        <v>45608</v>
      </c>
      <c r="W3910" t="s">
        <v>12117</v>
      </c>
      <c t="s">
        <v>16433</v>
      </c>
      <c t="s">
        <v>39082</v>
      </c>
      <c t="s">
        <v>2517</v>
      </c>
      <c t="s">
        <v>39289</v>
      </c>
      <c>
        <v>33909</v>
      </c>
      <c t="s">
        <v>20282</v>
      </c>
      <c t="s">
        <v>48794</v>
      </c>
      <c t="s">
        <v>26803</v>
      </c>
      <c>
        <v>1</v>
      </c>
      <c r="AI3910" t="s">
        <v>59434</v>
      </c>
      <c t="s">
        <v>45393</v>
      </c>
      <c r="AL3910" t="s">
        <v>2916</v>
      </c>
      <c t="s">
        <v>2916</v>
      </c>
      <c t="s">
        <v>26304</v>
      </c>
      <c>
        <v>68526</v>
      </c>
      <c r="AR3910" s="7" t="s">
        <v>23324</v>
      </c>
    </row>
    <row>
      <c t="s">
        <v>17594</v>
      </c>
      <c t="s">
        <v>59583</v>
      </c>
      <c t="s">
        <v>55397</v>
      </c>
      <c t="s">
        <v>27149</v>
      </c>
      <c t="s">
        <v>2425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3911" s="1" t="str">
        <f ca="1">HYPERLINK("https://web.datatree.com/?/property?propertyId=33499405", "https://web.datatree.com/?/property?propertyId=33499405")</f>
        <v>https://web.datatree.com/?/property?propertyId=33499405</v>
      </c>
      <c r="Q3911" t="s">
        <v>316</v>
      </c>
      <c>
        <v>0.23</v>
      </c>
      <c t="s">
        <v>22490</v>
      </c>
      <c t="s">
        <v>64464</v>
      </c>
      <c t="s">
        <v>14874</v>
      </c>
      <c r="X3911" t="s">
        <v>12839</v>
      </c>
      <c t="s">
        <v>38550</v>
      </c>
      <c t="s">
        <v>2517</v>
      </c>
      <c t="s">
        <v>39289</v>
      </c>
      <c>
        <v>33909</v>
      </c>
      <c t="s">
        <v>1086</v>
      </c>
      <c t="s">
        <v>48794</v>
      </c>
      <c t="s">
        <v>53690</v>
      </c>
      <c>
        <v>60</v>
      </c>
      <c r="AI3911" t="s">
        <v>25256</v>
      </c>
      <c t="s">
        <v>45620</v>
      </c>
      <c r="AL3911" t="s">
        <v>14309</v>
      </c>
      <c r="AN3911" t="s">
        <v>19878</v>
      </c>
      <c t="s">
        <v>26440</v>
      </c>
      <c t="s">
        <v>18692</v>
      </c>
      <c t="s">
        <v>3093</v>
      </c>
      <c t="s">
        <v>12414</v>
      </c>
    </row>
    <row>
      <c t="s">
        <v>17594</v>
      </c>
      <c t="s">
        <v>64921</v>
      </c>
      <c t="s">
        <v>21855</v>
      </c>
      <c t="s">
        <v>12766</v>
      </c>
      <c t="s">
        <v>7822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3912" s="1" t="str">
        <f ca="1">HYPERLINK("https://web.datatree.com/?/property?propertyId=33499532", "https://web.datatree.com/?/property?propertyId=33499532")</f>
        <v>https://web.datatree.com/?/property?propertyId=33499532</v>
      </c>
      <c r="Q3912" t="s">
        <v>316</v>
      </c>
      <c>
        <v>0.23</v>
      </c>
      <c t="s">
        <v>6175</v>
      </c>
      <c t="s">
        <v>52915</v>
      </c>
      <c t="s">
        <v>31475</v>
      </c>
      <c r="X3912" t="s">
        <v>23182</v>
      </c>
      <c t="s">
        <v>39082</v>
      </c>
      <c t="s">
        <v>2517</v>
      </c>
      <c t="s">
        <v>39289</v>
      </c>
      <c>
        <v>33909</v>
      </c>
      <c t="s">
        <v>7151</v>
      </c>
      <c t="s">
        <v>48794</v>
      </c>
      <c t="s">
        <v>62046</v>
      </c>
      <c>
        <v>6775</v>
      </c>
      <c r="AI3912" t="s">
        <v>7281</v>
      </c>
      <c t="s">
        <v>24900</v>
      </c>
      <c r="AL3912" t="s">
        <v>55393</v>
      </c>
      <c r="AN3912" t="s">
        <v>39289</v>
      </c>
      <c t="s">
        <v>39917</v>
      </c>
      <c t="s">
        <v>15686</v>
      </c>
      <c t="s">
        <v>3093</v>
      </c>
      <c t="s">
        <v>22728</v>
      </c>
    </row>
    <row>
      <c t="s">
        <v>17594</v>
      </c>
      <c t="s">
        <v>3798</v>
      </c>
      <c t="s">
        <v>20214</v>
      </c>
      <c t="s">
        <v>26565</v>
      </c>
      <c t="s">
        <v>13467</v>
      </c>
      <c s="3">
        <v>452200</v>
      </c>
      <c s="3">
        <v>452200</v>
      </c>
      <c s="3">
        <v>452200</v>
      </c>
      <c>
        <v>0</v>
      </c>
      <c s="3">
        <v>0</v>
      </c>
      <c s="3">
        <v>7619.87</v>
      </c>
      <c s="3">
        <v>452200</v>
      </c>
      <c r="O3913" s="1" t="str">
        <f ca="1">HYPERLINK("https://web.datatree.com/?/property?propertyId=33499661", "https://web.datatree.com/?/property?propertyId=33499661")</f>
        <v>https://web.datatree.com/?/property?propertyId=33499661</v>
      </c>
      <c r="Q3913" t="s">
        <v>316</v>
      </c>
      <c>
        <v>0.296</v>
      </c>
      <c t="s">
        <v>22490</v>
      </c>
      <c t="s">
        <v>552</v>
      </c>
      <c t="s">
        <v>24332</v>
      </c>
      <c r="X3913" t="s">
        <v>7811</v>
      </c>
      <c t="s">
        <v>53339</v>
      </c>
      <c t="s">
        <v>2517</v>
      </c>
      <c t="s">
        <v>39289</v>
      </c>
      <c>
        <v>33904</v>
      </c>
      <c t="s">
        <v>39304</v>
      </c>
      <c t="s">
        <v>48794</v>
      </c>
      <c t="s">
        <v>15806</v>
      </c>
      <c>
        <v>50</v>
      </c>
      <c r="AI3913" t="s">
        <v>18468</v>
      </c>
      <c t="s">
        <v>31192</v>
      </c>
      <c r="AL3913" t="s">
        <v>38064</v>
      </c>
      <c r="AN3913" t="s">
        <v>26016</v>
      </c>
      <c t="s">
        <v>30310</v>
      </c>
      <c t="s">
        <v>636</v>
      </c>
      <c t="s">
        <v>3093</v>
      </c>
      <c t="s">
        <v>4473</v>
      </c>
    </row>
    <row>
      <c t="s">
        <v>17594</v>
      </c>
      <c t="s">
        <v>48934</v>
      </c>
      <c t="s">
        <v>19669</v>
      </c>
      <c t="s">
        <v>49285</v>
      </c>
      <c t="s">
        <v>17654</v>
      </c>
      <c s="3">
        <v>21563</v>
      </c>
      <c s="3">
        <v>21563</v>
      </c>
      <c s="3">
        <v>9900</v>
      </c>
      <c>
        <v>0</v>
      </c>
      <c s="3">
        <v>0</v>
      </c>
      <c s="3">
        <v>613.14</v>
      </c>
      <c s="3">
        <v>21563</v>
      </c>
      <c r="O3914" s="1" t="str">
        <f ca="1">HYPERLINK("https://web.datatree.com/?/property?propertyId=33499851", "https://web.datatree.com/?/property?propertyId=33499851")</f>
        <v>https://web.datatree.com/?/property?propertyId=33499851</v>
      </c>
      <c r="Q3914" t="s">
        <v>316</v>
      </c>
      <c>
        <v>0.23</v>
      </c>
      <c t="s">
        <v>22490</v>
      </c>
      <c t="s">
        <v>27032</v>
      </c>
      <c t="s">
        <v>66228</v>
      </c>
      <c r="X3914" t="s">
        <v>3817</v>
      </c>
      <c t="s">
        <v>59763</v>
      </c>
      <c t="s">
        <v>2517</v>
      </c>
      <c t="s">
        <v>39289</v>
      </c>
      <c>
        <v>33909</v>
      </c>
      <c>
        <v>33909</v>
      </c>
      <c t="s">
        <v>48794</v>
      </c>
      <c t="s">
        <v>37195</v>
      </c>
      <c>
        <v>370</v>
      </c>
      <c r="AI3914" t="s">
        <v>65702</v>
      </c>
      <c t="s">
        <v>45393</v>
      </c>
      <c r="AL3914" t="s">
        <v>37463</v>
      </c>
      <c r="AN3914" t="s">
        <v>50917</v>
      </c>
      <c t="s">
        <v>19997</v>
      </c>
      <c t="s">
        <v>62830</v>
      </c>
      <c t="s">
        <v>3093</v>
      </c>
      <c t="s">
        <v>35521</v>
      </c>
    </row>
    <row>
      <c t="s">
        <v>17594</v>
      </c>
      <c t="s">
        <v>45114</v>
      </c>
      <c t="s">
        <v>18977</v>
      </c>
      <c t="s">
        <v>23176</v>
      </c>
      <c t="s">
        <v>15831</v>
      </c>
      <c s="3">
        <v>29340</v>
      </c>
      <c s="3">
        <v>29340</v>
      </c>
      <c s="3">
        <v>29340</v>
      </c>
      <c>
        <v>0</v>
      </c>
      <c s="3">
        <v>0</v>
      </c>
      <c s="3">
        <v>932.34</v>
      </c>
      <c s="3">
        <v>29340</v>
      </c>
      <c r="O3915" s="1" t="str">
        <f ca="1">HYPERLINK("https://web.datatree.com/?/property?propertyId=33500288", "https://web.datatree.com/?/property?propertyId=33500288")</f>
        <v>https://web.datatree.com/?/property?propertyId=33500288</v>
      </c>
      <c r="Q3915" t="s">
        <v>316</v>
      </c>
      <c>
        <v>0.344</v>
      </c>
      <c t="s">
        <v>22490</v>
      </c>
      <c t="s">
        <v>8762</v>
      </c>
      <c t="s">
        <v>35197</v>
      </c>
      <c t="s">
        <v>54806</v>
      </c>
      <c t="s">
        <v>35197</v>
      </c>
      <c t="s">
        <v>55727</v>
      </c>
      <c t="s">
        <v>66701</v>
      </c>
      <c t="s">
        <v>2517</v>
      </c>
      <c t="s">
        <v>39289</v>
      </c>
      <c>
        <v>33909</v>
      </c>
      <c t="s">
        <v>44173</v>
      </c>
      <c t="s">
        <v>48794</v>
      </c>
      <c t="s">
        <v>42265</v>
      </c>
      <c>
        <v>71</v>
      </c>
      <c r="AI3915" t="s">
        <v>45721</v>
      </c>
      <c t="s">
        <v>1671</v>
      </c>
      <c r="AL3915" t="s">
        <v>30138</v>
      </c>
      <c t="s">
        <v>8867</v>
      </c>
      <c t="s">
        <v>18236</v>
      </c>
      <c t="s">
        <v>44920</v>
      </c>
      <c t="s">
        <v>62713</v>
      </c>
      <c t="s">
        <v>3093</v>
      </c>
      <c t="s">
        <v>23835</v>
      </c>
    </row>
    <row>
      <c t="s">
        <v>17594</v>
      </c>
      <c t="s">
        <v>29385</v>
      </c>
      <c t="s">
        <v>33188</v>
      </c>
      <c t="s">
        <v>61699</v>
      </c>
      <c t="s">
        <v>51377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>
        <v>2021</v>
      </c>
      <c>
        <v>532.49</v>
      </c>
      <c s="1" t="str">
        <f ca="1">HYPERLINK("https://web.datatree.com/?/property?propertyId=33500416", "https://web.datatree.com/?/property?propertyId=33500416")</f>
        <v>https://web.datatree.com/?/property?propertyId=33500416</v>
      </c>
      <c r="Q3916" t="s">
        <v>316</v>
      </c>
      <c>
        <v>0.23</v>
      </c>
      <c t="s">
        <v>22490</v>
      </c>
      <c t="s">
        <v>64119</v>
      </c>
      <c t="s">
        <v>24112</v>
      </c>
      <c t="s">
        <v>13844</v>
      </c>
      <c t="s">
        <v>24112</v>
      </c>
      <c t="s">
        <v>6895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36431</v>
      </c>
      <c>
        <v>14</v>
      </c>
      <c r="AI3916" t="s">
        <v>7448</v>
      </c>
      <c t="s">
        <v>55842</v>
      </c>
      <c r="AL3916" t="s">
        <v>19488</v>
      </c>
      <c t="s">
        <v>19488</v>
      </c>
      <c t="s">
        <v>5859</v>
      </c>
      <c t="s">
        <v>16302</v>
      </c>
      <c t="s">
        <v>58683</v>
      </c>
      <c t="s">
        <v>3093</v>
      </c>
      <c t="s">
        <v>24565</v>
      </c>
    </row>
    <row>
      <c t="s">
        <v>17594</v>
      </c>
      <c t="s">
        <v>54621</v>
      </c>
      <c t="s">
        <v>47250</v>
      </c>
      <c t="s">
        <v>60143</v>
      </c>
      <c t="s">
        <v>22429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917" s="1" t="str">
        <f ca="1">HYPERLINK("https://web.datatree.com/?/property?propertyId=33500632", "https://web.datatree.com/?/property?propertyId=33500632")</f>
        <v>https://web.datatree.com/?/property?propertyId=33500632</v>
      </c>
      <c r="Q3917" t="s">
        <v>316</v>
      </c>
      <c>
        <v>0.23</v>
      </c>
      <c t="s">
        <v>6175</v>
      </c>
      <c t="s">
        <v>10361</v>
      </c>
      <c t="s">
        <v>4677</v>
      </c>
      <c r="X3917" t="s">
        <v>42798</v>
      </c>
      <c t="s">
        <v>17022</v>
      </c>
      <c t="s">
        <v>2517</v>
      </c>
      <c t="s">
        <v>39289</v>
      </c>
      <c>
        <v>33909</v>
      </c>
      <c t="s">
        <v>62898</v>
      </c>
      <c t="s">
        <v>48794</v>
      </c>
      <c t="s">
        <v>41044</v>
      </c>
      <c>
        <v>8612</v>
      </c>
      <c r="AI3917" t="s">
        <v>17275</v>
      </c>
      <c t="s">
        <v>31192</v>
      </c>
      <c r="AL3917" t="s">
        <v>36970</v>
      </c>
      <c r="AN3917" t="s">
        <v>39289</v>
      </c>
      <c t="s">
        <v>45192</v>
      </c>
      <c t="s">
        <v>57360</v>
      </c>
      <c t="s">
        <v>3093</v>
      </c>
      <c t="s">
        <v>59479</v>
      </c>
    </row>
    <row>
      <c t="s">
        <v>17594</v>
      </c>
      <c t="s">
        <v>7839</v>
      </c>
      <c t="s">
        <v>6641</v>
      </c>
      <c t="s">
        <v>35488</v>
      </c>
      <c t="s">
        <v>67087</v>
      </c>
      <c s="3">
        <v>96778</v>
      </c>
      <c s="3">
        <v>86250</v>
      </c>
      <c s="3">
        <v>85724</v>
      </c>
      <c>
        <v>0</v>
      </c>
      <c s="3">
        <v>0</v>
      </c>
      <c s="3">
        <v>1349.77</v>
      </c>
      <c s="3">
        <v>96778</v>
      </c>
      <c r="O3918" s="1" t="str">
        <f ca="1">HYPERLINK("https://web.datatree.com/?/property?propertyId=33500811", "https://web.datatree.com/?/property?propertyId=33500811")</f>
        <v>https://web.datatree.com/?/property?propertyId=33500811</v>
      </c>
      <c r="Q3918" t="s">
        <v>316</v>
      </c>
      <c>
        <v>0.109</v>
      </c>
      <c t="s">
        <v>26492</v>
      </c>
      <c t="s">
        <v>9900</v>
      </c>
      <c t="s">
        <v>65953</v>
      </c>
      <c t="s">
        <v>26827</v>
      </c>
      <c t="s">
        <v>65953</v>
      </c>
      <c t="s">
        <v>47231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9923</v>
      </c>
      <c>
        <v>1775</v>
      </c>
      <c r="AI3918" t="s">
        <v>53083</v>
      </c>
      <c t="s">
        <v>4985</v>
      </c>
      <c r="AL3918" t="s">
        <v>49166</v>
      </c>
      <c t="s">
        <v>40227</v>
      </c>
      <c t="s">
        <v>10909</v>
      </c>
      <c t="s">
        <v>33161</v>
      </c>
      <c r="AQ3918" t="s">
        <v>27814</v>
      </c>
      <c t="s">
        <v>29403</v>
      </c>
    </row>
    <row>
      <c t="s">
        <v>17594</v>
      </c>
      <c t="s">
        <v>48053</v>
      </c>
      <c t="s">
        <v>30346</v>
      </c>
      <c t="s">
        <v>55938</v>
      </c>
      <c t="s">
        <v>5833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527.13</v>
      </c>
      <c s="1" t="str">
        <f ca="1">HYPERLINK("https://web.datatree.com/?/property?propertyId=33501880", "https://web.datatree.com/?/property?propertyId=33501880")</f>
        <v>https://web.datatree.com/?/property?propertyId=33501880</v>
      </c>
      <c r="Q3919" t="s">
        <v>316</v>
      </c>
      <c>
        <v>0.23</v>
      </c>
      <c t="s">
        <v>6175</v>
      </c>
      <c t="s">
        <v>34140</v>
      </c>
      <c t="s">
        <v>42446</v>
      </c>
      <c r="X3919" t="s">
        <v>10336</v>
      </c>
      <c t="s">
        <v>46469</v>
      </c>
      <c t="s">
        <v>2517</v>
      </c>
      <c t="s">
        <v>39289</v>
      </c>
      <c>
        <v>33909</v>
      </c>
      <c t="s">
        <v>2703</v>
      </c>
      <c t="s">
        <v>48794</v>
      </c>
      <c t="s">
        <v>66105</v>
      </c>
      <c>
        <v>4009</v>
      </c>
      <c r="AI3919" t="s">
        <v>49772</v>
      </c>
      <c t="s">
        <v>31192</v>
      </c>
      <c r="AL3919" t="s">
        <v>50860</v>
      </c>
      <c t="s">
        <v>62717</v>
      </c>
      <c t="s">
        <v>51087</v>
      </c>
      <c t="s">
        <v>65927</v>
      </c>
      <c t="s">
        <v>42082</v>
      </c>
      <c t="s">
        <v>3093</v>
      </c>
      <c t="s">
        <v>10295</v>
      </c>
    </row>
    <row>
      <c t="s">
        <v>17594</v>
      </c>
      <c t="s">
        <v>65949</v>
      </c>
      <c t="s">
        <v>47801</v>
      </c>
      <c t="s">
        <v>48349</v>
      </c>
      <c t="s">
        <v>13550</v>
      </c>
      <c s="3">
        <v>12544</v>
      </c>
      <c s="3">
        <v>12544</v>
      </c>
      <c s="3">
        <v>4972</v>
      </c>
      <c>
        <v>0</v>
      </c>
      <c s="3">
        <v>0</v>
      </c>
      <c s="3">
        <v>330.97</v>
      </c>
      <c s="3">
        <v>12544</v>
      </c>
      <c r="O3920" s="1" t="str">
        <f ca="1">HYPERLINK("https://web.datatree.com/?/property?propertyId=33502002", "https://web.datatree.com/?/property?propertyId=33502002")</f>
        <v>https://web.datatree.com/?/property?propertyId=33502002</v>
      </c>
      <c r="Q3920" t="s">
        <v>316</v>
      </c>
      <c>
        <v>0.352</v>
      </c>
      <c t="s">
        <v>37489</v>
      </c>
      <c t="s">
        <v>53935</v>
      </c>
      <c t="s">
        <v>33244</v>
      </c>
      <c t="s">
        <v>42532</v>
      </c>
      <c t="s">
        <v>33244</v>
      </c>
      <c t="s">
        <v>23146</v>
      </c>
      <c t="s">
        <v>10854</v>
      </c>
      <c t="s">
        <v>65059</v>
      </c>
      <c t="s">
        <v>39289</v>
      </c>
      <c>
        <v>33905</v>
      </c>
      <c t="s">
        <v>8820</v>
      </c>
      <c t="s">
        <v>48794</v>
      </c>
      <c t="s">
        <v>16046</v>
      </c>
      <c>
        <v>667</v>
      </c>
      <c r="AI3920" t="s">
        <v>58331</v>
      </c>
      <c t="s">
        <v>45393</v>
      </c>
      <c t="s">
        <v>10762</v>
      </c>
      <c t="s">
        <v>6144</v>
      </c>
      <c r="AN3920" t="s">
        <v>50917</v>
      </c>
      <c t="s">
        <v>49360</v>
      </c>
      <c t="s">
        <v>49977</v>
      </c>
      <c t="s">
        <v>3093</v>
      </c>
      <c t="s">
        <v>43852</v>
      </c>
    </row>
    <row>
      <c t="s">
        <v>17594</v>
      </c>
      <c t="s">
        <v>25692</v>
      </c>
      <c t="s">
        <v>36298</v>
      </c>
      <c t="s">
        <v>44815</v>
      </c>
      <c t="s">
        <v>59034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2020</v>
      </c>
      <c>
        <v>1262</v>
      </c>
      <c s="1" t="str">
        <f ca="1">HYPERLINK("https://web.datatree.com/?/property?propertyId=33503055", "https://web.datatree.com/?/property?propertyId=33503055")</f>
        <v>https://web.datatree.com/?/property?propertyId=33503055</v>
      </c>
      <c r="Q3921" t="s">
        <v>316</v>
      </c>
      <c>
        <v>0.23</v>
      </c>
      <c t="s">
        <v>14479</v>
      </c>
      <c t="s">
        <v>50331</v>
      </c>
      <c t="s">
        <v>13593</v>
      </c>
      <c r="X3921" t="s">
        <v>25037</v>
      </c>
      <c t="s">
        <v>30928</v>
      </c>
      <c t="s">
        <v>2517</v>
      </c>
      <c t="s">
        <v>39289</v>
      </c>
      <c>
        <v>33909</v>
      </c>
      <c t="s">
        <v>7766</v>
      </c>
      <c t="s">
        <v>48794</v>
      </c>
      <c t="s">
        <v>37941</v>
      </c>
      <c>
        <v>17322</v>
      </c>
      <c r="AI3921" t="s">
        <v>41493</v>
      </c>
      <c t="s">
        <v>55842</v>
      </c>
      <c r="AL3921" t="s">
        <v>21971</v>
      </c>
      <c t="s">
        <v>21971</v>
      </c>
      <c t="s">
        <v>65451</v>
      </c>
      <c t="s">
        <v>66099</v>
      </c>
      <c t="s">
        <v>51249</v>
      </c>
      <c t="s">
        <v>3093</v>
      </c>
      <c t="s">
        <v>55493</v>
      </c>
    </row>
    <row>
      <c t="s">
        <v>17594</v>
      </c>
      <c t="s">
        <v>20519</v>
      </c>
      <c t="s">
        <v>47058</v>
      </c>
      <c t="s">
        <v>18626</v>
      </c>
      <c t="s">
        <v>8335</v>
      </c>
      <c s="3">
        <v>24937</v>
      </c>
      <c s="3">
        <v>24937</v>
      </c>
      <c s="3">
        <v>9079</v>
      </c>
      <c>
        <v>0</v>
      </c>
      <c s="3">
        <v>0</v>
      </c>
      <c s="3">
        <v>2910.05</v>
      </c>
      <c s="3">
        <v>24937</v>
      </c>
      <c r="O3922" s="1" t="str">
        <f ca="1">HYPERLINK("https://web.datatree.com/?/property?propertyId=33503075", "https://web.datatree.com/?/property?propertyId=33503075")</f>
        <v>https://web.datatree.com/?/property?propertyId=33503075</v>
      </c>
      <c r="Q3922" t="s">
        <v>316</v>
      </c>
      <c>
        <v>0.23</v>
      </c>
      <c t="s">
        <v>6175</v>
      </c>
      <c t="s">
        <v>3797</v>
      </c>
      <c t="s">
        <v>5221</v>
      </c>
      <c t="s">
        <v>30846</v>
      </c>
      <c t="s">
        <v>5221</v>
      </c>
      <c t="s">
        <v>34637</v>
      </c>
      <c t="s">
        <v>34731</v>
      </c>
      <c t="s">
        <v>2517</v>
      </c>
      <c t="s">
        <v>39289</v>
      </c>
      <c>
        <v>33909</v>
      </c>
      <c t="s">
        <v>32574</v>
      </c>
      <c t="s">
        <v>48794</v>
      </c>
      <c t="s">
        <v>4099</v>
      </c>
      <c>
        <v>1</v>
      </c>
      <c r="AI3922" t="s">
        <v>66168</v>
      </c>
      <c t="s">
        <v>31192</v>
      </c>
      <c r="AL3922" t="s">
        <v>30531</v>
      </c>
      <c r="AN3922" t="s">
        <v>50917</v>
      </c>
      <c t="s">
        <v>27262</v>
      </c>
      <c t="s">
        <v>44843</v>
      </c>
      <c t="s">
        <v>3093</v>
      </c>
      <c t="s">
        <v>37315</v>
      </c>
    </row>
    <row>
      <c t="s">
        <v>17594</v>
      </c>
      <c t="s">
        <v>21734</v>
      </c>
      <c t="s">
        <v>4965</v>
      </c>
      <c t="s">
        <v>36669</v>
      </c>
      <c t="s">
        <v>42686</v>
      </c>
      <c s="3">
        <v>14982</v>
      </c>
      <c s="3">
        <v>14982</v>
      </c>
      <c s="3">
        <v>14982</v>
      </c>
      <c>
        <v>0</v>
      </c>
      <c s="3">
        <v>0</v>
      </c>
      <c s="3">
        <v>395.7</v>
      </c>
      <c s="3">
        <v>14982</v>
      </c>
      <c r="O3923" s="1" t="str">
        <f ca="1">HYPERLINK("https://web.datatree.com/?/property?propertyId=33503102", "https://web.datatree.com/?/property?propertyId=33503102")</f>
        <v>https://web.datatree.com/?/property?propertyId=33503102</v>
      </c>
      <c r="Q3923" t="s">
        <v>316</v>
      </c>
      <c>
        <v>0.25</v>
      </c>
      <c t="s">
        <v>5471</v>
      </c>
      <c t="s">
        <v>41585</v>
      </c>
      <c t="s">
        <v>43342</v>
      </c>
      <c t="s">
        <v>54895</v>
      </c>
      <c t="s">
        <v>6468</v>
      </c>
      <c t="s">
        <v>23321</v>
      </c>
      <c t="s">
        <v>51919</v>
      </c>
      <c t="s">
        <v>65059</v>
      </c>
      <c t="s">
        <v>39289</v>
      </c>
      <c>
        <v>33905</v>
      </c>
      <c t="s">
        <v>27263</v>
      </c>
      <c t="s">
        <v>48794</v>
      </c>
      <c t="s">
        <v>28076</v>
      </c>
      <c>
        <v>11473</v>
      </c>
      <c r="AI3923" t="s">
        <v>2215</v>
      </c>
      <c t="s">
        <v>31192</v>
      </c>
      <c r="AL3923" t="s">
        <v>32207</v>
      </c>
      <c t="s">
        <v>32207</v>
      </c>
      <c t="s">
        <v>39289</v>
      </c>
      <c t="s">
        <v>28630</v>
      </c>
      <c t="s">
        <v>6081</v>
      </c>
      <c t="s">
        <v>3093</v>
      </c>
      <c t="s">
        <v>65676</v>
      </c>
    </row>
    <row>
      <c t="s">
        <v>17594</v>
      </c>
      <c t="s">
        <v>8533</v>
      </c>
      <c t="s">
        <v>48124</v>
      </c>
      <c t="s">
        <v>58672</v>
      </c>
      <c t="s">
        <v>16494</v>
      </c>
      <c s="3">
        <v>11250</v>
      </c>
      <c s="3">
        <v>11250</v>
      </c>
      <c s="3">
        <v>5203</v>
      </c>
      <c>
        <v>0</v>
      </c>
      <c s="3">
        <v>0</v>
      </c>
      <c s="3">
        <v>104.55</v>
      </c>
      <c s="3">
        <v>11250</v>
      </c>
      <c r="O3924" s="1" t="str">
        <f ca="1">HYPERLINK("https://web.datatree.com/?/property?propertyId=33503557", "https://web.datatree.com/?/property?propertyId=33503557")</f>
        <v>https://web.datatree.com/?/property?propertyId=33503557</v>
      </c>
      <c r="Q3924" t="s">
        <v>316</v>
      </c>
      <c>
        <v>0.148</v>
      </c>
      <c t="s">
        <v>5471</v>
      </c>
      <c t="s">
        <v>21379</v>
      </c>
      <c t="s">
        <v>17449</v>
      </c>
      <c r="X3924" t="s">
        <v>3911</v>
      </c>
      <c t="s">
        <v>4336</v>
      </c>
      <c t="s">
        <v>65059</v>
      </c>
      <c t="s">
        <v>39289</v>
      </c>
      <c>
        <v>33905</v>
      </c>
      <c>
        <v>33905</v>
      </c>
      <c t="s">
        <v>48794</v>
      </c>
      <c t="s">
        <v>42264</v>
      </c>
      <c>
        <v>537</v>
      </c>
      <c r="AI3924" t="s">
        <v>16558</v>
      </c>
      <c t="s">
        <v>31192</v>
      </c>
      <c r="AL3924" t="s">
        <v>15011</v>
      </c>
      <c t="s">
        <v>8412</v>
      </c>
      <c t="s">
        <v>32576</v>
      </c>
      <c t="s">
        <v>58641</v>
      </c>
      <c t="s">
        <v>22613</v>
      </c>
      <c t="s">
        <v>3093</v>
      </c>
      <c t="s">
        <v>50056</v>
      </c>
    </row>
    <row>
      <c t="s">
        <v>17594</v>
      </c>
      <c t="s">
        <v>44911</v>
      </c>
      <c t="s">
        <v>42113</v>
      </c>
      <c t="s">
        <v>60385</v>
      </c>
      <c t="s">
        <v>61369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3925" s="1" t="str">
        <f ca="1">HYPERLINK("https://web.datatree.com/?/property?propertyId=33504336", "https://web.datatree.com/?/property?propertyId=33504336")</f>
        <v>https://web.datatree.com/?/property?propertyId=33504336</v>
      </c>
      <c r="Q3925" t="s">
        <v>316</v>
      </c>
      <c>
        <v>0.23</v>
      </c>
      <c t="s">
        <v>6175</v>
      </c>
      <c t="s">
        <v>33239</v>
      </c>
      <c t="s">
        <v>29802</v>
      </c>
      <c t="s">
        <v>8566</v>
      </c>
      <c t="s">
        <v>29802</v>
      </c>
      <c t="s">
        <v>53944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54159</v>
      </c>
      <c>
        <v>15423</v>
      </c>
      <c r="AI3925" t="s">
        <v>57064</v>
      </c>
      <c t="s">
        <v>45393</v>
      </c>
      <c r="AL3925" t="s">
        <v>55393</v>
      </c>
      <c r="AN3925" t="s">
        <v>39289</v>
      </c>
      <c t="s">
        <v>66985</v>
      </c>
      <c t="s">
        <v>52112</v>
      </c>
      <c t="s">
        <v>3093</v>
      </c>
      <c t="s">
        <v>17769</v>
      </c>
    </row>
    <row>
      <c t="s">
        <v>17594</v>
      </c>
      <c t="s">
        <v>67263</v>
      </c>
      <c t="s">
        <v>5625</v>
      </c>
      <c t="s">
        <v>56673</v>
      </c>
      <c t="s">
        <v>56479</v>
      </c>
      <c s="3">
        <v>8375</v>
      </c>
      <c s="3">
        <v>8375</v>
      </c>
      <c s="3">
        <v>4972</v>
      </c>
      <c>
        <v>0</v>
      </c>
      <c s="3">
        <v>0</v>
      </c>
      <c s="3">
        <v>316.66</v>
      </c>
      <c s="3">
        <v>8375</v>
      </c>
      <c r="O3926" s="1" t="str">
        <f ca="1">HYPERLINK("https://web.datatree.com/?/property?propertyId=33504753", "https://web.datatree.com/?/property?propertyId=33504753")</f>
        <v>https://web.datatree.com/?/property?propertyId=33504753</v>
      </c>
      <c r="Q3926" t="s">
        <v>316</v>
      </c>
      <c>
        <v>0.24</v>
      </c>
      <c t="s">
        <v>5471</v>
      </c>
      <c t="s">
        <v>57727</v>
      </c>
      <c t="s">
        <v>111</v>
      </c>
      <c r="X3926" t="s">
        <v>40401</v>
      </c>
      <c t="s">
        <v>4082</v>
      </c>
      <c t="s">
        <v>65059</v>
      </c>
      <c t="s">
        <v>39289</v>
      </c>
      <c>
        <v>33905</v>
      </c>
      <c t="s">
        <v>2037</v>
      </c>
      <c t="s">
        <v>48794</v>
      </c>
      <c t="s">
        <v>18586</v>
      </c>
      <c>
        <v>21</v>
      </c>
      <c r="AI3926" t="s">
        <v>9250</v>
      </c>
      <c t="s">
        <v>24900</v>
      </c>
      <c r="AL3926" t="s">
        <v>66548</v>
      </c>
      <c t="s">
        <v>46764</v>
      </c>
      <c t="s">
        <v>27747</v>
      </c>
      <c>
        <v>2126</v>
      </c>
      <c r="AQ3926" t="s">
        <v>3093</v>
      </c>
      <c t="s">
        <v>30913</v>
      </c>
    </row>
    <row>
      <c t="s">
        <v>17594</v>
      </c>
      <c t="s">
        <v>57666</v>
      </c>
      <c t="s">
        <v>33061</v>
      </c>
      <c t="s">
        <v>60009</v>
      </c>
      <c t="s">
        <v>11216</v>
      </c>
      <c s="3">
        <v>71464</v>
      </c>
      <c s="3">
        <v>63500</v>
      </c>
      <c s="3">
        <v>69321</v>
      </c>
      <c>
        <v>0</v>
      </c>
      <c s="3">
        <v>0</v>
      </c>
      <c s="3">
        <v>1054.64</v>
      </c>
      <c s="3">
        <v>71464</v>
      </c>
      <c r="O3927" s="1" t="str">
        <f ca="1">HYPERLINK("https://web.datatree.com/?/property?propertyId=33505273", "https://web.datatree.com/?/property?propertyId=33505273")</f>
        <v>https://web.datatree.com/?/property?propertyId=33505273</v>
      </c>
      <c r="Q3927" t="s">
        <v>316</v>
      </c>
      <c>
        <v>0.1</v>
      </c>
      <c t="s">
        <v>26492</v>
      </c>
      <c t="s">
        <v>11835</v>
      </c>
      <c t="s">
        <v>35988</v>
      </c>
      <c t="s">
        <v>1995</v>
      </c>
      <c t="s">
        <v>35988</v>
      </c>
      <c t="s">
        <v>28357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32790</v>
      </c>
      <c>
        <v>1709</v>
      </c>
      <c r="AI3927" t="s">
        <v>8240</v>
      </c>
      <c t="s">
        <v>45393</v>
      </c>
      <c r="AL3927" t="s">
        <v>22267</v>
      </c>
      <c t="s">
        <v>40227</v>
      </c>
      <c t="s">
        <v>10909</v>
      </c>
      <c t="s">
        <v>63820</v>
      </c>
      <c r="AQ3927" t="s">
        <v>27814</v>
      </c>
      <c t="s">
        <v>52926</v>
      </c>
    </row>
    <row>
      <c t="s">
        <v>17594</v>
      </c>
      <c t="s">
        <v>25733</v>
      </c>
      <c t="s">
        <v>51133</v>
      </c>
      <c t="s">
        <v>7970</v>
      </c>
      <c t="s">
        <v>44839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3928" s="1" t="str">
        <f ca="1">HYPERLINK("https://web.datatree.com/?/property?propertyId=33505626", "https://web.datatree.com/?/property?propertyId=33505626")</f>
        <v>https://web.datatree.com/?/property?propertyId=33505626</v>
      </c>
      <c r="Q3928" t="s">
        <v>316</v>
      </c>
      <c>
        <v>0.23</v>
      </c>
      <c t="s">
        <v>42044</v>
      </c>
      <c t="s">
        <v>35437</v>
      </c>
      <c t="s">
        <v>23421</v>
      </c>
      <c t="s">
        <v>7305</v>
      </c>
      <c t="s">
        <v>23421</v>
      </c>
      <c t="s">
        <v>67148</v>
      </c>
      <c t="s">
        <v>39082</v>
      </c>
      <c t="s">
        <v>2517</v>
      </c>
      <c t="s">
        <v>39289</v>
      </c>
      <c>
        <v>33909</v>
      </c>
      <c t="s">
        <v>4264</v>
      </c>
      <c t="s">
        <v>48794</v>
      </c>
      <c t="s">
        <v>41762</v>
      </c>
      <c>
        <v>7755</v>
      </c>
      <c r="AI3928" t="s">
        <v>31955</v>
      </c>
      <c t="s">
        <v>31192</v>
      </c>
      <c t="s">
        <v>65097</v>
      </c>
      <c t="s">
        <v>46989</v>
      </c>
      <c t="s">
        <v>62149</v>
      </c>
      <c t="s">
        <v>39289</v>
      </c>
      <c t="s">
        <v>25560</v>
      </c>
      <c t="s">
        <v>38085</v>
      </c>
      <c t="s">
        <v>3093</v>
      </c>
      <c t="s">
        <v>9811</v>
      </c>
    </row>
    <row>
      <c t="s">
        <v>17594</v>
      </c>
      <c t="s">
        <v>65523</v>
      </c>
      <c t="s">
        <v>38575</v>
      </c>
      <c t="s">
        <v>21985</v>
      </c>
      <c t="s">
        <v>34273</v>
      </c>
      <c s="3">
        <v>12544</v>
      </c>
      <c s="3">
        <v>12544</v>
      </c>
      <c s="3">
        <v>12544</v>
      </c>
      <c>
        <v>0</v>
      </c>
      <c s="3">
        <v>0</v>
      </c>
      <c s="3">
        <v>369.1</v>
      </c>
      <c s="3">
        <v>12544</v>
      </c>
      <c r="O3929" s="1" t="str">
        <f ca="1">HYPERLINK("https://web.datatree.com/?/property?propertyId=33506041", "https://web.datatree.com/?/property?propertyId=33506041")</f>
        <v>https://web.datatree.com/?/property?propertyId=33506041</v>
      </c>
      <c r="Q3929" t="s">
        <v>316</v>
      </c>
      <c>
        <v>0.268</v>
      </c>
      <c t="s">
        <v>5471</v>
      </c>
      <c t="s">
        <v>38760</v>
      </c>
      <c t="s">
        <v>50728</v>
      </c>
      <c t="s">
        <v>36109</v>
      </c>
      <c t="s">
        <v>41714</v>
      </c>
      <c t="s">
        <v>43201</v>
      </c>
      <c t="s">
        <v>18225</v>
      </c>
      <c t="s">
        <v>65059</v>
      </c>
      <c t="s">
        <v>39289</v>
      </c>
      <c>
        <v>33905</v>
      </c>
      <c t="s">
        <v>61148</v>
      </c>
      <c t="s">
        <v>48794</v>
      </c>
      <c t="s">
        <v>684</v>
      </c>
      <c>
        <v>179</v>
      </c>
      <c r="AI3929" t="s">
        <v>30230</v>
      </c>
      <c t="s">
        <v>24900</v>
      </c>
      <c>
        <v>1</v>
      </c>
      <c t="s">
        <v>14113</v>
      </c>
      <c t="s">
        <v>14113</v>
      </c>
      <c t="s">
        <v>26016</v>
      </c>
      <c t="s">
        <v>60722</v>
      </c>
      <c t="s">
        <v>25140</v>
      </c>
      <c t="s">
        <v>3093</v>
      </c>
      <c t="s">
        <v>60441</v>
      </c>
    </row>
    <row>
      <c t="s">
        <v>17594</v>
      </c>
      <c t="s">
        <v>42827</v>
      </c>
      <c t="s">
        <v>2202</v>
      </c>
      <c t="s">
        <v>13360</v>
      </c>
      <c t="s">
        <v>38159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930" s="1" t="str">
        <f ca="1">HYPERLINK("https://web.datatree.com/?/property?propertyId=33506573", "https://web.datatree.com/?/property?propertyId=33506573")</f>
        <v>https://web.datatree.com/?/property?propertyId=33506573</v>
      </c>
      <c r="Q3930" t="s">
        <v>316</v>
      </c>
      <c>
        <v>0.23</v>
      </c>
      <c t="s">
        <v>22490</v>
      </c>
      <c t="s">
        <v>50331</v>
      </c>
      <c t="s">
        <v>3792</v>
      </c>
      <c t="s">
        <v>66104</v>
      </c>
      <c t="s">
        <v>3792</v>
      </c>
      <c t="s">
        <v>61962</v>
      </c>
      <c t="s">
        <v>22731</v>
      </c>
      <c t="s">
        <v>2517</v>
      </c>
      <c t="s">
        <v>39289</v>
      </c>
      <c>
        <v>33909</v>
      </c>
      <c t="s">
        <v>34024</v>
      </c>
      <c t="s">
        <v>48794</v>
      </c>
      <c t="s">
        <v>54016</v>
      </c>
      <c>
        <v>11</v>
      </c>
      <c r="AI3930" t="s">
        <v>42449</v>
      </c>
      <c t="s">
        <v>24900</v>
      </c>
      <c r="AL3930" t="s">
        <v>8043</v>
      </c>
      <c r="AN3930" t="s">
        <v>26016</v>
      </c>
      <c t="s">
        <v>17847</v>
      </c>
      <c t="s">
        <v>32746</v>
      </c>
      <c t="s">
        <v>3093</v>
      </c>
      <c t="s">
        <v>19571</v>
      </c>
    </row>
    <row>
      <c t="s">
        <v>17594</v>
      </c>
      <c t="s">
        <v>38962</v>
      </c>
      <c t="s">
        <v>53206</v>
      </c>
      <c t="s">
        <v>53035</v>
      </c>
      <c t="s">
        <v>9237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931" s="1" t="str">
        <f ca="1">HYPERLINK("https://web.datatree.com/?/property?propertyId=33506606", "https://web.datatree.com/?/property?propertyId=33506606")</f>
        <v>https://web.datatree.com/?/property?propertyId=33506606</v>
      </c>
      <c r="Q3931" t="s">
        <v>316</v>
      </c>
      <c>
        <v>0.23</v>
      </c>
      <c t="s">
        <v>6175</v>
      </c>
      <c t="s">
        <v>48903</v>
      </c>
      <c t="s">
        <v>63875</v>
      </c>
      <c t="s">
        <v>41226</v>
      </c>
      <c t="s">
        <v>25445</v>
      </c>
      <c t="s">
        <v>67051</v>
      </c>
      <c t="s">
        <v>15510</v>
      </c>
      <c t="s">
        <v>2517</v>
      </c>
      <c t="s">
        <v>39289</v>
      </c>
      <c>
        <v>33909</v>
      </c>
      <c t="s">
        <v>1853</v>
      </c>
      <c t="s">
        <v>48794</v>
      </c>
      <c t="s">
        <v>2277</v>
      </c>
      <c>
        <v>304</v>
      </c>
      <c r="AI3931" t="s">
        <v>55572</v>
      </c>
      <c t="s">
        <v>40123</v>
      </c>
      <c r="AL3931" t="s">
        <v>9025</v>
      </c>
      <c t="s">
        <v>9025</v>
      </c>
      <c t="s">
        <v>50917</v>
      </c>
      <c t="s">
        <v>3647</v>
      </c>
      <c t="s">
        <v>17380</v>
      </c>
      <c t="s">
        <v>3093</v>
      </c>
      <c t="s">
        <v>21453</v>
      </c>
    </row>
    <row>
      <c t="s">
        <v>42103</v>
      </c>
      <c t="s">
        <v>50760</v>
      </c>
      <c t="s">
        <v>12035</v>
      </c>
      <c t="s">
        <v>57757</v>
      </c>
      <c t="s">
        <v>41684</v>
      </c>
      <c s="3">
        <v>290394</v>
      </c>
      <c s="3">
        <v>245382</v>
      </c>
      <c s="3">
        <v>290394</v>
      </c>
      <c>
        <v>0</v>
      </c>
      <c s="3">
        <v>0</v>
      </c>
      <c s="3">
        <v>4127.74</v>
      </c>
      <c s="3">
        <v>290394</v>
      </c>
      <c r="O3932" s="1" t="str">
        <f ca="1">HYPERLINK("https://web.datatree.com/?/property?propertyId=33507093", "https://web.datatree.com/?/property?propertyId=33507093")</f>
        <v>https://web.datatree.com/?/property?propertyId=33507093</v>
      </c>
      <c r="Q3932" t="s">
        <v>316</v>
      </c>
      <c>
        <v>0.241</v>
      </c>
      <c t="s">
        <v>22490</v>
      </c>
      <c t="s">
        <v>45058</v>
      </c>
      <c t="s">
        <v>52070</v>
      </c>
      <c t="s">
        <v>63047</v>
      </c>
      <c r="X3932" t="s">
        <v>24965</v>
      </c>
      <c t="s">
        <v>30928</v>
      </c>
      <c t="s">
        <v>2517</v>
      </c>
      <c t="s">
        <v>39289</v>
      </c>
      <c>
        <v>33904</v>
      </c>
      <c t="s">
        <v>4659</v>
      </c>
      <c t="s">
        <v>48794</v>
      </c>
      <c t="s">
        <v>19172</v>
      </c>
      <c r="AI3932" t="s">
        <v>19549</v>
      </c>
      <c r="AL3932" t="s">
        <v>41868</v>
      </c>
      <c t="s">
        <v>41868</v>
      </c>
      <c t="s">
        <v>50917</v>
      </c>
      <c>
        <v>12170</v>
      </c>
      <c t="s">
        <v>31451</v>
      </c>
      <c t="s">
        <v>3093</v>
      </c>
      <c t="s">
        <v>52573</v>
      </c>
    </row>
    <row>
      <c t="s">
        <v>17594</v>
      </c>
      <c t="s">
        <v>46713</v>
      </c>
      <c t="s">
        <v>45986</v>
      </c>
      <c t="s">
        <v>40879</v>
      </c>
      <c t="s">
        <v>20148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3933" s="1" t="str">
        <f ca="1">HYPERLINK("https://web.datatree.com/?/property?propertyId=33507710", "https://web.datatree.com/?/property?propertyId=33507710")</f>
        <v>https://web.datatree.com/?/property?propertyId=33507710</v>
      </c>
      <c r="Q3933" t="s">
        <v>316</v>
      </c>
      <c>
        <v>0.23</v>
      </c>
      <c t="s">
        <v>6175</v>
      </c>
      <c t="s">
        <v>24179</v>
      </c>
      <c t="s">
        <v>28460</v>
      </c>
      <c r="X3933" t="s">
        <v>35360</v>
      </c>
      <c t="s">
        <v>53663</v>
      </c>
      <c t="s">
        <v>2517</v>
      </c>
      <c t="s">
        <v>39289</v>
      </c>
      <c>
        <v>33909</v>
      </c>
      <c t="s">
        <v>44272</v>
      </c>
      <c t="s">
        <v>48794</v>
      </c>
      <c t="s">
        <v>29543</v>
      </c>
      <c>
        <v>6630</v>
      </c>
      <c r="AI3933" t="s">
        <v>41342</v>
      </c>
      <c t="s">
        <v>45393</v>
      </c>
      <c r="AL3933" t="s">
        <v>23828</v>
      </c>
      <c r="AN3933" t="s">
        <v>39289</v>
      </c>
      <c t="s">
        <v>12557</v>
      </c>
      <c t="s">
        <v>39566</v>
      </c>
      <c t="s">
        <v>3093</v>
      </c>
      <c t="s">
        <v>18445</v>
      </c>
    </row>
    <row>
      <c t="s">
        <v>17594</v>
      </c>
      <c t="s">
        <v>43252</v>
      </c>
      <c t="s">
        <v>34445</v>
      </c>
      <c t="s">
        <v>12949</v>
      </c>
      <c t="s">
        <v>37233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3934" s="1" t="str">
        <f ca="1">HYPERLINK("https://web.datatree.com/?/property?propertyId=33508144", "https://web.datatree.com/?/property?propertyId=33508144")</f>
        <v>https://web.datatree.com/?/property?propertyId=33508144</v>
      </c>
      <c r="Q3934" t="s">
        <v>316</v>
      </c>
      <c>
        <v>0.23</v>
      </c>
      <c t="s">
        <v>6175</v>
      </c>
      <c t="s">
        <v>55358</v>
      </c>
      <c t="s">
        <v>16590</v>
      </c>
      <c t="s">
        <v>52441</v>
      </c>
      <c t="s">
        <v>16590</v>
      </c>
      <c t="s">
        <v>35860</v>
      </c>
      <c t="s">
        <v>18679</v>
      </c>
      <c t="s">
        <v>2517</v>
      </c>
      <c t="s">
        <v>39289</v>
      </c>
      <c>
        <v>33909</v>
      </c>
      <c t="s">
        <v>20420</v>
      </c>
      <c t="s">
        <v>48794</v>
      </c>
      <c t="s">
        <v>53455</v>
      </c>
      <c>
        <v>302</v>
      </c>
      <c r="AI3934" t="s">
        <v>54778</v>
      </c>
      <c t="s">
        <v>31192</v>
      </c>
      <c r="AL3934" t="s">
        <v>56530</v>
      </c>
      <c r="AN3934" t="s">
        <v>10909</v>
      </c>
      <c t="s">
        <v>28226</v>
      </c>
      <c r="AQ3934" t="s">
        <v>27814</v>
      </c>
      <c t="s">
        <v>3446</v>
      </c>
    </row>
    <row>
      <c t="s">
        <v>17594</v>
      </c>
      <c t="s">
        <v>54962</v>
      </c>
      <c t="s">
        <v>33334</v>
      </c>
      <c t="s">
        <v>9835</v>
      </c>
      <c t="s">
        <v>56550</v>
      </c>
      <c s="3">
        <v>26250</v>
      </c>
      <c s="3">
        <v>26250</v>
      </c>
      <c s="3">
        <v>9433</v>
      </c>
      <c>
        <v>0</v>
      </c>
      <c s="3">
        <v>0</v>
      </c>
      <c s="3">
        <v>411.77</v>
      </c>
      <c s="3">
        <v>26250</v>
      </c>
      <c r="O3935" s="1" t="str">
        <f ca="1">HYPERLINK("https://web.datatree.com/?/property?propertyId=33508524", "https://web.datatree.com/?/property?propertyId=33508524")</f>
        <v>https://web.datatree.com/?/property?propertyId=33508524</v>
      </c>
      <c r="Q3935" t="s">
        <v>316</v>
      </c>
      <c>
        <v>0.223</v>
      </c>
      <c t="s">
        <v>5471</v>
      </c>
      <c t="s">
        <v>54436</v>
      </c>
      <c t="s">
        <v>65509</v>
      </c>
      <c t="s">
        <v>30591</v>
      </c>
      <c t="s">
        <v>65509</v>
      </c>
      <c t="s">
        <v>32903</v>
      </c>
      <c t="s">
        <v>44457</v>
      </c>
      <c t="s">
        <v>65059</v>
      </c>
      <c t="s">
        <v>39289</v>
      </c>
      <c>
        <v>33905</v>
      </c>
      <c>
        <v>33905</v>
      </c>
      <c t="s">
        <v>48794</v>
      </c>
      <c t="s">
        <v>55641</v>
      </c>
      <c>
        <v>20</v>
      </c>
      <c r="AI3935" t="s">
        <v>48388</v>
      </c>
      <c t="s">
        <v>45620</v>
      </c>
      <c r="AL3935" t="s">
        <v>43162</v>
      </c>
      <c t="s">
        <v>40227</v>
      </c>
      <c t="s">
        <v>50917</v>
      </c>
      <c t="s">
        <v>9419</v>
      </c>
      <c t="s">
        <v>27780</v>
      </c>
      <c t="s">
        <v>3093</v>
      </c>
      <c t="s">
        <v>65797</v>
      </c>
    </row>
    <row>
      <c t="s">
        <v>17594</v>
      </c>
      <c t="s">
        <v>21381</v>
      </c>
      <c t="s">
        <v>39858</v>
      </c>
      <c t="s">
        <v>24667</v>
      </c>
      <c t="s">
        <v>52840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3936" s="1" t="str">
        <f ca="1">HYPERLINK("https://web.datatree.com/?/property?propertyId=33508684", "https://web.datatree.com/?/property?propertyId=33508684")</f>
        <v>https://web.datatree.com/?/property?propertyId=33508684</v>
      </c>
      <c r="Q3936" t="s">
        <v>316</v>
      </c>
      <c>
        <v>0.244</v>
      </c>
      <c t="s">
        <v>6175</v>
      </c>
      <c t="s">
        <v>53813</v>
      </c>
      <c t="s">
        <v>56975</v>
      </c>
      <c t="s">
        <v>3118</v>
      </c>
      <c t="s">
        <v>56975</v>
      </c>
      <c t="s">
        <v>58752</v>
      </c>
      <c t="s">
        <v>34731</v>
      </c>
      <c t="s">
        <v>2517</v>
      </c>
      <c t="s">
        <v>39289</v>
      </c>
      <c>
        <v>33909</v>
      </c>
      <c t="s">
        <v>2274</v>
      </c>
      <c t="s">
        <v>48794</v>
      </c>
      <c t="s">
        <v>23230</v>
      </c>
      <c>
        <v>10</v>
      </c>
      <c r="AI3936" t="s">
        <v>33178</v>
      </c>
      <c t="s">
        <v>45393</v>
      </c>
      <c r="AL3936" t="s">
        <v>43988</v>
      </c>
      <c t="s">
        <v>43988</v>
      </c>
      <c t="s">
        <v>50917</v>
      </c>
      <c t="s">
        <v>35012</v>
      </c>
      <c t="s">
        <v>12241</v>
      </c>
      <c t="s">
        <v>3093</v>
      </c>
      <c t="s">
        <v>27042</v>
      </c>
    </row>
    <row>
      <c t="s">
        <v>17594</v>
      </c>
      <c t="s">
        <v>62103</v>
      </c>
      <c t="s">
        <v>37199</v>
      </c>
      <c t="s">
        <v>32427</v>
      </c>
      <c t="s">
        <v>34341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3937" s="1" t="str">
        <f ca="1">HYPERLINK("https://web.datatree.com/?/property?propertyId=33509156", "https://web.datatree.com/?/property?propertyId=33509156")</f>
        <v>https://web.datatree.com/?/property?propertyId=33509156</v>
      </c>
      <c r="Q3937" t="s">
        <v>316</v>
      </c>
      <c>
        <v>0.23</v>
      </c>
      <c t="s">
        <v>22490</v>
      </c>
      <c t="s">
        <v>50666</v>
      </c>
      <c t="s">
        <v>45794</v>
      </c>
      <c r="X3937" t="s">
        <v>16287</v>
      </c>
      <c t="s">
        <v>38550</v>
      </c>
      <c t="s">
        <v>2517</v>
      </c>
      <c t="s">
        <v>39289</v>
      </c>
      <c>
        <v>33909</v>
      </c>
      <c t="s">
        <v>34595</v>
      </c>
      <c t="s">
        <v>48794</v>
      </c>
      <c t="s">
        <v>44212</v>
      </c>
      <c>
        <v>23</v>
      </c>
      <c r="AI3937" t="s">
        <v>7543</v>
      </c>
      <c t="s">
        <v>31192</v>
      </c>
      <c r="AL3937" t="s">
        <v>25691</v>
      </c>
      <c r="AN3937" t="s">
        <v>22275</v>
      </c>
      <c t="s">
        <v>43174</v>
      </c>
      <c t="s">
        <v>56028</v>
      </c>
      <c t="s">
        <v>3093</v>
      </c>
      <c t="s">
        <v>12834</v>
      </c>
    </row>
    <row>
      <c t="s">
        <v>17594</v>
      </c>
      <c t="s">
        <v>15622</v>
      </c>
      <c t="s">
        <v>44460</v>
      </c>
      <c t="s">
        <v>61608</v>
      </c>
      <c t="s">
        <v>55018</v>
      </c>
      <c s="3">
        <v>223110</v>
      </c>
      <c s="3">
        <v>223110</v>
      </c>
      <c s="3">
        <v>221100</v>
      </c>
      <c>
        <v>0</v>
      </c>
      <c s="3">
        <v>0</v>
      </c>
      <c s="3">
        <v>3045.04</v>
      </c>
      <c s="3">
        <v>223110</v>
      </c>
      <c r="O3938" s="1" t="str">
        <f ca="1">HYPERLINK("https://web.datatree.com/?/property?propertyId=33509295", "https://web.datatree.com/?/property?propertyId=33509295")</f>
        <v>https://web.datatree.com/?/property?propertyId=33509295</v>
      </c>
      <c r="Q3938" t="s">
        <v>316</v>
      </c>
      <c>
        <v>0.271</v>
      </c>
      <c t="s">
        <v>19439</v>
      </c>
      <c t="s">
        <v>54943</v>
      </c>
      <c t="s">
        <v>42389</v>
      </c>
      <c t="s">
        <v>35664</v>
      </c>
      <c t="s">
        <v>64669</v>
      </c>
      <c t="s">
        <v>44741</v>
      </c>
      <c t="s">
        <v>39368</v>
      </c>
      <c t="s">
        <v>65059</v>
      </c>
      <c t="s">
        <v>39289</v>
      </c>
      <c>
        <v>33908</v>
      </c>
      <c t="s">
        <v>48817</v>
      </c>
      <c t="s">
        <v>48794</v>
      </c>
      <c t="s">
        <v>6037</v>
      </c>
      <c>
        <v>52</v>
      </c>
      <c r="AI3938" t="s">
        <v>44742</v>
      </c>
      <c t="s">
        <v>45393</v>
      </c>
      <c r="AL3938" t="s">
        <v>32847</v>
      </c>
      <c t="s">
        <v>32847</v>
      </c>
      <c t="s">
        <v>27747</v>
      </c>
      <c t="s">
        <v>57381</v>
      </c>
      <c t="s">
        <v>34162</v>
      </c>
      <c t="s">
        <v>3093</v>
      </c>
      <c t="s">
        <v>14242</v>
      </c>
    </row>
    <row>
      <c t="s">
        <v>17594</v>
      </c>
      <c t="s">
        <v>14014</v>
      </c>
      <c t="s">
        <v>44408</v>
      </c>
      <c t="s">
        <v>21506</v>
      </c>
      <c t="s">
        <v>61948</v>
      </c>
      <c s="3">
        <v>23342</v>
      </c>
      <c s="3">
        <v>23342</v>
      </c>
      <c s="3">
        <v>23342</v>
      </c>
      <c>
        <v>0</v>
      </c>
      <c s="3">
        <v>0</v>
      </c>
      <c s="3">
        <v>372.81</v>
      </c>
      <c s="3">
        <v>23342</v>
      </c>
      <c>
        <v>2021</v>
      </c>
      <c>
        <v>238.92</v>
      </c>
      <c s="1" t="str">
        <f ca="1">HYPERLINK("https://web.datatree.com/?/property?propertyId=33509394", "https://web.datatree.com/?/property?propertyId=33509394")</f>
        <v>https://web.datatree.com/?/property?propertyId=33509394</v>
      </c>
      <c r="Q3939" t="s">
        <v>316</v>
      </c>
      <c>
        <v>0.461</v>
      </c>
      <c t="s">
        <v>5471</v>
      </c>
      <c t="s">
        <v>23489</v>
      </c>
      <c t="s">
        <v>45644</v>
      </c>
      <c t="s">
        <v>37445</v>
      </c>
      <c t="s">
        <v>6288</v>
      </c>
      <c t="s">
        <v>31980</v>
      </c>
      <c t="s">
        <v>62065</v>
      </c>
      <c t="s">
        <v>54524</v>
      </c>
      <c t="s">
        <v>39289</v>
      </c>
      <c>
        <v>33903</v>
      </c>
      <c t="s">
        <v>19534</v>
      </c>
      <c t="s">
        <v>48794</v>
      </c>
      <c t="s">
        <v>50822</v>
      </c>
      <c>
        <v>3715</v>
      </c>
      <c r="AH3939" t="s">
        <v>57851</v>
      </c>
      <c t="s">
        <v>2619</v>
      </c>
      <c t="s">
        <v>45393</v>
      </c>
      <c>
        <v>317</v>
      </c>
      <c t="s">
        <v>3402</v>
      </c>
      <c t="s">
        <v>1286</v>
      </c>
      <c t="s">
        <v>39289</v>
      </c>
      <c t="s">
        <v>26362</v>
      </c>
      <c t="s">
        <v>61410</v>
      </c>
      <c t="s">
        <v>3093</v>
      </c>
      <c t="s">
        <v>53686</v>
      </c>
    </row>
    <row>
      <c t="s">
        <v>17594</v>
      </c>
      <c t="s">
        <v>19961</v>
      </c>
      <c t="s">
        <v>19604</v>
      </c>
      <c t="s">
        <v>50293</v>
      </c>
      <c t="s">
        <v>41545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3940" s="1" t="str">
        <f ca="1">HYPERLINK("https://web.datatree.com/?/property?propertyId=33509691", "https://web.datatree.com/?/property?propertyId=33509691")</f>
        <v>https://web.datatree.com/?/property?propertyId=33509691</v>
      </c>
      <c r="Q3940" t="s">
        <v>316</v>
      </c>
      <c>
        <v>0.242</v>
      </c>
      <c t="s">
        <v>6175</v>
      </c>
      <c t="s">
        <v>2140</v>
      </c>
      <c t="s">
        <v>19175</v>
      </c>
      <c t="s">
        <v>13491</v>
      </c>
      <c t="s">
        <v>19175</v>
      </c>
      <c t="s">
        <v>32367</v>
      </c>
      <c t="s">
        <v>46469</v>
      </c>
      <c t="s">
        <v>2517</v>
      </c>
      <c t="s">
        <v>39289</v>
      </c>
      <c>
        <v>33909</v>
      </c>
      <c t="s">
        <v>44706</v>
      </c>
      <c t="s">
        <v>48794</v>
      </c>
      <c t="s">
        <v>47379</v>
      </c>
      <c>
        <v>3230</v>
      </c>
      <c r="AI3940" t="s">
        <v>32152</v>
      </c>
      <c t="s">
        <v>31192</v>
      </c>
      <c r="AL3940" t="s">
        <v>11713</v>
      </c>
      <c r="AN3940" t="s">
        <v>39289</v>
      </c>
      <c t="s">
        <v>8430</v>
      </c>
      <c t="s">
        <v>10847</v>
      </c>
      <c t="s">
        <v>3093</v>
      </c>
      <c t="s">
        <v>63193</v>
      </c>
    </row>
    <row>
      <c t="s">
        <v>17594</v>
      </c>
      <c t="s">
        <v>45215</v>
      </c>
      <c t="s">
        <v>63317</v>
      </c>
      <c t="s">
        <v>42315</v>
      </c>
      <c t="s">
        <v>32677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3941" s="1" t="str">
        <f ca="1">HYPERLINK("https://web.datatree.com/?/property?propertyId=33509803", "https://web.datatree.com/?/property?propertyId=33509803")</f>
        <v>https://web.datatree.com/?/property?propertyId=33509803</v>
      </c>
      <c r="Q3941" t="s">
        <v>316</v>
      </c>
      <c>
        <v>0.237</v>
      </c>
      <c t="s">
        <v>22490</v>
      </c>
      <c t="s">
        <v>19357</v>
      </c>
      <c t="s">
        <v>2653</v>
      </c>
      <c t="s">
        <v>51891</v>
      </c>
      <c t="s">
        <v>2653</v>
      </c>
      <c t="s">
        <v>27430</v>
      </c>
      <c t="s">
        <v>34136</v>
      </c>
      <c t="s">
        <v>2517</v>
      </c>
      <c t="s">
        <v>39289</v>
      </c>
      <c>
        <v>33909</v>
      </c>
      <c>
        <v>33909</v>
      </c>
      <c t="s">
        <v>48794</v>
      </c>
      <c t="s">
        <v>22521</v>
      </c>
      <c>
        <v>12</v>
      </c>
      <c r="AI3941" t="s">
        <v>60047</v>
      </c>
      <c t="s">
        <v>39321</v>
      </c>
      <c r="AL3941" t="s">
        <v>18309</v>
      </c>
      <c t="s">
        <v>9195</v>
      </c>
      <c t="s">
        <v>26016</v>
      </c>
      <c t="s">
        <v>59003</v>
      </c>
      <c t="s">
        <v>40645</v>
      </c>
      <c t="s">
        <v>3093</v>
      </c>
      <c t="s">
        <v>35689</v>
      </c>
    </row>
    <row>
      <c t="s">
        <v>17594</v>
      </c>
      <c t="s">
        <v>48279</v>
      </c>
      <c t="s">
        <v>24560</v>
      </c>
      <c t="s">
        <v>51216</v>
      </c>
      <c t="s">
        <v>47248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3942" s="1" t="str">
        <f ca="1">HYPERLINK("https://web.datatree.com/?/property?propertyId=33510372", "https://web.datatree.com/?/property?propertyId=33510372")</f>
        <v>https://web.datatree.com/?/property?propertyId=33510372</v>
      </c>
      <c r="Q3942" t="s">
        <v>316</v>
      </c>
      <c>
        <v>0.23</v>
      </c>
      <c t="s">
        <v>6175</v>
      </c>
      <c t="s">
        <v>26553</v>
      </c>
      <c t="s">
        <v>33625</v>
      </c>
      <c r="X3942" t="s">
        <v>28125</v>
      </c>
      <c t="s">
        <v>30928</v>
      </c>
      <c t="s">
        <v>2517</v>
      </c>
      <c t="s">
        <v>39289</v>
      </c>
      <c>
        <v>33909</v>
      </c>
      <c t="s">
        <v>9304</v>
      </c>
      <c t="s">
        <v>48794</v>
      </c>
      <c t="s">
        <v>18038</v>
      </c>
      <c>
        <v>17</v>
      </c>
      <c r="AI3942" t="s">
        <v>51647</v>
      </c>
      <c t="s">
        <v>40123</v>
      </c>
      <c r="AL3942" t="s">
        <v>17559</v>
      </c>
      <c t="s">
        <v>17559</v>
      </c>
      <c t="s">
        <v>50917</v>
      </c>
      <c>
        <v>11754</v>
      </c>
      <c r="AQ3942" t="s">
        <v>3093</v>
      </c>
      <c t="s">
        <v>66032</v>
      </c>
    </row>
    <row>
      <c t="s">
        <v>17594</v>
      </c>
      <c t="s">
        <v>25006</v>
      </c>
      <c t="s">
        <v>27497</v>
      </c>
      <c t="s">
        <v>13232</v>
      </c>
      <c t="s">
        <v>24988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>
        <v>2021</v>
      </c>
      <c>
        <v>575.6</v>
      </c>
      <c s="1" t="str">
        <f ca="1">HYPERLINK("https://web.datatree.com/?/property?propertyId=33510433", "https://web.datatree.com/?/property?propertyId=33510433")</f>
        <v>https://web.datatree.com/?/property?propertyId=33510433</v>
      </c>
      <c r="Q3943" t="s">
        <v>316</v>
      </c>
      <c>
        <v>0.23</v>
      </c>
      <c t="s">
        <v>6175</v>
      </c>
      <c t="s">
        <v>28941</v>
      </c>
      <c t="s">
        <v>7428</v>
      </c>
      <c r="X3943" t="s">
        <v>42225</v>
      </c>
      <c t="s">
        <v>53675</v>
      </c>
      <c t="s">
        <v>2517</v>
      </c>
      <c t="s">
        <v>39289</v>
      </c>
      <c>
        <v>33909</v>
      </c>
      <c t="s">
        <v>31803</v>
      </c>
      <c t="s">
        <v>48794</v>
      </c>
      <c t="s">
        <v>78</v>
      </c>
      <c>
        <v>9713</v>
      </c>
      <c r="AI3943" t="s">
        <v>57064</v>
      </c>
      <c t="s">
        <v>24900</v>
      </c>
      <c r="AL3943" t="s">
        <v>63688</v>
      </c>
      <c r="AN3943" t="s">
        <v>50917</v>
      </c>
      <c t="s">
        <v>1986</v>
      </c>
      <c t="s">
        <v>48506</v>
      </c>
      <c t="s">
        <v>3093</v>
      </c>
      <c t="s">
        <v>53333</v>
      </c>
    </row>
    <row>
      <c t="s">
        <v>17594</v>
      </c>
      <c t="s">
        <v>59828</v>
      </c>
      <c t="s">
        <v>1321</v>
      </c>
      <c t="s">
        <v>39391</v>
      </c>
      <c t="s">
        <v>14388</v>
      </c>
      <c s="3">
        <v>17276</v>
      </c>
      <c s="3">
        <v>17276</v>
      </c>
      <c s="3">
        <v>8470</v>
      </c>
      <c>
        <v>0</v>
      </c>
      <c s="3">
        <v>0</v>
      </c>
      <c s="3">
        <v>576.29</v>
      </c>
      <c s="3">
        <v>17276</v>
      </c>
      <c r="O3944" s="1" t="str">
        <f ca="1">HYPERLINK("https://web.datatree.com/?/property?propertyId=33511154", "https://web.datatree.com/?/property?propertyId=33511154")</f>
        <v>https://web.datatree.com/?/property?propertyId=33511154</v>
      </c>
      <c r="Q3944" t="s">
        <v>316</v>
      </c>
      <c>
        <v>0.241</v>
      </c>
      <c t="s">
        <v>6175</v>
      </c>
      <c t="s">
        <v>64400</v>
      </c>
      <c t="s">
        <v>27761</v>
      </c>
      <c r="W3944" t="s">
        <v>855</v>
      </c>
      <c t="s">
        <v>17034</v>
      </c>
      <c t="s">
        <v>46469</v>
      </c>
      <c t="s">
        <v>2517</v>
      </c>
      <c t="s">
        <v>39289</v>
      </c>
      <c>
        <v>33909</v>
      </c>
      <c t="s">
        <v>28508</v>
      </c>
      <c t="s">
        <v>48794</v>
      </c>
      <c t="s">
        <v>38374</v>
      </c>
      <c>
        <v>6900</v>
      </c>
      <c r="AI3944" t="s">
        <v>42233</v>
      </c>
      <c t="s">
        <v>31192</v>
      </c>
      <c>
        <v>603</v>
      </c>
      <c t="s">
        <v>38297</v>
      </c>
      <c r="AN3944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5309</v>
      </c>
      <c t="s">
        <v>63032</v>
      </c>
      <c t="s">
        <v>41510</v>
      </c>
      <c t="s">
        <v>16678</v>
      </c>
      <c s="3">
        <v>105997</v>
      </c>
      <c s="3">
        <v>93500</v>
      </c>
      <c s="3">
        <v>105997</v>
      </c>
      <c>
        <v>0</v>
      </c>
      <c s="3">
        <v>0</v>
      </c>
      <c s="3">
        <v>1591.86</v>
      </c>
      <c s="3">
        <v>105997</v>
      </c>
      <c r="O3945" s="1" t="str">
        <f ca="1">HYPERLINK("https://web.datatree.com/?/property?propertyId=33511220", "https://web.datatree.com/?/property?propertyId=33511220")</f>
        <v>https://web.datatree.com/?/property?propertyId=33511220</v>
      </c>
      <c r="Q3945" t="s">
        <v>316</v>
      </c>
      <c>
        <v>0.1</v>
      </c>
      <c t="s">
        <v>26492</v>
      </c>
      <c t="s">
        <v>17058</v>
      </c>
      <c t="s">
        <v>48034</v>
      </c>
      <c t="s">
        <v>33720</v>
      </c>
      <c t="s">
        <v>48034</v>
      </c>
      <c t="s">
        <v>6132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40359</v>
      </c>
      <c>
        <v>76</v>
      </c>
      <c r="AI3945" t="s">
        <v>57365</v>
      </c>
      <c t="s">
        <v>31192</v>
      </c>
      <c r="AL3945" t="s">
        <v>41737</v>
      </c>
      <c t="s">
        <v>40227</v>
      </c>
      <c t="s">
        <v>56381</v>
      </c>
      <c t="s">
        <v>62650</v>
      </c>
      <c r="AQ3945" t="s">
        <v>27814</v>
      </c>
      <c t="s">
        <v>48278</v>
      </c>
    </row>
    <row>
      <c t="s">
        <v>17594</v>
      </c>
      <c t="s">
        <v>50725</v>
      </c>
      <c t="s">
        <v>13093</v>
      </c>
      <c t="s">
        <v>63755</v>
      </c>
      <c t="s">
        <v>56483</v>
      </c>
      <c s="3">
        <v>12544</v>
      </c>
      <c s="3">
        <v>12544</v>
      </c>
      <c s="3">
        <v>12544</v>
      </c>
      <c>
        <v>0</v>
      </c>
      <c s="3">
        <v>0</v>
      </c>
      <c s="3">
        <v>371.7</v>
      </c>
      <c s="3">
        <v>12544</v>
      </c>
      <c r="O3946" s="1" t="str">
        <f ca="1">HYPERLINK("https://web.datatree.com/?/property?propertyId=33511362", "https://web.datatree.com/?/property?propertyId=33511362")</f>
        <v>https://web.datatree.com/?/property?propertyId=33511362</v>
      </c>
      <c r="Q3946" t="s">
        <v>316</v>
      </c>
      <c>
        <v>0.288</v>
      </c>
      <c t="s">
        <v>5471</v>
      </c>
      <c t="s">
        <v>36246</v>
      </c>
      <c t="s">
        <v>30595</v>
      </c>
      <c t="s">
        <v>47656</v>
      </c>
      <c t="s">
        <v>16578</v>
      </c>
      <c t="s">
        <v>53653</v>
      </c>
      <c t="s">
        <v>64631</v>
      </c>
      <c t="s">
        <v>65059</v>
      </c>
      <c t="s">
        <v>39289</v>
      </c>
      <c>
        <v>33905</v>
      </c>
      <c t="s">
        <v>58732</v>
      </c>
      <c t="s">
        <v>48794</v>
      </c>
      <c t="s">
        <v>17325</v>
      </c>
      <c>
        <v>4833</v>
      </c>
      <c r="AI3946" t="s">
        <v>19191</v>
      </c>
      <c t="s">
        <v>31192</v>
      </c>
      <c r="AL3946" t="s">
        <v>22820</v>
      </c>
      <c r="AN3946" t="s">
        <v>39289</v>
      </c>
      <c t="s">
        <v>57689</v>
      </c>
      <c t="s">
        <v>60160</v>
      </c>
      <c t="s">
        <v>3093</v>
      </c>
      <c t="s">
        <v>17439</v>
      </c>
    </row>
    <row>
      <c t="s">
        <v>17594</v>
      </c>
      <c t="s">
        <v>45793</v>
      </c>
      <c t="s">
        <v>66573</v>
      </c>
      <c t="s">
        <v>6744</v>
      </c>
      <c t="s">
        <v>21940</v>
      </c>
      <c s="3">
        <v>25080</v>
      </c>
      <c s="3">
        <v>25080</v>
      </c>
      <c s="3">
        <v>25080</v>
      </c>
      <c>
        <v>0</v>
      </c>
      <c s="3">
        <v>0</v>
      </c>
      <c s="3">
        <v>882.56</v>
      </c>
      <c s="3">
        <v>25080</v>
      </c>
      <c r="O3947" s="1" t="str">
        <f ca="1">HYPERLINK("https://web.datatree.com/?/property?propertyId=33511764", "https://web.datatree.com/?/property?propertyId=33511764")</f>
        <v>https://web.datatree.com/?/property?propertyId=33511764</v>
      </c>
      <c r="Q3947" t="s">
        <v>316</v>
      </c>
      <c>
        <v>0.359</v>
      </c>
      <c t="s">
        <v>22490</v>
      </c>
      <c t="s">
        <v>54288</v>
      </c>
      <c t="s">
        <v>24508</v>
      </c>
      <c t="s">
        <v>25551</v>
      </c>
      <c t="s">
        <v>62538</v>
      </c>
      <c t="s">
        <v>61869</v>
      </c>
      <c t="s">
        <v>371</v>
      </c>
      <c t="s">
        <v>2517</v>
      </c>
      <c t="s">
        <v>39289</v>
      </c>
      <c>
        <v>33904</v>
      </c>
      <c t="s">
        <v>5010</v>
      </c>
      <c t="s">
        <v>48794</v>
      </c>
      <c t="s">
        <v>32584</v>
      </c>
      <c>
        <v>15061</v>
      </c>
      <c r="AI3947" t="s">
        <v>65712</v>
      </c>
      <c t="s">
        <v>45620</v>
      </c>
      <c r="AL3947" t="s">
        <v>9238</v>
      </c>
      <c t="s">
        <v>9238</v>
      </c>
      <c t="s">
        <v>51137</v>
      </c>
      <c t="s">
        <v>49866</v>
      </c>
      <c t="s">
        <v>17380</v>
      </c>
      <c t="s">
        <v>3093</v>
      </c>
      <c t="s">
        <v>49796</v>
      </c>
    </row>
    <row>
      <c t="s">
        <v>17594</v>
      </c>
      <c t="s">
        <v>65223</v>
      </c>
      <c t="s">
        <v>46910</v>
      </c>
      <c t="s">
        <v>12157</v>
      </c>
      <c t="s">
        <v>62580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948" s="1" t="str">
        <f ca="1">HYPERLINK("https://web.datatree.com/?/property?propertyId=33512225", "https://web.datatree.com/?/property?propertyId=33512225")</f>
        <v>https://web.datatree.com/?/property?propertyId=33512225</v>
      </c>
      <c r="Q3948" t="s">
        <v>316</v>
      </c>
      <c>
        <v>0.23</v>
      </c>
      <c t="s">
        <v>6175</v>
      </c>
      <c t="s">
        <v>15209</v>
      </c>
      <c t="s">
        <v>41791</v>
      </c>
      <c r="X3948" t="s">
        <v>45301</v>
      </c>
      <c t="s">
        <v>47150</v>
      </c>
      <c t="s">
        <v>2517</v>
      </c>
      <c t="s">
        <v>39289</v>
      </c>
      <c>
        <v>33909</v>
      </c>
      <c t="s">
        <v>45755</v>
      </c>
      <c t="s">
        <v>48794</v>
      </c>
      <c t="s">
        <v>10692</v>
      </c>
      <c>
        <v>867</v>
      </c>
      <c r="AI3948" t="s">
        <v>39334</v>
      </c>
      <c t="s">
        <v>24900</v>
      </c>
      <c r="AL3948" t="s">
        <v>37818</v>
      </c>
      <c r="AN3948" t="s">
        <v>50917</v>
      </c>
      <c t="s">
        <v>19414</v>
      </c>
      <c t="s">
        <v>1951</v>
      </c>
      <c t="s">
        <v>3093</v>
      </c>
      <c t="s">
        <v>42787</v>
      </c>
    </row>
    <row>
      <c t="s">
        <v>17594</v>
      </c>
      <c t="s">
        <v>34499</v>
      </c>
      <c t="s">
        <v>1706</v>
      </c>
      <c t="s">
        <v>47996</v>
      </c>
      <c t="s">
        <v>56311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>
        <v>2020</v>
      </c>
      <c>
        <v>1746.69</v>
      </c>
      <c s="1" t="str">
        <f ca="1">HYPERLINK("https://web.datatree.com/?/property?propertyId=33512640", "https://web.datatree.com/?/property?propertyId=33512640")</f>
        <v>https://web.datatree.com/?/property?propertyId=33512640</v>
      </c>
      <c r="Q3949" t="s">
        <v>316</v>
      </c>
      <c>
        <v>0.23</v>
      </c>
      <c t="s">
        <v>6175</v>
      </c>
      <c t="s">
        <v>62098</v>
      </c>
      <c t="s">
        <v>19936</v>
      </c>
      <c t="s">
        <v>36241</v>
      </c>
      <c t="s">
        <v>19936</v>
      </c>
      <c t="s">
        <v>61840</v>
      </c>
      <c t="s">
        <v>47150</v>
      </c>
      <c t="s">
        <v>2517</v>
      </c>
      <c t="s">
        <v>39289</v>
      </c>
      <c>
        <v>33909</v>
      </c>
      <c t="s">
        <v>33300</v>
      </c>
      <c t="s">
        <v>48794</v>
      </c>
      <c t="s">
        <v>43885</v>
      </c>
      <c>
        <v>1147</v>
      </c>
      <c r="AI3949" t="s">
        <v>33110</v>
      </c>
      <c t="s">
        <v>45620</v>
      </c>
      <c r="AL3949" t="s">
        <v>12829</v>
      </c>
      <c r="AN3949" t="s">
        <v>50917</v>
      </c>
      <c t="s">
        <v>52977</v>
      </c>
      <c t="s">
        <v>22613</v>
      </c>
      <c t="s">
        <v>3093</v>
      </c>
      <c t="s">
        <v>54197</v>
      </c>
    </row>
    <row>
      <c t="s">
        <v>17594</v>
      </c>
      <c t="s">
        <v>44189</v>
      </c>
      <c t="s">
        <v>20388</v>
      </c>
      <c t="s">
        <v>55711</v>
      </c>
      <c t="s">
        <v>30321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3950" s="1" t="str">
        <f ca="1">HYPERLINK("https://web.datatree.com/?/property?propertyId=33512938", "https://web.datatree.com/?/property?propertyId=33512938")</f>
        <v>https://web.datatree.com/?/property?propertyId=33512938</v>
      </c>
      <c r="Q3950" t="s">
        <v>316</v>
      </c>
      <c>
        <v>0.241</v>
      </c>
      <c t="s">
        <v>6175</v>
      </c>
      <c t="s">
        <v>46366</v>
      </c>
      <c t="s">
        <v>43846</v>
      </c>
      <c r="X3950" t="s">
        <v>43833</v>
      </c>
      <c t="s">
        <v>2626</v>
      </c>
      <c t="s">
        <v>2517</v>
      </c>
      <c t="s">
        <v>39289</v>
      </c>
      <c>
        <v>33909</v>
      </c>
      <c t="s">
        <v>2752</v>
      </c>
      <c t="s">
        <v>48794</v>
      </c>
      <c t="s">
        <v>56205</v>
      </c>
      <c>
        <v>1061</v>
      </c>
      <c r="AI3950" t="s">
        <v>37910</v>
      </c>
      <c t="s">
        <v>45393</v>
      </c>
      <c r="AL3950" t="s">
        <v>5138</v>
      </c>
      <c r="AN3950" t="s">
        <v>39289</v>
      </c>
      <c t="s">
        <v>44358</v>
      </c>
      <c t="s">
        <v>33029</v>
      </c>
      <c t="s">
        <v>3093</v>
      </c>
      <c t="s">
        <v>42140</v>
      </c>
    </row>
    <row>
      <c t="s">
        <v>42103</v>
      </c>
      <c t="s">
        <v>15164</v>
      </c>
      <c t="s">
        <v>21698</v>
      </c>
      <c t="s">
        <v>54703</v>
      </c>
      <c t="s">
        <v>8419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3951" s="1" t="str">
        <f ca="1">HYPERLINK("https://web.datatree.com/?/property?propertyId=33513221", "https://web.datatree.com/?/property?propertyId=33513221")</f>
        <v>https://web.datatree.com/?/property?propertyId=33513221</v>
      </c>
      <c r="Q3951" t="s">
        <v>316</v>
      </c>
      <c>
        <v>0.244</v>
      </c>
      <c t="s">
        <v>6175</v>
      </c>
      <c t="s">
        <v>17314</v>
      </c>
      <c t="s">
        <v>60595</v>
      </c>
      <c t="s">
        <v>22623</v>
      </c>
      <c t="s">
        <v>60595</v>
      </c>
      <c t="s">
        <v>34632</v>
      </c>
      <c t="s">
        <v>38550</v>
      </c>
      <c t="s">
        <v>2517</v>
      </c>
      <c t="s">
        <v>39289</v>
      </c>
      <c>
        <v>33909</v>
      </c>
      <c t="s">
        <v>11834</v>
      </c>
      <c t="s">
        <v>48794</v>
      </c>
      <c t="s">
        <v>5531</v>
      </c>
      <c r="AI3951" t="s">
        <v>25307</v>
      </c>
      <c r="AL3951" t="s">
        <v>5505</v>
      </c>
      <c r="AN3951" t="s">
        <v>19878</v>
      </c>
      <c>
        <v>60548</v>
      </c>
      <c t="s">
        <v>23536</v>
      </c>
      <c t="s">
        <v>3093</v>
      </c>
      <c t="s">
        <v>37784</v>
      </c>
    </row>
    <row>
      <c t="s">
        <v>17594</v>
      </c>
      <c t="s">
        <v>65674</v>
      </c>
      <c t="s">
        <v>9994</v>
      </c>
      <c t="s">
        <v>27622</v>
      </c>
      <c t="s">
        <v>44707</v>
      </c>
      <c s="3">
        <v>26249</v>
      </c>
      <c s="3">
        <v>26249</v>
      </c>
      <c s="3">
        <v>9339</v>
      </c>
      <c>
        <v>0</v>
      </c>
      <c s="3">
        <v>0</v>
      </c>
      <c s="3">
        <v>2991.87</v>
      </c>
      <c s="3">
        <v>26249</v>
      </c>
      <c r="O3952" s="1" t="str">
        <f ca="1">HYPERLINK("https://web.datatree.com/?/property?propertyId=33514577", "https://web.datatree.com/?/property?propertyId=33514577")</f>
        <v>https://web.datatree.com/?/property?propertyId=33514577</v>
      </c>
      <c r="Q3952" t="s">
        <v>316</v>
      </c>
      <c>
        <v>0.23</v>
      </c>
      <c t="s">
        <v>65422</v>
      </c>
      <c t="s">
        <v>15107</v>
      </c>
      <c t="s">
        <v>17715</v>
      </c>
      <c r="X3952" t="s">
        <v>23430</v>
      </c>
      <c t="s">
        <v>8669</v>
      </c>
      <c t="s">
        <v>2517</v>
      </c>
      <c t="s">
        <v>39289</v>
      </c>
      <c>
        <v>33909</v>
      </c>
      <c t="s">
        <v>19364</v>
      </c>
      <c t="s">
        <v>48794</v>
      </c>
      <c t="s">
        <v>57809</v>
      </c>
      <c>
        <v>155</v>
      </c>
      <c r="AI3952" t="s">
        <v>10281</v>
      </c>
      <c t="s">
        <v>45393</v>
      </c>
      <c r="AL3952" t="s">
        <v>16383</v>
      </c>
      <c r="AN3952" t="s">
        <v>39289</v>
      </c>
      <c t="s">
        <v>15434</v>
      </c>
      <c t="s">
        <v>14695</v>
      </c>
      <c t="s">
        <v>3093</v>
      </c>
      <c t="s">
        <v>34543</v>
      </c>
    </row>
    <row>
      <c t="s">
        <v>17594</v>
      </c>
      <c t="s">
        <v>62645</v>
      </c>
      <c t="s">
        <v>21259</v>
      </c>
      <c t="s">
        <v>66284</v>
      </c>
      <c t="s">
        <v>40078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3953" s="1" t="str">
        <f ca="1">HYPERLINK("https://web.datatree.com/?/property?propertyId=33516755", "https://web.datatree.com/?/property?propertyId=33516755")</f>
        <v>https://web.datatree.com/?/property?propertyId=33516755</v>
      </c>
      <c r="Q3953" t="s">
        <v>316</v>
      </c>
      <c>
        <v>0.106</v>
      </c>
      <c t="s">
        <v>26492</v>
      </c>
      <c t="s">
        <v>44319</v>
      </c>
      <c t="s">
        <v>21314</v>
      </c>
      <c t="s">
        <v>9598</v>
      </c>
      <c t="s">
        <v>21314</v>
      </c>
      <c t="s">
        <v>7921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31040</v>
      </c>
      <c>
        <v>1216</v>
      </c>
      <c r="AI3953" t="s">
        <v>59936</v>
      </c>
      <c t="s">
        <v>31192</v>
      </c>
      <c r="AL3953" t="s">
        <v>12943</v>
      </c>
      <c t="s">
        <v>12943</v>
      </c>
      <c t="s">
        <v>22275</v>
      </c>
      <c t="s">
        <v>62612</v>
      </c>
      <c t="s">
        <v>12241</v>
      </c>
      <c t="s">
        <v>3093</v>
      </c>
      <c t="s">
        <v>7854</v>
      </c>
    </row>
    <row>
      <c t="s">
        <v>17594</v>
      </c>
      <c t="s">
        <v>58598</v>
      </c>
      <c t="s">
        <v>23728</v>
      </c>
      <c t="s">
        <v>21267</v>
      </c>
      <c t="s">
        <v>4356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3954" s="1" t="str">
        <f ca="1">HYPERLINK("https://web.datatree.com/?/property?propertyId=33517357", "https://web.datatree.com/?/property?propertyId=33517357")</f>
        <v>https://web.datatree.com/?/property?propertyId=33517357</v>
      </c>
      <c r="Q3954" t="s">
        <v>316</v>
      </c>
      <c>
        <v>0.233</v>
      </c>
      <c t="s">
        <v>22490</v>
      </c>
      <c t="s">
        <v>60693</v>
      </c>
      <c t="s">
        <v>1005</v>
      </c>
      <c t="s">
        <v>54926</v>
      </c>
      <c t="s">
        <v>1005</v>
      </c>
      <c t="s">
        <v>41960</v>
      </c>
      <c t="s">
        <v>5115</v>
      </c>
      <c t="s">
        <v>2517</v>
      </c>
      <c t="s">
        <v>39289</v>
      </c>
      <c>
        <v>33909</v>
      </c>
      <c t="s">
        <v>36628</v>
      </c>
      <c t="s">
        <v>48794</v>
      </c>
      <c t="s">
        <v>66772</v>
      </c>
      <c>
        <v>1</v>
      </c>
      <c r="AI3954" t="s">
        <v>15986</v>
      </c>
      <c r="AL3954" t="s">
        <v>24821</v>
      </c>
      <c t="s">
        <v>24821</v>
      </c>
      <c t="s">
        <v>66651</v>
      </c>
      <c>
        <v>31320</v>
      </c>
      <c r="AR3954" t="s">
        <v>24016</v>
      </c>
    </row>
    <row>
      <c t="s">
        <v>17594</v>
      </c>
      <c t="s">
        <v>31353</v>
      </c>
      <c t="s">
        <v>42419</v>
      </c>
      <c t="s">
        <v>20707</v>
      </c>
      <c t="s">
        <v>38508</v>
      </c>
      <c s="3">
        <v>23012</v>
      </c>
      <c s="3">
        <v>23012</v>
      </c>
      <c s="3">
        <v>10450</v>
      </c>
      <c>
        <v>0</v>
      </c>
      <c s="3">
        <v>0</v>
      </c>
      <c s="3">
        <v>613.35</v>
      </c>
      <c s="3">
        <v>23012</v>
      </c>
      <c r="O3955" s="1" t="str">
        <f ca="1">HYPERLINK("https://web.datatree.com/?/property?propertyId=33517375", "https://web.datatree.com/?/property?propertyId=33517375")</f>
        <v>https://web.datatree.com/?/property?propertyId=33517375</v>
      </c>
      <c r="Q3955" t="s">
        <v>316</v>
      </c>
      <c>
        <v>0.244</v>
      </c>
      <c t="s">
        <v>45031</v>
      </c>
      <c t="s">
        <v>48916</v>
      </c>
      <c t="s">
        <v>58495</v>
      </c>
      <c t="s">
        <v>24018</v>
      </c>
      <c r="X3955" t="s">
        <v>21146</v>
      </c>
      <c t="s">
        <v>47150</v>
      </c>
      <c t="s">
        <v>2517</v>
      </c>
      <c t="s">
        <v>39289</v>
      </c>
      <c>
        <v>33909</v>
      </c>
      <c t="s">
        <v>7487</v>
      </c>
      <c t="s">
        <v>48794</v>
      </c>
      <c t="s">
        <v>37776</v>
      </c>
      <c>
        <v>730</v>
      </c>
      <c r="AI3955" t="s">
        <v>20423</v>
      </c>
      <c t="s">
        <v>55842</v>
      </c>
      <c r="AL3955" t="s">
        <v>26641</v>
      </c>
      <c t="s">
        <v>26641</v>
      </c>
      <c t="s">
        <v>39289</v>
      </c>
      <c t="s">
        <v>12962</v>
      </c>
      <c t="s">
        <v>25140</v>
      </c>
      <c t="s">
        <v>3093</v>
      </c>
      <c t="s">
        <v>26626</v>
      </c>
    </row>
    <row>
      <c t="s">
        <v>17594</v>
      </c>
      <c t="s">
        <v>54009</v>
      </c>
      <c t="s">
        <v>30065</v>
      </c>
      <c t="s">
        <v>61388</v>
      </c>
      <c t="s">
        <v>16096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3956" s="1" t="str">
        <f ca="1">HYPERLINK("https://web.datatree.com/?/property?propertyId=33517426", "https://web.datatree.com/?/property?propertyId=33517426")</f>
        <v>https://web.datatree.com/?/property?propertyId=33517426</v>
      </c>
      <c r="Q3956" t="s">
        <v>316</v>
      </c>
      <c>
        <v>0.23</v>
      </c>
      <c t="s">
        <v>22490</v>
      </c>
      <c t="s">
        <v>25788</v>
      </c>
      <c t="s">
        <v>47355</v>
      </c>
      <c r="X3956" t="s">
        <v>35569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19939</v>
      </c>
      <c>
        <v>3740</v>
      </c>
      <c r="AH3956" t="s">
        <v>63047</v>
      </c>
      <c t="s">
        <v>40506</v>
      </c>
      <c t="s">
        <v>1671</v>
      </c>
      <c>
        <v>101</v>
      </c>
      <c t="s">
        <v>48150</v>
      </c>
      <c r="AN3956" t="s">
        <v>39289</v>
      </c>
      <c t="s">
        <v>37996</v>
      </c>
      <c t="s">
        <v>4491</v>
      </c>
      <c t="s">
        <v>3093</v>
      </c>
      <c t="s">
        <v>46518</v>
      </c>
    </row>
    <row>
      <c t="s">
        <v>17594</v>
      </c>
      <c t="s">
        <v>7123</v>
      </c>
      <c t="s">
        <v>32102</v>
      </c>
      <c t="s">
        <v>9388</v>
      </c>
      <c t="s">
        <v>11619</v>
      </c>
      <c s="3">
        <v>3800</v>
      </c>
      <c s="3">
        <v>3800</v>
      </c>
      <c s="3">
        <v>3800</v>
      </c>
      <c>
        <v>0</v>
      </c>
      <c s="3">
        <v>0</v>
      </c>
      <c s="3">
        <v>355.35</v>
      </c>
      <c s="3">
        <v>3800</v>
      </c>
      <c r="O3957" s="1" t="str">
        <f ca="1">HYPERLINK("https://web.datatree.com/?/property?propertyId=33517839", "https://web.datatree.com/?/property?propertyId=33517839")</f>
        <v>https://web.datatree.com/?/property?propertyId=33517839</v>
      </c>
      <c r="Q3957" t="s">
        <v>316</v>
      </c>
      <c>
        <v>0.115</v>
      </c>
      <c t="s">
        <v>6175</v>
      </c>
      <c t="s">
        <v>24692</v>
      </c>
      <c t="s">
        <v>7499</v>
      </c>
      <c t="s">
        <v>39994</v>
      </c>
      <c t="s">
        <v>7499</v>
      </c>
      <c t="s">
        <v>15456</v>
      </c>
      <c t="s">
        <v>22731</v>
      </c>
      <c t="s">
        <v>2517</v>
      </c>
      <c t="s">
        <v>39289</v>
      </c>
      <c>
        <v>33909</v>
      </c>
      <c t="s">
        <v>20816</v>
      </c>
      <c t="s">
        <v>48794</v>
      </c>
      <c t="s">
        <v>13413</v>
      </c>
      <c>
        <v>1103</v>
      </c>
      <c r="AI3957" t="s">
        <v>20121</v>
      </c>
      <c t="s">
        <v>40123</v>
      </c>
      <c r="AL3957" t="s">
        <v>26045</v>
      </c>
      <c r="AN3957" t="s">
        <v>51087</v>
      </c>
      <c t="s">
        <v>36955</v>
      </c>
      <c t="s">
        <v>24994</v>
      </c>
      <c t="s">
        <v>3093</v>
      </c>
      <c t="s">
        <v>49374</v>
      </c>
    </row>
    <row>
      <c t="s">
        <v>17594</v>
      </c>
      <c t="s">
        <v>30199</v>
      </c>
      <c t="s">
        <v>40635</v>
      </c>
      <c t="s">
        <v>16275</v>
      </c>
      <c t="s">
        <v>8085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3958" s="1" t="str">
        <f ca="1">HYPERLINK("https://web.datatree.com/?/property?propertyId=33519945", "https://web.datatree.com/?/property?propertyId=33519945")</f>
        <v>https://web.datatree.com/?/property?propertyId=33519945</v>
      </c>
      <c r="Q3958" t="s">
        <v>316</v>
      </c>
      <c>
        <v>0.241</v>
      </c>
      <c t="s">
        <v>6175</v>
      </c>
      <c t="s">
        <v>52880</v>
      </c>
      <c t="s">
        <v>18670</v>
      </c>
      <c t="s">
        <v>43826</v>
      </c>
      <c t="s">
        <v>18670</v>
      </c>
      <c t="s">
        <v>65800</v>
      </c>
      <c t="s">
        <v>53663</v>
      </c>
      <c t="s">
        <v>2517</v>
      </c>
      <c t="s">
        <v>39289</v>
      </c>
      <c>
        <v>33909</v>
      </c>
      <c t="s">
        <v>24575</v>
      </c>
      <c t="s">
        <v>48794</v>
      </c>
      <c t="s">
        <v>37874</v>
      </c>
      <c>
        <v>346</v>
      </c>
      <c r="AI3958" t="s">
        <v>66513</v>
      </c>
      <c t="s">
        <v>45620</v>
      </c>
      <c r="AL3958" t="s">
        <v>14565</v>
      </c>
      <c r="AN3958" t="s">
        <v>22275</v>
      </c>
      <c t="s">
        <v>19146</v>
      </c>
      <c t="s">
        <v>702</v>
      </c>
      <c t="s">
        <v>3093</v>
      </c>
      <c t="s">
        <v>9487</v>
      </c>
    </row>
    <row>
      <c t="s">
        <v>17594</v>
      </c>
      <c t="s">
        <v>25385</v>
      </c>
      <c t="s">
        <v>7653</v>
      </c>
      <c t="s">
        <v>11328</v>
      </c>
      <c t="s">
        <v>17704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959" s="1" t="str">
        <f ca="1">HYPERLINK("https://web.datatree.com/?/property?propertyId=33520114", "https://web.datatree.com/?/property?propertyId=33520114")</f>
        <v>https://web.datatree.com/?/property?propertyId=33520114</v>
      </c>
      <c r="Q3959" t="s">
        <v>316</v>
      </c>
      <c>
        <v>0.23</v>
      </c>
      <c t="s">
        <v>6175</v>
      </c>
      <c t="s">
        <v>30054</v>
      </c>
      <c t="s">
        <v>41956</v>
      </c>
      <c r="X3959" t="s">
        <v>21575</v>
      </c>
      <c t="s">
        <v>17022</v>
      </c>
      <c t="s">
        <v>2517</v>
      </c>
      <c t="s">
        <v>39289</v>
      </c>
      <c>
        <v>33909</v>
      </c>
      <c t="s">
        <v>62898</v>
      </c>
      <c t="s">
        <v>48794</v>
      </c>
      <c t="s">
        <v>3101</v>
      </c>
      <c>
        <v>27</v>
      </c>
      <c r="AI3959" t="s">
        <v>31415</v>
      </c>
      <c r="AL3959" t="s">
        <v>5401</v>
      </c>
      <c r="AN3959" t="s">
        <v>27747</v>
      </c>
      <c>
        <v>1010</v>
      </c>
      <c r="AR3959" t="s">
        <v>31754</v>
      </c>
    </row>
    <row>
      <c t="s">
        <v>17594</v>
      </c>
      <c t="s">
        <v>26660</v>
      </c>
      <c t="s">
        <v>63358</v>
      </c>
      <c t="s">
        <v>7649</v>
      </c>
      <c t="s">
        <v>21517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3960" s="1" t="str">
        <f ca="1">HYPERLINK("https://web.datatree.com/?/property?propertyId=33520637", "https://web.datatree.com/?/property?propertyId=33520637")</f>
        <v>https://web.datatree.com/?/property?propertyId=33520637</v>
      </c>
      <c r="Q3960" t="s">
        <v>316</v>
      </c>
      <c>
        <v>0.229</v>
      </c>
      <c t="s">
        <v>6175</v>
      </c>
      <c r="U3960" t="s">
        <v>21782</v>
      </c>
      <c r="X3960" t="s">
        <v>18743</v>
      </c>
      <c t="s">
        <v>34136</v>
      </c>
      <c t="s">
        <v>2517</v>
      </c>
      <c t="s">
        <v>39289</v>
      </c>
      <c>
        <v>33909</v>
      </c>
      <c t="s">
        <v>55921</v>
      </c>
      <c t="s">
        <v>48794</v>
      </c>
      <c t="s">
        <v>52195</v>
      </c>
      <c>
        <v>2893</v>
      </c>
      <c r="AI3960" t="s">
        <v>7065</v>
      </c>
      <c t="s">
        <v>31192</v>
      </c>
      <c r="AL3960" t="s">
        <v>22539</v>
      </c>
      <c r="AN3960" t="s">
        <v>65451</v>
      </c>
      <c t="s">
        <v>27611</v>
      </c>
      <c t="s">
        <v>55071</v>
      </c>
      <c t="s">
        <v>3093</v>
      </c>
      <c t="s">
        <v>63111</v>
      </c>
    </row>
    <row>
      <c t="s">
        <v>17594</v>
      </c>
      <c t="s">
        <v>52346</v>
      </c>
      <c t="s">
        <v>1813</v>
      </c>
      <c t="s">
        <v>59380</v>
      </c>
      <c t="s">
        <v>52974</v>
      </c>
      <c s="3">
        <v>8264</v>
      </c>
      <c s="3">
        <v>8264</v>
      </c>
      <c s="3">
        <v>4972</v>
      </c>
      <c>
        <v>0</v>
      </c>
      <c s="3">
        <v>0</v>
      </c>
      <c s="3">
        <v>317.96</v>
      </c>
      <c s="3">
        <v>8264</v>
      </c>
      <c r="O3961" s="1" t="str">
        <f ca="1">HYPERLINK("https://web.datatree.com/?/property?propertyId=33521933", "https://web.datatree.com/?/property?propertyId=33521933")</f>
        <v>https://web.datatree.com/?/property?propertyId=33521933</v>
      </c>
      <c r="Q3961" t="s">
        <v>316</v>
      </c>
      <c>
        <v>0.245</v>
      </c>
      <c t="s">
        <v>5471</v>
      </c>
      <c t="s">
        <v>51179</v>
      </c>
      <c t="s">
        <v>4553</v>
      </c>
      <c r="X3961" t="s">
        <v>3180</v>
      </c>
      <c t="s">
        <v>62688</v>
      </c>
      <c t="s">
        <v>65059</v>
      </c>
      <c t="s">
        <v>39289</v>
      </c>
      <c>
        <v>33905</v>
      </c>
      <c t="s">
        <v>64131</v>
      </c>
      <c t="s">
        <v>48794</v>
      </c>
      <c t="s">
        <v>44574</v>
      </c>
      <c>
        <v>22832</v>
      </c>
      <c r="AI3961" t="s">
        <v>48337</v>
      </c>
      <c t="s">
        <v>31192</v>
      </c>
      <c r="AL3961" t="s">
        <v>53428</v>
      </c>
      <c r="AN3961" t="s">
        <v>50917</v>
      </c>
      <c t="s">
        <v>39499</v>
      </c>
      <c t="s">
        <v>33029</v>
      </c>
      <c t="s">
        <v>3093</v>
      </c>
      <c t="s">
        <v>827</v>
      </c>
    </row>
    <row>
      <c t="s">
        <v>17594</v>
      </c>
      <c t="s">
        <v>31404</v>
      </c>
      <c t="s">
        <v>41250</v>
      </c>
      <c t="s">
        <v>38838</v>
      </c>
      <c t="s">
        <v>4443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3962" s="1" t="str">
        <f ca="1">HYPERLINK("https://web.datatree.com/?/property?propertyId=33522251", "https://web.datatree.com/?/property?propertyId=33522251")</f>
        <v>https://web.datatree.com/?/property?propertyId=33522251</v>
      </c>
      <c r="Q3962" t="s">
        <v>316</v>
      </c>
      <c>
        <v>0.23</v>
      </c>
      <c t="s">
        <v>6175</v>
      </c>
      <c r="U3962" t="s">
        <v>26843</v>
      </c>
      <c r="W3962" t="s">
        <v>25200</v>
      </c>
      <c t="s">
        <v>37761</v>
      </c>
      <c t="s">
        <v>49122</v>
      </c>
      <c t="s">
        <v>2517</v>
      </c>
      <c t="s">
        <v>39289</v>
      </c>
      <c>
        <v>33909</v>
      </c>
      <c t="s">
        <v>42892</v>
      </c>
      <c t="s">
        <v>48794</v>
      </c>
      <c t="s">
        <v>65031</v>
      </c>
      <c>
        <v>9801</v>
      </c>
      <c r="AI3962" t="s">
        <v>23646</v>
      </c>
      <c t="s">
        <v>45393</v>
      </c>
      <c r="AL3962" t="s">
        <v>55393</v>
      </c>
      <c r="AN3962" t="s">
        <v>39289</v>
      </c>
      <c t="s">
        <v>2931</v>
      </c>
      <c t="s">
        <v>64128</v>
      </c>
      <c t="s">
        <v>3093</v>
      </c>
      <c t="s">
        <v>29575</v>
      </c>
    </row>
    <row>
      <c t="s">
        <v>17594</v>
      </c>
      <c t="s">
        <v>27031</v>
      </c>
      <c t="s">
        <v>1321</v>
      </c>
      <c t="s">
        <v>9809</v>
      </c>
      <c t="s">
        <v>5914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>
        <v>2020</v>
      </c>
      <c>
        <v>1712.44</v>
      </c>
      <c s="1" t="str">
        <f ca="1">HYPERLINK("https://web.datatree.com/?/property?propertyId=33522433", "https://web.datatree.com/?/property?propertyId=33522433")</f>
        <v>https://web.datatree.com/?/property?propertyId=33522433</v>
      </c>
      <c r="Q3963" t="s">
        <v>316</v>
      </c>
      <c>
        <v>0.23</v>
      </c>
      <c t="s">
        <v>6175</v>
      </c>
      <c r="U3963" t="s">
        <v>855</v>
      </c>
      <c t="s">
        <v>35852</v>
      </c>
      <c t="s">
        <v>6994</v>
      </c>
      <c t="s">
        <v>21084</v>
      </c>
      <c t="s">
        <v>14534</v>
      </c>
      <c t="s">
        <v>2517</v>
      </c>
      <c t="s">
        <v>39289</v>
      </c>
      <c>
        <v>33909</v>
      </c>
      <c t="s">
        <v>23079</v>
      </c>
      <c t="s">
        <v>48794</v>
      </c>
      <c t="s">
        <v>62931</v>
      </c>
      <c>
        <v>6900</v>
      </c>
      <c r="AI3963" t="s">
        <v>42233</v>
      </c>
      <c t="s">
        <v>31192</v>
      </c>
      <c>
        <v>603</v>
      </c>
      <c t="s">
        <v>38297</v>
      </c>
      <c r="AN3963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21040</v>
      </c>
      <c t="s">
        <v>42477</v>
      </c>
      <c t="s">
        <v>44568</v>
      </c>
      <c t="s">
        <v>24167</v>
      </c>
      <c s="3">
        <v>51680</v>
      </c>
      <c s="3">
        <v>51680</v>
      </c>
      <c s="3">
        <v>51680</v>
      </c>
      <c>
        <v>0</v>
      </c>
      <c s="3">
        <v>0</v>
      </c>
      <c s="3">
        <v>1229.44</v>
      </c>
      <c s="3">
        <v>51680</v>
      </c>
      <c r="O3964" s="1" t="str">
        <f ca="1">HYPERLINK("https://web.datatree.com/?/property?propertyId=33522660", "https://web.datatree.com/?/property?propertyId=33522660")</f>
        <v>https://web.datatree.com/?/property?propertyId=33522660</v>
      </c>
      <c r="Q3964" t="s">
        <v>316</v>
      </c>
      <c>
        <v>0.23</v>
      </c>
      <c t="s">
        <v>6175</v>
      </c>
      <c t="s">
        <v>10361</v>
      </c>
      <c t="s">
        <v>49500</v>
      </c>
      <c t="s">
        <v>34468</v>
      </c>
      <c t="s">
        <v>49500</v>
      </c>
      <c t="s">
        <v>28145</v>
      </c>
      <c t="s">
        <v>55623</v>
      </c>
      <c t="s">
        <v>2517</v>
      </c>
      <c t="s">
        <v>39289</v>
      </c>
      <c>
        <v>33904</v>
      </c>
      <c t="s">
        <v>34211</v>
      </c>
      <c t="s">
        <v>48794</v>
      </c>
      <c t="s">
        <v>20596</v>
      </c>
      <c>
        <v>8791</v>
      </c>
      <c r="AI3964" t="s">
        <v>7229</v>
      </c>
      <c t="s">
        <v>1671</v>
      </c>
      <c r="AL3964" t="s">
        <v>64754</v>
      </c>
      <c r="AN3964" t="s">
        <v>17134</v>
      </c>
      <c t="s">
        <v>43359</v>
      </c>
      <c t="s">
        <v>34171</v>
      </c>
      <c t="s">
        <v>3093</v>
      </c>
      <c t="s">
        <v>14017</v>
      </c>
    </row>
    <row>
      <c t="s">
        <v>17594</v>
      </c>
      <c t="s">
        <v>66336</v>
      </c>
      <c t="s">
        <v>47582</v>
      </c>
      <c t="s">
        <v>33017</v>
      </c>
      <c t="s">
        <v>22589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3965" s="1" t="str">
        <f ca="1">HYPERLINK("https://web.datatree.com/?/property?propertyId=33523443", "https://web.datatree.com/?/property?propertyId=33523443")</f>
        <v>https://web.datatree.com/?/property?propertyId=33523443</v>
      </c>
      <c r="Q3965" t="s">
        <v>316</v>
      </c>
      <c>
        <v>0.23</v>
      </c>
      <c t="s">
        <v>6175</v>
      </c>
      <c t="s">
        <v>55067</v>
      </c>
      <c t="s">
        <v>39846</v>
      </c>
      <c t="s">
        <v>13419</v>
      </c>
      <c t="s">
        <v>39846</v>
      </c>
      <c t="s">
        <v>20235</v>
      </c>
      <c t="s">
        <v>34731</v>
      </c>
      <c t="s">
        <v>2517</v>
      </c>
      <c t="s">
        <v>39289</v>
      </c>
      <c>
        <v>33909</v>
      </c>
      <c t="s">
        <v>41889</v>
      </c>
      <c t="s">
        <v>48794</v>
      </c>
      <c t="s">
        <v>4587</v>
      </c>
      <c>
        <v>6784</v>
      </c>
      <c r="AI3965" t="s">
        <v>63876</v>
      </c>
      <c t="s">
        <v>45393</v>
      </c>
      <c r="AL3965" t="s">
        <v>52805</v>
      </c>
      <c r="AN3965" t="s">
        <v>14798</v>
      </c>
      <c t="s">
        <v>38339</v>
      </c>
      <c t="s">
        <v>31626</v>
      </c>
      <c t="s">
        <v>3093</v>
      </c>
      <c t="s">
        <v>46267</v>
      </c>
    </row>
    <row>
      <c t="s">
        <v>17594</v>
      </c>
      <c t="s">
        <v>39618</v>
      </c>
      <c t="s">
        <v>18523</v>
      </c>
      <c t="s">
        <v>12570</v>
      </c>
      <c t="s">
        <v>58289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3966" s="1" t="str">
        <f ca="1">HYPERLINK("https://web.datatree.com/?/property?propertyId=33523933", "https://web.datatree.com/?/property?propertyId=33523933")</f>
        <v>https://web.datatree.com/?/property?propertyId=33523933</v>
      </c>
      <c r="Q3966" t="s">
        <v>316</v>
      </c>
      <c>
        <v>0.23</v>
      </c>
      <c t="s">
        <v>22490</v>
      </c>
      <c t="s">
        <v>49256</v>
      </c>
      <c t="s">
        <v>13824</v>
      </c>
      <c r="X3966" t="s">
        <v>41350</v>
      </c>
      <c t="s">
        <v>47150</v>
      </c>
      <c t="s">
        <v>2517</v>
      </c>
      <c t="s">
        <v>39289</v>
      </c>
      <c>
        <v>33909</v>
      </c>
      <c t="s">
        <v>40453</v>
      </c>
      <c t="s">
        <v>48794</v>
      </c>
      <c t="s">
        <v>45670</v>
      </c>
      <c r="AI3966" t="s">
        <v>46973</v>
      </c>
      <c r="AL3966" t="s">
        <v>60998</v>
      </c>
      <c r="AN3966" t="s">
        <v>14798</v>
      </c>
      <c r="AR3966" t="s">
        <v>1907</v>
      </c>
    </row>
    <row>
      <c t="s">
        <v>17594</v>
      </c>
      <c t="s">
        <v>8153</v>
      </c>
      <c t="s">
        <v>55196</v>
      </c>
      <c t="s">
        <v>40686</v>
      </c>
      <c t="s">
        <v>48996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 r="O3967" s="1" t="str">
        <f ca="1">HYPERLINK("https://web.datatree.com/?/property?propertyId=33524761", "https://web.datatree.com/?/property?propertyId=33524761")</f>
        <v>https://web.datatree.com/?/property?propertyId=33524761</v>
      </c>
      <c r="Q3967" t="s">
        <v>316</v>
      </c>
      <c>
        <v>0.23</v>
      </c>
      <c t="s">
        <v>6175</v>
      </c>
      <c r="U3967" t="s">
        <v>41200</v>
      </c>
      <c r="X3967" t="s">
        <v>45954</v>
      </c>
      <c t="s">
        <v>55273</v>
      </c>
      <c t="s">
        <v>2517</v>
      </c>
      <c t="s">
        <v>39289</v>
      </c>
      <c>
        <v>33909</v>
      </c>
      <c t="s">
        <v>46799</v>
      </c>
      <c t="s">
        <v>48794</v>
      </c>
      <c t="s">
        <v>59126</v>
      </c>
      <c>
        <v>4505</v>
      </c>
      <c r="AI3967" t="s">
        <v>35581</v>
      </c>
      <c t="s">
        <v>24900</v>
      </c>
      <c r="AL3967" t="s">
        <v>64118</v>
      </c>
      <c r="AN3967" t="s">
        <v>19878</v>
      </c>
      <c t="s">
        <v>3155</v>
      </c>
      <c t="s">
        <v>48506</v>
      </c>
      <c t="s">
        <v>3093</v>
      </c>
      <c t="s">
        <v>48287</v>
      </c>
    </row>
    <row>
      <c t="s">
        <v>17594</v>
      </c>
      <c t="s">
        <v>51674</v>
      </c>
      <c t="s">
        <v>6857</v>
      </c>
      <c t="s">
        <v>23995</v>
      </c>
      <c t="s">
        <v>65691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>
        <v>2020</v>
      </c>
      <c>
        <v>1744.05</v>
      </c>
      <c s="1" t="str">
        <f ca="1">HYPERLINK("https://web.datatree.com/?/property?propertyId=33525134", "https://web.datatree.com/?/property?propertyId=33525134")</f>
        <v>https://web.datatree.com/?/property?propertyId=33525134</v>
      </c>
      <c r="Q3968" t="s">
        <v>316</v>
      </c>
      <c>
        <v>0.23</v>
      </c>
      <c t="s">
        <v>22490</v>
      </c>
      <c t="s">
        <v>27858</v>
      </c>
      <c t="s">
        <v>21690</v>
      </c>
      <c r="X3968" t="s">
        <v>52191</v>
      </c>
      <c t="s">
        <v>15510</v>
      </c>
      <c t="s">
        <v>2517</v>
      </c>
      <c t="s">
        <v>39289</v>
      </c>
      <c>
        <v>33909</v>
      </c>
      <c t="s">
        <v>44481</v>
      </c>
      <c t="s">
        <v>48794</v>
      </c>
      <c t="s">
        <v>7250</v>
      </c>
      <c>
        <v>14501</v>
      </c>
      <c r="AI3968" t="s">
        <v>22476</v>
      </c>
      <c t="s">
        <v>31192</v>
      </c>
      <c r="AL3968" t="s">
        <v>51967</v>
      </c>
      <c t="s">
        <v>51967</v>
      </c>
      <c t="s">
        <v>65467</v>
      </c>
      <c t="s">
        <v>26098</v>
      </c>
      <c t="s">
        <v>13315</v>
      </c>
      <c t="s">
        <v>3093</v>
      </c>
      <c t="s">
        <v>17919</v>
      </c>
    </row>
    <row>
      <c t="s">
        <v>17594</v>
      </c>
      <c t="s">
        <v>21291</v>
      </c>
      <c t="s">
        <v>61979</v>
      </c>
      <c t="s">
        <v>26003</v>
      </c>
      <c t="s">
        <v>2001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3969" s="1" t="str">
        <f ca="1">HYPERLINK("https://web.datatree.com/?/property?propertyId=33525323", "https://web.datatree.com/?/property?propertyId=33525323")</f>
        <v>https://web.datatree.com/?/property?propertyId=33525323</v>
      </c>
      <c r="Q3969" t="s">
        <v>316</v>
      </c>
      <c>
        <v>0.23</v>
      </c>
      <c t="s">
        <v>45031</v>
      </c>
      <c t="s">
        <v>43746</v>
      </c>
      <c t="s">
        <v>2497</v>
      </c>
      <c t="s">
        <v>47119</v>
      </c>
      <c t="s">
        <v>2497</v>
      </c>
      <c t="s">
        <v>39494</v>
      </c>
      <c t="s">
        <v>29190</v>
      </c>
      <c t="s">
        <v>2517</v>
      </c>
      <c t="s">
        <v>39289</v>
      </c>
      <c>
        <v>33909</v>
      </c>
      <c t="s">
        <v>7838</v>
      </c>
      <c t="s">
        <v>48794</v>
      </c>
      <c t="s">
        <v>32311</v>
      </c>
      <c>
        <v>10013</v>
      </c>
      <c r="AI3969" t="s">
        <v>17814</v>
      </c>
      <c t="s">
        <v>24900</v>
      </c>
      <c>
        <v>408</v>
      </c>
      <c t="s">
        <v>36852</v>
      </c>
      <c r="AN3969" t="s">
        <v>4477</v>
      </c>
      <c t="s">
        <v>11696</v>
      </c>
      <c t="s">
        <v>14713</v>
      </c>
      <c t="s">
        <v>3093</v>
      </c>
      <c t="s">
        <v>44388</v>
      </c>
    </row>
    <row>
      <c t="s">
        <v>17594</v>
      </c>
      <c t="s">
        <v>18413</v>
      </c>
      <c t="s">
        <v>59757</v>
      </c>
      <c t="s">
        <v>25023</v>
      </c>
      <c t="s">
        <v>6256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>
        <v>2021</v>
      </c>
      <c>
        <v>346.95</v>
      </c>
      <c s="1" t="str">
        <f ca="1">HYPERLINK("https://web.datatree.com/?/property?propertyId=33526257", "https://web.datatree.com/?/property?propertyId=33526257")</f>
        <v>https://web.datatree.com/?/property?propertyId=33526257</v>
      </c>
      <c r="Q3970" t="s">
        <v>316</v>
      </c>
      <c>
        <v>0.229</v>
      </c>
      <c t="s">
        <v>5471</v>
      </c>
      <c t="s">
        <v>24692</v>
      </c>
      <c t="s">
        <v>54219</v>
      </c>
      <c t="s">
        <v>31337</v>
      </c>
      <c t="s">
        <v>54219</v>
      </c>
      <c t="s">
        <v>21559</v>
      </c>
      <c t="s">
        <v>15518</v>
      </c>
      <c t="s">
        <v>65059</v>
      </c>
      <c t="s">
        <v>39289</v>
      </c>
      <c>
        <v>33905</v>
      </c>
      <c t="s">
        <v>34623</v>
      </c>
      <c t="s">
        <v>48794</v>
      </c>
      <c t="s">
        <v>33058</v>
      </c>
      <c>
        <v>14</v>
      </c>
      <c r="AI3970" t="s">
        <v>34919</v>
      </c>
      <c t="s">
        <v>45620</v>
      </c>
      <c r="AL3970" t="s">
        <v>51013</v>
      </c>
      <c r="AN3970" t="s">
        <v>26016</v>
      </c>
      <c t="s">
        <v>10877</v>
      </c>
      <c t="s">
        <v>43294</v>
      </c>
      <c t="s">
        <v>3093</v>
      </c>
      <c t="s">
        <v>26393</v>
      </c>
    </row>
    <row>
      <c t="s">
        <v>17594</v>
      </c>
      <c t="s">
        <v>16038</v>
      </c>
      <c t="s">
        <v>56660</v>
      </c>
      <c t="s">
        <v>41087</v>
      </c>
      <c t="s">
        <v>43381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3971" s="1" t="str">
        <f ca="1">HYPERLINK("https://web.datatree.com/?/property?propertyId=33526592", "https://web.datatree.com/?/property?propertyId=33526592")</f>
        <v>https://web.datatree.com/?/property?propertyId=33526592</v>
      </c>
      <c r="Q3971" t="s">
        <v>316</v>
      </c>
      <c>
        <v>0.23</v>
      </c>
      <c t="s">
        <v>42044</v>
      </c>
      <c t="s">
        <v>54585</v>
      </c>
      <c t="s">
        <v>22351</v>
      </c>
      <c r="X3971" t="s">
        <v>50759</v>
      </c>
      <c t="s">
        <v>61144</v>
      </c>
      <c t="s">
        <v>2517</v>
      </c>
      <c t="s">
        <v>39289</v>
      </c>
      <c>
        <v>33909</v>
      </c>
      <c t="s">
        <v>10212</v>
      </c>
      <c t="s">
        <v>48794</v>
      </c>
      <c t="s">
        <v>4184</v>
      </c>
      <c>
        <v>2600</v>
      </c>
      <c r="AI3971" t="s">
        <v>18468</v>
      </c>
      <c t="s">
        <v>4985</v>
      </c>
      <c>
        <v>2804</v>
      </c>
      <c t="s">
        <v>45140</v>
      </c>
      <c t="s">
        <v>45140</v>
      </c>
      <c t="s">
        <v>39289</v>
      </c>
      <c t="s">
        <v>1388</v>
      </c>
      <c t="s">
        <v>2121</v>
      </c>
      <c t="s">
        <v>3093</v>
      </c>
      <c t="s">
        <v>6185</v>
      </c>
    </row>
    <row>
      <c t="s">
        <v>17594</v>
      </c>
      <c t="s">
        <v>15003</v>
      </c>
      <c t="s">
        <v>51639</v>
      </c>
      <c t="s">
        <v>45683</v>
      </c>
      <c t="s">
        <v>64276</v>
      </c>
      <c s="3">
        <v>1200</v>
      </c>
      <c s="3">
        <v>1200</v>
      </c>
      <c s="3">
        <v>409</v>
      </c>
      <c>
        <v>0</v>
      </c>
      <c s="3">
        <v>0</v>
      </c>
      <c s="3">
        <v>255.8</v>
      </c>
      <c s="3">
        <v>1200</v>
      </c>
      <c r="O3972" s="1" t="str">
        <f ca="1">HYPERLINK("https://web.datatree.com/?/property?propertyId=33526954", "https://web.datatree.com/?/property?propertyId=33526954")</f>
        <v>https://web.datatree.com/?/property?propertyId=33526954</v>
      </c>
      <c r="Q3972" t="s">
        <v>316</v>
      </c>
      <c>
        <v>0.091</v>
      </c>
      <c t="s">
        <v>42044</v>
      </c>
      <c t="s">
        <v>32955</v>
      </c>
      <c t="s">
        <v>22028</v>
      </c>
      <c t="s">
        <v>13491</v>
      </c>
      <c t="s">
        <v>22028</v>
      </c>
      <c t="s">
        <v>39453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6221</v>
      </c>
      <c r="AI3972" t="s">
        <v>64265</v>
      </c>
      <c t="s">
        <v>41372</v>
      </c>
      <c r="AL3972" t="s">
        <v>20218</v>
      </c>
      <c r="AN3972" t="s">
        <v>50917</v>
      </c>
      <c t="s">
        <v>44515</v>
      </c>
      <c t="s">
        <v>40645</v>
      </c>
      <c t="s">
        <v>3093</v>
      </c>
      <c t="s">
        <v>48198</v>
      </c>
    </row>
    <row>
      <c t="s">
        <v>17594</v>
      </c>
      <c t="s">
        <v>36551</v>
      </c>
      <c t="s">
        <v>50500</v>
      </c>
      <c t="s">
        <v>49048</v>
      </c>
      <c t="s">
        <v>28909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973" s="1" t="str">
        <f ca="1">HYPERLINK("https://web.datatree.com/?/property?propertyId=33527389", "https://web.datatree.com/?/property?propertyId=33527389")</f>
        <v>https://web.datatree.com/?/property?propertyId=33527389</v>
      </c>
      <c r="Q3973" t="s">
        <v>316</v>
      </c>
      <c>
        <v>0.247</v>
      </c>
      <c t="s">
        <v>5471</v>
      </c>
      <c t="s">
        <v>62380</v>
      </c>
      <c t="s">
        <v>55245</v>
      </c>
      <c t="s">
        <v>54573</v>
      </c>
      <c t="s">
        <v>55245</v>
      </c>
      <c t="s">
        <v>57351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57672</v>
      </c>
      <c>
        <v>747</v>
      </c>
      <c r="AI3973" t="s">
        <v>22714</v>
      </c>
      <c r="AL3973" t="s">
        <v>39115</v>
      </c>
      <c r="AN3973" t="s">
        <v>51137</v>
      </c>
      <c>
        <v>48662</v>
      </c>
      <c r="AQ3973" t="s">
        <v>3093</v>
      </c>
      <c t="s">
        <v>16525</v>
      </c>
    </row>
    <row>
      <c t="s">
        <v>17594</v>
      </c>
      <c t="s">
        <v>47105</v>
      </c>
      <c t="s">
        <v>18310</v>
      </c>
      <c t="s">
        <v>58437</v>
      </c>
      <c t="s">
        <v>44902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3974" s="1" t="str">
        <f ca="1">HYPERLINK("https://web.datatree.com/?/property?propertyId=33527461", "https://web.datatree.com/?/property?propertyId=33527461")</f>
        <v>https://web.datatree.com/?/property?propertyId=33527461</v>
      </c>
      <c r="Q3974" t="s">
        <v>316</v>
      </c>
      <c>
        <v>0.23</v>
      </c>
      <c t="s">
        <v>6175</v>
      </c>
      <c r="U3974" t="s">
        <v>47637</v>
      </c>
      <c r="W3974" t="s">
        <v>20677</v>
      </c>
      <c t="s">
        <v>52158</v>
      </c>
      <c t="s">
        <v>5115</v>
      </c>
      <c t="s">
        <v>2517</v>
      </c>
      <c t="s">
        <v>39289</v>
      </c>
      <c>
        <v>33904</v>
      </c>
      <c t="s">
        <v>19335</v>
      </c>
      <c t="s">
        <v>48794</v>
      </c>
      <c t="s">
        <v>27059</v>
      </c>
      <c>
        <v>2440</v>
      </c>
      <c r="AI3974" t="s">
        <v>48405</v>
      </c>
      <c t="s">
        <v>31192</v>
      </c>
      <c r="AL3974" t="s">
        <v>2407</v>
      </c>
      <c r="AN3974" t="s">
        <v>19878</v>
      </c>
      <c t="s">
        <v>15139</v>
      </c>
      <c t="s">
        <v>43446</v>
      </c>
      <c t="s">
        <v>3093</v>
      </c>
      <c t="s">
        <v>41456</v>
      </c>
    </row>
    <row>
      <c t="s">
        <v>17594</v>
      </c>
      <c t="s">
        <v>242</v>
      </c>
      <c t="s">
        <v>6251</v>
      </c>
      <c t="s">
        <v>21444</v>
      </c>
      <c t="s">
        <v>61172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3975" s="1" t="str">
        <f ca="1">HYPERLINK("https://web.datatree.com/?/property?propertyId=33528122", "https://web.datatree.com/?/property?propertyId=33528122")</f>
        <v>https://web.datatree.com/?/property?propertyId=33528122</v>
      </c>
      <c r="Q3975" t="s">
        <v>316</v>
      </c>
      <c>
        <v>0.244</v>
      </c>
      <c t="s">
        <v>6175</v>
      </c>
      <c t="s">
        <v>51955</v>
      </c>
      <c t="s">
        <v>12852</v>
      </c>
      <c r="X3975" t="s">
        <v>54460</v>
      </c>
      <c t="s">
        <v>13478</v>
      </c>
      <c t="s">
        <v>2517</v>
      </c>
      <c t="s">
        <v>39289</v>
      </c>
      <c>
        <v>33909</v>
      </c>
      <c t="s">
        <v>21399</v>
      </c>
      <c t="s">
        <v>48794</v>
      </c>
      <c t="s">
        <v>34558</v>
      </c>
      <c>
        <v>5855</v>
      </c>
      <c r="AI3975" t="s">
        <v>39825</v>
      </c>
      <c t="s">
        <v>45620</v>
      </c>
      <c t="s">
        <v>35813</v>
      </c>
      <c t="s">
        <v>23972</v>
      </c>
      <c r="AN3975" t="s">
        <v>19878</v>
      </c>
      <c t="s">
        <v>41754</v>
      </c>
      <c t="s">
        <v>62701</v>
      </c>
      <c t="s">
        <v>3093</v>
      </c>
      <c t="s">
        <v>18850</v>
      </c>
    </row>
    <row>
      <c t="s">
        <v>17594</v>
      </c>
      <c t="s">
        <v>10358</v>
      </c>
      <c t="s">
        <v>62884</v>
      </c>
      <c t="s">
        <v>21115</v>
      </c>
      <c t="s">
        <v>20260</v>
      </c>
      <c s="3">
        <v>12544</v>
      </c>
      <c s="3">
        <v>12544</v>
      </c>
      <c s="3">
        <v>4972</v>
      </c>
      <c>
        <v>0</v>
      </c>
      <c s="3">
        <v>0</v>
      </c>
      <c s="3">
        <v>336.18</v>
      </c>
      <c s="3">
        <v>12544</v>
      </c>
      <c r="O3976" s="1" t="str">
        <f ca="1">HYPERLINK("https://web.datatree.com/?/property?propertyId=33528517", "https://web.datatree.com/?/property?propertyId=33528517")</f>
        <v>https://web.datatree.com/?/property?propertyId=33528517</v>
      </c>
      <c r="Q3976" t="s">
        <v>316</v>
      </c>
      <c>
        <v>0.386</v>
      </c>
      <c t="s">
        <v>5471</v>
      </c>
      <c t="s">
        <v>63047</v>
      </c>
      <c t="s">
        <v>8427</v>
      </c>
      <c t="s">
        <v>48049</v>
      </c>
      <c t="s">
        <v>8427</v>
      </c>
      <c t="s">
        <v>11902</v>
      </c>
      <c t="s">
        <v>3747</v>
      </c>
      <c t="s">
        <v>65059</v>
      </c>
      <c t="s">
        <v>39289</v>
      </c>
      <c>
        <v>33905</v>
      </c>
      <c t="s">
        <v>10948</v>
      </c>
      <c t="s">
        <v>48794</v>
      </c>
      <c t="s">
        <v>64747</v>
      </c>
      <c>
        <v>3735</v>
      </c>
      <c r="AI3976" t="s">
        <v>56324</v>
      </c>
      <c t="s">
        <v>31192</v>
      </c>
      <c r="AL3976" t="s">
        <v>38297</v>
      </c>
      <c r="AN3976" t="s">
        <v>27222</v>
      </c>
      <c t="s">
        <v>32943</v>
      </c>
      <c t="s">
        <v>21201</v>
      </c>
      <c t="s">
        <v>3093</v>
      </c>
      <c t="s">
        <v>48574</v>
      </c>
    </row>
    <row>
      <c t="s">
        <v>17594</v>
      </c>
      <c t="s">
        <v>15843</v>
      </c>
      <c t="s">
        <v>918</v>
      </c>
      <c t="s">
        <v>52375</v>
      </c>
      <c t="s">
        <v>30918</v>
      </c>
      <c s="3">
        <v>7700</v>
      </c>
      <c s="3">
        <v>7700</v>
      </c>
      <c s="3">
        <v>7700</v>
      </c>
      <c>
        <v>0</v>
      </c>
      <c s="3">
        <v>0</v>
      </c>
      <c s="3">
        <v>597.87</v>
      </c>
      <c s="3">
        <v>7700</v>
      </c>
      <c>
        <v>2014</v>
      </c>
      <c>
        <v>5571</v>
      </c>
      <c s="1" t="str">
        <f ca="1">HYPERLINK("https://web.datatree.com/?/property?propertyId=33529219", "https://web.datatree.com/?/property?propertyId=33529219")</f>
        <v>https://web.datatree.com/?/property?propertyId=33529219</v>
      </c>
      <c r="Q3977" t="s">
        <v>316</v>
      </c>
      <c>
        <v>0.269</v>
      </c>
      <c t="s">
        <v>6175</v>
      </c>
      <c t="s">
        <v>13478</v>
      </c>
      <c t="s">
        <v>51096</v>
      </c>
      <c t="s">
        <v>5121</v>
      </c>
      <c t="s">
        <v>50336</v>
      </c>
      <c t="s">
        <v>7835</v>
      </c>
      <c t="s">
        <v>14917</v>
      </c>
      <c t="s">
        <v>2517</v>
      </c>
      <c t="s">
        <v>39289</v>
      </c>
      <c>
        <v>33909</v>
      </c>
      <c t="s">
        <v>25734</v>
      </c>
      <c t="s">
        <v>48794</v>
      </c>
      <c t="s">
        <v>40839</v>
      </c>
      <c>
        <v>101</v>
      </c>
      <c r="AI3977" t="s">
        <v>36231</v>
      </c>
      <c r="AL3977" t="s">
        <v>2961</v>
      </c>
      <c r="AN3977" t="s">
        <v>18236</v>
      </c>
      <c t="s">
        <v>2025</v>
      </c>
      <c t="s">
        <v>22455</v>
      </c>
      <c t="s">
        <v>3093</v>
      </c>
      <c t="s">
        <v>16616</v>
      </c>
    </row>
    <row>
      <c t="s">
        <v>17594</v>
      </c>
      <c t="s">
        <v>61552</v>
      </c>
      <c t="s">
        <v>65433</v>
      </c>
      <c t="s">
        <v>15200</v>
      </c>
      <c t="s">
        <v>23011</v>
      </c>
      <c s="3">
        <v>7700</v>
      </c>
      <c s="3">
        <v>7700</v>
      </c>
      <c s="3">
        <v>7700</v>
      </c>
      <c>
        <v>0</v>
      </c>
      <c s="3">
        <v>0</v>
      </c>
      <c s="3">
        <v>694.27</v>
      </c>
      <c s="3">
        <v>7700</v>
      </c>
      <c r="O3978" s="1" t="str">
        <f ca="1">HYPERLINK("https://web.datatree.com/?/property?propertyId=33529337", "https://web.datatree.com/?/property?propertyId=33529337")</f>
        <v>https://web.datatree.com/?/property?propertyId=33529337</v>
      </c>
      <c r="Q3978" t="s">
        <v>316</v>
      </c>
      <c>
        <v>0.241</v>
      </c>
      <c t="s">
        <v>6175</v>
      </c>
      <c t="s">
        <v>2023</v>
      </c>
      <c t="s">
        <v>31571</v>
      </c>
      <c r="X3978" t="s">
        <v>4539</v>
      </c>
      <c t="s">
        <v>29190</v>
      </c>
      <c t="s">
        <v>2517</v>
      </c>
      <c t="s">
        <v>39289</v>
      </c>
      <c>
        <v>33909</v>
      </c>
      <c t="s">
        <v>63572</v>
      </c>
      <c t="s">
        <v>48794</v>
      </c>
      <c t="s">
        <v>34276</v>
      </c>
      <c>
        <v>27</v>
      </c>
      <c r="AI3978" t="s">
        <v>5273</v>
      </c>
      <c t="s">
        <v>1671</v>
      </c>
      <c r="AL3978" t="s">
        <v>33692</v>
      </c>
      <c t="s">
        <v>33692</v>
      </c>
      <c t="s">
        <v>51087</v>
      </c>
      <c t="s">
        <v>66712</v>
      </c>
      <c t="s">
        <v>7207</v>
      </c>
      <c t="s">
        <v>3093</v>
      </c>
      <c t="s">
        <v>54868</v>
      </c>
    </row>
    <row>
      <c t="s">
        <v>17594</v>
      </c>
      <c t="s">
        <v>16699</v>
      </c>
      <c t="s">
        <v>18696</v>
      </c>
      <c t="s">
        <v>32982</v>
      </c>
      <c t="s">
        <v>21370</v>
      </c>
      <c s="3">
        <v>25431</v>
      </c>
      <c s="3">
        <v>25431</v>
      </c>
      <c s="3">
        <v>8778</v>
      </c>
      <c>
        <v>0</v>
      </c>
      <c s="3">
        <v>0</v>
      </c>
      <c s="3">
        <v>724.11</v>
      </c>
      <c s="3">
        <v>25431</v>
      </c>
      <c r="O3979" s="1" t="str">
        <f ca="1">HYPERLINK("https://web.datatree.com/?/property?propertyId=33529823", "https://web.datatree.com/?/property?propertyId=33529823")</f>
        <v>https://web.datatree.com/?/property?propertyId=33529823</v>
      </c>
      <c r="Q3979" t="s">
        <v>316</v>
      </c>
      <c>
        <v>0.428</v>
      </c>
      <c t="s">
        <v>6175</v>
      </c>
      <c t="s">
        <v>35571</v>
      </c>
      <c t="s">
        <v>52267</v>
      </c>
      <c r="X3979" t="s">
        <v>36609</v>
      </c>
      <c t="s">
        <v>60363</v>
      </c>
      <c t="s">
        <v>2517</v>
      </c>
      <c t="s">
        <v>39289</v>
      </c>
      <c>
        <v>33909</v>
      </c>
      <c>
        <v>33909</v>
      </c>
      <c t="s">
        <v>48794</v>
      </c>
      <c t="s">
        <v>7152</v>
      </c>
      <c>
        <v>94</v>
      </c>
      <c r="AI3979" t="s">
        <v>55164</v>
      </c>
      <c t="s">
        <v>45393</v>
      </c>
      <c r="AL3979" t="s">
        <v>34265</v>
      </c>
      <c t="s">
        <v>46764</v>
      </c>
      <c t="s">
        <v>27747</v>
      </c>
      <c>
        <v>2135</v>
      </c>
      <c r="AQ3979" t="s">
        <v>3093</v>
      </c>
      <c t="s">
        <v>65313</v>
      </c>
    </row>
    <row>
      <c t="s">
        <v>42103</v>
      </c>
      <c t="s">
        <v>36543</v>
      </c>
      <c t="s">
        <v>17988</v>
      </c>
      <c t="s">
        <v>8893</v>
      </c>
      <c t="s">
        <v>10431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3980" s="1" t="str">
        <f ca="1">HYPERLINK("https://web.datatree.com/?/property?propertyId=33530244", "https://web.datatree.com/?/property?propertyId=33530244")</f>
        <v>https://web.datatree.com/?/property?propertyId=33530244</v>
      </c>
      <c r="Q3980" t="s">
        <v>316</v>
      </c>
      <c>
        <v>0.23</v>
      </c>
      <c t="s">
        <v>22490</v>
      </c>
      <c t="s">
        <v>51968</v>
      </c>
      <c t="s">
        <v>2044</v>
      </c>
      <c r="X3980" t="s">
        <v>327</v>
      </c>
      <c t="s">
        <v>49122</v>
      </c>
      <c t="s">
        <v>2517</v>
      </c>
      <c t="s">
        <v>39289</v>
      </c>
      <c>
        <v>33909</v>
      </c>
      <c t="s">
        <v>66432</v>
      </c>
      <c t="s">
        <v>48794</v>
      </c>
      <c t="s">
        <v>65995</v>
      </c>
      <c r="AI3980" t="s">
        <v>56856</v>
      </c>
      <c r="AL3980" t="s">
        <v>14921</v>
      </c>
      <c r="AN3980" t="s">
        <v>27747</v>
      </c>
      <c t="s">
        <v>12300</v>
      </c>
      <c t="s">
        <v>7011</v>
      </c>
      <c t="s">
        <v>3093</v>
      </c>
      <c t="s">
        <v>19352</v>
      </c>
    </row>
    <row>
      <c t="s">
        <v>42103</v>
      </c>
      <c t="s">
        <v>51039</v>
      </c>
      <c t="s">
        <v>55723</v>
      </c>
      <c t="s">
        <v>16700</v>
      </c>
      <c t="s">
        <v>17194</v>
      </c>
      <c s="3">
        <v>38645</v>
      </c>
      <c s="3">
        <v>38645</v>
      </c>
      <c s="3">
        <v>15044</v>
      </c>
      <c>
        <v>0</v>
      </c>
      <c s="3">
        <v>0</v>
      </c>
      <c s="3">
        <v>794.88</v>
      </c>
      <c s="3">
        <v>38645</v>
      </c>
      <c r="O3981" s="1" t="str">
        <f ca="1">HYPERLINK("https://web.datatree.com/?/property?propertyId=33531454", "https://web.datatree.com/?/property?propertyId=33531454")</f>
        <v>https://web.datatree.com/?/property?propertyId=33531454</v>
      </c>
      <c r="Q3981" t="s">
        <v>316</v>
      </c>
      <c>
        <v>0.23</v>
      </c>
      <c t="s">
        <v>6175</v>
      </c>
      <c r="U3981" t="s">
        <v>44372</v>
      </c>
      <c r="W3981" t="s">
        <v>57775</v>
      </c>
      <c t="s">
        <v>8382</v>
      </c>
      <c t="s">
        <v>30928</v>
      </c>
      <c t="s">
        <v>2517</v>
      </c>
      <c t="s">
        <v>39289</v>
      </c>
      <c>
        <v>33909</v>
      </c>
      <c t="s">
        <v>37431</v>
      </c>
      <c t="s">
        <v>48794</v>
      </c>
      <c t="s">
        <v>42938</v>
      </c>
      <c r="AI3981" t="s">
        <v>34785</v>
      </c>
      <c r="AL3981" t="s">
        <v>23688</v>
      </c>
      <c t="s">
        <v>23688</v>
      </c>
      <c t="s">
        <v>14798</v>
      </c>
      <c>
        <v>81637</v>
      </c>
      <c t="s">
        <v>15796</v>
      </c>
      <c t="s">
        <v>3093</v>
      </c>
      <c t="s">
        <v>561</v>
      </c>
    </row>
    <row>
      <c t="s">
        <v>17594</v>
      </c>
      <c t="s">
        <v>49078</v>
      </c>
      <c t="s">
        <v>52387</v>
      </c>
      <c t="s">
        <v>7956</v>
      </c>
      <c t="s">
        <v>55329</v>
      </c>
      <c s="3">
        <v>7600</v>
      </c>
      <c s="3">
        <v>7600</v>
      </c>
      <c s="3">
        <v>7600</v>
      </c>
      <c>
        <v>0</v>
      </c>
      <c s="3">
        <v>0</v>
      </c>
      <c s="3">
        <v>573.63</v>
      </c>
      <c s="3">
        <v>7600</v>
      </c>
      <c r="O3982" s="1" t="str">
        <f ca="1">HYPERLINK("https://web.datatree.com/?/property?propertyId=33532032", "https://web.datatree.com/?/property?propertyId=33532032")</f>
        <v>https://web.datatree.com/?/property?propertyId=33532032</v>
      </c>
      <c r="Q3982" t="s">
        <v>316</v>
      </c>
      <c>
        <v>0.255</v>
      </c>
      <c t="s">
        <v>6175</v>
      </c>
      <c t="s">
        <v>1859</v>
      </c>
      <c t="s">
        <v>52097</v>
      </c>
      <c t="s">
        <v>48615</v>
      </c>
      <c t="s">
        <v>52097</v>
      </c>
      <c t="s">
        <v>62213</v>
      </c>
      <c t="s">
        <v>14534</v>
      </c>
      <c t="s">
        <v>2517</v>
      </c>
      <c t="s">
        <v>39289</v>
      </c>
      <c>
        <v>33909</v>
      </c>
      <c t="s">
        <v>18033</v>
      </c>
      <c t="s">
        <v>48794</v>
      </c>
      <c t="s">
        <v>34023</v>
      </c>
      <c>
        <v>2445</v>
      </c>
      <c r="AI3982" t="s">
        <v>34598</v>
      </c>
      <c t="s">
        <v>45393</v>
      </c>
      <c r="AL3982" t="s">
        <v>63688</v>
      </c>
      <c r="AN3982" t="s">
        <v>50917</v>
      </c>
      <c t="s">
        <v>17490</v>
      </c>
      <c t="s">
        <v>23744</v>
      </c>
      <c t="s">
        <v>3093</v>
      </c>
      <c t="s">
        <v>66332</v>
      </c>
    </row>
    <row>
      <c t="s">
        <v>17594</v>
      </c>
      <c t="s">
        <v>40086</v>
      </c>
      <c t="s">
        <v>19944</v>
      </c>
      <c t="s">
        <v>10786</v>
      </c>
      <c t="s">
        <v>28895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3983" s="1" t="str">
        <f ca="1">HYPERLINK("https://web.datatree.com/?/property?propertyId=33532944", "https://web.datatree.com/?/property?propertyId=33532944")</f>
        <v>https://web.datatree.com/?/property?propertyId=33532944</v>
      </c>
      <c r="Q3983" t="s">
        <v>316</v>
      </c>
      <c>
        <v>0.244</v>
      </c>
      <c t="s">
        <v>6175</v>
      </c>
      <c t="s">
        <v>19424</v>
      </c>
      <c t="s">
        <v>49442</v>
      </c>
      <c t="s">
        <v>21379</v>
      </c>
      <c t="s">
        <v>49442</v>
      </c>
      <c t="s">
        <v>51351</v>
      </c>
      <c t="s">
        <v>50440</v>
      </c>
      <c t="s">
        <v>2517</v>
      </c>
      <c t="s">
        <v>39289</v>
      </c>
      <c>
        <v>33909</v>
      </c>
      <c t="s">
        <v>11294</v>
      </c>
      <c t="s">
        <v>48794</v>
      </c>
      <c t="s">
        <v>22627</v>
      </c>
      <c>
        <v>17136</v>
      </c>
      <c r="AI3983" t="s">
        <v>26303</v>
      </c>
      <c t="s">
        <v>55842</v>
      </c>
      <c r="AL3983" t="s">
        <v>26544</v>
      </c>
      <c t="s">
        <v>26544</v>
      </c>
      <c t="s">
        <v>19878</v>
      </c>
      <c t="s">
        <v>14992</v>
      </c>
      <c t="s">
        <v>23744</v>
      </c>
      <c t="s">
        <v>3093</v>
      </c>
      <c t="s">
        <v>9437</v>
      </c>
    </row>
    <row>
      <c t="s">
        <v>17594</v>
      </c>
      <c t="s">
        <v>53767</v>
      </c>
      <c t="s">
        <v>27138</v>
      </c>
      <c t="s">
        <v>31869</v>
      </c>
      <c t="s">
        <v>46345</v>
      </c>
      <c s="3">
        <v>21600</v>
      </c>
      <c s="3">
        <v>21600</v>
      </c>
      <c s="3">
        <v>9900</v>
      </c>
      <c>
        <v>0</v>
      </c>
      <c s="3">
        <v>0</v>
      </c>
      <c s="3">
        <v>690.24</v>
      </c>
      <c s="3">
        <v>21600</v>
      </c>
      <c r="O3984" s="1" t="str">
        <f ca="1">HYPERLINK("https://web.datatree.com/?/property?propertyId=33533645", "https://web.datatree.com/?/property?propertyId=33533645")</f>
        <v>https://web.datatree.com/?/property?propertyId=33533645</v>
      </c>
      <c r="Q3984" t="s">
        <v>316</v>
      </c>
      <c>
        <v>0.344</v>
      </c>
      <c t="s">
        <v>42044</v>
      </c>
      <c r="U3984" t="s">
        <v>10434</v>
      </c>
      <c r="W3984" t="s">
        <v>53756</v>
      </c>
      <c t="s">
        <v>4350</v>
      </c>
      <c t="s">
        <v>7113</v>
      </c>
      <c t="s">
        <v>2517</v>
      </c>
      <c t="s">
        <v>39289</v>
      </c>
      <c>
        <v>33909</v>
      </c>
      <c t="s">
        <v>5757</v>
      </c>
      <c t="s">
        <v>48794</v>
      </c>
      <c t="s">
        <v>57056</v>
      </c>
      <c>
        <v>4790</v>
      </c>
      <c r="AI3984" t="s">
        <v>58797</v>
      </c>
      <c t="s">
        <v>24900</v>
      </c>
      <c r="AL3984" t="s">
        <v>29515</v>
      </c>
      <c t="s">
        <v>29515</v>
      </c>
      <c t="s">
        <v>39289</v>
      </c>
      <c t="s">
        <v>12662</v>
      </c>
      <c t="s">
        <v>18692</v>
      </c>
      <c t="s">
        <v>3093</v>
      </c>
      <c t="s">
        <v>6590</v>
      </c>
    </row>
    <row>
      <c t="s">
        <v>17594</v>
      </c>
      <c t="s">
        <v>27062</v>
      </c>
      <c t="s">
        <v>31682</v>
      </c>
      <c t="s">
        <v>55120</v>
      </c>
      <c t="s">
        <v>31600</v>
      </c>
      <c s="3">
        <v>72311</v>
      </c>
      <c s="3">
        <v>63500</v>
      </c>
      <c s="3">
        <v>70476</v>
      </c>
      <c>
        <v>0</v>
      </c>
      <c s="3">
        <v>0</v>
      </c>
      <c s="3">
        <v>1070.24</v>
      </c>
      <c s="3">
        <v>72311</v>
      </c>
      <c r="O3985" s="1" t="str">
        <f ca="1">HYPERLINK("https://web.datatree.com/?/property?propertyId=33534062", "https://web.datatree.com/?/property?propertyId=33534062")</f>
        <v>https://web.datatree.com/?/property?propertyId=33534062</v>
      </c>
      <c r="Q3985" t="s">
        <v>316</v>
      </c>
      <c>
        <v>0.095</v>
      </c>
      <c t="s">
        <v>26492</v>
      </c>
      <c t="s">
        <v>42212</v>
      </c>
      <c t="s">
        <v>33786</v>
      </c>
      <c r="X3985" t="s">
        <v>23809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3440</v>
      </c>
      <c>
        <v>475</v>
      </c>
      <c r="AI3985" t="s">
        <v>26817</v>
      </c>
      <c t="s">
        <v>55842</v>
      </c>
      <c r="AL3985" t="s">
        <v>41872</v>
      </c>
      <c t="s">
        <v>41872</v>
      </c>
      <c t="s">
        <v>49572</v>
      </c>
      <c t="s">
        <v>26872</v>
      </c>
      <c t="s">
        <v>11138</v>
      </c>
      <c t="s">
        <v>3093</v>
      </c>
      <c t="s">
        <v>41943</v>
      </c>
    </row>
    <row>
      <c t="s">
        <v>17594</v>
      </c>
      <c t="s">
        <v>15003</v>
      </c>
      <c t="s">
        <v>35529</v>
      </c>
      <c t="s">
        <v>39070</v>
      </c>
      <c t="s">
        <v>55532</v>
      </c>
      <c s="3">
        <v>1400</v>
      </c>
      <c s="3">
        <v>1400</v>
      </c>
      <c s="3">
        <v>1400</v>
      </c>
      <c>
        <v>0</v>
      </c>
      <c s="3">
        <v>0</v>
      </c>
      <c s="3">
        <v>310.23</v>
      </c>
      <c s="3">
        <v>1400</v>
      </c>
      <c>
        <v>2019</v>
      </c>
      <c>
        <v>1963.87</v>
      </c>
      <c s="1" t="str">
        <f ca="1">HYPERLINK("https://web.datatree.com/?/property?propertyId=33534508", "https://web.datatree.com/?/property?propertyId=33534508")</f>
        <v>https://web.datatree.com/?/property?propertyId=33534508</v>
      </c>
      <c r="Q3986" t="s">
        <v>316</v>
      </c>
      <c>
        <v>0.143</v>
      </c>
      <c t="s">
        <v>42044</v>
      </c>
      <c t="s">
        <v>64119</v>
      </c>
      <c t="s">
        <v>39666</v>
      </c>
      <c r="X3986" t="s">
        <v>16554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2267</v>
      </c>
      <c r="AI3986" t="s">
        <v>59906</v>
      </c>
      <c t="s">
        <v>31192</v>
      </c>
      <c t="s">
        <v>52744</v>
      </c>
      <c t="s">
        <v>63101</v>
      </c>
      <c t="s">
        <v>63101</v>
      </c>
      <c t="s">
        <v>18236</v>
      </c>
      <c t="s">
        <v>12639</v>
      </c>
      <c t="s">
        <v>17380</v>
      </c>
      <c t="s">
        <v>3093</v>
      </c>
      <c t="s">
        <v>2046</v>
      </c>
    </row>
    <row>
      <c t="s">
        <v>17594</v>
      </c>
      <c t="s">
        <v>37205</v>
      </c>
      <c t="s">
        <v>55365</v>
      </c>
      <c t="s">
        <v>5461</v>
      </c>
      <c t="s">
        <v>20702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3987" s="1" t="str">
        <f ca="1">HYPERLINK("https://web.datatree.com/?/property?propertyId=33534891", "https://web.datatree.com/?/property?propertyId=33534891")</f>
        <v>https://web.datatree.com/?/property?propertyId=33534891</v>
      </c>
      <c r="Q3987" t="s">
        <v>316</v>
      </c>
      <c>
        <v>0.248</v>
      </c>
      <c t="s">
        <v>5471</v>
      </c>
      <c t="s">
        <v>41661</v>
      </c>
      <c t="s">
        <v>61301</v>
      </c>
      <c r="X3987" t="s">
        <v>60279</v>
      </c>
      <c t="s">
        <v>62688</v>
      </c>
      <c t="s">
        <v>65059</v>
      </c>
      <c t="s">
        <v>39289</v>
      </c>
      <c>
        <v>33905</v>
      </c>
      <c t="s">
        <v>64131</v>
      </c>
      <c t="s">
        <v>48794</v>
      </c>
      <c t="s">
        <v>39748</v>
      </c>
      <c>
        <v>11117</v>
      </c>
      <c r="AI3987" t="s">
        <v>59435</v>
      </c>
      <c t="s">
        <v>45161</v>
      </c>
      <c r="AL3987" t="s">
        <v>13020</v>
      </c>
      <c r="AN3987" t="s">
        <v>50917</v>
      </c>
      <c t="s">
        <v>23512</v>
      </c>
      <c t="s">
        <v>61719</v>
      </c>
      <c t="s">
        <v>3093</v>
      </c>
      <c t="s">
        <v>3187</v>
      </c>
    </row>
    <row>
      <c t="s">
        <v>17594</v>
      </c>
      <c t="s">
        <v>28746</v>
      </c>
      <c t="s">
        <v>10790</v>
      </c>
      <c t="s">
        <v>19048</v>
      </c>
      <c t="s">
        <v>1694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 r="O3988" s="1" t="str">
        <f ca="1">HYPERLINK("https://web.datatree.com/?/property?propertyId=33535339", "https://web.datatree.com/?/property?propertyId=33535339")</f>
        <v>https://web.datatree.com/?/property?propertyId=33535339</v>
      </c>
      <c r="Q3988" t="s">
        <v>316</v>
      </c>
      <c>
        <v>0.225</v>
      </c>
      <c t="s">
        <v>5471</v>
      </c>
      <c t="s">
        <v>64030</v>
      </c>
      <c t="s">
        <v>63639</v>
      </c>
      <c t="s">
        <v>62460</v>
      </c>
      <c t="s">
        <v>63639</v>
      </c>
      <c t="s">
        <v>18007</v>
      </c>
      <c t="s">
        <v>60739</v>
      </c>
      <c t="s">
        <v>65059</v>
      </c>
      <c t="s">
        <v>39289</v>
      </c>
      <c>
        <v>33905</v>
      </c>
      <c t="s">
        <v>48054</v>
      </c>
      <c t="s">
        <v>48794</v>
      </c>
      <c t="s">
        <v>25634</v>
      </c>
      <c>
        <v>572</v>
      </c>
      <c r="AI3988" t="s">
        <v>65005</v>
      </c>
      <c t="s">
        <v>31192</v>
      </c>
      <c r="AL3988" t="s">
        <v>19567</v>
      </c>
      <c r="AN3988" t="s">
        <v>65451</v>
      </c>
      <c t="s">
        <v>37177</v>
      </c>
      <c t="s">
        <v>23744</v>
      </c>
      <c t="s">
        <v>3093</v>
      </c>
      <c t="s">
        <v>26103</v>
      </c>
    </row>
    <row>
      <c t="s">
        <v>17594</v>
      </c>
      <c t="s">
        <v>22606</v>
      </c>
      <c t="s">
        <v>12358</v>
      </c>
      <c t="s">
        <v>35660</v>
      </c>
      <c t="s">
        <v>22823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3989" s="1" t="str">
        <f ca="1">HYPERLINK("https://web.datatree.com/?/property?propertyId=33535465", "https://web.datatree.com/?/property?propertyId=33535465")</f>
        <v>https://web.datatree.com/?/property?propertyId=33535465</v>
      </c>
      <c r="Q3989" t="s">
        <v>316</v>
      </c>
      <c>
        <v>0.23</v>
      </c>
      <c t="s">
        <v>22490</v>
      </c>
      <c t="s">
        <v>56946</v>
      </c>
      <c t="s">
        <v>54904</v>
      </c>
      <c r="X3989" t="s">
        <v>14094</v>
      </c>
      <c t="s">
        <v>66701</v>
      </c>
      <c t="s">
        <v>2517</v>
      </c>
      <c t="s">
        <v>39289</v>
      </c>
      <c>
        <v>33909</v>
      </c>
      <c t="s">
        <v>59199</v>
      </c>
      <c t="s">
        <v>48794</v>
      </c>
      <c t="s">
        <v>38888</v>
      </c>
      <c>
        <v>16921</v>
      </c>
      <c r="AI3989" t="s">
        <v>2626</v>
      </c>
      <c t="s">
        <v>40123</v>
      </c>
      <c r="AL3989" t="s">
        <v>26641</v>
      </c>
      <c t="s">
        <v>26641</v>
      </c>
      <c t="s">
        <v>39289</v>
      </c>
      <c t="s">
        <v>21317</v>
      </c>
      <c t="s">
        <v>62830</v>
      </c>
      <c t="s">
        <v>3093</v>
      </c>
      <c t="s">
        <v>42297</v>
      </c>
    </row>
    <row>
      <c t="s">
        <v>17594</v>
      </c>
      <c t="s">
        <v>42917</v>
      </c>
      <c t="s">
        <v>11219</v>
      </c>
      <c t="s">
        <v>11566</v>
      </c>
      <c t="s">
        <v>11893</v>
      </c>
      <c s="3">
        <v>49341</v>
      </c>
      <c s="3">
        <v>49341</v>
      </c>
      <c s="3">
        <v>28600</v>
      </c>
      <c>
        <v>0</v>
      </c>
      <c s="3">
        <v>0</v>
      </c>
      <c s="3">
        <v>1795.29</v>
      </c>
      <c s="3">
        <v>49341</v>
      </c>
      <c r="O3990" s="1" t="str">
        <f ca="1">HYPERLINK("https://web.datatree.com/?/property?propertyId=33535502", "https://web.datatree.com/?/property?propertyId=33535502")</f>
        <v>https://web.datatree.com/?/property?propertyId=33535502</v>
      </c>
      <c r="Q3990" t="s">
        <v>316</v>
      </c>
      <c>
        <v>0.234</v>
      </c>
      <c t="s">
        <v>22490</v>
      </c>
      <c t="s">
        <v>44319</v>
      </c>
      <c t="s">
        <v>41818</v>
      </c>
      <c r="X3990" t="s">
        <v>15048</v>
      </c>
      <c t="s">
        <v>20024</v>
      </c>
      <c t="s">
        <v>2517</v>
      </c>
      <c t="s">
        <v>39289</v>
      </c>
      <c>
        <v>33909</v>
      </c>
      <c t="s">
        <v>10141</v>
      </c>
      <c t="s">
        <v>48794</v>
      </c>
      <c t="s">
        <v>33064</v>
      </c>
      <c t="s">
        <v>26977</v>
      </c>
      <c r="AI3990" t="s">
        <v>43789</v>
      </c>
      <c r="AL3990" t="s">
        <v>3992</v>
      </c>
      <c r="AN3990" t="s">
        <v>32840</v>
      </c>
      <c r="AR3990" t="s">
        <v>55347</v>
      </c>
    </row>
    <row>
      <c t="s">
        <v>17594</v>
      </c>
      <c t="s">
        <v>27797</v>
      </c>
      <c t="s">
        <v>4038</v>
      </c>
      <c t="s">
        <v>5875</v>
      </c>
      <c t="s">
        <v>42162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3991" s="1" t="str">
        <f ca="1">HYPERLINK("https://web.datatree.com/?/property?propertyId=33535805", "https://web.datatree.com/?/property?propertyId=33535805")</f>
        <v>https://web.datatree.com/?/property?propertyId=33535805</v>
      </c>
      <c r="Q3991" t="s">
        <v>316</v>
      </c>
      <c>
        <v>0.241</v>
      </c>
      <c t="s">
        <v>6175</v>
      </c>
      <c t="s">
        <v>18849</v>
      </c>
      <c t="s">
        <v>15470</v>
      </c>
      <c r="X3991" t="s">
        <v>19740</v>
      </c>
      <c t="s">
        <v>47150</v>
      </c>
      <c t="s">
        <v>2517</v>
      </c>
      <c t="s">
        <v>39289</v>
      </c>
      <c>
        <v>33909</v>
      </c>
      <c t="s">
        <v>40453</v>
      </c>
      <c t="s">
        <v>48794</v>
      </c>
      <c t="s">
        <v>29043</v>
      </c>
      <c>
        <v>3223</v>
      </c>
      <c r="AI3991" t="s">
        <v>34712</v>
      </c>
      <c t="s">
        <v>31192</v>
      </c>
      <c r="AL3991" t="s">
        <v>10946</v>
      </c>
      <c t="s">
        <v>29598</v>
      </c>
      <c t="s">
        <v>51087</v>
      </c>
      <c t="s">
        <v>11594</v>
      </c>
      <c t="s">
        <v>58683</v>
      </c>
      <c t="s">
        <v>3093</v>
      </c>
      <c t="s">
        <v>11412</v>
      </c>
    </row>
    <row>
      <c t="s">
        <v>17594</v>
      </c>
      <c t="s">
        <v>37767</v>
      </c>
      <c t="s">
        <v>25057</v>
      </c>
      <c t="s">
        <v>14563</v>
      </c>
      <c t="s">
        <v>6271</v>
      </c>
      <c s="3">
        <v>23673</v>
      </c>
      <c s="3">
        <v>23673</v>
      </c>
      <c s="3">
        <v>9570</v>
      </c>
      <c>
        <v>0</v>
      </c>
      <c s="3">
        <v>0</v>
      </c>
      <c s="3">
        <v>672.75</v>
      </c>
      <c s="3">
        <v>23673</v>
      </c>
      <c r="O3992" s="1" t="str">
        <f ca="1">HYPERLINK("https://web.datatree.com/?/property?propertyId=33536437", "https://web.datatree.com/?/property?propertyId=33536437")</f>
        <v>https://web.datatree.com/?/property?propertyId=33536437</v>
      </c>
      <c r="Q3992" t="s">
        <v>316</v>
      </c>
      <c>
        <v>0.311</v>
      </c>
      <c t="s">
        <v>22490</v>
      </c>
      <c t="s">
        <v>38644</v>
      </c>
      <c t="s">
        <v>45794</v>
      </c>
      <c t="s">
        <v>58492</v>
      </c>
      <c t="s">
        <v>47727</v>
      </c>
      <c t="s">
        <v>20794</v>
      </c>
      <c t="s">
        <v>22731</v>
      </c>
      <c t="s">
        <v>2517</v>
      </c>
      <c t="s">
        <v>39289</v>
      </c>
      <c>
        <v>33909</v>
      </c>
      <c t="s">
        <v>34430</v>
      </c>
      <c t="s">
        <v>48794</v>
      </c>
      <c t="s">
        <v>52711</v>
      </c>
      <c>
        <v>5678</v>
      </c>
      <c r="AI3992" t="s">
        <v>30146</v>
      </c>
      <c t="s">
        <v>55842</v>
      </c>
      <c r="AL3992" t="s">
        <v>35792</v>
      </c>
      <c t="s">
        <v>1657</v>
      </c>
      <c t="s">
        <v>51087</v>
      </c>
      <c t="s">
        <v>5021</v>
      </c>
      <c t="s">
        <v>32746</v>
      </c>
      <c t="s">
        <v>3093</v>
      </c>
      <c t="s">
        <v>45334</v>
      </c>
    </row>
    <row>
      <c t="s">
        <v>17594</v>
      </c>
      <c t="s">
        <v>5843</v>
      </c>
      <c t="s">
        <v>53091</v>
      </c>
      <c t="s">
        <v>43695</v>
      </c>
      <c t="s">
        <v>26640</v>
      </c>
      <c s="3">
        <v>52000</v>
      </c>
      <c s="3">
        <v>52000</v>
      </c>
      <c s="3">
        <v>28600</v>
      </c>
      <c>
        <v>0</v>
      </c>
      <c s="3">
        <v>0</v>
      </c>
      <c s="3">
        <v>945.24</v>
      </c>
      <c s="3">
        <v>52000</v>
      </c>
      <c r="O3993" s="1" t="str">
        <f ca="1">HYPERLINK("https://web.datatree.com/?/property?propertyId=33536659", "https://web.datatree.com/?/property?propertyId=33536659")</f>
        <v>https://web.datatree.com/?/property?propertyId=33536659</v>
      </c>
      <c r="Q3993" t="s">
        <v>316</v>
      </c>
      <c>
        <v>0.244</v>
      </c>
      <c t="s">
        <v>22490</v>
      </c>
      <c r="U3993" t="s">
        <v>58919</v>
      </c>
      <c r="W3993" t="s">
        <v>9899</v>
      </c>
      <c t="s">
        <v>54579</v>
      </c>
      <c t="s">
        <v>20024</v>
      </c>
      <c t="s">
        <v>2517</v>
      </c>
      <c t="s">
        <v>39289</v>
      </c>
      <c>
        <v>33909</v>
      </c>
      <c t="s">
        <v>25604</v>
      </c>
      <c t="s">
        <v>48794</v>
      </c>
      <c t="s">
        <v>67065</v>
      </c>
      <c>
        <v>5354</v>
      </c>
      <c r="AI3993" t="s">
        <v>2297</v>
      </c>
      <c t="s">
        <v>24900</v>
      </c>
      <c r="AL3993" t="s">
        <v>21676</v>
      </c>
      <c t="s">
        <v>21676</v>
      </c>
      <c t="s">
        <v>39289</v>
      </c>
      <c t="s">
        <v>14168</v>
      </c>
      <c t="s">
        <v>66797</v>
      </c>
      <c t="s">
        <v>3093</v>
      </c>
      <c t="s">
        <v>39153</v>
      </c>
    </row>
    <row>
      <c t="s">
        <v>17594</v>
      </c>
      <c t="s">
        <v>30220</v>
      </c>
      <c t="s">
        <v>57481</v>
      </c>
      <c t="s">
        <v>39946</v>
      </c>
      <c t="s">
        <v>54930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>
        <v>2019</v>
      </c>
      <c>
        <v>2757.79</v>
      </c>
      <c s="1" t="str">
        <f ca="1">HYPERLINK("https://web.datatree.com/?/property?propertyId=33536695", "https://web.datatree.com/?/property?propertyId=33536695")</f>
        <v>https://web.datatree.com/?/property?propertyId=33536695</v>
      </c>
      <c r="Q3994" t="s">
        <v>316</v>
      </c>
      <c>
        <v>0.244</v>
      </c>
      <c t="s">
        <v>6175</v>
      </c>
      <c t="s">
        <v>62157</v>
      </c>
      <c t="s">
        <v>57278</v>
      </c>
      <c r="X3994" t="s">
        <v>8953</v>
      </c>
      <c t="s">
        <v>17022</v>
      </c>
      <c t="s">
        <v>2517</v>
      </c>
      <c t="s">
        <v>39289</v>
      </c>
      <c>
        <v>33909</v>
      </c>
      <c t="s">
        <v>23764</v>
      </c>
      <c t="s">
        <v>48794</v>
      </c>
      <c t="s">
        <v>58860</v>
      </c>
      <c>
        <v>10214</v>
      </c>
      <c r="AI3994" t="s">
        <v>42660</v>
      </c>
      <c t="s">
        <v>31192</v>
      </c>
      <c r="AL3994" t="s">
        <v>35831</v>
      </c>
      <c r="AN3994" t="s">
        <v>18236</v>
      </c>
      <c t="s">
        <v>48715</v>
      </c>
      <c t="s">
        <v>62562</v>
      </c>
      <c t="s">
        <v>3093</v>
      </c>
      <c t="s">
        <v>24009</v>
      </c>
    </row>
    <row>
      <c t="s">
        <v>17594</v>
      </c>
      <c t="s">
        <v>54028</v>
      </c>
      <c t="s">
        <v>26549</v>
      </c>
      <c t="s">
        <v>24946</v>
      </c>
      <c t="s">
        <v>23173</v>
      </c>
      <c s="3">
        <v>7980</v>
      </c>
      <c s="3">
        <v>7980</v>
      </c>
      <c s="3">
        <v>7980</v>
      </c>
      <c>
        <v>0</v>
      </c>
      <c s="3">
        <v>0</v>
      </c>
      <c s="3">
        <v>668.28</v>
      </c>
      <c s="3">
        <v>7980</v>
      </c>
      <c r="O3995" s="1" t="str">
        <f ca="1">HYPERLINK("https://web.datatree.com/?/property?propertyId=33537157", "https://web.datatree.com/?/property?propertyId=33537157")</f>
        <v>https://web.datatree.com/?/property?propertyId=33537157</v>
      </c>
      <c r="Q3995" t="s">
        <v>316</v>
      </c>
      <c>
        <v>0.353</v>
      </c>
      <c t="s">
        <v>22490</v>
      </c>
      <c t="s">
        <v>43010</v>
      </c>
      <c t="s">
        <v>9837</v>
      </c>
      <c t="s">
        <v>608</v>
      </c>
      <c t="s">
        <v>9837</v>
      </c>
      <c t="s">
        <v>3069</v>
      </c>
      <c t="s">
        <v>33893</v>
      </c>
      <c t="s">
        <v>2517</v>
      </c>
      <c t="s">
        <v>39289</v>
      </c>
      <c>
        <v>33909</v>
      </c>
      <c>
        <v>33909</v>
      </c>
      <c t="s">
        <v>48794</v>
      </c>
      <c t="s">
        <v>25020</v>
      </c>
      <c>
        <v>84</v>
      </c>
      <c r="AI3995" t="s">
        <v>25586</v>
      </c>
      <c t="s">
        <v>45620</v>
      </c>
      <c r="AL3995" t="s">
        <v>29555</v>
      </c>
      <c r="AN3995" t="s">
        <v>14509</v>
      </c>
      <c t="s">
        <v>47223</v>
      </c>
      <c t="s">
        <v>702</v>
      </c>
      <c t="s">
        <v>3093</v>
      </c>
      <c t="s">
        <v>61744</v>
      </c>
    </row>
    <row>
      <c t="s">
        <v>17594</v>
      </c>
      <c t="s">
        <v>51146</v>
      </c>
      <c t="s">
        <v>28251</v>
      </c>
      <c t="s">
        <v>38305</v>
      </c>
      <c t="s">
        <v>10054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3996" s="1" t="str">
        <f ca="1">HYPERLINK("https://web.datatree.com/?/property?propertyId=33537628", "https://web.datatree.com/?/property?propertyId=33537628")</f>
        <v>https://web.datatree.com/?/property?propertyId=33537628</v>
      </c>
      <c r="Q3996" t="s">
        <v>316</v>
      </c>
      <c>
        <v>0.23</v>
      </c>
      <c t="s">
        <v>22490</v>
      </c>
      <c t="s">
        <v>6010</v>
      </c>
      <c t="s">
        <v>66010</v>
      </c>
      <c r="X3996" t="s">
        <v>14405</v>
      </c>
      <c t="s">
        <v>39082</v>
      </c>
      <c t="s">
        <v>2517</v>
      </c>
      <c t="s">
        <v>39289</v>
      </c>
      <c>
        <v>33909</v>
      </c>
      <c t="s">
        <v>13353</v>
      </c>
      <c t="s">
        <v>48794</v>
      </c>
      <c t="s">
        <v>21749</v>
      </c>
      <c>
        <v>4</v>
      </c>
      <c r="AI3996" t="s">
        <v>61663</v>
      </c>
      <c r="AL3996" t="s">
        <v>1873</v>
      </c>
      <c r="AN3996" t="s">
        <v>63985</v>
      </c>
      <c>
        <v>64839</v>
      </c>
      <c r="AR3996" t="s">
        <v>1605</v>
      </c>
    </row>
    <row>
      <c t="s">
        <v>17594</v>
      </c>
      <c t="s">
        <v>66837</v>
      </c>
      <c t="s">
        <v>7769</v>
      </c>
      <c t="s">
        <v>40623</v>
      </c>
      <c t="s">
        <v>19101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3997" s="1" t="str">
        <f ca="1">HYPERLINK("https://web.datatree.com/?/property?propertyId=33537928", "https://web.datatree.com/?/property?propertyId=33537928")</f>
        <v>https://web.datatree.com/?/property?propertyId=33537928</v>
      </c>
      <c r="Q3997" t="s">
        <v>316</v>
      </c>
      <c>
        <v>0.255</v>
      </c>
      <c t="s">
        <v>42044</v>
      </c>
      <c t="s">
        <v>44150</v>
      </c>
      <c t="s">
        <v>52545</v>
      </c>
      <c t="s">
        <v>63047</v>
      </c>
      <c t="s">
        <v>52545</v>
      </c>
      <c t="s">
        <v>47353</v>
      </c>
      <c t="s">
        <v>13478</v>
      </c>
      <c t="s">
        <v>2517</v>
      </c>
      <c t="s">
        <v>39289</v>
      </c>
      <c>
        <v>33909</v>
      </c>
      <c t="s">
        <v>17097</v>
      </c>
      <c t="s">
        <v>48794</v>
      </c>
      <c t="s">
        <v>40448</v>
      </c>
      <c>
        <v>76</v>
      </c>
      <c r="AI3997" t="s">
        <v>40277</v>
      </c>
      <c t="s">
        <v>24900</v>
      </c>
      <c r="AL3997" t="s">
        <v>66317</v>
      </c>
      <c r="AN3997" t="s">
        <v>50917</v>
      </c>
      <c t="s">
        <v>11633</v>
      </c>
      <c t="s">
        <v>38085</v>
      </c>
      <c t="s">
        <v>3093</v>
      </c>
      <c t="s">
        <v>49528</v>
      </c>
    </row>
    <row>
      <c t="s">
        <v>17594</v>
      </c>
      <c t="s">
        <v>63844</v>
      </c>
      <c t="s">
        <v>15799</v>
      </c>
      <c t="s">
        <v>15688</v>
      </c>
      <c t="s">
        <v>38016</v>
      </c>
      <c s="3">
        <v>1141949</v>
      </c>
      <c s="3">
        <v>1141949</v>
      </c>
      <c s="3">
        <v>1141949</v>
      </c>
      <c>
        <v>0</v>
      </c>
      <c s="3">
        <v>0</v>
      </c>
      <c s="3">
        <v>15669.58</v>
      </c>
      <c s="3">
        <v>1141949</v>
      </c>
      <c r="O3998" s="1" t="str">
        <f ca="1">HYPERLINK("https://web.datatree.com/?/property?propertyId=33537938", "https://web.datatree.com/?/property?propertyId=33537938")</f>
        <v>https://web.datatree.com/?/property?propertyId=33537938</v>
      </c>
      <c r="Q3998" t="s">
        <v>316</v>
      </c>
      <c>
        <v>0.441</v>
      </c>
      <c t="s">
        <v>5471</v>
      </c>
      <c r="U3998" t="s">
        <v>9100</v>
      </c>
      <c r="W3998" t="s">
        <v>52773</v>
      </c>
      <c t="s">
        <v>53445</v>
      </c>
      <c t="s">
        <v>39368</v>
      </c>
      <c t="s">
        <v>65059</v>
      </c>
      <c t="s">
        <v>39289</v>
      </c>
      <c>
        <v>33908</v>
      </c>
      <c t="s">
        <v>39692</v>
      </c>
      <c t="s">
        <v>48794</v>
      </c>
      <c t="s">
        <v>42351</v>
      </c>
      <c>
        <v>5619</v>
      </c>
      <c r="AI3998" t="s">
        <v>6003</v>
      </c>
      <c t="s">
        <v>45620</v>
      </c>
      <c r="AL3998" t="s">
        <v>10315</v>
      </c>
      <c t="s">
        <v>61974</v>
      </c>
      <c t="s">
        <v>27481</v>
      </c>
      <c t="s">
        <v>17927</v>
      </c>
      <c t="s">
        <v>46906</v>
      </c>
      <c t="s">
        <v>3093</v>
      </c>
      <c t="s">
        <v>27007</v>
      </c>
    </row>
    <row>
      <c t="s">
        <v>17594</v>
      </c>
      <c t="s">
        <v>32169</v>
      </c>
      <c t="s">
        <v>4290</v>
      </c>
      <c t="s">
        <v>19516</v>
      </c>
      <c t="s">
        <v>7066</v>
      </c>
      <c s="3">
        <v>7300</v>
      </c>
      <c s="3">
        <v>7300</v>
      </c>
      <c s="3">
        <v>7300</v>
      </c>
      <c>
        <v>0</v>
      </c>
      <c s="3">
        <v>0</v>
      </c>
      <c s="3">
        <v>601.71</v>
      </c>
      <c s="3">
        <v>7300</v>
      </c>
      <c r="O3999" s="1" t="str">
        <f ca="1">HYPERLINK("https://web.datatree.com/?/property?propertyId=33538144", "https://web.datatree.com/?/property?propertyId=33538144")</f>
        <v>https://web.datatree.com/?/property?propertyId=33538144</v>
      </c>
      <c r="Q3999" t="s">
        <v>316</v>
      </c>
      <c>
        <v>0.229</v>
      </c>
      <c t="s">
        <v>22490</v>
      </c>
      <c t="s">
        <v>11883</v>
      </c>
      <c t="s">
        <v>29276</v>
      </c>
      <c t="s">
        <v>10361</v>
      </c>
      <c t="s">
        <v>7178</v>
      </c>
      <c t="s">
        <v>27115</v>
      </c>
      <c t="s">
        <v>47150</v>
      </c>
      <c t="s">
        <v>2517</v>
      </c>
      <c t="s">
        <v>39289</v>
      </c>
      <c>
        <v>33909</v>
      </c>
      <c t="s">
        <v>53276</v>
      </c>
      <c t="s">
        <v>48794</v>
      </c>
      <c t="s">
        <v>44276</v>
      </c>
      <c>
        <v>23371</v>
      </c>
      <c r="AI3999" t="s">
        <v>54669</v>
      </c>
      <c t="s">
        <v>31192</v>
      </c>
      <c>
        <v>443</v>
      </c>
      <c t="s">
        <v>14725</v>
      </c>
      <c t="s">
        <v>22539</v>
      </c>
      <c t="s">
        <v>65451</v>
      </c>
      <c t="s">
        <v>6827</v>
      </c>
      <c t="s">
        <v>48506</v>
      </c>
      <c t="s">
        <v>3093</v>
      </c>
      <c t="s">
        <v>22598</v>
      </c>
    </row>
    <row>
      <c t="s">
        <v>17594</v>
      </c>
      <c t="s">
        <v>51487</v>
      </c>
      <c t="s">
        <v>62809</v>
      </c>
      <c t="s">
        <v>55115</v>
      </c>
      <c t="s">
        <v>13761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4000" s="1" t="str">
        <f ca="1">HYPERLINK("https://web.datatree.com/?/property?propertyId=33538320", "https://web.datatree.com/?/property?propertyId=33538320")</f>
        <v>https://web.datatree.com/?/property?propertyId=33538320</v>
      </c>
      <c r="Q4000" t="s">
        <v>316</v>
      </c>
      <c>
        <v>0.241</v>
      </c>
      <c t="s">
        <v>6175</v>
      </c>
      <c t="s">
        <v>52057</v>
      </c>
      <c t="s">
        <v>34782</v>
      </c>
      <c t="s">
        <v>63047</v>
      </c>
      <c t="s">
        <v>34782</v>
      </c>
      <c t="s">
        <v>6244</v>
      </c>
      <c t="s">
        <v>2619</v>
      </c>
      <c t="s">
        <v>2517</v>
      </c>
      <c t="s">
        <v>39289</v>
      </c>
      <c>
        <v>33909</v>
      </c>
      <c t="s">
        <v>54816</v>
      </c>
      <c t="s">
        <v>48794</v>
      </c>
      <c t="s">
        <v>63734</v>
      </c>
      <c>
        <v>3003</v>
      </c>
      <c r="AI4000" t="s">
        <v>8166</v>
      </c>
      <c t="s">
        <v>24900</v>
      </c>
      <c r="AL4000" t="s">
        <v>59843</v>
      </c>
      <c r="AN4000" t="s">
        <v>36601</v>
      </c>
      <c t="s">
        <v>64811</v>
      </c>
      <c t="s">
        <v>48506</v>
      </c>
      <c t="s">
        <v>3093</v>
      </c>
      <c t="s">
        <v>37412</v>
      </c>
    </row>
    <row>
      <c t="s">
        <v>17594</v>
      </c>
      <c t="s">
        <v>33506</v>
      </c>
      <c t="s">
        <v>49565</v>
      </c>
      <c t="s">
        <v>34410</v>
      </c>
      <c t="s">
        <v>30843</v>
      </c>
      <c s="3">
        <v>9000</v>
      </c>
      <c s="3">
        <v>9000</v>
      </c>
      <c s="3">
        <v>9000</v>
      </c>
      <c>
        <v>0</v>
      </c>
      <c s="3">
        <v>0</v>
      </c>
      <c s="3">
        <v>712.89</v>
      </c>
      <c s="3">
        <v>9000</v>
      </c>
      <c r="O4001" s="1" t="str">
        <f ca="1">HYPERLINK("https://web.datatree.com/?/property?propertyId=33538623", "https://web.datatree.com/?/property?propertyId=33538623")</f>
        <v>https://web.datatree.com/?/property?propertyId=33538623</v>
      </c>
      <c r="Q4001" t="s">
        <v>316</v>
      </c>
      <c>
        <v>0.344</v>
      </c>
      <c t="s">
        <v>6175</v>
      </c>
      <c t="s">
        <v>30461</v>
      </c>
      <c t="s">
        <v>39666</v>
      </c>
      <c t="s">
        <v>34076</v>
      </c>
      <c t="s">
        <v>31475</v>
      </c>
      <c t="s">
        <v>38938</v>
      </c>
      <c t="s">
        <v>53663</v>
      </c>
      <c t="s">
        <v>2517</v>
      </c>
      <c t="s">
        <v>39289</v>
      </c>
      <c>
        <v>33909</v>
      </c>
      <c t="s">
        <v>67204</v>
      </c>
      <c t="s">
        <v>48794</v>
      </c>
      <c t="s">
        <v>26450</v>
      </c>
      <c>
        <v>11375</v>
      </c>
      <c r="AI4001" t="s">
        <v>28464</v>
      </c>
      <c t="s">
        <v>39321</v>
      </c>
      <c r="AL4001" t="s">
        <v>55393</v>
      </c>
      <c t="s">
        <v>18704</v>
      </c>
      <c t="s">
        <v>39289</v>
      </c>
      <c t="s">
        <v>8458</v>
      </c>
      <c t="s">
        <v>13449</v>
      </c>
      <c t="s">
        <v>3093</v>
      </c>
      <c t="s">
        <v>29032</v>
      </c>
    </row>
    <row>
      <c t="s">
        <v>17594</v>
      </c>
      <c t="s">
        <v>52080</v>
      </c>
      <c t="s">
        <v>55901</v>
      </c>
      <c t="s">
        <v>39127</v>
      </c>
      <c t="s">
        <v>19372</v>
      </c>
      <c s="3">
        <v>7500</v>
      </c>
      <c s="3">
        <v>7500</v>
      </c>
      <c s="3">
        <v>7500</v>
      </c>
      <c>
        <v>0</v>
      </c>
      <c s="3">
        <v>0</v>
      </c>
      <c s="3">
        <v>676.07</v>
      </c>
      <c s="3">
        <v>7500</v>
      </c>
      <c r="O4002" s="1" t="str">
        <f ca="1">HYPERLINK("https://web.datatree.com/?/property?propertyId=33539458", "https://web.datatree.com/?/property?propertyId=33539458")</f>
        <v>https://web.datatree.com/?/property?propertyId=33539458</v>
      </c>
      <c r="Q4002" t="s">
        <v>316</v>
      </c>
      <c>
        <v>0.23</v>
      </c>
      <c t="s">
        <v>6175</v>
      </c>
      <c t="s">
        <v>28983</v>
      </c>
      <c t="s">
        <v>49608</v>
      </c>
      <c t="s">
        <v>187</v>
      </c>
      <c t="s">
        <v>49608</v>
      </c>
      <c t="s">
        <v>62293</v>
      </c>
      <c t="s">
        <v>39777</v>
      </c>
      <c t="s">
        <v>2517</v>
      </c>
      <c t="s">
        <v>39289</v>
      </c>
      <c>
        <v>33909</v>
      </c>
      <c t="s">
        <v>889</v>
      </c>
      <c t="s">
        <v>48794</v>
      </c>
      <c t="s">
        <v>41817</v>
      </c>
      <c>
        <v>276</v>
      </c>
      <c r="AI4002" t="s">
        <v>8915</v>
      </c>
      <c t="s">
        <v>45393</v>
      </c>
      <c r="AL4002" t="s">
        <v>2875</v>
      </c>
      <c r="AN4002" t="s">
        <v>10909</v>
      </c>
      <c t="s">
        <v>14656</v>
      </c>
      <c r="AQ4002" t="s">
        <v>27814</v>
      </c>
      <c t="s">
        <v>354</v>
      </c>
    </row>
    <row>
      <c t="s">
        <v>17594</v>
      </c>
      <c t="s">
        <v>35003</v>
      </c>
      <c t="s">
        <v>13293</v>
      </c>
      <c t="s">
        <v>28511</v>
      </c>
      <c t="s">
        <v>49512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527.13</v>
      </c>
      <c s="1" t="str">
        <f ca="1">HYPERLINK("https://web.datatree.com/?/property?propertyId=33540014", "https://web.datatree.com/?/property?propertyId=33540014")</f>
        <v>https://web.datatree.com/?/property?propertyId=33540014</v>
      </c>
      <c r="Q4003" t="s">
        <v>316</v>
      </c>
      <c>
        <v>0.235</v>
      </c>
      <c t="s">
        <v>6175</v>
      </c>
      <c t="s">
        <v>46006</v>
      </c>
      <c t="s">
        <v>58264</v>
      </c>
      <c t="s">
        <v>16852</v>
      </c>
      <c t="s">
        <v>58264</v>
      </c>
      <c t="s">
        <v>47312</v>
      </c>
      <c t="s">
        <v>14534</v>
      </c>
      <c t="s">
        <v>2517</v>
      </c>
      <c t="s">
        <v>39289</v>
      </c>
      <c>
        <v>33909</v>
      </c>
      <c t="s">
        <v>22558</v>
      </c>
      <c t="s">
        <v>48794</v>
      </c>
      <c t="s">
        <v>28951</v>
      </c>
      <c>
        <v>116</v>
      </c>
      <c r="AI4003" t="s">
        <v>22675</v>
      </c>
      <c t="s">
        <v>55842</v>
      </c>
      <c r="AL4003" t="s">
        <v>11498</v>
      </c>
      <c t="s">
        <v>11498</v>
      </c>
      <c t="s">
        <v>10804</v>
      </c>
      <c t="s">
        <v>35006</v>
      </c>
      <c t="s">
        <v>58683</v>
      </c>
      <c t="s">
        <v>3093</v>
      </c>
      <c t="s">
        <v>59361</v>
      </c>
    </row>
    <row>
      <c t="s">
        <v>17594</v>
      </c>
      <c t="s">
        <v>52019</v>
      </c>
      <c t="s">
        <v>47795</v>
      </c>
      <c t="s">
        <v>20294</v>
      </c>
      <c t="s">
        <v>57197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4004" s="1" t="str">
        <f ca="1">HYPERLINK("https://web.datatree.com/?/property?propertyId=33540015", "https://web.datatree.com/?/property?propertyId=33540015")</f>
        <v>https://web.datatree.com/?/property?propertyId=33540015</v>
      </c>
      <c r="Q4004" t="s">
        <v>316</v>
      </c>
      <c>
        <v>0.255</v>
      </c>
      <c t="s">
        <v>6175</v>
      </c>
      <c t="s">
        <v>46615</v>
      </c>
      <c t="s">
        <v>39967</v>
      </c>
      <c t="s">
        <v>33698</v>
      </c>
      <c t="s">
        <v>33769</v>
      </c>
      <c t="s">
        <v>38167</v>
      </c>
      <c t="s">
        <v>61865</v>
      </c>
      <c t="s">
        <v>2517</v>
      </c>
      <c t="s">
        <v>39289</v>
      </c>
      <c>
        <v>33909</v>
      </c>
      <c t="s">
        <v>16083</v>
      </c>
      <c t="s">
        <v>48794</v>
      </c>
      <c t="s">
        <v>30256</v>
      </c>
      <c>
        <v>13014</v>
      </c>
      <c r="AI4004" t="s">
        <v>17972</v>
      </c>
      <c t="s">
        <v>45393</v>
      </c>
      <c r="AL4004" t="s">
        <v>55393</v>
      </c>
      <c r="AN4004" t="s">
        <v>39289</v>
      </c>
      <c t="s">
        <v>66876</v>
      </c>
      <c t="s">
        <v>55071</v>
      </c>
      <c t="s">
        <v>3093</v>
      </c>
      <c t="s">
        <v>47827</v>
      </c>
    </row>
    <row>
      <c t="s">
        <v>17594</v>
      </c>
      <c t="s">
        <v>31420</v>
      </c>
      <c t="s">
        <v>43031</v>
      </c>
      <c t="s">
        <v>24428</v>
      </c>
      <c t="s">
        <v>3561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005" s="1" t="str">
        <f ca="1">HYPERLINK("https://web.datatree.com/?/property?propertyId=33540323", "https://web.datatree.com/?/property?propertyId=33540323")</f>
        <v>https://web.datatree.com/?/property?propertyId=33540323</v>
      </c>
      <c r="Q4005" t="s">
        <v>316</v>
      </c>
      <c>
        <v>0.23</v>
      </c>
      <c t="s">
        <v>42044</v>
      </c>
      <c t="s">
        <v>54921</v>
      </c>
      <c t="s">
        <v>51741</v>
      </c>
      <c r="X4005" t="s">
        <v>22703</v>
      </c>
      <c t="s">
        <v>13478</v>
      </c>
      <c t="s">
        <v>2517</v>
      </c>
      <c t="s">
        <v>39289</v>
      </c>
      <c>
        <v>33909</v>
      </c>
      <c t="s">
        <v>21399</v>
      </c>
      <c t="s">
        <v>48794</v>
      </c>
      <c t="s">
        <v>5973</v>
      </c>
      <c>
        <v>7998</v>
      </c>
      <c r="AI4005" t="s">
        <v>12764</v>
      </c>
      <c t="s">
        <v>45393</v>
      </c>
      <c r="AL4005" t="s">
        <v>37168</v>
      </c>
      <c r="AN4005" t="s">
        <v>39289</v>
      </c>
      <c t="s">
        <v>14997</v>
      </c>
      <c t="s">
        <v>35508</v>
      </c>
      <c t="s">
        <v>3093</v>
      </c>
      <c t="s">
        <v>3425</v>
      </c>
    </row>
    <row>
      <c t="s">
        <v>17594</v>
      </c>
      <c t="s">
        <v>5529</v>
      </c>
      <c t="s">
        <v>18270</v>
      </c>
      <c t="s">
        <v>6826</v>
      </c>
      <c t="s">
        <v>8222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006" s="1" t="str">
        <f ca="1">HYPERLINK("https://web.datatree.com/?/property?propertyId=33540612", "https://web.datatree.com/?/property?propertyId=33540612")</f>
        <v>https://web.datatree.com/?/property?propertyId=33540612</v>
      </c>
      <c r="Q4006" t="s">
        <v>316</v>
      </c>
      <c>
        <v>0.244</v>
      </c>
      <c t="s">
        <v>6175</v>
      </c>
      <c t="s">
        <v>12670</v>
      </c>
      <c t="s">
        <v>24627</v>
      </c>
      <c t="s">
        <v>16200</v>
      </c>
      <c t="s">
        <v>48304</v>
      </c>
      <c t="s">
        <v>39469</v>
      </c>
      <c t="s">
        <v>15510</v>
      </c>
      <c t="s">
        <v>2517</v>
      </c>
      <c t="s">
        <v>39289</v>
      </c>
      <c>
        <v>33909</v>
      </c>
      <c t="s">
        <v>30704</v>
      </c>
      <c t="s">
        <v>48794</v>
      </c>
      <c t="s">
        <v>32113</v>
      </c>
      <c>
        <v>202</v>
      </c>
      <c r="AI4006" t="s">
        <v>38261</v>
      </c>
      <c t="s">
        <v>24900</v>
      </c>
      <c r="AL4006" t="s">
        <v>21446</v>
      </c>
      <c r="AN4006" t="s">
        <v>26016</v>
      </c>
      <c t="s">
        <v>30676</v>
      </c>
      <c t="s">
        <v>25140</v>
      </c>
      <c t="s">
        <v>3093</v>
      </c>
      <c t="s">
        <v>26516</v>
      </c>
    </row>
    <row>
      <c t="s">
        <v>17594</v>
      </c>
      <c t="s">
        <v>17198</v>
      </c>
      <c t="s">
        <v>9785</v>
      </c>
      <c t="s">
        <v>18044</v>
      </c>
      <c t="s">
        <v>14763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>
        <v>2021</v>
      </c>
      <c>
        <v>586.06</v>
      </c>
      <c s="1" t="str">
        <f ca="1">HYPERLINK("https://web.datatree.com/?/property?propertyId=33540822", "https://web.datatree.com/?/property?propertyId=33540822")</f>
        <v>https://web.datatree.com/?/property?propertyId=33540822</v>
      </c>
      <c r="Q4007" t="s">
        <v>316</v>
      </c>
      <c>
        <v>0.23</v>
      </c>
      <c t="s">
        <v>6175</v>
      </c>
      <c t="s">
        <v>2140</v>
      </c>
      <c t="s">
        <v>37930</v>
      </c>
      <c r="X4007" t="s">
        <v>14205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15496</v>
      </c>
      <c>
        <v>37</v>
      </c>
      <c r="AI4007" t="s">
        <v>12979</v>
      </c>
      <c t="s">
        <v>45393</v>
      </c>
      <c r="AL4007" t="s">
        <v>8286</v>
      </c>
      <c r="AN4007" t="s">
        <v>19878</v>
      </c>
      <c>
        <v>49222</v>
      </c>
      <c r="AQ4007" t="s">
        <v>3093</v>
      </c>
      <c t="s">
        <v>62591</v>
      </c>
    </row>
    <row>
      <c t="s">
        <v>17594</v>
      </c>
      <c t="s">
        <v>3973</v>
      </c>
      <c t="s">
        <v>13602</v>
      </c>
      <c t="s">
        <v>5816</v>
      </c>
      <c t="s">
        <v>41337</v>
      </c>
      <c s="3">
        <v>29340</v>
      </c>
      <c s="3">
        <v>29340</v>
      </c>
      <c s="3">
        <v>29340</v>
      </c>
      <c>
        <v>0</v>
      </c>
      <c s="3">
        <v>0</v>
      </c>
      <c s="3">
        <v>885.15</v>
      </c>
      <c s="3">
        <v>29340</v>
      </c>
      <c>
        <v>2021</v>
      </c>
      <c>
        <v>714.61</v>
      </c>
      <c s="1" t="str">
        <f ca="1">HYPERLINK("https://web.datatree.com/?/property?propertyId=33541218", "https://web.datatree.com/?/property?propertyId=33541218")</f>
        <v>https://web.datatree.com/?/property?propertyId=33541218</v>
      </c>
      <c r="Q4008" t="s">
        <v>316</v>
      </c>
      <c>
        <v>0.283</v>
      </c>
      <c t="s">
        <v>22490</v>
      </c>
      <c t="s">
        <v>60972</v>
      </c>
      <c t="s">
        <v>33917</v>
      </c>
      <c r="X4008" t="s">
        <v>53348</v>
      </c>
      <c t="s">
        <v>2626</v>
      </c>
      <c t="s">
        <v>2517</v>
      </c>
      <c t="s">
        <v>39289</v>
      </c>
      <c>
        <v>33909</v>
      </c>
      <c t="s">
        <v>19381</v>
      </c>
      <c t="s">
        <v>48794</v>
      </c>
      <c t="s">
        <v>20954</v>
      </c>
      <c>
        <v>4270</v>
      </c>
      <c r="AI4008" t="s">
        <v>39541</v>
      </c>
      <c t="s">
        <v>24900</v>
      </c>
      <c r="AL4008" t="s">
        <v>55393</v>
      </c>
      <c t="s">
        <v>13701</v>
      </c>
      <c t="s">
        <v>39289</v>
      </c>
      <c t="s">
        <v>31330</v>
      </c>
      <c t="s">
        <v>7361</v>
      </c>
      <c t="s">
        <v>3093</v>
      </c>
      <c t="s">
        <v>28450</v>
      </c>
    </row>
    <row>
      <c t="s">
        <v>17594</v>
      </c>
      <c t="s">
        <v>39125</v>
      </c>
      <c t="s">
        <v>58057</v>
      </c>
      <c t="s">
        <v>62116</v>
      </c>
      <c t="s">
        <v>16761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4009" s="1" t="str">
        <f ca="1">HYPERLINK("https://web.datatree.com/?/property?propertyId=33541417", "https://web.datatree.com/?/property?propertyId=33541417")</f>
        <v>https://web.datatree.com/?/property?propertyId=33541417</v>
      </c>
      <c r="Q4009" t="s">
        <v>316</v>
      </c>
      <c>
        <v>0.23</v>
      </c>
      <c t="s">
        <v>22490</v>
      </c>
      <c t="s">
        <v>1859</v>
      </c>
      <c t="s">
        <v>66145</v>
      </c>
      <c t="s">
        <v>2474</v>
      </c>
      <c t="s">
        <v>66145</v>
      </c>
      <c t="s">
        <v>17984</v>
      </c>
      <c t="s">
        <v>66701</v>
      </c>
      <c t="s">
        <v>2517</v>
      </c>
      <c t="s">
        <v>39289</v>
      </c>
      <c>
        <v>33909</v>
      </c>
      <c t="s">
        <v>40236</v>
      </c>
      <c t="s">
        <v>48794</v>
      </c>
      <c t="s">
        <v>46683</v>
      </c>
      <c>
        <v>536</v>
      </c>
      <c r="AI4009" t="s">
        <v>16069</v>
      </c>
      <c t="s">
        <v>55842</v>
      </c>
      <c r="AL4009" t="s">
        <v>38064</v>
      </c>
      <c r="AN4009" t="s">
        <v>26016</v>
      </c>
      <c t="s">
        <v>26159</v>
      </c>
      <c t="s">
        <v>22455</v>
      </c>
      <c t="s">
        <v>3093</v>
      </c>
      <c t="s">
        <v>64115</v>
      </c>
    </row>
    <row>
      <c t="s">
        <v>17594</v>
      </c>
      <c t="s">
        <v>7335</v>
      </c>
      <c t="s">
        <v>63501</v>
      </c>
      <c t="s">
        <v>23928</v>
      </c>
      <c t="s">
        <v>3910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4010" s="1" t="str">
        <f ca="1">HYPERLINK("https://web.datatree.com/?/property?propertyId=33541649", "https://web.datatree.com/?/property?propertyId=33541649")</f>
        <v>https://web.datatree.com/?/property?propertyId=33541649</v>
      </c>
      <c r="Q4010" t="s">
        <v>316</v>
      </c>
      <c>
        <v>0.23</v>
      </c>
      <c t="s">
        <v>22490</v>
      </c>
      <c t="s">
        <v>56684</v>
      </c>
      <c t="s">
        <v>16441</v>
      </c>
      <c r="X4010" t="s">
        <v>18072</v>
      </c>
      <c t="s">
        <v>53675</v>
      </c>
      <c t="s">
        <v>2517</v>
      </c>
      <c t="s">
        <v>39289</v>
      </c>
      <c>
        <v>33909</v>
      </c>
      <c t="s">
        <v>5939</v>
      </c>
      <c t="s">
        <v>48794</v>
      </c>
      <c t="s">
        <v>1790</v>
      </c>
      <c>
        <v>73</v>
      </c>
      <c r="AI4010" t="s">
        <v>61716</v>
      </c>
      <c t="s">
        <v>45393</v>
      </c>
      <c r="AL4010" t="s">
        <v>6449</v>
      </c>
      <c r="AN4010" t="s">
        <v>27747</v>
      </c>
      <c t="s">
        <v>12740</v>
      </c>
      <c t="s">
        <v>62701</v>
      </c>
      <c t="s">
        <v>3093</v>
      </c>
      <c t="s">
        <v>16461</v>
      </c>
    </row>
    <row>
      <c t="s">
        <v>17594</v>
      </c>
      <c t="s">
        <v>26551</v>
      </c>
      <c t="s">
        <v>41236</v>
      </c>
      <c t="s">
        <v>26650</v>
      </c>
      <c t="s">
        <v>20233</v>
      </c>
      <c s="3">
        <v>23352</v>
      </c>
      <c s="3">
        <v>23352</v>
      </c>
      <c s="3">
        <v>8800</v>
      </c>
      <c>
        <v>0</v>
      </c>
      <c s="3">
        <v>0</v>
      </c>
      <c s="3">
        <v>598.34</v>
      </c>
      <c s="3">
        <v>23352</v>
      </c>
      <c r="O4011" s="1" t="str">
        <f ca="1">HYPERLINK("https://web.datatree.com/?/property?propertyId=33542182", "https://web.datatree.com/?/property?propertyId=33542182")</f>
        <v>https://web.datatree.com/?/property?propertyId=33542182</v>
      </c>
      <c r="Q4011" t="s">
        <v>316</v>
      </c>
      <c>
        <v>0.244</v>
      </c>
      <c t="s">
        <v>22490</v>
      </c>
      <c t="s">
        <v>19357</v>
      </c>
      <c t="s">
        <v>8026</v>
      </c>
      <c t="s">
        <v>56674</v>
      </c>
      <c t="s">
        <v>8026</v>
      </c>
      <c t="s">
        <v>63834</v>
      </c>
      <c t="s">
        <v>46469</v>
      </c>
      <c t="s">
        <v>2517</v>
      </c>
      <c t="s">
        <v>39289</v>
      </c>
      <c>
        <v>33909</v>
      </c>
      <c t="s">
        <v>23015</v>
      </c>
      <c t="s">
        <v>48794</v>
      </c>
      <c t="s">
        <v>57701</v>
      </c>
      <c>
        <v>2135</v>
      </c>
      <c r="AI4011" t="s">
        <v>56697</v>
      </c>
      <c t="s">
        <v>45620</v>
      </c>
      <c r="AL4011" t="s">
        <v>31138</v>
      </c>
      <c r="AN4011" t="s">
        <v>50917</v>
      </c>
      <c t="s">
        <v>38355</v>
      </c>
      <c t="s">
        <v>3364</v>
      </c>
      <c t="s">
        <v>3093</v>
      </c>
      <c t="s">
        <v>47819</v>
      </c>
    </row>
    <row>
      <c t="s">
        <v>17594</v>
      </c>
      <c t="s">
        <v>22649</v>
      </c>
      <c t="s">
        <v>7900</v>
      </c>
      <c t="s">
        <v>13055</v>
      </c>
      <c t="s">
        <v>28814</v>
      </c>
      <c s="3">
        <v>24367</v>
      </c>
      <c s="3">
        <v>24367</v>
      </c>
      <c s="3">
        <v>9680</v>
      </c>
      <c>
        <v>0</v>
      </c>
      <c s="3">
        <v>0</v>
      </c>
      <c s="3">
        <v>728.05</v>
      </c>
      <c s="3">
        <v>24367</v>
      </c>
      <c r="O4012" s="1" t="str">
        <f ca="1">HYPERLINK("https://web.datatree.com/?/property?propertyId=33542667", "https://web.datatree.com/?/property?propertyId=33542667")</f>
        <v>https://web.datatree.com/?/property?propertyId=33542667</v>
      </c>
      <c r="Q4012" t="s">
        <v>316</v>
      </c>
      <c>
        <v>0.373</v>
      </c>
      <c t="s">
        <v>22490</v>
      </c>
      <c t="s">
        <v>47715</v>
      </c>
      <c t="s">
        <v>35613</v>
      </c>
      <c r="X4012" t="s">
        <v>43912</v>
      </c>
      <c t="s">
        <v>2626</v>
      </c>
      <c t="s">
        <v>2517</v>
      </c>
      <c t="s">
        <v>39289</v>
      </c>
      <c>
        <v>33909</v>
      </c>
      <c t="s">
        <v>58671</v>
      </c>
      <c t="s">
        <v>48794</v>
      </c>
      <c t="s">
        <v>46779</v>
      </c>
      <c>
        <v>1542</v>
      </c>
      <c r="AI4012" t="s">
        <v>31172</v>
      </c>
      <c t="s">
        <v>31192</v>
      </c>
      <c r="AL4012" t="s">
        <v>27398</v>
      </c>
      <c t="s">
        <v>63330</v>
      </c>
      <c t="s">
        <v>39289</v>
      </c>
      <c t="s">
        <v>19601</v>
      </c>
      <c t="s">
        <v>57614</v>
      </c>
      <c t="s">
        <v>3093</v>
      </c>
      <c t="s">
        <v>20412</v>
      </c>
    </row>
    <row>
      <c t="s">
        <v>17594</v>
      </c>
      <c t="s">
        <v>3413</v>
      </c>
      <c t="s">
        <v>43091</v>
      </c>
      <c t="s">
        <v>57061</v>
      </c>
      <c t="s">
        <v>15517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4013" s="1" t="str">
        <f ca="1">HYPERLINK("https://web.datatree.com/?/property?propertyId=33542985", "https://web.datatree.com/?/property?propertyId=33542985")</f>
        <v>https://web.datatree.com/?/property?propertyId=33542985</v>
      </c>
      <c r="Q4013" t="s">
        <v>316</v>
      </c>
      <c>
        <v>0.23</v>
      </c>
      <c t="s">
        <v>6175</v>
      </c>
      <c t="s">
        <v>31192</v>
      </c>
      <c t="s">
        <v>60482</v>
      </c>
      <c t="s">
        <v>51846</v>
      </c>
      <c t="s">
        <v>60482</v>
      </c>
      <c t="s">
        <v>54583</v>
      </c>
      <c t="s">
        <v>2619</v>
      </c>
      <c t="s">
        <v>2517</v>
      </c>
      <c t="s">
        <v>39289</v>
      </c>
      <c>
        <v>33909</v>
      </c>
      <c t="s">
        <v>61083</v>
      </c>
      <c t="s">
        <v>48794</v>
      </c>
      <c t="s">
        <v>58086</v>
      </c>
      <c>
        <v>19331</v>
      </c>
      <c r="AI4013" t="s">
        <v>17618</v>
      </c>
      <c t="s">
        <v>41372</v>
      </c>
      <c r="AL4013" t="s">
        <v>39764</v>
      </c>
      <c r="AN4013" t="s">
        <v>49572</v>
      </c>
      <c t="s">
        <v>45147</v>
      </c>
      <c t="s">
        <v>22455</v>
      </c>
      <c t="s">
        <v>3093</v>
      </c>
      <c t="s">
        <v>55243</v>
      </c>
    </row>
    <row>
      <c t="s">
        <v>17594</v>
      </c>
      <c t="s">
        <v>39332</v>
      </c>
      <c t="s">
        <v>60855</v>
      </c>
      <c t="s">
        <v>63301</v>
      </c>
      <c t="s">
        <v>33566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4014" s="1" t="str">
        <f ca="1">HYPERLINK("https://web.datatree.com/?/property?propertyId=33543002", "https://web.datatree.com/?/property?propertyId=33543002")</f>
        <v>https://web.datatree.com/?/property?propertyId=33543002</v>
      </c>
      <c r="Q4014" t="s">
        <v>316</v>
      </c>
      <c>
        <v>0.23</v>
      </c>
      <c t="s">
        <v>6175</v>
      </c>
      <c t="s">
        <v>1599</v>
      </c>
      <c t="s">
        <v>22947</v>
      </c>
      <c r="X4014" t="s">
        <v>16674</v>
      </c>
      <c t="s">
        <v>23517</v>
      </c>
      <c t="s">
        <v>2517</v>
      </c>
      <c t="s">
        <v>39289</v>
      </c>
      <c>
        <v>33909</v>
      </c>
      <c t="s">
        <v>61003</v>
      </c>
      <c t="s">
        <v>48794</v>
      </c>
      <c t="s">
        <v>25379</v>
      </c>
      <c>
        <v>305</v>
      </c>
      <c r="AI4014" t="s">
        <v>16884</v>
      </c>
      <c t="s">
        <v>45620</v>
      </c>
      <c r="AL4014" t="s">
        <v>54374</v>
      </c>
      <c r="AN4014" t="s">
        <v>51087</v>
      </c>
      <c t="s">
        <v>39505</v>
      </c>
      <c t="s">
        <v>60160</v>
      </c>
      <c t="s">
        <v>3093</v>
      </c>
      <c t="s">
        <v>19428</v>
      </c>
    </row>
    <row>
      <c t="s">
        <v>42103</v>
      </c>
      <c t="s">
        <v>44998</v>
      </c>
      <c t="s">
        <v>26194</v>
      </c>
      <c t="s">
        <v>26212</v>
      </c>
      <c t="s">
        <v>44559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015" s="1" t="str">
        <f ca="1">HYPERLINK("https://web.datatree.com/?/property?propertyId=33543810", "https://web.datatree.com/?/property?propertyId=33543810")</f>
        <v>https://web.datatree.com/?/property?propertyId=33543810</v>
      </c>
      <c r="Q4015" t="s">
        <v>316</v>
      </c>
      <c>
        <v>0.23</v>
      </c>
      <c t="s">
        <v>6175</v>
      </c>
      <c t="s">
        <v>1859</v>
      </c>
      <c t="s">
        <v>43680</v>
      </c>
      <c r="X4015" t="s">
        <v>39685</v>
      </c>
      <c t="s">
        <v>29190</v>
      </c>
      <c t="s">
        <v>2517</v>
      </c>
      <c t="s">
        <v>39289</v>
      </c>
      <c>
        <v>33909</v>
      </c>
      <c t="s">
        <v>50572</v>
      </c>
      <c t="s">
        <v>48794</v>
      </c>
      <c t="s">
        <v>18084</v>
      </c>
      <c r="AI4015" t="s">
        <v>28879</v>
      </c>
      <c r="AL4015" t="s">
        <v>6920</v>
      </c>
      <c r="AN4015" t="s">
        <v>50917</v>
      </c>
      <c>
        <v>11790</v>
      </c>
      <c t="s">
        <v>39363</v>
      </c>
      <c t="s">
        <v>3093</v>
      </c>
      <c t="s">
        <v>23332</v>
      </c>
    </row>
    <row>
      <c t="s">
        <v>17594</v>
      </c>
      <c t="s">
        <v>36365</v>
      </c>
      <c t="s">
        <v>61027</v>
      </c>
      <c t="s">
        <v>57246</v>
      </c>
      <c t="s">
        <v>6182</v>
      </c>
      <c s="3">
        <v>16728</v>
      </c>
      <c s="3">
        <v>16728</v>
      </c>
      <c s="3">
        <v>9075</v>
      </c>
      <c>
        <v>0</v>
      </c>
      <c s="3">
        <v>0</v>
      </c>
      <c s="3">
        <v>553.9</v>
      </c>
      <c s="3">
        <v>16728</v>
      </c>
      <c r="O4016" s="1" t="str">
        <f ca="1">HYPERLINK("https://web.datatree.com/?/property?propertyId=33543994", "https://web.datatree.com/?/property?propertyId=33543994")</f>
        <v>https://web.datatree.com/?/property?propertyId=33543994</v>
      </c>
      <c r="Q4016" t="s">
        <v>316</v>
      </c>
      <c>
        <v>0.23</v>
      </c>
      <c t="s">
        <v>42044</v>
      </c>
      <c t="s">
        <v>41492</v>
      </c>
      <c t="s">
        <v>47196</v>
      </c>
      <c r="X4016" t="s">
        <v>17701</v>
      </c>
      <c t="s">
        <v>61850</v>
      </c>
      <c t="s">
        <v>2517</v>
      </c>
      <c t="s">
        <v>39289</v>
      </c>
      <c>
        <v>33909</v>
      </c>
      <c t="s">
        <v>48744</v>
      </c>
      <c t="s">
        <v>48794</v>
      </c>
      <c t="s">
        <v>31360</v>
      </c>
      <c>
        <v>134</v>
      </c>
      <c r="AI4016" t="s">
        <v>59765</v>
      </c>
      <c t="s">
        <v>24900</v>
      </c>
      <c>
        <v>1</v>
      </c>
      <c t="s">
        <v>5040</v>
      </c>
      <c r="AN4016" t="s">
        <v>14509</v>
      </c>
      <c t="s">
        <v>26800</v>
      </c>
      <c t="s">
        <v>34162</v>
      </c>
      <c t="s">
        <v>3093</v>
      </c>
      <c t="s">
        <v>29994</v>
      </c>
    </row>
    <row>
      <c t="s">
        <v>17594</v>
      </c>
      <c t="s">
        <v>13553</v>
      </c>
      <c t="s">
        <v>12880</v>
      </c>
      <c t="s">
        <v>4765</v>
      </c>
      <c t="s">
        <v>31367</v>
      </c>
      <c s="3">
        <v>62395</v>
      </c>
      <c s="3">
        <v>62395</v>
      </c>
      <c s="3">
        <v>38906</v>
      </c>
      <c>
        <v>0</v>
      </c>
      <c s="3">
        <v>0</v>
      </c>
      <c s="3">
        <v>1211.3</v>
      </c>
      <c s="3">
        <v>62395</v>
      </c>
      <c r="O4017" s="1" t="str">
        <f ca="1">HYPERLINK("https://web.datatree.com/?/property?propertyId=33544033", "https://web.datatree.com/?/property?propertyId=33544033")</f>
        <v>https://web.datatree.com/?/property?propertyId=33544033</v>
      </c>
      <c r="Q4017" t="s">
        <v>316</v>
      </c>
      <c>
        <v>0.36</v>
      </c>
      <c t="s">
        <v>22490</v>
      </c>
      <c t="s">
        <v>45259</v>
      </c>
      <c t="s">
        <v>56624</v>
      </c>
      <c r="X4017" t="s">
        <v>26335</v>
      </c>
      <c t="s">
        <v>2626</v>
      </c>
      <c t="s">
        <v>2517</v>
      </c>
      <c t="s">
        <v>39289</v>
      </c>
      <c>
        <v>33909</v>
      </c>
      <c t="s">
        <v>11255</v>
      </c>
      <c t="s">
        <v>48794</v>
      </c>
      <c t="s">
        <v>1091</v>
      </c>
      <c>
        <v>6621</v>
      </c>
      <c r="AI4017" t="s">
        <v>47912</v>
      </c>
      <c t="s">
        <v>4985</v>
      </c>
      <c r="AL4017" t="s">
        <v>21604</v>
      </c>
      <c r="AN4017" t="s">
        <v>50829</v>
      </c>
      <c t="s">
        <v>33724</v>
      </c>
      <c t="s">
        <v>40645</v>
      </c>
      <c t="s">
        <v>3093</v>
      </c>
      <c t="s">
        <v>23111</v>
      </c>
    </row>
    <row>
      <c t="s">
        <v>17594</v>
      </c>
      <c t="s">
        <v>54084</v>
      </c>
      <c t="s">
        <v>50267</v>
      </c>
      <c t="s">
        <v>19865</v>
      </c>
      <c t="s">
        <v>42728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4018" s="1" t="str">
        <f ca="1">HYPERLINK("https://web.datatree.com/?/property?propertyId=33544240", "https://web.datatree.com/?/property?propertyId=33544240")</f>
        <v>https://web.datatree.com/?/property?propertyId=33544240</v>
      </c>
      <c r="Q4018" t="s">
        <v>316</v>
      </c>
      <c>
        <v>0.23</v>
      </c>
      <c t="s">
        <v>6175</v>
      </c>
      <c t="s">
        <v>64030</v>
      </c>
      <c t="s">
        <v>2730</v>
      </c>
      <c t="s">
        <v>20673</v>
      </c>
      <c t="s">
        <v>28783</v>
      </c>
      <c t="s">
        <v>46877</v>
      </c>
      <c t="s">
        <v>29190</v>
      </c>
      <c t="s">
        <v>2517</v>
      </c>
      <c t="s">
        <v>39289</v>
      </c>
      <c>
        <v>33909</v>
      </c>
      <c t="s">
        <v>124</v>
      </c>
      <c t="s">
        <v>48794</v>
      </c>
      <c t="s">
        <v>51824</v>
      </c>
      <c>
        <v>5370</v>
      </c>
      <c r="AI4018" t="s">
        <v>45657</v>
      </c>
      <c t="s">
        <v>63316</v>
      </c>
      <c t="s">
        <v>25384</v>
      </c>
      <c t="s">
        <v>61724</v>
      </c>
      <c r="AN4018" t="s">
        <v>39289</v>
      </c>
      <c t="s">
        <v>38746</v>
      </c>
      <c t="s">
        <v>4491</v>
      </c>
      <c t="s">
        <v>3093</v>
      </c>
      <c t="s">
        <v>42773</v>
      </c>
    </row>
    <row>
      <c t="s">
        <v>17594</v>
      </c>
      <c t="s">
        <v>2354</v>
      </c>
      <c t="s">
        <v>41973</v>
      </c>
      <c t="s">
        <v>21498</v>
      </c>
      <c t="s">
        <v>33597</v>
      </c>
      <c s="3">
        <v>92552</v>
      </c>
      <c s="3">
        <v>90733</v>
      </c>
      <c s="3">
        <v>88392</v>
      </c>
      <c>
        <v>0</v>
      </c>
      <c s="3">
        <v>0</v>
      </c>
      <c s="3">
        <v>1351.39</v>
      </c>
      <c s="3">
        <v>92552</v>
      </c>
      <c r="O4019" s="1" t="str">
        <f ca="1">HYPERLINK("https://web.datatree.com/?/property?propertyId=33544547", "https://web.datatree.com/?/property?propertyId=33544547")</f>
        <v>https://web.datatree.com/?/property?propertyId=33544547</v>
      </c>
      <c r="Q4019" t="s">
        <v>316</v>
      </c>
      <c>
        <v>0.107</v>
      </c>
      <c t="s">
        <v>26492</v>
      </c>
      <c t="s">
        <v>16893</v>
      </c>
      <c t="s">
        <v>6491</v>
      </c>
      <c t="s">
        <v>552</v>
      </c>
      <c t="s">
        <v>6491</v>
      </c>
      <c t="s">
        <v>54893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56030</v>
      </c>
      <c>
        <v>4679</v>
      </c>
      <c r="AI4019" t="s">
        <v>51042</v>
      </c>
      <c t="s">
        <v>56275</v>
      </c>
      <c r="AL4019" t="s">
        <v>64518</v>
      </c>
      <c t="s">
        <v>40227</v>
      </c>
      <c t="s">
        <v>17134</v>
      </c>
      <c t="s">
        <v>56285</v>
      </c>
      <c t="s">
        <v>60160</v>
      </c>
      <c t="s">
        <v>3093</v>
      </c>
      <c t="s">
        <v>10751</v>
      </c>
    </row>
    <row>
      <c t="s">
        <v>17594</v>
      </c>
      <c t="s">
        <v>10756</v>
      </c>
      <c t="s">
        <v>22364</v>
      </c>
      <c t="s">
        <v>25151</v>
      </c>
      <c t="s">
        <v>52380</v>
      </c>
      <c s="3">
        <v>8400</v>
      </c>
      <c s="3">
        <v>8400</v>
      </c>
      <c s="3">
        <v>8400</v>
      </c>
      <c>
        <v>0</v>
      </c>
      <c s="3">
        <v>0</v>
      </c>
      <c s="3">
        <v>605.76</v>
      </c>
      <c s="3">
        <v>8400</v>
      </c>
      <c r="O4020" s="1" t="str">
        <f ca="1">HYPERLINK("https://web.datatree.com/?/property?propertyId=33546058", "https://web.datatree.com/?/property?propertyId=33546058")</f>
        <v>https://web.datatree.com/?/property?propertyId=33546058</v>
      </c>
      <c r="Q4020" t="s">
        <v>316</v>
      </c>
      <c>
        <v>0.263</v>
      </c>
      <c t="s">
        <v>22490</v>
      </c>
      <c t="s">
        <v>51229</v>
      </c>
      <c t="s">
        <v>13181</v>
      </c>
      <c t="s">
        <v>18517</v>
      </c>
      <c t="s">
        <v>13181</v>
      </c>
      <c t="s">
        <v>23839</v>
      </c>
      <c t="s">
        <v>53675</v>
      </c>
      <c t="s">
        <v>2517</v>
      </c>
      <c t="s">
        <v>39289</v>
      </c>
      <c>
        <v>33909</v>
      </c>
      <c t="s">
        <v>51398</v>
      </c>
      <c t="s">
        <v>48794</v>
      </c>
      <c t="s">
        <v>12123</v>
      </c>
      <c>
        <v>13</v>
      </c>
      <c r="AI4020" t="s">
        <v>8004</v>
      </c>
      <c t="s">
        <v>45620</v>
      </c>
      <c>
        <v>15</v>
      </c>
      <c t="s">
        <v>18374</v>
      </c>
      <c r="AN4020" t="s">
        <v>50917</v>
      </c>
      <c t="s">
        <v>49801</v>
      </c>
      <c t="s">
        <v>42082</v>
      </c>
      <c t="s">
        <v>3093</v>
      </c>
      <c t="s">
        <v>62619</v>
      </c>
    </row>
    <row>
      <c t="s">
        <v>17594</v>
      </c>
      <c t="s">
        <v>67034</v>
      </c>
      <c t="s">
        <v>66343</v>
      </c>
      <c t="s">
        <v>30865</v>
      </c>
      <c t="s">
        <v>44381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021" s="1" t="str">
        <f ca="1">HYPERLINK("https://web.datatree.com/?/property?propertyId=33546688", "https://web.datatree.com/?/property?propertyId=33546688")</f>
        <v>https://web.datatree.com/?/property?propertyId=33546688</v>
      </c>
      <c r="Q4021" t="s">
        <v>316</v>
      </c>
      <c>
        <v>0.23</v>
      </c>
      <c t="s">
        <v>42044</v>
      </c>
      <c t="s">
        <v>26395</v>
      </c>
      <c t="s">
        <v>48758</v>
      </c>
      <c r="X4021" t="s">
        <v>18323</v>
      </c>
      <c t="s">
        <v>13478</v>
      </c>
      <c t="s">
        <v>2517</v>
      </c>
      <c t="s">
        <v>39289</v>
      </c>
      <c>
        <v>33909</v>
      </c>
      <c t="s">
        <v>49425</v>
      </c>
      <c t="s">
        <v>48794</v>
      </c>
      <c t="s">
        <v>9781</v>
      </c>
      <c>
        <v>3230</v>
      </c>
      <c r="AH4021" t="s">
        <v>15376</v>
      </c>
      <c t="s">
        <v>4373</v>
      </c>
      <c t="s">
        <v>45393</v>
      </c>
      <c r="AL4021" t="s">
        <v>11713</v>
      </c>
      <c r="AN4021" t="s">
        <v>39289</v>
      </c>
      <c t="s">
        <v>24802</v>
      </c>
      <c t="s">
        <v>28833</v>
      </c>
      <c t="s">
        <v>3093</v>
      </c>
      <c t="s">
        <v>32104</v>
      </c>
    </row>
    <row>
      <c t="s">
        <v>17594</v>
      </c>
      <c t="s">
        <v>35444</v>
      </c>
      <c t="s">
        <v>10882</v>
      </c>
      <c t="s">
        <v>50243</v>
      </c>
      <c t="s">
        <v>597</v>
      </c>
      <c s="3">
        <v>26250</v>
      </c>
      <c s="3">
        <v>26250</v>
      </c>
      <c s="3">
        <v>9433</v>
      </c>
      <c>
        <v>0</v>
      </c>
      <c s="3">
        <v>0</v>
      </c>
      <c s="3">
        <v>415.68</v>
      </c>
      <c s="3">
        <v>26250</v>
      </c>
      <c r="O4022" s="1" t="str">
        <f ca="1">HYPERLINK("https://web.datatree.com/?/property?propertyId=33546805", "https://web.datatree.com/?/property?propertyId=33546805")</f>
        <v>https://web.datatree.com/?/property?propertyId=33546805</v>
      </c>
      <c r="Q4022" t="s">
        <v>316</v>
      </c>
      <c>
        <v>0.251</v>
      </c>
      <c t="s">
        <v>5471</v>
      </c>
      <c t="s">
        <v>11324</v>
      </c>
      <c t="s">
        <v>35367</v>
      </c>
      <c r="X4022" t="s">
        <v>58838</v>
      </c>
      <c t="s">
        <v>2642</v>
      </c>
      <c t="s">
        <v>65059</v>
      </c>
      <c t="s">
        <v>39289</v>
      </c>
      <c>
        <v>33905</v>
      </c>
      <c t="s">
        <v>41287</v>
      </c>
      <c t="s">
        <v>48794</v>
      </c>
      <c t="s">
        <v>28815</v>
      </c>
      <c>
        <v>5317</v>
      </c>
      <c r="AI4022" t="s">
        <v>61779</v>
      </c>
      <c t="s">
        <v>45393</v>
      </c>
      <c r="AL4022" t="s">
        <v>22539</v>
      </c>
      <c r="AN4022" t="s">
        <v>65451</v>
      </c>
      <c t="s">
        <v>22370</v>
      </c>
      <c t="s">
        <v>29069</v>
      </c>
      <c t="s">
        <v>3093</v>
      </c>
      <c t="s">
        <v>62025</v>
      </c>
    </row>
    <row>
      <c t="s">
        <v>17594</v>
      </c>
      <c t="s">
        <v>14611</v>
      </c>
      <c t="s">
        <v>24576</v>
      </c>
      <c t="s">
        <v>57209</v>
      </c>
      <c t="s">
        <v>4251</v>
      </c>
      <c s="3">
        <v>47586</v>
      </c>
      <c s="3">
        <v>47586</v>
      </c>
      <c s="3">
        <v>20986</v>
      </c>
      <c>
        <v>0</v>
      </c>
      <c s="3">
        <v>0</v>
      </c>
      <c s="3">
        <v>892.33</v>
      </c>
      <c s="3">
        <v>47586</v>
      </c>
      <c r="O4023" s="1" t="str">
        <f ca="1">HYPERLINK("https://web.datatree.com/?/property?propertyId=33547521", "https://web.datatree.com/?/property?propertyId=33547521")</f>
        <v>https://web.datatree.com/?/property?propertyId=33547521</v>
      </c>
      <c r="Q4023" t="s">
        <v>316</v>
      </c>
      <c>
        <v>0.23</v>
      </c>
      <c t="s">
        <v>6175</v>
      </c>
      <c t="s">
        <v>22546</v>
      </c>
      <c t="s">
        <v>63150</v>
      </c>
      <c r="X4023" t="s">
        <v>44921</v>
      </c>
      <c t="s">
        <v>25854</v>
      </c>
      <c t="s">
        <v>2517</v>
      </c>
      <c t="s">
        <v>39289</v>
      </c>
      <c>
        <v>33904</v>
      </c>
      <c t="s">
        <v>25507</v>
      </c>
      <c t="s">
        <v>48794</v>
      </c>
      <c t="s">
        <v>1201</v>
      </c>
      <c>
        <v>694</v>
      </c>
      <c r="AI4023" t="s">
        <v>2916</v>
      </c>
      <c t="s">
        <v>24900</v>
      </c>
      <c r="AL4023" t="s">
        <v>24373</v>
      </c>
      <c t="s">
        <v>20575</v>
      </c>
      <c t="s">
        <v>22275</v>
      </c>
      <c t="s">
        <v>13926</v>
      </c>
      <c t="s">
        <v>52551</v>
      </c>
      <c t="s">
        <v>3093</v>
      </c>
      <c t="s">
        <v>57972</v>
      </c>
    </row>
    <row>
      <c t="s">
        <v>17594</v>
      </c>
      <c t="s">
        <v>9118</v>
      </c>
      <c t="s">
        <v>5504</v>
      </c>
      <c t="s">
        <v>31269</v>
      </c>
      <c t="s">
        <v>23556</v>
      </c>
      <c s="3">
        <v>34319</v>
      </c>
      <c s="3">
        <v>34157</v>
      </c>
      <c s="3">
        <v>34319</v>
      </c>
      <c>
        <v>0</v>
      </c>
      <c s="3">
        <v>0</v>
      </c>
      <c s="3">
        <v>475.79</v>
      </c>
      <c s="3">
        <v>34319</v>
      </c>
      <c r="O4024" s="1" t="str">
        <f ca="1">HYPERLINK("https://web.datatree.com/?/property?propertyId=33547773", "https://web.datatree.com/?/property?propertyId=33547773")</f>
        <v>https://web.datatree.com/?/property?propertyId=33547773</v>
      </c>
      <c r="Q4024" t="s">
        <v>316</v>
      </c>
      <c>
        <v>0.044</v>
      </c>
      <c t="s">
        <v>54329</v>
      </c>
      <c t="s">
        <v>44541</v>
      </c>
      <c t="s">
        <v>22908</v>
      </c>
      <c t="s">
        <v>21379</v>
      </c>
      <c t="s">
        <v>22908</v>
      </c>
      <c t="s">
        <v>64020</v>
      </c>
      <c t="s">
        <v>38714</v>
      </c>
      <c t="s">
        <v>65059</v>
      </c>
      <c t="s">
        <v>39289</v>
      </c>
      <c>
        <v>33908</v>
      </c>
      <c t="s">
        <v>41373</v>
      </c>
      <c t="s">
        <v>48794</v>
      </c>
      <c t="s">
        <v>61818</v>
      </c>
      <c>
        <v>1801</v>
      </c>
      <c r="AI4024" t="s">
        <v>64649</v>
      </c>
      <c t="s">
        <v>45393</v>
      </c>
      <c r="AL4024" t="s">
        <v>66979</v>
      </c>
      <c t="s">
        <v>66979</v>
      </c>
      <c t="s">
        <v>3034</v>
      </c>
      <c t="s">
        <v>4441</v>
      </c>
      <c t="s">
        <v>4797</v>
      </c>
      <c t="s">
        <v>3093</v>
      </c>
      <c t="s">
        <v>62080</v>
      </c>
    </row>
    <row>
      <c t="s">
        <v>17594</v>
      </c>
      <c t="s">
        <v>8086</v>
      </c>
      <c t="s">
        <v>65513</v>
      </c>
      <c t="s">
        <v>3577</v>
      </c>
      <c t="s">
        <v>55610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025" s="1" t="str">
        <f ca="1">HYPERLINK("https://web.datatree.com/?/property?propertyId=33547921", "https://web.datatree.com/?/property?propertyId=33547921")</f>
        <v>https://web.datatree.com/?/property?propertyId=33547921</v>
      </c>
      <c r="Q4025" t="s">
        <v>316</v>
      </c>
      <c>
        <v>0.23</v>
      </c>
      <c t="s">
        <v>6175</v>
      </c>
      <c t="s">
        <v>3536</v>
      </c>
      <c t="s">
        <v>40709</v>
      </c>
      <c r="X4025" t="s">
        <v>20243</v>
      </c>
      <c t="s">
        <v>5115</v>
      </c>
      <c t="s">
        <v>2517</v>
      </c>
      <c t="s">
        <v>39289</v>
      </c>
      <c>
        <v>33909</v>
      </c>
      <c t="s">
        <v>61100</v>
      </c>
      <c t="s">
        <v>48794</v>
      </c>
      <c t="s">
        <v>36007</v>
      </c>
      <c>
        <v>6926</v>
      </c>
      <c r="AI4025" t="s">
        <v>39841</v>
      </c>
      <c t="s">
        <v>45620</v>
      </c>
      <c r="AL4025" t="s">
        <v>57103</v>
      </c>
      <c r="AN4025" t="s">
        <v>22275</v>
      </c>
      <c t="s">
        <v>43729</v>
      </c>
      <c t="s">
        <v>44428</v>
      </c>
      <c t="s">
        <v>3093</v>
      </c>
      <c t="s">
        <v>17792</v>
      </c>
    </row>
    <row>
      <c t="s">
        <v>17594</v>
      </c>
      <c t="s">
        <v>22386</v>
      </c>
      <c t="s">
        <v>66661</v>
      </c>
      <c t="s">
        <v>43819</v>
      </c>
      <c t="s">
        <v>15911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026" s="1" t="str">
        <f ca="1">HYPERLINK("https://web.datatree.com/?/property?propertyId=33548110", "https://web.datatree.com/?/property?propertyId=33548110")</f>
        <v>https://web.datatree.com/?/property?propertyId=33548110</v>
      </c>
      <c r="Q4026" t="s">
        <v>316</v>
      </c>
      <c>
        <v>0.23</v>
      </c>
      <c t="s">
        <v>6175</v>
      </c>
      <c t="s">
        <v>12044</v>
      </c>
      <c t="s">
        <v>62826</v>
      </c>
      <c r="X4026" t="s">
        <v>26599</v>
      </c>
      <c t="s">
        <v>49122</v>
      </c>
      <c t="s">
        <v>2517</v>
      </c>
      <c t="s">
        <v>39289</v>
      </c>
      <c>
        <v>33909</v>
      </c>
      <c t="s">
        <v>62611</v>
      </c>
      <c t="s">
        <v>48794</v>
      </c>
      <c t="s">
        <v>1142</v>
      </c>
      <c>
        <v>60</v>
      </c>
      <c r="AI4026" t="s">
        <v>53790</v>
      </c>
      <c t="s">
        <v>31192</v>
      </c>
      <c r="AL4026" t="s">
        <v>26469</v>
      </c>
      <c r="AN4026" t="s">
        <v>26016</v>
      </c>
      <c t="s">
        <v>64603</v>
      </c>
      <c t="s">
        <v>60160</v>
      </c>
      <c t="s">
        <v>3093</v>
      </c>
      <c t="s">
        <v>38321</v>
      </c>
    </row>
    <row>
      <c t="s">
        <v>17594</v>
      </c>
      <c t="s">
        <v>37584</v>
      </c>
      <c t="s">
        <v>62105</v>
      </c>
      <c t="s">
        <v>38896</v>
      </c>
      <c t="s">
        <v>24473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4027" s="1" t="str">
        <f ca="1">HYPERLINK("https://web.datatree.com/?/property?propertyId=33548291", "https://web.datatree.com/?/property?propertyId=33548291")</f>
        <v>https://web.datatree.com/?/property?propertyId=33548291</v>
      </c>
      <c r="Q4027" t="s">
        <v>316</v>
      </c>
      <c>
        <v>0.244</v>
      </c>
      <c t="s">
        <v>6175</v>
      </c>
      <c t="s">
        <v>65985</v>
      </c>
      <c t="s">
        <v>35883</v>
      </c>
      <c t="s">
        <v>66240</v>
      </c>
      <c t="s">
        <v>35883</v>
      </c>
      <c t="s">
        <v>33684</v>
      </c>
      <c t="s">
        <v>39832</v>
      </c>
      <c t="s">
        <v>2517</v>
      </c>
      <c t="s">
        <v>39289</v>
      </c>
      <c>
        <v>33909</v>
      </c>
      <c t="s">
        <v>41091</v>
      </c>
      <c t="s">
        <v>48794</v>
      </c>
      <c t="s">
        <v>16602</v>
      </c>
      <c>
        <v>3</v>
      </c>
      <c r="AI4027" t="s">
        <v>25263</v>
      </c>
      <c t="s">
        <v>40123</v>
      </c>
      <c r="AL4027" t="s">
        <v>51141</v>
      </c>
      <c r="AN4027" t="s">
        <v>19878</v>
      </c>
      <c t="s">
        <v>6607</v>
      </c>
      <c t="s">
        <v>53800</v>
      </c>
      <c t="s">
        <v>3093</v>
      </c>
      <c t="s">
        <v>9218</v>
      </c>
    </row>
    <row>
      <c t="s">
        <v>17594</v>
      </c>
      <c t="s">
        <v>33836</v>
      </c>
      <c t="s">
        <v>21927</v>
      </c>
      <c t="s">
        <v>60056</v>
      </c>
      <c t="s">
        <v>51868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028" s="1" t="str">
        <f ca="1">HYPERLINK("https://web.datatree.com/?/property?propertyId=33548334", "https://web.datatree.com/?/property?propertyId=33548334")</f>
        <v>https://web.datatree.com/?/property?propertyId=33548334</v>
      </c>
      <c r="Q4028" t="s">
        <v>316</v>
      </c>
      <c>
        <v>0.23</v>
      </c>
      <c t="s">
        <v>6175</v>
      </c>
      <c t="s">
        <v>20358</v>
      </c>
      <c t="s">
        <v>47520</v>
      </c>
      <c r="X4028" t="s">
        <v>64164</v>
      </c>
      <c t="s">
        <v>60363</v>
      </c>
      <c t="s">
        <v>2517</v>
      </c>
      <c t="s">
        <v>39289</v>
      </c>
      <c>
        <v>33909</v>
      </c>
      <c t="s">
        <v>32515</v>
      </c>
      <c t="s">
        <v>48794</v>
      </c>
      <c t="s">
        <v>15473</v>
      </c>
      <c>
        <v>472</v>
      </c>
      <c r="AI4028" t="s">
        <v>23132</v>
      </c>
      <c t="s">
        <v>45393</v>
      </c>
      <c r="AL4028" t="s">
        <v>8109</v>
      </c>
      <c r="AN4028" t="s">
        <v>50917</v>
      </c>
      <c t="s">
        <v>48953</v>
      </c>
      <c t="s">
        <v>1951</v>
      </c>
      <c t="s">
        <v>3093</v>
      </c>
      <c t="s">
        <v>40651</v>
      </c>
    </row>
    <row>
      <c t="s">
        <v>17594</v>
      </c>
      <c t="s">
        <v>63987</v>
      </c>
      <c t="s">
        <v>376</v>
      </c>
      <c t="s">
        <v>48787</v>
      </c>
      <c t="s">
        <v>29776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029" s="1" t="str">
        <f ca="1">HYPERLINK("https://web.datatree.com/?/property?propertyId=33548786", "https://web.datatree.com/?/property?propertyId=33548786")</f>
        <v>https://web.datatree.com/?/property?propertyId=33548786</v>
      </c>
      <c r="Q4029" t="s">
        <v>316</v>
      </c>
      <c>
        <v>0.23</v>
      </c>
      <c t="s">
        <v>22490</v>
      </c>
      <c t="s">
        <v>63432</v>
      </c>
      <c t="s">
        <v>39616</v>
      </c>
      <c r="X4029" t="s">
        <v>5270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4874</v>
      </c>
      <c>
        <v>2510</v>
      </c>
      <c r="AI4029" t="s">
        <v>29086</v>
      </c>
      <c t="s">
        <v>45393</v>
      </c>
      <c>
        <v>1</v>
      </c>
      <c t="s">
        <v>36080</v>
      </c>
      <c t="s">
        <v>36080</v>
      </c>
      <c t="s">
        <v>39289</v>
      </c>
      <c t="s">
        <v>26480</v>
      </c>
      <c t="s">
        <v>27780</v>
      </c>
      <c t="s">
        <v>3093</v>
      </c>
      <c t="s">
        <v>30817</v>
      </c>
    </row>
    <row>
      <c t="s">
        <v>17594</v>
      </c>
      <c t="s">
        <v>56446</v>
      </c>
      <c t="s">
        <v>33320</v>
      </c>
      <c t="s">
        <v>54716</v>
      </c>
      <c t="s">
        <v>58417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4030" s="1" t="str">
        <f ca="1">HYPERLINK("https://web.datatree.com/?/property?propertyId=33548829", "https://web.datatree.com/?/property?propertyId=33548829")</f>
        <v>https://web.datatree.com/?/property?propertyId=33548829</v>
      </c>
      <c r="Q4030" t="s">
        <v>316</v>
      </c>
      <c>
        <v>0.23</v>
      </c>
      <c t="s">
        <v>22490</v>
      </c>
      <c t="s">
        <v>11734</v>
      </c>
      <c t="s">
        <v>3428</v>
      </c>
      <c r="X4030" t="s">
        <v>53153</v>
      </c>
      <c t="s">
        <v>29190</v>
      </c>
      <c t="s">
        <v>2517</v>
      </c>
      <c t="s">
        <v>39289</v>
      </c>
      <c>
        <v>33909</v>
      </c>
      <c t="s">
        <v>64211</v>
      </c>
      <c t="s">
        <v>48794</v>
      </c>
      <c t="s">
        <v>37365</v>
      </c>
      <c>
        <v>2707</v>
      </c>
      <c r="AI4030" t="s">
        <v>52536</v>
      </c>
      <c r="AL4030" t="s">
        <v>18466</v>
      </c>
      <c r="AN4030" t="s">
        <v>26016</v>
      </c>
      <c t="s">
        <v>43424</v>
      </c>
      <c t="s">
        <v>61410</v>
      </c>
      <c t="s">
        <v>3093</v>
      </c>
      <c t="s">
        <v>65356</v>
      </c>
    </row>
    <row>
      <c t="s">
        <v>17594</v>
      </c>
      <c t="s">
        <v>28097</v>
      </c>
      <c t="s">
        <v>9172</v>
      </c>
      <c t="s">
        <v>47081</v>
      </c>
      <c t="s">
        <v>64334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4031" s="1" t="str">
        <f ca="1">HYPERLINK("https://web.datatree.com/?/property?propertyId=33549562", "https://web.datatree.com/?/property?propertyId=33549562")</f>
        <v>https://web.datatree.com/?/property?propertyId=33549562</v>
      </c>
      <c r="Q4031" t="s">
        <v>316</v>
      </c>
      <c>
        <v>0.244</v>
      </c>
      <c t="s">
        <v>6175</v>
      </c>
      <c t="s">
        <v>46726</v>
      </c>
      <c t="s">
        <v>23300</v>
      </c>
      <c t="s">
        <v>9305</v>
      </c>
      <c t="s">
        <v>43335</v>
      </c>
      <c t="s">
        <v>7221</v>
      </c>
      <c t="s">
        <v>13829</v>
      </c>
      <c t="s">
        <v>2517</v>
      </c>
      <c t="s">
        <v>39289</v>
      </c>
      <c>
        <v>33909</v>
      </c>
      <c t="s">
        <v>20126</v>
      </c>
      <c t="s">
        <v>48794</v>
      </c>
      <c t="s">
        <v>8850</v>
      </c>
      <c>
        <v>1</v>
      </c>
      <c r="AI4031" t="s">
        <v>64414</v>
      </c>
      <c r="AL4031" t="s">
        <v>66418</v>
      </c>
      <c r="AN4031" t="s">
        <v>58733</v>
      </c>
      <c>
        <v>65468</v>
      </c>
      <c r="AR4031" t="s">
        <v>57933</v>
      </c>
    </row>
    <row>
      <c t="s">
        <v>17594</v>
      </c>
      <c t="s">
        <v>25276</v>
      </c>
      <c t="s">
        <v>63394</v>
      </c>
      <c t="s">
        <v>51669</v>
      </c>
      <c t="s">
        <v>8397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4032" s="1" t="str">
        <f ca="1">HYPERLINK("https://web.datatree.com/?/property?propertyId=33550024", "https://web.datatree.com/?/property?propertyId=33550024")</f>
        <v>https://web.datatree.com/?/property?propertyId=33550024</v>
      </c>
      <c r="Q4032" t="s">
        <v>316</v>
      </c>
      <c>
        <v>0.226</v>
      </c>
      <c t="s">
        <v>5471</v>
      </c>
      <c t="s">
        <v>3965</v>
      </c>
      <c t="s">
        <v>41145</v>
      </c>
      <c t="s">
        <v>50331</v>
      </c>
      <c t="s">
        <v>43553</v>
      </c>
      <c t="s">
        <v>6387</v>
      </c>
      <c t="s">
        <v>64631</v>
      </c>
      <c t="s">
        <v>65059</v>
      </c>
      <c t="s">
        <v>39289</v>
      </c>
      <c>
        <v>33905</v>
      </c>
      <c t="s">
        <v>53454</v>
      </c>
      <c t="s">
        <v>48794</v>
      </c>
      <c t="s">
        <v>32315</v>
      </c>
      <c>
        <v>1301</v>
      </c>
      <c r="AI4032" t="s">
        <v>53674</v>
      </c>
      <c t="s">
        <v>45620</v>
      </c>
      <c r="AL4032" t="s">
        <v>2638</v>
      </c>
      <c r="AN4032" t="s">
        <v>32657</v>
      </c>
      <c t="s">
        <v>25471</v>
      </c>
      <c t="s">
        <v>21054</v>
      </c>
      <c t="s">
        <v>3093</v>
      </c>
      <c t="s">
        <v>17932</v>
      </c>
    </row>
    <row>
      <c t="s">
        <v>17594</v>
      </c>
      <c t="s">
        <v>22528</v>
      </c>
      <c t="s">
        <v>24574</v>
      </c>
      <c t="s">
        <v>23071</v>
      </c>
      <c t="s">
        <v>45706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4033" s="1" t="str">
        <f ca="1">HYPERLINK("https://web.datatree.com/?/property?propertyId=33550741", "https://web.datatree.com/?/property?propertyId=33550741")</f>
        <v>https://web.datatree.com/?/property?propertyId=33550741</v>
      </c>
      <c r="Q4033" t="s">
        <v>316</v>
      </c>
      <c>
        <v>0.23</v>
      </c>
      <c t="s">
        <v>6175</v>
      </c>
      <c t="s">
        <v>26827</v>
      </c>
      <c t="s">
        <v>7889</v>
      </c>
      <c t="s">
        <v>52880</v>
      </c>
      <c t="s">
        <v>37870</v>
      </c>
      <c t="s">
        <v>60963</v>
      </c>
      <c t="s">
        <v>371</v>
      </c>
      <c t="s">
        <v>2517</v>
      </c>
      <c t="s">
        <v>39289</v>
      </c>
      <c>
        <v>33909</v>
      </c>
      <c t="s">
        <v>41537</v>
      </c>
      <c t="s">
        <v>48794</v>
      </c>
      <c t="s">
        <v>47744</v>
      </c>
      <c>
        <v>1300</v>
      </c>
      <c r="AI4033" t="s">
        <v>33179</v>
      </c>
      <c t="s">
        <v>24900</v>
      </c>
      <c>
        <v>1</v>
      </c>
      <c t="s">
        <v>46989</v>
      </c>
      <c t="s">
        <v>46989</v>
      </c>
      <c t="s">
        <v>39289</v>
      </c>
      <c t="s">
        <v>4714</v>
      </c>
      <c t="s">
        <v>49977</v>
      </c>
      <c t="s">
        <v>3093</v>
      </c>
      <c t="s">
        <v>7315</v>
      </c>
    </row>
    <row>
      <c t="s">
        <v>17594</v>
      </c>
      <c t="s">
        <v>58442</v>
      </c>
      <c t="s">
        <v>35638</v>
      </c>
      <c t="s">
        <v>31099</v>
      </c>
      <c t="s">
        <v>23467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034" s="1" t="str">
        <f ca="1">HYPERLINK("https://web.datatree.com/?/property?propertyId=33551002", "https://web.datatree.com/?/property?propertyId=33551002")</f>
        <v>https://web.datatree.com/?/property?propertyId=33551002</v>
      </c>
      <c r="Q4034" t="s">
        <v>316</v>
      </c>
      <c>
        <v>0.244</v>
      </c>
      <c t="s">
        <v>6175</v>
      </c>
      <c t="s">
        <v>10782</v>
      </c>
      <c t="s">
        <v>50089</v>
      </c>
      <c t="s">
        <v>4416</v>
      </c>
      <c t="s">
        <v>50089</v>
      </c>
      <c t="s">
        <v>8537</v>
      </c>
      <c t="s">
        <v>18679</v>
      </c>
      <c t="s">
        <v>2517</v>
      </c>
      <c t="s">
        <v>39289</v>
      </c>
      <c>
        <v>33909</v>
      </c>
      <c t="s">
        <v>33741</v>
      </c>
      <c t="s">
        <v>48794</v>
      </c>
      <c t="s">
        <v>43360</v>
      </c>
      <c>
        <v>632</v>
      </c>
      <c r="AI4034" t="s">
        <v>32248</v>
      </c>
      <c t="s">
        <v>835</v>
      </c>
      <c r="AL4034" t="s">
        <v>16489</v>
      </c>
      <c r="AN4034" t="s">
        <v>26016</v>
      </c>
      <c t="s">
        <v>52813</v>
      </c>
      <c t="s">
        <v>40645</v>
      </c>
      <c t="s">
        <v>3093</v>
      </c>
      <c t="s">
        <v>20293</v>
      </c>
    </row>
    <row>
      <c t="s">
        <v>17594</v>
      </c>
      <c t="s">
        <v>21774</v>
      </c>
      <c t="s">
        <v>26343</v>
      </c>
      <c t="s">
        <v>41396</v>
      </c>
      <c t="s">
        <v>16636</v>
      </c>
      <c s="3">
        <v>16000</v>
      </c>
      <c s="3">
        <v>16000</v>
      </c>
      <c s="3">
        <v>16000</v>
      </c>
      <c>
        <v>0</v>
      </c>
      <c s="3">
        <v>0</v>
      </c>
      <c s="3">
        <v>277</v>
      </c>
      <c s="3">
        <v>16000</v>
      </c>
      <c r="O4035" s="1" t="str">
        <f ca="1">HYPERLINK("https://web.datatree.com/?/property?propertyId=33551791", "https://web.datatree.com/?/property?propertyId=33551791")</f>
        <v>https://web.datatree.com/?/property?propertyId=33551791</v>
      </c>
      <c r="Q4035" t="s">
        <v>316</v>
      </c>
      <c>
        <v>0.206</v>
      </c>
      <c t="s">
        <v>66399</v>
      </c>
      <c t="s">
        <v>12284</v>
      </c>
      <c t="s">
        <v>64018</v>
      </c>
      <c r="X4035" t="s">
        <v>25400</v>
      </c>
      <c t="s">
        <v>24693</v>
      </c>
      <c t="s">
        <v>65059</v>
      </c>
      <c t="s">
        <v>39289</v>
      </c>
      <c>
        <v>33905</v>
      </c>
      <c t="s">
        <v>8760</v>
      </c>
      <c t="s">
        <v>48794</v>
      </c>
      <c t="s">
        <v>65862</v>
      </c>
      <c>
        <v>59</v>
      </c>
      <c r="AI4035" t="s">
        <v>4190</v>
      </c>
      <c t="s">
        <v>24900</v>
      </c>
      <c r="AL4035" t="s">
        <v>48983</v>
      </c>
      <c r="AN4035" t="s">
        <v>39289</v>
      </c>
      <c t="s">
        <v>42467</v>
      </c>
      <c t="s">
        <v>42945</v>
      </c>
      <c t="s">
        <v>3093</v>
      </c>
      <c t="s">
        <v>27039</v>
      </c>
    </row>
    <row>
      <c t="s">
        <v>17594</v>
      </c>
      <c t="s">
        <v>2217</v>
      </c>
      <c t="s">
        <v>59487</v>
      </c>
      <c t="s">
        <v>63407</v>
      </c>
      <c t="s">
        <v>18596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4036" s="1" t="str">
        <f ca="1">HYPERLINK("https://web.datatree.com/?/property?propertyId=33551794", "https://web.datatree.com/?/property?propertyId=33551794")</f>
        <v>https://web.datatree.com/?/property?propertyId=33551794</v>
      </c>
      <c r="Q4036" t="s">
        <v>316</v>
      </c>
      <c>
        <v>0.23</v>
      </c>
      <c t="s">
        <v>6175</v>
      </c>
      <c t="s">
        <v>63877</v>
      </c>
      <c t="s">
        <v>46201</v>
      </c>
      <c r="X4036" t="s">
        <v>28037</v>
      </c>
      <c t="s">
        <v>23517</v>
      </c>
      <c t="s">
        <v>2517</v>
      </c>
      <c t="s">
        <v>39289</v>
      </c>
      <c>
        <v>33909</v>
      </c>
      <c t="s">
        <v>66152</v>
      </c>
      <c t="s">
        <v>48794</v>
      </c>
      <c t="s">
        <v>23103</v>
      </c>
      <c>
        <v>165</v>
      </c>
      <c r="AI4036" t="s">
        <v>53417</v>
      </c>
      <c t="s">
        <v>31192</v>
      </c>
      <c r="AL4036" t="s">
        <v>11498</v>
      </c>
      <c r="AN4036" t="s">
        <v>10804</v>
      </c>
      <c t="s">
        <v>43497</v>
      </c>
      <c t="s">
        <v>49977</v>
      </c>
      <c t="s">
        <v>3093</v>
      </c>
      <c t="s">
        <v>10583</v>
      </c>
    </row>
    <row>
      <c t="s">
        <v>17594</v>
      </c>
      <c t="s">
        <v>25771</v>
      </c>
      <c t="s">
        <v>35533</v>
      </c>
      <c t="s">
        <v>40667</v>
      </c>
      <c t="s">
        <v>38340</v>
      </c>
      <c s="3">
        <v>26290</v>
      </c>
      <c s="3">
        <v>26290</v>
      </c>
      <c s="3">
        <v>12650</v>
      </c>
      <c>
        <v>0</v>
      </c>
      <c s="3">
        <v>0</v>
      </c>
      <c s="3">
        <v>654.09</v>
      </c>
      <c s="3">
        <v>26290</v>
      </c>
      <c r="O4037" s="1" t="str">
        <f ca="1">HYPERLINK("https://web.datatree.com/?/property?propertyId=33551844", "https://web.datatree.com/?/property?propertyId=33551844")</f>
        <v>https://web.datatree.com/?/property?propertyId=33551844</v>
      </c>
      <c r="Q4037" t="s">
        <v>316</v>
      </c>
      <c>
        <v>0.244</v>
      </c>
      <c t="s">
        <v>22490</v>
      </c>
      <c t="s">
        <v>1235</v>
      </c>
      <c t="s">
        <v>18158</v>
      </c>
      <c r="X4037" t="s">
        <v>29068</v>
      </c>
      <c t="s">
        <v>66701</v>
      </c>
      <c t="s">
        <v>2517</v>
      </c>
      <c t="s">
        <v>39289</v>
      </c>
      <c>
        <v>33909</v>
      </c>
      <c t="s">
        <v>39744</v>
      </c>
      <c t="s">
        <v>48794</v>
      </c>
      <c t="s">
        <v>46343</v>
      </c>
      <c>
        <v>3742</v>
      </c>
      <c r="AI4037" t="s">
        <v>42263</v>
      </c>
      <c t="s">
        <v>45620</v>
      </c>
      <c t="s">
        <v>17594</v>
      </c>
      <c t="s">
        <v>35318</v>
      </c>
      <c t="s">
        <v>52754</v>
      </c>
      <c t="s">
        <v>43132</v>
      </c>
      <c t="s">
        <v>51071</v>
      </c>
      <c t="s">
        <v>4480</v>
      </c>
      <c t="s">
        <v>3093</v>
      </c>
      <c t="s">
        <v>39608</v>
      </c>
    </row>
    <row>
      <c t="s">
        <v>17594</v>
      </c>
      <c t="s">
        <v>25243</v>
      </c>
      <c t="s">
        <v>18396</v>
      </c>
      <c t="s">
        <v>4623</v>
      </c>
      <c t="s">
        <v>11156</v>
      </c>
      <c s="3">
        <v>15788</v>
      </c>
      <c s="3">
        <v>15788</v>
      </c>
      <c s="3">
        <v>8250</v>
      </c>
      <c>
        <v>0</v>
      </c>
      <c s="3">
        <v>0</v>
      </c>
      <c s="3">
        <v>568.23</v>
      </c>
      <c s="3">
        <v>15788</v>
      </c>
      <c r="O4038" s="1" t="str">
        <f ca="1">HYPERLINK("https://web.datatree.com/?/property?propertyId=33552057", "https://web.datatree.com/?/property?propertyId=33552057")</f>
        <v>https://web.datatree.com/?/property?propertyId=33552057</v>
      </c>
      <c r="Q4038" t="s">
        <v>316</v>
      </c>
      <c>
        <v>0.255</v>
      </c>
      <c t="s">
        <v>6175</v>
      </c>
      <c t="s">
        <v>3293</v>
      </c>
      <c t="s">
        <v>816</v>
      </c>
      <c r="X4038" t="s">
        <v>6391</v>
      </c>
      <c t="s">
        <v>49674</v>
      </c>
      <c t="s">
        <v>2517</v>
      </c>
      <c t="s">
        <v>39289</v>
      </c>
      <c>
        <v>33909</v>
      </c>
      <c t="s">
        <v>42784</v>
      </c>
      <c t="s">
        <v>48794</v>
      </c>
      <c t="s">
        <v>56921</v>
      </c>
      <c>
        <v>1</v>
      </c>
      <c r="AI4038" t="s">
        <v>48122</v>
      </c>
      <c t="s">
        <v>45620</v>
      </c>
      <c r="AL4038" t="s">
        <v>63006</v>
      </c>
      <c r="AN4038" t="s">
        <v>19878</v>
      </c>
      <c t="s">
        <v>31212</v>
      </c>
      <c t="s">
        <v>60160</v>
      </c>
      <c t="s">
        <v>3093</v>
      </c>
      <c t="s">
        <v>18214</v>
      </c>
    </row>
    <row>
      <c t="s">
        <v>17594</v>
      </c>
      <c t="s">
        <v>61539</v>
      </c>
      <c t="s">
        <v>18822</v>
      </c>
      <c t="s">
        <v>58065</v>
      </c>
      <c t="s">
        <v>16899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4039" s="1" t="str">
        <f ca="1">HYPERLINK("https://web.datatree.com/?/property?propertyId=33552503", "https://web.datatree.com/?/property?propertyId=33552503")</f>
        <v>https://web.datatree.com/?/property?propertyId=33552503</v>
      </c>
      <c r="Q4039" t="s">
        <v>316</v>
      </c>
      <c>
        <v>0.23</v>
      </c>
      <c t="s">
        <v>6175</v>
      </c>
      <c t="s">
        <v>22046</v>
      </c>
      <c t="s">
        <v>35526</v>
      </c>
      <c t="s">
        <v>45883</v>
      </c>
      <c t="s">
        <v>21991</v>
      </c>
      <c t="s">
        <v>33926</v>
      </c>
      <c t="s">
        <v>33893</v>
      </c>
      <c t="s">
        <v>2517</v>
      </c>
      <c t="s">
        <v>39289</v>
      </c>
      <c>
        <v>33909</v>
      </c>
      <c t="s">
        <v>54825</v>
      </c>
      <c t="s">
        <v>48794</v>
      </c>
      <c t="s">
        <v>27067</v>
      </c>
      <c>
        <v>230</v>
      </c>
      <c r="AI4039" t="s">
        <v>25095</v>
      </c>
      <c t="s">
        <v>31192</v>
      </c>
      <c r="AL4039" t="s">
        <v>53212</v>
      </c>
      <c r="AN4039" t="s">
        <v>14509</v>
      </c>
      <c t="s">
        <v>35395</v>
      </c>
      <c t="s">
        <v>50779</v>
      </c>
      <c t="s">
        <v>3093</v>
      </c>
      <c t="s">
        <v>10332</v>
      </c>
    </row>
    <row>
      <c t="s">
        <v>17594</v>
      </c>
      <c t="s">
        <v>255</v>
      </c>
      <c t="s">
        <v>9742</v>
      </c>
      <c t="s">
        <v>65856</v>
      </c>
      <c t="s">
        <v>24014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040" s="1" t="str">
        <f ca="1">HYPERLINK("https://web.datatree.com/?/property?propertyId=33552762", "https://web.datatree.com/?/property?propertyId=33552762")</f>
        <v>https://web.datatree.com/?/property?propertyId=33552762</v>
      </c>
      <c r="Q4040" t="s">
        <v>316</v>
      </c>
      <c>
        <v>0.23</v>
      </c>
      <c t="s">
        <v>6175</v>
      </c>
      <c t="s">
        <v>65685</v>
      </c>
      <c t="s">
        <v>50852</v>
      </c>
      <c r="X4040" t="s">
        <v>14804</v>
      </c>
      <c t="s">
        <v>18679</v>
      </c>
      <c t="s">
        <v>2517</v>
      </c>
      <c t="s">
        <v>39289</v>
      </c>
      <c>
        <v>33909</v>
      </c>
      <c t="s">
        <v>19320</v>
      </c>
      <c t="s">
        <v>48794</v>
      </c>
      <c t="s">
        <v>24160</v>
      </c>
      <c>
        <v>15316</v>
      </c>
      <c r="AI4040" t="s">
        <v>51134</v>
      </c>
      <c t="s">
        <v>31192</v>
      </c>
      <c r="AL4040" t="s">
        <v>62769</v>
      </c>
      <c t="s">
        <v>215</v>
      </c>
      <c t="s">
        <v>39289</v>
      </c>
      <c t="s">
        <v>22638</v>
      </c>
      <c t="s">
        <v>63972</v>
      </c>
      <c t="s">
        <v>3093</v>
      </c>
      <c t="s">
        <v>63479</v>
      </c>
    </row>
    <row>
      <c t="s">
        <v>17594</v>
      </c>
      <c t="s">
        <v>18615</v>
      </c>
      <c t="s">
        <v>36440</v>
      </c>
      <c t="s">
        <v>28626</v>
      </c>
      <c t="s">
        <v>41016</v>
      </c>
      <c s="3">
        <v>38645</v>
      </c>
      <c s="3">
        <v>38645</v>
      </c>
      <c s="3">
        <v>15044</v>
      </c>
      <c>
        <v>0</v>
      </c>
      <c s="3">
        <v>0</v>
      </c>
      <c s="3">
        <v>820.31</v>
      </c>
      <c s="3">
        <v>38645</v>
      </c>
      <c r="O4041" s="1" t="str">
        <f ca="1">HYPERLINK("https://web.datatree.com/?/property?propertyId=33553233", "https://web.datatree.com/?/property?propertyId=33553233")</f>
        <v>https://web.datatree.com/?/property?propertyId=33553233</v>
      </c>
      <c r="Q4041" t="s">
        <v>316</v>
      </c>
      <c>
        <v>0.253</v>
      </c>
      <c t="s">
        <v>6175</v>
      </c>
      <c t="s">
        <v>4963</v>
      </c>
      <c t="s">
        <v>13205</v>
      </c>
      <c t="s">
        <v>66846</v>
      </c>
      <c t="s">
        <v>58821</v>
      </c>
      <c t="s">
        <v>42612</v>
      </c>
      <c t="s">
        <v>2626</v>
      </c>
      <c t="s">
        <v>2517</v>
      </c>
      <c t="s">
        <v>39289</v>
      </c>
      <c>
        <v>33909</v>
      </c>
      <c t="s">
        <v>57970</v>
      </c>
      <c t="s">
        <v>48794</v>
      </c>
      <c t="s">
        <v>32354</v>
      </c>
      <c>
        <v>2770</v>
      </c>
      <c r="AH4041" t="s">
        <v>57851</v>
      </c>
      <c t="s">
        <v>1045</v>
      </c>
      <c t="s">
        <v>55842</v>
      </c>
      <c r="AL4041" t="s">
        <v>11713</v>
      </c>
      <c r="AN4041" t="s">
        <v>39289</v>
      </c>
      <c t="s">
        <v>2580</v>
      </c>
      <c t="s">
        <v>61420</v>
      </c>
      <c t="s">
        <v>3093</v>
      </c>
      <c t="s">
        <v>58931</v>
      </c>
    </row>
    <row>
      <c t="s">
        <v>17594</v>
      </c>
      <c t="s">
        <v>1545</v>
      </c>
      <c t="s">
        <v>1855</v>
      </c>
      <c t="s">
        <v>66476</v>
      </c>
      <c t="s">
        <v>55697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4042" s="1" t="str">
        <f ca="1">HYPERLINK("https://web.datatree.com/?/property?propertyId=33553260", "https://web.datatree.com/?/property?propertyId=33553260")</f>
        <v>https://web.datatree.com/?/property?propertyId=33553260</v>
      </c>
      <c r="Q4042" t="s">
        <v>316</v>
      </c>
      <c>
        <v>0.244</v>
      </c>
      <c t="s">
        <v>6175</v>
      </c>
      <c t="s">
        <v>2140</v>
      </c>
      <c t="s">
        <v>21852</v>
      </c>
      <c t="s">
        <v>16558</v>
      </c>
      <c t="s">
        <v>21852</v>
      </c>
      <c t="s">
        <v>67040</v>
      </c>
      <c t="s">
        <v>22731</v>
      </c>
      <c t="s">
        <v>2517</v>
      </c>
      <c t="s">
        <v>39289</v>
      </c>
      <c>
        <v>33909</v>
      </c>
      <c t="s">
        <v>24031</v>
      </c>
      <c t="s">
        <v>48794</v>
      </c>
      <c t="s">
        <v>53941</v>
      </c>
      <c>
        <v>20</v>
      </c>
      <c r="AI4042" t="s">
        <v>20996</v>
      </c>
      <c t="s">
        <v>45620</v>
      </c>
      <c r="AL4042" t="s">
        <v>51697</v>
      </c>
      <c r="AN4042" t="s">
        <v>14509</v>
      </c>
      <c t="s">
        <v>58570</v>
      </c>
      <c t="s">
        <v>30439</v>
      </c>
      <c t="s">
        <v>3093</v>
      </c>
      <c t="s">
        <v>61339</v>
      </c>
    </row>
    <row>
      <c t="s">
        <v>17594</v>
      </c>
      <c t="s">
        <v>47788</v>
      </c>
      <c t="s">
        <v>11574</v>
      </c>
      <c t="s">
        <v>61923</v>
      </c>
      <c t="s">
        <v>37388</v>
      </c>
      <c s="3">
        <v>21600</v>
      </c>
      <c s="3">
        <v>21600</v>
      </c>
      <c s="3">
        <v>21600</v>
      </c>
      <c>
        <v>0</v>
      </c>
      <c s="3">
        <v>0</v>
      </c>
      <c s="3">
        <v>810.07</v>
      </c>
      <c s="3">
        <v>21600</v>
      </c>
      <c r="O4043" s="1" t="str">
        <f ca="1">HYPERLINK("https://web.datatree.com/?/property?propertyId=33553551", "https://web.datatree.com/?/property?propertyId=33553551")</f>
        <v>https://web.datatree.com/?/property?propertyId=33553551</v>
      </c>
      <c r="Q4043" t="s">
        <v>316</v>
      </c>
      <c>
        <v>0.344</v>
      </c>
      <c t="s">
        <v>6175</v>
      </c>
      <c t="s">
        <v>25867</v>
      </c>
      <c t="s">
        <v>37460</v>
      </c>
      <c r="X4043" t="s">
        <v>56268</v>
      </c>
      <c t="s">
        <v>34731</v>
      </c>
      <c t="s">
        <v>2517</v>
      </c>
      <c t="s">
        <v>39289</v>
      </c>
      <c>
        <v>33909</v>
      </c>
      <c t="s">
        <v>39589</v>
      </c>
      <c t="s">
        <v>48794</v>
      </c>
      <c t="s">
        <v>59335</v>
      </c>
      <c>
        <v>10052</v>
      </c>
      <c r="AI4043" t="s">
        <v>32450</v>
      </c>
      <c t="s">
        <v>31192</v>
      </c>
      <c t="s">
        <v>13979</v>
      </c>
      <c t="s">
        <v>4859</v>
      </c>
      <c t="s">
        <v>4859</v>
      </c>
      <c t="s">
        <v>39289</v>
      </c>
      <c t="s">
        <v>63188</v>
      </c>
      <c t="s">
        <v>53800</v>
      </c>
      <c t="s">
        <v>3093</v>
      </c>
      <c t="s">
        <v>32607</v>
      </c>
    </row>
    <row>
      <c t="s">
        <v>17594</v>
      </c>
      <c t="s">
        <v>66831</v>
      </c>
      <c t="s">
        <v>37475</v>
      </c>
      <c t="s">
        <v>55907</v>
      </c>
      <c t="s">
        <v>47797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 r="O4044" s="1" t="str">
        <f ca="1">HYPERLINK("https://web.datatree.com/?/property?propertyId=33554379", "https://web.datatree.com/?/property?propertyId=33554379")</f>
        <v>https://web.datatree.com/?/property?propertyId=33554379</v>
      </c>
      <c r="Q4044" t="s">
        <v>316</v>
      </c>
      <c>
        <v>0.299</v>
      </c>
      <c t="s">
        <v>5471</v>
      </c>
      <c t="s">
        <v>62157</v>
      </c>
      <c t="s">
        <v>34217</v>
      </c>
      <c r="X4044" t="s">
        <v>39189</v>
      </c>
      <c t="s">
        <v>15518</v>
      </c>
      <c t="s">
        <v>65059</v>
      </c>
      <c t="s">
        <v>39289</v>
      </c>
      <c>
        <v>33905</v>
      </c>
      <c t="s">
        <v>26691</v>
      </c>
      <c t="s">
        <v>48794</v>
      </c>
      <c t="s">
        <v>647</v>
      </c>
      <c>
        <v>5113</v>
      </c>
      <c r="AI4044" t="s">
        <v>7204</v>
      </c>
      <c t="s">
        <v>835</v>
      </c>
      <c r="AL4044" t="s">
        <v>15963</v>
      </c>
      <c t="s">
        <v>12970</v>
      </c>
      <c t="s">
        <v>39289</v>
      </c>
      <c t="s">
        <v>23208</v>
      </c>
      <c t="s">
        <v>23611</v>
      </c>
      <c t="s">
        <v>3093</v>
      </c>
      <c t="s">
        <v>57253</v>
      </c>
    </row>
    <row>
      <c t="s">
        <v>17594</v>
      </c>
      <c t="s">
        <v>40576</v>
      </c>
      <c t="s">
        <v>4004</v>
      </c>
      <c t="s">
        <v>31652</v>
      </c>
      <c t="s">
        <v>45414</v>
      </c>
      <c s="3">
        <v>22107</v>
      </c>
      <c s="3">
        <v>22107</v>
      </c>
      <c s="3">
        <v>8030</v>
      </c>
      <c>
        <v>0</v>
      </c>
      <c s="3">
        <v>0</v>
      </c>
      <c s="3">
        <v>616.26</v>
      </c>
      <c s="3">
        <v>22107</v>
      </c>
      <c r="O4045" s="1" t="str">
        <f ca="1">HYPERLINK("https://web.datatree.com/?/property?propertyId=33554433", "https://web.datatree.com/?/property?propertyId=33554433")</f>
        <v>https://web.datatree.com/?/property?propertyId=33554433</v>
      </c>
      <c r="Q4045" t="s">
        <v>316</v>
      </c>
      <c>
        <v>0.302</v>
      </c>
      <c t="s">
        <v>22490</v>
      </c>
      <c t="s">
        <v>37480</v>
      </c>
      <c t="s">
        <v>30494</v>
      </c>
      <c r="X4045" t="s">
        <v>42599</v>
      </c>
      <c t="s">
        <v>8669</v>
      </c>
      <c t="s">
        <v>2517</v>
      </c>
      <c t="s">
        <v>39289</v>
      </c>
      <c>
        <v>33909</v>
      </c>
      <c t="s">
        <v>24905</v>
      </c>
      <c t="s">
        <v>48794</v>
      </c>
      <c t="s">
        <v>4602</v>
      </c>
      <c>
        <v>5045</v>
      </c>
      <c r="AI4045" t="s">
        <v>66133</v>
      </c>
      <c t="s">
        <v>24900</v>
      </c>
      <c r="AL4045" t="s">
        <v>23972</v>
      </c>
      <c r="AN4045" t="s">
        <v>19878</v>
      </c>
      <c t="s">
        <v>36586</v>
      </c>
      <c t="s">
        <v>53800</v>
      </c>
      <c t="s">
        <v>3093</v>
      </c>
      <c t="s">
        <v>24226</v>
      </c>
    </row>
    <row>
      <c t="s">
        <v>17594</v>
      </c>
      <c t="s">
        <v>60796</v>
      </c>
      <c t="s">
        <v>33503</v>
      </c>
      <c t="s">
        <v>13681</v>
      </c>
      <c t="s">
        <v>23362</v>
      </c>
      <c s="3">
        <v>22300</v>
      </c>
      <c s="3">
        <v>22300</v>
      </c>
      <c s="3">
        <v>12884</v>
      </c>
      <c>
        <v>0</v>
      </c>
      <c s="3">
        <v>0</v>
      </c>
      <c s="3">
        <v>228.2</v>
      </c>
      <c s="3">
        <v>22300</v>
      </c>
      <c r="O4046" s="1" t="str">
        <f ca="1">HYPERLINK("https://web.datatree.com/?/property?propertyId=33554595", "https://web.datatree.com/?/property?propertyId=33554595")</f>
        <v>https://web.datatree.com/?/property?propertyId=33554595</v>
      </c>
      <c r="Q4046" t="s">
        <v>316</v>
      </c>
      <c>
        <v>0.215</v>
      </c>
      <c t="s">
        <v>5471</v>
      </c>
      <c t="s">
        <v>35237</v>
      </c>
      <c t="s">
        <v>20881</v>
      </c>
      <c t="s">
        <v>38445</v>
      </c>
      <c t="s">
        <v>20881</v>
      </c>
      <c t="s">
        <v>66036</v>
      </c>
      <c t="s">
        <v>7937</v>
      </c>
      <c t="s">
        <v>65059</v>
      </c>
      <c t="s">
        <v>39289</v>
      </c>
      <c>
        <v>33905</v>
      </c>
      <c t="s">
        <v>3010</v>
      </c>
      <c t="s">
        <v>48794</v>
      </c>
      <c t="s">
        <v>33493</v>
      </c>
      <c>
        <v>637</v>
      </c>
      <c r="AI4046" t="s">
        <v>2626</v>
      </c>
      <c t="s">
        <v>24900</v>
      </c>
      <c r="AL4046" t="s">
        <v>46989</v>
      </c>
      <c r="AN4046" t="s">
        <v>39289</v>
      </c>
      <c t="s">
        <v>21116</v>
      </c>
      <c t="s">
        <v>4797</v>
      </c>
      <c t="s">
        <v>3093</v>
      </c>
      <c t="s">
        <v>55812</v>
      </c>
    </row>
    <row>
      <c t="s">
        <v>17594</v>
      </c>
      <c t="s">
        <v>45418</v>
      </c>
      <c t="s">
        <v>61717</v>
      </c>
      <c t="s">
        <v>11071</v>
      </c>
      <c t="s">
        <v>34425</v>
      </c>
      <c s="3">
        <v>26250</v>
      </c>
      <c s="3">
        <v>26250</v>
      </c>
      <c s="3">
        <v>9433</v>
      </c>
      <c>
        <v>0</v>
      </c>
      <c s="3">
        <v>0</v>
      </c>
      <c s="3">
        <v>422.19</v>
      </c>
      <c s="3">
        <v>26250</v>
      </c>
      <c r="O4047" s="1" t="str">
        <f ca="1">HYPERLINK("https://web.datatree.com/?/property?propertyId=33554642", "https://web.datatree.com/?/property?propertyId=33554642")</f>
        <v>https://web.datatree.com/?/property?propertyId=33554642</v>
      </c>
      <c r="Q4047" t="s">
        <v>316</v>
      </c>
      <c>
        <v>0.295</v>
      </c>
      <c t="s">
        <v>5471</v>
      </c>
      <c t="s">
        <v>50331</v>
      </c>
      <c t="s">
        <v>40633</v>
      </c>
      <c t="s">
        <v>23659</v>
      </c>
      <c t="s">
        <v>40633</v>
      </c>
      <c t="s">
        <v>62549</v>
      </c>
      <c t="s">
        <v>2642</v>
      </c>
      <c t="s">
        <v>65059</v>
      </c>
      <c t="s">
        <v>39289</v>
      </c>
      <c>
        <v>33905</v>
      </c>
      <c t="s">
        <v>24679</v>
      </c>
      <c t="s">
        <v>48794</v>
      </c>
      <c t="s">
        <v>47907</v>
      </c>
      <c>
        <v>5095</v>
      </c>
      <c r="AI4047" t="s">
        <v>11223</v>
      </c>
      <c t="s">
        <v>31192</v>
      </c>
      <c r="AL4047" t="s">
        <v>16561</v>
      </c>
      <c r="AN4047" t="s">
        <v>50917</v>
      </c>
      <c t="s">
        <v>51588</v>
      </c>
      <c t="s">
        <v>53800</v>
      </c>
      <c t="s">
        <v>3093</v>
      </c>
      <c t="s">
        <v>1399</v>
      </c>
    </row>
    <row>
      <c t="s">
        <v>17594</v>
      </c>
      <c t="s">
        <v>17373</v>
      </c>
      <c t="s">
        <v>14064</v>
      </c>
      <c t="s">
        <v>63380</v>
      </c>
      <c t="s">
        <v>41952</v>
      </c>
      <c s="3">
        <v>24450</v>
      </c>
      <c s="3">
        <v>24450</v>
      </c>
      <c s="3">
        <v>11000</v>
      </c>
      <c>
        <v>0</v>
      </c>
      <c s="3">
        <v>0</v>
      </c>
      <c s="3">
        <v>648.56</v>
      </c>
      <c s="3">
        <v>24450</v>
      </c>
      <c r="O4048" s="1" t="str">
        <f ca="1">HYPERLINK("https://web.datatree.com/?/property?propertyId=33556399", "https://web.datatree.com/?/property?propertyId=33556399")</f>
        <v>https://web.datatree.com/?/property?propertyId=33556399</v>
      </c>
      <c r="Q4048" t="s">
        <v>316</v>
      </c>
      <c>
        <v>0.259</v>
      </c>
      <c t="s">
        <v>22490</v>
      </c>
      <c t="s">
        <v>16200</v>
      </c>
      <c t="s">
        <v>14268</v>
      </c>
      <c r="W4048" t="s">
        <v>21555</v>
      </c>
      <c t="s">
        <v>5569</v>
      </c>
      <c t="s">
        <v>66701</v>
      </c>
      <c t="s">
        <v>2517</v>
      </c>
      <c t="s">
        <v>39289</v>
      </c>
      <c>
        <v>33909</v>
      </c>
      <c t="s">
        <v>44173</v>
      </c>
      <c t="s">
        <v>48794</v>
      </c>
      <c t="s">
        <v>7143</v>
      </c>
      <c>
        <v>1105</v>
      </c>
      <c r="AH4048" t="s">
        <v>26580</v>
      </c>
      <c t="s">
        <v>56489</v>
      </c>
      <c r="AK4048" t="s">
        <v>25384</v>
      </c>
      <c t="s">
        <v>17648</v>
      </c>
      <c r="AN4048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51637</v>
      </c>
      <c t="s">
        <v>21431</v>
      </c>
      <c t="s">
        <v>37803</v>
      </c>
      <c t="s">
        <v>61230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049" s="1" t="str">
        <f ca="1">HYPERLINK("https://web.datatree.com/?/property?propertyId=33556931", "https://web.datatree.com/?/property?propertyId=33556931")</f>
        <v>https://web.datatree.com/?/property?propertyId=33556931</v>
      </c>
      <c r="Q4049" t="s">
        <v>316</v>
      </c>
      <c>
        <v>0.23</v>
      </c>
      <c t="s">
        <v>22490</v>
      </c>
      <c t="s">
        <v>29124</v>
      </c>
      <c t="s">
        <v>24419</v>
      </c>
      <c t="s">
        <v>65152</v>
      </c>
      <c t="s">
        <v>20438</v>
      </c>
      <c t="s">
        <v>4749</v>
      </c>
      <c t="s">
        <v>34136</v>
      </c>
      <c t="s">
        <v>2517</v>
      </c>
      <c t="s">
        <v>39289</v>
      </c>
      <c>
        <v>33909</v>
      </c>
      <c t="s">
        <v>20488</v>
      </c>
      <c t="s">
        <v>48794</v>
      </c>
      <c t="s">
        <v>44660</v>
      </c>
      <c>
        <v>9115</v>
      </c>
      <c r="AI4049" t="s">
        <v>64331</v>
      </c>
      <c t="s">
        <v>45393</v>
      </c>
      <c r="AL4049" t="s">
        <v>55393</v>
      </c>
      <c t="s">
        <v>523</v>
      </c>
      <c t="s">
        <v>39289</v>
      </c>
      <c t="s">
        <v>55559</v>
      </c>
      <c t="s">
        <v>19978</v>
      </c>
      <c t="s">
        <v>3093</v>
      </c>
      <c t="s">
        <v>39197</v>
      </c>
    </row>
    <row>
      <c t="s">
        <v>17594</v>
      </c>
      <c t="s">
        <v>26717</v>
      </c>
      <c t="s">
        <v>9677</v>
      </c>
      <c t="s">
        <v>25165</v>
      </c>
      <c t="s">
        <v>51110</v>
      </c>
      <c s="3">
        <v>23673</v>
      </c>
      <c s="3">
        <v>23673</v>
      </c>
      <c s="3">
        <v>9570</v>
      </c>
      <c>
        <v>0</v>
      </c>
      <c s="3">
        <v>0</v>
      </c>
      <c s="3">
        <v>651.18</v>
      </c>
      <c s="3">
        <v>23673</v>
      </c>
      <c r="O4050" s="1" t="str">
        <f ca="1">HYPERLINK("https://web.datatree.com/?/property?propertyId=33556956", "https://web.datatree.com/?/property?propertyId=33556956")</f>
        <v>https://web.datatree.com/?/property?propertyId=33556956</v>
      </c>
      <c r="Q4050" t="s">
        <v>316</v>
      </c>
      <c>
        <v>0.289</v>
      </c>
      <c t="s">
        <v>45031</v>
      </c>
      <c t="s">
        <v>25867</v>
      </c>
      <c t="s">
        <v>20391</v>
      </c>
      <c t="s">
        <v>9979</v>
      </c>
      <c t="s">
        <v>24566</v>
      </c>
      <c t="s">
        <v>50491</v>
      </c>
      <c t="s">
        <v>53663</v>
      </c>
      <c t="s">
        <v>2517</v>
      </c>
      <c t="s">
        <v>39289</v>
      </c>
      <c>
        <v>33909</v>
      </c>
      <c t="s">
        <v>33274</v>
      </c>
      <c t="s">
        <v>48794</v>
      </c>
      <c t="s">
        <v>2019</v>
      </c>
      <c>
        <v>8325</v>
      </c>
      <c r="AI4050" t="s">
        <v>19002</v>
      </c>
      <c r="AL4050" t="s">
        <v>33218</v>
      </c>
      <c t="s">
        <v>33218</v>
      </c>
      <c t="s">
        <v>9533</v>
      </c>
      <c t="s">
        <v>12434</v>
      </c>
      <c t="s">
        <v>56315</v>
      </c>
      <c t="s">
        <v>3093</v>
      </c>
      <c t="s">
        <v>23855</v>
      </c>
    </row>
    <row>
      <c t="s">
        <v>17594</v>
      </c>
      <c t="s">
        <v>58921</v>
      </c>
      <c t="s">
        <v>22467</v>
      </c>
      <c t="s">
        <v>41804</v>
      </c>
      <c t="s">
        <v>64725</v>
      </c>
      <c s="3">
        <v>18082</v>
      </c>
      <c s="3">
        <v>18082</v>
      </c>
      <c s="3">
        <v>7865</v>
      </c>
      <c>
        <v>0</v>
      </c>
      <c s="3">
        <v>0</v>
      </c>
      <c s="3">
        <v>492.2</v>
      </c>
      <c s="3">
        <v>18082</v>
      </c>
      <c r="O4051" s="1" t="str">
        <f ca="1">HYPERLINK("https://web.datatree.com/?/property?propertyId=33557085", "https://web.datatree.com/?/property?propertyId=33557085")</f>
        <v>https://web.datatree.com/?/property?propertyId=33557085</v>
      </c>
      <c r="Q4051" t="s">
        <v>316</v>
      </c>
      <c>
        <v>0.244</v>
      </c>
      <c t="s">
        <v>6175</v>
      </c>
      <c t="s">
        <v>45883</v>
      </c>
      <c t="s">
        <v>51389</v>
      </c>
      <c r="X4051" t="s">
        <v>8112</v>
      </c>
      <c t="s">
        <v>39082</v>
      </c>
      <c t="s">
        <v>2517</v>
      </c>
      <c t="s">
        <v>39289</v>
      </c>
      <c>
        <v>33909</v>
      </c>
      <c t="s">
        <v>46454</v>
      </c>
      <c t="s">
        <v>48794</v>
      </c>
      <c t="s">
        <v>18932</v>
      </c>
      <c>
        <v>24</v>
      </c>
      <c r="AI4051" t="s">
        <v>11400</v>
      </c>
      <c t="s">
        <v>41372</v>
      </c>
      <c r="AL4051" t="s">
        <v>66555</v>
      </c>
      <c r="AN4051" t="s">
        <v>39289</v>
      </c>
      <c t="s">
        <v>30775</v>
      </c>
      <c t="s">
        <v>60160</v>
      </c>
      <c t="s">
        <v>3093</v>
      </c>
      <c t="s">
        <v>18749</v>
      </c>
    </row>
    <row>
      <c t="s">
        <v>17594</v>
      </c>
      <c t="s">
        <v>15102</v>
      </c>
      <c t="s">
        <v>39097</v>
      </c>
      <c t="s">
        <v>23066</v>
      </c>
      <c t="s">
        <v>19945</v>
      </c>
      <c s="3">
        <v>87052</v>
      </c>
      <c s="3">
        <v>63500</v>
      </c>
      <c s="3">
        <v>86896</v>
      </c>
      <c>
        <v>0</v>
      </c>
      <c s="3">
        <v>0</v>
      </c>
      <c s="3">
        <v>1306.75</v>
      </c>
      <c s="3">
        <v>87052</v>
      </c>
      <c r="O4052" s="1" t="str">
        <f ca="1">HYPERLINK("https://web.datatree.com/?/property?propertyId=33557396", "https://web.datatree.com/?/property?propertyId=33557396")</f>
        <v>https://web.datatree.com/?/property?propertyId=33557396</v>
      </c>
      <c r="Q4052" t="s">
        <v>316</v>
      </c>
      <c>
        <v>0.105</v>
      </c>
      <c t="s">
        <v>26492</v>
      </c>
      <c r="U4052" t="s">
        <v>10251</v>
      </c>
      <c r="W4052" t="s">
        <v>36454</v>
      </c>
      <c t="s">
        <v>50876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58270</v>
      </c>
      <c>
        <v>2570</v>
      </c>
      <c r="AI4052" t="s">
        <v>16124</v>
      </c>
      <c t="s">
        <v>45620</v>
      </c>
      <c r="AL4052" t="s">
        <v>12532</v>
      </c>
      <c t="s">
        <v>40227</v>
      </c>
      <c t="s">
        <v>51137</v>
      </c>
      <c t="s">
        <v>26361</v>
      </c>
      <c t="s">
        <v>5652</v>
      </c>
      <c t="s">
        <v>3093</v>
      </c>
      <c t="s">
        <v>58214</v>
      </c>
    </row>
    <row>
      <c t="s">
        <v>17594</v>
      </c>
      <c t="s">
        <v>18151</v>
      </c>
      <c t="s">
        <v>40229</v>
      </c>
      <c t="s">
        <v>49676</v>
      </c>
      <c t="s">
        <v>32481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517.64</v>
      </c>
      <c s="1" t="str">
        <f ca="1">HYPERLINK("https://web.datatree.com/?/property?propertyId=33557791", "https://web.datatree.com/?/property?propertyId=33557791")</f>
        <v>https://web.datatree.com/?/property?propertyId=33557791</v>
      </c>
      <c r="Q4053" t="s">
        <v>316</v>
      </c>
      <c>
        <v>0.23</v>
      </c>
      <c t="s">
        <v>6175</v>
      </c>
      <c t="s">
        <v>28229</v>
      </c>
      <c t="s">
        <v>30601</v>
      </c>
      <c r="X4053" t="s">
        <v>63142</v>
      </c>
      <c t="s">
        <v>61850</v>
      </c>
      <c t="s">
        <v>2517</v>
      </c>
      <c t="s">
        <v>39289</v>
      </c>
      <c>
        <v>33909</v>
      </c>
      <c t="s">
        <v>53647</v>
      </c>
      <c t="s">
        <v>48794</v>
      </c>
      <c t="s">
        <v>15704</v>
      </c>
      <c>
        <v>8748</v>
      </c>
      <c r="AI4053" t="s">
        <v>59603</v>
      </c>
      <c r="AL4053" t="s">
        <v>1294</v>
      </c>
      <c r="AN4053" t="s">
        <v>27481</v>
      </c>
      <c t="s">
        <v>24642</v>
      </c>
      <c t="s">
        <v>22455</v>
      </c>
      <c t="s">
        <v>3093</v>
      </c>
      <c t="s">
        <v>36435</v>
      </c>
    </row>
    <row>
      <c t="s">
        <v>17594</v>
      </c>
      <c t="s">
        <v>22857</v>
      </c>
      <c t="s">
        <v>3138</v>
      </c>
      <c t="s">
        <v>19308</v>
      </c>
      <c t="s">
        <v>31297</v>
      </c>
      <c s="3">
        <v>7200</v>
      </c>
      <c s="3">
        <v>7200</v>
      </c>
      <c s="3">
        <v>7200</v>
      </c>
      <c>
        <v>0</v>
      </c>
      <c s="3">
        <v>0</v>
      </c>
      <c s="3">
        <v>513.78</v>
      </c>
      <c s="3">
        <v>7200</v>
      </c>
      <c r="O4054" s="1" t="str">
        <f ca="1">HYPERLINK("https://web.datatree.com/?/property?propertyId=33557836", "https://web.datatree.com/?/property?propertyId=33557836")</f>
        <v>https://web.datatree.com/?/property?propertyId=33557836</v>
      </c>
      <c r="Q4054" t="s">
        <v>316</v>
      </c>
      <c>
        <v>0.263</v>
      </c>
      <c t="s">
        <v>6175</v>
      </c>
      <c t="s">
        <v>50705</v>
      </c>
      <c t="s">
        <v>36423</v>
      </c>
      <c t="s">
        <v>66523</v>
      </c>
      <c t="s">
        <v>36423</v>
      </c>
      <c t="s">
        <v>44974</v>
      </c>
      <c t="s">
        <v>34136</v>
      </c>
      <c t="s">
        <v>2517</v>
      </c>
      <c t="s">
        <v>39289</v>
      </c>
      <c>
        <v>33909</v>
      </c>
      <c t="s">
        <v>374</v>
      </c>
      <c t="s">
        <v>48794</v>
      </c>
      <c t="s">
        <v>46500</v>
      </c>
      <c r="AI4054" t="s">
        <v>1381</v>
      </c>
      <c r="AK4054">
        <v>20</v>
      </c>
      <c t="s">
        <v>55504</v>
      </c>
      <c t="s">
        <v>55504</v>
      </c>
      <c t="s">
        <v>58733</v>
      </c>
      <c>
        <v>65779</v>
      </c>
      <c r="AR4054" t="s">
        <v>46125</v>
      </c>
    </row>
    <row>
      <c t="s">
        <v>17594</v>
      </c>
      <c t="s">
        <v>37926</v>
      </c>
      <c t="s">
        <v>60802</v>
      </c>
      <c t="s">
        <v>36286</v>
      </c>
      <c t="s">
        <v>35828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4055" s="1" t="str">
        <f ca="1">HYPERLINK("https://web.datatree.com/?/property?propertyId=33557911", "https://web.datatree.com/?/property?propertyId=33557911")</f>
        <v>https://web.datatree.com/?/property?propertyId=33557911</v>
      </c>
      <c r="Q4055" t="s">
        <v>316</v>
      </c>
      <c>
        <v>0.23</v>
      </c>
      <c t="s">
        <v>58725</v>
      </c>
      <c r="U4055" t="s">
        <v>52667</v>
      </c>
      <c t="s">
        <v>11199</v>
      </c>
      <c t="s">
        <v>54701</v>
      </c>
      <c t="s">
        <v>14060</v>
      </c>
      <c t="s">
        <v>57064</v>
      </c>
      <c t="s">
        <v>2517</v>
      </c>
      <c t="s">
        <v>39289</v>
      </c>
      <c>
        <v>33909</v>
      </c>
      <c t="s">
        <v>57833</v>
      </c>
      <c t="s">
        <v>48794</v>
      </c>
      <c t="s">
        <v>62646</v>
      </c>
      <c>
        <v>341</v>
      </c>
      <c r="AI4055" t="s">
        <v>9063</v>
      </c>
      <c t="s">
        <v>55842</v>
      </c>
      <c r="AL4055" t="s">
        <v>52220</v>
      </c>
      <c t="s">
        <v>52220</v>
      </c>
      <c t="s">
        <v>19878</v>
      </c>
      <c t="s">
        <v>55195</v>
      </c>
      <c t="s">
        <v>12251</v>
      </c>
      <c t="s">
        <v>3093</v>
      </c>
      <c t="s">
        <v>35232</v>
      </c>
    </row>
    <row>
      <c t="s">
        <v>17594</v>
      </c>
      <c t="s">
        <v>15003</v>
      </c>
      <c t="s">
        <v>26351</v>
      </c>
      <c t="s">
        <v>53017</v>
      </c>
      <c t="s">
        <v>13944</v>
      </c>
      <c s="3">
        <v>4420</v>
      </c>
      <c s="3">
        <v>4420</v>
      </c>
      <c s="3">
        <v>310</v>
      </c>
      <c>
        <v>0</v>
      </c>
      <c s="3">
        <v>0</v>
      </c>
      <c s="3">
        <v>251.7</v>
      </c>
      <c s="3">
        <v>4420</v>
      </c>
      <c>
        <v>2018</v>
      </c>
      <c>
        <v>2385.28</v>
      </c>
      <c s="1" t="str">
        <f ca="1">HYPERLINK("https://web.datatree.com/?/property?propertyId=33558186", "https://web.datatree.com/?/property?propertyId=33558186")</f>
        <v>https://web.datatree.com/?/property?propertyId=33558186</v>
      </c>
      <c r="Q4056" t="s">
        <v>316</v>
      </c>
      <c>
        <v>0.072</v>
      </c>
      <c t="s">
        <v>42044</v>
      </c>
      <c t="s">
        <v>43240</v>
      </c>
      <c t="s">
        <v>65973</v>
      </c>
      <c r="X4056" t="s">
        <v>42839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360</v>
      </c>
      <c r="AI4056" t="s">
        <v>35284</v>
      </c>
      <c t="s">
        <v>40123</v>
      </c>
      <c r="AL4056" t="s">
        <v>35389</v>
      </c>
      <c r="AN4056" t="s">
        <v>19878</v>
      </c>
      <c t="s">
        <v>55602</v>
      </c>
      <c t="s">
        <v>60160</v>
      </c>
      <c t="s">
        <v>3093</v>
      </c>
      <c t="s">
        <v>31325</v>
      </c>
    </row>
    <row>
      <c t="s">
        <v>17594</v>
      </c>
      <c t="s">
        <v>26801</v>
      </c>
      <c t="s">
        <v>51999</v>
      </c>
      <c t="s">
        <v>54077</v>
      </c>
      <c t="s">
        <v>37693</v>
      </c>
      <c s="3">
        <v>20169</v>
      </c>
      <c s="3">
        <v>20169</v>
      </c>
      <c s="3">
        <v>20169</v>
      </c>
      <c>
        <v>0</v>
      </c>
      <c s="3">
        <v>0</v>
      </c>
      <c s="3">
        <v>595.77</v>
      </c>
      <c s="3">
        <v>20169</v>
      </c>
      <c r="O4057" s="1" t="str">
        <f ca="1">HYPERLINK("https://web.datatree.com/?/property?propertyId=33558411", "https://web.datatree.com/?/property?propertyId=33558411")</f>
        <v>https://web.datatree.com/?/property?propertyId=33558411</v>
      </c>
      <c r="Q4057" t="s">
        <v>316</v>
      </c>
      <c>
        <v>0.304</v>
      </c>
      <c t="s">
        <v>6175</v>
      </c>
      <c t="s">
        <v>54158</v>
      </c>
      <c t="s">
        <v>39909</v>
      </c>
      <c r="X4057" t="s">
        <v>53635</v>
      </c>
      <c t="s">
        <v>22731</v>
      </c>
      <c t="s">
        <v>2517</v>
      </c>
      <c t="s">
        <v>39289</v>
      </c>
      <c>
        <v>33909</v>
      </c>
      <c t="s">
        <v>24695</v>
      </c>
      <c t="s">
        <v>48794</v>
      </c>
      <c t="s">
        <v>26689</v>
      </c>
      <c>
        <v>3693</v>
      </c>
      <c r="AI4057" t="s">
        <v>7899</v>
      </c>
      <c t="s">
        <v>55842</v>
      </c>
      <c r="AL4057" t="s">
        <v>26641</v>
      </c>
      <c t="s">
        <v>26641</v>
      </c>
      <c t="s">
        <v>39289</v>
      </c>
      <c t="s">
        <v>34836</v>
      </c>
      <c t="s">
        <v>62830</v>
      </c>
      <c t="s">
        <v>3093</v>
      </c>
      <c t="s">
        <v>66398</v>
      </c>
    </row>
    <row>
      <c t="s">
        <v>17594</v>
      </c>
      <c t="s">
        <v>23159</v>
      </c>
      <c t="s">
        <v>57129</v>
      </c>
      <c t="s">
        <v>35811</v>
      </c>
      <c t="s">
        <v>28025</v>
      </c>
      <c s="3">
        <v>90935</v>
      </c>
      <c s="3">
        <v>90935</v>
      </c>
      <c s="3">
        <v>75020</v>
      </c>
      <c>
        <v>0</v>
      </c>
      <c s="3">
        <v>0</v>
      </c>
      <c s="3">
        <v>1926.43</v>
      </c>
      <c s="3">
        <v>90935</v>
      </c>
      <c r="O4058" s="1" t="str">
        <f ca="1">HYPERLINK("https://web.datatree.com/?/property?propertyId=33558748", "https://web.datatree.com/?/property?propertyId=33558748")</f>
        <v>https://web.datatree.com/?/property?propertyId=33558748</v>
      </c>
      <c r="Q4058" t="s">
        <v>316</v>
      </c>
      <c>
        <v>0.248</v>
      </c>
      <c t="s">
        <v>22490</v>
      </c>
      <c t="s">
        <v>66811</v>
      </c>
      <c t="s">
        <v>17899</v>
      </c>
      <c r="W4058" t="s">
        <v>3424</v>
      </c>
      <c t="s">
        <v>8231</v>
      </c>
      <c t="s">
        <v>33335</v>
      </c>
      <c t="s">
        <v>2517</v>
      </c>
      <c t="s">
        <v>39289</v>
      </c>
      <c>
        <v>33904</v>
      </c>
      <c t="s">
        <v>16213</v>
      </c>
      <c t="s">
        <v>48794</v>
      </c>
      <c t="s">
        <v>13327</v>
      </c>
      <c>
        <v>4628</v>
      </c>
      <c r="AI4058" t="s">
        <v>27919</v>
      </c>
      <c t="s">
        <v>31192</v>
      </c>
      <c r="AL4058" t="s">
        <v>37196</v>
      </c>
      <c r="AN4058" t="s">
        <v>39289</v>
      </c>
      <c t="s">
        <v>8128</v>
      </c>
      <c t="s">
        <v>41776</v>
      </c>
      <c t="s">
        <v>3093</v>
      </c>
      <c t="s">
        <v>41207</v>
      </c>
    </row>
    <row>
      <c t="s">
        <v>17594</v>
      </c>
      <c t="s">
        <v>59808</v>
      </c>
      <c t="s">
        <v>29246</v>
      </c>
      <c t="s">
        <v>47146</v>
      </c>
      <c t="s">
        <v>59873</v>
      </c>
      <c s="3">
        <v>54000</v>
      </c>
      <c s="3">
        <v>54000</v>
      </c>
      <c s="3">
        <v>10848</v>
      </c>
      <c>
        <v>0</v>
      </c>
      <c s="3">
        <v>0</v>
      </c>
      <c s="3">
        <v>757.46</v>
      </c>
      <c s="3">
        <v>54000</v>
      </c>
      <c r="O4059" s="1" t="str">
        <f ca="1">HYPERLINK("https://web.datatree.com/?/property?propertyId=33559027", "https://web.datatree.com/?/property?propertyId=33559027")</f>
        <v>https://web.datatree.com/?/property?propertyId=33559027</v>
      </c>
      <c r="Q4059" t="s">
        <v>316</v>
      </c>
      <c>
        <v>0.23</v>
      </c>
      <c t="s">
        <v>6175</v>
      </c>
      <c t="s">
        <v>39139</v>
      </c>
      <c t="s">
        <v>33614</v>
      </c>
      <c t="s">
        <v>64649</v>
      </c>
      <c t="s">
        <v>33614</v>
      </c>
      <c t="s">
        <v>64497</v>
      </c>
      <c t="s">
        <v>47150</v>
      </c>
      <c t="s">
        <v>2517</v>
      </c>
      <c t="s">
        <v>39289</v>
      </c>
      <c>
        <v>33909</v>
      </c>
      <c t="s">
        <v>50783</v>
      </c>
      <c t="s">
        <v>48794</v>
      </c>
      <c t="s">
        <v>65943</v>
      </c>
      <c>
        <v>18</v>
      </c>
      <c r="AI4059" t="s">
        <v>25643</v>
      </c>
      <c t="s">
        <v>24900</v>
      </c>
      <c r="AL4059" t="s">
        <v>12785</v>
      </c>
      <c r="AN4059" t="s">
        <v>27747</v>
      </c>
      <c t="s">
        <v>36288</v>
      </c>
      <c t="s">
        <v>49977</v>
      </c>
      <c t="s">
        <v>3093</v>
      </c>
      <c t="s">
        <v>24779</v>
      </c>
    </row>
    <row>
      <c t="s">
        <v>17594</v>
      </c>
      <c t="s">
        <v>48259</v>
      </c>
      <c t="s">
        <v>47191</v>
      </c>
      <c t="s">
        <v>45528</v>
      </c>
      <c t="s">
        <v>541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060" s="1" t="str">
        <f ca="1">HYPERLINK("https://web.datatree.com/?/property?propertyId=33559244", "https://web.datatree.com/?/property?propertyId=33559244")</f>
        <v>https://web.datatree.com/?/property?propertyId=33559244</v>
      </c>
      <c r="Q4060" t="s">
        <v>316</v>
      </c>
      <c>
        <v>0.246</v>
      </c>
      <c t="s">
        <v>6175</v>
      </c>
      <c t="s">
        <v>20434</v>
      </c>
      <c t="s">
        <v>58099</v>
      </c>
      <c t="s">
        <v>56498</v>
      </c>
      <c t="s">
        <v>33543</v>
      </c>
      <c t="s">
        <v>60288</v>
      </c>
      <c t="s">
        <v>8669</v>
      </c>
      <c t="s">
        <v>2517</v>
      </c>
      <c t="s">
        <v>39289</v>
      </c>
      <c>
        <v>33909</v>
      </c>
      <c t="s">
        <v>24905</v>
      </c>
      <c t="s">
        <v>48794</v>
      </c>
      <c t="s">
        <v>34865</v>
      </c>
      <c>
        <v>512</v>
      </c>
      <c r="AI4060" t="s">
        <v>17022</v>
      </c>
      <c t="s">
        <v>24900</v>
      </c>
      <c r="AL4060" t="s">
        <v>22531</v>
      </c>
      <c r="AN4060" t="s">
        <v>39289</v>
      </c>
      <c t="s">
        <v>8267</v>
      </c>
      <c t="s">
        <v>27553</v>
      </c>
      <c t="s">
        <v>3093</v>
      </c>
      <c t="s">
        <v>52106</v>
      </c>
    </row>
    <row>
      <c t="s">
        <v>17594</v>
      </c>
      <c t="s">
        <v>18440</v>
      </c>
      <c t="s">
        <v>52621</v>
      </c>
      <c t="s">
        <v>34268</v>
      </c>
      <c t="s">
        <v>39594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4061" s="1" t="str">
        <f ca="1">HYPERLINK("https://web.datatree.com/?/property?propertyId=33559266", "https://web.datatree.com/?/property?propertyId=33559266")</f>
        <v>https://web.datatree.com/?/property?propertyId=33559266</v>
      </c>
      <c r="Q4061" t="s">
        <v>316</v>
      </c>
      <c>
        <v>0.23</v>
      </c>
      <c t="s">
        <v>6175</v>
      </c>
      <c t="s">
        <v>56498</v>
      </c>
      <c t="s">
        <v>20881</v>
      </c>
      <c t="s">
        <v>57458</v>
      </c>
      <c t="s">
        <v>20881</v>
      </c>
      <c t="s">
        <v>30264</v>
      </c>
      <c t="s">
        <v>55273</v>
      </c>
      <c t="s">
        <v>2517</v>
      </c>
      <c t="s">
        <v>39289</v>
      </c>
      <c>
        <v>33909</v>
      </c>
      <c t="s">
        <v>47259</v>
      </c>
      <c t="s">
        <v>48794</v>
      </c>
      <c t="s">
        <v>60857</v>
      </c>
      <c>
        <v>540</v>
      </c>
      <c r="AI4061" t="s">
        <v>6474</v>
      </c>
      <c t="s">
        <v>835</v>
      </c>
      <c r="AL4061" t="s">
        <v>58445</v>
      </c>
      <c r="AN4061" t="s">
        <v>27481</v>
      </c>
      <c t="s">
        <v>60925</v>
      </c>
      <c t="s">
        <v>864</v>
      </c>
      <c t="s">
        <v>3093</v>
      </c>
      <c t="s">
        <v>44861</v>
      </c>
    </row>
    <row>
      <c t="s">
        <v>17594</v>
      </c>
      <c t="s">
        <v>30198</v>
      </c>
      <c s="2" t="s">
        <v>35781</v>
      </c>
      <c t="s">
        <v>42174</v>
      </c>
      <c t="s">
        <v>62369</v>
      </c>
      <c s="3">
        <v>1634</v>
      </c>
      <c s="3">
        <v>1634</v>
      </c>
      <c s="3">
        <v>70</v>
      </c>
      <c>
        <v>0</v>
      </c>
      <c s="3">
        <v>0</v>
      </c>
      <c s="3">
        <v>9.9</v>
      </c>
      <c s="3">
        <v>1634</v>
      </c>
      <c r="O4062" s="1" t="str">
        <f ca="1">HYPERLINK("https://web.datatree.com/?/property?propertyId=33559552", "https://web.datatree.com/?/property?propertyId=33559552")</f>
        <v>https://web.datatree.com/?/property?propertyId=33559552</v>
      </c>
      <c r="Q4062" t="s">
        <v>316</v>
      </c>
      <c>
        <v>0.052</v>
      </c>
      <c t="s">
        <v>8155</v>
      </c>
      <c t="s">
        <v>12659</v>
      </c>
      <c t="s">
        <v>53292</v>
      </c>
      <c r="X4062" t="s">
        <v>9203</v>
      </c>
      <c t="s">
        <v>61259</v>
      </c>
      <c t="s">
        <v>65059</v>
      </c>
      <c t="s">
        <v>39289</v>
      </c>
      <c>
        <v>33901</v>
      </c>
      <c>
        <v>33901</v>
      </c>
      <c t="s">
        <v>48794</v>
      </c>
      <c t="s">
        <v>31628</v>
      </c>
      <c>
        <v>3010</v>
      </c>
      <c r="AI4062" t="s">
        <v>13181</v>
      </c>
      <c t="s">
        <v>31192</v>
      </c>
      <c t="s">
        <v>13061</v>
      </c>
      <c t="s">
        <v>45140</v>
      </c>
      <c r="AN4062" t="s">
        <v>39289</v>
      </c>
      <c t="s">
        <v>16162</v>
      </c>
      <c t="s">
        <v>46114</v>
      </c>
      <c t="s">
        <v>3093</v>
      </c>
      <c s="2" t="s">
        <v>17827</v>
      </c>
    </row>
    <row>
      <c t="s">
        <v>17594</v>
      </c>
      <c t="s">
        <v>32210</v>
      </c>
      <c t="s">
        <v>18604</v>
      </c>
      <c t="s">
        <v>43016</v>
      </c>
      <c t="s">
        <v>19153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4063" s="1" t="str">
        <f ca="1">HYPERLINK("https://web.datatree.com/?/property?propertyId=33559589", "https://web.datatree.com/?/property?propertyId=33559589")</f>
        <v>https://web.datatree.com/?/property?propertyId=33559589</v>
      </c>
      <c r="Q4063" t="s">
        <v>316</v>
      </c>
      <c>
        <v>0.244</v>
      </c>
      <c t="s">
        <v>6175</v>
      </c>
      <c t="s">
        <v>60638</v>
      </c>
      <c t="s">
        <v>37991</v>
      </c>
      <c t="s">
        <v>3267</v>
      </c>
      <c t="s">
        <v>16926</v>
      </c>
      <c t="s">
        <v>1270</v>
      </c>
      <c t="s">
        <v>22731</v>
      </c>
      <c t="s">
        <v>2517</v>
      </c>
      <c t="s">
        <v>39289</v>
      </c>
      <c>
        <v>33909</v>
      </c>
      <c t="s">
        <v>12017</v>
      </c>
      <c t="s">
        <v>48794</v>
      </c>
      <c t="s">
        <v>60734</v>
      </c>
      <c>
        <v>13229</v>
      </c>
      <c r="AI4063" t="s">
        <v>30928</v>
      </c>
      <c t="s">
        <v>55842</v>
      </c>
      <c>
        <v>1</v>
      </c>
      <c t="s">
        <v>55393</v>
      </c>
      <c r="AN4063" t="s">
        <v>39289</v>
      </c>
      <c t="s">
        <v>18919</v>
      </c>
      <c t="s">
        <v>40826</v>
      </c>
      <c t="s">
        <v>3093</v>
      </c>
      <c t="s">
        <v>30408</v>
      </c>
    </row>
    <row>
      <c t="s">
        <v>17594</v>
      </c>
      <c t="s">
        <v>16316</v>
      </c>
      <c t="s">
        <v>17228</v>
      </c>
      <c t="s">
        <v>19730</v>
      </c>
      <c t="s">
        <v>12531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064" s="1" t="str">
        <f ca="1">HYPERLINK("https://web.datatree.com/?/property?propertyId=33559904", "https://web.datatree.com/?/property?propertyId=33559904")</f>
        <v>https://web.datatree.com/?/property?propertyId=33559904</v>
      </c>
      <c r="Q4064" t="s">
        <v>316</v>
      </c>
      <c>
        <v>0.23</v>
      </c>
      <c t="s">
        <v>22490</v>
      </c>
      <c t="s">
        <v>46064</v>
      </c>
      <c t="s">
        <v>45794</v>
      </c>
      <c t="s">
        <v>21379</v>
      </c>
      <c r="X4064" t="s">
        <v>57114</v>
      </c>
      <c t="s">
        <v>39082</v>
      </c>
      <c t="s">
        <v>2517</v>
      </c>
      <c t="s">
        <v>39289</v>
      </c>
      <c>
        <v>33909</v>
      </c>
      <c t="s">
        <v>8345</v>
      </c>
      <c t="s">
        <v>48794</v>
      </c>
      <c t="s">
        <v>62480</v>
      </c>
      <c>
        <v>15215</v>
      </c>
      <c r="AI4064" t="s">
        <v>60839</v>
      </c>
      <c t="s">
        <v>31192</v>
      </c>
      <c r="AL4064" t="s">
        <v>27398</v>
      </c>
      <c r="AN4064" t="s">
        <v>39289</v>
      </c>
      <c t="s">
        <v>63004</v>
      </c>
      <c t="s">
        <v>30106</v>
      </c>
      <c t="s">
        <v>3093</v>
      </c>
      <c t="s">
        <v>2410</v>
      </c>
    </row>
    <row>
      <c t="s">
        <v>17594</v>
      </c>
      <c t="s">
        <v>31546</v>
      </c>
      <c t="s">
        <v>39137</v>
      </c>
      <c t="s">
        <v>55440</v>
      </c>
      <c t="s">
        <v>29427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4065" s="1" t="str">
        <f ca="1">HYPERLINK("https://web.datatree.com/?/property?propertyId=33559969", "https://web.datatree.com/?/property?propertyId=33559969")</f>
        <v>https://web.datatree.com/?/property?propertyId=33559969</v>
      </c>
      <c r="Q4065" t="s">
        <v>316</v>
      </c>
      <c>
        <v>0.23</v>
      </c>
      <c t="s">
        <v>6175</v>
      </c>
      <c t="s">
        <v>3556</v>
      </c>
      <c t="s">
        <v>35876</v>
      </c>
      <c t="s">
        <v>61439</v>
      </c>
      <c r="X4065" t="s">
        <v>43348</v>
      </c>
      <c t="s">
        <v>2619</v>
      </c>
      <c t="s">
        <v>2517</v>
      </c>
      <c t="s">
        <v>39289</v>
      </c>
      <c>
        <v>33909</v>
      </c>
      <c t="s">
        <v>32920</v>
      </c>
      <c t="s">
        <v>48794</v>
      </c>
      <c t="s">
        <v>35690</v>
      </c>
      <c>
        <v>8425</v>
      </c>
      <c r="AI4065" t="s">
        <v>3567</v>
      </c>
      <c t="s">
        <v>45393</v>
      </c>
      <c r="AL4065" t="s">
        <v>55393</v>
      </c>
      <c t="s">
        <v>4897</v>
      </c>
      <c t="s">
        <v>39289</v>
      </c>
      <c t="s">
        <v>6784</v>
      </c>
      <c t="s">
        <v>38085</v>
      </c>
      <c t="s">
        <v>3093</v>
      </c>
      <c t="s">
        <v>16799</v>
      </c>
    </row>
    <row>
      <c t="s">
        <v>17594</v>
      </c>
      <c t="s">
        <v>10401</v>
      </c>
      <c t="s">
        <v>7</v>
      </c>
      <c t="s">
        <v>18098</v>
      </c>
      <c t="s">
        <v>55019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4066" s="1" t="str">
        <f ca="1">HYPERLINK("https://web.datatree.com/?/property?propertyId=33560277", "https://web.datatree.com/?/property?propertyId=33560277")</f>
        <v>https://web.datatree.com/?/property?propertyId=33560277</v>
      </c>
      <c r="Q4066" t="s">
        <v>316</v>
      </c>
      <c>
        <v>0.241</v>
      </c>
      <c t="s">
        <v>6175</v>
      </c>
      <c r="U4066" t="s">
        <v>19102</v>
      </c>
      <c r="W4066" t="s">
        <v>39406</v>
      </c>
      <c t="s">
        <v>20467</v>
      </c>
      <c t="s">
        <v>23517</v>
      </c>
      <c t="s">
        <v>2517</v>
      </c>
      <c t="s">
        <v>39289</v>
      </c>
      <c>
        <v>33909</v>
      </c>
      <c t="s">
        <v>44251</v>
      </c>
      <c t="s">
        <v>48794</v>
      </c>
      <c t="s">
        <v>62920</v>
      </c>
      <c>
        <v>18</v>
      </c>
      <c r="AI4066" t="s">
        <v>49036</v>
      </c>
      <c t="s">
        <v>40123</v>
      </c>
      <c r="AL4066" t="s">
        <v>1313</v>
      </c>
      <c r="AN4066" t="s">
        <v>58733</v>
      </c>
      <c t="s">
        <v>680</v>
      </c>
      <c t="s">
        <v>22152</v>
      </c>
      <c t="s">
        <v>3093</v>
      </c>
      <c t="s">
        <v>47969</v>
      </c>
    </row>
    <row>
      <c t="s">
        <v>17594</v>
      </c>
      <c t="s">
        <v>61649</v>
      </c>
      <c t="s">
        <v>44545</v>
      </c>
      <c t="s">
        <v>13128</v>
      </c>
      <c t="s">
        <v>9815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4067" s="1" t="str">
        <f ca="1">HYPERLINK("https://web.datatree.com/?/property?propertyId=33560348", "https://web.datatree.com/?/property?propertyId=33560348")</f>
        <v>https://web.datatree.com/?/property?propertyId=33560348</v>
      </c>
      <c r="Q4067" t="s">
        <v>316</v>
      </c>
      <c>
        <v>0.23</v>
      </c>
      <c t="s">
        <v>45031</v>
      </c>
      <c t="s">
        <v>48755</v>
      </c>
      <c t="s">
        <v>40104</v>
      </c>
      <c t="s">
        <v>26502</v>
      </c>
      <c t="s">
        <v>40104</v>
      </c>
      <c t="s">
        <v>36846</v>
      </c>
      <c t="s">
        <v>39082</v>
      </c>
      <c t="s">
        <v>2517</v>
      </c>
      <c t="s">
        <v>39289</v>
      </c>
      <c>
        <v>33909</v>
      </c>
      <c t="s">
        <v>66640</v>
      </c>
      <c t="s">
        <v>48794</v>
      </c>
      <c t="s">
        <v>49704</v>
      </c>
      <c>
        <v>13</v>
      </c>
      <c r="AI4067" t="s">
        <v>48518</v>
      </c>
      <c t="s">
        <v>24900</v>
      </c>
      <c r="AL4067" t="s">
        <v>52284</v>
      </c>
      <c r="AN4067" t="s">
        <v>26016</v>
      </c>
      <c t="s">
        <v>59216</v>
      </c>
      <c t="s">
        <v>4480</v>
      </c>
      <c t="s">
        <v>3093</v>
      </c>
      <c t="s">
        <v>29326</v>
      </c>
    </row>
    <row>
      <c t="s">
        <v>17594</v>
      </c>
      <c t="s">
        <v>24297</v>
      </c>
      <c t="s">
        <v>54172</v>
      </c>
      <c t="s">
        <v>42577</v>
      </c>
      <c t="s">
        <v>30305</v>
      </c>
      <c s="3">
        <v>9947</v>
      </c>
      <c s="3">
        <v>9947</v>
      </c>
      <c s="3">
        <v>3993</v>
      </c>
      <c>
        <v>0</v>
      </c>
      <c s="3">
        <v>0</v>
      </c>
      <c s="3">
        <v>102.21</v>
      </c>
      <c s="3">
        <v>9947</v>
      </c>
      <c r="O4068" s="1" t="str">
        <f ca="1">HYPERLINK("https://web.datatree.com/?/property?propertyId=33560739", "https://web.datatree.com/?/property?propertyId=33560739")</f>
        <v>https://web.datatree.com/?/property?propertyId=33560739</v>
      </c>
      <c r="Q4068" t="s">
        <v>316</v>
      </c>
      <c>
        <v>0.15</v>
      </c>
      <c t="s">
        <v>8155</v>
      </c>
      <c t="s">
        <v>24692</v>
      </c>
      <c t="s">
        <v>35230</v>
      </c>
      <c t="s">
        <v>24676</v>
      </c>
      <c t="s">
        <v>2816</v>
      </c>
      <c t="s">
        <v>47583</v>
      </c>
      <c t="s">
        <v>1992</v>
      </c>
      <c t="s">
        <v>65059</v>
      </c>
      <c t="s">
        <v>39289</v>
      </c>
      <c>
        <v>33901</v>
      </c>
      <c t="s">
        <v>58321</v>
      </c>
      <c t="s">
        <v>48794</v>
      </c>
      <c t="s">
        <v>58704</v>
      </c>
      <c>
        <v>3334</v>
      </c>
      <c r="AI4068" t="s">
        <v>56385</v>
      </c>
      <c t="s">
        <v>45620</v>
      </c>
      <c r="AL4068" t="s">
        <v>13158</v>
      </c>
      <c r="AN4068" t="s">
        <v>17134</v>
      </c>
      <c t="s">
        <v>54968</v>
      </c>
      <c t="s">
        <v>49977</v>
      </c>
      <c t="s">
        <v>3093</v>
      </c>
      <c t="s">
        <v>42019</v>
      </c>
    </row>
    <row>
      <c t="s">
        <v>17594</v>
      </c>
      <c t="s">
        <v>9111</v>
      </c>
      <c t="s">
        <v>44977</v>
      </c>
      <c t="s">
        <v>20453</v>
      </c>
      <c t="s">
        <v>54017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4069" s="1" t="str">
        <f ca="1">HYPERLINK("https://web.datatree.com/?/property?propertyId=33560925", "https://web.datatree.com/?/property?propertyId=33560925")</f>
        <v>https://web.datatree.com/?/property?propertyId=33560925</v>
      </c>
      <c r="Q4069" t="s">
        <v>316</v>
      </c>
      <c>
        <v>0.23</v>
      </c>
      <c t="s">
        <v>6175</v>
      </c>
      <c t="s">
        <v>3617</v>
      </c>
      <c t="s">
        <v>20881</v>
      </c>
      <c r="X4069" t="s">
        <v>63131</v>
      </c>
      <c t="s">
        <v>14534</v>
      </c>
      <c t="s">
        <v>2517</v>
      </c>
      <c t="s">
        <v>39289</v>
      </c>
      <c>
        <v>33909</v>
      </c>
      <c t="s">
        <v>37582</v>
      </c>
      <c t="s">
        <v>48794</v>
      </c>
      <c t="s">
        <v>8230</v>
      </c>
      <c>
        <v>8018</v>
      </c>
      <c r="AI4069" t="s">
        <v>51548</v>
      </c>
      <c t="s">
        <v>31192</v>
      </c>
      <c r="AL4069" t="s">
        <v>38297</v>
      </c>
      <c t="s">
        <v>37981</v>
      </c>
      <c t="s">
        <v>27222</v>
      </c>
      <c>
        <v>89123</v>
      </c>
      <c t="s">
        <v>42082</v>
      </c>
      <c t="s">
        <v>3093</v>
      </c>
      <c t="s">
        <v>7079</v>
      </c>
    </row>
    <row>
      <c t="s">
        <v>17594</v>
      </c>
      <c t="s">
        <v>8538</v>
      </c>
      <c t="s">
        <v>28643</v>
      </c>
      <c t="s">
        <v>56928</v>
      </c>
      <c t="s">
        <v>63112</v>
      </c>
      <c s="3">
        <v>9100</v>
      </c>
      <c s="3">
        <v>9100</v>
      </c>
      <c s="3">
        <v>9100</v>
      </c>
      <c>
        <v>0</v>
      </c>
      <c s="3">
        <v>0</v>
      </c>
      <c s="3">
        <v>590.81</v>
      </c>
      <c s="3">
        <v>9100</v>
      </c>
      <c r="O4070" s="1" t="str">
        <f ca="1">HYPERLINK("https://web.datatree.com/?/property?propertyId=33561474", "https://web.datatree.com/?/property?propertyId=33561474")</f>
        <v>https://web.datatree.com/?/property?propertyId=33561474</v>
      </c>
      <c r="Q4070" t="s">
        <v>316</v>
      </c>
      <c>
        <v>0.244</v>
      </c>
      <c t="s">
        <v>65422</v>
      </c>
      <c t="s">
        <v>2140</v>
      </c>
      <c t="s">
        <v>5287</v>
      </c>
      <c t="s">
        <v>50666</v>
      </c>
      <c t="s">
        <v>5287</v>
      </c>
      <c t="s">
        <v>25214</v>
      </c>
      <c t="s">
        <v>61850</v>
      </c>
      <c t="s">
        <v>2517</v>
      </c>
      <c t="s">
        <v>39289</v>
      </c>
      <c>
        <v>33909</v>
      </c>
      <c t="s">
        <v>4197</v>
      </c>
      <c t="s">
        <v>48794</v>
      </c>
      <c t="s">
        <v>56380</v>
      </c>
      <c>
        <v>4</v>
      </c>
      <c r="AI4070" t="s">
        <v>57374</v>
      </c>
      <c t="s">
        <v>55842</v>
      </c>
      <c r="AL4070" t="s">
        <v>3859</v>
      </c>
      <c r="AN4070" t="s">
        <v>50917</v>
      </c>
      <c t="s">
        <v>24243</v>
      </c>
      <c t="s">
        <v>62830</v>
      </c>
      <c t="s">
        <v>3093</v>
      </c>
      <c t="s">
        <v>42679</v>
      </c>
    </row>
    <row>
      <c t="s">
        <v>17594</v>
      </c>
      <c t="s">
        <v>1684</v>
      </c>
      <c t="s">
        <v>9224</v>
      </c>
      <c t="s">
        <v>43619</v>
      </c>
      <c t="s">
        <v>8204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071" s="1" t="str">
        <f ca="1">HYPERLINK("https://web.datatree.com/?/property?propertyId=33561509", "https://web.datatree.com/?/property?propertyId=33561509")</f>
        <v>https://web.datatree.com/?/property?propertyId=33561509</v>
      </c>
      <c r="Q4071" t="s">
        <v>316</v>
      </c>
      <c>
        <v>0.23</v>
      </c>
      <c t="s">
        <v>6175</v>
      </c>
      <c t="s">
        <v>33044</v>
      </c>
      <c t="s">
        <v>20391</v>
      </c>
      <c t="s">
        <v>37826</v>
      </c>
      <c t="s">
        <v>28928</v>
      </c>
      <c t="s">
        <v>40871</v>
      </c>
      <c t="s">
        <v>34731</v>
      </c>
      <c t="s">
        <v>2517</v>
      </c>
      <c t="s">
        <v>39289</v>
      </c>
      <c>
        <v>33909</v>
      </c>
      <c t="s">
        <v>1900</v>
      </c>
      <c t="s">
        <v>48794</v>
      </c>
      <c t="s">
        <v>46661</v>
      </c>
      <c>
        <v>12020</v>
      </c>
      <c r="AI4071" t="s">
        <v>33179</v>
      </c>
      <c t="s">
        <v>39321</v>
      </c>
      <c r="AL4071" t="s">
        <v>55393</v>
      </c>
      <c r="AN4071" t="s">
        <v>39289</v>
      </c>
      <c t="s">
        <v>32287</v>
      </c>
      <c t="s">
        <v>7062</v>
      </c>
      <c t="s">
        <v>3093</v>
      </c>
      <c t="s">
        <v>34216</v>
      </c>
    </row>
    <row>
      <c t="s">
        <v>17594</v>
      </c>
      <c t="s">
        <v>29643</v>
      </c>
      <c t="s">
        <v>3132</v>
      </c>
      <c t="s">
        <v>14137</v>
      </c>
      <c t="s">
        <v>61353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4072" s="1" t="str">
        <f ca="1">HYPERLINK("https://web.datatree.com/?/property?propertyId=33561820", "https://web.datatree.com/?/property?propertyId=33561820")</f>
        <v>https://web.datatree.com/?/property?propertyId=33561820</v>
      </c>
      <c r="Q4072" t="s">
        <v>316</v>
      </c>
      <c>
        <v>0.23</v>
      </c>
      <c t="s">
        <v>6175</v>
      </c>
      <c t="s">
        <v>67044</v>
      </c>
      <c t="s">
        <v>56216</v>
      </c>
      <c r="X4072" t="s">
        <v>13875</v>
      </c>
      <c t="s">
        <v>29190</v>
      </c>
      <c t="s">
        <v>2517</v>
      </c>
      <c t="s">
        <v>39289</v>
      </c>
      <c>
        <v>33909</v>
      </c>
      <c t="s">
        <v>66322</v>
      </c>
      <c t="s">
        <v>48794</v>
      </c>
      <c t="s">
        <v>29365</v>
      </c>
      <c>
        <v>161</v>
      </c>
      <c r="AI4072" t="s">
        <v>11443</v>
      </c>
      <c t="s">
        <v>31192</v>
      </c>
      <c r="AL4072" t="s">
        <v>54924</v>
      </c>
      <c t="s">
        <v>54924</v>
      </c>
      <c t="s">
        <v>39289</v>
      </c>
      <c t="s">
        <v>55926</v>
      </c>
      <c t="s">
        <v>26242</v>
      </c>
      <c t="s">
        <v>3093</v>
      </c>
      <c t="s">
        <v>8241</v>
      </c>
    </row>
    <row>
      <c t="s">
        <v>17594</v>
      </c>
      <c t="s">
        <v>62062</v>
      </c>
      <c t="s">
        <v>16797</v>
      </c>
      <c t="s">
        <v>55345</v>
      </c>
      <c t="s">
        <v>43841</v>
      </c>
      <c s="3">
        <v>109793</v>
      </c>
      <c s="3">
        <v>93500</v>
      </c>
      <c s="3">
        <v>109793</v>
      </c>
      <c>
        <v>0</v>
      </c>
      <c s="3">
        <v>0</v>
      </c>
      <c s="3">
        <v>1648.67</v>
      </c>
      <c s="3">
        <v>109793</v>
      </c>
      <c r="O4073" s="1" t="str">
        <f ca="1">HYPERLINK("https://web.datatree.com/?/property?propertyId=33562526", "https://web.datatree.com/?/property?propertyId=33562526")</f>
        <v>https://web.datatree.com/?/property?propertyId=33562526</v>
      </c>
      <c r="Q4073" t="s">
        <v>316</v>
      </c>
      <c>
        <v>0.107</v>
      </c>
      <c t="s">
        <v>26492</v>
      </c>
      <c r="U4073" t="s">
        <v>30605</v>
      </c>
      <c r="W4073" t="s">
        <v>60147</v>
      </c>
      <c t="s">
        <v>15338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41595</v>
      </c>
      <c>
        <v>411</v>
      </c>
      <c r="AI4073" t="s">
        <v>22464</v>
      </c>
      <c t="s">
        <v>45393</v>
      </c>
      <c>
        <v>12312</v>
      </c>
      <c t="s">
        <v>61590</v>
      </c>
      <c t="s">
        <v>61590</v>
      </c>
      <c t="s">
        <v>39289</v>
      </c>
      <c t="s">
        <v>55522</v>
      </c>
      <c t="s">
        <v>57971</v>
      </c>
      <c t="s">
        <v>3093</v>
      </c>
      <c t="s">
        <v>8727</v>
      </c>
    </row>
    <row>
      <c t="s">
        <v>17594</v>
      </c>
      <c t="s">
        <v>57871</v>
      </c>
      <c t="s">
        <v>21855</v>
      </c>
      <c t="s">
        <v>37969</v>
      </c>
      <c t="s">
        <v>59959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537.87</v>
      </c>
      <c s="1" t="str">
        <f ca="1">HYPERLINK("https://web.datatree.com/?/property?propertyId=33563682", "https://web.datatree.com/?/property?propertyId=33563682")</f>
        <v>https://web.datatree.com/?/property?propertyId=33563682</v>
      </c>
      <c r="Q4074" t="s">
        <v>316</v>
      </c>
      <c>
        <v>0.23</v>
      </c>
      <c t="s">
        <v>6175</v>
      </c>
      <c t="s">
        <v>22027</v>
      </c>
      <c t="s">
        <v>8825</v>
      </c>
      <c r="X4074" t="s">
        <v>10105</v>
      </c>
      <c t="s">
        <v>38550</v>
      </c>
      <c t="s">
        <v>2517</v>
      </c>
      <c t="s">
        <v>39289</v>
      </c>
      <c>
        <v>33909</v>
      </c>
      <c t="s">
        <v>49617</v>
      </c>
      <c t="s">
        <v>48794</v>
      </c>
      <c t="s">
        <v>65941</v>
      </c>
      <c>
        <v>6775</v>
      </c>
      <c r="AI4074" t="s">
        <v>7281</v>
      </c>
      <c t="s">
        <v>24900</v>
      </c>
      <c r="AL4074" t="s">
        <v>55393</v>
      </c>
      <c r="AN4074" t="s">
        <v>39289</v>
      </c>
      <c t="s">
        <v>39917</v>
      </c>
      <c t="s">
        <v>15686</v>
      </c>
      <c t="s">
        <v>3093</v>
      </c>
      <c t="s">
        <v>22728</v>
      </c>
    </row>
    <row>
      <c t="s">
        <v>17594</v>
      </c>
      <c t="s">
        <v>1969</v>
      </c>
      <c t="s">
        <v>27289</v>
      </c>
      <c t="s">
        <v>34651</v>
      </c>
      <c t="s">
        <v>19415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075" s="1" t="str">
        <f ca="1">HYPERLINK("https://web.datatree.com/?/property?propertyId=33564300", "https://web.datatree.com/?/property?propertyId=33564300")</f>
        <v>https://web.datatree.com/?/property?propertyId=33564300</v>
      </c>
      <c r="Q4075" t="s">
        <v>316</v>
      </c>
      <c>
        <v>0.23</v>
      </c>
      <c t="s">
        <v>22490</v>
      </c>
      <c t="s">
        <v>3617</v>
      </c>
      <c t="s">
        <v>10709</v>
      </c>
      <c r="X4075" t="s">
        <v>62455</v>
      </c>
      <c t="s">
        <v>41506</v>
      </c>
      <c t="s">
        <v>2517</v>
      </c>
      <c t="s">
        <v>39289</v>
      </c>
      <c>
        <v>33909</v>
      </c>
      <c t="s">
        <v>10939</v>
      </c>
      <c t="s">
        <v>48794</v>
      </c>
      <c t="s">
        <v>54723</v>
      </c>
      <c>
        <v>341</v>
      </c>
      <c r="AI4075" t="s">
        <v>2626</v>
      </c>
      <c t="s">
        <v>45393</v>
      </c>
      <c>
        <v>103</v>
      </c>
      <c t="s">
        <v>29515</v>
      </c>
      <c t="s">
        <v>29515</v>
      </c>
      <c t="s">
        <v>39289</v>
      </c>
      <c t="s">
        <v>11748</v>
      </c>
      <c t="s">
        <v>53800</v>
      </c>
      <c t="s">
        <v>3093</v>
      </c>
      <c t="s">
        <v>10320</v>
      </c>
    </row>
    <row>
      <c t="s">
        <v>17594</v>
      </c>
      <c t="s">
        <v>20555</v>
      </c>
      <c t="s">
        <v>53472</v>
      </c>
      <c t="s">
        <v>27849</v>
      </c>
      <c t="s">
        <v>57013</v>
      </c>
      <c s="3">
        <v>196741</v>
      </c>
      <c s="3">
        <v>196741</v>
      </c>
      <c s="3">
        <v>173928</v>
      </c>
      <c>
        <v>0</v>
      </c>
      <c s="3">
        <v>0</v>
      </c>
      <c s="3">
        <v>3548.03</v>
      </c>
      <c s="3">
        <v>196741</v>
      </c>
      <c r="O4076" s="1" t="str">
        <f ca="1">HYPERLINK("https://web.datatree.com/?/property?propertyId=33564718", "https://web.datatree.com/?/property?propertyId=33564718")</f>
        <v>https://web.datatree.com/?/property?propertyId=33564718</v>
      </c>
      <c r="Q4076" t="s">
        <v>316</v>
      </c>
      <c>
        <v>0.23</v>
      </c>
      <c t="s">
        <v>22490</v>
      </c>
      <c t="s">
        <v>32044</v>
      </c>
      <c t="s">
        <v>50824</v>
      </c>
      <c t="s">
        <v>66690</v>
      </c>
      <c t="s">
        <v>50824</v>
      </c>
      <c t="s">
        <v>14433</v>
      </c>
      <c t="s">
        <v>22731</v>
      </c>
      <c t="s">
        <v>2517</v>
      </c>
      <c t="s">
        <v>39289</v>
      </c>
      <c>
        <v>33904</v>
      </c>
      <c>
        <v>33904</v>
      </c>
      <c t="s">
        <v>48794</v>
      </c>
      <c t="s">
        <v>59072</v>
      </c>
      <c>
        <v>13964</v>
      </c>
      <c r="AI4076" t="s">
        <v>36760</v>
      </c>
      <c t="s">
        <v>45620</v>
      </c>
      <c r="AL4076" t="s">
        <v>37168</v>
      </c>
      <c t="s">
        <v>37168</v>
      </c>
      <c t="s">
        <v>39289</v>
      </c>
      <c t="s">
        <v>8967</v>
      </c>
      <c t="s">
        <v>6081</v>
      </c>
      <c t="s">
        <v>3093</v>
      </c>
      <c t="s">
        <v>58667</v>
      </c>
    </row>
    <row>
      <c t="s">
        <v>17594</v>
      </c>
      <c t="s">
        <v>12699</v>
      </c>
      <c t="s">
        <v>45322</v>
      </c>
      <c t="s">
        <v>41589</v>
      </c>
      <c t="s">
        <v>28802</v>
      </c>
      <c s="3">
        <v>23310</v>
      </c>
      <c s="3">
        <v>23310</v>
      </c>
      <c s="3">
        <v>10467</v>
      </c>
      <c>
        <v>0</v>
      </c>
      <c s="3">
        <v>0</v>
      </c>
      <c s="3">
        <v>705.52</v>
      </c>
      <c s="3">
        <v>23310</v>
      </c>
      <c r="O4077" s="1" t="str">
        <f ca="1">HYPERLINK("https://web.datatree.com/?/property?propertyId=33565072", "https://web.datatree.com/?/property?propertyId=33565072")</f>
        <v>https://web.datatree.com/?/property?propertyId=33565072</v>
      </c>
      <c r="Q4077" t="s">
        <v>316</v>
      </c>
      <c>
        <v>0.344</v>
      </c>
      <c t="s">
        <v>6175</v>
      </c>
      <c t="s">
        <v>27704</v>
      </c>
      <c t="s">
        <v>43295</v>
      </c>
      <c t="s">
        <v>53608</v>
      </c>
      <c t="s">
        <v>43295</v>
      </c>
      <c t="s">
        <v>48550</v>
      </c>
      <c t="s">
        <v>34731</v>
      </c>
      <c t="s">
        <v>2517</v>
      </c>
      <c t="s">
        <v>39289</v>
      </c>
      <c>
        <v>33909</v>
      </c>
      <c t="s">
        <v>41553</v>
      </c>
      <c t="s">
        <v>48794</v>
      </c>
      <c t="s">
        <v>55031</v>
      </c>
      <c>
        <v>11301</v>
      </c>
      <c r="AI4077" t="s">
        <v>48589</v>
      </c>
      <c t="s">
        <v>24900</v>
      </c>
      <c r="AL4077" t="s">
        <v>63930</v>
      </c>
      <c t="s">
        <v>13397</v>
      </c>
      <c t="s">
        <v>50917</v>
      </c>
      <c t="s">
        <v>27044</v>
      </c>
      <c t="s">
        <v>1951</v>
      </c>
      <c t="s">
        <v>3093</v>
      </c>
      <c t="s">
        <v>18465</v>
      </c>
    </row>
    <row>
      <c t="s">
        <v>17594</v>
      </c>
      <c t="s">
        <v>17351</v>
      </c>
      <c t="s">
        <v>19811</v>
      </c>
      <c t="s">
        <v>18407</v>
      </c>
      <c t="s">
        <v>51508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4078" s="1" t="str">
        <f ca="1">HYPERLINK("https://web.datatree.com/?/property?propertyId=33566101", "https://web.datatree.com/?/property?propertyId=33566101")</f>
        <v>https://web.datatree.com/?/property?propertyId=33566101</v>
      </c>
      <c r="Q4078" t="s">
        <v>316</v>
      </c>
      <c>
        <v>0.244</v>
      </c>
      <c t="s">
        <v>6175</v>
      </c>
      <c t="s">
        <v>19357</v>
      </c>
      <c t="s">
        <v>48923</v>
      </c>
      <c r="X4078" t="s">
        <v>28246</v>
      </c>
      <c t="s">
        <v>2626</v>
      </c>
      <c t="s">
        <v>2517</v>
      </c>
      <c t="s">
        <v>39289</v>
      </c>
      <c>
        <v>33909</v>
      </c>
      <c t="s">
        <v>13021</v>
      </c>
      <c t="s">
        <v>48794</v>
      </c>
      <c t="s">
        <v>27662</v>
      </c>
      <c>
        <v>353</v>
      </c>
      <c r="AI4078" t="s">
        <v>51695</v>
      </c>
      <c t="s">
        <v>55842</v>
      </c>
      <c r="AL4078" t="s">
        <v>12853</v>
      </c>
      <c r="AN4078" t="s">
        <v>66651</v>
      </c>
      <c t="s">
        <v>26737</v>
      </c>
      <c t="s">
        <v>62845</v>
      </c>
      <c t="s">
        <v>3093</v>
      </c>
      <c t="s">
        <v>27458</v>
      </c>
    </row>
    <row>
      <c t="s">
        <v>17594</v>
      </c>
      <c t="s">
        <v>41193</v>
      </c>
      <c t="s">
        <v>4502</v>
      </c>
      <c t="s">
        <v>9359</v>
      </c>
      <c t="s">
        <v>23532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4079" s="1" t="str">
        <f ca="1">HYPERLINK("https://web.datatree.com/?/property?propertyId=33566133", "https://web.datatree.com/?/property?propertyId=33566133")</f>
        <v>https://web.datatree.com/?/property?propertyId=33566133</v>
      </c>
      <c r="Q4079" t="s">
        <v>316</v>
      </c>
      <c>
        <v>0.241</v>
      </c>
      <c t="s">
        <v>42044</v>
      </c>
      <c r="U4079" t="s">
        <v>64135</v>
      </c>
      <c r="W4079" t="s">
        <v>60003</v>
      </c>
      <c t="s">
        <v>37057</v>
      </c>
      <c t="s">
        <v>61850</v>
      </c>
      <c t="s">
        <v>2517</v>
      </c>
      <c t="s">
        <v>39289</v>
      </c>
      <c>
        <v>33909</v>
      </c>
      <c t="s">
        <v>40182</v>
      </c>
      <c t="s">
        <v>48794</v>
      </c>
      <c t="s">
        <v>5591</v>
      </c>
      <c>
        <v>1987</v>
      </c>
      <c r="AI4079" t="s">
        <v>50373</v>
      </c>
      <c t="s">
        <v>31192</v>
      </c>
      <c r="AL4079" t="s">
        <v>29560</v>
      </c>
      <c t="s">
        <v>29560</v>
      </c>
      <c t="s">
        <v>39289</v>
      </c>
      <c t="s">
        <v>35639</v>
      </c>
      <c t="s">
        <v>52521</v>
      </c>
      <c t="s">
        <v>3093</v>
      </c>
      <c t="s">
        <v>67059</v>
      </c>
    </row>
    <row>
      <c t="s">
        <v>17594</v>
      </c>
      <c t="s">
        <v>42089</v>
      </c>
      <c t="s">
        <v>25374</v>
      </c>
      <c t="s">
        <v>54388</v>
      </c>
      <c t="s">
        <v>62798</v>
      </c>
      <c s="3">
        <v>18992</v>
      </c>
      <c s="3">
        <v>18992</v>
      </c>
      <c s="3">
        <v>8910</v>
      </c>
      <c>
        <v>0</v>
      </c>
      <c s="3">
        <v>0</v>
      </c>
      <c s="3">
        <v>605.4</v>
      </c>
      <c s="3">
        <v>18992</v>
      </c>
      <c r="O4080" s="1" t="str">
        <f ca="1">HYPERLINK("https://web.datatree.com/?/property?propertyId=33566206", "https://web.datatree.com/?/property?propertyId=33566206")</f>
        <v>https://web.datatree.com/?/property?propertyId=33566206</v>
      </c>
      <c r="Q4080" t="s">
        <v>316</v>
      </c>
      <c>
        <v>0.278</v>
      </c>
      <c t="s">
        <v>6175</v>
      </c>
      <c t="s">
        <v>552</v>
      </c>
      <c t="s">
        <v>11571</v>
      </c>
      <c r="X4080" t="s">
        <v>62173</v>
      </c>
      <c t="s">
        <v>47150</v>
      </c>
      <c t="s">
        <v>2517</v>
      </c>
      <c t="s">
        <v>39289</v>
      </c>
      <c>
        <v>33909</v>
      </c>
      <c t="s">
        <v>64184</v>
      </c>
      <c t="s">
        <v>48794</v>
      </c>
      <c t="s">
        <v>67172</v>
      </c>
      <c>
        <v>9677</v>
      </c>
      <c r="AI4080" t="s">
        <v>10560</v>
      </c>
      <c t="s">
        <v>45620</v>
      </c>
      <c r="AL4080" t="s">
        <v>55062</v>
      </c>
      <c r="AN4080" t="s">
        <v>50917</v>
      </c>
      <c t="s">
        <v>14134</v>
      </c>
      <c t="s">
        <v>14695</v>
      </c>
      <c t="s">
        <v>3093</v>
      </c>
      <c t="s">
        <v>7306</v>
      </c>
    </row>
    <row>
      <c t="s">
        <v>17594</v>
      </c>
      <c t="s">
        <v>46560</v>
      </c>
      <c t="s">
        <v>24296</v>
      </c>
      <c t="s">
        <v>3648</v>
      </c>
      <c t="s">
        <v>52871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4081" s="1" t="str">
        <f ca="1">HYPERLINK("https://web.datatree.com/?/property?propertyId=33566698", "https://web.datatree.com/?/property?propertyId=33566698")</f>
        <v>https://web.datatree.com/?/property?propertyId=33566698</v>
      </c>
      <c r="Q4081" t="s">
        <v>316</v>
      </c>
      <c>
        <v>0.236</v>
      </c>
      <c t="s">
        <v>6175</v>
      </c>
      <c t="s">
        <v>16200</v>
      </c>
      <c t="s">
        <v>64863</v>
      </c>
      <c t="s">
        <v>16558</v>
      </c>
      <c t="s">
        <v>64863</v>
      </c>
      <c t="s">
        <v>49860</v>
      </c>
      <c t="s">
        <v>14534</v>
      </c>
      <c t="s">
        <v>2517</v>
      </c>
      <c t="s">
        <v>39289</v>
      </c>
      <c>
        <v>33909</v>
      </c>
      <c t="s">
        <v>41607</v>
      </c>
      <c t="s">
        <v>48794</v>
      </c>
      <c t="s">
        <v>4225</v>
      </c>
      <c>
        <v>105</v>
      </c>
      <c r="AI4081" t="s">
        <v>26386</v>
      </c>
      <c t="s">
        <v>24900</v>
      </c>
      <c r="AL4081" t="s">
        <v>32451</v>
      </c>
      <c t="s">
        <v>32451</v>
      </c>
      <c t="s">
        <v>26443</v>
      </c>
      <c t="s">
        <v>6720</v>
      </c>
      <c t="s">
        <v>51083</v>
      </c>
      <c t="s">
        <v>3093</v>
      </c>
      <c t="s">
        <v>61254</v>
      </c>
    </row>
    <row>
      <c t="s">
        <v>17594</v>
      </c>
      <c t="s">
        <v>26969</v>
      </c>
      <c t="s">
        <v>54059</v>
      </c>
      <c t="s">
        <v>20278</v>
      </c>
      <c t="s">
        <v>16821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082" s="1" t="str">
        <f ca="1">HYPERLINK("https://web.datatree.com/?/property?propertyId=33566925", "https://web.datatree.com/?/property?propertyId=33566925")</f>
        <v>https://web.datatree.com/?/property?propertyId=33566925</v>
      </c>
      <c r="Q4082" t="s">
        <v>316</v>
      </c>
      <c>
        <v>0.23</v>
      </c>
      <c t="s">
        <v>6175</v>
      </c>
      <c t="s">
        <v>32658</v>
      </c>
      <c t="s">
        <v>7413</v>
      </c>
      <c t="s">
        <v>1376</v>
      </c>
      <c t="s">
        <v>7413</v>
      </c>
      <c t="s">
        <v>65326</v>
      </c>
      <c t="s">
        <v>10653</v>
      </c>
      <c t="s">
        <v>2517</v>
      </c>
      <c t="s">
        <v>39289</v>
      </c>
      <c>
        <v>33909</v>
      </c>
      <c t="s">
        <v>41663</v>
      </c>
      <c t="s">
        <v>48794</v>
      </c>
      <c t="s">
        <v>54200</v>
      </c>
      <c>
        <v>13515</v>
      </c>
      <c r="AI4082" t="s">
        <v>20858</v>
      </c>
      <c t="s">
        <v>31192</v>
      </c>
      <c r="AL4082" t="s">
        <v>54986</v>
      </c>
      <c r="AN4082" t="s">
        <v>18236</v>
      </c>
      <c t="s">
        <v>29495</v>
      </c>
      <c t="s">
        <v>27780</v>
      </c>
      <c t="s">
        <v>3093</v>
      </c>
      <c t="s">
        <v>36755</v>
      </c>
    </row>
    <row>
      <c t="s">
        <v>17594</v>
      </c>
      <c t="s">
        <v>62082</v>
      </c>
      <c t="s">
        <v>66970</v>
      </c>
      <c t="s">
        <v>36978</v>
      </c>
      <c t="s">
        <v>21333</v>
      </c>
      <c s="3">
        <v>9900</v>
      </c>
      <c s="3">
        <v>9900</v>
      </c>
      <c s="3">
        <v>9900</v>
      </c>
      <c>
        <v>0</v>
      </c>
      <c s="3">
        <v>0</v>
      </c>
      <c s="3">
        <v>698.2</v>
      </c>
      <c s="3">
        <v>9900</v>
      </c>
      <c>
        <v>2020</v>
      </c>
      <c>
        <v>2147.57</v>
      </c>
      <c s="1" t="str">
        <f ca="1">HYPERLINK("https://web.datatree.com/?/property?propertyId=33567665", "https://web.datatree.com/?/property?propertyId=33567665")</f>
        <v>https://web.datatree.com/?/property?propertyId=33567665</v>
      </c>
      <c r="Q4083" t="s">
        <v>316</v>
      </c>
      <c>
        <v>0.359</v>
      </c>
      <c t="s">
        <v>33269</v>
      </c>
      <c t="s">
        <v>57107</v>
      </c>
      <c t="s">
        <v>46687</v>
      </c>
      <c r="X4083" t="s">
        <v>9874</v>
      </c>
      <c t="s">
        <v>66701</v>
      </c>
      <c t="s">
        <v>2517</v>
      </c>
      <c t="s">
        <v>39289</v>
      </c>
      <c>
        <v>33909</v>
      </c>
      <c t="s">
        <v>29788</v>
      </c>
      <c t="s">
        <v>48794</v>
      </c>
      <c t="s">
        <v>61491</v>
      </c>
      <c>
        <v>2830</v>
      </c>
      <c r="AI4083" t="s">
        <v>33536</v>
      </c>
      <c t="s">
        <v>24900</v>
      </c>
      <c r="AL4083" t="s">
        <v>13492</v>
      </c>
      <c t="s">
        <v>13492</v>
      </c>
      <c t="s">
        <v>39289</v>
      </c>
      <c t="s">
        <v>29885</v>
      </c>
      <c t="s">
        <v>22212</v>
      </c>
      <c t="s">
        <v>3093</v>
      </c>
      <c t="s">
        <v>6516</v>
      </c>
    </row>
    <row>
      <c t="s">
        <v>17594</v>
      </c>
      <c t="s">
        <v>7072</v>
      </c>
      <c s="7" t="s">
        <v>44590</v>
      </c>
      <c t="s">
        <v>38127</v>
      </c>
      <c t="s">
        <v>62552</v>
      </c>
      <c s="3">
        <v>38645</v>
      </c>
      <c s="3">
        <v>38645</v>
      </c>
      <c s="3">
        <v>15044</v>
      </c>
      <c>
        <v>0</v>
      </c>
      <c s="3">
        <v>0</v>
      </c>
      <c s="3">
        <v>794.88</v>
      </c>
      <c s="3">
        <v>38645</v>
      </c>
      <c>
        <v>2021</v>
      </c>
      <c>
        <v>769.59</v>
      </c>
      <c s="1" t="str">
        <f ca="1">HYPERLINK("https://web.datatree.com/?/property?propertyId=33567709", "https://web.datatree.com/?/property?propertyId=33567709")</f>
        <v>https://web.datatree.com/?/property?propertyId=33567709</v>
      </c>
      <c r="Q4084" t="s">
        <v>316</v>
      </c>
      <c>
        <v>0.23</v>
      </c>
      <c t="s">
        <v>6175</v>
      </c>
      <c t="s">
        <v>33168</v>
      </c>
      <c t="s">
        <v>67184</v>
      </c>
      <c t="s">
        <v>42532</v>
      </c>
      <c t="s">
        <v>67184</v>
      </c>
      <c t="s">
        <v>49736</v>
      </c>
      <c t="s">
        <v>30928</v>
      </c>
      <c t="s">
        <v>2517</v>
      </c>
      <c t="s">
        <v>39289</v>
      </c>
      <c>
        <v>33909</v>
      </c>
      <c t="s">
        <v>67063</v>
      </c>
      <c t="s">
        <v>48794</v>
      </c>
      <c t="s">
        <v>41175</v>
      </c>
      <c>
        <v>7</v>
      </c>
      <c r="AI4084" t="s">
        <v>764</v>
      </c>
      <c t="s">
        <v>45620</v>
      </c>
      <c r="AL4084" t="s">
        <v>12532</v>
      </c>
      <c r="AN4084" t="s">
        <v>26016</v>
      </c>
      <c t="s">
        <v>60777</v>
      </c>
      <c t="s">
        <v>5652</v>
      </c>
      <c t="s">
        <v>3093</v>
      </c>
      <c s="7" t="s">
        <v>27431</v>
      </c>
    </row>
    <row>
      <c t="s">
        <v>17594</v>
      </c>
      <c t="s">
        <v>50933</v>
      </c>
      <c t="s">
        <v>25115</v>
      </c>
      <c t="s">
        <v>24496</v>
      </c>
      <c t="s">
        <v>18167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4085" s="1" t="str">
        <f ca="1">HYPERLINK("https://web.datatree.com/?/property?propertyId=33567788", "https://web.datatree.com/?/property?propertyId=33567788")</f>
        <v>https://web.datatree.com/?/property?propertyId=33567788</v>
      </c>
      <c r="Q4085" t="s">
        <v>316</v>
      </c>
      <c>
        <v>0.23</v>
      </c>
      <c t="s">
        <v>45031</v>
      </c>
      <c t="s">
        <v>33168</v>
      </c>
      <c t="s">
        <v>2806</v>
      </c>
      <c t="s">
        <v>10361</v>
      </c>
      <c t="s">
        <v>2806</v>
      </c>
      <c t="s">
        <v>47868</v>
      </c>
      <c t="s">
        <v>22731</v>
      </c>
      <c t="s">
        <v>2517</v>
      </c>
      <c t="s">
        <v>39289</v>
      </c>
      <c>
        <v>33909</v>
      </c>
      <c t="s">
        <v>32436</v>
      </c>
      <c t="s">
        <v>48794</v>
      </c>
      <c t="s">
        <v>44007</v>
      </c>
      <c>
        <v>1209</v>
      </c>
      <c r="AI4085" t="s">
        <v>31477</v>
      </c>
      <c t="s">
        <v>45620</v>
      </c>
      <c r="AL4085" t="s">
        <v>12831</v>
      </c>
      <c r="AN4085" t="s">
        <v>50917</v>
      </c>
      <c t="s">
        <v>42873</v>
      </c>
      <c t="s">
        <v>60160</v>
      </c>
      <c t="s">
        <v>3093</v>
      </c>
      <c t="s">
        <v>12772</v>
      </c>
    </row>
    <row>
      <c t="s">
        <v>17594</v>
      </c>
      <c t="s">
        <v>31319</v>
      </c>
      <c t="s">
        <v>18350</v>
      </c>
      <c t="s">
        <v>39844</v>
      </c>
      <c t="s">
        <v>17029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086" s="1" t="str">
        <f ca="1">HYPERLINK("https://web.datatree.com/?/property?propertyId=33568117", "https://web.datatree.com/?/property?propertyId=33568117")</f>
        <v>https://web.datatree.com/?/property?propertyId=33568117</v>
      </c>
      <c r="Q4086" t="s">
        <v>316</v>
      </c>
      <c>
        <v>0.23</v>
      </c>
      <c t="s">
        <v>6175</v>
      </c>
      <c t="s">
        <v>50795</v>
      </c>
      <c t="s">
        <v>36072</v>
      </c>
      <c t="s">
        <v>48526</v>
      </c>
      <c t="s">
        <v>36072</v>
      </c>
      <c t="s">
        <v>52022</v>
      </c>
      <c t="s">
        <v>15510</v>
      </c>
      <c t="s">
        <v>2517</v>
      </c>
      <c t="s">
        <v>39289</v>
      </c>
      <c>
        <v>33909</v>
      </c>
      <c t="s">
        <v>49520</v>
      </c>
      <c t="s">
        <v>48794</v>
      </c>
      <c t="s">
        <v>21728</v>
      </c>
      <c>
        <v>84</v>
      </c>
      <c r="AI4086" t="s">
        <v>15662</v>
      </c>
      <c t="s">
        <v>24900</v>
      </c>
      <c r="AL4086" t="s">
        <v>66317</v>
      </c>
      <c r="AN4086" t="s">
        <v>50917</v>
      </c>
      <c t="s">
        <v>66940</v>
      </c>
      <c t="s">
        <v>27553</v>
      </c>
      <c t="s">
        <v>3093</v>
      </c>
      <c t="s">
        <v>22123</v>
      </c>
    </row>
    <row>
      <c t="s">
        <v>17594</v>
      </c>
      <c t="s">
        <v>39671</v>
      </c>
      <c s="2" t="s">
        <v>782</v>
      </c>
      <c t="s">
        <v>25806</v>
      </c>
      <c t="s">
        <v>36051</v>
      </c>
      <c s="3">
        <v>331387</v>
      </c>
      <c s="3">
        <v>331387</v>
      </c>
      <c s="3">
        <v>302926</v>
      </c>
      <c>
        <v>0</v>
      </c>
      <c s="3">
        <v>0</v>
      </c>
      <c s="3">
        <v>4659.29</v>
      </c>
      <c s="3">
        <v>331387</v>
      </c>
      <c r="O4087" s="1" t="str">
        <f ca="1">HYPERLINK("https://web.datatree.com/?/property?propertyId=33568270", "https://web.datatree.com/?/property?propertyId=33568270")</f>
        <v>https://web.datatree.com/?/property?propertyId=33568270</v>
      </c>
      <c r="Q4087" t="s">
        <v>316</v>
      </c>
      <c>
        <v>0.951</v>
      </c>
      <c t="s">
        <v>5471</v>
      </c>
      <c t="s">
        <v>27874</v>
      </c>
      <c t="s">
        <v>61647</v>
      </c>
      <c t="s">
        <v>56577</v>
      </c>
      <c t="s">
        <v>61647</v>
      </c>
      <c t="s">
        <v>52226</v>
      </c>
      <c t="s">
        <v>19565</v>
      </c>
      <c t="s">
        <v>54524</v>
      </c>
      <c t="s">
        <v>39289</v>
      </c>
      <c>
        <v>33903</v>
      </c>
      <c t="s">
        <v>18022</v>
      </c>
      <c t="s">
        <v>48794</v>
      </c>
      <c t="s">
        <v>56326</v>
      </c>
      <c>
        <v>2820</v>
      </c>
      <c r="AI4087" t="s">
        <v>54231</v>
      </c>
      <c t="s">
        <v>45620</v>
      </c>
      <c r="AL4087" t="s">
        <v>66562</v>
      </c>
      <c t="s">
        <v>61469</v>
      </c>
      <c t="s">
        <v>17134</v>
      </c>
      <c t="s">
        <v>18707</v>
      </c>
      <c t="s">
        <v>32746</v>
      </c>
      <c t="s">
        <v>3093</v>
      </c>
      <c s="2" t="s">
        <v>18050</v>
      </c>
    </row>
    <row>
      <c t="s">
        <v>42103</v>
      </c>
      <c t="s">
        <v>30572</v>
      </c>
      <c t="s">
        <v>36329</v>
      </c>
      <c t="s">
        <v>34160</v>
      </c>
      <c t="s">
        <v>36181</v>
      </c>
      <c s="3">
        <v>42403</v>
      </c>
      <c s="3">
        <v>42403</v>
      </c>
      <c s="3">
        <v>42403</v>
      </c>
      <c>
        <v>0</v>
      </c>
      <c s="3">
        <v>0</v>
      </c>
      <c s="3">
        <v>1264.27</v>
      </c>
      <c s="3">
        <v>42403</v>
      </c>
      <c r="O4088" s="1" t="str">
        <f ca="1">HYPERLINK("https://web.datatree.com/?/property?propertyId=33568376", "https://web.datatree.com/?/property?propertyId=33568376")</f>
        <v>https://web.datatree.com/?/property?propertyId=33568376</v>
      </c>
      <c r="Q4088" t="s">
        <v>316</v>
      </c>
      <c>
        <v>0.27</v>
      </c>
      <c t="s">
        <v>6175</v>
      </c>
      <c t="s">
        <v>43513</v>
      </c>
      <c t="s">
        <v>58835</v>
      </c>
      <c r="X4088" t="s">
        <v>52028</v>
      </c>
      <c t="s">
        <v>2626</v>
      </c>
      <c t="s">
        <v>2517</v>
      </c>
      <c t="s">
        <v>39289</v>
      </c>
      <c>
        <v>33909</v>
      </c>
      <c t="s">
        <v>61843</v>
      </c>
      <c t="s">
        <v>48794</v>
      </c>
      <c t="s">
        <v>14201</v>
      </c>
      <c r="AI4088" t="s">
        <v>63836</v>
      </c>
      <c r="AL4088" t="s">
        <v>48873</v>
      </c>
      <c t="s">
        <v>48873</v>
      </c>
      <c t="s">
        <v>14798</v>
      </c>
      <c>
        <v>80527</v>
      </c>
      <c t="s">
        <v>7011</v>
      </c>
      <c t="s">
        <v>3093</v>
      </c>
      <c t="s">
        <v>62684</v>
      </c>
    </row>
    <row>
      <c t="s">
        <v>17594</v>
      </c>
      <c t="s">
        <v>19141</v>
      </c>
      <c t="s">
        <v>28592</v>
      </c>
      <c t="s">
        <v>45046</v>
      </c>
      <c t="s">
        <v>20321</v>
      </c>
      <c s="3">
        <v>46344</v>
      </c>
      <c s="3">
        <v>46344</v>
      </c>
      <c s="3">
        <v>9339</v>
      </c>
      <c>
        <v>0</v>
      </c>
      <c s="3">
        <v>0</v>
      </c>
      <c s="3">
        <v>857.02</v>
      </c>
      <c s="3">
        <v>46344</v>
      </c>
      <c r="O4089" s="1" t="str">
        <f ca="1">HYPERLINK("https://web.datatree.com/?/property?propertyId=33569202", "https://web.datatree.com/?/property?propertyId=33569202")</f>
        <v>https://web.datatree.com/?/property?propertyId=33569202</v>
      </c>
      <c r="Q4089" t="s">
        <v>316</v>
      </c>
      <c>
        <v>0.23</v>
      </c>
      <c t="s">
        <v>65422</v>
      </c>
      <c t="s">
        <v>111</v>
      </c>
      <c t="s">
        <v>52695</v>
      </c>
      <c t="s">
        <v>44541</v>
      </c>
      <c t="s">
        <v>52695</v>
      </c>
      <c t="s">
        <v>25519</v>
      </c>
      <c t="s">
        <v>17022</v>
      </c>
      <c t="s">
        <v>2517</v>
      </c>
      <c t="s">
        <v>39289</v>
      </c>
      <c>
        <v>33909</v>
      </c>
      <c t="s">
        <v>30202</v>
      </c>
      <c t="s">
        <v>48794</v>
      </c>
      <c t="s">
        <v>42586</v>
      </c>
      <c>
        <v>351</v>
      </c>
      <c r="AI4089" t="s">
        <v>64800</v>
      </c>
      <c t="s">
        <v>45620</v>
      </c>
      <c r="AL4089" t="s">
        <v>30271</v>
      </c>
      <c r="AN4089" t="s">
        <v>27747</v>
      </c>
      <c t="s">
        <v>11364</v>
      </c>
      <c t="s">
        <v>26242</v>
      </c>
      <c t="s">
        <v>3093</v>
      </c>
      <c t="s">
        <v>66214</v>
      </c>
    </row>
    <row>
      <c t="s">
        <v>17594</v>
      </c>
      <c t="s">
        <v>59104</v>
      </c>
      <c t="s">
        <v>11496</v>
      </c>
      <c t="s">
        <v>52910</v>
      </c>
      <c t="s">
        <v>24225</v>
      </c>
      <c s="3">
        <v>12544</v>
      </c>
      <c s="3">
        <v>12544</v>
      </c>
      <c s="3">
        <v>5853</v>
      </c>
      <c>
        <v>0</v>
      </c>
      <c s="3">
        <v>0</v>
      </c>
      <c s="3">
        <v>321.01</v>
      </c>
      <c s="3">
        <v>12544</v>
      </c>
      <c r="O4090" s="1" t="str">
        <f ca="1">HYPERLINK("https://web.datatree.com/?/property?propertyId=33569266", "https://web.datatree.com/?/property?propertyId=33569266")</f>
        <v>https://web.datatree.com/?/property?propertyId=33569266</v>
      </c>
      <c r="Q4090" t="s">
        <v>316</v>
      </c>
      <c>
        <v>0.233</v>
      </c>
      <c t="s">
        <v>5471</v>
      </c>
      <c t="s">
        <v>39139</v>
      </c>
      <c t="s">
        <v>15547</v>
      </c>
      <c t="s">
        <v>64201</v>
      </c>
      <c t="s">
        <v>30230</v>
      </c>
      <c t="s">
        <v>53860</v>
      </c>
      <c t="s">
        <v>58657</v>
      </c>
      <c t="s">
        <v>65059</v>
      </c>
      <c t="s">
        <v>39289</v>
      </c>
      <c>
        <v>33905</v>
      </c>
      <c t="s">
        <v>57179</v>
      </c>
      <c t="s">
        <v>48794</v>
      </c>
      <c t="s">
        <v>30295</v>
      </c>
      <c>
        <v>263</v>
      </c>
      <c r="AH4090" t="s">
        <v>52165</v>
      </c>
      <c t="s">
        <v>62357</v>
      </c>
      <c t="s">
        <v>31192</v>
      </c>
      <c r="AL4090" t="s">
        <v>29066</v>
      </c>
      <c t="s">
        <v>29066</v>
      </c>
      <c t="s">
        <v>4477</v>
      </c>
      <c t="s">
        <v>60996</v>
      </c>
      <c t="s">
        <v>30188</v>
      </c>
      <c t="s">
        <v>3093</v>
      </c>
      <c t="s">
        <v>44140</v>
      </c>
    </row>
    <row>
      <c t="s">
        <v>17594</v>
      </c>
      <c t="s">
        <v>58201</v>
      </c>
      <c t="s">
        <v>1321</v>
      </c>
      <c t="s">
        <v>63920</v>
      </c>
      <c t="s">
        <v>9371</v>
      </c>
      <c s="3">
        <v>15574</v>
      </c>
      <c s="3">
        <v>15574</v>
      </c>
      <c s="3">
        <v>9075</v>
      </c>
      <c>
        <v>0</v>
      </c>
      <c s="3">
        <v>0</v>
      </c>
      <c s="3">
        <v>575.48</v>
      </c>
      <c s="3">
        <v>15574</v>
      </c>
      <c r="O4091" s="1" t="str">
        <f ca="1">HYPERLINK("https://web.datatree.com/?/property?propertyId=33570046", "https://web.datatree.com/?/property?propertyId=33570046")</f>
        <v>https://web.datatree.com/?/property?propertyId=33570046</v>
      </c>
      <c r="Q4091" t="s">
        <v>316</v>
      </c>
      <c>
        <v>0.255</v>
      </c>
      <c t="s">
        <v>6175</v>
      </c>
      <c r="U4091" t="s">
        <v>855</v>
      </c>
      <c t="s">
        <v>42757</v>
      </c>
      <c t="s">
        <v>32426</v>
      </c>
      <c t="s">
        <v>6694</v>
      </c>
      <c t="s">
        <v>25017</v>
      </c>
      <c t="s">
        <v>2517</v>
      </c>
      <c t="s">
        <v>39289</v>
      </c>
      <c>
        <v>33909</v>
      </c>
      <c t="s">
        <v>42201</v>
      </c>
      <c t="s">
        <v>48794</v>
      </c>
      <c t="s">
        <v>36652</v>
      </c>
      <c>
        <v>6900</v>
      </c>
      <c r="AI4091" t="s">
        <v>42233</v>
      </c>
      <c t="s">
        <v>31192</v>
      </c>
      <c>
        <v>603</v>
      </c>
      <c t="s">
        <v>38297</v>
      </c>
      <c r="AN4091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44383</v>
      </c>
      <c t="s">
        <v>13083</v>
      </c>
      <c t="s">
        <v>46016</v>
      </c>
      <c t="s">
        <v>39745</v>
      </c>
      <c s="3">
        <v>83547</v>
      </c>
      <c s="3">
        <v>74250</v>
      </c>
      <c s="3">
        <v>83547</v>
      </c>
      <c>
        <v>0</v>
      </c>
      <c s="3">
        <v>0</v>
      </c>
      <c s="3">
        <v>1255.72</v>
      </c>
      <c s="3">
        <v>83547</v>
      </c>
      <c>
        <v>2021</v>
      </c>
      <c>
        <v>1296.72</v>
      </c>
      <c s="1" t="str">
        <f ca="1">HYPERLINK("https://web.datatree.com/?/property?propertyId=33570302", "https://web.datatree.com/?/property?propertyId=33570302")</f>
        <v>https://web.datatree.com/?/property?propertyId=33570302</v>
      </c>
      <c r="Q4092" t="s">
        <v>316</v>
      </c>
      <c>
        <v>0.104</v>
      </c>
      <c t="s">
        <v>26492</v>
      </c>
      <c t="s">
        <v>40487</v>
      </c>
      <c t="s">
        <v>38615</v>
      </c>
      <c r="X4092" t="s">
        <v>21069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19685</v>
      </c>
      <c>
        <v>14385</v>
      </c>
      <c r="AH4092" t="s">
        <v>60953</v>
      </c>
      <c t="s">
        <v>40562</v>
      </c>
      <c t="s">
        <v>4985</v>
      </c>
      <c r="AL4092" t="s">
        <v>8714</v>
      </c>
      <c t="s">
        <v>8714</v>
      </c>
      <c t="s">
        <v>50829</v>
      </c>
      <c t="s">
        <v>37682</v>
      </c>
      <c t="s">
        <v>50779</v>
      </c>
      <c t="s">
        <v>3093</v>
      </c>
      <c t="s">
        <v>17823</v>
      </c>
    </row>
    <row>
      <c t="s">
        <v>17594</v>
      </c>
      <c t="s">
        <v>13835</v>
      </c>
      <c t="s">
        <v>48348</v>
      </c>
      <c t="s">
        <v>43899</v>
      </c>
      <c t="s">
        <v>17235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>
        <v>2020</v>
      </c>
      <c>
        <v>1712.91</v>
      </c>
      <c s="1" t="str">
        <f ca="1">HYPERLINK("https://web.datatree.com/?/property?propertyId=33570810", "https://web.datatree.com/?/property?propertyId=33570810")</f>
        <v>https://web.datatree.com/?/property?propertyId=33570810</v>
      </c>
      <c r="Q4093" t="s">
        <v>316</v>
      </c>
      <c>
        <v>0.244</v>
      </c>
      <c t="s">
        <v>6175</v>
      </c>
      <c t="s">
        <v>34500</v>
      </c>
      <c t="s">
        <v>52345</v>
      </c>
      <c r="X4093" t="s">
        <v>3606</v>
      </c>
      <c t="s">
        <v>53675</v>
      </c>
      <c t="s">
        <v>2517</v>
      </c>
      <c t="s">
        <v>39289</v>
      </c>
      <c>
        <v>33909</v>
      </c>
      <c t="s">
        <v>51764</v>
      </c>
      <c t="s">
        <v>48794</v>
      </c>
      <c t="s">
        <v>65310</v>
      </c>
      <c>
        <v>2639</v>
      </c>
      <c r="AI4093" t="s">
        <v>12065</v>
      </c>
      <c t="s">
        <v>45620</v>
      </c>
      <c r="AL4093" t="s">
        <v>66716</v>
      </c>
      <c r="AN4093" t="s">
        <v>54950</v>
      </c>
      <c r="AR4093" t="s">
        <v>9194</v>
      </c>
    </row>
    <row>
      <c t="s">
        <v>17594</v>
      </c>
      <c t="s">
        <v>24557</v>
      </c>
      <c t="s">
        <v>52558</v>
      </c>
      <c t="s">
        <v>31378</v>
      </c>
      <c t="s">
        <v>21646</v>
      </c>
      <c s="3">
        <v>36210</v>
      </c>
      <c s="3">
        <v>36210</v>
      </c>
      <c s="3">
        <v>36210</v>
      </c>
      <c>
        <v>0</v>
      </c>
      <c s="3">
        <v>0</v>
      </c>
      <c s="3">
        <v>946.48</v>
      </c>
      <c s="3">
        <v>36210</v>
      </c>
      <c r="O4094" s="1" t="str">
        <f ca="1">HYPERLINK("https://web.datatree.com/?/property?propertyId=33572268", "https://web.datatree.com/?/property?propertyId=33572268")</f>
        <v>https://web.datatree.com/?/property?propertyId=33572268</v>
      </c>
      <c r="Q4094" t="s">
        <v>316</v>
      </c>
      <c>
        <v>0.23</v>
      </c>
      <c t="s">
        <v>65422</v>
      </c>
      <c t="s">
        <v>32675</v>
      </c>
      <c t="s">
        <v>61905</v>
      </c>
      <c r="X4094" t="s">
        <v>34517</v>
      </c>
      <c t="s">
        <v>7113</v>
      </c>
      <c t="s">
        <v>2517</v>
      </c>
      <c t="s">
        <v>39289</v>
      </c>
      <c>
        <v>33909</v>
      </c>
      <c t="s">
        <v>38353</v>
      </c>
      <c t="s">
        <v>48794</v>
      </c>
      <c t="s">
        <v>36387</v>
      </c>
      <c>
        <v>1165</v>
      </c>
      <c r="AH4094" t="s">
        <v>26580</v>
      </c>
      <c t="s">
        <v>11288</v>
      </c>
      <c t="s">
        <v>4985</v>
      </c>
      <c r="AL4094" t="s">
        <v>11713</v>
      </c>
      <c r="AN4094" t="s">
        <v>39289</v>
      </c>
      <c t="s">
        <v>6541</v>
      </c>
      <c t="s">
        <v>19154</v>
      </c>
      <c t="s">
        <v>3093</v>
      </c>
      <c t="s">
        <v>20501</v>
      </c>
    </row>
    <row>
      <c t="s">
        <v>42103</v>
      </c>
      <c t="s">
        <v>10910</v>
      </c>
      <c t="s">
        <v>46368</v>
      </c>
      <c t="s">
        <v>63851</v>
      </c>
      <c t="s">
        <v>58088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4095" s="1" t="str">
        <f ca="1">HYPERLINK("https://web.datatree.com/?/property?propertyId=33572578", "https://web.datatree.com/?/property?propertyId=33572578")</f>
        <v>https://web.datatree.com/?/property?propertyId=33572578</v>
      </c>
      <c r="Q4095" t="s">
        <v>316</v>
      </c>
      <c>
        <v>0.23</v>
      </c>
      <c t="s">
        <v>22490</v>
      </c>
      <c t="s">
        <v>30591</v>
      </c>
      <c t="s">
        <v>2373</v>
      </c>
      <c r="X4095" t="s">
        <v>60262</v>
      </c>
      <c t="s">
        <v>53675</v>
      </c>
      <c t="s">
        <v>2517</v>
      </c>
      <c t="s">
        <v>39289</v>
      </c>
      <c>
        <v>33909</v>
      </c>
      <c t="s">
        <v>29773</v>
      </c>
      <c t="s">
        <v>48794</v>
      </c>
      <c t="s">
        <v>25871</v>
      </c>
      <c r="AI4095" t="s">
        <v>19765</v>
      </c>
      <c r="AL4095" t="s">
        <v>43898</v>
      </c>
      <c t="s">
        <v>59776</v>
      </c>
      <c t="s">
        <v>9533</v>
      </c>
      <c>
        <v>683</v>
      </c>
      <c r="AQ4095" t="s">
        <v>3093</v>
      </c>
      <c t="s">
        <v>4715</v>
      </c>
    </row>
    <row>
      <c t="s">
        <v>17594</v>
      </c>
      <c t="s">
        <v>11185</v>
      </c>
      <c t="s">
        <v>47504</v>
      </c>
      <c t="s">
        <v>41301</v>
      </c>
      <c t="s">
        <v>30635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4096" s="1" t="str">
        <f ca="1">HYPERLINK("https://web.datatree.com/?/property?propertyId=33573208", "https://web.datatree.com/?/property?propertyId=33573208")</f>
        <v>https://web.datatree.com/?/property?propertyId=33573208</v>
      </c>
      <c r="Q4096" t="s">
        <v>316</v>
      </c>
      <c>
        <v>0.255</v>
      </c>
      <c t="s">
        <v>6175</v>
      </c>
      <c t="s">
        <v>48526</v>
      </c>
      <c t="s">
        <v>54192</v>
      </c>
      <c t="s">
        <v>27588</v>
      </c>
      <c t="s">
        <v>54192</v>
      </c>
      <c t="s">
        <v>50411</v>
      </c>
      <c t="s">
        <v>58797</v>
      </c>
      <c t="s">
        <v>2517</v>
      </c>
      <c t="s">
        <v>39289</v>
      </c>
      <c>
        <v>33909</v>
      </c>
      <c t="s">
        <v>45616</v>
      </c>
      <c t="s">
        <v>48794</v>
      </c>
      <c t="s">
        <v>5560</v>
      </c>
      <c>
        <v>13639</v>
      </c>
      <c r="AH4096" t="s">
        <v>52165</v>
      </c>
      <c t="s">
        <v>49777</v>
      </c>
      <c t="s">
        <v>45393</v>
      </c>
      <c r="AL4096" t="s">
        <v>16188</v>
      </c>
      <c r="AN4096" t="s">
        <v>50829</v>
      </c>
      <c t="s">
        <v>55856</v>
      </c>
      <c t="s">
        <v>52247</v>
      </c>
      <c t="s">
        <v>3093</v>
      </c>
      <c t="s">
        <v>3074</v>
      </c>
    </row>
    <row>
      <c t="s">
        <v>17594</v>
      </c>
      <c t="s">
        <v>26396</v>
      </c>
      <c t="s">
        <v>49944</v>
      </c>
      <c t="s">
        <v>16050</v>
      </c>
      <c t="s">
        <v>60901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097" s="1" t="str">
        <f ca="1">HYPERLINK("https://web.datatree.com/?/property?propertyId=33573708", "https://web.datatree.com/?/property?propertyId=33573708")</f>
        <v>https://web.datatree.com/?/property?propertyId=33573708</v>
      </c>
      <c r="Q4097" t="s">
        <v>316</v>
      </c>
      <c>
        <v>0.244</v>
      </c>
      <c t="s">
        <v>5471</v>
      </c>
      <c t="s">
        <v>8762</v>
      </c>
      <c t="s">
        <v>39960</v>
      </c>
      <c t="s">
        <v>38445</v>
      </c>
      <c t="s">
        <v>39960</v>
      </c>
      <c t="s">
        <v>47800</v>
      </c>
      <c t="s">
        <v>7871</v>
      </c>
      <c t="s">
        <v>65059</v>
      </c>
      <c t="s">
        <v>39289</v>
      </c>
      <c>
        <v>33905</v>
      </c>
      <c t="s">
        <v>15421</v>
      </c>
      <c t="s">
        <v>48794</v>
      </c>
      <c t="s">
        <v>45203</v>
      </c>
      <c>
        <v>62</v>
      </c>
      <c r="AI4097" t="s">
        <v>42396</v>
      </c>
      <c t="s">
        <v>45393</v>
      </c>
      <c r="AL4097" t="s">
        <v>54484</v>
      </c>
      <c r="AN4097" t="s">
        <v>50917</v>
      </c>
      <c t="s">
        <v>64894</v>
      </c>
      <c t="s">
        <v>53800</v>
      </c>
      <c t="s">
        <v>3093</v>
      </c>
      <c t="s">
        <v>54666</v>
      </c>
    </row>
    <row>
      <c t="s">
        <v>17594</v>
      </c>
      <c t="s">
        <v>55308</v>
      </c>
      <c t="s">
        <v>14070</v>
      </c>
      <c t="s">
        <v>30227</v>
      </c>
      <c t="s">
        <v>63583</v>
      </c>
      <c s="3">
        <v>8000</v>
      </c>
      <c s="3">
        <v>8000</v>
      </c>
      <c s="3">
        <v>8000</v>
      </c>
      <c>
        <v>0</v>
      </c>
      <c s="3">
        <v>0</v>
      </c>
      <c s="3">
        <v>588.39</v>
      </c>
      <c s="3">
        <v>8000</v>
      </c>
      <c r="O4098" s="1" t="str">
        <f ca="1">HYPERLINK("https://web.datatree.com/?/property?propertyId=33573721", "https://web.datatree.com/?/property?propertyId=33573721")</f>
        <v>https://web.datatree.com/?/property?propertyId=33573721</v>
      </c>
      <c r="Q4098" t="s">
        <v>316</v>
      </c>
      <c>
        <v>0.244</v>
      </c>
      <c t="s">
        <v>22490</v>
      </c>
      <c t="s">
        <v>40990</v>
      </c>
      <c t="s">
        <v>33378</v>
      </c>
      <c r="X4098" t="s">
        <v>15710</v>
      </c>
      <c t="s">
        <v>22731</v>
      </c>
      <c t="s">
        <v>2517</v>
      </c>
      <c t="s">
        <v>39289</v>
      </c>
      <c>
        <v>33909</v>
      </c>
      <c t="s">
        <v>44852</v>
      </c>
      <c t="s">
        <v>48794</v>
      </c>
      <c t="s">
        <v>45699</v>
      </c>
      <c>
        <v>10</v>
      </c>
      <c r="AI4098" t="s">
        <v>47323</v>
      </c>
      <c r="AL4098" t="s">
        <v>54350</v>
      </c>
      <c r="AN4098" t="s">
        <v>66651</v>
      </c>
      <c>
        <v>30625</v>
      </c>
      <c r="AR4098" t="s">
        <v>36462</v>
      </c>
    </row>
    <row>
      <c t="s">
        <v>17594</v>
      </c>
      <c t="s">
        <v>27073</v>
      </c>
      <c t="s">
        <v>5428</v>
      </c>
      <c t="s">
        <v>9385</v>
      </c>
      <c t="s">
        <v>56933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4099" s="1" t="str">
        <f ca="1">HYPERLINK("https://web.datatree.com/?/property?propertyId=33573860", "https://web.datatree.com/?/property?propertyId=33573860")</f>
        <v>https://web.datatree.com/?/property?propertyId=33573860</v>
      </c>
      <c r="Q4099" t="s">
        <v>316</v>
      </c>
      <c>
        <v>0.23</v>
      </c>
      <c t="s">
        <v>6175</v>
      </c>
      <c t="s">
        <v>38202</v>
      </c>
      <c t="s">
        <v>5500</v>
      </c>
      <c r="X4099" t="s">
        <v>7562</v>
      </c>
      <c t="s">
        <v>8669</v>
      </c>
      <c t="s">
        <v>2517</v>
      </c>
      <c t="s">
        <v>39289</v>
      </c>
      <c>
        <v>33909</v>
      </c>
      <c t="s">
        <v>61426</v>
      </c>
      <c t="s">
        <v>48794</v>
      </c>
      <c t="s">
        <v>60445</v>
      </c>
      <c>
        <v>15688</v>
      </c>
      <c r="AI4099" t="s">
        <v>8929</v>
      </c>
      <c t="s">
        <v>31192</v>
      </c>
      <c r="AL4099" t="s">
        <v>30525</v>
      </c>
      <c r="AN4099" t="s">
        <v>17134</v>
      </c>
      <c t="s">
        <v>38811</v>
      </c>
      <c t="s">
        <v>326</v>
      </c>
      <c t="s">
        <v>3093</v>
      </c>
      <c t="s">
        <v>61389</v>
      </c>
    </row>
    <row>
      <c t="s">
        <v>17594</v>
      </c>
      <c t="s">
        <v>7252</v>
      </c>
      <c t="s">
        <v>21087</v>
      </c>
      <c t="s">
        <v>17789</v>
      </c>
      <c t="s">
        <v>35115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4100" s="1" t="str">
        <f ca="1">HYPERLINK("https://web.datatree.com/?/property?propertyId=33574106", "https://web.datatree.com/?/property?propertyId=33574106")</f>
        <v>https://web.datatree.com/?/property?propertyId=33574106</v>
      </c>
      <c r="Q4100" t="s">
        <v>316</v>
      </c>
      <c>
        <v>0.23</v>
      </c>
      <c t="s">
        <v>6175</v>
      </c>
      <c t="s">
        <v>39139</v>
      </c>
      <c t="s">
        <v>231</v>
      </c>
      <c r="X4100" t="s">
        <v>55859</v>
      </c>
      <c t="s">
        <v>33893</v>
      </c>
      <c t="s">
        <v>2517</v>
      </c>
      <c t="s">
        <v>39289</v>
      </c>
      <c>
        <v>33909</v>
      </c>
      <c t="s">
        <v>66244</v>
      </c>
      <c t="s">
        <v>48794</v>
      </c>
      <c t="s">
        <v>18114</v>
      </c>
      <c>
        <v>1421</v>
      </c>
      <c r="AI4100" t="s">
        <v>25687</v>
      </c>
      <c t="s">
        <v>31192</v>
      </c>
      <c r="AL4100" t="s">
        <v>64518</v>
      </c>
      <c t="s">
        <v>64518</v>
      </c>
      <c t="s">
        <v>17134</v>
      </c>
      <c t="s">
        <v>38310</v>
      </c>
      <c t="s">
        <v>14695</v>
      </c>
      <c t="s">
        <v>3093</v>
      </c>
      <c t="s">
        <v>36250</v>
      </c>
    </row>
    <row>
      <c t="s">
        <v>17594</v>
      </c>
      <c t="s">
        <v>3077</v>
      </c>
      <c t="s">
        <v>13473</v>
      </c>
      <c t="s">
        <v>29348</v>
      </c>
      <c t="s">
        <v>43379</v>
      </c>
      <c s="3">
        <v>8700</v>
      </c>
      <c s="3">
        <v>8700</v>
      </c>
      <c s="3">
        <v>8700</v>
      </c>
      <c>
        <v>0</v>
      </c>
      <c s="3">
        <v>0</v>
      </c>
      <c s="3">
        <v>532.45</v>
      </c>
      <c s="3">
        <v>8700</v>
      </c>
      <c r="O4101" s="1" t="str">
        <f ca="1">HYPERLINK("https://web.datatree.com/?/property?propertyId=33574136", "https://web.datatree.com/?/property?propertyId=33574136")</f>
        <v>https://web.datatree.com/?/property?propertyId=33574136</v>
      </c>
      <c r="Q4101" t="s">
        <v>316</v>
      </c>
      <c>
        <v>0.23</v>
      </c>
      <c t="s">
        <v>22490</v>
      </c>
      <c t="s">
        <v>58450</v>
      </c>
      <c t="s">
        <v>18008</v>
      </c>
      <c t="s">
        <v>17266</v>
      </c>
      <c t="s">
        <v>15547</v>
      </c>
      <c t="s">
        <v>44158</v>
      </c>
      <c t="s">
        <v>22731</v>
      </c>
      <c t="s">
        <v>2517</v>
      </c>
      <c t="s">
        <v>39289</v>
      </c>
      <c>
        <v>33909</v>
      </c>
      <c t="s">
        <v>53581</v>
      </c>
      <c t="s">
        <v>48794</v>
      </c>
      <c t="s">
        <v>15398</v>
      </c>
      <c>
        <v>50</v>
      </c>
      <c r="AI4101" t="s">
        <v>46153</v>
      </c>
      <c t="s">
        <v>24900</v>
      </c>
      <c r="AL4101" t="s">
        <v>11732</v>
      </c>
      <c r="AN4101" t="s">
        <v>5859</v>
      </c>
      <c t="s">
        <v>59167</v>
      </c>
      <c t="s">
        <v>42082</v>
      </c>
      <c t="s">
        <v>3093</v>
      </c>
      <c t="s">
        <v>36797</v>
      </c>
    </row>
    <row>
      <c t="s">
        <v>17594</v>
      </c>
      <c t="s">
        <v>17461</v>
      </c>
      <c t="s">
        <v>1308</v>
      </c>
      <c t="s">
        <v>47900</v>
      </c>
      <c t="s">
        <v>49785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4102" s="1" t="str">
        <f ca="1">HYPERLINK("https://web.datatree.com/?/property?propertyId=33575550", "https://web.datatree.com/?/property?propertyId=33575550")</f>
        <v>https://web.datatree.com/?/property?propertyId=33575550</v>
      </c>
      <c r="Q4102" t="s">
        <v>316</v>
      </c>
      <c>
        <v>0.244</v>
      </c>
      <c t="s">
        <v>42044</v>
      </c>
      <c t="s">
        <v>32044</v>
      </c>
      <c t="s">
        <v>88</v>
      </c>
      <c r="X4102" t="s">
        <v>26734</v>
      </c>
      <c t="s">
        <v>14534</v>
      </c>
      <c t="s">
        <v>2517</v>
      </c>
      <c t="s">
        <v>39289</v>
      </c>
      <c>
        <v>33909</v>
      </c>
      <c t="s">
        <v>59709</v>
      </c>
      <c t="s">
        <v>48794</v>
      </c>
      <c t="s">
        <v>15457</v>
      </c>
      <c>
        <v>540</v>
      </c>
      <c r="AI4102" t="s">
        <v>25566</v>
      </c>
      <c t="s">
        <v>45393</v>
      </c>
      <c r="AL4102" t="s">
        <v>55393</v>
      </c>
      <c r="AN4102" t="s">
        <v>39289</v>
      </c>
      <c t="s">
        <v>731</v>
      </c>
      <c t="s">
        <v>15968</v>
      </c>
      <c t="s">
        <v>3093</v>
      </c>
      <c t="s">
        <v>21563</v>
      </c>
    </row>
    <row>
      <c t="s">
        <v>42103</v>
      </c>
      <c t="s">
        <v>61704</v>
      </c>
      <c t="s">
        <v>1204</v>
      </c>
      <c t="s">
        <v>62862</v>
      </c>
      <c t="s">
        <v>65227</v>
      </c>
      <c s="3">
        <v>7980</v>
      </c>
      <c s="3">
        <v>7980</v>
      </c>
      <c s="3">
        <v>7980</v>
      </c>
      <c>
        <v>0</v>
      </c>
      <c s="3">
        <v>0</v>
      </c>
      <c s="3">
        <v>764.79</v>
      </c>
      <c s="3">
        <v>7980</v>
      </c>
      <c r="O4103" s="1" t="str">
        <f ca="1">HYPERLINK("https://web.datatree.com/?/property?propertyId=33576617", "https://web.datatree.com/?/property?propertyId=33576617")</f>
        <v>https://web.datatree.com/?/property?propertyId=33576617</v>
      </c>
      <c r="Q4103" t="s">
        <v>316</v>
      </c>
      <c>
        <v>0.332</v>
      </c>
      <c t="s">
        <v>22490</v>
      </c>
      <c t="s">
        <v>42212</v>
      </c>
      <c t="s">
        <v>29838</v>
      </c>
      <c t="s">
        <v>25273</v>
      </c>
      <c t="s">
        <v>29838</v>
      </c>
      <c t="s">
        <v>16237</v>
      </c>
      <c t="s">
        <v>33893</v>
      </c>
      <c t="s">
        <v>2517</v>
      </c>
      <c t="s">
        <v>39289</v>
      </c>
      <c>
        <v>33909</v>
      </c>
      <c>
        <v>33909</v>
      </c>
      <c t="s">
        <v>48794</v>
      </c>
      <c t="s">
        <v>12040</v>
      </c>
      <c r="AI4103" t="s">
        <v>59400</v>
      </c>
      <c r="AL4103" t="s">
        <v>52682</v>
      </c>
      <c t="s">
        <v>52682</v>
      </c>
      <c t="s">
        <v>27747</v>
      </c>
      <c t="s">
        <v>66788</v>
      </c>
      <c t="s">
        <v>43243</v>
      </c>
      <c t="s">
        <v>3093</v>
      </c>
      <c t="s">
        <v>27655</v>
      </c>
    </row>
    <row>
      <c t="s">
        <v>17594</v>
      </c>
      <c t="s">
        <v>22700</v>
      </c>
      <c t="s">
        <v>40108</v>
      </c>
      <c t="s">
        <v>35363</v>
      </c>
      <c t="s">
        <v>60190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 r="O4104" s="1" t="str">
        <f ca="1">HYPERLINK("https://web.datatree.com/?/property?propertyId=33576636", "https://web.datatree.com/?/property?propertyId=33576636")</f>
        <v>https://web.datatree.com/?/property?propertyId=33576636</v>
      </c>
      <c r="Q4104" t="s">
        <v>316</v>
      </c>
      <c>
        <v>0.23</v>
      </c>
      <c t="s">
        <v>45031</v>
      </c>
      <c t="s">
        <v>7703</v>
      </c>
      <c t="s">
        <v>50606</v>
      </c>
      <c r="X4104" t="s">
        <v>62500</v>
      </c>
      <c t="s">
        <v>47150</v>
      </c>
      <c t="s">
        <v>2517</v>
      </c>
      <c t="s">
        <v>39289</v>
      </c>
      <c>
        <v>33909</v>
      </c>
      <c t="s">
        <v>15153</v>
      </c>
      <c t="s">
        <v>48794</v>
      </c>
      <c t="s">
        <v>53356</v>
      </c>
      <c>
        <v>190</v>
      </c>
      <c r="AI4104" t="s">
        <v>31134</v>
      </c>
      <c t="s">
        <v>24900</v>
      </c>
      <c r="AL4104" t="s">
        <v>35792</v>
      </c>
      <c r="AN4104" t="s">
        <v>26016</v>
      </c>
      <c t="s">
        <v>61012</v>
      </c>
      <c t="s">
        <v>53800</v>
      </c>
      <c t="s">
        <v>3093</v>
      </c>
      <c t="s">
        <v>19033</v>
      </c>
    </row>
    <row>
      <c t="s">
        <v>17594</v>
      </c>
      <c t="s">
        <v>39138</v>
      </c>
      <c t="s">
        <v>10140</v>
      </c>
      <c t="s">
        <v>22316</v>
      </c>
      <c t="s">
        <v>2883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4105" s="1" t="str">
        <f ca="1">HYPERLINK("https://web.datatree.com/?/property?propertyId=33576964", "https://web.datatree.com/?/property?propertyId=33576964")</f>
        <v>https://web.datatree.com/?/property?propertyId=33576964</v>
      </c>
      <c r="Q4105" t="s">
        <v>316</v>
      </c>
      <c>
        <v>0.241</v>
      </c>
      <c t="s">
        <v>28270</v>
      </c>
      <c t="s">
        <v>58113</v>
      </c>
      <c t="s">
        <v>66383</v>
      </c>
      <c t="s">
        <v>50343</v>
      </c>
      <c t="s">
        <v>49838</v>
      </c>
      <c t="s">
        <v>9491</v>
      </c>
      <c t="s">
        <v>30928</v>
      </c>
      <c t="s">
        <v>2517</v>
      </c>
      <c t="s">
        <v>39289</v>
      </c>
      <c>
        <v>33909</v>
      </c>
      <c t="s">
        <v>14414</v>
      </c>
      <c t="s">
        <v>48794</v>
      </c>
      <c t="s">
        <v>33697</v>
      </c>
      <c>
        <v>2</v>
      </c>
      <c r="AI4105" t="s">
        <v>8132</v>
      </c>
      <c r="AL4105" t="s">
        <v>64991</v>
      </c>
      <c r="AN4105" t="s">
        <v>14509</v>
      </c>
      <c t="s">
        <v>46911</v>
      </c>
      <c t="s">
        <v>12241</v>
      </c>
      <c t="s">
        <v>3093</v>
      </c>
      <c t="s">
        <v>64995</v>
      </c>
    </row>
    <row>
      <c t="s">
        <v>17594</v>
      </c>
      <c t="s">
        <v>36375</v>
      </c>
      <c t="s">
        <v>34001</v>
      </c>
      <c t="s">
        <v>28050</v>
      </c>
      <c t="s">
        <v>817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106" s="1" t="str">
        <f ca="1">HYPERLINK("https://web.datatree.com/?/property?propertyId=33579060", "https://web.datatree.com/?/property?propertyId=33579060")</f>
        <v>https://web.datatree.com/?/property?propertyId=33579060</v>
      </c>
      <c r="Q4106" t="s">
        <v>316</v>
      </c>
      <c>
        <v>0.23</v>
      </c>
      <c t="s">
        <v>6175</v>
      </c>
      <c t="s">
        <v>34140</v>
      </c>
      <c t="s">
        <v>2630</v>
      </c>
      <c r="X4106" t="s">
        <v>13084</v>
      </c>
      <c t="s">
        <v>25017</v>
      </c>
      <c t="s">
        <v>2517</v>
      </c>
      <c t="s">
        <v>39289</v>
      </c>
      <c>
        <v>33909</v>
      </c>
      <c t="s">
        <v>63309</v>
      </c>
      <c t="s">
        <v>48794</v>
      </c>
      <c t="s">
        <v>42067</v>
      </c>
      <c>
        <v>6448</v>
      </c>
      <c r="AI4106" t="s">
        <v>61881</v>
      </c>
      <c t="s">
        <v>24900</v>
      </c>
      <c t="s">
        <v>7053</v>
      </c>
      <c t="s">
        <v>23972</v>
      </c>
      <c t="s">
        <v>23972</v>
      </c>
      <c t="s">
        <v>19878</v>
      </c>
      <c t="s">
        <v>13904</v>
      </c>
      <c t="s">
        <v>25140</v>
      </c>
      <c t="s">
        <v>3093</v>
      </c>
      <c t="s">
        <v>67016</v>
      </c>
    </row>
    <row>
      <c t="s">
        <v>17594</v>
      </c>
      <c t="s">
        <v>46406</v>
      </c>
      <c t="s">
        <v>21355</v>
      </c>
      <c t="s">
        <v>56715</v>
      </c>
      <c t="s">
        <v>4313</v>
      </c>
      <c s="3">
        <v>4000</v>
      </c>
      <c s="3">
        <v>4000</v>
      </c>
      <c s="3">
        <v>4000</v>
      </c>
      <c>
        <v>0</v>
      </c>
      <c s="3">
        <v>0</v>
      </c>
      <c s="3">
        <v>69.26</v>
      </c>
      <c s="3">
        <v>4000</v>
      </c>
      <c r="O4107" s="1" t="str">
        <f ca="1">HYPERLINK("https://web.datatree.com/?/property?propertyId=33579191", "https://web.datatree.com/?/property?propertyId=33579191")</f>
        <v>https://web.datatree.com/?/property?propertyId=33579191</v>
      </c>
      <c r="Q4107" t="s">
        <v>316</v>
      </c>
      <c>
        <v>0.13</v>
      </c>
      <c t="s">
        <v>66399</v>
      </c>
      <c t="s">
        <v>26405</v>
      </c>
      <c t="s">
        <v>11716</v>
      </c>
      <c r="X4107" t="s">
        <v>7309</v>
      </c>
      <c t="s">
        <v>41872</v>
      </c>
      <c t="s">
        <v>65059</v>
      </c>
      <c t="s">
        <v>39289</v>
      </c>
      <c>
        <v>33905</v>
      </c>
      <c t="s">
        <v>55965</v>
      </c>
      <c t="s">
        <v>48794</v>
      </c>
      <c t="s">
        <v>39815</v>
      </c>
      <c>
        <v>3429</v>
      </c>
      <c r="AI4107" t="s">
        <v>39173</v>
      </c>
      <c t="s">
        <v>31192</v>
      </c>
      <c r="AL4107" t="s">
        <v>7812</v>
      </c>
      <c t="s">
        <v>6929</v>
      </c>
      <c t="s">
        <v>49572</v>
      </c>
      <c t="s">
        <v>20120</v>
      </c>
      <c t="s">
        <v>49977</v>
      </c>
      <c t="s">
        <v>3093</v>
      </c>
      <c t="s">
        <v>25550</v>
      </c>
    </row>
    <row>
      <c t="s">
        <v>17594</v>
      </c>
      <c t="s">
        <v>27231</v>
      </c>
      <c t="s">
        <v>34259</v>
      </c>
      <c t="s">
        <v>12215</v>
      </c>
      <c t="s">
        <v>21079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108" s="1" t="str">
        <f ca="1">HYPERLINK("https://web.datatree.com/?/property?propertyId=33579725", "https://web.datatree.com/?/property?propertyId=33579725")</f>
        <v>https://web.datatree.com/?/property?propertyId=33579725</v>
      </c>
      <c r="Q4108" t="s">
        <v>316</v>
      </c>
      <c>
        <v>0.23</v>
      </c>
      <c t="s">
        <v>6175</v>
      </c>
      <c t="s">
        <v>60638</v>
      </c>
      <c t="s">
        <v>36228</v>
      </c>
      <c r="X4108" t="s">
        <v>52823</v>
      </c>
      <c t="s">
        <v>55273</v>
      </c>
      <c t="s">
        <v>2517</v>
      </c>
      <c t="s">
        <v>39289</v>
      </c>
      <c>
        <v>33909</v>
      </c>
      <c t="s">
        <v>60341</v>
      </c>
      <c t="s">
        <v>48794</v>
      </c>
      <c t="s">
        <v>41665</v>
      </c>
      <c>
        <v>28</v>
      </c>
      <c r="AI4108" t="s">
        <v>54967</v>
      </c>
      <c r="AL4108" t="s">
        <v>31196</v>
      </c>
      <c r="AN4108" t="s">
        <v>65451</v>
      </c>
      <c t="s">
        <v>55280</v>
      </c>
      <c t="s">
        <v>53800</v>
      </c>
      <c t="s">
        <v>3093</v>
      </c>
      <c t="s">
        <v>52923</v>
      </c>
    </row>
    <row>
      <c t="s">
        <v>17594</v>
      </c>
      <c t="s">
        <v>4218</v>
      </c>
      <c t="s">
        <v>40938</v>
      </c>
      <c t="s">
        <v>5956</v>
      </c>
      <c t="s">
        <v>53277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109" s="1" t="str">
        <f ca="1">HYPERLINK("https://web.datatree.com/?/property?propertyId=33580411", "https://web.datatree.com/?/property?propertyId=33580411")</f>
        <v>https://web.datatree.com/?/property?propertyId=33580411</v>
      </c>
      <c r="Q4109" t="s">
        <v>316</v>
      </c>
      <c>
        <v>0.23</v>
      </c>
      <c t="s">
        <v>42044</v>
      </c>
      <c t="s">
        <v>51344</v>
      </c>
      <c t="s">
        <v>60867</v>
      </c>
      <c r="X4109" t="s">
        <v>44375</v>
      </c>
      <c t="s">
        <v>39777</v>
      </c>
      <c t="s">
        <v>2517</v>
      </c>
      <c t="s">
        <v>39289</v>
      </c>
      <c>
        <v>33909</v>
      </c>
      <c t="s">
        <v>53261</v>
      </c>
      <c t="s">
        <v>48794</v>
      </c>
      <c t="s">
        <v>60655</v>
      </c>
      <c>
        <v>12540</v>
      </c>
      <c r="AI4109" t="s">
        <v>188</v>
      </c>
      <c t="s">
        <v>39321</v>
      </c>
      <c r="AL4109" t="s">
        <v>55393</v>
      </c>
      <c r="AN4109" t="s">
        <v>39289</v>
      </c>
      <c t="s">
        <v>59386</v>
      </c>
      <c t="s">
        <v>54916</v>
      </c>
      <c t="s">
        <v>3093</v>
      </c>
      <c t="s">
        <v>18229</v>
      </c>
    </row>
    <row>
      <c t="s">
        <v>17594</v>
      </c>
      <c t="s">
        <v>17090</v>
      </c>
      <c t="s">
        <v>3572</v>
      </c>
      <c t="s">
        <v>19598</v>
      </c>
      <c t="s">
        <v>49945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110" s="1" t="str">
        <f ca="1">HYPERLINK("https://web.datatree.com/?/property?propertyId=33580579", "https://web.datatree.com/?/property?propertyId=33580579")</f>
        <v>https://web.datatree.com/?/property?propertyId=33580579</v>
      </c>
      <c r="Q4110" t="s">
        <v>316</v>
      </c>
      <c>
        <v>0.23</v>
      </c>
      <c t="s">
        <v>6175</v>
      </c>
      <c t="s">
        <v>30207</v>
      </c>
      <c t="s">
        <v>53055</v>
      </c>
      <c r="X4110" t="s">
        <v>11392</v>
      </c>
      <c t="s">
        <v>33179</v>
      </c>
      <c t="s">
        <v>2517</v>
      </c>
      <c t="s">
        <v>39289</v>
      </c>
      <c>
        <v>33909</v>
      </c>
      <c t="s">
        <v>54513</v>
      </c>
      <c t="s">
        <v>48794</v>
      </c>
      <c t="s">
        <v>28487</v>
      </c>
      <c>
        <v>8914</v>
      </c>
      <c r="AI4110" t="s">
        <v>5048</v>
      </c>
      <c t="s">
        <v>45393</v>
      </c>
      <c r="AL4110" t="s">
        <v>34748</v>
      </c>
      <c r="AN4110" t="s">
        <v>50917</v>
      </c>
      <c t="s">
        <v>31348</v>
      </c>
      <c t="s">
        <v>64128</v>
      </c>
      <c t="s">
        <v>3093</v>
      </c>
      <c t="s">
        <v>41686</v>
      </c>
    </row>
    <row>
      <c t="s">
        <v>42103</v>
      </c>
      <c t="s">
        <v>14672</v>
      </c>
      <c t="s">
        <v>19819</v>
      </c>
      <c t="s">
        <v>41774</v>
      </c>
      <c t="s">
        <v>2890</v>
      </c>
      <c s="3">
        <v>88063</v>
      </c>
      <c s="3">
        <v>79500</v>
      </c>
      <c s="3">
        <v>83029</v>
      </c>
      <c>
        <v>0</v>
      </c>
      <c s="3">
        <v>0</v>
      </c>
      <c s="3">
        <v>1275.96</v>
      </c>
      <c s="3">
        <v>88063</v>
      </c>
      <c r="O4111" s="1" t="str">
        <f ca="1">HYPERLINK("https://web.datatree.com/?/property?propertyId=33580598", "https://web.datatree.com/?/property?propertyId=33580598")</f>
        <v>https://web.datatree.com/?/property?propertyId=33580598</v>
      </c>
      <c r="Q4111" t="s">
        <v>316</v>
      </c>
      <c>
        <v>0.095</v>
      </c>
      <c t="s">
        <v>26492</v>
      </c>
      <c t="s">
        <v>25238</v>
      </c>
      <c t="s">
        <v>14636</v>
      </c>
      <c t="s">
        <v>54573</v>
      </c>
      <c t="s">
        <v>14636</v>
      </c>
      <c t="s">
        <v>48266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43389</v>
      </c>
      <c r="AI4111" t="s">
        <v>61734</v>
      </c>
      <c r="AL4111" t="s">
        <v>37967</v>
      </c>
      <c t="s">
        <v>37967</v>
      </c>
      <c t="s">
        <v>65467</v>
      </c>
      <c>
        <v>21536</v>
      </c>
      <c t="s">
        <v>22417</v>
      </c>
      <c t="s">
        <v>3093</v>
      </c>
      <c t="s">
        <v>30527</v>
      </c>
      <c>
        <v>2005</v>
      </c>
    </row>
    <row>
      <c t="s">
        <v>17594</v>
      </c>
      <c t="s">
        <v>57</v>
      </c>
      <c t="s">
        <v>48668</v>
      </c>
      <c t="s">
        <v>46458</v>
      </c>
      <c t="s">
        <v>36402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4112" s="1" t="str">
        <f ca="1">HYPERLINK("https://web.datatree.com/?/property?propertyId=33580610", "https://web.datatree.com/?/property?propertyId=33580610")</f>
        <v>https://web.datatree.com/?/property?propertyId=33580610</v>
      </c>
      <c r="Q4112" t="s">
        <v>316</v>
      </c>
      <c>
        <v>0.23</v>
      </c>
      <c t="s">
        <v>6175</v>
      </c>
      <c t="s">
        <v>38169</v>
      </c>
      <c t="s">
        <v>58137</v>
      </c>
      <c t="s">
        <v>21379</v>
      </c>
      <c t="s">
        <v>58137</v>
      </c>
      <c t="s">
        <v>40991</v>
      </c>
      <c t="s">
        <v>29190</v>
      </c>
      <c t="s">
        <v>2517</v>
      </c>
      <c t="s">
        <v>39289</v>
      </c>
      <c>
        <v>33909</v>
      </c>
      <c t="s">
        <v>23407</v>
      </c>
      <c t="s">
        <v>48794</v>
      </c>
      <c t="s">
        <v>27374</v>
      </c>
      <c>
        <v>55</v>
      </c>
      <c r="AI4112" t="s">
        <v>62266</v>
      </c>
      <c t="s">
        <v>55842</v>
      </c>
      <c>
        <v>5320</v>
      </c>
      <c t="s">
        <v>63445</v>
      </c>
      <c t="s">
        <v>63445</v>
      </c>
      <c t="s">
        <v>14509</v>
      </c>
      <c t="s">
        <v>61687</v>
      </c>
      <c t="s">
        <v>26242</v>
      </c>
      <c t="s">
        <v>3093</v>
      </c>
      <c t="s">
        <v>27303</v>
      </c>
    </row>
    <row>
      <c t="s">
        <v>17594</v>
      </c>
      <c t="s">
        <v>64008</v>
      </c>
      <c t="s">
        <v>37284</v>
      </c>
      <c t="s">
        <v>49450</v>
      </c>
      <c t="s">
        <v>40599</v>
      </c>
      <c s="3">
        <v>45971</v>
      </c>
      <c s="3">
        <v>45971</v>
      </c>
      <c s="3">
        <v>15563</v>
      </c>
      <c>
        <v>0</v>
      </c>
      <c s="3">
        <v>0</v>
      </c>
      <c s="3">
        <v>969.44</v>
      </c>
      <c s="3">
        <v>45971</v>
      </c>
      <c r="O4113" s="1" t="str">
        <f ca="1">HYPERLINK("https://web.datatree.com/?/property?propertyId=33580880", "https://web.datatree.com/?/property?propertyId=33580880")</f>
        <v>https://web.datatree.com/?/property?propertyId=33580880</v>
      </c>
      <c r="Q4113" t="s">
        <v>316</v>
      </c>
      <c>
        <v>0.344</v>
      </c>
      <c t="s">
        <v>6175</v>
      </c>
      <c t="s">
        <v>32056</v>
      </c>
      <c t="s">
        <v>26672</v>
      </c>
      <c t="s">
        <v>1013</v>
      </c>
      <c t="s">
        <v>26672</v>
      </c>
      <c t="s">
        <v>32432</v>
      </c>
      <c t="s">
        <v>30928</v>
      </c>
      <c t="s">
        <v>2517</v>
      </c>
      <c t="s">
        <v>39289</v>
      </c>
      <c>
        <v>33909</v>
      </c>
      <c t="s">
        <v>2456</v>
      </c>
      <c t="s">
        <v>48794</v>
      </c>
      <c t="s">
        <v>48685</v>
      </c>
      <c>
        <v>3760</v>
      </c>
      <c r="AI4113" t="s">
        <v>62375</v>
      </c>
      <c t="s">
        <v>31192</v>
      </c>
      <c r="AL4113" t="s">
        <v>22226</v>
      </c>
      <c r="AN4113" t="s">
        <v>27481</v>
      </c>
      <c>
        <v>53713</v>
      </c>
      <c t="s">
        <v>40645</v>
      </c>
      <c t="s">
        <v>3093</v>
      </c>
      <c t="s">
        <v>17511</v>
      </c>
    </row>
    <row>
      <c t="s">
        <v>17594</v>
      </c>
      <c t="s">
        <v>33611</v>
      </c>
      <c t="s">
        <v>45583</v>
      </c>
      <c t="s">
        <v>19707</v>
      </c>
      <c t="s">
        <v>5029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4114" s="1" t="str">
        <f ca="1">HYPERLINK("https://web.datatree.com/?/property?propertyId=33581388", "https://web.datatree.com/?/property?propertyId=33581388")</f>
        <v>https://web.datatree.com/?/property?propertyId=33581388</v>
      </c>
      <c r="Q4114" t="s">
        <v>316</v>
      </c>
      <c>
        <v>0.23</v>
      </c>
      <c t="s">
        <v>22490</v>
      </c>
      <c t="s">
        <v>16893</v>
      </c>
      <c t="s">
        <v>56842</v>
      </c>
      <c r="X4114" t="s">
        <v>31552</v>
      </c>
      <c t="s">
        <v>53663</v>
      </c>
      <c t="s">
        <v>2517</v>
      </c>
      <c t="s">
        <v>39289</v>
      </c>
      <c>
        <v>33909</v>
      </c>
      <c t="s">
        <v>66676</v>
      </c>
      <c t="s">
        <v>48794</v>
      </c>
      <c t="s">
        <v>39014</v>
      </c>
      <c>
        <v>5610</v>
      </c>
      <c r="AI4114" t="s">
        <v>34038</v>
      </c>
      <c t="s">
        <v>835</v>
      </c>
      <c r="AL4114" t="s">
        <v>3402</v>
      </c>
      <c t="s">
        <v>43287</v>
      </c>
      <c t="s">
        <v>39289</v>
      </c>
      <c t="s">
        <v>24990</v>
      </c>
      <c t="s">
        <v>28673</v>
      </c>
      <c t="s">
        <v>3093</v>
      </c>
      <c t="s">
        <v>34182</v>
      </c>
    </row>
    <row>
      <c t="s">
        <v>17594</v>
      </c>
      <c t="s">
        <v>14571</v>
      </c>
      <c t="s">
        <v>9243</v>
      </c>
      <c t="s">
        <v>50584</v>
      </c>
      <c t="s">
        <v>2087</v>
      </c>
      <c s="3">
        <v>80633</v>
      </c>
      <c s="3">
        <v>80633</v>
      </c>
      <c s="3">
        <v>73915</v>
      </c>
      <c>
        <v>0</v>
      </c>
      <c s="3">
        <v>0</v>
      </c>
      <c s="3">
        <v>1143.95</v>
      </c>
      <c s="3">
        <v>80633</v>
      </c>
      <c r="O4115" s="1" t="str">
        <f ca="1">HYPERLINK("https://web.datatree.com/?/property?propertyId=33581481", "https://web.datatree.com/?/property?propertyId=33581481")</f>
        <v>https://web.datatree.com/?/property?propertyId=33581481</v>
      </c>
      <c r="Q4115" t="s">
        <v>316</v>
      </c>
      <c>
        <v>0.506</v>
      </c>
      <c t="s">
        <v>30497</v>
      </c>
      <c t="s">
        <v>47922</v>
      </c>
      <c t="s">
        <v>54652</v>
      </c>
      <c t="s">
        <v>41473</v>
      </c>
      <c t="s">
        <v>54652</v>
      </c>
      <c t="s">
        <v>19979</v>
      </c>
      <c t="s">
        <v>3505</v>
      </c>
      <c t="s">
        <v>65059</v>
      </c>
      <c t="s">
        <v>39289</v>
      </c>
      <c>
        <v>33905</v>
      </c>
      <c>
        <v>33905</v>
      </c>
      <c t="s">
        <v>48794</v>
      </c>
      <c t="s">
        <v>30667</v>
      </c>
      <c>
        <v>11548</v>
      </c>
      <c r="AI4115" t="s">
        <v>496</v>
      </c>
      <c t="s">
        <v>24900</v>
      </c>
      <c r="AL4115" t="s">
        <v>55393</v>
      </c>
      <c t="s">
        <v>57031</v>
      </c>
      <c t="s">
        <v>39289</v>
      </c>
      <c t="s">
        <v>8617</v>
      </c>
      <c t="s">
        <v>44726</v>
      </c>
      <c t="s">
        <v>3093</v>
      </c>
      <c t="s">
        <v>27883</v>
      </c>
    </row>
    <row>
      <c t="s">
        <v>17594</v>
      </c>
      <c t="s">
        <v>25001</v>
      </c>
      <c t="s">
        <v>25053</v>
      </c>
      <c t="s">
        <v>26488</v>
      </c>
      <c t="s">
        <v>28803</v>
      </c>
      <c s="3">
        <v>23012</v>
      </c>
      <c s="3">
        <v>23012</v>
      </c>
      <c s="3">
        <v>10450</v>
      </c>
      <c>
        <v>0</v>
      </c>
      <c s="3">
        <v>0</v>
      </c>
      <c s="3">
        <v>613.35</v>
      </c>
      <c s="3">
        <v>23012</v>
      </c>
      <c r="O4116" s="1" t="str">
        <f ca="1">HYPERLINK("https://web.datatree.com/?/property?propertyId=33581674", "https://web.datatree.com/?/property?propertyId=33581674")</f>
        <v>https://web.datatree.com/?/property?propertyId=33581674</v>
      </c>
      <c r="Q4116" t="s">
        <v>316</v>
      </c>
      <c>
        <v>0.244</v>
      </c>
      <c t="s">
        <v>22490</v>
      </c>
      <c t="s">
        <v>16354</v>
      </c>
      <c t="s">
        <v>57861</v>
      </c>
      <c r="X4116" t="s">
        <v>38874</v>
      </c>
      <c t="s">
        <v>18679</v>
      </c>
      <c t="s">
        <v>2517</v>
      </c>
      <c t="s">
        <v>39289</v>
      </c>
      <c>
        <v>33909</v>
      </c>
      <c t="s">
        <v>56778</v>
      </c>
      <c t="s">
        <v>48794</v>
      </c>
      <c t="s">
        <v>34684</v>
      </c>
      <c>
        <v>2</v>
      </c>
      <c r="AI4116" t="s">
        <v>24607</v>
      </c>
      <c r="AL4116" t="s">
        <v>43872</v>
      </c>
      <c r="AN4116" t="s">
        <v>32840</v>
      </c>
      <c r="AR4116" t="s">
        <v>35799</v>
      </c>
    </row>
    <row>
      <c t="s">
        <v>17594</v>
      </c>
      <c t="s">
        <v>1678</v>
      </c>
      <c t="s">
        <v>65155</v>
      </c>
      <c t="s">
        <v>58932</v>
      </c>
      <c t="s">
        <v>36975</v>
      </c>
      <c s="3">
        <v>18026</v>
      </c>
      <c s="3">
        <v>18026</v>
      </c>
      <c s="3">
        <v>7865</v>
      </c>
      <c>
        <v>0</v>
      </c>
      <c s="3">
        <v>0</v>
      </c>
      <c s="3">
        <v>492.2</v>
      </c>
      <c s="3">
        <v>18026</v>
      </c>
      <c r="O4117" s="1" t="str">
        <f ca="1">HYPERLINK("https://web.datatree.com/?/property?propertyId=33581716", "https://web.datatree.com/?/property?propertyId=33581716")</f>
        <v>https://web.datatree.com/?/property?propertyId=33581716</v>
      </c>
      <c r="Q4117" t="s">
        <v>316</v>
      </c>
      <c>
        <v>0.241</v>
      </c>
      <c t="s">
        <v>6175</v>
      </c>
      <c t="s">
        <v>20358</v>
      </c>
      <c t="s">
        <v>55710</v>
      </c>
      <c r="X4117" t="s">
        <v>49138</v>
      </c>
      <c t="s">
        <v>47150</v>
      </c>
      <c t="s">
        <v>2517</v>
      </c>
      <c t="s">
        <v>39289</v>
      </c>
      <c>
        <v>33909</v>
      </c>
      <c t="s">
        <v>62459</v>
      </c>
      <c t="s">
        <v>48794</v>
      </c>
      <c t="s">
        <v>16280</v>
      </c>
      <c>
        <v>340</v>
      </c>
      <c r="AI4117" t="s">
        <v>30048</v>
      </c>
      <c t="s">
        <v>31192</v>
      </c>
      <c>
        <v>209</v>
      </c>
      <c t="s">
        <v>8443</v>
      </c>
      <c r="AN4117" t="s">
        <v>10804</v>
      </c>
      <c t="s">
        <v>25108</v>
      </c>
      <c t="s">
        <v>16126</v>
      </c>
      <c t="s">
        <v>3093</v>
      </c>
      <c t="s">
        <v>57174</v>
      </c>
    </row>
    <row>
      <c t="s">
        <v>17594</v>
      </c>
      <c t="s">
        <v>26824</v>
      </c>
      <c t="s">
        <v>62403</v>
      </c>
      <c t="s">
        <v>13138</v>
      </c>
      <c t="s">
        <v>5386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118" s="1" t="str">
        <f ca="1">HYPERLINK("https://web.datatree.com/?/property?propertyId=33582076", "https://web.datatree.com/?/property?propertyId=33582076")</f>
        <v>https://web.datatree.com/?/property?propertyId=33582076</v>
      </c>
      <c r="Q4118" t="s">
        <v>316</v>
      </c>
      <c>
        <v>0.23</v>
      </c>
      <c t="s">
        <v>6175</v>
      </c>
      <c t="s">
        <v>54428</v>
      </c>
      <c t="s">
        <v>41145</v>
      </c>
      <c t="s">
        <v>19965</v>
      </c>
      <c t="s">
        <v>41145</v>
      </c>
      <c t="s">
        <v>18909</v>
      </c>
      <c t="s">
        <v>38550</v>
      </c>
      <c t="s">
        <v>2517</v>
      </c>
      <c t="s">
        <v>39289</v>
      </c>
      <c>
        <v>33909</v>
      </c>
      <c t="s">
        <v>56267</v>
      </c>
      <c t="s">
        <v>48794</v>
      </c>
      <c t="s">
        <v>27079</v>
      </c>
      <c>
        <v>209</v>
      </c>
      <c r="AI4118" t="s">
        <v>5105</v>
      </c>
      <c t="s">
        <v>45393</v>
      </c>
      <c r="AL4118" t="s">
        <v>9486</v>
      </c>
      <c r="AN4118" t="s">
        <v>50917</v>
      </c>
      <c t="s">
        <v>1213</v>
      </c>
      <c t="s">
        <v>4797</v>
      </c>
      <c t="s">
        <v>3093</v>
      </c>
      <c t="s">
        <v>43913</v>
      </c>
    </row>
    <row>
      <c t="s">
        <v>17594</v>
      </c>
      <c t="s">
        <v>61177</v>
      </c>
      <c t="s">
        <v>15654</v>
      </c>
      <c t="s">
        <v>47412</v>
      </c>
      <c t="s">
        <v>12515</v>
      </c>
      <c s="3">
        <v>8640</v>
      </c>
      <c s="3">
        <v>8640</v>
      </c>
      <c s="3">
        <v>4972</v>
      </c>
      <c>
        <v>0</v>
      </c>
      <c s="3">
        <v>0</v>
      </c>
      <c s="3">
        <v>316.66</v>
      </c>
      <c s="3">
        <v>8640</v>
      </c>
      <c r="O4119" s="1" t="str">
        <f ca="1">HYPERLINK("https://web.datatree.com/?/property?propertyId=33582536", "https://web.datatree.com/?/property?propertyId=33582536")</f>
        <v>https://web.datatree.com/?/property?propertyId=33582536</v>
      </c>
      <c r="Q4119" t="s">
        <v>316</v>
      </c>
      <c>
        <v>0.237</v>
      </c>
      <c t="s">
        <v>5471</v>
      </c>
      <c t="s">
        <v>24894</v>
      </c>
      <c t="s">
        <v>10215</v>
      </c>
      <c r="X4119" t="s">
        <v>28078</v>
      </c>
      <c t="s">
        <v>58506</v>
      </c>
      <c t="s">
        <v>65059</v>
      </c>
      <c t="s">
        <v>39289</v>
      </c>
      <c>
        <v>33905</v>
      </c>
      <c t="s">
        <v>18698</v>
      </c>
      <c t="s">
        <v>48794</v>
      </c>
      <c t="s">
        <v>13956</v>
      </c>
      <c>
        <v>11</v>
      </c>
      <c r="AI4119" t="s">
        <v>35789</v>
      </c>
      <c t="s">
        <v>31192</v>
      </c>
      <c>
        <v>11</v>
      </c>
      <c t="s">
        <v>13397</v>
      </c>
      <c t="s">
        <v>13397</v>
      </c>
      <c t="s">
        <v>50917</v>
      </c>
      <c t="s">
        <v>7549</v>
      </c>
      <c t="s">
        <v>34342</v>
      </c>
      <c t="s">
        <v>3093</v>
      </c>
      <c t="s">
        <v>30090</v>
      </c>
    </row>
    <row>
      <c t="s">
        <v>17594</v>
      </c>
      <c t="s">
        <v>535</v>
      </c>
      <c t="s">
        <v>27355</v>
      </c>
      <c t="s">
        <v>49901</v>
      </c>
      <c t="s">
        <v>32160</v>
      </c>
      <c s="3">
        <v>12544</v>
      </c>
      <c s="3">
        <v>12544</v>
      </c>
      <c s="3">
        <v>4952</v>
      </c>
      <c>
        <v>0</v>
      </c>
      <c s="3">
        <v>0</v>
      </c>
      <c s="3">
        <v>313.92</v>
      </c>
      <c s="3">
        <v>12544</v>
      </c>
      <c r="O4120" s="1" t="str">
        <f ca="1">HYPERLINK("https://web.datatree.com/?/property?propertyId=33582537", "https://web.datatree.com/?/property?propertyId=33582537")</f>
        <v>https://web.datatree.com/?/property?propertyId=33582537</v>
      </c>
      <c r="Q4120" t="s">
        <v>316</v>
      </c>
      <c>
        <v>0.219</v>
      </c>
      <c t="s">
        <v>5471</v>
      </c>
      <c t="s">
        <v>19357</v>
      </c>
      <c t="s">
        <v>52345</v>
      </c>
      <c t="s">
        <v>37137</v>
      </c>
      <c t="s">
        <v>52345</v>
      </c>
      <c t="s">
        <v>8319</v>
      </c>
      <c t="s">
        <v>39583</v>
      </c>
      <c t="s">
        <v>65059</v>
      </c>
      <c t="s">
        <v>39289</v>
      </c>
      <c>
        <v>33905</v>
      </c>
      <c t="s">
        <v>32505</v>
      </c>
      <c t="s">
        <v>48794</v>
      </c>
      <c t="s">
        <v>54843</v>
      </c>
      <c>
        <v>2173</v>
      </c>
      <c r="AI4120" t="s">
        <v>57193</v>
      </c>
      <c t="s">
        <v>835</v>
      </c>
      <c r="AL4120" t="s">
        <v>18092</v>
      </c>
      <c r="AN4120" t="s">
        <v>39289</v>
      </c>
      <c t="s">
        <v>21652</v>
      </c>
      <c t="s">
        <v>48506</v>
      </c>
      <c t="s">
        <v>3093</v>
      </c>
      <c t="s">
        <v>63680</v>
      </c>
    </row>
    <row>
      <c t="s">
        <v>17594</v>
      </c>
      <c t="s">
        <v>35353</v>
      </c>
      <c t="s">
        <v>16222</v>
      </c>
      <c t="s">
        <v>10752</v>
      </c>
      <c t="s">
        <v>15667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4121" s="1" t="str">
        <f ca="1">HYPERLINK("https://web.datatree.com/?/property?propertyId=33583683", "https://web.datatree.com/?/property?propertyId=33583683")</f>
        <v>https://web.datatree.com/?/property?propertyId=33583683</v>
      </c>
      <c r="Q4121" t="s">
        <v>316</v>
      </c>
      <c>
        <v>0.23</v>
      </c>
      <c t="s">
        <v>6175</v>
      </c>
      <c t="s">
        <v>2140</v>
      </c>
      <c t="s">
        <v>21690</v>
      </c>
      <c t="s">
        <v>30886</v>
      </c>
      <c t="s">
        <v>21690</v>
      </c>
      <c t="s">
        <v>49466</v>
      </c>
      <c t="s">
        <v>60363</v>
      </c>
      <c t="s">
        <v>2517</v>
      </c>
      <c t="s">
        <v>39289</v>
      </c>
      <c>
        <v>33909</v>
      </c>
      <c t="s">
        <v>28476</v>
      </c>
      <c t="s">
        <v>48794</v>
      </c>
      <c t="s">
        <v>13024</v>
      </c>
      <c>
        <v>1150</v>
      </c>
      <c r="AI4121" t="s">
        <v>65725</v>
      </c>
      <c t="s">
        <v>835</v>
      </c>
      <c>
        <v>3</v>
      </c>
      <c t="s">
        <v>35412</v>
      </c>
      <c t="s">
        <v>35412</v>
      </c>
      <c t="s">
        <v>9636</v>
      </c>
      <c t="s">
        <v>8272</v>
      </c>
      <c t="s">
        <v>34162</v>
      </c>
      <c t="s">
        <v>3093</v>
      </c>
      <c t="s">
        <v>40210</v>
      </c>
    </row>
    <row>
      <c t="s">
        <v>42103</v>
      </c>
      <c t="s">
        <v>22742</v>
      </c>
      <c t="s">
        <v>11984</v>
      </c>
      <c t="s">
        <v>42828</v>
      </c>
      <c t="s">
        <v>17269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122" s="1" t="str">
        <f ca="1">HYPERLINK("https://web.datatree.com/?/property?propertyId=33584215", "https://web.datatree.com/?/property?propertyId=33584215")</f>
        <v>https://web.datatree.com/?/property?propertyId=33584215</v>
      </c>
      <c r="Q4122" t="s">
        <v>316</v>
      </c>
      <c>
        <v>0.23</v>
      </c>
      <c t="s">
        <v>6175</v>
      </c>
      <c t="s">
        <v>47754</v>
      </c>
      <c t="s">
        <v>10087</v>
      </c>
      <c t="s">
        <v>4868</v>
      </c>
      <c t="s">
        <v>45340</v>
      </c>
      <c t="s">
        <v>41238</v>
      </c>
      <c t="s">
        <v>34731</v>
      </c>
      <c t="s">
        <v>2517</v>
      </c>
      <c t="s">
        <v>39289</v>
      </c>
      <c>
        <v>33909</v>
      </c>
      <c t="s">
        <v>13166</v>
      </c>
      <c t="s">
        <v>48794</v>
      </c>
      <c t="s">
        <v>40712</v>
      </c>
      <c r="AI4122" t="s">
        <v>1612</v>
      </c>
      <c r="AL4122" t="s">
        <v>19762</v>
      </c>
      <c r="AN4122" t="s">
        <v>9533</v>
      </c>
      <c t="s">
        <v>47368</v>
      </c>
      <c t="s">
        <v>52202</v>
      </c>
      <c t="s">
        <v>3093</v>
      </c>
      <c t="s">
        <v>59406</v>
      </c>
    </row>
    <row>
      <c t="s">
        <v>17594</v>
      </c>
      <c t="s">
        <v>63284</v>
      </c>
      <c t="s">
        <v>60797</v>
      </c>
      <c t="s">
        <v>45038</v>
      </c>
      <c t="s">
        <v>67201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4123" s="1" t="str">
        <f ca="1">HYPERLINK("https://web.datatree.com/?/property?propertyId=33584512", "https://web.datatree.com/?/property?propertyId=33584512")</f>
        <v>https://web.datatree.com/?/property?propertyId=33584512</v>
      </c>
      <c r="Q4123" t="s">
        <v>316</v>
      </c>
      <c>
        <v>0.229</v>
      </c>
      <c t="s">
        <v>6175</v>
      </c>
      <c t="s">
        <v>44150</v>
      </c>
      <c t="s">
        <v>20391</v>
      </c>
      <c r="X4123" t="s">
        <v>56509</v>
      </c>
      <c t="s">
        <v>55273</v>
      </c>
      <c t="s">
        <v>2517</v>
      </c>
      <c t="s">
        <v>39289</v>
      </c>
      <c>
        <v>33909</v>
      </c>
      <c t="s">
        <v>35782</v>
      </c>
      <c t="s">
        <v>48794</v>
      </c>
      <c t="s">
        <v>44620</v>
      </c>
      <c>
        <v>5683</v>
      </c>
      <c r="AI4123" t="s">
        <v>65540</v>
      </c>
      <c t="s">
        <v>41372</v>
      </c>
      <c r="AL4123" t="s">
        <v>55393</v>
      </c>
      <c r="AN4123" t="s">
        <v>39289</v>
      </c>
      <c t="s">
        <v>43656</v>
      </c>
      <c t="s">
        <v>23611</v>
      </c>
      <c t="s">
        <v>3093</v>
      </c>
      <c t="s">
        <v>4698</v>
      </c>
    </row>
    <row>
      <c t="s">
        <v>17594</v>
      </c>
      <c t="s">
        <v>19035</v>
      </c>
      <c t="s">
        <v>44090</v>
      </c>
      <c t="s">
        <v>19182</v>
      </c>
      <c t="s">
        <v>61042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4124" s="1" t="str">
        <f ca="1">HYPERLINK("https://web.datatree.com/?/property?propertyId=33584598", "https://web.datatree.com/?/property?propertyId=33584598")</f>
        <v>https://web.datatree.com/?/property?propertyId=33584598</v>
      </c>
      <c r="Q4124" t="s">
        <v>316</v>
      </c>
      <c>
        <v>0.23</v>
      </c>
      <c t="s">
        <v>45031</v>
      </c>
      <c t="s">
        <v>37005</v>
      </c>
      <c t="s">
        <v>3407</v>
      </c>
      <c r="X4124" t="s">
        <v>20740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19836</v>
      </c>
      <c>
        <v>4391</v>
      </c>
      <c r="AI4124" t="s">
        <v>51426</v>
      </c>
      <c t="s">
        <v>4985</v>
      </c>
      <c r="AL4124" t="s">
        <v>6449</v>
      </c>
      <c t="s">
        <v>6449</v>
      </c>
      <c t="s">
        <v>51087</v>
      </c>
      <c t="s">
        <v>38777</v>
      </c>
      <c t="s">
        <v>39566</v>
      </c>
      <c t="s">
        <v>3093</v>
      </c>
      <c t="s">
        <v>44634</v>
      </c>
    </row>
    <row>
      <c t="s">
        <v>42103</v>
      </c>
      <c t="s">
        <v>51900</v>
      </c>
      <c t="s">
        <v>2882</v>
      </c>
      <c t="s">
        <v>58982</v>
      </c>
      <c t="s">
        <v>5098</v>
      </c>
      <c s="3">
        <v>33172</v>
      </c>
      <c s="3">
        <v>33172</v>
      </c>
      <c s="3">
        <v>33172</v>
      </c>
      <c>
        <v>0</v>
      </c>
      <c s="3">
        <v>0</v>
      </c>
      <c s="3">
        <v>3267.96</v>
      </c>
      <c s="3">
        <v>33172</v>
      </c>
      <c r="O4125" s="1" t="str">
        <f ca="1">HYPERLINK("https://web.datatree.com/?/property?propertyId=33584606", "https://web.datatree.com/?/property?propertyId=33584606")</f>
        <v>https://web.datatree.com/?/property?propertyId=33584606</v>
      </c>
      <c r="Q4125" t="s">
        <v>316</v>
      </c>
      <c>
        <v>0.273</v>
      </c>
      <c t="s">
        <v>22490</v>
      </c>
      <c r="U4125" t="s">
        <v>13371</v>
      </c>
      <c r="W4125" t="s">
        <v>54902</v>
      </c>
      <c t="s">
        <v>34358</v>
      </c>
      <c t="s">
        <v>2626</v>
      </c>
      <c t="s">
        <v>2517</v>
      </c>
      <c t="s">
        <v>39289</v>
      </c>
      <c>
        <v>33909</v>
      </c>
      <c t="s">
        <v>33466</v>
      </c>
      <c t="s">
        <v>48794</v>
      </c>
      <c t="s">
        <v>23440</v>
      </c>
      <c r="AI4125" t="s">
        <v>60022</v>
      </c>
      <c r="AL4125" t="s">
        <v>48150</v>
      </c>
      <c t="s">
        <v>48150</v>
      </c>
      <c t="s">
        <v>39289</v>
      </c>
      <c>
        <v>34232</v>
      </c>
      <c t="s">
        <v>37957</v>
      </c>
      <c t="s">
        <v>3093</v>
      </c>
      <c t="s">
        <v>8201</v>
      </c>
    </row>
    <row>
      <c t="s">
        <v>17594</v>
      </c>
      <c t="s">
        <v>42352</v>
      </c>
      <c t="s">
        <v>35851</v>
      </c>
      <c t="s">
        <v>4271</v>
      </c>
      <c t="s">
        <v>11230</v>
      </c>
      <c s="3">
        <v>19712</v>
      </c>
      <c s="3">
        <v>19712</v>
      </c>
      <c s="3">
        <v>19712</v>
      </c>
      <c>
        <v>0</v>
      </c>
      <c s="3">
        <v>0</v>
      </c>
      <c s="3">
        <v>470.5</v>
      </c>
      <c s="3">
        <v>19712</v>
      </c>
      <c r="O4126" s="1" t="str">
        <f ca="1">HYPERLINK("https://web.datatree.com/?/property?propertyId=33584735", "https://web.datatree.com/?/property?propertyId=33584735")</f>
        <v>https://web.datatree.com/?/property?propertyId=33584735</v>
      </c>
      <c r="Q4126" t="s">
        <v>316</v>
      </c>
      <c>
        <v>0.386</v>
      </c>
      <c t="s">
        <v>5471</v>
      </c>
      <c t="s">
        <v>24179</v>
      </c>
      <c t="s">
        <v>43840</v>
      </c>
      <c r="X4126" t="s">
        <v>27474</v>
      </c>
      <c t="s">
        <v>18019</v>
      </c>
      <c t="s">
        <v>65059</v>
      </c>
      <c t="s">
        <v>39289</v>
      </c>
      <c>
        <v>33905</v>
      </c>
      <c>
        <v>33905</v>
      </c>
      <c t="s">
        <v>48794</v>
      </c>
      <c t="s">
        <v>52465</v>
      </c>
      <c>
        <v>2</v>
      </c>
      <c r="AI4126" t="s">
        <v>25067</v>
      </c>
      <c t="s">
        <v>45393</v>
      </c>
      <c r="AL4126" t="s">
        <v>15179</v>
      </c>
      <c t="s">
        <v>40227</v>
      </c>
      <c t="s">
        <v>39289</v>
      </c>
      <c t="s">
        <v>59279</v>
      </c>
      <c t="s">
        <v>34162</v>
      </c>
      <c t="s">
        <v>3093</v>
      </c>
      <c t="s">
        <v>6488</v>
      </c>
    </row>
    <row>
      <c t="s">
        <v>17594</v>
      </c>
      <c t="s">
        <v>64038</v>
      </c>
      <c t="s">
        <v>56437</v>
      </c>
      <c t="s">
        <v>5594</v>
      </c>
      <c t="s">
        <v>42272</v>
      </c>
      <c s="3">
        <v>39960</v>
      </c>
      <c s="3">
        <v>39960</v>
      </c>
      <c s="3">
        <v>28551</v>
      </c>
      <c>
        <v>0</v>
      </c>
      <c s="3">
        <v>0</v>
      </c>
      <c s="3">
        <v>460.06</v>
      </c>
      <c s="3">
        <v>39960</v>
      </c>
      <c r="O4127" s="1" t="str">
        <f ca="1">HYPERLINK("https://web.datatree.com/?/property?propertyId=33585102", "https://web.datatree.com/?/property?propertyId=33585102")</f>
        <v>https://web.datatree.com/?/property?propertyId=33585102</v>
      </c>
      <c r="Q4127" t="s">
        <v>316</v>
      </c>
      <c>
        <v>0.041</v>
      </c>
      <c t="s">
        <v>45526</v>
      </c>
      <c t="s">
        <v>9900</v>
      </c>
      <c t="s">
        <v>29604</v>
      </c>
      <c t="s">
        <v>39768</v>
      </c>
      <c t="s">
        <v>29604</v>
      </c>
      <c t="s">
        <v>28478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11596</v>
      </c>
      <c t="s">
        <v>10364</v>
      </c>
      <c r="AI4127" t="s">
        <v>11086</v>
      </c>
      <c t="s">
        <v>24900</v>
      </c>
      <c r="AL4127" t="s">
        <v>44427</v>
      </c>
      <c r="AN4127" t="s">
        <v>27481</v>
      </c>
      <c t="s">
        <v>27246</v>
      </c>
      <c t="s">
        <v>702</v>
      </c>
      <c t="s">
        <v>3093</v>
      </c>
      <c t="s">
        <v>36083</v>
      </c>
    </row>
    <row>
      <c t="s">
        <v>17594</v>
      </c>
      <c t="s">
        <v>58029</v>
      </c>
      <c t="s">
        <v>35885</v>
      </c>
      <c t="s">
        <v>13325</v>
      </c>
      <c t="s">
        <v>13441</v>
      </c>
      <c s="3">
        <v>19478</v>
      </c>
      <c s="3">
        <v>19478</v>
      </c>
      <c s="3">
        <v>9339</v>
      </c>
      <c>
        <v>0</v>
      </c>
      <c s="3">
        <v>0</v>
      </c>
      <c s="3">
        <v>584.07</v>
      </c>
      <c s="3">
        <v>19478</v>
      </c>
      <c r="O4128" s="1" t="str">
        <f ca="1">HYPERLINK("https://web.datatree.com/?/property?propertyId=33585154", "https://web.datatree.com/?/property?propertyId=33585154")</f>
        <v>https://web.datatree.com/?/property?propertyId=33585154</v>
      </c>
      <c r="Q4128" t="s">
        <v>316</v>
      </c>
      <c>
        <v>0.247</v>
      </c>
      <c t="s">
        <v>6175</v>
      </c>
      <c t="s">
        <v>49027</v>
      </c>
      <c t="s">
        <v>25330</v>
      </c>
      <c r="X4128" t="s">
        <v>15966</v>
      </c>
      <c t="s">
        <v>39082</v>
      </c>
      <c t="s">
        <v>2517</v>
      </c>
      <c t="s">
        <v>39289</v>
      </c>
      <c>
        <v>33909</v>
      </c>
      <c t="s">
        <v>57255</v>
      </c>
      <c t="s">
        <v>48794</v>
      </c>
      <c t="s">
        <v>25892</v>
      </c>
      <c>
        <v>14030</v>
      </c>
      <c r="AI4128" t="s">
        <v>34893</v>
      </c>
      <c t="s">
        <v>24900</v>
      </c>
      <c t="s">
        <v>54841</v>
      </c>
      <c t="s">
        <v>53411</v>
      </c>
      <c r="AN4128" t="s">
        <v>50917</v>
      </c>
      <c t="s">
        <v>22687</v>
      </c>
      <c t="s">
        <v>22302</v>
      </c>
      <c t="s">
        <v>3093</v>
      </c>
      <c t="s">
        <v>2256</v>
      </c>
    </row>
    <row>
      <c t="s">
        <v>17594</v>
      </c>
      <c t="s">
        <v>43706</v>
      </c>
      <c t="s">
        <v>64575</v>
      </c>
      <c t="s">
        <v>4236</v>
      </c>
      <c t="s">
        <v>17600</v>
      </c>
      <c s="3">
        <v>9342</v>
      </c>
      <c s="3">
        <v>9342</v>
      </c>
      <c s="3">
        <v>4972</v>
      </c>
      <c>
        <v>0</v>
      </c>
      <c s="3">
        <v>0</v>
      </c>
      <c s="3">
        <v>316.66</v>
      </c>
      <c s="3">
        <v>9342</v>
      </c>
      <c r="O4129" s="1" t="str">
        <f ca="1">HYPERLINK("https://web.datatree.com/?/property?propertyId=33585335", "https://web.datatree.com/?/property?propertyId=33585335")</f>
        <v>https://web.datatree.com/?/property?propertyId=33585335</v>
      </c>
      <c r="Q4129" t="s">
        <v>316</v>
      </c>
      <c>
        <v>0.236</v>
      </c>
      <c t="s">
        <v>5471</v>
      </c>
      <c t="s">
        <v>1611</v>
      </c>
      <c t="s">
        <v>46996</v>
      </c>
      <c r="X4129" t="s">
        <v>61229</v>
      </c>
      <c t="s">
        <v>48116</v>
      </c>
      <c t="s">
        <v>65059</v>
      </c>
      <c t="s">
        <v>39289</v>
      </c>
      <c>
        <v>33905</v>
      </c>
      <c t="s">
        <v>45822</v>
      </c>
      <c t="s">
        <v>48794</v>
      </c>
      <c t="s">
        <v>30800</v>
      </c>
      <c>
        <v>860</v>
      </c>
      <c r="AI4129" t="s">
        <v>2619</v>
      </c>
      <c t="s">
        <v>45393</v>
      </c>
      <c r="AL4129" t="s">
        <v>20670</v>
      </c>
      <c r="AN4129" t="s">
        <v>51087</v>
      </c>
      <c t="s">
        <v>30467</v>
      </c>
      <c t="s">
        <v>42082</v>
      </c>
      <c t="s">
        <v>3093</v>
      </c>
      <c t="s">
        <v>19886</v>
      </c>
    </row>
    <row>
      <c t="s">
        <v>17594</v>
      </c>
      <c t="s">
        <v>45517</v>
      </c>
      <c t="s">
        <v>58634</v>
      </c>
      <c t="s">
        <v>53066</v>
      </c>
      <c t="s">
        <v>64319</v>
      </c>
      <c s="3">
        <v>26249</v>
      </c>
      <c s="3">
        <v>26249</v>
      </c>
      <c s="3">
        <v>13310</v>
      </c>
      <c>
        <v>0</v>
      </c>
      <c s="3">
        <v>0</v>
      </c>
      <c s="3">
        <v>738.57</v>
      </c>
      <c s="3">
        <v>26249</v>
      </c>
      <c r="O4130" s="1" t="str">
        <f ca="1">HYPERLINK("https://web.datatree.com/?/property?propertyId=33585356", "https://web.datatree.com/?/property?propertyId=33585356")</f>
        <v>https://web.datatree.com/?/property?propertyId=33585356</v>
      </c>
      <c r="Q4130" t="s">
        <v>316</v>
      </c>
      <c>
        <v>0.23</v>
      </c>
      <c t="s">
        <v>14479</v>
      </c>
      <c t="s">
        <v>36211</v>
      </c>
      <c t="s">
        <v>176</v>
      </c>
      <c r="X4130" t="s">
        <v>42693</v>
      </c>
      <c t="s">
        <v>39082</v>
      </c>
      <c t="s">
        <v>2517</v>
      </c>
      <c t="s">
        <v>39289</v>
      </c>
      <c>
        <v>33909</v>
      </c>
      <c t="s">
        <v>31566</v>
      </c>
      <c t="s">
        <v>48794</v>
      </c>
      <c t="s">
        <v>32239</v>
      </c>
      <c>
        <v>34</v>
      </c>
      <c r="AI4130" t="s">
        <v>31292</v>
      </c>
      <c r="AL4130" t="s">
        <v>58153</v>
      </c>
      <c t="s">
        <v>58153</v>
      </c>
      <c t="s">
        <v>18236</v>
      </c>
      <c>
        <v>75020</v>
      </c>
      <c r="AR4130" t="s">
        <v>21327</v>
      </c>
    </row>
    <row>
      <c t="s">
        <v>17594</v>
      </c>
      <c t="s">
        <v>14701</v>
      </c>
      <c t="s">
        <v>28112</v>
      </c>
      <c t="s">
        <v>52305</v>
      </c>
      <c t="s">
        <v>599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4131" s="1" t="str">
        <f ca="1">HYPERLINK("https://web.datatree.com/?/property?propertyId=33586354", "https://web.datatree.com/?/property?propertyId=33586354")</f>
        <v>https://web.datatree.com/?/property?propertyId=33586354</v>
      </c>
      <c r="Q4131" t="s">
        <v>316</v>
      </c>
      <c>
        <v>0.226</v>
      </c>
      <c t="s">
        <v>6175</v>
      </c>
      <c t="s">
        <v>2873</v>
      </c>
      <c t="s">
        <v>43112</v>
      </c>
      <c r="X4131" t="s">
        <v>23837</v>
      </c>
      <c t="s">
        <v>33179</v>
      </c>
      <c t="s">
        <v>2517</v>
      </c>
      <c t="s">
        <v>39289</v>
      </c>
      <c>
        <v>33909</v>
      </c>
      <c t="s">
        <v>34887</v>
      </c>
      <c t="s">
        <v>48794</v>
      </c>
      <c t="s">
        <v>47846</v>
      </c>
      <c>
        <v>5730</v>
      </c>
      <c r="AI4131" t="s">
        <v>55273</v>
      </c>
      <c t="s">
        <v>45393</v>
      </c>
      <c r="AL4131" t="s">
        <v>7780</v>
      </c>
      <c t="s">
        <v>7780</v>
      </c>
      <c t="s">
        <v>39289</v>
      </c>
      <c t="s">
        <v>5612</v>
      </c>
      <c t="s">
        <v>22302</v>
      </c>
      <c t="s">
        <v>3093</v>
      </c>
      <c t="s">
        <v>1676</v>
      </c>
    </row>
    <row>
      <c t="s">
        <v>17594</v>
      </c>
      <c t="s">
        <v>15488</v>
      </c>
      <c t="s">
        <v>3758</v>
      </c>
      <c t="s">
        <v>52016</v>
      </c>
      <c t="s">
        <v>54315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132" s="1" t="str">
        <f ca="1">HYPERLINK("https://web.datatree.com/?/property?propertyId=33586419", "https://web.datatree.com/?/property?propertyId=33586419")</f>
        <v>https://web.datatree.com/?/property?propertyId=33586419</v>
      </c>
      <c r="Q4132" t="s">
        <v>316</v>
      </c>
      <c>
        <v>0.23</v>
      </c>
      <c t="s">
        <v>6175</v>
      </c>
      <c t="s">
        <v>24179</v>
      </c>
      <c t="s">
        <v>12795</v>
      </c>
      <c t="s">
        <v>39781</v>
      </c>
      <c t="s">
        <v>12795</v>
      </c>
      <c t="s">
        <v>24668</v>
      </c>
      <c t="s">
        <v>13829</v>
      </c>
      <c t="s">
        <v>2517</v>
      </c>
      <c t="s">
        <v>39289</v>
      </c>
      <c>
        <v>33909</v>
      </c>
      <c t="s">
        <v>1736</v>
      </c>
      <c t="s">
        <v>48794</v>
      </c>
      <c t="s">
        <v>33549</v>
      </c>
      <c>
        <v>8064</v>
      </c>
      <c r="AI4132" t="s">
        <v>60471</v>
      </c>
      <c t="s">
        <v>24900</v>
      </c>
      <c r="AL4132" t="s">
        <v>14084</v>
      </c>
      <c r="AN4132" t="s">
        <v>50917</v>
      </c>
      <c t="s">
        <v>8712</v>
      </c>
      <c t="s">
        <v>38085</v>
      </c>
      <c t="s">
        <v>3093</v>
      </c>
      <c t="s">
        <v>58317</v>
      </c>
    </row>
    <row>
      <c t="s">
        <v>17594</v>
      </c>
      <c t="s">
        <v>4665</v>
      </c>
      <c t="s">
        <v>17243</v>
      </c>
      <c t="s">
        <v>51790</v>
      </c>
      <c t="s">
        <v>8336</v>
      </c>
      <c s="3">
        <v>24937</v>
      </c>
      <c s="3">
        <v>24937</v>
      </c>
      <c s="3">
        <v>9079</v>
      </c>
      <c>
        <v>0</v>
      </c>
      <c s="3">
        <v>0</v>
      </c>
      <c s="3">
        <v>2910.05</v>
      </c>
      <c s="3">
        <v>24937</v>
      </c>
      <c r="O4133" s="1" t="str">
        <f ca="1">HYPERLINK("https://web.datatree.com/?/property?propertyId=33587104", "https://web.datatree.com/?/property?propertyId=33587104")</f>
        <v>https://web.datatree.com/?/property?propertyId=33587104</v>
      </c>
      <c r="Q4133" t="s">
        <v>316</v>
      </c>
      <c>
        <v>0.23</v>
      </c>
      <c t="s">
        <v>6175</v>
      </c>
      <c t="s">
        <v>11810</v>
      </c>
      <c t="s">
        <v>26124</v>
      </c>
      <c t="s">
        <v>56743</v>
      </c>
      <c t="s">
        <v>26124</v>
      </c>
      <c t="s">
        <v>25009</v>
      </c>
      <c t="s">
        <v>33179</v>
      </c>
      <c t="s">
        <v>2517</v>
      </c>
      <c t="s">
        <v>39289</v>
      </c>
      <c>
        <v>33909</v>
      </c>
      <c t="s">
        <v>5082</v>
      </c>
      <c t="s">
        <v>48794</v>
      </c>
      <c t="s">
        <v>57973</v>
      </c>
      <c>
        <v>287</v>
      </c>
      <c r="AI4133" t="s">
        <v>53663</v>
      </c>
      <c t="s">
        <v>45393</v>
      </c>
      <c t="s">
        <v>65349</v>
      </c>
      <c t="s">
        <v>8109</v>
      </c>
      <c r="AN4133" t="s">
        <v>50917</v>
      </c>
      <c t="s">
        <v>47455</v>
      </c>
      <c t="s">
        <v>62830</v>
      </c>
      <c t="s">
        <v>3093</v>
      </c>
      <c t="s">
        <v>65978</v>
      </c>
    </row>
    <row>
      <c t="s">
        <v>17594</v>
      </c>
      <c t="s">
        <v>66753</v>
      </c>
      <c t="s">
        <v>38850</v>
      </c>
      <c t="s">
        <v>47773</v>
      </c>
      <c t="s">
        <v>56771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134" s="1" t="str">
        <f ca="1">HYPERLINK("https://web.datatree.com/?/property?propertyId=33587829", "https://web.datatree.com/?/property?propertyId=33587829")</f>
        <v>https://web.datatree.com/?/property?propertyId=33587829</v>
      </c>
      <c r="Q4134" t="s">
        <v>316</v>
      </c>
      <c>
        <v>0.23</v>
      </c>
      <c t="s">
        <v>6175</v>
      </c>
      <c t="s">
        <v>48526</v>
      </c>
      <c t="s">
        <v>51405</v>
      </c>
      <c t="s">
        <v>21379</v>
      </c>
      <c t="s">
        <v>12619</v>
      </c>
      <c t="s">
        <v>57175</v>
      </c>
      <c t="s">
        <v>61865</v>
      </c>
      <c t="s">
        <v>2517</v>
      </c>
      <c t="s">
        <v>39289</v>
      </c>
      <c>
        <v>33909</v>
      </c>
      <c t="s">
        <v>16083</v>
      </c>
      <c t="s">
        <v>48794</v>
      </c>
      <c t="s">
        <v>48262</v>
      </c>
      <c>
        <v>9</v>
      </c>
      <c r="AI4134" t="s">
        <v>57929</v>
      </c>
      <c t="s">
        <v>55842</v>
      </c>
      <c r="AL4134" t="s">
        <v>26964</v>
      </c>
      <c t="s">
        <v>26964</v>
      </c>
      <c t="s">
        <v>65467</v>
      </c>
      <c t="s">
        <v>8752</v>
      </c>
      <c t="s">
        <v>44428</v>
      </c>
      <c t="s">
        <v>3093</v>
      </c>
      <c t="s">
        <v>54050</v>
      </c>
    </row>
    <row>
      <c t="s">
        <v>17594</v>
      </c>
      <c t="s">
        <v>28764</v>
      </c>
      <c t="s">
        <v>33782</v>
      </c>
      <c t="s">
        <v>38538</v>
      </c>
      <c t="s">
        <v>65429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4135" s="1" t="str">
        <f ca="1">HYPERLINK("https://web.datatree.com/?/property?propertyId=33589450", "https://web.datatree.com/?/property?propertyId=33589450")</f>
        <v>https://web.datatree.com/?/property?propertyId=33589450</v>
      </c>
      <c r="Q4135" t="s">
        <v>316</v>
      </c>
      <c>
        <v>0.244</v>
      </c>
      <c t="s">
        <v>6175</v>
      </c>
      <c t="s">
        <v>51344</v>
      </c>
      <c t="s">
        <v>15438</v>
      </c>
      <c r="X4135" t="s">
        <v>5226</v>
      </c>
      <c t="s">
        <v>66701</v>
      </c>
      <c t="s">
        <v>2517</v>
      </c>
      <c t="s">
        <v>39289</v>
      </c>
      <c>
        <v>33909</v>
      </c>
      <c t="s">
        <v>33788</v>
      </c>
      <c t="s">
        <v>48794</v>
      </c>
      <c t="s">
        <v>59224</v>
      </c>
      <c>
        <v>5</v>
      </c>
      <c r="AI4135" t="s">
        <v>7497</v>
      </c>
      <c t="s">
        <v>40123</v>
      </c>
      <c r="AL4135" t="s">
        <v>54334</v>
      </c>
      <c r="AN4135" t="s">
        <v>26016</v>
      </c>
      <c t="s">
        <v>30612</v>
      </c>
      <c t="s">
        <v>32746</v>
      </c>
      <c t="s">
        <v>3093</v>
      </c>
      <c t="s">
        <v>47803</v>
      </c>
    </row>
    <row>
      <c t="s">
        <v>17594</v>
      </c>
      <c t="s">
        <v>33921</v>
      </c>
      <c t="s">
        <v>59463</v>
      </c>
      <c t="s">
        <v>41608</v>
      </c>
      <c t="s">
        <v>19917</v>
      </c>
      <c s="3">
        <v>57200</v>
      </c>
      <c s="3">
        <v>57200</v>
      </c>
      <c s="3">
        <v>29521</v>
      </c>
      <c>
        <v>0</v>
      </c>
      <c s="3">
        <v>0</v>
      </c>
      <c s="3">
        <v>1090.02</v>
      </c>
      <c s="3">
        <v>57200</v>
      </c>
      <c r="O4136" s="1" t="str">
        <f ca="1">HYPERLINK("https://web.datatree.com/?/property?propertyId=33589987", "https://web.datatree.com/?/property?propertyId=33589987")</f>
        <v>https://web.datatree.com/?/property?propertyId=33589987</v>
      </c>
      <c r="Q4136" t="s">
        <v>316</v>
      </c>
      <c>
        <v>0.282</v>
      </c>
      <c t="s">
        <v>22490</v>
      </c>
      <c t="s">
        <v>61272</v>
      </c>
      <c t="s">
        <v>25772</v>
      </c>
      <c t="s">
        <v>58703</v>
      </c>
      <c t="s">
        <v>22947</v>
      </c>
      <c t="s">
        <v>46496</v>
      </c>
      <c t="s">
        <v>47150</v>
      </c>
      <c t="s">
        <v>2517</v>
      </c>
      <c t="s">
        <v>39289</v>
      </c>
      <c>
        <v>33909</v>
      </c>
      <c t="s">
        <v>60382</v>
      </c>
      <c t="s">
        <v>48794</v>
      </c>
      <c t="s">
        <v>11430</v>
      </c>
      <c>
        <v>521</v>
      </c>
      <c r="AI4136" t="s">
        <v>52081</v>
      </c>
      <c t="s">
        <v>45620</v>
      </c>
      <c r="AL4136" t="s">
        <v>33395</v>
      </c>
      <c t="s">
        <v>24373</v>
      </c>
      <c t="s">
        <v>22275</v>
      </c>
      <c t="s">
        <v>47437</v>
      </c>
      <c t="s">
        <v>41946</v>
      </c>
      <c t="s">
        <v>3093</v>
      </c>
      <c t="s">
        <v>13390</v>
      </c>
    </row>
    <row>
      <c t="s">
        <v>17594</v>
      </c>
      <c t="s">
        <v>5549</v>
      </c>
      <c t="s">
        <v>44792</v>
      </c>
      <c t="s">
        <v>20869</v>
      </c>
      <c t="s">
        <v>7287</v>
      </c>
      <c s="3">
        <v>12544</v>
      </c>
      <c s="3">
        <v>12544</v>
      </c>
      <c s="3">
        <v>7700</v>
      </c>
      <c>
        <v>0</v>
      </c>
      <c s="3">
        <v>0</v>
      </c>
      <c s="3">
        <v>341.95</v>
      </c>
      <c s="3">
        <v>12544</v>
      </c>
      <c r="O4137" s="1" t="str">
        <f ca="1">HYPERLINK("https://web.datatree.com/?/property?propertyId=33590285", "https://web.datatree.com/?/property?propertyId=33590285")</f>
        <v>https://web.datatree.com/?/property?propertyId=33590285</v>
      </c>
      <c r="Q4137" t="s">
        <v>316</v>
      </c>
      <c>
        <v>0.304</v>
      </c>
      <c t="s">
        <v>37489</v>
      </c>
      <c t="s">
        <v>35819</v>
      </c>
      <c t="s">
        <v>45445</v>
      </c>
      <c t="s">
        <v>18364</v>
      </c>
      <c t="s">
        <v>45445</v>
      </c>
      <c t="s">
        <v>47860</v>
      </c>
      <c t="s">
        <v>19611</v>
      </c>
      <c t="s">
        <v>65059</v>
      </c>
      <c t="s">
        <v>39289</v>
      </c>
      <c>
        <v>33905</v>
      </c>
      <c>
        <v>33905</v>
      </c>
      <c t="s">
        <v>48794</v>
      </c>
      <c t="s">
        <v>24106</v>
      </c>
      <c>
        <v>13750</v>
      </c>
      <c r="AI4137" t="s">
        <v>33335</v>
      </c>
      <c t="s">
        <v>45393</v>
      </c>
      <c r="AL4137" t="s">
        <v>18092</v>
      </c>
      <c t="s">
        <v>18092</v>
      </c>
      <c t="s">
        <v>39289</v>
      </c>
      <c t="s">
        <v>25166</v>
      </c>
      <c t="s">
        <v>34162</v>
      </c>
      <c t="s">
        <v>3093</v>
      </c>
      <c t="s">
        <v>33205</v>
      </c>
    </row>
    <row>
      <c t="s">
        <v>17594</v>
      </c>
      <c t="s">
        <v>57840</v>
      </c>
      <c t="s">
        <v>5370</v>
      </c>
      <c t="s">
        <v>7414</v>
      </c>
      <c t="s">
        <v>50681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138" s="1" t="str">
        <f ca="1">HYPERLINK("https://web.datatree.com/?/property?propertyId=33590714", "https://web.datatree.com/?/property?propertyId=33590714")</f>
        <v>https://web.datatree.com/?/property?propertyId=33590714</v>
      </c>
      <c r="Q4138" t="s">
        <v>316</v>
      </c>
      <c>
        <v>0.232</v>
      </c>
      <c t="s">
        <v>6175</v>
      </c>
      <c t="s">
        <v>58281</v>
      </c>
      <c t="s">
        <v>2423</v>
      </c>
      <c r="X4138" t="s">
        <v>30123</v>
      </c>
      <c t="s">
        <v>29190</v>
      </c>
      <c t="s">
        <v>2517</v>
      </c>
      <c t="s">
        <v>39289</v>
      </c>
      <c>
        <v>33909</v>
      </c>
      <c t="s">
        <v>57233</v>
      </c>
      <c t="s">
        <v>48794</v>
      </c>
      <c t="s">
        <v>57459</v>
      </c>
      <c>
        <v>928</v>
      </c>
      <c r="AI4138" t="s">
        <v>32207</v>
      </c>
      <c t="s">
        <v>45393</v>
      </c>
      <c r="AL4138" t="s">
        <v>17711</v>
      </c>
      <c r="AN4138" t="s">
        <v>10909</v>
      </c>
      <c t="s">
        <v>30759</v>
      </c>
      <c r="AQ4138" t="s">
        <v>27814</v>
      </c>
      <c t="s">
        <v>49558</v>
      </c>
    </row>
    <row>
      <c t="s">
        <v>17594</v>
      </c>
      <c t="s">
        <v>40930</v>
      </c>
      <c t="s">
        <v>65225</v>
      </c>
      <c t="s">
        <v>18761</v>
      </c>
      <c t="s">
        <v>23009</v>
      </c>
      <c s="3">
        <v>118831</v>
      </c>
      <c s="3">
        <v>107250</v>
      </c>
      <c s="3">
        <v>118831</v>
      </c>
      <c>
        <v>0</v>
      </c>
      <c s="3">
        <v>0</v>
      </c>
      <c s="3">
        <v>1783.99</v>
      </c>
      <c s="3">
        <v>118831</v>
      </c>
      <c r="O4139" s="1" t="str">
        <f ca="1">HYPERLINK("https://web.datatree.com/?/property?propertyId=33590821", "https://web.datatree.com/?/property?propertyId=33590821")</f>
        <v>https://web.datatree.com/?/property?propertyId=33590821</v>
      </c>
      <c r="Q4139" t="s">
        <v>316</v>
      </c>
      <c>
        <v>0.115</v>
      </c>
      <c t="s">
        <v>26492</v>
      </c>
      <c t="s">
        <v>58276</v>
      </c>
      <c t="s">
        <v>21778</v>
      </c>
      <c t="s">
        <v>52431</v>
      </c>
      <c t="s">
        <v>21778</v>
      </c>
      <c t="s">
        <v>12379</v>
      </c>
      <c t="s">
        <v>36549</v>
      </c>
      <c t="s">
        <v>65059</v>
      </c>
      <c t="s">
        <v>39289</v>
      </c>
      <c>
        <v>33905</v>
      </c>
      <c>
        <v>33905</v>
      </c>
      <c t="s">
        <v>48794</v>
      </c>
      <c t="s">
        <v>42416</v>
      </c>
      <c>
        <v>49256</v>
      </c>
      <c r="AI4139" t="s">
        <v>18318</v>
      </c>
      <c t="s">
        <v>40123</v>
      </c>
      <c r="AL4139" t="s">
        <v>61005</v>
      </c>
      <c t="s">
        <v>40227</v>
      </c>
      <c t="s">
        <v>51137</v>
      </c>
      <c t="s">
        <v>52627</v>
      </c>
      <c t="s">
        <v>8296</v>
      </c>
      <c t="s">
        <v>3093</v>
      </c>
      <c t="s">
        <v>9666</v>
      </c>
    </row>
    <row>
      <c t="s">
        <v>17594</v>
      </c>
      <c t="s">
        <v>22268</v>
      </c>
      <c t="s">
        <v>33430</v>
      </c>
      <c t="s">
        <v>24857</v>
      </c>
      <c t="s">
        <v>57898</v>
      </c>
      <c s="3">
        <v>8367</v>
      </c>
      <c s="3">
        <v>8367</v>
      </c>
      <c s="3">
        <v>4972</v>
      </c>
      <c>
        <v>0</v>
      </c>
      <c s="3">
        <v>0</v>
      </c>
      <c s="3">
        <v>317.96</v>
      </c>
      <c s="3">
        <v>8367</v>
      </c>
      <c r="O4140" s="1" t="str">
        <f ca="1">HYPERLINK("https://web.datatree.com/?/property?propertyId=33591151", "https://web.datatree.com/?/property?propertyId=33591151")</f>
        <v>https://web.datatree.com/?/property?propertyId=33591151</v>
      </c>
      <c r="Q4140" t="s">
        <v>316</v>
      </c>
      <c>
        <v>0.253</v>
      </c>
      <c t="s">
        <v>5471</v>
      </c>
      <c r="U4140" t="s">
        <v>57819</v>
      </c>
      <c t="s">
        <v>20807</v>
      </c>
      <c t="s">
        <v>49067</v>
      </c>
      <c t="s">
        <v>22979</v>
      </c>
      <c t="s">
        <v>40660</v>
      </c>
      <c t="s">
        <v>65059</v>
      </c>
      <c t="s">
        <v>39289</v>
      </c>
      <c>
        <v>33905</v>
      </c>
      <c t="s">
        <v>48595</v>
      </c>
      <c t="s">
        <v>48794</v>
      </c>
      <c t="s">
        <v>50674</v>
      </c>
      <c>
        <v>1675</v>
      </c>
      <c r="AI4140" t="s">
        <v>57049</v>
      </c>
      <c t="s">
        <v>835</v>
      </c>
      <c r="AL4140" t="s">
        <v>15772</v>
      </c>
      <c t="s">
        <v>15772</v>
      </c>
      <c t="s">
        <v>65451</v>
      </c>
      <c t="s">
        <v>47748</v>
      </c>
      <c t="s">
        <v>44428</v>
      </c>
      <c t="s">
        <v>3093</v>
      </c>
      <c t="s">
        <v>6260</v>
      </c>
    </row>
    <row>
      <c t="s">
        <v>17594</v>
      </c>
      <c t="s">
        <v>44575</v>
      </c>
      <c t="s">
        <v>11095</v>
      </c>
      <c t="s">
        <v>8598</v>
      </c>
      <c t="s">
        <v>59643</v>
      </c>
      <c s="3">
        <v>36210</v>
      </c>
      <c s="3">
        <v>36210</v>
      </c>
      <c s="3">
        <v>36210</v>
      </c>
      <c>
        <v>0</v>
      </c>
      <c s="3">
        <v>0</v>
      </c>
      <c s="3">
        <v>946.48</v>
      </c>
      <c s="3">
        <v>36210</v>
      </c>
      <c r="O4141" s="1" t="str">
        <f ca="1">HYPERLINK("https://web.datatree.com/?/property?propertyId=33591466", "https://web.datatree.com/?/property?propertyId=33591466")</f>
        <v>https://web.datatree.com/?/property?propertyId=33591466</v>
      </c>
      <c r="Q4141" t="s">
        <v>316</v>
      </c>
      <c>
        <v>0.23</v>
      </c>
      <c t="s">
        <v>65422</v>
      </c>
      <c t="s">
        <v>28670</v>
      </c>
      <c t="s">
        <v>34315</v>
      </c>
      <c r="X4141" t="s">
        <v>60418</v>
      </c>
      <c t="s">
        <v>17022</v>
      </c>
      <c t="s">
        <v>2517</v>
      </c>
      <c t="s">
        <v>39289</v>
      </c>
      <c>
        <v>33909</v>
      </c>
      <c>
        <v>33909</v>
      </c>
      <c t="s">
        <v>48794</v>
      </c>
      <c t="s">
        <v>35493</v>
      </c>
      <c>
        <v>1940</v>
      </c>
      <c r="AI4141" t="s">
        <v>55896</v>
      </c>
      <c t="s">
        <v>31192</v>
      </c>
      <c r="AL4141" t="s">
        <v>51808</v>
      </c>
      <c t="s">
        <v>53514</v>
      </c>
      <c t="s">
        <v>3034</v>
      </c>
      <c t="s">
        <v>18269</v>
      </c>
      <c t="s">
        <v>57791</v>
      </c>
      <c t="s">
        <v>3093</v>
      </c>
      <c t="s">
        <v>61673</v>
      </c>
    </row>
    <row>
      <c t="s">
        <v>17594</v>
      </c>
      <c t="s">
        <v>42003</v>
      </c>
      <c t="s">
        <v>17946</v>
      </c>
      <c t="s">
        <v>29076</v>
      </c>
      <c t="s">
        <v>62630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4142" s="1" t="str">
        <f ca="1">HYPERLINK("https://web.datatree.com/?/property?propertyId=33591532", "https://web.datatree.com/?/property?propertyId=33591532")</f>
        <v>https://web.datatree.com/?/property?propertyId=33591532</v>
      </c>
      <c r="Q4142" t="s">
        <v>316</v>
      </c>
      <c>
        <v>0.241</v>
      </c>
      <c t="s">
        <v>6175</v>
      </c>
      <c t="s">
        <v>52515</v>
      </c>
      <c t="s">
        <v>44893</v>
      </c>
      <c r="X4142" t="s">
        <v>1389</v>
      </c>
      <c t="s">
        <v>30928</v>
      </c>
      <c t="s">
        <v>2517</v>
      </c>
      <c t="s">
        <v>39289</v>
      </c>
      <c>
        <v>33909</v>
      </c>
      <c t="s">
        <v>43546</v>
      </c>
      <c t="s">
        <v>48794</v>
      </c>
      <c t="s">
        <v>52086</v>
      </c>
      <c>
        <v>1820</v>
      </c>
      <c r="AI4142" t="s">
        <v>9748</v>
      </c>
      <c t="s">
        <v>24900</v>
      </c>
      <c t="s">
        <v>57285</v>
      </c>
      <c t="s">
        <v>13397</v>
      </c>
      <c r="AN4142" t="s">
        <v>50917</v>
      </c>
      <c t="s">
        <v>29705</v>
      </c>
      <c t="s">
        <v>33029</v>
      </c>
      <c t="s">
        <v>3093</v>
      </c>
      <c t="s">
        <v>20895</v>
      </c>
    </row>
    <row>
      <c t="s">
        <v>17594</v>
      </c>
      <c t="s">
        <v>59410</v>
      </c>
      <c t="s">
        <v>59578</v>
      </c>
      <c t="s">
        <v>56431</v>
      </c>
      <c t="s">
        <v>19025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143" s="1" t="str">
        <f ca="1">HYPERLINK("https://web.datatree.com/?/property?propertyId=33591662", "https://web.datatree.com/?/property?propertyId=33591662")</f>
        <v>https://web.datatree.com/?/property?propertyId=33591662</v>
      </c>
      <c r="Q4143" t="s">
        <v>316</v>
      </c>
      <c>
        <v>0.23</v>
      </c>
      <c t="s">
        <v>6175</v>
      </c>
      <c t="s">
        <v>12659</v>
      </c>
      <c t="s">
        <v>60074</v>
      </c>
      <c t="s">
        <v>51968</v>
      </c>
      <c t="s">
        <v>60074</v>
      </c>
      <c t="s">
        <v>3921</v>
      </c>
      <c t="s">
        <v>29190</v>
      </c>
      <c t="s">
        <v>2517</v>
      </c>
      <c t="s">
        <v>39289</v>
      </c>
      <c>
        <v>33909</v>
      </c>
      <c t="s">
        <v>28504</v>
      </c>
      <c t="s">
        <v>48794</v>
      </c>
      <c t="s">
        <v>22220</v>
      </c>
      <c>
        <v>538</v>
      </c>
      <c r="AI4143" t="s">
        <v>48253</v>
      </c>
      <c t="s">
        <v>45620</v>
      </c>
      <c r="AL4143" t="s">
        <v>63462</v>
      </c>
      <c r="AN4143" t="s">
        <v>50917</v>
      </c>
      <c t="s">
        <v>32478</v>
      </c>
      <c t="s">
        <v>14695</v>
      </c>
      <c t="s">
        <v>3093</v>
      </c>
      <c t="s">
        <v>50659</v>
      </c>
    </row>
    <row>
      <c t="s">
        <v>17594</v>
      </c>
      <c t="s">
        <v>45416</v>
      </c>
      <c t="s">
        <v>26677</v>
      </c>
      <c t="s">
        <v>4414</v>
      </c>
      <c t="s">
        <v>39405</v>
      </c>
      <c s="3">
        <v>72248</v>
      </c>
      <c s="3">
        <v>63500</v>
      </c>
      <c s="3">
        <v>72248</v>
      </c>
      <c>
        <v>0</v>
      </c>
      <c s="3">
        <v>0</v>
      </c>
      <c s="3">
        <v>1086.57</v>
      </c>
      <c s="3">
        <v>72248</v>
      </c>
      <c r="O4144" s="1" t="str">
        <f ca="1">HYPERLINK("https://web.datatree.com/?/property?propertyId=33591774", "https://web.datatree.com/?/property?propertyId=33591774")</f>
        <v>https://web.datatree.com/?/property?propertyId=33591774</v>
      </c>
      <c r="Q4144" t="s">
        <v>316</v>
      </c>
      <c>
        <v>0.11</v>
      </c>
      <c t="s">
        <v>26492</v>
      </c>
      <c t="s">
        <v>32056</v>
      </c>
      <c t="s">
        <v>37491</v>
      </c>
      <c t="s">
        <v>57693</v>
      </c>
      <c t="s">
        <v>4597</v>
      </c>
      <c t="s">
        <v>37291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7054</v>
      </c>
      <c>
        <v>20</v>
      </c>
      <c r="AI4144" t="s">
        <v>47118</v>
      </c>
      <c t="s">
        <v>24900</v>
      </c>
      <c r="AL4144" t="s">
        <v>64273</v>
      </c>
      <c t="s">
        <v>64273</v>
      </c>
      <c t="s">
        <v>17134</v>
      </c>
      <c t="s">
        <v>45544</v>
      </c>
      <c t="s">
        <v>42082</v>
      </c>
      <c t="s">
        <v>3093</v>
      </c>
      <c t="s">
        <v>32984</v>
      </c>
    </row>
    <row>
      <c t="s">
        <v>17594</v>
      </c>
      <c t="s">
        <v>15469</v>
      </c>
      <c t="s">
        <v>14518</v>
      </c>
      <c t="s">
        <v>1679</v>
      </c>
      <c t="s">
        <v>50574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145" s="1" t="str">
        <f ca="1">HYPERLINK("https://web.datatree.com/?/property?propertyId=33591952", "https://web.datatree.com/?/property?propertyId=33591952")</f>
        <v>https://web.datatree.com/?/property?propertyId=33591952</v>
      </c>
      <c r="Q4145" t="s">
        <v>316</v>
      </c>
      <c>
        <v>0.23</v>
      </c>
      <c t="s">
        <v>6175</v>
      </c>
      <c t="s">
        <v>20717</v>
      </c>
      <c t="s">
        <v>9931</v>
      </c>
      <c r="X4145" t="s">
        <v>80</v>
      </c>
      <c t="s">
        <v>49122</v>
      </c>
      <c t="s">
        <v>2517</v>
      </c>
      <c t="s">
        <v>39289</v>
      </c>
      <c>
        <v>33909</v>
      </c>
      <c t="s">
        <v>56242</v>
      </c>
      <c t="s">
        <v>48794</v>
      </c>
      <c t="s">
        <v>57243</v>
      </c>
      <c>
        <v>5613</v>
      </c>
      <c r="AI4145" t="s">
        <v>24147</v>
      </c>
      <c t="s">
        <v>31192</v>
      </c>
      <c r="AL4145" t="s">
        <v>63523</v>
      </c>
      <c r="AN4145" t="s">
        <v>65451</v>
      </c>
      <c t="s">
        <v>61527</v>
      </c>
      <c t="s">
        <v>28833</v>
      </c>
      <c t="s">
        <v>3093</v>
      </c>
      <c t="s">
        <v>56123</v>
      </c>
    </row>
    <row>
      <c t="s">
        <v>17594</v>
      </c>
      <c t="s">
        <v>51352</v>
      </c>
      <c t="s">
        <v>25350</v>
      </c>
      <c t="s">
        <v>4884</v>
      </c>
      <c t="s">
        <v>28758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4146" s="1" t="str">
        <f ca="1">HYPERLINK("https://web.datatree.com/?/property?propertyId=33592065", "https://web.datatree.com/?/property?propertyId=33592065")</f>
        <v>https://web.datatree.com/?/property?propertyId=33592065</v>
      </c>
      <c r="Q4146" t="s">
        <v>316</v>
      </c>
      <c>
        <v>0.23</v>
      </c>
      <c t="s">
        <v>45031</v>
      </c>
      <c t="s">
        <v>50051</v>
      </c>
      <c t="s">
        <v>43320</v>
      </c>
      <c t="s">
        <v>9640</v>
      </c>
      <c t="s">
        <v>47</v>
      </c>
      <c t="s">
        <v>56866</v>
      </c>
      <c t="s">
        <v>29190</v>
      </c>
      <c t="s">
        <v>2517</v>
      </c>
      <c t="s">
        <v>39289</v>
      </c>
      <c>
        <v>33909</v>
      </c>
      <c t="s">
        <v>7838</v>
      </c>
      <c t="s">
        <v>48794</v>
      </c>
      <c t="s">
        <v>63559</v>
      </c>
      <c>
        <v>7026</v>
      </c>
      <c r="AI4146" t="s">
        <v>56656</v>
      </c>
      <c t="s">
        <v>31192</v>
      </c>
      <c r="AL4146" t="s">
        <v>21376</v>
      </c>
      <c r="AN4146" t="s">
        <v>18236</v>
      </c>
      <c t="s">
        <v>58288</v>
      </c>
      <c t="s">
        <v>17380</v>
      </c>
      <c t="s">
        <v>3093</v>
      </c>
      <c t="s">
        <v>1394</v>
      </c>
    </row>
    <row>
      <c t="s">
        <v>17594</v>
      </c>
      <c t="s">
        <v>36090</v>
      </c>
      <c t="s">
        <v>28759</v>
      </c>
      <c t="s">
        <v>65983</v>
      </c>
      <c t="s">
        <v>9139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147" s="1" t="str">
        <f ca="1">HYPERLINK("https://web.datatree.com/?/property?propertyId=33592246", "https://web.datatree.com/?/property?propertyId=33592246")</f>
        <v>https://web.datatree.com/?/property?propertyId=33592246</v>
      </c>
      <c r="Q4147" t="s">
        <v>316</v>
      </c>
      <c>
        <v>0.238</v>
      </c>
      <c t="s">
        <v>5471</v>
      </c>
      <c t="s">
        <v>61517</v>
      </c>
      <c t="s">
        <v>62836</v>
      </c>
      <c t="s">
        <v>42532</v>
      </c>
      <c t="s">
        <v>62836</v>
      </c>
      <c t="s">
        <v>19636</v>
      </c>
      <c t="s">
        <v>3747</v>
      </c>
      <c t="s">
        <v>65059</v>
      </c>
      <c t="s">
        <v>39289</v>
      </c>
      <c>
        <v>33905</v>
      </c>
      <c t="s">
        <v>61499</v>
      </c>
      <c t="s">
        <v>48794</v>
      </c>
      <c t="s">
        <v>39327</v>
      </c>
      <c>
        <v>6251</v>
      </c>
      <c r="AH4147" t="s">
        <v>52165</v>
      </c>
      <c t="s">
        <v>18369</v>
      </c>
      <c t="s">
        <v>24900</v>
      </c>
      <c r="AL4147" t="s">
        <v>50260</v>
      </c>
      <c t="s">
        <v>23972</v>
      </c>
      <c t="s">
        <v>50829</v>
      </c>
      <c t="s">
        <v>41555</v>
      </c>
      <c t="s">
        <v>61564</v>
      </c>
      <c t="s">
        <v>3093</v>
      </c>
      <c t="s">
        <v>50112</v>
      </c>
    </row>
    <row>
      <c t="s">
        <v>17594</v>
      </c>
      <c t="s">
        <v>22765</v>
      </c>
      <c t="s">
        <v>9675</v>
      </c>
      <c t="s">
        <v>57706</v>
      </c>
      <c t="s">
        <v>1181</v>
      </c>
      <c s="3">
        <v>8400</v>
      </c>
      <c s="3">
        <v>8400</v>
      </c>
      <c s="3">
        <v>8400</v>
      </c>
      <c>
        <v>0</v>
      </c>
      <c s="3">
        <v>0</v>
      </c>
      <c s="3">
        <v>670.49</v>
      </c>
      <c s="3">
        <v>8400</v>
      </c>
      <c r="O4148" s="1" t="str">
        <f ca="1">HYPERLINK("https://web.datatree.com/?/property?propertyId=33592485", "https://web.datatree.com/?/property?propertyId=33592485")</f>
        <v>https://web.datatree.com/?/property?propertyId=33592485</v>
      </c>
      <c r="Q4148" t="s">
        <v>316</v>
      </c>
      <c>
        <v>0.332</v>
      </c>
      <c t="s">
        <v>22490</v>
      </c>
      <c t="s">
        <v>42506</v>
      </c>
      <c t="s">
        <v>1963</v>
      </c>
      <c t="s">
        <v>42506</v>
      </c>
      <c r="X4148" t="s">
        <v>21561</v>
      </c>
      <c t="s">
        <v>13829</v>
      </c>
      <c t="s">
        <v>2517</v>
      </c>
      <c t="s">
        <v>39289</v>
      </c>
      <c>
        <v>33909</v>
      </c>
      <c t="s">
        <v>66874</v>
      </c>
      <c t="s">
        <v>48794</v>
      </c>
      <c t="s">
        <v>8701</v>
      </c>
      <c>
        <v>2692</v>
      </c>
      <c r="AI4148" t="s">
        <v>62723</v>
      </c>
      <c t="s">
        <v>31192</v>
      </c>
      <c r="AL4148" t="s">
        <v>11870</v>
      </c>
      <c t="s">
        <v>26431</v>
      </c>
      <c t="s">
        <v>48152</v>
      </c>
      <c t="s">
        <v>11705</v>
      </c>
      <c t="s">
        <v>56198</v>
      </c>
      <c t="s">
        <v>3093</v>
      </c>
      <c t="s">
        <v>46101</v>
      </c>
    </row>
    <row>
      <c t="s">
        <v>17594</v>
      </c>
      <c t="s">
        <v>40214</v>
      </c>
      <c t="s">
        <v>25136</v>
      </c>
      <c t="s">
        <v>51390</v>
      </c>
      <c t="s">
        <v>39527</v>
      </c>
      <c s="3">
        <v>96778</v>
      </c>
      <c s="3">
        <v>86250</v>
      </c>
      <c s="3">
        <v>83062</v>
      </c>
      <c>
        <v>0</v>
      </c>
      <c s="3">
        <v>0</v>
      </c>
      <c s="3">
        <v>1324.69</v>
      </c>
      <c s="3">
        <v>96778</v>
      </c>
      <c r="O4149" s="1" t="str">
        <f ca="1">HYPERLINK("https://web.datatree.com/?/property?propertyId=33592717", "https://web.datatree.com/?/property?propertyId=33592717")</f>
        <v>https://web.datatree.com/?/property?propertyId=33592717</v>
      </c>
      <c r="Q4149" t="s">
        <v>316</v>
      </c>
      <c>
        <v>0.112</v>
      </c>
      <c t="s">
        <v>26492</v>
      </c>
      <c r="U4149" t="s">
        <v>52078</v>
      </c>
      <c r="W4149" t="s">
        <v>11828</v>
      </c>
      <c t="s">
        <v>6430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16580</v>
      </c>
      <c>
        <v>6</v>
      </c>
      <c r="AI4149" t="s">
        <v>56081</v>
      </c>
      <c t="s">
        <v>64789</v>
      </c>
      <c r="AL4149" t="s">
        <v>6294</v>
      </c>
      <c t="s">
        <v>40227</v>
      </c>
      <c t="s">
        <v>5982</v>
      </c>
      <c t="s">
        <v>57584</v>
      </c>
      <c t="s">
        <v>4491</v>
      </c>
      <c t="s">
        <v>3093</v>
      </c>
      <c t="s">
        <v>16877</v>
      </c>
    </row>
    <row>
      <c t="s">
        <v>17594</v>
      </c>
      <c t="s">
        <v>37520</v>
      </c>
      <c t="s">
        <v>15423</v>
      </c>
      <c t="s">
        <v>13561</v>
      </c>
      <c t="s">
        <v>66674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150" s="1" t="str">
        <f ca="1">HYPERLINK("https://web.datatree.com/?/property?propertyId=33593475", "https://web.datatree.com/?/property?propertyId=33593475")</f>
        <v>https://web.datatree.com/?/property?propertyId=33593475</v>
      </c>
      <c r="Q4150" t="s">
        <v>316</v>
      </c>
      <c>
        <v>0.241</v>
      </c>
      <c t="s">
        <v>5471</v>
      </c>
      <c t="s">
        <v>42212</v>
      </c>
      <c t="s">
        <v>24547</v>
      </c>
      <c t="s">
        <v>65497</v>
      </c>
      <c t="s">
        <v>24547</v>
      </c>
      <c t="s">
        <v>27943</v>
      </c>
      <c t="s">
        <v>54532</v>
      </c>
      <c t="s">
        <v>65059</v>
      </c>
      <c t="s">
        <v>39289</v>
      </c>
      <c>
        <v>33905</v>
      </c>
      <c t="s">
        <v>26993</v>
      </c>
      <c t="s">
        <v>48794</v>
      </c>
      <c t="s">
        <v>4942</v>
      </c>
      <c>
        <v>17517</v>
      </c>
      <c r="AI4150" t="s">
        <v>9760</v>
      </c>
      <c t="s">
        <v>41173</v>
      </c>
      <c r="AL4150" t="s">
        <v>10246</v>
      </c>
      <c r="AN4150" t="s">
        <v>22275</v>
      </c>
      <c t="s">
        <v>29563</v>
      </c>
      <c t="s">
        <v>702</v>
      </c>
      <c t="s">
        <v>3093</v>
      </c>
      <c t="s">
        <v>66212</v>
      </c>
    </row>
    <row>
      <c t="s">
        <v>17594</v>
      </c>
      <c t="s">
        <v>29866</v>
      </c>
      <c t="s">
        <v>48606</v>
      </c>
      <c t="s">
        <v>39924</v>
      </c>
      <c t="s">
        <v>6921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 r="O4151" s="1" t="str">
        <f ca="1">HYPERLINK("https://web.datatree.com/?/property?propertyId=33593989", "https://web.datatree.com/?/property?propertyId=33593989")</f>
        <v>https://web.datatree.com/?/property?propertyId=33593989</v>
      </c>
      <c r="Q4151" t="s">
        <v>316</v>
      </c>
      <c>
        <v>0.23</v>
      </c>
      <c t="s">
        <v>45031</v>
      </c>
      <c t="s">
        <v>10827</v>
      </c>
      <c t="s">
        <v>40005</v>
      </c>
      <c r="X4151" t="s">
        <v>40637</v>
      </c>
      <c t="s">
        <v>18679</v>
      </c>
      <c t="s">
        <v>2517</v>
      </c>
      <c t="s">
        <v>39289</v>
      </c>
      <c>
        <v>33909</v>
      </c>
      <c t="s">
        <v>7357</v>
      </c>
      <c t="s">
        <v>48794</v>
      </c>
      <c t="s">
        <v>34728</v>
      </c>
      <c>
        <v>6255</v>
      </c>
      <c r="AI4151" t="s">
        <v>41059</v>
      </c>
      <c t="s">
        <v>24900</v>
      </c>
      <c t="s">
        <v>55144</v>
      </c>
      <c t="s">
        <v>14113</v>
      </c>
      <c t="s">
        <v>14113</v>
      </c>
      <c t="s">
        <v>65451</v>
      </c>
      <c t="s">
        <v>9098</v>
      </c>
      <c t="s">
        <v>53800</v>
      </c>
      <c t="s">
        <v>3093</v>
      </c>
      <c t="s">
        <v>37272</v>
      </c>
    </row>
    <row>
      <c t="s">
        <v>17594</v>
      </c>
      <c t="s">
        <v>61639</v>
      </c>
      <c t="s">
        <v>34313</v>
      </c>
      <c t="s">
        <v>38515</v>
      </c>
      <c t="s">
        <v>11382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>
        <v>2021</v>
      </c>
      <c>
        <v>532.49</v>
      </c>
      <c s="1" t="str">
        <f ca="1">HYPERLINK("https://web.datatree.com/?/property?propertyId=33594738", "https://web.datatree.com/?/property?propertyId=33594738")</f>
        <v>https://web.datatree.com/?/property?propertyId=33594738</v>
      </c>
      <c r="Q4152" t="s">
        <v>316</v>
      </c>
      <c>
        <v>0.23</v>
      </c>
      <c t="s">
        <v>22490</v>
      </c>
      <c t="s">
        <v>22723</v>
      </c>
      <c t="s">
        <v>58183</v>
      </c>
      <c r="X4152" t="s">
        <v>54954</v>
      </c>
      <c t="s">
        <v>66701</v>
      </c>
      <c t="s">
        <v>2517</v>
      </c>
      <c t="s">
        <v>39289</v>
      </c>
      <c>
        <v>33909</v>
      </c>
      <c t="s">
        <v>7931</v>
      </c>
      <c t="s">
        <v>48794</v>
      </c>
      <c t="s">
        <v>10219</v>
      </c>
      <c>
        <v>29681</v>
      </c>
      <c r="AI4152" t="s">
        <v>20359</v>
      </c>
      <c t="s">
        <v>31192</v>
      </c>
      <c r="AL4152" t="s">
        <v>49215</v>
      </c>
      <c t="s">
        <v>49215</v>
      </c>
      <c t="s">
        <v>65451</v>
      </c>
      <c t="s">
        <v>32144</v>
      </c>
      <c t="s">
        <v>38085</v>
      </c>
      <c t="s">
        <v>3093</v>
      </c>
      <c t="s">
        <v>32479</v>
      </c>
    </row>
    <row>
      <c t="s">
        <v>17594</v>
      </c>
      <c t="s">
        <v>55840</v>
      </c>
      <c t="s">
        <v>3924</v>
      </c>
      <c t="s">
        <v>11771</v>
      </c>
      <c t="s">
        <v>14130</v>
      </c>
      <c s="3">
        <v>8100</v>
      </c>
      <c s="3">
        <v>8100</v>
      </c>
      <c s="3">
        <v>8100</v>
      </c>
      <c>
        <v>0</v>
      </c>
      <c s="3">
        <v>0</v>
      </c>
      <c s="3">
        <v>653.05</v>
      </c>
      <c s="3">
        <v>8100</v>
      </c>
      <c r="O4153" s="1" t="str">
        <f ca="1">HYPERLINK("https://web.datatree.com/?/property?propertyId=33595561", "https://web.datatree.com/?/property?propertyId=33595561")</f>
        <v>https://web.datatree.com/?/property?propertyId=33595561</v>
      </c>
      <c r="Q4153" t="s">
        <v>316</v>
      </c>
      <c>
        <v>0.244</v>
      </c>
      <c t="s">
        <v>6175</v>
      </c>
      <c t="s">
        <v>47754</v>
      </c>
      <c t="s">
        <v>16075</v>
      </c>
      <c r="X4153" t="s">
        <v>40305</v>
      </c>
      <c t="s">
        <v>10653</v>
      </c>
      <c t="s">
        <v>2517</v>
      </c>
      <c t="s">
        <v>39289</v>
      </c>
      <c>
        <v>33909</v>
      </c>
      <c t="s">
        <v>36705</v>
      </c>
      <c t="s">
        <v>48794</v>
      </c>
      <c t="s">
        <v>38632</v>
      </c>
      <c>
        <v>4242</v>
      </c>
      <c r="AI4153" t="s">
        <v>34731</v>
      </c>
      <c t="s">
        <v>45393</v>
      </c>
      <c>
        <v>1001</v>
      </c>
      <c t="s">
        <v>55393</v>
      </c>
      <c t="s">
        <v>55393</v>
      </c>
      <c t="s">
        <v>39289</v>
      </c>
      <c t="s">
        <v>44209</v>
      </c>
      <c t="s">
        <v>19978</v>
      </c>
      <c t="s">
        <v>3093</v>
      </c>
      <c t="s">
        <v>10588</v>
      </c>
    </row>
    <row>
      <c t="s">
        <v>17594</v>
      </c>
      <c t="s">
        <v>50125</v>
      </c>
      <c t="s">
        <v>59055</v>
      </c>
      <c t="s">
        <v>42237</v>
      </c>
      <c t="s">
        <v>18518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4154" s="1" t="str">
        <f ca="1">HYPERLINK("https://web.datatree.com/?/property?propertyId=33596329", "https://web.datatree.com/?/property?propertyId=33596329")</f>
        <v>https://web.datatree.com/?/property?propertyId=33596329</v>
      </c>
      <c r="Q4154" t="s">
        <v>316</v>
      </c>
      <c>
        <v>0.257</v>
      </c>
      <c t="s">
        <v>5471</v>
      </c>
      <c t="s">
        <v>32005</v>
      </c>
      <c t="s">
        <v>3327</v>
      </c>
      <c t="s">
        <v>23659</v>
      </c>
      <c t="s">
        <v>3327</v>
      </c>
      <c t="s">
        <v>22607</v>
      </c>
      <c t="s">
        <v>51938</v>
      </c>
      <c t="s">
        <v>65059</v>
      </c>
      <c t="s">
        <v>39289</v>
      </c>
      <c>
        <v>33905</v>
      </c>
      <c t="s">
        <v>19764</v>
      </c>
      <c t="s">
        <v>48794</v>
      </c>
      <c t="s">
        <v>38764</v>
      </c>
      <c>
        <v>227</v>
      </c>
      <c r="AI4154" t="s">
        <v>26163</v>
      </c>
      <c t="s">
        <v>31192</v>
      </c>
      <c r="AL4154" t="s">
        <v>53611</v>
      </c>
      <c r="AN4154" t="s">
        <v>32576</v>
      </c>
      <c t="s">
        <v>35919</v>
      </c>
      <c t="s">
        <v>27410</v>
      </c>
      <c t="s">
        <v>3093</v>
      </c>
      <c t="s">
        <v>51597</v>
      </c>
    </row>
    <row>
      <c t="s">
        <v>17594</v>
      </c>
      <c t="s">
        <v>25392</v>
      </c>
      <c t="s">
        <v>15497</v>
      </c>
      <c t="s">
        <v>42765</v>
      </c>
      <c t="s">
        <v>58487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4155" s="1" t="str">
        <f ca="1">HYPERLINK("https://web.datatree.com/?/property?propertyId=33596367", "https://web.datatree.com/?/property?propertyId=33596367")</f>
        <v>https://web.datatree.com/?/property?propertyId=33596367</v>
      </c>
      <c r="Q4155" t="s">
        <v>316</v>
      </c>
      <c>
        <v>0.233</v>
      </c>
      <c t="s">
        <v>5471</v>
      </c>
      <c r="U4155" t="s">
        <v>44399</v>
      </c>
      <c r="X4155" t="s">
        <v>3373</v>
      </c>
      <c t="s">
        <v>61272</v>
      </c>
      <c t="s">
        <v>65059</v>
      </c>
      <c t="s">
        <v>39289</v>
      </c>
      <c>
        <v>33905</v>
      </c>
      <c t="s">
        <v>59883</v>
      </c>
      <c t="s">
        <v>48794</v>
      </c>
      <c t="s">
        <v>35524</v>
      </c>
      <c>
        <v>5842</v>
      </c>
      <c r="AI4155" t="s">
        <v>25378</v>
      </c>
      <c t="s">
        <v>45393</v>
      </c>
      <c r="AL4155" t="s">
        <v>23972</v>
      </c>
      <c r="AN4155" t="s">
        <v>19878</v>
      </c>
      <c t="s">
        <v>21445</v>
      </c>
      <c t="s">
        <v>44843</v>
      </c>
      <c t="s">
        <v>3093</v>
      </c>
      <c t="s">
        <v>9365</v>
      </c>
    </row>
    <row>
      <c t="s">
        <v>17594</v>
      </c>
      <c t="s">
        <v>37171</v>
      </c>
      <c t="s">
        <v>7019</v>
      </c>
      <c t="s">
        <v>38118</v>
      </c>
      <c t="s">
        <v>12227</v>
      </c>
      <c s="3">
        <v>10000</v>
      </c>
      <c s="3">
        <v>10000</v>
      </c>
      <c s="3">
        <v>4992</v>
      </c>
      <c>
        <v>0</v>
      </c>
      <c s="3">
        <v>0</v>
      </c>
      <c s="3">
        <v>114.24</v>
      </c>
      <c s="3">
        <v>10000</v>
      </c>
      <c r="O4156" s="1" t="str">
        <f ca="1">HYPERLINK("https://web.datatree.com/?/property?propertyId=33596918", "https://web.datatree.com/?/property?propertyId=33596918")</f>
        <v>https://web.datatree.com/?/property?propertyId=33596918</v>
      </c>
      <c r="Q4156" t="s">
        <v>316</v>
      </c>
      <c>
        <v>0.161</v>
      </c>
      <c r="T4156" t="s">
        <v>30591</v>
      </c>
      <c t="s">
        <v>20885</v>
      </c>
      <c r="X4156" t="s">
        <v>43657</v>
      </c>
      <c t="s">
        <v>60186</v>
      </c>
      <c t="s">
        <v>65059</v>
      </c>
      <c t="s">
        <v>39289</v>
      </c>
      <c>
        <v>33905</v>
      </c>
      <c t="s">
        <v>60073</v>
      </c>
      <c t="s">
        <v>48794</v>
      </c>
      <c t="s">
        <v>22431</v>
      </c>
      <c>
        <v>37180</v>
      </c>
      <c r="AI4156" t="s">
        <v>20885</v>
      </c>
      <c t="s">
        <v>55842</v>
      </c>
      <c r="AL4156" t="s">
        <v>54524</v>
      </c>
      <c r="AN4156" t="s">
        <v>39289</v>
      </c>
      <c t="s">
        <v>8852</v>
      </c>
      <c t="s">
        <v>56028</v>
      </c>
      <c t="s">
        <v>3093</v>
      </c>
      <c t="s">
        <v>21879</v>
      </c>
    </row>
    <row>
      <c t="s">
        <v>17594</v>
      </c>
      <c t="s">
        <v>44607</v>
      </c>
      <c t="s">
        <v>54448</v>
      </c>
      <c t="s">
        <v>29894</v>
      </c>
      <c t="s">
        <v>10118</v>
      </c>
      <c s="3">
        <v>68662</v>
      </c>
      <c s="3">
        <v>57150</v>
      </c>
      <c s="3">
        <v>68662</v>
      </c>
      <c>
        <v>0</v>
      </c>
      <c s="3">
        <v>0</v>
      </c>
      <c s="3">
        <v>1032.87</v>
      </c>
      <c s="3">
        <v>68662</v>
      </c>
      <c r="O4157" s="1" t="str">
        <f ca="1">HYPERLINK("https://web.datatree.com/?/property?propertyId=33597225", "https://web.datatree.com/?/property?propertyId=33597225")</f>
        <v>https://web.datatree.com/?/property?propertyId=33597225</v>
      </c>
      <c r="Q4157" t="s">
        <v>316</v>
      </c>
      <c>
        <v>0.109</v>
      </c>
      <c t="s">
        <v>26492</v>
      </c>
      <c t="s">
        <v>10264</v>
      </c>
      <c t="s">
        <v>3533</v>
      </c>
      <c t="s">
        <v>27743</v>
      </c>
      <c t="s">
        <v>3533</v>
      </c>
      <c t="s">
        <v>19229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9492</v>
      </c>
      <c>
        <v>91</v>
      </c>
      <c r="AI4157" t="s">
        <v>3377</v>
      </c>
      <c t="s">
        <v>55842</v>
      </c>
      <c r="AL4157" t="s">
        <v>62681</v>
      </c>
      <c t="s">
        <v>62681</v>
      </c>
      <c t="s">
        <v>19878</v>
      </c>
      <c t="s">
        <v>35650</v>
      </c>
      <c t="s">
        <v>44428</v>
      </c>
      <c t="s">
        <v>3093</v>
      </c>
      <c t="s">
        <v>61271</v>
      </c>
    </row>
    <row>
      <c t="s">
        <v>17594</v>
      </c>
      <c t="s">
        <v>50408</v>
      </c>
      <c t="s">
        <v>648</v>
      </c>
      <c t="s">
        <v>31844</v>
      </c>
      <c t="s">
        <v>3336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2021</v>
      </c>
      <c>
        <v>311.6</v>
      </c>
      <c s="1" t="str">
        <f ca="1">HYPERLINK("https://web.datatree.com/?/property?propertyId=33597481", "https://web.datatree.com/?/property?propertyId=33597481")</f>
        <v>https://web.datatree.com/?/property?propertyId=33597481</v>
      </c>
      <c r="Q4158" t="s">
        <v>316</v>
      </c>
      <c>
        <v>0.244</v>
      </c>
      <c t="s">
        <v>5471</v>
      </c>
      <c t="s">
        <v>34140</v>
      </c>
      <c t="s">
        <v>39574</v>
      </c>
      <c t="s">
        <v>45883</v>
      </c>
      <c r="X4158" t="s">
        <v>8061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7760</v>
      </c>
      <c>
        <v>8910</v>
      </c>
      <c r="AI4158" t="s">
        <v>14626</v>
      </c>
      <c t="s">
        <v>45393</v>
      </c>
      <c r="AL4158" t="s">
        <v>32201</v>
      </c>
      <c t="s">
        <v>32201</v>
      </c>
      <c t="s">
        <v>56163</v>
      </c>
      <c t="s">
        <v>7848</v>
      </c>
      <c t="s">
        <v>52247</v>
      </c>
      <c t="s">
        <v>3093</v>
      </c>
      <c t="s">
        <v>4379</v>
      </c>
    </row>
    <row>
      <c t="s">
        <v>17594</v>
      </c>
      <c t="s">
        <v>39227</v>
      </c>
      <c t="s">
        <v>14947</v>
      </c>
      <c t="s">
        <v>4247</v>
      </c>
      <c t="s">
        <v>1100</v>
      </c>
      <c s="3">
        <v>20580</v>
      </c>
      <c s="3">
        <v>20580</v>
      </c>
      <c s="3">
        <v>9599</v>
      </c>
      <c>
        <v>0</v>
      </c>
      <c s="3">
        <v>0</v>
      </c>
      <c s="3">
        <v>681.46</v>
      </c>
      <c s="3">
        <v>20580</v>
      </c>
      <c r="O4159" s="1" t="str">
        <f ca="1">HYPERLINK("https://web.datatree.com/?/property?propertyId=33597645", "https://web.datatree.com/?/property?propertyId=33597645")</f>
        <v>https://web.datatree.com/?/property?propertyId=33597645</v>
      </c>
      <c r="Q4159" t="s">
        <v>316</v>
      </c>
      <c>
        <v>0.344</v>
      </c>
      <c t="s">
        <v>6175</v>
      </c>
      <c t="s">
        <v>52880</v>
      </c>
      <c t="s">
        <v>3929</v>
      </c>
      <c r="X4159" t="s">
        <v>48510</v>
      </c>
      <c t="s">
        <v>14534</v>
      </c>
      <c t="s">
        <v>2517</v>
      </c>
      <c t="s">
        <v>39289</v>
      </c>
      <c>
        <v>33909</v>
      </c>
      <c t="s">
        <v>40465</v>
      </c>
      <c t="s">
        <v>48794</v>
      </c>
      <c t="s">
        <v>9667</v>
      </c>
      <c>
        <v>79</v>
      </c>
      <c r="AI4159" t="s">
        <v>62298</v>
      </c>
      <c t="s">
        <v>45620</v>
      </c>
      <c r="AL4159" t="s">
        <v>8757</v>
      </c>
      <c r="AN4159" t="s">
        <v>5982</v>
      </c>
      <c t="s">
        <v>35710</v>
      </c>
      <c t="s">
        <v>702</v>
      </c>
      <c t="s">
        <v>3093</v>
      </c>
      <c t="s">
        <v>49006</v>
      </c>
    </row>
    <row>
      <c t="s">
        <v>17594</v>
      </c>
      <c t="s">
        <v>6464</v>
      </c>
      <c t="s">
        <v>1321</v>
      </c>
      <c t="s">
        <v>41797</v>
      </c>
      <c t="s">
        <v>7144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160" s="1" t="str">
        <f ca="1">HYPERLINK("https://web.datatree.com/?/property?propertyId=33598162", "https://web.datatree.com/?/property?propertyId=33598162")</f>
        <v>https://web.datatree.com/?/property?propertyId=33598162</v>
      </c>
      <c r="Q4160" t="s">
        <v>316</v>
      </c>
      <c>
        <v>0.23</v>
      </c>
      <c t="s">
        <v>6175</v>
      </c>
      <c r="U4160" t="s">
        <v>855</v>
      </c>
      <c t="s">
        <v>25238</v>
      </c>
      <c t="s">
        <v>1007</v>
      </c>
      <c t="s">
        <v>27395</v>
      </c>
      <c t="s">
        <v>33179</v>
      </c>
      <c t="s">
        <v>2517</v>
      </c>
      <c t="s">
        <v>39289</v>
      </c>
      <c>
        <v>33909</v>
      </c>
      <c t="s">
        <v>37036</v>
      </c>
      <c t="s">
        <v>48794</v>
      </c>
      <c t="s">
        <v>31034</v>
      </c>
      <c>
        <v>6900</v>
      </c>
      <c r="AI4160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63273</v>
      </c>
      <c t="s">
        <v>25382</v>
      </c>
      <c t="s">
        <v>12572</v>
      </c>
      <c t="s">
        <v>9618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161" s="1" t="str">
        <f ca="1">HYPERLINK("https://web.datatree.com/?/property?propertyId=33599061", "https://web.datatree.com/?/property?propertyId=33599061")</f>
        <v>https://web.datatree.com/?/property?propertyId=33599061</v>
      </c>
      <c r="Q4161" t="s">
        <v>316</v>
      </c>
      <c>
        <v>0.23</v>
      </c>
      <c t="s">
        <v>22490</v>
      </c>
      <c t="s">
        <v>27912</v>
      </c>
      <c t="s">
        <v>5185</v>
      </c>
      <c r="X4161" t="s">
        <v>19151</v>
      </c>
      <c t="s">
        <v>29190</v>
      </c>
      <c t="s">
        <v>2517</v>
      </c>
      <c t="s">
        <v>39289</v>
      </c>
      <c>
        <v>33909</v>
      </c>
      <c t="s">
        <v>3130</v>
      </c>
      <c t="s">
        <v>48794</v>
      </c>
      <c t="s">
        <v>27404</v>
      </c>
      <c>
        <v>1637</v>
      </c>
      <c r="AI4161" t="s">
        <v>37827</v>
      </c>
      <c t="s">
        <v>55842</v>
      </c>
      <c>
        <v>42</v>
      </c>
      <c t="s">
        <v>47935</v>
      </c>
      <c t="s">
        <v>47935</v>
      </c>
      <c t="s">
        <v>65467</v>
      </c>
      <c t="s">
        <v>12609</v>
      </c>
      <c t="s">
        <v>44843</v>
      </c>
      <c t="s">
        <v>3093</v>
      </c>
      <c t="s">
        <v>2924</v>
      </c>
    </row>
    <row>
      <c t="s">
        <v>17594</v>
      </c>
      <c t="s">
        <v>53947</v>
      </c>
      <c t="s">
        <v>50853</v>
      </c>
      <c t="s">
        <v>21877</v>
      </c>
      <c t="s">
        <v>10158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4162" s="1" t="str">
        <f ca="1">HYPERLINK("https://web.datatree.com/?/property?propertyId=33599871", "https://web.datatree.com/?/property?propertyId=33599871")</f>
        <v>https://web.datatree.com/?/property?propertyId=33599871</v>
      </c>
      <c r="Q4162" t="s">
        <v>316</v>
      </c>
      <c>
        <v>0.23</v>
      </c>
      <c t="s">
        <v>22490</v>
      </c>
      <c t="s">
        <v>54943</v>
      </c>
      <c t="s">
        <v>50666</v>
      </c>
      <c r="X4162" t="s">
        <v>44342</v>
      </c>
      <c t="s">
        <v>30928</v>
      </c>
      <c t="s">
        <v>2517</v>
      </c>
      <c t="s">
        <v>39289</v>
      </c>
      <c>
        <v>33909</v>
      </c>
      <c t="s">
        <v>58845</v>
      </c>
      <c t="s">
        <v>48794</v>
      </c>
      <c t="s">
        <v>32490</v>
      </c>
      <c>
        <v>1545</v>
      </c>
      <c r="AI4162" t="s">
        <v>25909</v>
      </c>
      <c t="s">
        <v>45393</v>
      </c>
      <c r="AL4162" t="s">
        <v>40475</v>
      </c>
      <c t="s">
        <v>40475</v>
      </c>
      <c t="s">
        <v>4477</v>
      </c>
      <c t="s">
        <v>49858</v>
      </c>
      <c t="s">
        <v>5948</v>
      </c>
      <c t="s">
        <v>3093</v>
      </c>
      <c t="s">
        <v>34221</v>
      </c>
    </row>
    <row>
      <c t="s">
        <v>17594</v>
      </c>
      <c t="s">
        <v>32743</v>
      </c>
      <c t="s">
        <v>51826</v>
      </c>
      <c t="s">
        <v>49914</v>
      </c>
      <c t="s">
        <v>24448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163" s="1" t="str">
        <f ca="1">HYPERLINK("https://web.datatree.com/?/property?propertyId=33600798", "https://web.datatree.com/?/property?propertyId=33600798")</f>
        <v>https://web.datatree.com/?/property?propertyId=33600798</v>
      </c>
      <c r="Q4163" t="s">
        <v>316</v>
      </c>
      <c>
        <v>0.23</v>
      </c>
      <c t="s">
        <v>6175</v>
      </c>
      <c t="s">
        <v>3267</v>
      </c>
      <c t="s">
        <v>53737</v>
      </c>
      <c r="X4163" t="s">
        <v>27491</v>
      </c>
      <c t="s">
        <v>15510</v>
      </c>
      <c t="s">
        <v>2517</v>
      </c>
      <c t="s">
        <v>39289</v>
      </c>
      <c>
        <v>33909</v>
      </c>
      <c t="s">
        <v>23856</v>
      </c>
      <c t="s">
        <v>48794</v>
      </c>
      <c t="s">
        <v>46673</v>
      </c>
      <c>
        <v>238</v>
      </c>
      <c r="AI4163" t="s">
        <v>29618</v>
      </c>
      <c t="s">
        <v>45393</v>
      </c>
      <c t="s">
        <v>63878</v>
      </c>
      <c t="s">
        <v>13397</v>
      </c>
      <c r="AN4163" t="s">
        <v>50917</v>
      </c>
      <c t="s">
        <v>28816</v>
      </c>
      <c t="s">
        <v>64580</v>
      </c>
      <c t="s">
        <v>3093</v>
      </c>
      <c t="s">
        <v>10007</v>
      </c>
    </row>
    <row>
      <c t="s">
        <v>17594</v>
      </c>
      <c t="s">
        <v>66062</v>
      </c>
      <c t="s">
        <v>60394</v>
      </c>
      <c t="s">
        <v>25190</v>
      </c>
      <c t="s">
        <v>56473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4164" s="1" t="str">
        <f ca="1">HYPERLINK("https://web.datatree.com/?/property?propertyId=33602776", "https://web.datatree.com/?/property?propertyId=33602776")</f>
        <v>https://web.datatree.com/?/property?propertyId=33602776</v>
      </c>
      <c r="Q4164" t="s">
        <v>316</v>
      </c>
      <c>
        <v>0.23</v>
      </c>
      <c t="s">
        <v>6175</v>
      </c>
      <c t="s">
        <v>1992</v>
      </c>
      <c t="s">
        <v>5215</v>
      </c>
      <c t="s">
        <v>47754</v>
      </c>
      <c t="s">
        <v>65214</v>
      </c>
      <c t="s">
        <v>62997</v>
      </c>
      <c t="s">
        <v>34731</v>
      </c>
      <c t="s">
        <v>2517</v>
      </c>
      <c t="s">
        <v>39289</v>
      </c>
      <c>
        <v>33909</v>
      </c>
      <c t="s">
        <v>50183</v>
      </c>
      <c t="s">
        <v>48794</v>
      </c>
      <c t="s">
        <v>57512</v>
      </c>
      <c>
        <v>290</v>
      </c>
      <c r="AI4164" t="s">
        <v>6831</v>
      </c>
      <c r="AL4164" t="s">
        <v>35200</v>
      </c>
      <c r="AN4164" t="s">
        <v>513</v>
      </c>
      <c r="AR4164" t="s">
        <v>1156</v>
      </c>
    </row>
    <row>
      <c t="s">
        <v>17594</v>
      </c>
      <c t="s">
        <v>51192</v>
      </c>
      <c t="s">
        <v>64487</v>
      </c>
      <c t="s">
        <v>58285</v>
      </c>
      <c t="s">
        <v>19432</v>
      </c>
      <c s="3">
        <v>17276</v>
      </c>
      <c s="3">
        <v>17276</v>
      </c>
      <c s="3">
        <v>8470</v>
      </c>
      <c>
        <v>0</v>
      </c>
      <c s="3">
        <v>0</v>
      </c>
      <c s="3">
        <v>576.29</v>
      </c>
      <c s="3">
        <v>17276</v>
      </c>
      <c r="O4165" s="1" t="str">
        <f ca="1">HYPERLINK("https://web.datatree.com/?/property?propertyId=33603134", "https://web.datatree.com/?/property?propertyId=33603134")</f>
        <v>https://web.datatree.com/?/property?propertyId=33603134</v>
      </c>
      <c r="Q4165" t="s">
        <v>316</v>
      </c>
      <c>
        <v>0.241</v>
      </c>
      <c t="s">
        <v>6175</v>
      </c>
      <c t="s">
        <v>33213</v>
      </c>
      <c t="s">
        <v>16867</v>
      </c>
      <c r="X4165" t="s">
        <v>55132</v>
      </c>
      <c t="s">
        <v>29190</v>
      </c>
      <c t="s">
        <v>2517</v>
      </c>
      <c t="s">
        <v>39289</v>
      </c>
      <c>
        <v>33909</v>
      </c>
      <c t="s">
        <v>19637</v>
      </c>
      <c t="s">
        <v>48794</v>
      </c>
      <c t="s">
        <v>38260</v>
      </c>
      <c>
        <v>215</v>
      </c>
      <c r="AI4165" t="s">
        <v>42943</v>
      </c>
      <c t="s">
        <v>31192</v>
      </c>
      <c r="AL4165" t="s">
        <v>37128</v>
      </c>
      <c r="AN4165" t="s">
        <v>26016</v>
      </c>
      <c t="s">
        <v>44938</v>
      </c>
      <c t="s">
        <v>33029</v>
      </c>
      <c t="s">
        <v>3093</v>
      </c>
      <c t="s">
        <v>19687</v>
      </c>
    </row>
    <row>
      <c t="s">
        <v>17594</v>
      </c>
      <c t="s">
        <v>67095</v>
      </c>
      <c t="s">
        <v>29568</v>
      </c>
      <c t="s">
        <v>7362</v>
      </c>
      <c t="s">
        <v>1076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4166" s="1" t="str">
        <f ca="1">HYPERLINK("https://web.datatree.com/?/property?propertyId=33603208", "https://web.datatree.com/?/property?propertyId=33603208")</f>
        <v>https://web.datatree.com/?/property?propertyId=33603208</v>
      </c>
      <c r="Q4166" t="s">
        <v>316</v>
      </c>
      <c>
        <v>0.23</v>
      </c>
      <c t="s">
        <v>22490</v>
      </c>
      <c t="s">
        <v>42212</v>
      </c>
      <c t="s">
        <v>43737</v>
      </c>
      <c r="X4166" t="s">
        <v>29993</v>
      </c>
      <c t="s">
        <v>53675</v>
      </c>
      <c t="s">
        <v>2517</v>
      </c>
      <c t="s">
        <v>39289</v>
      </c>
      <c>
        <v>33909</v>
      </c>
      <c t="s">
        <v>12391</v>
      </c>
      <c t="s">
        <v>48794</v>
      </c>
      <c t="s">
        <v>45523</v>
      </c>
      <c>
        <v>148</v>
      </c>
      <c r="AI4166" t="s">
        <v>29573</v>
      </c>
      <c t="s">
        <v>45393</v>
      </c>
      <c r="AL4166" t="s">
        <v>62356</v>
      </c>
      <c r="AN4166" t="s">
        <v>21017</v>
      </c>
      <c t="s">
        <v>41896</v>
      </c>
      <c t="s">
        <v>14695</v>
      </c>
      <c t="s">
        <v>3093</v>
      </c>
      <c t="s">
        <v>25051</v>
      </c>
    </row>
    <row>
      <c t="s">
        <v>17594</v>
      </c>
      <c t="s">
        <v>8765</v>
      </c>
      <c t="s">
        <v>20871</v>
      </c>
      <c t="s">
        <v>14368</v>
      </c>
      <c t="s">
        <v>9009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4167" s="1" t="str">
        <f ca="1">HYPERLINK("https://web.datatree.com/?/property?propertyId=33604257", "https://web.datatree.com/?/property?propertyId=33604257")</f>
        <v>https://web.datatree.com/?/property?propertyId=33604257</v>
      </c>
      <c r="Q4167" t="s">
        <v>316</v>
      </c>
      <c>
        <v>0.23</v>
      </c>
      <c t="s">
        <v>45031</v>
      </c>
      <c r="U4167" t="s">
        <v>51939</v>
      </c>
      <c t="s">
        <v>10361</v>
      </c>
      <c t="s">
        <v>50179</v>
      </c>
      <c t="s">
        <v>6129</v>
      </c>
      <c t="s">
        <v>39082</v>
      </c>
      <c t="s">
        <v>2517</v>
      </c>
      <c t="s">
        <v>39289</v>
      </c>
      <c>
        <v>33909</v>
      </c>
      <c t="s">
        <v>66640</v>
      </c>
      <c t="s">
        <v>48794</v>
      </c>
      <c t="s">
        <v>3743</v>
      </c>
      <c>
        <v>1</v>
      </c>
      <c r="AI4167" t="s">
        <v>51394</v>
      </c>
      <c t="s">
        <v>835</v>
      </c>
      <c r="AL4167" t="s">
        <v>1709</v>
      </c>
      <c t="s">
        <v>1709</v>
      </c>
      <c t="s">
        <v>17134</v>
      </c>
      <c t="s">
        <v>31691</v>
      </c>
      <c t="s">
        <v>34162</v>
      </c>
      <c t="s">
        <v>3093</v>
      </c>
      <c t="s">
        <v>8303</v>
      </c>
    </row>
    <row>
      <c t="s">
        <v>17594</v>
      </c>
      <c t="s">
        <v>54470</v>
      </c>
      <c t="s">
        <v>16556</v>
      </c>
      <c t="s">
        <v>56526</v>
      </c>
      <c t="s">
        <v>30134</v>
      </c>
      <c s="3">
        <v>38750</v>
      </c>
      <c s="3">
        <v>38750</v>
      </c>
      <c s="3">
        <v>17050</v>
      </c>
      <c>
        <v>0</v>
      </c>
      <c s="3">
        <v>0</v>
      </c>
      <c s="3">
        <v>764.36</v>
      </c>
      <c s="3">
        <v>38750</v>
      </c>
      <c r="O4168" s="1" t="str">
        <f ca="1">HYPERLINK("https://web.datatree.com/?/property?propertyId=33604282", "https://web.datatree.com/?/property?propertyId=33604282")</f>
        <v>https://web.datatree.com/?/property?propertyId=33604282</v>
      </c>
      <c r="Q4168" t="s">
        <v>316</v>
      </c>
      <c>
        <v>0.23</v>
      </c>
      <c t="s">
        <v>45031</v>
      </c>
      <c t="s">
        <v>12350</v>
      </c>
      <c t="s">
        <v>14861</v>
      </c>
      <c t="s">
        <v>16893</v>
      </c>
      <c t="s">
        <v>14861</v>
      </c>
      <c t="s">
        <v>34194</v>
      </c>
      <c t="s">
        <v>38550</v>
      </c>
      <c t="s">
        <v>2517</v>
      </c>
      <c t="s">
        <v>39289</v>
      </c>
      <c>
        <v>33909</v>
      </c>
      <c t="s">
        <v>64368</v>
      </c>
      <c t="s">
        <v>48794</v>
      </c>
      <c t="s">
        <v>13832</v>
      </c>
      <c>
        <v>1080</v>
      </c>
      <c r="AI4168" t="s">
        <v>53403</v>
      </c>
      <c t="s">
        <v>835</v>
      </c>
      <c r="AL4168" t="s">
        <v>18092</v>
      </c>
      <c r="AN4168" t="s">
        <v>39289</v>
      </c>
      <c t="s">
        <v>63789</v>
      </c>
      <c t="s">
        <v>3364</v>
      </c>
      <c t="s">
        <v>3093</v>
      </c>
      <c t="s">
        <v>18351</v>
      </c>
    </row>
    <row>
      <c t="s">
        <v>17594</v>
      </c>
      <c t="s">
        <v>65925</v>
      </c>
      <c t="s">
        <v>66376</v>
      </c>
      <c t="s">
        <v>12302</v>
      </c>
      <c t="s">
        <v>30782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169" s="1" t="str">
        <f ca="1">HYPERLINK("https://web.datatree.com/?/property?propertyId=33604542", "https://web.datatree.com/?/property?propertyId=33604542")</f>
        <v>https://web.datatree.com/?/property?propertyId=33604542</v>
      </c>
      <c r="Q4169" t="s">
        <v>316</v>
      </c>
      <c>
        <v>0.234</v>
      </c>
      <c t="s">
        <v>22490</v>
      </c>
      <c t="s">
        <v>16200</v>
      </c>
      <c t="s">
        <v>23849</v>
      </c>
      <c t="s">
        <v>41856</v>
      </c>
      <c t="s">
        <v>23849</v>
      </c>
      <c t="s">
        <v>33512</v>
      </c>
      <c t="s">
        <v>22731</v>
      </c>
      <c t="s">
        <v>2517</v>
      </c>
      <c t="s">
        <v>39289</v>
      </c>
      <c>
        <v>33909</v>
      </c>
      <c t="s">
        <v>15174</v>
      </c>
      <c t="s">
        <v>48794</v>
      </c>
      <c t="s">
        <v>66501</v>
      </c>
      <c>
        <v>229</v>
      </c>
      <c r="AI4169" t="s">
        <v>65574</v>
      </c>
      <c t="s">
        <v>40123</v>
      </c>
      <c r="AL4169" t="s">
        <v>7391</v>
      </c>
      <c r="AN4169" t="s">
        <v>19878</v>
      </c>
      <c t="s">
        <v>3143</v>
      </c>
      <c t="s">
        <v>49977</v>
      </c>
      <c t="s">
        <v>3093</v>
      </c>
      <c t="s">
        <v>52843</v>
      </c>
    </row>
    <row>
      <c t="s">
        <v>17594</v>
      </c>
      <c t="s">
        <v>50105</v>
      </c>
      <c t="s">
        <v>35478</v>
      </c>
      <c t="s">
        <v>1491</v>
      </c>
      <c t="s">
        <v>11462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4170" s="1" t="str">
        <f ca="1">HYPERLINK("https://web.datatree.com/?/property?propertyId=33604793", "https://web.datatree.com/?/property?propertyId=33604793")</f>
        <v>https://web.datatree.com/?/property?propertyId=33604793</v>
      </c>
      <c r="Q4170" t="s">
        <v>316</v>
      </c>
      <c>
        <v>0.244</v>
      </c>
      <c t="s">
        <v>6175</v>
      </c>
      <c t="s">
        <v>64470</v>
      </c>
      <c t="s">
        <v>5192</v>
      </c>
      <c t="s">
        <v>15700</v>
      </c>
      <c t="s">
        <v>5192</v>
      </c>
      <c t="s">
        <v>23982</v>
      </c>
      <c t="s">
        <v>61850</v>
      </c>
      <c t="s">
        <v>2517</v>
      </c>
      <c t="s">
        <v>39289</v>
      </c>
      <c>
        <v>33909</v>
      </c>
      <c t="s">
        <v>40122</v>
      </c>
      <c t="s">
        <v>48794</v>
      </c>
      <c t="s">
        <v>55089</v>
      </c>
      <c>
        <v>122</v>
      </c>
      <c r="AI4170" t="s">
        <v>29271</v>
      </c>
      <c t="s">
        <v>24900</v>
      </c>
      <c r="AL4170" t="s">
        <v>20632</v>
      </c>
      <c r="AN4170" t="s">
        <v>50917</v>
      </c>
      <c t="s">
        <v>31202</v>
      </c>
      <c t="s">
        <v>12241</v>
      </c>
      <c t="s">
        <v>3093</v>
      </c>
      <c t="s">
        <v>56785</v>
      </c>
    </row>
    <row>
      <c t="s">
        <v>17594</v>
      </c>
      <c t="s">
        <v>17555</v>
      </c>
      <c t="s">
        <v>42858</v>
      </c>
      <c t="s">
        <v>43074</v>
      </c>
      <c t="s">
        <v>12163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4171" s="1" t="str">
        <f ca="1">HYPERLINK("https://web.datatree.com/?/property?propertyId=33605428", "https://web.datatree.com/?/property?propertyId=33605428")</f>
        <v>https://web.datatree.com/?/property?propertyId=33605428</v>
      </c>
      <c r="Q4171" t="s">
        <v>316</v>
      </c>
      <c>
        <v>0.23</v>
      </c>
      <c t="s">
        <v>22490</v>
      </c>
      <c t="s">
        <v>33168</v>
      </c>
      <c t="s">
        <v>30060</v>
      </c>
      <c r="X4171" t="s">
        <v>66059</v>
      </c>
      <c t="s">
        <v>47150</v>
      </c>
      <c t="s">
        <v>2517</v>
      </c>
      <c t="s">
        <v>39289</v>
      </c>
      <c>
        <v>33909</v>
      </c>
      <c t="s">
        <v>34864</v>
      </c>
      <c t="s">
        <v>48794</v>
      </c>
      <c t="s">
        <v>47249</v>
      </c>
      <c>
        <v>18</v>
      </c>
      <c r="AI4171" t="s">
        <v>48589</v>
      </c>
      <c t="s">
        <v>45620</v>
      </c>
      <c r="AL4171" t="s">
        <v>47281</v>
      </c>
      <c r="AN4171" t="s">
        <v>27747</v>
      </c>
      <c t="s">
        <v>23714</v>
      </c>
      <c t="s">
        <v>19978</v>
      </c>
      <c t="s">
        <v>3093</v>
      </c>
      <c t="s">
        <v>62540</v>
      </c>
    </row>
    <row>
      <c t="s">
        <v>17594</v>
      </c>
      <c t="s">
        <v>25252</v>
      </c>
      <c t="s">
        <v>36831</v>
      </c>
      <c t="s">
        <v>12127</v>
      </c>
      <c t="s">
        <v>22107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172" s="1" t="str">
        <f ca="1">HYPERLINK("https://web.datatree.com/?/property?propertyId=33606195", "https://web.datatree.com/?/property?propertyId=33606195")</f>
        <v>https://web.datatree.com/?/property?propertyId=33606195</v>
      </c>
      <c r="Q4172" t="s">
        <v>316</v>
      </c>
      <c>
        <v>0.23</v>
      </c>
      <c t="s">
        <v>6175</v>
      </c>
      <c t="s">
        <v>30306</v>
      </c>
      <c t="s">
        <v>25636</v>
      </c>
      <c r="X4172" t="s">
        <v>11019</v>
      </c>
      <c t="s">
        <v>49674</v>
      </c>
      <c t="s">
        <v>2517</v>
      </c>
      <c t="s">
        <v>39289</v>
      </c>
      <c>
        <v>33909</v>
      </c>
      <c t="s">
        <v>40415</v>
      </c>
      <c t="s">
        <v>48794</v>
      </c>
      <c t="s">
        <v>41006</v>
      </c>
      <c>
        <v>6136</v>
      </c>
      <c r="AI4172" t="s">
        <v>62380</v>
      </c>
      <c t="s">
        <v>24900</v>
      </c>
      <c>
        <v>2</v>
      </c>
      <c t="s">
        <v>18475</v>
      </c>
      <c r="AN4172" t="s">
        <v>22275</v>
      </c>
      <c t="s">
        <v>30725</v>
      </c>
      <c t="s">
        <v>39331</v>
      </c>
      <c t="s">
        <v>3093</v>
      </c>
      <c t="s">
        <v>20043</v>
      </c>
    </row>
    <row>
      <c t="s">
        <v>17594</v>
      </c>
      <c t="s">
        <v>1131</v>
      </c>
      <c t="s">
        <v>52911</v>
      </c>
      <c t="s">
        <v>44405</v>
      </c>
      <c t="s">
        <v>14748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527.13</v>
      </c>
      <c s="1" t="str">
        <f ca="1">HYPERLINK("https://web.datatree.com/?/property?propertyId=33606827", "https://web.datatree.com/?/property?propertyId=33606827")</f>
        <v>https://web.datatree.com/?/property?propertyId=33606827</v>
      </c>
      <c r="Q4173" t="s">
        <v>316</v>
      </c>
      <c>
        <v>0.23</v>
      </c>
      <c t="s">
        <v>6175</v>
      </c>
      <c t="s">
        <v>8868</v>
      </c>
      <c t="s">
        <v>32403</v>
      </c>
      <c r="W4173" t="s">
        <v>855</v>
      </c>
      <c t="s">
        <v>26879</v>
      </c>
      <c t="s">
        <v>53663</v>
      </c>
      <c t="s">
        <v>2517</v>
      </c>
      <c t="s">
        <v>39289</v>
      </c>
      <c>
        <v>33909</v>
      </c>
      <c t="s">
        <v>6618</v>
      </c>
      <c t="s">
        <v>48794</v>
      </c>
      <c t="s">
        <v>6656</v>
      </c>
      <c>
        <v>13303</v>
      </c>
      <c r="AI4173" t="s">
        <v>34775</v>
      </c>
      <c t="s">
        <v>835</v>
      </c>
      <c r="AL4173" t="s">
        <v>67061</v>
      </c>
      <c t="s">
        <v>67061</v>
      </c>
      <c t="s">
        <v>14798</v>
      </c>
      <c t="s">
        <v>25058</v>
      </c>
      <c t="s">
        <v>17093</v>
      </c>
      <c t="s">
        <v>3093</v>
      </c>
      <c t="s">
        <v>61036</v>
      </c>
    </row>
    <row>
      <c t="s">
        <v>17594</v>
      </c>
      <c t="s">
        <v>1942</v>
      </c>
      <c t="s">
        <v>8937</v>
      </c>
      <c t="s">
        <v>11623</v>
      </c>
      <c t="s">
        <v>15175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174" s="1" t="str">
        <f ca="1">HYPERLINK("https://web.datatree.com/?/property?propertyId=33606835", "https://web.datatree.com/?/property?propertyId=33606835")</f>
        <v>https://web.datatree.com/?/property?propertyId=33606835</v>
      </c>
      <c r="Q4174" t="s">
        <v>316</v>
      </c>
      <c>
        <v>0.23</v>
      </c>
      <c t="s">
        <v>22490</v>
      </c>
      <c t="s">
        <v>64119</v>
      </c>
      <c t="s">
        <v>8174</v>
      </c>
      <c t="s">
        <v>41965</v>
      </c>
      <c t="s">
        <v>8174</v>
      </c>
      <c t="s">
        <v>5497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31625</v>
      </c>
      <c>
        <v>120</v>
      </c>
      <c r="AI4174" t="s">
        <v>53507</v>
      </c>
      <c t="s">
        <v>45393</v>
      </c>
      <c t="s">
        <v>27800</v>
      </c>
      <c t="s">
        <v>39044</v>
      </c>
      <c r="AN4174" t="s">
        <v>26016</v>
      </c>
      <c t="s">
        <v>55506</v>
      </c>
      <c t="s">
        <v>33029</v>
      </c>
      <c t="s">
        <v>3093</v>
      </c>
      <c t="s">
        <v>48551</v>
      </c>
    </row>
    <row>
      <c t="s">
        <v>17594</v>
      </c>
      <c t="s">
        <v>20244</v>
      </c>
      <c t="s">
        <v>58325</v>
      </c>
      <c t="s">
        <v>64455</v>
      </c>
      <c t="s">
        <v>3881</v>
      </c>
      <c s="3">
        <v>16765</v>
      </c>
      <c s="3">
        <v>16765</v>
      </c>
      <c s="3">
        <v>8470</v>
      </c>
      <c>
        <v>0</v>
      </c>
      <c s="3">
        <v>0</v>
      </c>
      <c s="3">
        <v>553.39</v>
      </c>
      <c s="3">
        <v>16765</v>
      </c>
      <c r="O4175" s="1" t="str">
        <f ca="1">HYPERLINK("https://web.datatree.com/?/property?propertyId=33607241", "https://web.datatree.com/?/property?propertyId=33607241")</f>
        <v>https://web.datatree.com/?/property?propertyId=33607241</v>
      </c>
      <c r="Q4175" t="s">
        <v>316</v>
      </c>
      <c>
        <v>0.235</v>
      </c>
      <c t="s">
        <v>6175</v>
      </c>
      <c t="s">
        <v>54692</v>
      </c>
      <c t="s">
        <v>18368</v>
      </c>
      <c t="s">
        <v>47715</v>
      </c>
      <c t="s">
        <v>63295</v>
      </c>
      <c t="s">
        <v>54818</v>
      </c>
      <c t="s">
        <v>38550</v>
      </c>
      <c t="s">
        <v>2517</v>
      </c>
      <c t="s">
        <v>39289</v>
      </c>
      <c>
        <v>33909</v>
      </c>
      <c t="s">
        <v>17473</v>
      </c>
      <c t="s">
        <v>48794</v>
      </c>
      <c t="s">
        <v>25987</v>
      </c>
      <c t="str">
        <f>"92-29"</f>
        <v>92-29</v>
      </c>
      <c r="AI4175" t="s">
        <v>44539</v>
      </c>
      <c r="AL4175" t="s">
        <v>23788</v>
      </c>
      <c t="s">
        <v>13397</v>
      </c>
      <c t="s">
        <v>50917</v>
      </c>
      <c>
        <v>11373</v>
      </c>
      <c r="AQ4175" t="s">
        <v>3093</v>
      </c>
      <c t="s">
        <v>18277</v>
      </c>
    </row>
    <row>
      <c t="s">
        <v>17594</v>
      </c>
      <c t="s">
        <v>14740</v>
      </c>
      <c t="s">
        <v>35348</v>
      </c>
      <c t="s">
        <v>57899</v>
      </c>
      <c t="s">
        <v>13675</v>
      </c>
      <c s="3">
        <v>6935</v>
      </c>
      <c s="3">
        <v>6935</v>
      </c>
      <c s="3">
        <v>6935</v>
      </c>
      <c>
        <v>0</v>
      </c>
      <c s="3">
        <v>0</v>
      </c>
      <c s="3">
        <v>645.82</v>
      </c>
      <c s="3">
        <v>6935</v>
      </c>
      <c r="O4176" s="1" t="str">
        <f ca="1">HYPERLINK("https://web.datatree.com/?/property?propertyId=33607519", "https://web.datatree.com/?/property?propertyId=33607519")</f>
        <v>https://web.datatree.com/?/property?propertyId=33607519</v>
      </c>
      <c r="Q4176" t="s">
        <v>316</v>
      </c>
      <c>
        <v>0.332</v>
      </c>
      <c t="s">
        <v>22490</v>
      </c>
      <c t="s">
        <v>11223</v>
      </c>
      <c t="s">
        <v>24620</v>
      </c>
      <c t="s">
        <v>13860</v>
      </c>
      <c t="s">
        <v>24620</v>
      </c>
      <c t="s">
        <v>21630</v>
      </c>
      <c t="s">
        <v>13829</v>
      </c>
      <c t="s">
        <v>2517</v>
      </c>
      <c t="s">
        <v>39289</v>
      </c>
      <c>
        <v>33909</v>
      </c>
      <c t="s">
        <v>31492</v>
      </c>
      <c t="s">
        <v>48794</v>
      </c>
      <c t="s">
        <v>55897</v>
      </c>
      <c>
        <v>4601</v>
      </c>
      <c r="AI4176" t="s">
        <v>62885</v>
      </c>
      <c t="s">
        <v>31192</v>
      </c>
      <c r="AL4176" t="s">
        <v>968</v>
      </c>
      <c r="AN4176" t="s">
        <v>39289</v>
      </c>
      <c t="s">
        <v>50202</v>
      </c>
      <c t="s">
        <v>12483</v>
      </c>
      <c t="s">
        <v>3093</v>
      </c>
      <c t="s">
        <v>57920</v>
      </c>
    </row>
    <row>
      <c t="s">
        <v>17594</v>
      </c>
      <c t="s">
        <v>10378</v>
      </c>
      <c t="s">
        <v>7490</v>
      </c>
      <c t="s">
        <v>58136</v>
      </c>
      <c t="s">
        <v>10271</v>
      </c>
      <c s="3">
        <v>10080</v>
      </c>
      <c s="3">
        <v>10080</v>
      </c>
      <c s="3">
        <v>10080</v>
      </c>
      <c>
        <v>0</v>
      </c>
      <c s="3">
        <v>0</v>
      </c>
      <c s="3">
        <v>865.32</v>
      </c>
      <c s="3">
        <v>10080</v>
      </c>
      <c r="O4177" s="1" t="str">
        <f ca="1">HYPERLINK("https://web.datatree.com/?/property?propertyId=33607706", "https://web.datatree.com/?/property?propertyId=33607706")</f>
        <v>https://web.datatree.com/?/property?propertyId=33607706</v>
      </c>
      <c r="Q4177" t="s">
        <v>316</v>
      </c>
      <c>
        <v>0.359</v>
      </c>
      <c t="s">
        <v>22490</v>
      </c>
      <c t="s">
        <v>66308</v>
      </c>
      <c t="s">
        <v>57496</v>
      </c>
      <c r="X4177" t="s">
        <v>30248</v>
      </c>
      <c t="s">
        <v>59763</v>
      </c>
      <c t="s">
        <v>2517</v>
      </c>
      <c t="s">
        <v>39289</v>
      </c>
      <c>
        <v>33904</v>
      </c>
      <c t="s">
        <v>8582</v>
      </c>
      <c t="s">
        <v>48794</v>
      </c>
      <c t="s">
        <v>11986</v>
      </c>
      <c>
        <v>38</v>
      </c>
      <c r="AI4177" t="s">
        <v>51078</v>
      </c>
      <c t="s">
        <v>31192</v>
      </c>
      <c r="AL4177" t="s">
        <v>64991</v>
      </c>
      <c r="AN4177" t="s">
        <v>14509</v>
      </c>
      <c t="s">
        <v>17375</v>
      </c>
      <c t="s">
        <v>54916</v>
      </c>
      <c t="s">
        <v>3093</v>
      </c>
      <c t="s">
        <v>49742</v>
      </c>
    </row>
    <row>
      <c t="s">
        <v>17594</v>
      </c>
      <c t="s">
        <v>35491</v>
      </c>
      <c t="s">
        <v>31263</v>
      </c>
      <c t="s">
        <v>44077</v>
      </c>
      <c t="s">
        <v>3689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178" s="1" t="str">
        <f ca="1">HYPERLINK("https://web.datatree.com/?/property?propertyId=33607750", "https://web.datatree.com/?/property?propertyId=33607750")</f>
        <v>https://web.datatree.com/?/property?propertyId=33607750</v>
      </c>
      <c r="Q4178" t="s">
        <v>316</v>
      </c>
      <c>
        <v>0.234</v>
      </c>
      <c t="s">
        <v>6175</v>
      </c>
      <c r="U4178" t="s">
        <v>9296</v>
      </c>
      <c t="s">
        <v>26023</v>
      </c>
      <c t="s">
        <v>50165</v>
      </c>
      <c t="s">
        <v>46331</v>
      </c>
      <c t="s">
        <v>29190</v>
      </c>
      <c t="s">
        <v>2517</v>
      </c>
      <c t="s">
        <v>39289</v>
      </c>
      <c>
        <v>33909</v>
      </c>
      <c t="s">
        <v>48042</v>
      </c>
      <c t="s">
        <v>48794</v>
      </c>
      <c t="s">
        <v>49091</v>
      </c>
      <c>
        <v>2345</v>
      </c>
      <c r="AI4178" t="s">
        <v>13109</v>
      </c>
      <c t="s">
        <v>24900</v>
      </c>
      <c r="AL4178" t="s">
        <v>25286</v>
      </c>
      <c t="s">
        <v>25286</v>
      </c>
      <c t="s">
        <v>65451</v>
      </c>
      <c t="s">
        <v>25764</v>
      </c>
      <c t="s">
        <v>27553</v>
      </c>
      <c t="s">
        <v>3093</v>
      </c>
      <c t="s">
        <v>18168</v>
      </c>
    </row>
    <row>
      <c t="s">
        <v>42103</v>
      </c>
      <c t="s">
        <v>66132</v>
      </c>
      <c t="s">
        <v>2836</v>
      </c>
      <c t="s">
        <v>49970</v>
      </c>
      <c t="s">
        <v>15743</v>
      </c>
      <c s="3">
        <v>24450</v>
      </c>
      <c s="3">
        <v>24450</v>
      </c>
      <c s="3">
        <v>24450</v>
      </c>
      <c>
        <v>0</v>
      </c>
      <c s="3">
        <v>0</v>
      </c>
      <c s="3">
        <v>679.9</v>
      </c>
      <c s="3">
        <v>24450</v>
      </c>
      <c r="O4179" s="1" t="str">
        <f ca="1">HYPERLINK("https://web.datatree.com/?/property?propertyId=33608257", "https://web.datatree.com/?/property?propertyId=33608257")</f>
        <v>https://web.datatree.com/?/property?propertyId=33608257</v>
      </c>
      <c r="Q4179" t="s">
        <v>316</v>
      </c>
      <c>
        <v>0.23</v>
      </c>
      <c t="s">
        <v>22490</v>
      </c>
      <c t="s">
        <v>27224</v>
      </c>
      <c t="s">
        <v>40787</v>
      </c>
      <c r="X4179" t="s">
        <v>42450</v>
      </c>
      <c t="s">
        <v>2626</v>
      </c>
      <c t="s">
        <v>2517</v>
      </c>
      <c t="s">
        <v>39289</v>
      </c>
      <c>
        <v>33909</v>
      </c>
      <c t="s">
        <v>51116</v>
      </c>
      <c t="s">
        <v>48794</v>
      </c>
      <c t="s">
        <v>47120</v>
      </c>
      <c r="AI4179" t="s">
        <v>61734</v>
      </c>
      <c r="AL4179" t="s">
        <v>52900</v>
      </c>
      <c t="s">
        <v>52900</v>
      </c>
      <c t="s">
        <v>4477</v>
      </c>
      <c>
        <v>98260</v>
      </c>
      <c t="s">
        <v>9590</v>
      </c>
      <c t="s">
        <v>3093</v>
      </c>
      <c t="s">
        <v>30527</v>
      </c>
    </row>
    <row>
      <c t="s">
        <v>17594</v>
      </c>
      <c t="s">
        <v>46362</v>
      </c>
      <c t="s">
        <v>13178</v>
      </c>
      <c t="s">
        <v>19800</v>
      </c>
      <c t="s">
        <v>50698</v>
      </c>
      <c s="3">
        <v>26249</v>
      </c>
      <c s="3">
        <v>26249</v>
      </c>
      <c s="3">
        <v>12100</v>
      </c>
      <c>
        <v>0</v>
      </c>
      <c s="3">
        <v>0</v>
      </c>
      <c s="3">
        <v>653.92</v>
      </c>
      <c s="3">
        <v>26249</v>
      </c>
      <c>
        <v>2020</v>
      </c>
      <c>
        <v>1873.28</v>
      </c>
      <c s="1" t="str">
        <f ca="1">HYPERLINK("https://web.datatree.com/?/property?propertyId=33608517", "https://web.datatree.com/?/property?propertyId=33608517")</f>
        <v>https://web.datatree.com/?/property?propertyId=33608517</v>
      </c>
      <c r="Q4180" t="s">
        <v>316</v>
      </c>
      <c>
        <v>0.23</v>
      </c>
      <c t="s">
        <v>22490</v>
      </c>
      <c t="s">
        <v>26530</v>
      </c>
      <c t="s">
        <v>47990</v>
      </c>
      <c r="X4180" t="s">
        <v>30142</v>
      </c>
      <c t="s">
        <v>10653</v>
      </c>
      <c t="s">
        <v>2517</v>
      </c>
      <c t="s">
        <v>39289</v>
      </c>
      <c>
        <v>33909</v>
      </c>
      <c t="s">
        <v>45116</v>
      </c>
      <c t="s">
        <v>48794</v>
      </c>
      <c t="s">
        <v>65851</v>
      </c>
      <c>
        <v>101</v>
      </c>
      <c r="AI4180" t="s">
        <v>56239</v>
      </c>
      <c t="s">
        <v>24900</v>
      </c>
      <c r="AL4180" t="s">
        <v>20632</v>
      </c>
      <c r="AN4180" t="s">
        <v>50917</v>
      </c>
      <c t="s">
        <v>8227</v>
      </c>
      <c t="s">
        <v>19978</v>
      </c>
      <c t="s">
        <v>3093</v>
      </c>
      <c t="s">
        <v>25181</v>
      </c>
    </row>
    <row>
      <c t="s">
        <v>17594</v>
      </c>
      <c t="s">
        <v>49380</v>
      </c>
      <c t="s">
        <v>1735</v>
      </c>
      <c t="s">
        <v>66564</v>
      </c>
      <c t="s">
        <v>1015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181" s="1" t="str">
        <f ca="1">HYPERLINK("https://web.datatree.com/?/property?propertyId=33608918", "https://web.datatree.com/?/property?propertyId=33608918")</f>
        <v>https://web.datatree.com/?/property?propertyId=33608918</v>
      </c>
      <c r="Q4181" t="s">
        <v>316</v>
      </c>
      <c>
        <v>0.23</v>
      </c>
      <c t="s">
        <v>22490</v>
      </c>
      <c t="s">
        <v>2902</v>
      </c>
      <c t="s">
        <v>53116</v>
      </c>
      <c t="s">
        <v>40102</v>
      </c>
      <c t="s">
        <v>34217</v>
      </c>
      <c t="s">
        <v>13101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60914</v>
      </c>
      <c>
        <v>8535</v>
      </c>
      <c r="AI4181" t="s">
        <v>532</v>
      </c>
      <c t="s">
        <v>24900</v>
      </c>
      <c r="AL4181" t="s">
        <v>26769</v>
      </c>
      <c r="AN4181" t="s">
        <v>19878</v>
      </c>
      <c t="s">
        <v>32347</v>
      </c>
      <c t="s">
        <v>34162</v>
      </c>
      <c t="s">
        <v>3093</v>
      </c>
      <c t="s">
        <v>28186</v>
      </c>
    </row>
    <row>
      <c t="s">
        <v>17594</v>
      </c>
      <c t="s">
        <v>491</v>
      </c>
      <c t="s">
        <v>56413</v>
      </c>
      <c t="s">
        <v>48070</v>
      </c>
      <c t="s">
        <v>66577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182" s="1" t="str">
        <f ca="1">HYPERLINK("https://web.datatree.com/?/property?propertyId=33608981", "https://web.datatree.com/?/property?propertyId=33608981")</f>
        <v>https://web.datatree.com/?/property?propertyId=33608981</v>
      </c>
      <c r="Q4182" t="s">
        <v>316</v>
      </c>
      <c>
        <v>0.23</v>
      </c>
      <c t="s">
        <v>22490</v>
      </c>
      <c t="s">
        <v>20673</v>
      </c>
      <c t="s">
        <v>57892</v>
      </c>
      <c r="X4182" t="s">
        <v>64150</v>
      </c>
      <c t="s">
        <v>15510</v>
      </c>
      <c t="s">
        <v>2517</v>
      </c>
      <c t="s">
        <v>39289</v>
      </c>
      <c>
        <v>33909</v>
      </c>
      <c t="s">
        <v>8780</v>
      </c>
      <c t="s">
        <v>48794</v>
      </c>
      <c t="s">
        <v>59997</v>
      </c>
      <c>
        <v>1805</v>
      </c>
      <c r="AI4182" t="s">
        <v>15625</v>
      </c>
      <c t="s">
        <v>39321</v>
      </c>
      <c t="str">
        <f>"109-4"</f>
        <v>109-4</v>
      </c>
      <c t="s">
        <v>55393</v>
      </c>
      <c t="s">
        <v>48193</v>
      </c>
      <c t="s">
        <v>39289</v>
      </c>
      <c t="s">
        <v>19496</v>
      </c>
      <c t="s">
        <v>53800</v>
      </c>
      <c t="s">
        <v>3093</v>
      </c>
      <c t="s">
        <v>42596</v>
      </c>
    </row>
    <row>
      <c t="s">
        <v>17594</v>
      </c>
      <c t="s">
        <v>4780</v>
      </c>
      <c t="s">
        <v>1582</v>
      </c>
      <c t="s">
        <v>24387</v>
      </c>
      <c t="s">
        <v>11565</v>
      </c>
      <c s="3">
        <v>12544</v>
      </c>
      <c s="3">
        <v>12544</v>
      </c>
      <c s="3">
        <v>6389</v>
      </c>
      <c>
        <v>0</v>
      </c>
      <c s="3">
        <v>0</v>
      </c>
      <c s="3">
        <v>324.45</v>
      </c>
      <c s="3">
        <v>12544</v>
      </c>
      <c r="O4183" s="1" t="str">
        <f ca="1">HYPERLINK("https://web.datatree.com/?/property?propertyId=33609355", "https://web.datatree.com/?/property?propertyId=33609355")</f>
        <v>https://web.datatree.com/?/property?propertyId=33609355</v>
      </c>
      <c r="Q4183" t="s">
        <v>316</v>
      </c>
      <c>
        <v>0.232</v>
      </c>
      <c t="s">
        <v>5471</v>
      </c>
      <c r="U4183" t="s">
        <v>19380</v>
      </c>
      <c t="s">
        <v>16019</v>
      </c>
      <c t="s">
        <v>50626</v>
      </c>
      <c t="s">
        <v>31883</v>
      </c>
      <c t="s">
        <v>47180</v>
      </c>
      <c t="s">
        <v>65059</v>
      </c>
      <c t="s">
        <v>39289</v>
      </c>
      <c>
        <v>33905</v>
      </c>
      <c t="s">
        <v>3683</v>
      </c>
      <c t="s">
        <v>48794</v>
      </c>
      <c t="s">
        <v>2996</v>
      </c>
      <c>
        <v>14208</v>
      </c>
      <c r="AI4183" t="s">
        <v>4844</v>
      </c>
      <c t="s">
        <v>31192</v>
      </c>
      <c r="AL4183" t="s">
        <v>30190</v>
      </c>
      <c t="s">
        <v>43406</v>
      </c>
      <c t="s">
        <v>65467</v>
      </c>
      <c t="s">
        <v>182</v>
      </c>
      <c t="s">
        <v>12399</v>
      </c>
      <c t="s">
        <v>3093</v>
      </c>
      <c t="s">
        <v>64202</v>
      </c>
    </row>
    <row>
      <c t="s">
        <v>17594</v>
      </c>
      <c t="s">
        <v>10071</v>
      </c>
      <c t="s">
        <v>45691</v>
      </c>
      <c t="s">
        <v>13319</v>
      </c>
      <c t="s">
        <v>54422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605.74</v>
      </c>
      <c s="1" t="str">
        <f ca="1">HYPERLINK("https://web.datatree.com/?/property?propertyId=33609492", "https://web.datatree.com/?/property?propertyId=33609492")</f>
        <v>https://web.datatree.com/?/property?propertyId=33609492</v>
      </c>
      <c r="Q4184" t="s">
        <v>316</v>
      </c>
      <c>
        <v>0.234</v>
      </c>
      <c t="s">
        <v>22490</v>
      </c>
      <c t="s">
        <v>24606</v>
      </c>
      <c t="s">
        <v>53009</v>
      </c>
      <c r="X4184" t="s">
        <v>14788</v>
      </c>
      <c t="s">
        <v>22731</v>
      </c>
      <c t="s">
        <v>2517</v>
      </c>
      <c t="s">
        <v>39289</v>
      </c>
      <c>
        <v>33909</v>
      </c>
      <c t="s">
        <v>12017</v>
      </c>
      <c t="s">
        <v>48794</v>
      </c>
      <c t="s">
        <v>43025</v>
      </c>
      <c>
        <v>1616</v>
      </c>
      <c r="AI4184" t="s">
        <v>19194</v>
      </c>
      <c t="s">
        <v>24900</v>
      </c>
      <c r="AL4184" t="s">
        <v>18475</v>
      </c>
      <c t="s">
        <v>18475</v>
      </c>
      <c t="s">
        <v>22275</v>
      </c>
      <c t="s">
        <v>36947</v>
      </c>
      <c t="s">
        <v>17380</v>
      </c>
      <c t="s">
        <v>3093</v>
      </c>
      <c t="s">
        <v>19192</v>
      </c>
    </row>
    <row>
      <c t="s">
        <v>17594</v>
      </c>
      <c t="s">
        <v>20482</v>
      </c>
      <c t="s">
        <v>17259</v>
      </c>
      <c t="s">
        <v>66870</v>
      </c>
      <c t="s">
        <v>20726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4185" s="1" t="str">
        <f ca="1">HYPERLINK("https://web.datatree.com/?/property?propertyId=33610497", "https://web.datatree.com/?/property?propertyId=33610497")</f>
        <v>https://web.datatree.com/?/property?propertyId=33610497</v>
      </c>
      <c r="Q4185" t="s">
        <v>316</v>
      </c>
      <c>
        <v>0.244</v>
      </c>
      <c t="s">
        <v>6175</v>
      </c>
      <c t="s">
        <v>38835</v>
      </c>
      <c t="s">
        <v>28044</v>
      </c>
      <c r="X4185" t="s">
        <v>51772</v>
      </c>
      <c t="s">
        <v>53675</v>
      </c>
      <c t="s">
        <v>2517</v>
      </c>
      <c t="s">
        <v>39289</v>
      </c>
      <c>
        <v>33909</v>
      </c>
      <c t="s">
        <v>18293</v>
      </c>
      <c t="s">
        <v>48794</v>
      </c>
      <c t="s">
        <v>20346</v>
      </c>
      <c>
        <v>7969</v>
      </c>
      <c r="AI4185" t="s">
        <v>22731</v>
      </c>
      <c t="s">
        <v>39321</v>
      </c>
      <c r="AL4185" t="s">
        <v>56874</v>
      </c>
      <c r="AN4185" t="s">
        <v>39289</v>
      </c>
      <c t="s">
        <v>35856</v>
      </c>
      <c t="s">
        <v>64089</v>
      </c>
      <c t="s">
        <v>3093</v>
      </c>
      <c t="s">
        <v>64006</v>
      </c>
    </row>
    <row>
      <c t="s">
        <v>17594</v>
      </c>
      <c t="s">
        <v>30696</v>
      </c>
      <c t="s">
        <v>61542</v>
      </c>
      <c t="s">
        <v>17962</v>
      </c>
      <c t="s">
        <v>21730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 r="O4186" s="1" t="str">
        <f ca="1">HYPERLINK("https://web.datatree.com/?/property?propertyId=33611239", "https://web.datatree.com/?/property?propertyId=33611239")</f>
        <v>https://web.datatree.com/?/property?propertyId=33611239</v>
      </c>
      <c r="Q4186" t="s">
        <v>316</v>
      </c>
      <c>
        <v>0.298</v>
      </c>
      <c t="s">
        <v>5471</v>
      </c>
      <c t="s">
        <v>54854</v>
      </c>
      <c t="s">
        <v>56661</v>
      </c>
      <c t="s">
        <v>4847</v>
      </c>
      <c t="s">
        <v>56661</v>
      </c>
      <c t="s">
        <v>14987</v>
      </c>
      <c t="s">
        <v>51290</v>
      </c>
      <c t="s">
        <v>65059</v>
      </c>
      <c t="s">
        <v>39289</v>
      </c>
      <c>
        <v>33905</v>
      </c>
      <c t="s">
        <v>35345</v>
      </c>
      <c t="s">
        <v>48794</v>
      </c>
      <c t="s">
        <v>14962</v>
      </c>
      <c>
        <v>611</v>
      </c>
      <c r="AI4186" t="s">
        <v>41617</v>
      </c>
      <c t="s">
        <v>45620</v>
      </c>
      <c r="AL4186" t="s">
        <v>47935</v>
      </c>
      <c r="AN4186" t="s">
        <v>65467</v>
      </c>
      <c t="s">
        <v>65765</v>
      </c>
      <c t="s">
        <v>4480</v>
      </c>
      <c t="s">
        <v>3093</v>
      </c>
      <c t="s">
        <v>44831</v>
      </c>
    </row>
    <row>
      <c t="s">
        <v>17594</v>
      </c>
      <c t="s">
        <v>33114</v>
      </c>
      <c t="s">
        <v>1321</v>
      </c>
      <c t="s">
        <v>58301</v>
      </c>
      <c t="s">
        <v>37756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187" s="1" t="str">
        <f ca="1">HYPERLINK("https://web.datatree.com/?/property?propertyId=33611241", "https://web.datatree.com/?/property?propertyId=33611241")</f>
        <v>https://web.datatree.com/?/property?propertyId=33611241</v>
      </c>
      <c r="Q4187" t="s">
        <v>316</v>
      </c>
      <c>
        <v>0.23</v>
      </c>
      <c t="s">
        <v>6175</v>
      </c>
      <c t="s">
        <v>3217</v>
      </c>
      <c t="s">
        <v>18314</v>
      </c>
      <c r="X4187" t="s">
        <v>44257</v>
      </c>
      <c t="s">
        <v>10653</v>
      </c>
      <c t="s">
        <v>2517</v>
      </c>
      <c t="s">
        <v>39289</v>
      </c>
      <c>
        <v>33909</v>
      </c>
      <c t="s">
        <v>56086</v>
      </c>
      <c t="s">
        <v>48794</v>
      </c>
      <c t="s">
        <v>56840</v>
      </c>
      <c>
        <v>6900</v>
      </c>
      <c r="AI4187" t="s">
        <v>42233</v>
      </c>
      <c t="s">
        <v>31192</v>
      </c>
      <c>
        <v>603</v>
      </c>
      <c t="s">
        <v>38297</v>
      </c>
      <c r="AN4187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19584</v>
      </c>
      <c t="s">
        <v>65846</v>
      </c>
      <c t="s">
        <v>20237</v>
      </c>
      <c t="s">
        <v>39305</v>
      </c>
      <c s="3">
        <v>60317</v>
      </c>
      <c s="3">
        <v>60317</v>
      </c>
      <c s="3">
        <v>55290</v>
      </c>
      <c>
        <v>0</v>
      </c>
      <c s="3">
        <v>0</v>
      </c>
      <c s="3">
        <v>855.72</v>
      </c>
      <c s="3">
        <v>60317</v>
      </c>
      <c r="O4188" s="1" t="str">
        <f ca="1">HYPERLINK("https://web.datatree.com/?/property?propertyId=33611319", "https://web.datatree.com/?/property?propertyId=33611319")</f>
        <v>https://web.datatree.com/?/property?propertyId=33611319</v>
      </c>
      <c r="Q4188" t="s">
        <v>316</v>
      </c>
      <c>
        <v>0.378</v>
      </c>
      <c t="s">
        <v>30497</v>
      </c>
      <c t="s">
        <v>2140</v>
      </c>
      <c t="s">
        <v>60634</v>
      </c>
      <c r="X4188" t="s">
        <v>61316</v>
      </c>
      <c t="s">
        <v>48518</v>
      </c>
      <c t="s">
        <v>65059</v>
      </c>
      <c t="s">
        <v>39289</v>
      </c>
      <c>
        <v>33905</v>
      </c>
      <c>
        <v>33905</v>
      </c>
      <c t="s">
        <v>48794</v>
      </c>
      <c t="s">
        <v>49776</v>
      </c>
      <c>
        <v>110</v>
      </c>
      <c r="AI4188" t="s">
        <v>38865</v>
      </c>
      <c t="s">
        <v>40123</v>
      </c>
      <c>
        <v>311</v>
      </c>
      <c t="s">
        <v>6714</v>
      </c>
      <c t="s">
        <v>6714</v>
      </c>
      <c t="s">
        <v>39289</v>
      </c>
      <c t="s">
        <v>42805</v>
      </c>
      <c t="s">
        <v>54916</v>
      </c>
      <c t="s">
        <v>3093</v>
      </c>
      <c t="s">
        <v>54590</v>
      </c>
    </row>
    <row>
      <c t="s">
        <v>17594</v>
      </c>
      <c t="s">
        <v>38138</v>
      </c>
      <c t="s">
        <v>60504</v>
      </c>
      <c t="s">
        <v>25556</v>
      </c>
      <c t="s">
        <v>16052</v>
      </c>
      <c s="3">
        <v>10945</v>
      </c>
      <c s="3">
        <v>10945</v>
      </c>
      <c s="3">
        <v>4972</v>
      </c>
      <c>
        <v>0</v>
      </c>
      <c s="3">
        <v>0</v>
      </c>
      <c s="3">
        <v>330.97</v>
      </c>
      <c s="3">
        <v>10945</v>
      </c>
      <c r="O4189" s="1" t="str">
        <f ca="1">HYPERLINK("https://web.datatree.com/?/property?propertyId=33611886", "https://web.datatree.com/?/property?propertyId=33611886")</f>
        <v>https://web.datatree.com/?/property?propertyId=33611886</v>
      </c>
      <c r="Q4189" t="s">
        <v>316</v>
      </c>
      <c>
        <v>0.354</v>
      </c>
      <c t="s">
        <v>37489</v>
      </c>
      <c t="s">
        <v>30837</v>
      </c>
      <c t="s">
        <v>57219</v>
      </c>
      <c r="X4189" t="s">
        <v>41778</v>
      </c>
      <c t="s">
        <v>65695</v>
      </c>
      <c t="s">
        <v>65059</v>
      </c>
      <c t="s">
        <v>39289</v>
      </c>
      <c>
        <v>33905</v>
      </c>
      <c t="s">
        <v>55836</v>
      </c>
      <c t="s">
        <v>48794</v>
      </c>
      <c t="s">
        <v>30560</v>
      </c>
      <c>
        <v>141</v>
      </c>
      <c r="AI4189" t="s">
        <v>4141</v>
      </c>
      <c t="s">
        <v>45393</v>
      </c>
      <c r="AL4189" t="s">
        <v>50198</v>
      </c>
      <c r="AN4189" t="s">
        <v>26016</v>
      </c>
      <c t="s">
        <v>24643</v>
      </c>
      <c t="s">
        <v>27780</v>
      </c>
      <c t="s">
        <v>3093</v>
      </c>
      <c t="s">
        <v>39797</v>
      </c>
    </row>
    <row>
      <c t="s">
        <v>17594</v>
      </c>
      <c t="s">
        <v>63223</v>
      </c>
      <c t="s">
        <v>43972</v>
      </c>
      <c t="s">
        <v>17791</v>
      </c>
      <c t="s">
        <v>15777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4190" s="1" t="str">
        <f ca="1">HYPERLINK("https://web.datatree.com/?/property?propertyId=33613255", "https://web.datatree.com/?/property?propertyId=33613255")</f>
        <v>https://web.datatree.com/?/property?propertyId=33613255</v>
      </c>
      <c r="Q4190" t="s">
        <v>316</v>
      </c>
      <c>
        <v>0.23</v>
      </c>
      <c t="s">
        <v>22490</v>
      </c>
      <c t="s">
        <v>33321</v>
      </c>
      <c t="s">
        <v>37717</v>
      </c>
      <c t="s">
        <v>42747</v>
      </c>
      <c t="s">
        <v>37717</v>
      </c>
      <c t="s">
        <v>44631</v>
      </c>
      <c t="s">
        <v>22731</v>
      </c>
      <c t="s">
        <v>2517</v>
      </c>
      <c t="s">
        <v>39289</v>
      </c>
      <c>
        <v>33909</v>
      </c>
      <c t="s">
        <v>8605</v>
      </c>
      <c t="s">
        <v>48794</v>
      </c>
      <c t="s">
        <v>945</v>
      </c>
      <c>
        <v>3860</v>
      </c>
      <c r="AI4190" t="s">
        <v>5052</v>
      </c>
      <c t="s">
        <v>7412</v>
      </c>
      <c r="AL4190" t="s">
        <v>58865</v>
      </c>
      <c t="s">
        <v>58865</v>
      </c>
      <c t="s">
        <v>66651</v>
      </c>
      <c t="s">
        <v>56243</v>
      </c>
      <c t="s">
        <v>31373</v>
      </c>
      <c t="s">
        <v>3093</v>
      </c>
      <c t="s">
        <v>14476</v>
      </c>
    </row>
    <row>
      <c t="s">
        <v>17594</v>
      </c>
      <c t="s">
        <v>36132</v>
      </c>
      <c t="s">
        <v>27505</v>
      </c>
      <c t="s">
        <v>9444</v>
      </c>
      <c t="s">
        <v>44057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4191" s="1" t="str">
        <f ca="1">HYPERLINK("https://web.datatree.com/?/property?propertyId=33613979", "https://web.datatree.com/?/property?propertyId=33613979")</f>
        <v>https://web.datatree.com/?/property?propertyId=33613979</v>
      </c>
      <c r="Q4191" t="s">
        <v>316</v>
      </c>
      <c>
        <v>0.23</v>
      </c>
      <c t="s">
        <v>22490</v>
      </c>
      <c t="s">
        <v>58272</v>
      </c>
      <c t="s">
        <v>37129</v>
      </c>
      <c r="X4191" t="s">
        <v>5238</v>
      </c>
      <c t="s">
        <v>30928</v>
      </c>
      <c t="s">
        <v>2517</v>
      </c>
      <c t="s">
        <v>39289</v>
      </c>
      <c>
        <v>33909</v>
      </c>
      <c t="s">
        <v>56213</v>
      </c>
      <c t="s">
        <v>48794</v>
      </c>
      <c t="s">
        <v>2564</v>
      </c>
      <c>
        <v>1485</v>
      </c>
      <c r="AI4191" t="s">
        <v>46254</v>
      </c>
      <c t="s">
        <v>24900</v>
      </c>
      <c r="AL4191" t="s">
        <v>39524</v>
      </c>
      <c r="AN4191" t="s">
        <v>26016</v>
      </c>
      <c t="s">
        <v>65480</v>
      </c>
      <c t="s">
        <v>52551</v>
      </c>
      <c t="s">
        <v>3093</v>
      </c>
      <c t="s">
        <v>54065</v>
      </c>
    </row>
    <row>
      <c t="s">
        <v>17594</v>
      </c>
      <c t="s">
        <v>62569</v>
      </c>
      <c t="s">
        <v>50063</v>
      </c>
      <c t="s">
        <v>31616</v>
      </c>
      <c t="s">
        <v>60211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4192" s="1" t="str">
        <f ca="1">HYPERLINK("https://web.datatree.com/?/property?propertyId=33614065", "https://web.datatree.com/?/property?propertyId=33614065")</f>
        <v>https://web.datatree.com/?/property?propertyId=33614065</v>
      </c>
      <c r="Q4192" t="s">
        <v>316</v>
      </c>
      <c>
        <v>0.23</v>
      </c>
      <c t="s">
        <v>6175</v>
      </c>
      <c t="s">
        <v>57851</v>
      </c>
      <c t="s">
        <v>29771</v>
      </c>
      <c t="s">
        <v>32738</v>
      </c>
      <c t="s">
        <v>29771</v>
      </c>
      <c t="s">
        <v>62222</v>
      </c>
      <c t="s">
        <v>30928</v>
      </c>
      <c t="s">
        <v>2517</v>
      </c>
      <c t="s">
        <v>39289</v>
      </c>
      <c>
        <v>33909</v>
      </c>
      <c t="s">
        <v>16123</v>
      </c>
      <c t="s">
        <v>48794</v>
      </c>
      <c t="s">
        <v>50229</v>
      </c>
      <c>
        <v>116</v>
      </c>
      <c r="AI4192" t="s">
        <v>11361</v>
      </c>
      <c t="s">
        <v>4985</v>
      </c>
      <c>
        <v>208</v>
      </c>
      <c t="s">
        <v>36966</v>
      </c>
      <c r="AN4192" t="s">
        <v>57326</v>
      </c>
      <c t="s">
        <v>41805</v>
      </c>
      <c r="AQ4192" t="s">
        <v>27814</v>
      </c>
      <c t="s">
        <v>45455</v>
      </c>
    </row>
    <row>
      <c t="s">
        <v>17594</v>
      </c>
      <c t="s">
        <v>36619</v>
      </c>
      <c t="s">
        <v>1321</v>
      </c>
      <c t="s">
        <v>51321</v>
      </c>
      <c t="s">
        <v>18243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4193" s="1" t="str">
        <f ca="1">HYPERLINK("https://web.datatree.com/?/property?propertyId=33614575", "https://web.datatree.com/?/property?propertyId=33614575")</f>
        <v>https://web.datatree.com/?/property?propertyId=33614575</v>
      </c>
      <c r="Q4193" t="s">
        <v>316</v>
      </c>
      <c>
        <v>0.23</v>
      </c>
      <c t="s">
        <v>6175</v>
      </c>
      <c t="s">
        <v>5588</v>
      </c>
      <c t="s">
        <v>32675</v>
      </c>
      <c r="W4193" t="s">
        <v>855</v>
      </c>
      <c t="s">
        <v>49293</v>
      </c>
      <c t="s">
        <v>14534</v>
      </c>
      <c t="s">
        <v>2517</v>
      </c>
      <c t="s">
        <v>39289</v>
      </c>
      <c>
        <v>33909</v>
      </c>
      <c t="s">
        <v>35267</v>
      </c>
      <c t="s">
        <v>48794</v>
      </c>
      <c t="s">
        <v>62188</v>
      </c>
      <c>
        <v>6900</v>
      </c>
      <c r="AI4193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46422</v>
      </c>
      <c t="s">
        <v>7928</v>
      </c>
      <c t="s">
        <v>35829</v>
      </c>
      <c t="s">
        <v>13969</v>
      </c>
      <c s="3">
        <v>47000</v>
      </c>
      <c s="3">
        <v>47000</v>
      </c>
      <c s="3">
        <v>9599</v>
      </c>
      <c>
        <v>0</v>
      </c>
      <c s="3">
        <v>0</v>
      </c>
      <c s="3">
        <v>893.01</v>
      </c>
      <c s="3">
        <v>47000</v>
      </c>
      <c r="O4194" s="1" t="str">
        <f ca="1">HYPERLINK("https://web.datatree.com/?/property?propertyId=33615178", "https://web.datatree.com/?/property?propertyId=33615178")</f>
        <v>https://web.datatree.com/?/property?propertyId=33615178</v>
      </c>
      <c r="Q4194" t="s">
        <v>316</v>
      </c>
      <c>
        <v>0.413</v>
      </c>
      <c t="s">
        <v>42044</v>
      </c>
      <c t="s">
        <v>60600</v>
      </c>
      <c t="s">
        <v>26687</v>
      </c>
      <c t="s">
        <v>48615</v>
      </c>
      <c t="s">
        <v>1132</v>
      </c>
      <c t="s">
        <v>31822</v>
      </c>
      <c t="s">
        <v>8669</v>
      </c>
      <c t="s">
        <v>2517</v>
      </c>
      <c t="s">
        <v>39289</v>
      </c>
      <c>
        <v>33909</v>
      </c>
      <c t="s">
        <v>28217</v>
      </c>
      <c t="s">
        <v>48794</v>
      </c>
      <c t="s">
        <v>59759</v>
      </c>
      <c>
        <v>5916</v>
      </c>
      <c r="AI4194" t="s">
        <v>43213</v>
      </c>
      <c t="s">
        <v>45620</v>
      </c>
      <c>
        <v>589</v>
      </c>
      <c t="s">
        <v>51502</v>
      </c>
      <c t="s">
        <v>51502</v>
      </c>
      <c t="s">
        <v>65451</v>
      </c>
      <c t="s">
        <v>10874</v>
      </c>
      <c t="s">
        <v>26242</v>
      </c>
      <c t="s">
        <v>3093</v>
      </c>
      <c t="s">
        <v>27512</v>
      </c>
    </row>
    <row>
      <c t="s">
        <v>17594</v>
      </c>
      <c t="s">
        <v>50300</v>
      </c>
      <c t="s">
        <v>62654</v>
      </c>
      <c t="s">
        <v>15412</v>
      </c>
      <c t="s">
        <v>11331</v>
      </c>
      <c s="3">
        <v>28000</v>
      </c>
      <c s="3">
        <v>28000</v>
      </c>
      <c s="3">
        <v>12320</v>
      </c>
      <c>
        <v>0</v>
      </c>
      <c s="3">
        <v>0</v>
      </c>
      <c s="3">
        <v>2920.44</v>
      </c>
      <c s="3">
        <v>28000</v>
      </c>
      <c r="O4195" s="1" t="str">
        <f ca="1">HYPERLINK("https://web.datatree.com/?/property?propertyId=33615480", "https://web.datatree.com/?/property?propertyId=33615480")</f>
        <v>https://web.datatree.com/?/property?propertyId=33615480</v>
      </c>
      <c r="Q4195" t="s">
        <v>316</v>
      </c>
      <c>
        <v>0.23</v>
      </c>
      <c t="s">
        <v>22490</v>
      </c>
      <c t="s">
        <v>66587</v>
      </c>
      <c t="s">
        <v>35571</v>
      </c>
      <c r="X4195" t="s">
        <v>65469</v>
      </c>
      <c t="s">
        <v>47150</v>
      </c>
      <c t="s">
        <v>2517</v>
      </c>
      <c t="s">
        <v>39289</v>
      </c>
      <c>
        <v>33909</v>
      </c>
      <c t="s">
        <v>14210</v>
      </c>
      <c t="s">
        <v>48794</v>
      </c>
      <c t="s">
        <v>28077</v>
      </c>
      <c>
        <v>1127</v>
      </c>
      <c r="AI4195" t="s">
        <v>15904</v>
      </c>
      <c t="s">
        <v>835</v>
      </c>
      <c r="AL4195" t="s">
        <v>16673</v>
      </c>
      <c t="s">
        <v>16673</v>
      </c>
      <c t="s">
        <v>65451</v>
      </c>
      <c t="s">
        <v>31982</v>
      </c>
      <c t="s">
        <v>27553</v>
      </c>
      <c t="s">
        <v>3093</v>
      </c>
      <c t="s">
        <v>48676</v>
      </c>
    </row>
    <row>
      <c t="s">
        <v>17594</v>
      </c>
      <c t="s">
        <v>27359</v>
      </c>
      <c t="s">
        <v>3690</v>
      </c>
      <c t="s">
        <v>5922</v>
      </c>
      <c t="s">
        <v>54949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196" s="1" t="str">
        <f ca="1">HYPERLINK("https://web.datatree.com/?/property?propertyId=33615709", "https://web.datatree.com/?/property?propertyId=33615709")</f>
        <v>https://web.datatree.com/?/property?propertyId=33615709</v>
      </c>
      <c r="Q4196" t="s">
        <v>316</v>
      </c>
      <c>
        <v>0.244</v>
      </c>
      <c t="s">
        <v>6175</v>
      </c>
      <c t="s">
        <v>10361</v>
      </c>
      <c t="s">
        <v>31808</v>
      </c>
      <c t="s">
        <v>35852</v>
      </c>
      <c t="s">
        <v>31808</v>
      </c>
      <c t="s">
        <v>8392</v>
      </c>
      <c t="s">
        <v>10653</v>
      </c>
      <c t="s">
        <v>2517</v>
      </c>
      <c t="s">
        <v>39289</v>
      </c>
      <c>
        <v>33909</v>
      </c>
      <c t="s">
        <v>36705</v>
      </c>
      <c t="s">
        <v>48794</v>
      </c>
      <c t="s">
        <v>17260</v>
      </c>
      <c>
        <v>101</v>
      </c>
      <c r="AI4196" t="s">
        <v>9466</v>
      </c>
      <c t="s">
        <v>24900</v>
      </c>
      <c r="AL4196" t="s">
        <v>66317</v>
      </c>
      <c r="AN4196" t="s">
        <v>50917</v>
      </c>
      <c t="s">
        <v>60974</v>
      </c>
      <c t="s">
        <v>45980</v>
      </c>
      <c t="s">
        <v>3093</v>
      </c>
      <c t="s">
        <v>64576</v>
      </c>
    </row>
    <row>
      <c t="s">
        <v>17594</v>
      </c>
      <c t="s">
        <v>1152</v>
      </c>
      <c t="s">
        <v>62019</v>
      </c>
      <c t="s">
        <v>15940</v>
      </c>
      <c t="s">
        <v>64601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197" s="1" t="str">
        <f ca="1">HYPERLINK("https://web.datatree.com/?/property?propertyId=33616161", "https://web.datatree.com/?/property?propertyId=33616161")</f>
        <v>https://web.datatree.com/?/property?propertyId=33616161</v>
      </c>
      <c r="Q4197" t="s">
        <v>316</v>
      </c>
      <c>
        <v>0.227</v>
      </c>
      <c t="s">
        <v>42044</v>
      </c>
      <c t="s">
        <v>30886</v>
      </c>
      <c t="s">
        <v>47054</v>
      </c>
      <c t="s">
        <v>64877</v>
      </c>
      <c t="s">
        <v>65214</v>
      </c>
      <c t="s">
        <v>30826</v>
      </c>
      <c t="s">
        <v>7113</v>
      </c>
      <c t="s">
        <v>2517</v>
      </c>
      <c t="s">
        <v>39289</v>
      </c>
      <c>
        <v>33909</v>
      </c>
      <c t="s">
        <v>5757</v>
      </c>
      <c t="s">
        <v>48794</v>
      </c>
      <c t="s">
        <v>61482</v>
      </c>
      <c>
        <v>16450</v>
      </c>
      <c r="AI4197" t="s">
        <v>13964</v>
      </c>
      <c t="s">
        <v>39321</v>
      </c>
      <c r="AL4197" t="s">
        <v>55393</v>
      </c>
      <c r="AN4197" t="s">
        <v>39289</v>
      </c>
      <c t="s">
        <v>52642</v>
      </c>
      <c t="s">
        <v>14564</v>
      </c>
      <c t="s">
        <v>3093</v>
      </c>
      <c t="s">
        <v>12942</v>
      </c>
    </row>
    <row>
      <c t="s">
        <v>17594</v>
      </c>
      <c t="s">
        <v>10713</v>
      </c>
      <c t="s">
        <v>16875</v>
      </c>
      <c t="s">
        <v>32516</v>
      </c>
      <c t="s">
        <v>43127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198" s="1" t="str">
        <f ca="1">HYPERLINK("https://web.datatree.com/?/property?propertyId=33616278", "https://web.datatree.com/?/property?propertyId=33616278")</f>
        <v>https://web.datatree.com/?/property?propertyId=33616278</v>
      </c>
      <c r="Q4198" t="s">
        <v>316</v>
      </c>
      <c>
        <v>0.23</v>
      </c>
      <c t="s">
        <v>6175</v>
      </c>
      <c t="s">
        <v>42397</v>
      </c>
      <c t="s">
        <v>764</v>
      </c>
      <c t="s">
        <v>21379</v>
      </c>
      <c t="s">
        <v>764</v>
      </c>
      <c t="s">
        <v>30532</v>
      </c>
      <c t="s">
        <v>30928</v>
      </c>
      <c t="s">
        <v>2517</v>
      </c>
      <c t="s">
        <v>39289</v>
      </c>
      <c>
        <v>33909</v>
      </c>
      <c t="s">
        <v>43546</v>
      </c>
      <c t="s">
        <v>48794</v>
      </c>
      <c t="s">
        <v>60284</v>
      </c>
      <c>
        <v>15323</v>
      </c>
      <c r="AI4198" t="s">
        <v>3042</v>
      </c>
      <c t="s">
        <v>39321</v>
      </c>
      <c r="AL4198" t="s">
        <v>55393</v>
      </c>
      <c r="AN4198" t="s">
        <v>39289</v>
      </c>
      <c t="s">
        <v>34917</v>
      </c>
      <c t="s">
        <v>36802</v>
      </c>
      <c t="s">
        <v>3093</v>
      </c>
      <c t="s">
        <v>6670</v>
      </c>
    </row>
    <row>
      <c t="s">
        <v>17594</v>
      </c>
      <c t="s">
        <v>23726</v>
      </c>
      <c t="s">
        <v>4911</v>
      </c>
      <c t="s">
        <v>48174</v>
      </c>
      <c t="s">
        <v>40032</v>
      </c>
      <c s="3">
        <v>29181</v>
      </c>
      <c s="3">
        <v>29181</v>
      </c>
      <c s="3">
        <v>11385</v>
      </c>
      <c>
        <v>0</v>
      </c>
      <c s="3">
        <v>0</v>
      </c>
      <c s="3">
        <v>743.33</v>
      </c>
      <c s="3">
        <v>29181</v>
      </c>
      <c r="O4199" s="1" t="str">
        <f ca="1">HYPERLINK("https://web.datatree.com/?/property?propertyId=33617139", "https://web.datatree.com/?/property?propertyId=33617139")</f>
        <v>https://web.datatree.com/?/property?propertyId=33617139</v>
      </c>
      <c r="Q4199" t="s">
        <v>316</v>
      </c>
      <c>
        <v>0.344</v>
      </c>
      <c t="s">
        <v>22490</v>
      </c>
      <c t="s">
        <v>53563</v>
      </c>
      <c t="s">
        <v>10693</v>
      </c>
      <c r="X4199" t="s">
        <v>1689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963</v>
      </c>
      <c>
        <v>33</v>
      </c>
      <c r="AI4199" t="s">
        <v>46175</v>
      </c>
      <c r="AL4199" t="s">
        <v>23336</v>
      </c>
      <c r="AN4199" t="s">
        <v>13328</v>
      </c>
      <c>
        <v>0</v>
      </c>
      <c r="AR4199" t="s">
        <v>33762</v>
      </c>
    </row>
    <row>
      <c t="s">
        <v>17594</v>
      </c>
      <c t="s">
        <v>50190</v>
      </c>
      <c t="s">
        <v>13091</v>
      </c>
      <c t="s">
        <v>64647</v>
      </c>
      <c t="s">
        <v>53820</v>
      </c>
      <c s="3">
        <v>7700</v>
      </c>
      <c s="3">
        <v>7700</v>
      </c>
      <c s="3">
        <v>7700</v>
      </c>
      <c>
        <v>0</v>
      </c>
      <c s="3">
        <v>0</v>
      </c>
      <c s="3">
        <v>491.47</v>
      </c>
      <c s="3">
        <v>7700</v>
      </c>
      <c r="O4200" s="1" t="str">
        <f ca="1">HYPERLINK("https://web.datatree.com/?/property?propertyId=33617230", "https://web.datatree.com/?/property?propertyId=33617230")</f>
        <v>https://web.datatree.com/?/property?propertyId=33617230</v>
      </c>
      <c r="Q4200" t="s">
        <v>316</v>
      </c>
      <c>
        <v>0.23</v>
      </c>
      <c t="s">
        <v>6175</v>
      </c>
      <c t="s">
        <v>54921</v>
      </c>
      <c t="s">
        <v>53790</v>
      </c>
      <c t="s">
        <v>28421</v>
      </c>
      <c t="s">
        <v>53790</v>
      </c>
      <c t="s">
        <v>9824</v>
      </c>
      <c t="s">
        <v>29190</v>
      </c>
      <c t="s">
        <v>2517</v>
      </c>
      <c t="s">
        <v>39289</v>
      </c>
      <c>
        <v>33909</v>
      </c>
      <c t="s">
        <v>124</v>
      </c>
      <c t="s">
        <v>48794</v>
      </c>
      <c t="s">
        <v>23743</v>
      </c>
      <c>
        <v>3680</v>
      </c>
      <c r="AI4200" t="s">
        <v>7899</v>
      </c>
      <c t="s">
        <v>55842</v>
      </c>
      <c r="AL4200" t="s">
        <v>26641</v>
      </c>
      <c r="AN4200" t="s">
        <v>39289</v>
      </c>
      <c t="s">
        <v>21661</v>
      </c>
      <c t="s">
        <v>62830</v>
      </c>
      <c t="s">
        <v>3093</v>
      </c>
      <c t="s">
        <v>15318</v>
      </c>
    </row>
    <row>
      <c t="s">
        <v>17594</v>
      </c>
      <c t="s">
        <v>6469</v>
      </c>
      <c t="s">
        <v>35352</v>
      </c>
      <c t="s">
        <v>38709</v>
      </c>
      <c t="s">
        <v>47212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4201" s="1" t="str">
        <f ca="1">HYPERLINK("https://web.datatree.com/?/property?propertyId=33617635", "https://web.datatree.com/?/property?propertyId=33617635")</f>
        <v>https://web.datatree.com/?/property?propertyId=33617635</v>
      </c>
      <c r="Q4201" t="s">
        <v>316</v>
      </c>
      <c>
        <v>0.23</v>
      </c>
      <c t="s">
        <v>6175</v>
      </c>
      <c t="s">
        <v>24692</v>
      </c>
      <c t="s">
        <v>14002</v>
      </c>
      <c t="s">
        <v>10361</v>
      </c>
      <c t="s">
        <v>14002</v>
      </c>
      <c t="s">
        <v>64107</v>
      </c>
      <c t="s">
        <v>2619</v>
      </c>
      <c t="s">
        <v>2517</v>
      </c>
      <c t="s">
        <v>39289</v>
      </c>
      <c>
        <v>33909</v>
      </c>
      <c t="s">
        <v>41127</v>
      </c>
      <c t="s">
        <v>48794</v>
      </c>
      <c t="s">
        <v>66012</v>
      </c>
      <c>
        <v>39</v>
      </c>
      <c r="AI4201" t="s">
        <v>42771</v>
      </c>
      <c t="s">
        <v>40345</v>
      </c>
      <c r="AL4201" t="s">
        <v>63816</v>
      </c>
      <c r="AN4201" t="s">
        <v>10909</v>
      </c>
      <c t="s">
        <v>39199</v>
      </c>
      <c r="AQ4201" t="s">
        <v>27814</v>
      </c>
      <c t="s">
        <v>18182</v>
      </c>
    </row>
    <row>
      <c t="s">
        <v>17594</v>
      </c>
      <c t="s">
        <v>58857</v>
      </c>
      <c t="s">
        <v>53524</v>
      </c>
      <c t="s">
        <v>29226</v>
      </c>
      <c t="s">
        <v>44162</v>
      </c>
      <c s="3">
        <v>8760</v>
      </c>
      <c s="3">
        <v>8760</v>
      </c>
      <c s="3">
        <v>8760</v>
      </c>
      <c>
        <v>0</v>
      </c>
      <c s="3">
        <v>0</v>
      </c>
      <c s="3">
        <v>697.52</v>
      </c>
      <c s="3">
        <v>8760</v>
      </c>
      <c r="O4202" s="1" t="str">
        <f ca="1">HYPERLINK("https://web.datatree.com/?/property?propertyId=33617672", "https://web.datatree.com/?/property?propertyId=33617672")</f>
        <v>https://web.datatree.com/?/property?propertyId=33617672</v>
      </c>
      <c r="Q4202" t="s">
        <v>316</v>
      </c>
      <c>
        <v>0.344</v>
      </c>
      <c t="s">
        <v>22490</v>
      </c>
      <c r="U4202" t="s">
        <v>40178</v>
      </c>
      <c r="W4202" t="s">
        <v>19350</v>
      </c>
      <c t="s">
        <v>64337</v>
      </c>
      <c t="s">
        <v>47150</v>
      </c>
      <c t="s">
        <v>2517</v>
      </c>
      <c t="s">
        <v>39289</v>
      </c>
      <c>
        <v>33909</v>
      </c>
      <c t="s">
        <v>34079</v>
      </c>
      <c t="s">
        <v>48794</v>
      </c>
      <c t="s">
        <v>32266</v>
      </c>
      <c>
        <v>1072</v>
      </c>
      <c r="AI4202" t="s">
        <v>65390</v>
      </c>
      <c t="s">
        <v>24900</v>
      </c>
      <c r="AL4202" t="s">
        <v>8109</v>
      </c>
      <c r="AN4202" t="s">
        <v>50917</v>
      </c>
      <c t="s">
        <v>59675</v>
      </c>
      <c t="s">
        <v>33029</v>
      </c>
      <c t="s">
        <v>3093</v>
      </c>
      <c t="s">
        <v>21282</v>
      </c>
    </row>
    <row>
      <c t="s">
        <v>17594</v>
      </c>
      <c t="s">
        <v>31205</v>
      </c>
      <c t="s">
        <v>50368</v>
      </c>
      <c t="s">
        <v>40320</v>
      </c>
      <c t="s">
        <v>50846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203" s="1" t="str">
        <f ca="1">HYPERLINK("https://web.datatree.com/?/property?propertyId=33617727", "https://web.datatree.com/?/property?propertyId=33617727")</f>
        <v>https://web.datatree.com/?/property?propertyId=33617727</v>
      </c>
      <c r="Q4203" t="s">
        <v>316</v>
      </c>
      <c>
        <v>0.23</v>
      </c>
      <c t="s">
        <v>6175</v>
      </c>
      <c t="s">
        <v>61166</v>
      </c>
      <c t="s">
        <v>7508</v>
      </c>
      <c r="X4203" t="s">
        <v>22342</v>
      </c>
      <c t="s">
        <v>2619</v>
      </c>
      <c t="s">
        <v>2517</v>
      </c>
      <c t="s">
        <v>39289</v>
      </c>
      <c>
        <v>33909</v>
      </c>
      <c t="s">
        <v>46955</v>
      </c>
      <c t="s">
        <v>48794</v>
      </c>
      <c t="s">
        <v>24687</v>
      </c>
      <c>
        <v>11535</v>
      </c>
      <c r="AI4203" t="s">
        <v>9600</v>
      </c>
      <c t="s">
        <v>45393</v>
      </c>
      <c r="AL4203" t="s">
        <v>67217</v>
      </c>
      <c r="AN4203" t="s">
        <v>50917</v>
      </c>
      <c t="s">
        <v>48299</v>
      </c>
      <c t="s">
        <v>864</v>
      </c>
      <c t="s">
        <v>3093</v>
      </c>
      <c t="s">
        <v>10928</v>
      </c>
    </row>
    <row>
      <c t="s">
        <v>17594</v>
      </c>
      <c t="s">
        <v>59198</v>
      </c>
      <c t="s">
        <v>6035</v>
      </c>
      <c t="s">
        <v>29962</v>
      </c>
      <c t="s">
        <v>49287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>
        <v>2021</v>
      </c>
      <c>
        <v>580.1</v>
      </c>
      <c s="1" t="str">
        <f ca="1">HYPERLINK("https://web.datatree.com/?/property?propertyId=33620965", "https://web.datatree.com/?/property?propertyId=33620965")</f>
        <v>https://web.datatree.com/?/property?propertyId=33620965</v>
      </c>
      <c r="Q4204" t="s">
        <v>316</v>
      </c>
      <c>
        <v>0.244</v>
      </c>
      <c t="s">
        <v>6175</v>
      </c>
      <c t="s">
        <v>35237</v>
      </c>
      <c t="s">
        <v>48196</v>
      </c>
      <c t="s">
        <v>58272</v>
      </c>
      <c t="s">
        <v>48196</v>
      </c>
      <c t="s">
        <v>65566</v>
      </c>
      <c t="s">
        <v>18679</v>
      </c>
      <c t="s">
        <v>2517</v>
      </c>
      <c t="s">
        <v>39289</v>
      </c>
      <c>
        <v>33909</v>
      </c>
      <c t="s">
        <v>45997</v>
      </c>
      <c t="s">
        <v>48794</v>
      </c>
      <c t="s">
        <v>29612</v>
      </c>
      <c>
        <v>1804</v>
      </c>
      <c r="AI4204" t="s">
        <v>50244</v>
      </c>
      <c t="s">
        <v>45393</v>
      </c>
      <c t="s">
        <v>44336</v>
      </c>
      <c t="s">
        <v>258</v>
      </c>
      <c r="AN4204" t="s">
        <v>50917</v>
      </c>
      <c t="s">
        <v>38045</v>
      </c>
      <c t="s">
        <v>35508</v>
      </c>
      <c t="s">
        <v>3093</v>
      </c>
      <c t="s">
        <v>33231</v>
      </c>
    </row>
    <row>
      <c t="s">
        <v>17594</v>
      </c>
      <c t="s">
        <v>29571</v>
      </c>
      <c t="s">
        <v>15207</v>
      </c>
      <c t="s">
        <v>9871</v>
      </c>
      <c t="s">
        <v>4136</v>
      </c>
      <c s="3">
        <v>8700</v>
      </c>
      <c s="3">
        <v>8700</v>
      </c>
      <c s="3">
        <v>8700</v>
      </c>
      <c>
        <v>0</v>
      </c>
      <c s="3">
        <v>0</v>
      </c>
      <c s="3">
        <v>540.83</v>
      </c>
      <c s="3">
        <v>8700</v>
      </c>
      <c r="O4205" s="1" t="str">
        <f ca="1">HYPERLINK("https://web.datatree.com/?/property?propertyId=33621058", "https://web.datatree.com/?/property?propertyId=33621058")</f>
        <v>https://web.datatree.com/?/property?propertyId=33621058</v>
      </c>
      <c r="Q4205" t="s">
        <v>316</v>
      </c>
      <c>
        <v>0.23</v>
      </c>
      <c t="s">
        <v>6175</v>
      </c>
      <c t="s">
        <v>43527</v>
      </c>
      <c t="s">
        <v>31813</v>
      </c>
      <c t="s">
        <v>3267</v>
      </c>
      <c t="s">
        <v>26001</v>
      </c>
      <c t="s">
        <v>26940</v>
      </c>
      <c t="s">
        <v>53663</v>
      </c>
      <c t="s">
        <v>2517</v>
      </c>
      <c t="s">
        <v>39289</v>
      </c>
      <c>
        <v>33909</v>
      </c>
      <c t="s">
        <v>17832</v>
      </c>
      <c t="s">
        <v>48794</v>
      </c>
      <c t="s">
        <v>37404</v>
      </c>
      <c>
        <v>15019</v>
      </c>
      <c r="AI4205" t="s">
        <v>35983</v>
      </c>
      <c t="s">
        <v>39321</v>
      </c>
      <c r="AL4205" t="s">
        <v>55393</v>
      </c>
      <c r="AN4205" t="s">
        <v>39289</v>
      </c>
      <c t="s">
        <v>65456</v>
      </c>
      <c t="s">
        <v>64128</v>
      </c>
      <c t="s">
        <v>3093</v>
      </c>
      <c t="s">
        <v>34786</v>
      </c>
    </row>
    <row>
      <c t="s">
        <v>17594</v>
      </c>
      <c t="s">
        <v>52447</v>
      </c>
      <c t="s">
        <v>46549</v>
      </c>
      <c t="s">
        <v>16940</v>
      </c>
      <c t="s">
        <v>23946</v>
      </c>
      <c s="3">
        <v>7600</v>
      </c>
      <c s="3">
        <v>7600</v>
      </c>
      <c s="3">
        <v>7600</v>
      </c>
      <c>
        <v>0</v>
      </c>
      <c s="3">
        <v>0</v>
      </c>
      <c s="3">
        <v>573.63</v>
      </c>
      <c s="3">
        <v>7600</v>
      </c>
      <c>
        <v>2021</v>
      </c>
      <c>
        <v>607.86</v>
      </c>
      <c s="1" t="str">
        <f ca="1">HYPERLINK("https://web.datatree.com/?/property?propertyId=33621642", "https://web.datatree.com/?/property?propertyId=33621642")</f>
        <v>https://web.datatree.com/?/property?propertyId=33621642</v>
      </c>
      <c r="Q4206" t="s">
        <v>316</v>
      </c>
      <c>
        <v>0.255</v>
      </c>
      <c t="s">
        <v>6175</v>
      </c>
      <c t="s">
        <v>27351</v>
      </c>
      <c t="s">
        <v>38465</v>
      </c>
      <c t="s">
        <v>11447</v>
      </c>
      <c t="s">
        <v>62579</v>
      </c>
      <c t="s">
        <v>6794</v>
      </c>
      <c t="s">
        <v>22731</v>
      </c>
      <c t="s">
        <v>2517</v>
      </c>
      <c t="s">
        <v>39289</v>
      </c>
      <c>
        <v>33909</v>
      </c>
      <c t="s">
        <v>25149</v>
      </c>
      <c t="s">
        <v>48794</v>
      </c>
      <c t="s">
        <v>46238</v>
      </c>
      <c>
        <v>4420</v>
      </c>
      <c r="AH4206" t="s">
        <v>6851</v>
      </c>
      <c t="s">
        <v>25017</v>
      </c>
      <c t="s">
        <v>24900</v>
      </c>
      <c r="AL4206" t="s">
        <v>11713</v>
      </c>
      <c r="AN4206" t="s">
        <v>39289</v>
      </c>
      <c t="s">
        <v>4417</v>
      </c>
      <c t="s">
        <v>58683</v>
      </c>
      <c t="s">
        <v>3093</v>
      </c>
      <c t="s">
        <v>7992</v>
      </c>
    </row>
    <row>
      <c t="s">
        <v>17594</v>
      </c>
      <c t="s">
        <v>10369</v>
      </c>
      <c t="s">
        <v>5397</v>
      </c>
      <c t="s">
        <v>23704</v>
      </c>
      <c t="s">
        <v>49430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4207" s="1" t="str">
        <f ca="1">HYPERLINK("https://web.datatree.com/?/property?propertyId=33621832", "https://web.datatree.com/?/property?propertyId=33621832")</f>
        <v>https://web.datatree.com/?/property?propertyId=33621832</v>
      </c>
      <c r="Q4207" t="s">
        <v>316</v>
      </c>
      <c>
        <v>0.23</v>
      </c>
      <c t="s">
        <v>22490</v>
      </c>
      <c t="s">
        <v>24038</v>
      </c>
      <c t="s">
        <v>54414</v>
      </c>
      <c r="X4207" t="s">
        <v>29687</v>
      </c>
      <c t="s">
        <v>22731</v>
      </c>
      <c t="s">
        <v>2517</v>
      </c>
      <c t="s">
        <v>39289</v>
      </c>
      <c>
        <v>33909</v>
      </c>
      <c t="s">
        <v>8605</v>
      </c>
      <c t="s">
        <v>48794</v>
      </c>
      <c t="s">
        <v>35994</v>
      </c>
      <c>
        <v>2577</v>
      </c>
      <c r="AI4207" t="s">
        <v>44981</v>
      </c>
      <c t="s">
        <v>31192</v>
      </c>
      <c r="AL4207" t="s">
        <v>56203</v>
      </c>
      <c t="s">
        <v>56203</v>
      </c>
      <c t="s">
        <v>47028</v>
      </c>
      <c t="s">
        <v>43003</v>
      </c>
      <c t="s">
        <v>34162</v>
      </c>
      <c t="s">
        <v>3093</v>
      </c>
      <c t="s">
        <v>39958</v>
      </c>
    </row>
    <row>
      <c t="s">
        <v>17594</v>
      </c>
      <c t="s">
        <v>55384</v>
      </c>
      <c t="s">
        <v>5183</v>
      </c>
      <c t="s">
        <v>49845</v>
      </c>
      <c t="s">
        <v>15055</v>
      </c>
      <c s="3">
        <v>74566</v>
      </c>
      <c s="3">
        <v>63500</v>
      </c>
      <c s="3">
        <v>72987</v>
      </c>
      <c>
        <v>0</v>
      </c>
      <c s="3">
        <v>0</v>
      </c>
      <c s="3">
        <v>1106.41</v>
      </c>
      <c s="3">
        <v>74566</v>
      </c>
      <c r="O4208" s="1" t="str">
        <f ca="1">HYPERLINK("https://web.datatree.com/?/property?propertyId=33621988", "https://web.datatree.com/?/property?propertyId=33621988")</f>
        <v>https://web.datatree.com/?/property?propertyId=33621988</v>
      </c>
      <c r="Q4208" t="s">
        <v>316</v>
      </c>
      <c>
        <v>0.095</v>
      </c>
      <c t="s">
        <v>26492</v>
      </c>
      <c t="s">
        <v>65985</v>
      </c>
      <c t="s">
        <v>57981</v>
      </c>
      <c t="s">
        <v>26827</v>
      </c>
      <c t="s">
        <v>57981</v>
      </c>
      <c t="s">
        <v>36197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12872</v>
      </c>
      <c>
        <v>3656</v>
      </c>
      <c r="AI4208" t="s">
        <v>48390</v>
      </c>
      <c t="s">
        <v>45620</v>
      </c>
      <c r="AL4208" t="s">
        <v>8564</v>
      </c>
      <c t="s">
        <v>40227</v>
      </c>
      <c t="s">
        <v>50917</v>
      </c>
      <c t="s">
        <v>59432</v>
      </c>
      <c t="s">
        <v>18895</v>
      </c>
      <c t="s">
        <v>3093</v>
      </c>
      <c t="s">
        <v>12543</v>
      </c>
      <c>
        <v>2005</v>
      </c>
    </row>
    <row>
      <c t="s">
        <v>17594</v>
      </c>
      <c t="s">
        <v>15069</v>
      </c>
      <c t="s">
        <v>40171</v>
      </c>
      <c t="s">
        <v>27928</v>
      </c>
      <c t="s">
        <v>46431</v>
      </c>
      <c s="3">
        <v>20472</v>
      </c>
      <c s="3">
        <v>20472</v>
      </c>
      <c s="3">
        <v>9130</v>
      </c>
      <c>
        <v>0</v>
      </c>
      <c s="3">
        <v>0</v>
      </c>
      <c s="3">
        <v>585.72</v>
      </c>
      <c s="3">
        <v>20472</v>
      </c>
      <c r="O4209" s="1" t="str">
        <f ca="1">HYPERLINK("https://web.datatree.com/?/property?propertyId=33622008", "https://web.datatree.com/?/property?propertyId=33622008")</f>
        <v>https://web.datatree.com/?/property?propertyId=33622008</v>
      </c>
      <c r="Q4209" t="s">
        <v>316</v>
      </c>
      <c>
        <v>0.238</v>
      </c>
      <c t="s">
        <v>45031</v>
      </c>
      <c t="s">
        <v>20069</v>
      </c>
      <c t="s">
        <v>31111</v>
      </c>
      <c r="X4209" t="s">
        <v>35366</v>
      </c>
      <c t="s">
        <v>2619</v>
      </c>
      <c t="s">
        <v>2517</v>
      </c>
      <c t="s">
        <v>39289</v>
      </c>
      <c>
        <v>33909</v>
      </c>
      <c t="s">
        <v>5297</v>
      </c>
      <c t="s">
        <v>48794</v>
      </c>
      <c t="s">
        <v>37183</v>
      </c>
      <c>
        <v>48</v>
      </c>
      <c r="AI4209" t="s">
        <v>407</v>
      </c>
      <c r="AL4209" t="s">
        <v>30673</v>
      </c>
      <c r="AN4209" t="s">
        <v>63985</v>
      </c>
      <c>
        <v>90571</v>
      </c>
      <c r="AR4209" t="s">
        <v>34270</v>
      </c>
    </row>
    <row>
      <c t="s">
        <v>17594</v>
      </c>
      <c t="s">
        <v>16512</v>
      </c>
      <c t="s">
        <v>51727</v>
      </c>
      <c t="s">
        <v>47499</v>
      </c>
      <c t="s">
        <v>48617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4210" s="1" t="str">
        <f ca="1">HYPERLINK("https://web.datatree.com/?/property?propertyId=33622559", "https://web.datatree.com/?/property?propertyId=33622559")</f>
        <v>https://web.datatree.com/?/property?propertyId=33622559</v>
      </c>
      <c r="Q4210" t="s">
        <v>316</v>
      </c>
      <c>
        <v>0.23</v>
      </c>
      <c t="s">
        <v>6175</v>
      </c>
      <c t="s">
        <v>36495</v>
      </c>
      <c t="s">
        <v>66825</v>
      </c>
      <c r="X4210" t="s">
        <v>12975</v>
      </c>
      <c t="s">
        <v>30928</v>
      </c>
      <c t="s">
        <v>2517</v>
      </c>
      <c t="s">
        <v>39289</v>
      </c>
      <c>
        <v>33909</v>
      </c>
      <c t="s">
        <v>51360</v>
      </c>
      <c t="s">
        <v>48794</v>
      </c>
      <c t="s">
        <v>56654</v>
      </c>
      <c>
        <v>260</v>
      </c>
      <c r="AI4210" t="s">
        <v>44714</v>
      </c>
      <c t="s">
        <v>45620</v>
      </c>
      <c r="AL4210" t="s">
        <v>50847</v>
      </c>
      <c r="AN4210" t="s">
        <v>22275</v>
      </c>
      <c t="s">
        <v>37092</v>
      </c>
      <c t="s">
        <v>26242</v>
      </c>
      <c t="s">
        <v>3093</v>
      </c>
      <c t="s">
        <v>54331</v>
      </c>
    </row>
    <row>
      <c t="s">
        <v>17594</v>
      </c>
      <c t="s">
        <v>29267</v>
      </c>
      <c t="s">
        <v>33211</v>
      </c>
      <c t="s">
        <v>6651</v>
      </c>
      <c t="s">
        <v>49595</v>
      </c>
      <c s="3">
        <v>43080</v>
      </c>
      <c s="3">
        <v>38203</v>
      </c>
      <c s="3">
        <v>29692</v>
      </c>
      <c>
        <v>0</v>
      </c>
      <c s="3">
        <v>0</v>
      </c>
      <c s="3">
        <v>516.4</v>
      </c>
      <c s="3">
        <v>43080</v>
      </c>
      <c r="O4211" s="1" t="str">
        <f ca="1">HYPERLINK("https://web.datatree.com/?/property?propertyId=33622860", "https://web.datatree.com/?/property?propertyId=33622860")</f>
        <v>https://web.datatree.com/?/property?propertyId=33622860</v>
      </c>
      <c r="Q4211" t="s">
        <v>316</v>
      </c>
      <c>
        <v>0.048</v>
      </c>
      <c t="s">
        <v>54329</v>
      </c>
      <c t="s">
        <v>37086</v>
      </c>
      <c t="s">
        <v>39935</v>
      </c>
      <c t="s">
        <v>44581</v>
      </c>
      <c t="s">
        <v>39935</v>
      </c>
      <c t="s">
        <v>43121</v>
      </c>
      <c t="s">
        <v>67227</v>
      </c>
      <c t="s">
        <v>54524</v>
      </c>
      <c t="s">
        <v>39289</v>
      </c>
      <c>
        <v>33903</v>
      </c>
      <c t="s">
        <v>42846</v>
      </c>
      <c t="s">
        <v>48794</v>
      </c>
      <c t="s">
        <v>676</v>
      </c>
      <c>
        <v>6853</v>
      </c>
      <c r="AI4211" t="s">
        <v>39935</v>
      </c>
      <c t="s">
        <v>31192</v>
      </c>
      <c r="AL4211" t="s">
        <v>53995</v>
      </c>
      <c t="s">
        <v>65059</v>
      </c>
      <c t="s">
        <v>51137</v>
      </c>
      <c t="s">
        <v>16146</v>
      </c>
      <c t="s">
        <v>44428</v>
      </c>
      <c t="s">
        <v>3093</v>
      </c>
      <c t="s">
        <v>33079</v>
      </c>
    </row>
    <row>
      <c t="s">
        <v>17594</v>
      </c>
      <c t="s">
        <v>50925</v>
      </c>
      <c t="s">
        <v>46204</v>
      </c>
      <c t="s">
        <v>40558</v>
      </c>
      <c t="s">
        <v>8374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4212" s="1" t="str">
        <f ca="1">HYPERLINK("https://web.datatree.com/?/property?propertyId=33623552", "https://web.datatree.com/?/property?propertyId=33623552")</f>
        <v>https://web.datatree.com/?/property?propertyId=33623552</v>
      </c>
      <c r="Q4212" t="s">
        <v>316</v>
      </c>
      <c>
        <v>0.255</v>
      </c>
      <c t="s">
        <v>6175</v>
      </c>
      <c t="s">
        <v>18849</v>
      </c>
      <c t="s">
        <v>32470</v>
      </c>
      <c t="s">
        <v>55216</v>
      </c>
      <c t="s">
        <v>32470</v>
      </c>
      <c t="s">
        <v>63889</v>
      </c>
      <c t="s">
        <v>25017</v>
      </c>
      <c t="s">
        <v>2517</v>
      </c>
      <c t="s">
        <v>39289</v>
      </c>
      <c>
        <v>33909</v>
      </c>
      <c t="s">
        <v>5385</v>
      </c>
      <c t="s">
        <v>48794</v>
      </c>
      <c t="s">
        <v>49856</v>
      </c>
      <c>
        <v>46</v>
      </c>
      <c r="AI4212" t="s">
        <v>25253</v>
      </c>
      <c r="AL4212" t="s">
        <v>39900</v>
      </c>
      <c r="AN4212" t="s">
        <v>63985</v>
      </c>
      <c>
        <v>71157</v>
      </c>
      <c r="AR4212" t="s">
        <v>20635</v>
      </c>
    </row>
    <row>
      <c t="s">
        <v>17594</v>
      </c>
      <c t="s">
        <v>57998</v>
      </c>
      <c t="s">
        <v>10463</v>
      </c>
      <c t="s">
        <v>36066</v>
      </c>
      <c t="s">
        <v>58144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4213" s="1" t="str">
        <f ca="1">HYPERLINK("https://web.datatree.com/?/property?propertyId=33623745", "https://web.datatree.com/?/property?propertyId=33623745")</f>
        <v>https://web.datatree.com/?/property?propertyId=33623745</v>
      </c>
      <c r="Q4213" t="s">
        <v>316</v>
      </c>
      <c>
        <v>0.23</v>
      </c>
      <c t="s">
        <v>22490</v>
      </c>
      <c r="U4213" t="s">
        <v>4724</v>
      </c>
      <c t="s">
        <v>32044</v>
      </c>
      <c t="s">
        <v>25293</v>
      </c>
      <c t="s">
        <v>31009</v>
      </c>
      <c t="s">
        <v>22731</v>
      </c>
      <c t="s">
        <v>2517</v>
      </c>
      <c t="s">
        <v>39289</v>
      </c>
      <c>
        <v>33909</v>
      </c>
      <c t="s">
        <v>34024</v>
      </c>
      <c t="s">
        <v>48794</v>
      </c>
      <c t="s">
        <v>58779</v>
      </c>
      <c>
        <v>3380</v>
      </c>
      <c r="AI4213" t="s">
        <v>61865</v>
      </c>
      <c t="s">
        <v>45393</v>
      </c>
      <c r="AL4213" t="s">
        <v>55393</v>
      </c>
      <c t="s">
        <v>55393</v>
      </c>
      <c t="s">
        <v>39289</v>
      </c>
      <c t="s">
        <v>24355</v>
      </c>
      <c t="s">
        <v>64128</v>
      </c>
      <c t="s">
        <v>3093</v>
      </c>
      <c t="s">
        <v>38831</v>
      </c>
    </row>
    <row>
      <c t="s">
        <v>17594</v>
      </c>
      <c t="s">
        <v>32889</v>
      </c>
      <c t="s">
        <v>14944</v>
      </c>
      <c t="s">
        <v>52050</v>
      </c>
      <c t="s">
        <v>19816</v>
      </c>
      <c s="3">
        <v>34130</v>
      </c>
      <c s="3">
        <v>34130</v>
      </c>
      <c s="3">
        <v>25300</v>
      </c>
      <c>
        <v>0</v>
      </c>
      <c s="3">
        <v>0</v>
      </c>
      <c s="3">
        <v>823.2</v>
      </c>
      <c s="3">
        <v>34130</v>
      </c>
      <c r="O4214" s="1" t="str">
        <f ca="1">HYPERLINK("https://web.datatree.com/?/property?propertyId=33623786", "https://web.datatree.com/?/property?propertyId=33623786")</f>
        <v>https://web.datatree.com/?/property?propertyId=33623786</v>
      </c>
      <c r="Q4214" t="s">
        <v>316</v>
      </c>
      <c>
        <v>0.23</v>
      </c>
      <c t="s">
        <v>22490</v>
      </c>
      <c t="s">
        <v>36133</v>
      </c>
      <c t="s">
        <v>53009</v>
      </c>
      <c t="s">
        <v>1805</v>
      </c>
      <c t="s">
        <v>1132</v>
      </c>
      <c t="s">
        <v>5366</v>
      </c>
      <c t="s">
        <v>30928</v>
      </c>
      <c t="s">
        <v>2517</v>
      </c>
      <c t="s">
        <v>39289</v>
      </c>
      <c>
        <v>33909</v>
      </c>
      <c t="s">
        <v>66226</v>
      </c>
      <c t="s">
        <v>48794</v>
      </c>
      <c t="s">
        <v>37206</v>
      </c>
      <c>
        <v>304</v>
      </c>
      <c r="AI4214" t="s">
        <v>25013</v>
      </c>
      <c t="s">
        <v>31192</v>
      </c>
      <c r="AL4214" t="s">
        <v>7889</v>
      </c>
      <c t="s">
        <v>7889</v>
      </c>
      <c t="s">
        <v>18236</v>
      </c>
      <c t="s">
        <v>30099</v>
      </c>
      <c t="s">
        <v>8172</v>
      </c>
      <c t="s">
        <v>3093</v>
      </c>
      <c t="s">
        <v>39365</v>
      </c>
    </row>
    <row>
      <c t="s">
        <v>17594</v>
      </c>
      <c t="s">
        <v>58853</v>
      </c>
      <c t="s">
        <v>14064</v>
      </c>
      <c t="s">
        <v>42766</v>
      </c>
      <c t="s">
        <v>62840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215" s="1" t="str">
        <f ca="1">HYPERLINK("https://web.datatree.com/?/property?propertyId=33625384", "https://web.datatree.com/?/property?propertyId=33625384")</f>
        <v>https://web.datatree.com/?/property?propertyId=33625384</v>
      </c>
      <c r="Q4215" t="s">
        <v>316</v>
      </c>
      <c>
        <v>0.23</v>
      </c>
      <c t="s">
        <v>6175</v>
      </c>
      <c t="s">
        <v>64500</v>
      </c>
      <c t="s">
        <v>10361</v>
      </c>
      <c r="W4215" t="s">
        <v>21555</v>
      </c>
      <c t="s">
        <v>62353</v>
      </c>
      <c t="s">
        <v>24999</v>
      </c>
      <c t="s">
        <v>2517</v>
      </c>
      <c t="s">
        <v>39289</v>
      </c>
      <c>
        <v>33909</v>
      </c>
      <c t="s">
        <v>37876</v>
      </c>
      <c t="s">
        <v>48794</v>
      </c>
      <c t="s">
        <v>56949</v>
      </c>
      <c>
        <v>1105</v>
      </c>
      <c r="AH4215" t="s">
        <v>26580</v>
      </c>
      <c t="s">
        <v>56489</v>
      </c>
      <c r="AK4215" t="s">
        <v>25384</v>
      </c>
      <c t="s">
        <v>17648</v>
      </c>
      <c r="AN4215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29606</v>
      </c>
      <c t="s">
        <v>4614</v>
      </c>
      <c t="s">
        <v>42507</v>
      </c>
      <c t="s">
        <v>19050</v>
      </c>
      <c s="3">
        <v>23012</v>
      </c>
      <c s="3">
        <v>23012</v>
      </c>
      <c s="3">
        <v>10450</v>
      </c>
      <c>
        <v>0</v>
      </c>
      <c s="3">
        <v>0</v>
      </c>
      <c s="3">
        <v>613.35</v>
      </c>
      <c s="3">
        <v>23012</v>
      </c>
      <c r="O4216" s="1" t="str">
        <f ca="1">HYPERLINK("https://web.datatree.com/?/property?propertyId=33626333", "https://web.datatree.com/?/property?propertyId=33626333")</f>
        <v>https://web.datatree.com/?/property?propertyId=33626333</v>
      </c>
      <c r="Q4216" t="s">
        <v>316</v>
      </c>
      <c>
        <v>0.244</v>
      </c>
      <c t="s">
        <v>45031</v>
      </c>
      <c t="s">
        <v>60583</v>
      </c>
      <c t="s">
        <v>53578</v>
      </c>
      <c t="s">
        <v>27351</v>
      </c>
      <c t="s">
        <v>34119</v>
      </c>
      <c t="s">
        <v>12884</v>
      </c>
      <c t="s">
        <v>18679</v>
      </c>
      <c t="s">
        <v>2517</v>
      </c>
      <c t="s">
        <v>39289</v>
      </c>
      <c>
        <v>33909</v>
      </c>
      <c t="s">
        <v>60492</v>
      </c>
      <c t="s">
        <v>48794</v>
      </c>
      <c t="s">
        <v>51995</v>
      </c>
      <c>
        <v>4545</v>
      </c>
      <c r="AI4216" t="s">
        <v>18632</v>
      </c>
      <c t="s">
        <v>24900</v>
      </c>
      <c t="s">
        <v>5870</v>
      </c>
      <c t="s">
        <v>32202</v>
      </c>
      <c r="AN4216" t="s">
        <v>26016</v>
      </c>
      <c t="s">
        <v>47699</v>
      </c>
      <c t="s">
        <v>31626</v>
      </c>
      <c t="s">
        <v>3093</v>
      </c>
      <c t="s">
        <v>3304</v>
      </c>
    </row>
    <row>
      <c t="s">
        <v>17594</v>
      </c>
      <c t="s">
        <v>32999</v>
      </c>
      <c t="s">
        <v>35018</v>
      </c>
      <c t="s">
        <v>60153</v>
      </c>
      <c t="s">
        <v>50169</v>
      </c>
      <c s="3">
        <v>10600</v>
      </c>
      <c s="3">
        <v>10600</v>
      </c>
      <c s="3">
        <v>10600</v>
      </c>
      <c>
        <v>0</v>
      </c>
      <c s="3">
        <v>0</v>
      </c>
      <c s="3">
        <v>665.33</v>
      </c>
      <c s="3">
        <v>10600</v>
      </c>
      <c r="O4217" s="1" t="str">
        <f ca="1">HYPERLINK("https://web.datatree.com/?/property?propertyId=33626477", "https://web.datatree.com/?/property?propertyId=33626477")</f>
        <v>https://web.datatree.com/?/property?propertyId=33626477</v>
      </c>
      <c r="Q4217" t="s">
        <v>316</v>
      </c>
      <c>
        <v>0.267</v>
      </c>
      <c t="s">
        <v>6175</v>
      </c>
      <c t="s">
        <v>1898</v>
      </c>
      <c t="s">
        <v>57267</v>
      </c>
      <c r="X4217" t="s">
        <v>38624</v>
      </c>
      <c t="s">
        <v>53675</v>
      </c>
      <c t="s">
        <v>2517</v>
      </c>
      <c t="s">
        <v>39289</v>
      </c>
      <c>
        <v>33909</v>
      </c>
      <c t="s">
        <v>35179</v>
      </c>
      <c t="s">
        <v>48794</v>
      </c>
      <c t="s">
        <v>57646</v>
      </c>
      <c>
        <v>13027</v>
      </c>
      <c r="AI4217" t="s">
        <v>19467</v>
      </c>
      <c t="s">
        <v>45393</v>
      </c>
      <c r="AL4217" t="s">
        <v>19541</v>
      </c>
      <c t="s">
        <v>13397</v>
      </c>
      <c t="s">
        <v>50917</v>
      </c>
      <c t="s">
        <v>11681</v>
      </c>
      <c t="s">
        <v>12241</v>
      </c>
      <c t="s">
        <v>3093</v>
      </c>
      <c t="s">
        <v>37880</v>
      </c>
    </row>
    <row>
      <c t="s">
        <v>17594</v>
      </c>
      <c t="s">
        <v>8580</v>
      </c>
      <c t="s">
        <v>51054</v>
      </c>
      <c t="s">
        <v>34396</v>
      </c>
      <c t="s">
        <v>40793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4218" s="1" t="str">
        <f ca="1">HYPERLINK("https://web.datatree.com/?/property?propertyId=33626642", "https://web.datatree.com/?/property?propertyId=33626642")</f>
        <v>https://web.datatree.com/?/property?propertyId=33626642</v>
      </c>
      <c r="Q4218" t="s">
        <v>316</v>
      </c>
      <c>
        <v>0.244</v>
      </c>
      <c t="s">
        <v>6175</v>
      </c>
      <c t="s">
        <v>4617</v>
      </c>
      <c t="s">
        <v>44522</v>
      </c>
      <c t="s">
        <v>552</v>
      </c>
      <c t="s">
        <v>36624</v>
      </c>
      <c t="s">
        <v>51026</v>
      </c>
      <c t="s">
        <v>13478</v>
      </c>
      <c t="s">
        <v>2517</v>
      </c>
      <c t="s">
        <v>39289</v>
      </c>
      <c>
        <v>33909</v>
      </c>
      <c t="s">
        <v>46793</v>
      </c>
      <c t="s">
        <v>48794</v>
      </c>
      <c t="s">
        <v>27574</v>
      </c>
      <c>
        <v>8955</v>
      </c>
      <c r="AI4218" t="s">
        <v>8176</v>
      </c>
      <c t="s">
        <v>835</v>
      </c>
      <c r="AL4218" t="s">
        <v>34721</v>
      </c>
      <c r="AN4218" t="s">
        <v>17134</v>
      </c>
      <c t="s">
        <v>54003</v>
      </c>
      <c t="s">
        <v>13315</v>
      </c>
      <c t="s">
        <v>3093</v>
      </c>
      <c t="s">
        <v>51974</v>
      </c>
    </row>
    <row>
      <c t="s">
        <v>17594</v>
      </c>
      <c t="s">
        <v>1283</v>
      </c>
      <c t="s">
        <v>64350</v>
      </c>
      <c t="s">
        <v>48915</v>
      </c>
      <c t="s">
        <v>19270</v>
      </c>
      <c s="3">
        <v>8159</v>
      </c>
      <c s="3">
        <v>8159</v>
      </c>
      <c s="3">
        <v>4972</v>
      </c>
      <c>
        <v>0</v>
      </c>
      <c s="3">
        <v>0</v>
      </c>
      <c s="3">
        <v>316.66</v>
      </c>
      <c s="3">
        <v>8159</v>
      </c>
      <c>
        <v>2021</v>
      </c>
      <c>
        <v>311.6</v>
      </c>
      <c s="1" t="str">
        <f ca="1">HYPERLINK("https://web.datatree.com/?/property?propertyId=33627030", "https://web.datatree.com/?/property?propertyId=33627030")</f>
        <v>https://web.datatree.com/?/property?propertyId=33627030</v>
      </c>
      <c r="Q4219" t="s">
        <v>316</v>
      </c>
      <c>
        <v>0.239</v>
      </c>
      <c t="s">
        <v>5471</v>
      </c>
      <c t="s">
        <v>47656</v>
      </c>
      <c t="s">
        <v>38371</v>
      </c>
      <c r="X4219" t="s">
        <v>28825</v>
      </c>
      <c t="s">
        <v>52508</v>
      </c>
      <c t="s">
        <v>65059</v>
      </c>
      <c t="s">
        <v>39289</v>
      </c>
      <c>
        <v>33905</v>
      </c>
      <c t="s">
        <v>50827</v>
      </c>
      <c t="s">
        <v>48794</v>
      </c>
      <c t="s">
        <v>32379</v>
      </c>
      <c>
        <v>144</v>
      </c>
      <c r="AI4219" t="s">
        <v>37870</v>
      </c>
      <c t="s">
        <v>45620</v>
      </c>
      <c r="AL4219" t="s">
        <v>61382</v>
      </c>
      <c r="AN4219" t="s">
        <v>50917</v>
      </c>
      <c t="s">
        <v>16611</v>
      </c>
      <c t="s">
        <v>17380</v>
      </c>
      <c t="s">
        <v>3093</v>
      </c>
      <c t="s">
        <v>44164</v>
      </c>
    </row>
    <row>
      <c t="s">
        <v>17594</v>
      </c>
      <c t="s">
        <v>63893</v>
      </c>
      <c t="s">
        <v>15854</v>
      </c>
      <c t="s">
        <v>24581</v>
      </c>
      <c t="s">
        <v>49087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220" s="1" t="str">
        <f ca="1">HYPERLINK("https://web.datatree.com/?/property?propertyId=33627056", "https://web.datatree.com/?/property?propertyId=33627056")</f>
        <v>https://web.datatree.com/?/property?propertyId=33627056</v>
      </c>
      <c r="Q4220" t="s">
        <v>316</v>
      </c>
      <c>
        <v>0.233</v>
      </c>
      <c t="s">
        <v>22490</v>
      </c>
      <c t="s">
        <v>50795</v>
      </c>
      <c t="s">
        <v>49010</v>
      </c>
      <c t="s">
        <v>5993</v>
      </c>
      <c t="s">
        <v>49010</v>
      </c>
      <c t="s">
        <v>54791</v>
      </c>
      <c t="s">
        <v>61850</v>
      </c>
      <c t="s">
        <v>2517</v>
      </c>
      <c t="s">
        <v>39289</v>
      </c>
      <c>
        <v>33909</v>
      </c>
      <c t="s">
        <v>55313</v>
      </c>
      <c t="s">
        <v>48794</v>
      </c>
      <c t="s">
        <v>9257</v>
      </c>
      <c>
        <v>161</v>
      </c>
      <c r="AI4220" t="s">
        <v>25559</v>
      </c>
      <c t="s">
        <v>55842</v>
      </c>
      <c r="AL4220" t="s">
        <v>66816</v>
      </c>
      <c r="AN4220" t="s">
        <v>22275</v>
      </c>
      <c t="s">
        <v>2736</v>
      </c>
      <c t="s">
        <v>61719</v>
      </c>
      <c t="s">
        <v>3093</v>
      </c>
      <c t="s">
        <v>18925</v>
      </c>
    </row>
    <row>
      <c t="s">
        <v>17594</v>
      </c>
      <c t="s">
        <v>50797</v>
      </c>
      <c t="s">
        <v>4696</v>
      </c>
      <c t="s">
        <v>65661</v>
      </c>
      <c t="s">
        <v>14226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221" s="1" t="str">
        <f ca="1">HYPERLINK("https://web.datatree.com/?/property?propertyId=33627941", "https://web.datatree.com/?/property?propertyId=33627941")</f>
        <v>https://web.datatree.com/?/property?propertyId=33627941</v>
      </c>
      <c r="Q4221" t="s">
        <v>316</v>
      </c>
      <c>
        <v>0.23</v>
      </c>
      <c t="s">
        <v>6175</v>
      </c>
      <c t="s">
        <v>52347</v>
      </c>
      <c t="s">
        <v>55948</v>
      </c>
      <c t="s">
        <v>11812</v>
      </c>
      <c t="s">
        <v>55948</v>
      </c>
      <c t="s">
        <v>43079</v>
      </c>
      <c t="s">
        <v>49674</v>
      </c>
      <c t="s">
        <v>2517</v>
      </c>
      <c t="s">
        <v>39289</v>
      </c>
      <c>
        <v>33909</v>
      </c>
      <c t="s">
        <v>31282</v>
      </c>
      <c t="s">
        <v>48794</v>
      </c>
      <c t="s">
        <v>67127</v>
      </c>
      <c>
        <v>2589</v>
      </c>
      <c r="AI4221" t="s">
        <v>60602</v>
      </c>
      <c t="s">
        <v>7412</v>
      </c>
      <c r="AL4221" t="s">
        <v>2602</v>
      </c>
      <c r="AN4221" t="s">
        <v>10909</v>
      </c>
      <c t="s">
        <v>22761</v>
      </c>
      <c r="AQ4221" t="s">
        <v>27814</v>
      </c>
      <c t="s">
        <v>20852</v>
      </c>
    </row>
    <row>
      <c t="s">
        <v>17594</v>
      </c>
      <c t="s">
        <v>27269</v>
      </c>
      <c t="s">
        <v>48774</v>
      </c>
      <c t="s">
        <v>41719</v>
      </c>
      <c t="s">
        <v>26337</v>
      </c>
      <c s="3">
        <v>21060</v>
      </c>
      <c s="3">
        <v>21060</v>
      </c>
      <c s="3">
        <v>9235</v>
      </c>
      <c>
        <v>0</v>
      </c>
      <c s="3">
        <v>0</v>
      </c>
      <c s="3">
        <v>623.25</v>
      </c>
      <c s="3">
        <v>21060</v>
      </c>
      <c r="O4222" s="1" t="str">
        <f ca="1">HYPERLINK("https://web.datatree.com/?/property?propertyId=33629232", "https://web.datatree.com/?/property?propertyId=33629232")</f>
        <v>https://web.datatree.com/?/property?propertyId=33629232</v>
      </c>
      <c r="Q4222" t="s">
        <v>316</v>
      </c>
      <c>
        <v>0.271</v>
      </c>
      <c t="s">
        <v>22490</v>
      </c>
      <c t="s">
        <v>23529</v>
      </c>
      <c t="s">
        <v>40800</v>
      </c>
      <c r="X4222" t="s">
        <v>60547</v>
      </c>
      <c t="s">
        <v>39082</v>
      </c>
      <c t="s">
        <v>2517</v>
      </c>
      <c t="s">
        <v>39289</v>
      </c>
      <c>
        <v>33909</v>
      </c>
      <c>
        <v>33909</v>
      </c>
      <c t="s">
        <v>48794</v>
      </c>
      <c t="s">
        <v>65891</v>
      </c>
      <c>
        <v>3636</v>
      </c>
      <c r="AI4222" t="s">
        <v>28173</v>
      </c>
      <c t="s">
        <v>55842</v>
      </c>
      <c r="AL4222" t="s">
        <v>11713</v>
      </c>
      <c r="AN4222" t="s">
        <v>39289</v>
      </c>
      <c t="s">
        <v>31974</v>
      </c>
      <c t="s">
        <v>43313</v>
      </c>
      <c t="s">
        <v>3093</v>
      </c>
      <c t="s">
        <v>61800</v>
      </c>
    </row>
    <row>
      <c t="s">
        <v>17594</v>
      </c>
      <c t="s">
        <v>41150</v>
      </c>
      <c t="s">
        <v>13094</v>
      </c>
      <c t="s">
        <v>30165</v>
      </c>
      <c t="s">
        <v>55414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>
        <v>2016</v>
      </c>
      <c>
        <v>2519.18</v>
      </c>
      <c s="1" t="str">
        <f ca="1">HYPERLINK("https://web.datatree.com/?/property?propertyId=33629620", "https://web.datatree.com/?/property?propertyId=33629620")</f>
        <v>https://web.datatree.com/?/property?propertyId=33629620</v>
      </c>
      <c r="Q4223" t="s">
        <v>316</v>
      </c>
      <c>
        <v>0.232</v>
      </c>
      <c t="s">
        <v>5471</v>
      </c>
      <c t="s">
        <v>254</v>
      </c>
      <c t="s">
        <v>9180</v>
      </c>
      <c t="s">
        <v>44541</v>
      </c>
      <c t="s">
        <v>64322</v>
      </c>
      <c t="s">
        <v>48642</v>
      </c>
      <c t="s">
        <v>48116</v>
      </c>
      <c t="s">
        <v>65059</v>
      </c>
      <c t="s">
        <v>39289</v>
      </c>
      <c>
        <v>33905</v>
      </c>
      <c t="s">
        <v>45822</v>
      </c>
      <c t="s">
        <v>48794</v>
      </c>
      <c t="s">
        <v>14144</v>
      </c>
      <c>
        <v>418</v>
      </c>
      <c r="AI4223" t="s">
        <v>52609</v>
      </c>
      <c t="s">
        <v>1671</v>
      </c>
      <c r="AL4223" t="s">
        <v>60176</v>
      </c>
      <c r="AN4223" t="s">
        <v>65451</v>
      </c>
      <c t="s">
        <v>12236</v>
      </c>
      <c t="s">
        <v>56186</v>
      </c>
      <c t="s">
        <v>3093</v>
      </c>
      <c t="s">
        <v>43232</v>
      </c>
    </row>
    <row>
      <c t="s">
        <v>17594</v>
      </c>
      <c t="s">
        <v>31375</v>
      </c>
      <c t="s">
        <v>31647</v>
      </c>
      <c t="s">
        <v>55444</v>
      </c>
      <c t="s">
        <v>63795</v>
      </c>
      <c s="3">
        <v>39595</v>
      </c>
      <c s="3">
        <v>38384</v>
      </c>
      <c s="3">
        <v>30516</v>
      </c>
      <c>
        <v>0</v>
      </c>
      <c s="3">
        <v>0</v>
      </c>
      <c s="3">
        <v>481.7</v>
      </c>
      <c s="3">
        <v>39595</v>
      </c>
      <c r="O4224" s="1" t="str">
        <f ca="1">HYPERLINK("https://web.datatree.com/?/property?propertyId=33629732", "https://web.datatree.com/?/property?propertyId=33629732")</f>
        <v>https://web.datatree.com/?/property?propertyId=33629732</v>
      </c>
      <c r="Q4224" t="s">
        <v>316</v>
      </c>
      <c>
        <v>0.064</v>
      </c>
      <c t="s">
        <v>54329</v>
      </c>
      <c t="s">
        <v>5759</v>
      </c>
      <c t="s">
        <v>64464</v>
      </c>
      <c t="s">
        <v>27351</v>
      </c>
      <c t="s">
        <v>64464</v>
      </c>
      <c t="s">
        <v>48651</v>
      </c>
      <c t="s">
        <v>61105</v>
      </c>
      <c t="s">
        <v>65059</v>
      </c>
      <c t="s">
        <v>39289</v>
      </c>
      <c>
        <v>33908</v>
      </c>
      <c>
        <v>33908</v>
      </c>
      <c t="s">
        <v>48794</v>
      </c>
      <c t="s">
        <v>6228</v>
      </c>
      <c>
        <v>4294</v>
      </c>
      <c r="AI4224" t="s">
        <v>53464</v>
      </c>
      <c t="s">
        <v>45620</v>
      </c>
      <c r="AL4224" t="s">
        <v>34272</v>
      </c>
      <c r="AN4224" t="s">
        <v>17134</v>
      </c>
      <c t="s">
        <v>14963</v>
      </c>
      <c t="s">
        <v>49977</v>
      </c>
      <c t="s">
        <v>3093</v>
      </c>
      <c t="s">
        <v>3366</v>
      </c>
      <c>
        <v>1984</v>
      </c>
    </row>
    <row>
      <c t="s">
        <v>17594</v>
      </c>
      <c t="s">
        <v>41457</v>
      </c>
      <c t="s">
        <v>27472</v>
      </c>
      <c t="s">
        <v>30798</v>
      </c>
      <c t="s">
        <v>47519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>
        <v>2021</v>
      </c>
      <c>
        <v>520</v>
      </c>
      <c s="1" t="str">
        <f ca="1">HYPERLINK("https://web.datatree.com/?/property?propertyId=33630099", "https://web.datatree.com/?/property?propertyId=33630099")</f>
        <v>https://web.datatree.com/?/property?propertyId=33630099</v>
      </c>
      <c r="Q4225" t="s">
        <v>316</v>
      </c>
      <c>
        <v>0.23</v>
      </c>
      <c t="s">
        <v>22490</v>
      </c>
      <c t="s">
        <v>16298</v>
      </c>
      <c t="s">
        <v>4509</v>
      </c>
      <c r="X4225" t="s">
        <v>41122</v>
      </c>
      <c t="s">
        <v>23517</v>
      </c>
      <c t="s">
        <v>2517</v>
      </c>
      <c t="s">
        <v>39289</v>
      </c>
      <c>
        <v>33909</v>
      </c>
      <c t="s">
        <v>61307</v>
      </c>
      <c t="s">
        <v>48794</v>
      </c>
      <c t="s">
        <v>40822</v>
      </c>
      <c>
        <v>18375</v>
      </c>
      <c r="AI4225" t="s">
        <v>11175</v>
      </c>
      <c t="s">
        <v>4985</v>
      </c>
      <c>
        <v>216</v>
      </c>
      <c t="s">
        <v>4811</v>
      </c>
      <c t="s">
        <v>22539</v>
      </c>
      <c t="s">
        <v>65451</v>
      </c>
      <c t="s">
        <v>43877</v>
      </c>
      <c t="s">
        <v>4480</v>
      </c>
      <c t="s">
        <v>3093</v>
      </c>
      <c t="s">
        <v>14115</v>
      </c>
    </row>
    <row>
      <c t="s">
        <v>42103</v>
      </c>
      <c t="s">
        <v>14594</v>
      </c>
      <c t="s">
        <v>36972</v>
      </c>
      <c t="s">
        <v>20906</v>
      </c>
      <c t="s">
        <v>39622</v>
      </c>
      <c s="3">
        <v>14998</v>
      </c>
      <c s="3">
        <v>14998</v>
      </c>
      <c s="3">
        <v>7838</v>
      </c>
      <c>
        <v>0</v>
      </c>
      <c s="3">
        <v>0</v>
      </c>
      <c s="3">
        <v>538.03</v>
      </c>
      <c s="3">
        <v>14998</v>
      </c>
      <c r="O4226" s="1" t="str">
        <f ca="1">HYPERLINK("https://web.datatree.com/?/property?propertyId=33630449", "https://web.datatree.com/?/property?propertyId=33630449")</f>
        <v>https://web.datatree.com/?/property?propertyId=33630449</v>
      </c>
      <c r="Q4226" t="s">
        <v>316</v>
      </c>
      <c>
        <v>0.23</v>
      </c>
      <c t="s">
        <v>42044</v>
      </c>
      <c r="U4226" t="s">
        <v>63990</v>
      </c>
      <c r="W4226" t="s">
        <v>10887</v>
      </c>
      <c t="s">
        <v>29061</v>
      </c>
      <c t="s">
        <v>61865</v>
      </c>
      <c t="s">
        <v>2517</v>
      </c>
      <c t="s">
        <v>39289</v>
      </c>
      <c>
        <v>33909</v>
      </c>
      <c t="s">
        <v>34146</v>
      </c>
      <c t="s">
        <v>48794</v>
      </c>
      <c t="s">
        <v>9245</v>
      </c>
      <c r="AI4226" t="s">
        <v>34683</v>
      </c>
      <c r="AL4226" t="s">
        <v>35318</v>
      </c>
      <c r="AN4226" t="s">
        <v>43132</v>
      </c>
      <c t="s">
        <v>33107</v>
      </c>
      <c t="s">
        <v>61509</v>
      </c>
      <c t="s">
        <v>3093</v>
      </c>
      <c t="s">
        <v>64315</v>
      </c>
    </row>
    <row>
      <c t="s">
        <v>17594</v>
      </c>
      <c t="s">
        <v>29992</v>
      </c>
      <c t="s">
        <v>17188</v>
      </c>
      <c t="s">
        <v>46130</v>
      </c>
      <c t="s">
        <v>19787</v>
      </c>
      <c s="3">
        <v>29256</v>
      </c>
      <c s="3">
        <v>29256</v>
      </c>
      <c s="3">
        <v>9079</v>
      </c>
      <c>
        <v>0</v>
      </c>
      <c s="3">
        <v>0</v>
      </c>
      <c s="3">
        <v>2977.63</v>
      </c>
      <c s="3">
        <v>29256</v>
      </c>
      <c>
        <v>2019</v>
      </c>
      <c>
        <v>20771.83</v>
      </c>
      <c s="1" t="str">
        <f ca="1">HYPERLINK("https://web.datatree.com/?/property?propertyId=33630549", "https://web.datatree.com/?/property?propertyId=33630549")</f>
        <v>https://web.datatree.com/?/property?propertyId=33630549</v>
      </c>
      <c r="Q4227" t="s">
        <v>316</v>
      </c>
      <c>
        <v>0.245</v>
      </c>
      <c t="s">
        <v>6175</v>
      </c>
      <c t="s">
        <v>54428</v>
      </c>
      <c t="s">
        <v>7448</v>
      </c>
      <c r="X4227" t="s">
        <v>670</v>
      </c>
      <c t="s">
        <v>13478</v>
      </c>
      <c t="s">
        <v>2517</v>
      </c>
      <c t="s">
        <v>39289</v>
      </c>
      <c>
        <v>33909</v>
      </c>
      <c t="s">
        <v>61201</v>
      </c>
      <c t="s">
        <v>48794</v>
      </c>
      <c t="s">
        <v>61883</v>
      </c>
      <c>
        <v>245</v>
      </c>
      <c r="AI4227" t="s">
        <v>8558</v>
      </c>
      <c t="s">
        <v>45393</v>
      </c>
      <c r="AL4227" t="s">
        <v>23660</v>
      </c>
      <c r="AN4227" t="s">
        <v>50917</v>
      </c>
      <c t="s">
        <v>57264</v>
      </c>
      <c t="s">
        <v>1951</v>
      </c>
      <c t="s">
        <v>3093</v>
      </c>
      <c t="s">
        <v>25770</v>
      </c>
    </row>
    <row>
      <c t="s">
        <v>17594</v>
      </c>
      <c t="s">
        <v>1841</v>
      </c>
      <c t="s">
        <v>19895</v>
      </c>
      <c t="s">
        <v>28623</v>
      </c>
      <c t="s">
        <v>56629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4228" s="1" t="str">
        <f ca="1">HYPERLINK("https://web.datatree.com/?/property?propertyId=33631291", "https://web.datatree.com/?/property?propertyId=33631291")</f>
        <v>https://web.datatree.com/?/property?propertyId=33631291</v>
      </c>
      <c r="Q4228" t="s">
        <v>316</v>
      </c>
      <c>
        <v>0.23</v>
      </c>
      <c t="s">
        <v>22490</v>
      </c>
      <c t="s">
        <v>40990</v>
      </c>
      <c t="s">
        <v>32944</v>
      </c>
      <c r="X4228" t="s">
        <v>32185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17740</v>
      </c>
      <c>
        <v>7</v>
      </c>
      <c r="AI4228" t="s">
        <v>23765</v>
      </c>
      <c r="AL4228" t="s">
        <v>49661</v>
      </c>
      <c r="AN4228" t="s">
        <v>63985</v>
      </c>
      <c>
        <v>27383</v>
      </c>
      <c r="AR4228" t="s">
        <v>3725</v>
      </c>
    </row>
    <row>
      <c t="s">
        <v>17594</v>
      </c>
      <c t="s">
        <v>45501</v>
      </c>
      <c t="s">
        <v>19717</v>
      </c>
      <c t="s">
        <v>20870</v>
      </c>
      <c t="s">
        <v>51295</v>
      </c>
      <c s="3">
        <v>26377</v>
      </c>
      <c s="3">
        <v>26377</v>
      </c>
      <c s="3">
        <v>9240</v>
      </c>
      <c>
        <v>0</v>
      </c>
      <c s="3">
        <v>0</v>
      </c>
      <c s="3">
        <v>646.1</v>
      </c>
      <c s="3">
        <v>26377</v>
      </c>
      <c r="O4229" s="1" t="str">
        <f ca="1">HYPERLINK("https://web.datatree.com/?/property?propertyId=33631857", "https://web.datatree.com/?/property?propertyId=33631857")</f>
        <v>https://web.datatree.com/?/property?propertyId=33631857</v>
      </c>
      <c r="Q4229" t="s">
        <v>316</v>
      </c>
      <c>
        <v>0.301</v>
      </c>
      <c t="s">
        <v>22490</v>
      </c>
      <c t="s">
        <v>56761</v>
      </c>
      <c t="s">
        <v>55523</v>
      </c>
      <c r="X4229" t="s">
        <v>47334</v>
      </c>
      <c t="s">
        <v>14917</v>
      </c>
      <c t="s">
        <v>2517</v>
      </c>
      <c t="s">
        <v>39289</v>
      </c>
      <c>
        <v>33909</v>
      </c>
      <c>
        <v>33909</v>
      </c>
      <c t="s">
        <v>48794</v>
      </c>
      <c t="s">
        <v>60092</v>
      </c>
      <c>
        <v>10</v>
      </c>
      <c r="AI4229" t="s">
        <v>31245</v>
      </c>
      <c t="s">
        <v>40123</v>
      </c>
      <c r="AL4229" t="s">
        <v>11150</v>
      </c>
      <c r="AN4229" t="s">
        <v>26016</v>
      </c>
      <c t="s">
        <v>20122</v>
      </c>
      <c t="s">
        <v>53800</v>
      </c>
      <c t="s">
        <v>3093</v>
      </c>
      <c t="s">
        <v>59362</v>
      </c>
    </row>
    <row>
      <c t="s">
        <v>17594</v>
      </c>
      <c t="s">
        <v>8309</v>
      </c>
      <c t="s">
        <v>45110</v>
      </c>
      <c t="s">
        <v>36259</v>
      </c>
      <c t="s">
        <v>17452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230" s="1" t="str">
        <f ca="1">HYPERLINK("https://web.datatree.com/?/property?propertyId=33632386", "https://web.datatree.com/?/property?propertyId=33632386")</f>
        <v>https://web.datatree.com/?/property?propertyId=33632386</v>
      </c>
      <c r="Q4230" t="s">
        <v>316</v>
      </c>
      <c>
        <v>0.23</v>
      </c>
      <c t="s">
        <v>22490</v>
      </c>
      <c t="s">
        <v>37541</v>
      </c>
      <c t="s">
        <v>47579</v>
      </c>
      <c t="s">
        <v>12173</v>
      </c>
      <c t="s">
        <v>47579</v>
      </c>
      <c t="s">
        <v>49817</v>
      </c>
      <c t="s">
        <v>39082</v>
      </c>
      <c t="s">
        <v>2517</v>
      </c>
      <c t="s">
        <v>39289</v>
      </c>
      <c>
        <v>33909</v>
      </c>
      <c t="s">
        <v>9620</v>
      </c>
      <c t="s">
        <v>48794</v>
      </c>
      <c t="s">
        <v>10549</v>
      </c>
      <c>
        <v>37</v>
      </c>
      <c r="AI4230" t="s">
        <v>51266</v>
      </c>
      <c r="AL4230" t="s">
        <v>34163</v>
      </c>
      <c r="AN4230" t="s">
        <v>40451</v>
      </c>
      <c>
        <v>57070</v>
      </c>
      <c r="AR4230" t="s">
        <v>51554</v>
      </c>
    </row>
    <row>
      <c t="s">
        <v>17594</v>
      </c>
      <c t="s">
        <v>2233</v>
      </c>
      <c t="s">
        <v>58567</v>
      </c>
      <c t="s">
        <v>54118</v>
      </c>
      <c t="s">
        <v>7129</v>
      </c>
      <c s="3">
        <v>31548</v>
      </c>
      <c s="3">
        <v>31548</v>
      </c>
      <c s="3">
        <v>15180</v>
      </c>
      <c>
        <v>0</v>
      </c>
      <c s="3">
        <v>0</v>
      </c>
      <c s="3">
        <v>821.16</v>
      </c>
      <c s="3">
        <v>31548</v>
      </c>
      <c r="O4231" s="1" t="str">
        <f ca="1">HYPERLINK("https://web.datatree.com/?/property?propertyId=33632413", "https://web.datatree.com/?/property?propertyId=33632413")</f>
        <v>https://web.datatree.com/?/property?propertyId=33632413</v>
      </c>
      <c r="Q4231" t="s">
        <v>316</v>
      </c>
      <c>
        <v>0.373</v>
      </c>
      <c t="s">
        <v>22490</v>
      </c>
      <c t="s">
        <v>30490</v>
      </c>
      <c t="s">
        <v>35571</v>
      </c>
      <c t="s">
        <v>16200</v>
      </c>
      <c t="s">
        <v>35571</v>
      </c>
      <c t="s">
        <v>19126</v>
      </c>
      <c t="s">
        <v>55273</v>
      </c>
      <c t="s">
        <v>2517</v>
      </c>
      <c t="s">
        <v>39289</v>
      </c>
      <c>
        <v>33909</v>
      </c>
      <c t="s">
        <v>7696</v>
      </c>
      <c t="s">
        <v>48794</v>
      </c>
      <c t="s">
        <v>53528</v>
      </c>
      <c r="AI4231" t="s">
        <v>58848</v>
      </c>
      <c r="AK4231">
        <v>88</v>
      </c>
      <c t="s">
        <v>27794</v>
      </c>
      <c r="AN4231" t="s">
        <v>43247</v>
      </c>
      <c r="AR4231" t="s">
        <v>15969</v>
      </c>
    </row>
    <row>
      <c t="s">
        <v>17594</v>
      </c>
      <c t="s">
        <v>31909</v>
      </c>
      <c t="s">
        <v>24942</v>
      </c>
      <c t="s">
        <v>20468</v>
      </c>
      <c t="s">
        <v>12365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4232" s="1" t="str">
        <f ca="1">HYPERLINK("https://web.datatree.com/?/property?propertyId=33632483", "https://web.datatree.com/?/property?propertyId=33632483")</f>
        <v>https://web.datatree.com/?/property?propertyId=33632483</v>
      </c>
      <c r="Q4232" t="s">
        <v>316</v>
      </c>
      <c>
        <v>0.23</v>
      </c>
      <c t="s">
        <v>45031</v>
      </c>
      <c t="s">
        <v>44541</v>
      </c>
      <c t="s">
        <v>15342</v>
      </c>
      <c r="X4232" t="s">
        <v>11512</v>
      </c>
      <c t="s">
        <v>46469</v>
      </c>
      <c t="s">
        <v>2517</v>
      </c>
      <c t="s">
        <v>39289</v>
      </c>
      <c>
        <v>33909</v>
      </c>
      <c t="s">
        <v>15502</v>
      </c>
      <c t="s">
        <v>48794</v>
      </c>
      <c t="s">
        <v>22468</v>
      </c>
      <c>
        <v>341</v>
      </c>
      <c r="AI4232" t="s">
        <v>42018</v>
      </c>
      <c t="s">
        <v>31192</v>
      </c>
      <c r="AL4232" t="s">
        <v>18642</v>
      </c>
      <c r="AN4232" t="s">
        <v>63985</v>
      </c>
      <c t="s">
        <v>50800</v>
      </c>
      <c t="s">
        <v>22455</v>
      </c>
      <c t="s">
        <v>3093</v>
      </c>
      <c t="s">
        <v>59743</v>
      </c>
    </row>
    <row>
      <c t="s">
        <v>17594</v>
      </c>
      <c t="s">
        <v>54505</v>
      </c>
      <c t="s">
        <v>21612</v>
      </c>
      <c t="s">
        <v>35850</v>
      </c>
      <c t="s">
        <v>20633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4233" s="1" t="str">
        <f ca="1">HYPERLINK("https://web.datatree.com/?/property?propertyId=33633165", "https://web.datatree.com/?/property?propertyId=33633165")</f>
        <v>https://web.datatree.com/?/property?propertyId=33633165</v>
      </c>
      <c r="Q4233" t="s">
        <v>316</v>
      </c>
      <c>
        <v>0.23</v>
      </c>
      <c t="s">
        <v>6175</v>
      </c>
      <c t="s">
        <v>21379</v>
      </c>
      <c t="s">
        <v>58627</v>
      </c>
      <c r="X4233" t="s">
        <v>39855</v>
      </c>
      <c t="s">
        <v>49674</v>
      </c>
      <c t="s">
        <v>2517</v>
      </c>
      <c t="s">
        <v>39289</v>
      </c>
      <c>
        <v>33909</v>
      </c>
      <c t="s">
        <v>63952</v>
      </c>
      <c t="s">
        <v>48794</v>
      </c>
      <c t="s">
        <v>52657</v>
      </c>
      <c>
        <v>2265</v>
      </c>
      <c r="AI4233" t="s">
        <v>20826</v>
      </c>
      <c t="s">
        <v>31192</v>
      </c>
      <c r="AL4233" t="s">
        <v>51404</v>
      </c>
      <c r="AN4233" t="s">
        <v>48152</v>
      </c>
      <c t="s">
        <v>14647</v>
      </c>
      <c t="s">
        <v>23888</v>
      </c>
      <c t="s">
        <v>3093</v>
      </c>
      <c t="s">
        <v>35587</v>
      </c>
    </row>
    <row>
      <c t="s">
        <v>17594</v>
      </c>
      <c t="s">
        <v>53410</v>
      </c>
      <c t="s">
        <v>39150</v>
      </c>
      <c t="s">
        <v>26470</v>
      </c>
      <c t="s">
        <v>33055</v>
      </c>
      <c s="3">
        <v>71069</v>
      </c>
      <c s="3">
        <v>63500</v>
      </c>
      <c s="3">
        <v>67786</v>
      </c>
      <c>
        <v>0</v>
      </c>
      <c s="3">
        <v>0</v>
      </c>
      <c s="3">
        <v>1038.01</v>
      </c>
      <c s="3">
        <v>71069</v>
      </c>
      <c r="O4234" s="1" t="str">
        <f ca="1">HYPERLINK("https://web.datatree.com/?/property?propertyId=33633769", "https://web.datatree.com/?/property?propertyId=33633769")</f>
        <v>https://web.datatree.com/?/property?propertyId=33633769</v>
      </c>
      <c r="Q4234" t="s">
        <v>316</v>
      </c>
      <c>
        <v>0.1</v>
      </c>
      <c t="s">
        <v>26492</v>
      </c>
      <c r="U4234" t="s">
        <v>9047</v>
      </c>
      <c r="W4234" t="s">
        <v>16938</v>
      </c>
      <c t="s">
        <v>47224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27282</v>
      </c>
      <c>
        <v>12410</v>
      </c>
      <c r="AI4234" t="s">
        <v>55669</v>
      </c>
      <c t="s">
        <v>45620</v>
      </c>
      <c r="AL4234" t="s">
        <v>58450</v>
      </c>
      <c t="s">
        <v>40227</v>
      </c>
      <c t="s">
        <v>19878</v>
      </c>
      <c t="s">
        <v>5767</v>
      </c>
      <c t="s">
        <v>14695</v>
      </c>
      <c t="s">
        <v>3093</v>
      </c>
      <c t="s">
        <v>25937</v>
      </c>
    </row>
    <row>
      <c t="s">
        <v>17594</v>
      </c>
      <c t="s">
        <v>64984</v>
      </c>
      <c t="s">
        <v>12169</v>
      </c>
      <c t="s">
        <v>16682</v>
      </c>
      <c t="s">
        <v>25106</v>
      </c>
      <c s="3">
        <v>8486</v>
      </c>
      <c s="3">
        <v>8486</v>
      </c>
      <c s="3">
        <v>4972</v>
      </c>
      <c>
        <v>0</v>
      </c>
      <c s="3">
        <v>0</v>
      </c>
      <c s="3">
        <v>317.96</v>
      </c>
      <c s="3">
        <v>8486</v>
      </c>
      <c>
        <v>2020</v>
      </c>
      <c>
        <v>347.14</v>
      </c>
      <c s="1" t="str">
        <f ca="1">HYPERLINK("https://web.datatree.com/?/property?propertyId=33633799", "https://web.datatree.com/?/property?propertyId=33633799")</f>
        <v>https://web.datatree.com/?/property?propertyId=33633799</v>
      </c>
      <c r="Q4235" t="s">
        <v>316</v>
      </c>
      <c>
        <v>0.245</v>
      </c>
      <c t="s">
        <v>5471</v>
      </c>
      <c t="s">
        <v>5121</v>
      </c>
      <c t="s">
        <v>33411</v>
      </c>
      <c r="X4235" t="s">
        <v>58663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28774</v>
      </c>
      <c>
        <v>523</v>
      </c>
      <c r="AI4235" t="s">
        <v>1572</v>
      </c>
      <c t="s">
        <v>45393</v>
      </c>
      <c r="AL4235" t="s">
        <v>8109</v>
      </c>
      <c t="s">
        <v>13397</v>
      </c>
      <c t="s">
        <v>50917</v>
      </c>
      <c t="s">
        <v>3087</v>
      </c>
      <c t="s">
        <v>11138</v>
      </c>
      <c t="s">
        <v>3093</v>
      </c>
      <c t="s">
        <v>37505</v>
      </c>
    </row>
    <row>
      <c t="s">
        <v>17594</v>
      </c>
      <c t="s">
        <v>9275</v>
      </c>
      <c t="s">
        <v>38978</v>
      </c>
      <c t="s">
        <v>16204</v>
      </c>
      <c t="s">
        <v>45497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>
        <v>2018</v>
      </c>
      <c>
        <v>1139.67</v>
      </c>
      <c s="1" t="str">
        <f ca="1">HYPERLINK("https://web.datatree.com/?/property?propertyId=33634165", "https://web.datatree.com/?/property?propertyId=33634165")</f>
        <v>https://web.datatree.com/?/property?propertyId=33634165</v>
      </c>
      <c r="Q4236" t="s">
        <v>316</v>
      </c>
      <c>
        <v>0.23</v>
      </c>
      <c t="s">
        <v>6175</v>
      </c>
      <c t="s">
        <v>31729</v>
      </c>
      <c t="s">
        <v>11716</v>
      </c>
      <c r="X4236" t="s">
        <v>27716</v>
      </c>
      <c t="s">
        <v>23517</v>
      </c>
      <c t="s">
        <v>2517</v>
      </c>
      <c t="s">
        <v>39289</v>
      </c>
      <c>
        <v>33909</v>
      </c>
      <c t="s">
        <v>25828</v>
      </c>
      <c t="s">
        <v>48794</v>
      </c>
      <c t="s">
        <v>64821</v>
      </c>
      <c>
        <v>3725</v>
      </c>
      <c r="AI4236" t="s">
        <v>17619</v>
      </c>
      <c t="s">
        <v>1671</v>
      </c>
      <c r="AL4236" t="s">
        <v>45417</v>
      </c>
      <c r="AN4236" t="s">
        <v>66651</v>
      </c>
      <c t="s">
        <v>12894</v>
      </c>
      <c t="s">
        <v>34162</v>
      </c>
      <c t="s">
        <v>3093</v>
      </c>
      <c t="s">
        <v>15313</v>
      </c>
    </row>
    <row>
      <c t="s">
        <v>17594</v>
      </c>
      <c t="s">
        <v>47874</v>
      </c>
      <c t="s">
        <v>3925</v>
      </c>
      <c t="s">
        <v>21851</v>
      </c>
      <c t="s">
        <v>16745</v>
      </c>
      <c s="3">
        <v>17000</v>
      </c>
      <c s="3">
        <v>17000</v>
      </c>
      <c s="3">
        <v>12884</v>
      </c>
      <c>
        <v>0</v>
      </c>
      <c s="3">
        <v>0</v>
      </c>
      <c s="3">
        <v>245.92</v>
      </c>
      <c s="3">
        <v>17000</v>
      </c>
      <c r="O4237" s="1" t="str">
        <f ca="1">HYPERLINK("https://web.datatree.com/?/property?propertyId=33634370", "https://web.datatree.com/?/property?propertyId=33634370")</f>
        <v>https://web.datatree.com/?/property?propertyId=33634370</v>
      </c>
      <c r="Q4237" t="s">
        <v>316</v>
      </c>
      <c>
        <v>0.651</v>
      </c>
      <c t="s">
        <v>66399</v>
      </c>
      <c t="s">
        <v>30490</v>
      </c>
      <c t="s">
        <v>57715</v>
      </c>
      <c r="X4237" t="s">
        <v>12539</v>
      </c>
      <c t="s">
        <v>46254</v>
      </c>
      <c t="s">
        <v>65059</v>
      </c>
      <c t="s">
        <v>39289</v>
      </c>
      <c>
        <v>33905</v>
      </c>
      <c>
        <v>33905</v>
      </c>
      <c t="s">
        <v>48794</v>
      </c>
      <c t="s">
        <v>34060</v>
      </c>
      <c>
        <v>4004</v>
      </c>
      <c r="AI4237" t="s">
        <v>65608</v>
      </c>
      <c t="s">
        <v>31192</v>
      </c>
      <c r="AL4237" t="s">
        <v>41024</v>
      </c>
      <c t="s">
        <v>40227</v>
      </c>
      <c t="s">
        <v>4477</v>
      </c>
      <c t="s">
        <v>26485</v>
      </c>
      <c t="s">
        <v>51100</v>
      </c>
      <c t="s">
        <v>3093</v>
      </c>
      <c t="s">
        <v>23410</v>
      </c>
    </row>
    <row>
      <c t="s">
        <v>17594</v>
      </c>
      <c t="s">
        <v>22828</v>
      </c>
      <c s="6" t="s">
        <v>24134</v>
      </c>
      <c t="s">
        <v>54729</v>
      </c>
      <c t="s">
        <v>37952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4238" s="1" t="str">
        <f ca="1">HYPERLINK("https://web.datatree.com/?/property?propertyId=33634603", "https://web.datatree.com/?/property?propertyId=33634603")</f>
        <v>https://web.datatree.com/?/property?propertyId=33634603</v>
      </c>
      <c r="Q4238" t="s">
        <v>316</v>
      </c>
      <c>
        <v>0.23</v>
      </c>
      <c t="s">
        <v>22490</v>
      </c>
      <c t="s">
        <v>20230</v>
      </c>
      <c t="s">
        <v>4768</v>
      </c>
      <c r="X4238" t="s">
        <v>45434</v>
      </c>
      <c t="s">
        <v>53675</v>
      </c>
      <c t="s">
        <v>2517</v>
      </c>
      <c t="s">
        <v>39289</v>
      </c>
      <c>
        <v>33909</v>
      </c>
      <c t="s">
        <v>26012</v>
      </c>
      <c t="s">
        <v>48794</v>
      </c>
      <c t="s">
        <v>23842</v>
      </c>
      <c s="6">
        <v>39816</v>
      </c>
      <c r="AI4238" t="s">
        <v>14604</v>
      </c>
      <c r="AL4238" t="s">
        <v>34420</v>
      </c>
      <c r="AN4238" t="s">
        <v>40580</v>
      </c>
      <c>
        <v>1200</v>
      </c>
      <c r="AR4238" s="6" t="s">
        <v>7118</v>
      </c>
    </row>
    <row>
      <c t="s">
        <v>17594</v>
      </c>
      <c t="s">
        <v>19013</v>
      </c>
      <c t="s">
        <v>24285</v>
      </c>
      <c t="s">
        <v>42758</v>
      </c>
      <c t="s">
        <v>25774</v>
      </c>
      <c s="3">
        <v>7700</v>
      </c>
      <c s="3">
        <v>7700</v>
      </c>
      <c s="3">
        <v>7700</v>
      </c>
      <c>
        <v>0</v>
      </c>
      <c s="3">
        <v>0</v>
      </c>
      <c s="3">
        <v>597.87</v>
      </c>
      <c s="3">
        <v>7700</v>
      </c>
      <c r="O4239" s="1" t="str">
        <f ca="1">HYPERLINK("https://web.datatree.com/?/property?propertyId=33634702", "https://web.datatree.com/?/property?propertyId=33634702")</f>
        <v>https://web.datatree.com/?/property?propertyId=33634702</v>
      </c>
      <c r="Q4239" t="s">
        <v>316</v>
      </c>
      <c>
        <v>0.267</v>
      </c>
      <c t="s">
        <v>6175</v>
      </c>
      <c t="s">
        <v>21670</v>
      </c>
      <c t="s">
        <v>4237</v>
      </c>
      <c r="X4239" t="s">
        <v>22396</v>
      </c>
      <c t="s">
        <v>14534</v>
      </c>
      <c t="s">
        <v>2517</v>
      </c>
      <c t="s">
        <v>39289</v>
      </c>
      <c>
        <v>33909</v>
      </c>
      <c t="s">
        <v>39947</v>
      </c>
      <c t="s">
        <v>48794</v>
      </c>
      <c t="s">
        <v>30684</v>
      </c>
      <c r="AI4239" t="s">
        <v>14666</v>
      </c>
      <c r="AK4239">
        <v>21</v>
      </c>
      <c t="s">
        <v>18200</v>
      </c>
      <c r="AN4239" t="s">
        <v>22478</v>
      </c>
      <c r="AR4239" t="s">
        <v>45679</v>
      </c>
    </row>
    <row>
      <c t="s">
        <v>17594</v>
      </c>
      <c t="s">
        <v>51077</v>
      </c>
      <c t="s">
        <v>21950</v>
      </c>
      <c t="s">
        <v>63463</v>
      </c>
      <c t="s">
        <v>1589</v>
      </c>
      <c s="3">
        <v>26290</v>
      </c>
      <c s="3">
        <v>26290</v>
      </c>
      <c s="3">
        <v>12650</v>
      </c>
      <c>
        <v>0</v>
      </c>
      <c s="3">
        <v>0</v>
      </c>
      <c s="3">
        <v>569.27</v>
      </c>
      <c s="3">
        <v>26290</v>
      </c>
      <c r="O4240" s="1" t="str">
        <f ca="1">HYPERLINK("https://web.datatree.com/?/property?propertyId=33634812", "https://web.datatree.com/?/property?propertyId=33634812")</f>
        <v>https://web.datatree.com/?/property?propertyId=33634812</v>
      </c>
      <c r="Q4240" t="s">
        <v>316</v>
      </c>
      <c>
        <v>0.23</v>
      </c>
      <c t="s">
        <v>22490</v>
      </c>
      <c t="s">
        <v>22078</v>
      </c>
      <c t="s">
        <v>13906</v>
      </c>
      <c t="s">
        <v>6753</v>
      </c>
      <c t="s">
        <v>13906</v>
      </c>
      <c t="s">
        <v>16516</v>
      </c>
      <c t="s">
        <v>66701</v>
      </c>
      <c t="s">
        <v>2517</v>
      </c>
      <c t="s">
        <v>39289</v>
      </c>
      <c>
        <v>33909</v>
      </c>
      <c>
        <v>33909</v>
      </c>
      <c t="s">
        <v>48794</v>
      </c>
      <c t="s">
        <v>22147</v>
      </c>
      <c>
        <v>200</v>
      </c>
      <c r="AI4240" t="s">
        <v>34468</v>
      </c>
      <c t="s">
        <v>31192</v>
      </c>
      <c>
        <v>802</v>
      </c>
      <c t="s">
        <v>33214</v>
      </c>
      <c r="AN4240" t="s">
        <v>39289</v>
      </c>
      <c t="s">
        <v>9985</v>
      </c>
      <c t="s">
        <v>54916</v>
      </c>
      <c t="s">
        <v>3093</v>
      </c>
      <c t="s">
        <v>63354</v>
      </c>
    </row>
    <row>
      <c t="s">
        <v>17594</v>
      </c>
      <c t="s">
        <v>30021</v>
      </c>
      <c t="s">
        <v>33733</v>
      </c>
      <c t="s">
        <v>42266</v>
      </c>
      <c t="s">
        <v>57800</v>
      </c>
      <c s="3">
        <v>7743</v>
      </c>
      <c s="3">
        <v>7743</v>
      </c>
      <c s="3">
        <v>4972</v>
      </c>
      <c>
        <v>0</v>
      </c>
      <c s="3">
        <v>0</v>
      </c>
      <c s="3">
        <v>316.66</v>
      </c>
      <c s="3">
        <v>7743</v>
      </c>
      <c r="O4241" s="1" t="str">
        <f ca="1">HYPERLINK("https://web.datatree.com/?/property?propertyId=33634900", "https://web.datatree.com/?/property?propertyId=33634900")</f>
        <v>https://web.datatree.com/?/property?propertyId=33634900</v>
      </c>
      <c r="Q4241" t="s">
        <v>316</v>
      </c>
      <c>
        <v>0.236</v>
      </c>
      <c t="s">
        <v>5471</v>
      </c>
      <c r="U4241" t="s">
        <v>35409</v>
      </c>
      <c r="W4241" t="s">
        <v>41253</v>
      </c>
      <c t="s">
        <v>23191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62163</v>
      </c>
      <c>
        <v>6319</v>
      </c>
      <c r="AI4241" t="s">
        <v>61146</v>
      </c>
      <c t="s">
        <v>31192</v>
      </c>
      <c r="AL4241" t="s">
        <v>15179</v>
      </c>
      <c r="AN4241" t="s">
        <v>39289</v>
      </c>
      <c t="s">
        <v>33139</v>
      </c>
      <c t="s">
        <v>56028</v>
      </c>
      <c t="s">
        <v>3093</v>
      </c>
      <c t="s">
        <v>42767</v>
      </c>
    </row>
    <row>
      <c t="s">
        <v>17594</v>
      </c>
      <c t="s">
        <v>21828</v>
      </c>
      <c t="s">
        <v>29248</v>
      </c>
      <c t="s">
        <v>2050</v>
      </c>
      <c t="s">
        <v>48077</v>
      </c>
      <c s="3">
        <v>26249</v>
      </c>
      <c s="3">
        <v>26249</v>
      </c>
      <c s="3">
        <v>13310</v>
      </c>
      <c>
        <v>0</v>
      </c>
      <c s="3">
        <v>0</v>
      </c>
      <c s="3">
        <v>738.57</v>
      </c>
      <c s="3">
        <v>26249</v>
      </c>
      <c r="O4242" s="1" t="str">
        <f ca="1">HYPERLINK("https://web.datatree.com/?/property?propertyId=33635710", "https://web.datatree.com/?/property?propertyId=33635710")</f>
        <v>https://web.datatree.com/?/property?propertyId=33635710</v>
      </c>
      <c r="Q4242" t="s">
        <v>316</v>
      </c>
      <c>
        <v>0.23</v>
      </c>
      <c t="s">
        <v>14479</v>
      </c>
      <c t="s">
        <v>27351</v>
      </c>
      <c t="s">
        <v>21755</v>
      </c>
      <c r="X4242" t="s">
        <v>62822</v>
      </c>
      <c t="s">
        <v>39082</v>
      </c>
      <c t="s">
        <v>2517</v>
      </c>
      <c t="s">
        <v>39289</v>
      </c>
      <c>
        <v>33909</v>
      </c>
      <c t="s">
        <v>53408</v>
      </c>
      <c t="s">
        <v>48794</v>
      </c>
      <c t="s">
        <v>20896</v>
      </c>
      <c>
        <v>347</v>
      </c>
      <c r="AI4242" t="s">
        <v>5105</v>
      </c>
      <c t="s">
        <v>45393</v>
      </c>
      <c r="AL4242" t="s">
        <v>31833</v>
      </c>
      <c r="AN4242" t="s">
        <v>14509</v>
      </c>
      <c t="s">
        <v>54828</v>
      </c>
      <c t="s">
        <v>60160</v>
      </c>
      <c t="s">
        <v>3093</v>
      </c>
      <c t="s">
        <v>20923</v>
      </c>
    </row>
    <row>
      <c t="s">
        <v>17594</v>
      </c>
      <c t="s">
        <v>34183</v>
      </c>
      <c t="s">
        <v>31970</v>
      </c>
      <c t="s">
        <v>17890</v>
      </c>
      <c t="s">
        <v>42941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4243" s="1" t="str">
        <f ca="1">HYPERLINK("https://web.datatree.com/?/property?propertyId=33635930", "https://web.datatree.com/?/property?propertyId=33635930")</f>
        <v>https://web.datatree.com/?/property?propertyId=33635930</v>
      </c>
      <c r="Q4243" t="s">
        <v>316</v>
      </c>
      <c>
        <v>0.23</v>
      </c>
      <c t="s">
        <v>45031</v>
      </c>
      <c t="s">
        <v>54943</v>
      </c>
      <c t="s">
        <v>42761</v>
      </c>
      <c t="s">
        <v>63047</v>
      </c>
      <c t="s">
        <v>42761</v>
      </c>
      <c t="s">
        <v>25904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46874</v>
      </c>
      <c>
        <v>8229</v>
      </c>
      <c r="AI4243">
        <v>7</v>
      </c>
      <c t="s">
        <v>45620</v>
      </c>
      <c r="AL4243" t="s">
        <v>30342</v>
      </c>
      <c r="AN4243" t="s">
        <v>51137</v>
      </c>
      <c t="s">
        <v>65550</v>
      </c>
      <c t="s">
        <v>22455</v>
      </c>
      <c t="s">
        <v>3093</v>
      </c>
      <c t="s">
        <v>4745</v>
      </c>
    </row>
    <row>
      <c t="s">
        <v>17594</v>
      </c>
      <c t="s">
        <v>16051</v>
      </c>
      <c t="s">
        <v>47307</v>
      </c>
      <c t="s">
        <v>20649</v>
      </c>
      <c t="s">
        <v>6770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4244" s="1" t="str">
        <f ca="1">HYPERLINK("https://web.datatree.com/?/property?propertyId=33636247", "https://web.datatree.com/?/property?propertyId=33636247")</f>
        <v>https://web.datatree.com/?/property?propertyId=33636247</v>
      </c>
      <c r="Q4244" t="s">
        <v>316</v>
      </c>
      <c>
        <v>0.23</v>
      </c>
      <c t="s">
        <v>22490</v>
      </c>
      <c t="s">
        <v>4868</v>
      </c>
      <c t="s">
        <v>53416</v>
      </c>
      <c r="X4244" t="s">
        <v>16180</v>
      </c>
      <c t="s">
        <v>57064</v>
      </c>
      <c t="s">
        <v>2517</v>
      </c>
      <c t="s">
        <v>39289</v>
      </c>
      <c>
        <v>33909</v>
      </c>
      <c t="s">
        <v>33252</v>
      </c>
      <c t="s">
        <v>48794</v>
      </c>
      <c t="s">
        <v>1508</v>
      </c>
      <c>
        <v>3680</v>
      </c>
      <c r="AI4244" t="s">
        <v>21672</v>
      </c>
      <c t="s">
        <v>45620</v>
      </c>
      <c r="AL4244" t="s">
        <v>64518</v>
      </c>
      <c r="AN4244" t="s">
        <v>17134</v>
      </c>
      <c t="s">
        <v>67162</v>
      </c>
      <c t="s">
        <v>22455</v>
      </c>
      <c t="s">
        <v>3093</v>
      </c>
      <c t="s">
        <v>7830</v>
      </c>
    </row>
    <row>
      <c t="s">
        <v>17594</v>
      </c>
      <c t="s">
        <v>2325</v>
      </c>
      <c t="s">
        <v>65919</v>
      </c>
      <c t="s">
        <v>12273</v>
      </c>
      <c t="s">
        <v>28943</v>
      </c>
      <c s="3">
        <v>17399</v>
      </c>
      <c s="3">
        <v>17399</v>
      </c>
      <c s="3">
        <v>8470</v>
      </c>
      <c>
        <v>0</v>
      </c>
      <c s="3">
        <v>0</v>
      </c>
      <c s="3">
        <v>576.29</v>
      </c>
      <c s="3">
        <v>17399</v>
      </c>
      <c r="O4245" s="1" t="str">
        <f ca="1">HYPERLINK("https://web.datatree.com/?/property?propertyId=33636676", "https://web.datatree.com/?/property?propertyId=33636676")</f>
        <v>https://web.datatree.com/?/property?propertyId=33636676</v>
      </c>
      <c r="Q4245" t="s">
        <v>316</v>
      </c>
      <c>
        <v>0.244</v>
      </c>
      <c t="s">
        <v>6175</v>
      </c>
      <c t="s">
        <v>10361</v>
      </c>
      <c t="s">
        <v>35848</v>
      </c>
      <c r="X4245" t="s">
        <v>45371</v>
      </c>
      <c t="s">
        <v>30928</v>
      </c>
      <c t="s">
        <v>2517</v>
      </c>
      <c t="s">
        <v>39289</v>
      </c>
      <c>
        <v>33909</v>
      </c>
      <c t="s">
        <v>28362</v>
      </c>
      <c t="s">
        <v>48794</v>
      </c>
      <c t="s">
        <v>49888</v>
      </c>
      <c>
        <v>76</v>
      </c>
      <c r="AI4245" t="s">
        <v>27448</v>
      </c>
      <c t="s">
        <v>31192</v>
      </c>
      <c r="AL4245" t="s">
        <v>24283</v>
      </c>
      <c r="AN4245" t="s">
        <v>27747</v>
      </c>
      <c t="s">
        <v>55635</v>
      </c>
      <c t="s">
        <v>34162</v>
      </c>
      <c t="s">
        <v>3093</v>
      </c>
      <c t="s">
        <v>39000</v>
      </c>
    </row>
    <row>
      <c t="s">
        <v>17594</v>
      </c>
      <c t="s">
        <v>17696</v>
      </c>
      <c t="s">
        <v>14064</v>
      </c>
      <c t="s">
        <v>48930</v>
      </c>
      <c t="s">
        <v>52167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>
        <v>2021</v>
      </c>
      <c>
        <v>544.98</v>
      </c>
      <c s="1" t="str">
        <f ca="1">HYPERLINK("https://web.datatree.com/?/property?propertyId=33637234", "https://web.datatree.com/?/property?propertyId=33637234")</f>
        <v>https://web.datatree.com/?/property?propertyId=33637234</v>
      </c>
      <c r="Q4246" t="s">
        <v>316</v>
      </c>
      <c>
        <v>0.23</v>
      </c>
      <c t="s">
        <v>6175</v>
      </c>
      <c t="s">
        <v>26386</v>
      </c>
      <c t="s">
        <v>43048</v>
      </c>
      <c r="W4246" t="s">
        <v>49409</v>
      </c>
      <c t="s">
        <v>45319</v>
      </c>
      <c t="s">
        <v>2619</v>
      </c>
      <c t="s">
        <v>2517</v>
      </c>
      <c t="s">
        <v>39289</v>
      </c>
      <c>
        <v>33909</v>
      </c>
      <c t="s">
        <v>41280</v>
      </c>
      <c t="s">
        <v>48794</v>
      </c>
      <c t="s">
        <v>63806</v>
      </c>
      <c>
        <v>1105</v>
      </c>
      <c r="AH4246" t="s">
        <v>26580</v>
      </c>
      <c t="s">
        <v>56489</v>
      </c>
      <c r="AK4246" t="s">
        <v>25384</v>
      </c>
      <c t="s">
        <v>17648</v>
      </c>
      <c r="AN4246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10575</v>
      </c>
      <c t="s">
        <v>66084</v>
      </c>
      <c t="s">
        <v>51684</v>
      </c>
      <c t="s">
        <v>48536</v>
      </c>
      <c s="3">
        <v>8500</v>
      </c>
      <c s="3">
        <v>8500</v>
      </c>
      <c s="3">
        <v>8500</v>
      </c>
      <c>
        <v>0</v>
      </c>
      <c s="3">
        <v>0</v>
      </c>
      <c s="3">
        <v>580.14</v>
      </c>
      <c s="3">
        <v>8500</v>
      </c>
      <c r="O4247" s="1" t="str">
        <f ca="1">HYPERLINK("https://web.datatree.com/?/property?propertyId=33637272", "https://web.datatree.com/?/property?propertyId=33637272")</f>
        <v>https://web.datatree.com/?/property?propertyId=33637272</v>
      </c>
      <c r="Q4247" t="s">
        <v>316</v>
      </c>
      <c>
        <v>0.236</v>
      </c>
      <c t="s">
        <v>6175</v>
      </c>
      <c r="U4247" t="s">
        <v>56089</v>
      </c>
      <c t="s">
        <v>47997</v>
      </c>
      <c t="s">
        <v>43344</v>
      </c>
      <c t="s">
        <v>59345</v>
      </c>
      <c t="s">
        <v>47150</v>
      </c>
      <c t="s">
        <v>2517</v>
      </c>
      <c t="s">
        <v>39289</v>
      </c>
      <c>
        <v>33909</v>
      </c>
      <c t="s">
        <v>55909</v>
      </c>
      <c t="s">
        <v>48794</v>
      </c>
      <c t="s">
        <v>7568</v>
      </c>
      <c>
        <v>13426</v>
      </c>
      <c r="AI4247" t="s">
        <v>22731</v>
      </c>
      <c t="s">
        <v>55842</v>
      </c>
      <c r="AL4247" t="s">
        <v>55393</v>
      </c>
      <c t="s">
        <v>51647</v>
      </c>
      <c t="s">
        <v>39289</v>
      </c>
      <c t="s">
        <v>5582</v>
      </c>
      <c t="s">
        <v>40826</v>
      </c>
      <c t="s">
        <v>3093</v>
      </c>
      <c t="s">
        <v>63785</v>
      </c>
    </row>
    <row>
      <c t="s">
        <v>17594</v>
      </c>
      <c t="s">
        <v>58544</v>
      </c>
      <c t="s">
        <v>13125</v>
      </c>
      <c t="s">
        <v>41870</v>
      </c>
      <c t="s">
        <v>61297</v>
      </c>
      <c s="3">
        <v>9243</v>
      </c>
      <c s="3">
        <v>9243</v>
      </c>
      <c s="3">
        <v>4972</v>
      </c>
      <c>
        <v>0</v>
      </c>
      <c s="3">
        <v>0</v>
      </c>
      <c s="3">
        <v>323.16</v>
      </c>
      <c s="3">
        <v>9243</v>
      </c>
      <c r="O4248" s="1" t="str">
        <f ca="1">HYPERLINK("https://web.datatree.com/?/property?propertyId=33637948", "https://web.datatree.com/?/property?propertyId=33637948")</f>
        <v>https://web.datatree.com/?/property?propertyId=33637948</v>
      </c>
      <c r="Q4248" t="s">
        <v>316</v>
      </c>
      <c>
        <v>0.29</v>
      </c>
      <c t="s">
        <v>48157</v>
      </c>
      <c t="s">
        <v>19953</v>
      </c>
      <c t="s">
        <v>31808</v>
      </c>
      <c r="X4248" t="s">
        <v>18571</v>
      </c>
      <c t="s">
        <v>54986</v>
      </c>
      <c t="s">
        <v>65059</v>
      </c>
      <c t="s">
        <v>39289</v>
      </c>
      <c>
        <v>33905</v>
      </c>
      <c t="s">
        <v>20288</v>
      </c>
      <c t="s">
        <v>48794</v>
      </c>
      <c t="s">
        <v>50141</v>
      </c>
      <c>
        <v>211</v>
      </c>
      <c r="AI4248" t="s">
        <v>61767</v>
      </c>
      <c t="s">
        <v>45620</v>
      </c>
      <c r="AL4248" t="s">
        <v>62871</v>
      </c>
      <c r="AN4248" t="s">
        <v>26016</v>
      </c>
      <c t="s">
        <v>55600</v>
      </c>
      <c t="s">
        <v>12241</v>
      </c>
      <c t="s">
        <v>3093</v>
      </c>
      <c t="s">
        <v>57097</v>
      </c>
    </row>
    <row>
      <c t="s">
        <v>17594</v>
      </c>
      <c t="s">
        <v>50299</v>
      </c>
      <c t="s">
        <v>32363</v>
      </c>
      <c t="s">
        <v>13605</v>
      </c>
      <c t="s">
        <v>40535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249" s="1" t="str">
        <f ca="1">HYPERLINK("https://web.datatree.com/?/property?propertyId=33638085", "https://web.datatree.com/?/property?propertyId=33638085")</f>
        <v>https://web.datatree.com/?/property?propertyId=33638085</v>
      </c>
      <c r="Q4249" t="s">
        <v>316</v>
      </c>
      <c>
        <v>0.23</v>
      </c>
      <c t="s">
        <v>22490</v>
      </c>
      <c t="s">
        <v>39139</v>
      </c>
      <c t="s">
        <v>28448</v>
      </c>
      <c t="s">
        <v>35852</v>
      </c>
      <c t="s">
        <v>28448</v>
      </c>
      <c t="s">
        <v>26548</v>
      </c>
      <c t="s">
        <v>10653</v>
      </c>
      <c t="s">
        <v>2517</v>
      </c>
      <c t="s">
        <v>39289</v>
      </c>
      <c>
        <v>33909</v>
      </c>
      <c>
        <v>33909</v>
      </c>
      <c t="s">
        <v>48794</v>
      </c>
      <c t="s">
        <v>40116</v>
      </c>
      <c>
        <v>162</v>
      </c>
      <c r="AI4249" t="s">
        <v>51355</v>
      </c>
      <c t="s">
        <v>24900</v>
      </c>
      <c r="AL4249" t="s">
        <v>9748</v>
      </c>
      <c r="AN4249" t="s">
        <v>26016</v>
      </c>
      <c t="s">
        <v>5362</v>
      </c>
      <c t="s">
        <v>54916</v>
      </c>
      <c t="s">
        <v>3093</v>
      </c>
      <c t="s">
        <v>59295</v>
      </c>
    </row>
    <row>
      <c t="s">
        <v>17594</v>
      </c>
      <c t="s">
        <v>34387</v>
      </c>
      <c t="s">
        <v>54205</v>
      </c>
      <c t="s">
        <v>6317</v>
      </c>
      <c t="s">
        <v>56767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250" s="1" t="str">
        <f ca="1">HYPERLINK("https://web.datatree.com/?/property?propertyId=33638554", "https://web.datatree.com/?/property?propertyId=33638554")</f>
        <v>https://web.datatree.com/?/property?propertyId=33638554</v>
      </c>
      <c r="Q4250" t="s">
        <v>316</v>
      </c>
      <c>
        <v>0.23</v>
      </c>
      <c t="s">
        <v>6175</v>
      </c>
      <c t="s">
        <v>35968</v>
      </c>
      <c t="s">
        <v>20597</v>
      </c>
      <c t="s">
        <v>44150</v>
      </c>
      <c t="s">
        <v>56977</v>
      </c>
      <c t="s">
        <v>52125</v>
      </c>
      <c t="s">
        <v>29190</v>
      </c>
      <c t="s">
        <v>2517</v>
      </c>
      <c t="s">
        <v>39289</v>
      </c>
      <c>
        <v>33909</v>
      </c>
      <c t="s">
        <v>20743</v>
      </c>
      <c t="s">
        <v>48794</v>
      </c>
      <c t="s">
        <v>63774</v>
      </c>
      <c>
        <v>960</v>
      </c>
      <c r="AI4250" t="s">
        <v>33179</v>
      </c>
      <c t="s">
        <v>45393</v>
      </c>
      <c r="AL4250" t="s">
        <v>29515</v>
      </c>
      <c r="AN4250" t="s">
        <v>39289</v>
      </c>
      <c t="s">
        <v>12457</v>
      </c>
      <c t="s">
        <v>34162</v>
      </c>
      <c t="s">
        <v>3093</v>
      </c>
      <c t="s">
        <v>49014</v>
      </c>
    </row>
    <row>
      <c t="s">
        <v>17594</v>
      </c>
      <c t="s">
        <v>53394</v>
      </c>
      <c t="s">
        <v>51434</v>
      </c>
      <c t="s">
        <v>47607</v>
      </c>
      <c t="s">
        <v>18073</v>
      </c>
      <c s="3">
        <v>29000</v>
      </c>
      <c s="3">
        <v>29000</v>
      </c>
      <c s="3">
        <v>29000</v>
      </c>
      <c>
        <v>0</v>
      </c>
      <c s="3">
        <v>0</v>
      </c>
      <c s="3">
        <v>926.96</v>
      </c>
      <c s="3">
        <v>29000</v>
      </c>
      <c r="O4251" s="1" t="str">
        <f ca="1">HYPERLINK("https://web.datatree.com/?/property?propertyId=33638599", "https://web.datatree.com/?/property?propertyId=33638599")</f>
        <v>https://web.datatree.com/?/property?propertyId=33638599</v>
      </c>
      <c r="Q4251" t="s">
        <v>316</v>
      </c>
      <c>
        <v>0.344</v>
      </c>
      <c t="s">
        <v>6175</v>
      </c>
      <c t="s">
        <v>1752</v>
      </c>
      <c t="s">
        <v>37050</v>
      </c>
      <c r="X4251" t="s">
        <v>66189</v>
      </c>
      <c t="s">
        <v>47150</v>
      </c>
      <c t="s">
        <v>2517</v>
      </c>
      <c t="s">
        <v>39289</v>
      </c>
      <c>
        <v>33909</v>
      </c>
      <c t="s">
        <v>65436</v>
      </c>
      <c t="s">
        <v>48794</v>
      </c>
      <c t="s">
        <v>44824</v>
      </c>
      <c>
        <v>4221</v>
      </c>
      <c r="AI4251" t="s">
        <v>46977</v>
      </c>
      <c t="s">
        <v>45620</v>
      </c>
      <c r="AL4251" t="s">
        <v>25838</v>
      </c>
      <c r="AN4251" t="s">
        <v>32657</v>
      </c>
      <c t="s">
        <v>66902</v>
      </c>
      <c t="s">
        <v>44428</v>
      </c>
      <c t="s">
        <v>3093</v>
      </c>
      <c t="s">
        <v>67007</v>
      </c>
    </row>
    <row>
      <c t="s">
        <v>17594</v>
      </c>
      <c t="s">
        <v>46875</v>
      </c>
      <c t="s">
        <v>45476</v>
      </c>
      <c t="s">
        <v>36000</v>
      </c>
      <c t="s">
        <v>13991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4252" s="1" t="str">
        <f ca="1">HYPERLINK("https://web.datatree.com/?/property?propertyId=33638778", "https://web.datatree.com/?/property?propertyId=33638778")</f>
        <v>https://web.datatree.com/?/property?propertyId=33638778</v>
      </c>
      <c r="Q4252" t="s">
        <v>316</v>
      </c>
      <c>
        <v>0.23</v>
      </c>
      <c t="s">
        <v>22490</v>
      </c>
      <c t="s">
        <v>43240</v>
      </c>
      <c t="s">
        <v>56187</v>
      </c>
      <c r="X4252" t="s">
        <v>26804</v>
      </c>
      <c t="s">
        <v>41506</v>
      </c>
      <c t="s">
        <v>2517</v>
      </c>
      <c t="s">
        <v>39289</v>
      </c>
      <c>
        <v>33909</v>
      </c>
      <c t="s">
        <v>10939</v>
      </c>
      <c t="s">
        <v>48794</v>
      </c>
      <c t="s">
        <v>37112</v>
      </c>
      <c>
        <v>9641</v>
      </c>
      <c r="AI4252" t="s">
        <v>34048</v>
      </c>
      <c t="s">
        <v>45620</v>
      </c>
      <c r="AL4252" t="s">
        <v>53245</v>
      </c>
      <c r="AN4252" t="s">
        <v>17134</v>
      </c>
      <c t="s">
        <v>40396</v>
      </c>
      <c t="s">
        <v>43294</v>
      </c>
      <c t="s">
        <v>3093</v>
      </c>
      <c t="s">
        <v>60538</v>
      </c>
    </row>
    <row>
      <c t="s">
        <v>17594</v>
      </c>
      <c t="s">
        <v>44895</v>
      </c>
      <c t="s">
        <v>51863</v>
      </c>
      <c t="s">
        <v>39341</v>
      </c>
      <c t="s">
        <v>51328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253" s="1" t="str">
        <f ca="1">HYPERLINK("https://web.datatree.com/?/property?propertyId=33639398", "https://web.datatree.com/?/property?propertyId=33639398")</f>
        <v>https://web.datatree.com/?/property?propertyId=33639398</v>
      </c>
      <c r="Q4253" t="s">
        <v>316</v>
      </c>
      <c>
        <v>0.23</v>
      </c>
      <c t="s">
        <v>6175</v>
      </c>
      <c t="s">
        <v>4458</v>
      </c>
      <c t="s">
        <v>24714</v>
      </c>
      <c t="s">
        <v>53401</v>
      </c>
      <c t="s">
        <v>24714</v>
      </c>
      <c t="s">
        <v>8452</v>
      </c>
      <c t="s">
        <v>34731</v>
      </c>
      <c t="s">
        <v>2517</v>
      </c>
      <c t="s">
        <v>39289</v>
      </c>
      <c>
        <v>33909</v>
      </c>
      <c t="s">
        <v>19794</v>
      </c>
      <c t="s">
        <v>48794</v>
      </c>
      <c t="s">
        <v>25670</v>
      </c>
      <c>
        <v>6320</v>
      </c>
      <c r="AI4253" t="s">
        <v>53324</v>
      </c>
      <c t="s">
        <v>40123</v>
      </c>
      <c>
        <v>108</v>
      </c>
      <c t="s">
        <v>55393</v>
      </c>
      <c r="AN4253" t="s">
        <v>39289</v>
      </c>
      <c t="s">
        <v>44340</v>
      </c>
      <c t="s">
        <v>40645</v>
      </c>
      <c t="s">
        <v>3093</v>
      </c>
      <c t="s">
        <v>23352</v>
      </c>
    </row>
    <row>
      <c t="s">
        <v>17594</v>
      </c>
      <c t="s">
        <v>55218</v>
      </c>
      <c t="s">
        <v>33223</v>
      </c>
      <c t="s">
        <v>66122</v>
      </c>
      <c t="s">
        <v>43199</v>
      </c>
      <c s="3">
        <v>8633</v>
      </c>
      <c s="3">
        <v>8633</v>
      </c>
      <c s="3">
        <v>4972</v>
      </c>
      <c>
        <v>0</v>
      </c>
      <c s="3">
        <v>0</v>
      </c>
      <c s="3">
        <v>319.26</v>
      </c>
      <c s="3">
        <v>8633</v>
      </c>
      <c r="O4254" s="1" t="str">
        <f ca="1">HYPERLINK("https://web.datatree.com/?/property?propertyId=33639487", "https://web.datatree.com/?/property?propertyId=33639487")</f>
        <v>https://web.datatree.com/?/property?propertyId=33639487</v>
      </c>
      <c r="Q4254" t="s">
        <v>316</v>
      </c>
      <c>
        <v>0.256</v>
      </c>
      <c t="s">
        <v>5471</v>
      </c>
      <c t="s">
        <v>67192</v>
      </c>
      <c t="s">
        <v>13709</v>
      </c>
      <c r="X4254" t="s">
        <v>51866</v>
      </c>
      <c t="s">
        <v>9755</v>
      </c>
      <c t="s">
        <v>65059</v>
      </c>
      <c t="s">
        <v>39289</v>
      </c>
      <c>
        <v>33905</v>
      </c>
      <c t="s">
        <v>32232</v>
      </c>
      <c t="s">
        <v>48794</v>
      </c>
      <c t="s">
        <v>52100</v>
      </c>
      <c>
        <v>4891</v>
      </c>
      <c r="AI4254" t="s">
        <v>15510</v>
      </c>
      <c t="s">
        <v>40123</v>
      </c>
      <c r="AL4254" t="s">
        <v>23828</v>
      </c>
      <c r="AN4254" t="s">
        <v>39289</v>
      </c>
      <c t="s">
        <v>30464</v>
      </c>
      <c t="s">
        <v>13449</v>
      </c>
      <c t="s">
        <v>3093</v>
      </c>
      <c t="s">
        <v>38908</v>
      </c>
    </row>
    <row>
      <c t="s">
        <v>17594</v>
      </c>
      <c t="s">
        <v>9148</v>
      </c>
      <c t="s">
        <v>30904</v>
      </c>
      <c t="s">
        <v>53640</v>
      </c>
      <c t="s">
        <v>58160</v>
      </c>
      <c s="3">
        <v>7700</v>
      </c>
      <c s="3">
        <v>7700</v>
      </c>
      <c s="3">
        <v>7700</v>
      </c>
      <c>
        <v>0</v>
      </c>
      <c s="3">
        <v>0</v>
      </c>
      <c s="3">
        <v>593.83</v>
      </c>
      <c s="3">
        <v>7700</v>
      </c>
      <c r="O4255" s="1" t="str">
        <f ca="1">HYPERLINK("https://web.datatree.com/?/property?propertyId=33639688", "https://web.datatree.com/?/property?propertyId=33639688")</f>
        <v>https://web.datatree.com/?/property?propertyId=33639688</v>
      </c>
      <c r="Q4255" t="s">
        <v>316</v>
      </c>
      <c>
        <v>0.257</v>
      </c>
      <c t="s">
        <v>6175</v>
      </c>
      <c t="s">
        <v>52509</v>
      </c>
      <c t="s">
        <v>39982</v>
      </c>
      <c t="s">
        <v>51344</v>
      </c>
      <c t="s">
        <v>41554</v>
      </c>
      <c t="s">
        <v>7834</v>
      </c>
      <c t="s">
        <v>14917</v>
      </c>
      <c t="s">
        <v>2517</v>
      </c>
      <c t="s">
        <v>39289</v>
      </c>
      <c>
        <v>33909</v>
      </c>
      <c t="s">
        <v>25734</v>
      </c>
      <c t="s">
        <v>48794</v>
      </c>
      <c t="s">
        <v>6554</v>
      </c>
      <c>
        <v>884</v>
      </c>
      <c r="AI4255" t="s">
        <v>6766</v>
      </c>
      <c t="s">
        <v>24900</v>
      </c>
      <c r="AL4255" t="s">
        <v>10240</v>
      </c>
      <c t="s">
        <v>10240</v>
      </c>
      <c t="s">
        <v>39289</v>
      </c>
      <c t="s">
        <v>13819</v>
      </c>
      <c t="s">
        <v>4480</v>
      </c>
      <c t="s">
        <v>3093</v>
      </c>
      <c t="s">
        <v>28454</v>
      </c>
    </row>
    <row>
      <c t="s">
        <v>17594</v>
      </c>
      <c t="s">
        <v>55340</v>
      </c>
      <c t="s">
        <v>44588</v>
      </c>
      <c t="s">
        <v>22291</v>
      </c>
      <c t="s">
        <v>16603</v>
      </c>
      <c s="3">
        <v>111405</v>
      </c>
      <c s="3">
        <v>111405</v>
      </c>
      <c s="3">
        <v>104694</v>
      </c>
      <c>
        <v>0</v>
      </c>
      <c s="3">
        <v>0</v>
      </c>
      <c s="3">
        <v>2110.23</v>
      </c>
      <c s="3">
        <v>111405</v>
      </c>
      <c r="O4256" s="1" t="str">
        <f ca="1">HYPERLINK("https://web.datatree.com/?/property?propertyId=33639906", "https://web.datatree.com/?/property?propertyId=33639906")</f>
        <v>https://web.datatree.com/?/property?propertyId=33639906</v>
      </c>
      <c r="Q4256" t="s">
        <v>316</v>
      </c>
      <c>
        <v>0.239</v>
      </c>
      <c t="s">
        <v>22490</v>
      </c>
      <c t="s">
        <v>42397</v>
      </c>
      <c t="s">
        <v>39037</v>
      </c>
      <c t="s">
        <v>23659</v>
      </c>
      <c t="s">
        <v>39037</v>
      </c>
      <c t="s">
        <v>5004</v>
      </c>
      <c t="s">
        <v>33335</v>
      </c>
      <c t="s">
        <v>2517</v>
      </c>
      <c t="s">
        <v>39289</v>
      </c>
      <c>
        <v>33904</v>
      </c>
      <c t="s">
        <v>38063</v>
      </c>
      <c t="s">
        <v>48794</v>
      </c>
      <c t="s">
        <v>34848</v>
      </c>
      <c>
        <v>6106</v>
      </c>
      <c r="AI4256" t="s">
        <v>452</v>
      </c>
      <c t="s">
        <v>31192</v>
      </c>
      <c r="AL4256" t="s">
        <v>29865</v>
      </c>
      <c r="AN4256" t="s">
        <v>22275</v>
      </c>
      <c t="s">
        <v>21587</v>
      </c>
      <c t="s">
        <v>12241</v>
      </c>
      <c t="s">
        <v>3093</v>
      </c>
      <c t="s">
        <v>12450</v>
      </c>
    </row>
    <row>
      <c t="s">
        <v>17594</v>
      </c>
      <c t="s">
        <v>65314</v>
      </c>
      <c t="s">
        <v>53685</v>
      </c>
      <c t="s">
        <v>13572</v>
      </c>
      <c t="s">
        <v>63750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4257" s="1" t="str">
        <f ca="1">HYPERLINK("https://web.datatree.com/?/property?propertyId=33640354", "https://web.datatree.com/?/property?propertyId=33640354")</f>
        <v>https://web.datatree.com/?/property?propertyId=33640354</v>
      </c>
      <c r="Q4257" t="s">
        <v>316</v>
      </c>
      <c>
        <v>0.23</v>
      </c>
      <c t="s">
        <v>58725</v>
      </c>
      <c t="s">
        <v>26000</v>
      </c>
      <c t="s">
        <v>57715</v>
      </c>
      <c r="X4257" t="s">
        <v>50389</v>
      </c>
      <c t="s">
        <v>57064</v>
      </c>
      <c t="s">
        <v>2517</v>
      </c>
      <c t="s">
        <v>39289</v>
      </c>
      <c>
        <v>33909</v>
      </c>
      <c t="s">
        <v>6306</v>
      </c>
      <c t="s">
        <v>48794</v>
      </c>
      <c t="s">
        <v>15640</v>
      </c>
      <c>
        <v>4107</v>
      </c>
      <c r="AI4257" t="s">
        <v>7168</v>
      </c>
      <c t="s">
        <v>24900</v>
      </c>
      <c r="AL4257" t="s">
        <v>23311</v>
      </c>
      <c r="AN4257" t="s">
        <v>56163</v>
      </c>
      <c t="s">
        <v>40933</v>
      </c>
      <c t="s">
        <v>43446</v>
      </c>
      <c t="s">
        <v>3093</v>
      </c>
      <c t="s">
        <v>9090</v>
      </c>
    </row>
    <row>
      <c t="s">
        <v>17594</v>
      </c>
      <c t="s">
        <v>28856</v>
      </c>
      <c t="s">
        <v>44056</v>
      </c>
      <c t="s">
        <v>26412</v>
      </c>
      <c t="s">
        <v>8654</v>
      </c>
      <c s="3">
        <v>67131</v>
      </c>
      <c s="3">
        <v>63500</v>
      </c>
      <c s="3">
        <v>64593</v>
      </c>
      <c>
        <v>0</v>
      </c>
      <c s="3">
        <v>0</v>
      </c>
      <c s="3">
        <v>986.06</v>
      </c>
      <c s="3">
        <v>67131</v>
      </c>
      <c r="O4258" s="1" t="str">
        <f ca="1">HYPERLINK("https://web.datatree.com/?/property?propertyId=33640589", "https://web.datatree.com/?/property?propertyId=33640589")</f>
        <v>https://web.datatree.com/?/property?propertyId=33640589</v>
      </c>
      <c r="Q4258" t="s">
        <v>316</v>
      </c>
      <c>
        <v>0.095</v>
      </c>
      <c t="s">
        <v>26492</v>
      </c>
      <c t="s">
        <v>3724</v>
      </c>
      <c t="s">
        <v>37777</v>
      </c>
      <c t="s">
        <v>63863</v>
      </c>
      <c t="s">
        <v>37777</v>
      </c>
      <c t="s">
        <v>28309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26048</v>
      </c>
      <c>
        <v>68397</v>
      </c>
      <c r="AI4258" t="s">
        <v>1339</v>
      </c>
      <c t="s">
        <v>45620</v>
      </c>
      <c r="AL4258" t="s">
        <v>63197</v>
      </c>
      <c t="s">
        <v>40227</v>
      </c>
      <c t="s">
        <v>51137</v>
      </c>
      <c t="s">
        <v>57487</v>
      </c>
      <c t="s">
        <v>44428</v>
      </c>
      <c t="s">
        <v>3093</v>
      </c>
      <c t="s">
        <v>55583</v>
      </c>
    </row>
    <row>
      <c t="s">
        <v>17594</v>
      </c>
      <c t="s">
        <v>55908</v>
      </c>
      <c t="s">
        <v>17950</v>
      </c>
      <c t="s">
        <v>66977</v>
      </c>
      <c t="s">
        <v>23617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4259" s="1" t="str">
        <f ca="1">HYPERLINK("https://web.datatree.com/?/property?propertyId=33640865", "https://web.datatree.com/?/property?propertyId=33640865")</f>
        <v>https://web.datatree.com/?/property?propertyId=33640865</v>
      </c>
      <c r="Q4259" t="s">
        <v>316</v>
      </c>
      <c>
        <v>0.244</v>
      </c>
      <c t="s">
        <v>22490</v>
      </c>
      <c t="s">
        <v>30041</v>
      </c>
      <c t="s">
        <v>57439</v>
      </c>
      <c t="s">
        <v>20992</v>
      </c>
      <c t="s">
        <v>57439</v>
      </c>
      <c t="s">
        <v>62689</v>
      </c>
      <c t="s">
        <v>30928</v>
      </c>
      <c t="s">
        <v>2517</v>
      </c>
      <c t="s">
        <v>39289</v>
      </c>
      <c>
        <v>33909</v>
      </c>
      <c t="s">
        <v>27592</v>
      </c>
      <c t="s">
        <v>48794</v>
      </c>
      <c t="s">
        <v>65017</v>
      </c>
      <c>
        <v>22</v>
      </c>
      <c r="AI4259" t="s">
        <v>54160</v>
      </c>
      <c r="AL4259" t="s">
        <v>3395</v>
      </c>
      <c r="AN4259" t="s">
        <v>11998</v>
      </c>
      <c r="AR4259" t="s">
        <v>31300</v>
      </c>
    </row>
    <row>
      <c t="s">
        <v>17594</v>
      </c>
      <c t="s">
        <v>60058</v>
      </c>
      <c t="s">
        <v>52712</v>
      </c>
      <c t="s">
        <v>23378</v>
      </c>
      <c t="s">
        <v>57421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>
        <v>2021</v>
      </c>
      <c>
        <v>523.58</v>
      </c>
      <c s="1" t="str">
        <f ca="1">HYPERLINK("https://web.datatree.com/?/property?propertyId=33641999", "https://web.datatree.com/?/property?propertyId=33641999")</f>
        <v>https://web.datatree.com/?/property?propertyId=33641999</v>
      </c>
      <c r="Q4260" t="s">
        <v>316</v>
      </c>
      <c>
        <v>0.23</v>
      </c>
      <c t="s">
        <v>6175</v>
      </c>
      <c t="s">
        <v>42212</v>
      </c>
      <c t="s">
        <v>25739</v>
      </c>
      <c r="X4260" t="s">
        <v>52990</v>
      </c>
      <c t="s">
        <v>61865</v>
      </c>
      <c t="s">
        <v>2517</v>
      </c>
      <c t="s">
        <v>39289</v>
      </c>
      <c>
        <v>33909</v>
      </c>
      <c t="s">
        <v>7700</v>
      </c>
      <c t="s">
        <v>48794</v>
      </c>
      <c t="s">
        <v>30502</v>
      </c>
      <c>
        <v>31</v>
      </c>
      <c r="AI4260" t="s">
        <v>18468</v>
      </c>
      <c t="s">
        <v>24900</v>
      </c>
      <c r="AL4260" t="s">
        <v>9748</v>
      </c>
      <c r="AN4260" t="s">
        <v>14509</v>
      </c>
      <c t="s">
        <v>40909</v>
      </c>
      <c t="s">
        <v>54605</v>
      </c>
      <c t="s">
        <v>3093</v>
      </c>
      <c t="s">
        <v>24782</v>
      </c>
    </row>
    <row>
      <c t="s">
        <v>17594</v>
      </c>
      <c t="s">
        <v>35468</v>
      </c>
      <c t="s">
        <v>29015</v>
      </c>
      <c t="s">
        <v>956</v>
      </c>
      <c t="s">
        <v>65767</v>
      </c>
      <c s="3">
        <v>23352</v>
      </c>
      <c s="3">
        <v>23352</v>
      </c>
      <c s="3">
        <v>8800</v>
      </c>
      <c>
        <v>0</v>
      </c>
      <c s="3">
        <v>0</v>
      </c>
      <c s="3">
        <v>623.96</v>
      </c>
      <c s="3">
        <v>23352</v>
      </c>
      <c r="O4261" s="1" t="str">
        <f ca="1">HYPERLINK("https://web.datatree.com/?/property?propertyId=33642808", "https://web.datatree.com/?/property?propertyId=33642808")</f>
        <v>https://web.datatree.com/?/property?propertyId=33642808</v>
      </c>
      <c r="Q4261" t="s">
        <v>316</v>
      </c>
      <c>
        <v>0.277</v>
      </c>
      <c t="s">
        <v>22490</v>
      </c>
      <c t="s">
        <v>248</v>
      </c>
      <c t="s">
        <v>6781</v>
      </c>
      <c t="s">
        <v>28068</v>
      </c>
      <c t="s">
        <v>6781</v>
      </c>
      <c t="s">
        <v>14200</v>
      </c>
      <c t="s">
        <v>49122</v>
      </c>
      <c t="s">
        <v>2517</v>
      </c>
      <c t="s">
        <v>39289</v>
      </c>
      <c>
        <v>33909</v>
      </c>
      <c t="s">
        <v>20508</v>
      </c>
      <c t="s">
        <v>48794</v>
      </c>
      <c t="s">
        <v>3121</v>
      </c>
      <c>
        <v>112</v>
      </c>
      <c r="AI4261" t="s">
        <v>44637</v>
      </c>
      <c r="AL4261" t="s">
        <v>42914</v>
      </c>
      <c r="AN4261" t="s">
        <v>50917</v>
      </c>
      <c>
        <v>12136</v>
      </c>
      <c r="AR4261" t="s">
        <v>15705</v>
      </c>
    </row>
    <row>
      <c t="s">
        <v>17594</v>
      </c>
      <c t="s">
        <v>25432</v>
      </c>
      <c t="s">
        <v>60096</v>
      </c>
      <c t="s">
        <v>44978</v>
      </c>
      <c t="s">
        <v>18473</v>
      </c>
      <c s="3">
        <v>52640</v>
      </c>
      <c s="3">
        <v>52640</v>
      </c>
      <c s="3">
        <v>12100</v>
      </c>
      <c>
        <v>0</v>
      </c>
      <c s="3">
        <v>0</v>
      </c>
      <c s="3">
        <v>790.85</v>
      </c>
      <c s="3">
        <v>52640</v>
      </c>
      <c r="O4262" s="1" t="str">
        <f ca="1">HYPERLINK("https://web.datatree.com/?/property?propertyId=33643533", "https://web.datatree.com/?/property?propertyId=33643533")</f>
        <v>https://web.datatree.com/?/property?propertyId=33643533</v>
      </c>
      <c r="Q4262" t="s">
        <v>316</v>
      </c>
      <c>
        <v>0.23</v>
      </c>
      <c t="s">
        <v>22490</v>
      </c>
      <c t="s">
        <v>4868</v>
      </c>
      <c t="s">
        <v>42871</v>
      </c>
      <c t="s">
        <v>18547</v>
      </c>
      <c t="s">
        <v>39666</v>
      </c>
      <c t="s">
        <v>34316</v>
      </c>
      <c t="s">
        <v>53663</v>
      </c>
      <c t="s">
        <v>2517</v>
      </c>
      <c t="s">
        <v>39289</v>
      </c>
      <c>
        <v>33909</v>
      </c>
      <c t="s">
        <v>38912</v>
      </c>
      <c t="s">
        <v>48794</v>
      </c>
      <c t="s">
        <v>23674</v>
      </c>
      <c>
        <v>832</v>
      </c>
      <c r="AI4262" t="s">
        <v>56277</v>
      </c>
      <c t="s">
        <v>31192</v>
      </c>
      <c r="AL4262" t="s">
        <v>26641</v>
      </c>
      <c r="AN4262" t="s">
        <v>39289</v>
      </c>
      <c t="s">
        <v>63483</v>
      </c>
      <c t="s">
        <v>48506</v>
      </c>
      <c t="s">
        <v>3093</v>
      </c>
      <c t="s">
        <v>23957</v>
      </c>
    </row>
    <row>
      <c t="s">
        <v>17594</v>
      </c>
      <c t="s">
        <v>3237</v>
      </c>
      <c t="s">
        <v>52714</v>
      </c>
      <c t="s">
        <v>53588</v>
      </c>
      <c t="s">
        <v>36575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4263" s="1" t="str">
        <f ca="1">HYPERLINK("https://web.datatree.com/?/property?propertyId=33643795", "https://web.datatree.com/?/property?propertyId=33643795")</f>
        <v>https://web.datatree.com/?/property?propertyId=33643795</v>
      </c>
      <c r="Q4263" t="s">
        <v>316</v>
      </c>
      <c>
        <v>0.245</v>
      </c>
      <c t="s">
        <v>22490</v>
      </c>
      <c t="s">
        <v>44457</v>
      </c>
      <c t="s">
        <v>66968</v>
      </c>
      <c t="s">
        <v>52506</v>
      </c>
      <c t="s">
        <v>66968</v>
      </c>
      <c t="s">
        <v>11153</v>
      </c>
      <c t="s">
        <v>53675</v>
      </c>
      <c t="s">
        <v>2517</v>
      </c>
      <c t="s">
        <v>39289</v>
      </c>
      <c>
        <v>33909</v>
      </c>
      <c t="s">
        <v>51398</v>
      </c>
      <c t="s">
        <v>48794</v>
      </c>
      <c t="s">
        <v>66033</v>
      </c>
      <c>
        <v>121</v>
      </c>
      <c r="AI4263" t="s">
        <v>61779</v>
      </c>
      <c t="s">
        <v>45393</v>
      </c>
      <c r="AL4263" t="s">
        <v>29985</v>
      </c>
      <c r="AN4263" t="s">
        <v>39289</v>
      </c>
      <c t="s">
        <v>38883</v>
      </c>
      <c t="s">
        <v>27720</v>
      </c>
      <c t="s">
        <v>3093</v>
      </c>
      <c t="s">
        <v>25639</v>
      </c>
    </row>
    <row>
      <c t="s">
        <v>17594</v>
      </c>
      <c t="s">
        <v>61655</v>
      </c>
      <c t="s">
        <v>673</v>
      </c>
      <c t="s">
        <v>42314</v>
      </c>
      <c t="s">
        <v>21958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264" s="1" t="str">
        <f ca="1">HYPERLINK("https://web.datatree.com/?/property?propertyId=33644230", "https://web.datatree.com/?/property?propertyId=33644230")</f>
        <v>https://web.datatree.com/?/property?propertyId=33644230</v>
      </c>
      <c r="Q4264" t="s">
        <v>316</v>
      </c>
      <c>
        <v>0.23</v>
      </c>
      <c t="s">
        <v>6175</v>
      </c>
      <c t="s">
        <v>56637</v>
      </c>
      <c t="s">
        <v>844</v>
      </c>
      <c r="X4264" t="s">
        <v>15344</v>
      </c>
      <c t="s">
        <v>33179</v>
      </c>
      <c t="s">
        <v>2517</v>
      </c>
      <c t="s">
        <v>39289</v>
      </c>
      <c>
        <v>33909</v>
      </c>
      <c t="s">
        <v>54513</v>
      </c>
      <c t="s">
        <v>48794</v>
      </c>
      <c t="s">
        <v>35347</v>
      </c>
      <c>
        <v>7730</v>
      </c>
      <c r="AI4264" t="s">
        <v>61096</v>
      </c>
      <c t="s">
        <v>45393</v>
      </c>
      <c r="AL4264" t="s">
        <v>7634</v>
      </c>
      <c t="s">
        <v>7634</v>
      </c>
      <c t="s">
        <v>39289</v>
      </c>
      <c t="s">
        <v>37729</v>
      </c>
      <c t="s">
        <v>38085</v>
      </c>
      <c t="s">
        <v>3093</v>
      </c>
      <c t="s">
        <v>43024</v>
      </c>
    </row>
    <row>
      <c t="s">
        <v>42103</v>
      </c>
      <c t="s">
        <v>53600</v>
      </c>
      <c t="s">
        <v>47218</v>
      </c>
      <c t="s">
        <v>20610</v>
      </c>
      <c t="s">
        <v>51332</v>
      </c>
      <c s="3">
        <v>7700</v>
      </c>
      <c s="3">
        <v>7700</v>
      </c>
      <c s="3">
        <v>7700</v>
      </c>
      <c>
        <v>0</v>
      </c>
      <c s="3">
        <v>0</v>
      </c>
      <c s="3">
        <v>711.81</v>
      </c>
      <c s="3">
        <v>7700</v>
      </c>
      <c>
        <v>2021</v>
      </c>
      <c>
        <v>548.68</v>
      </c>
      <c s="1" t="str">
        <f ca="1">HYPERLINK("https://web.datatree.com/?/property?propertyId=33644678", "https://web.datatree.com/?/property?propertyId=33644678")</f>
        <v>https://web.datatree.com/?/property?propertyId=33644678</v>
      </c>
      <c r="Q4265" t="s">
        <v>316</v>
      </c>
      <c>
        <v>0.251</v>
      </c>
      <c t="s">
        <v>6175</v>
      </c>
      <c t="s">
        <v>24650</v>
      </c>
      <c t="s">
        <v>43493</v>
      </c>
      <c t="s">
        <v>5988</v>
      </c>
      <c t="s">
        <v>54299</v>
      </c>
      <c t="s">
        <v>2643</v>
      </c>
      <c t="s">
        <v>14917</v>
      </c>
      <c t="s">
        <v>2517</v>
      </c>
      <c t="s">
        <v>39289</v>
      </c>
      <c>
        <v>33909</v>
      </c>
      <c t="s">
        <v>10471</v>
      </c>
      <c t="s">
        <v>48794</v>
      </c>
      <c t="s">
        <v>19579</v>
      </c>
      <c r="AI4265" t="s">
        <v>65064</v>
      </c>
      <c r="AL4265" t="s">
        <v>48923</v>
      </c>
      <c t="s">
        <v>32447</v>
      </c>
      <c t="s">
        <v>19878</v>
      </c>
      <c>
        <v>10803</v>
      </c>
      <c r="AQ4265" t="s">
        <v>3093</v>
      </c>
      <c t="s">
        <v>58973</v>
      </c>
    </row>
    <row>
      <c t="s">
        <v>17594</v>
      </c>
      <c t="s">
        <v>1115</v>
      </c>
      <c t="s">
        <v>33082</v>
      </c>
      <c t="s">
        <v>9508</v>
      </c>
      <c t="s">
        <v>19084</v>
      </c>
      <c s="3">
        <v>92803</v>
      </c>
      <c s="3">
        <v>82500</v>
      </c>
      <c s="3">
        <v>92803</v>
      </c>
      <c>
        <v>0</v>
      </c>
      <c s="3">
        <v>0</v>
      </c>
      <c s="3">
        <v>1394.31</v>
      </c>
      <c s="3">
        <v>92803</v>
      </c>
      <c r="O4266" s="1" t="str">
        <f ca="1">HYPERLINK("https://web.datatree.com/?/property?propertyId=33644827", "https://web.datatree.com/?/property?propertyId=33644827")</f>
        <v>https://web.datatree.com/?/property?propertyId=33644827</v>
      </c>
      <c r="Q4266" t="s">
        <v>316</v>
      </c>
      <c>
        <v>0.104</v>
      </c>
      <c t="s">
        <v>26492</v>
      </c>
      <c r="U4266" t="s">
        <v>39899</v>
      </c>
      <c r="W4266" t="s">
        <v>47490</v>
      </c>
      <c t="s">
        <v>52772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46325</v>
      </c>
      <c>
        <v>66</v>
      </c>
      <c r="AI4266" t="s">
        <v>61934</v>
      </c>
      <c t="s">
        <v>40123</v>
      </c>
      <c r="AL4266" t="s">
        <v>42423</v>
      </c>
      <c t="s">
        <v>40227</v>
      </c>
      <c t="s">
        <v>17134</v>
      </c>
      <c t="s">
        <v>36187</v>
      </c>
      <c t="s">
        <v>52247</v>
      </c>
      <c t="s">
        <v>3093</v>
      </c>
      <c t="s">
        <v>57545</v>
      </c>
    </row>
    <row>
      <c t="s">
        <v>17594</v>
      </c>
      <c t="s">
        <v>66041</v>
      </c>
      <c t="s">
        <v>9056</v>
      </c>
      <c t="s">
        <v>33531</v>
      </c>
      <c t="s">
        <v>19090</v>
      </c>
      <c s="3">
        <v>24937</v>
      </c>
      <c s="3">
        <v>24937</v>
      </c>
      <c s="3">
        <v>9079</v>
      </c>
      <c>
        <v>0</v>
      </c>
      <c s="3">
        <v>0</v>
      </c>
      <c s="3">
        <v>2941.31</v>
      </c>
      <c s="3">
        <v>24937</v>
      </c>
      <c r="O4267" s="1" t="str">
        <f ca="1">HYPERLINK("https://web.datatree.com/?/property?propertyId=33645552", "https://web.datatree.com/?/property?propertyId=33645552")</f>
        <v>https://web.datatree.com/?/property?propertyId=33645552</v>
      </c>
      <c r="Q4267" t="s">
        <v>316</v>
      </c>
      <c>
        <v>0.237</v>
      </c>
      <c t="s">
        <v>6175</v>
      </c>
      <c t="s">
        <v>552</v>
      </c>
      <c t="s">
        <v>58563</v>
      </c>
      <c t="s">
        <v>2597</v>
      </c>
      <c r="X4267" t="s">
        <v>41649</v>
      </c>
      <c t="s">
        <v>34731</v>
      </c>
      <c t="s">
        <v>2517</v>
      </c>
      <c t="s">
        <v>39289</v>
      </c>
      <c>
        <v>33909</v>
      </c>
      <c t="s">
        <v>9289</v>
      </c>
      <c t="s">
        <v>48794</v>
      </c>
      <c t="s">
        <v>66750</v>
      </c>
      <c>
        <v>13534</v>
      </c>
      <c r="AI4267" t="s">
        <v>35712</v>
      </c>
      <c t="s">
        <v>39321</v>
      </c>
      <c r="AL4267" t="s">
        <v>55393</v>
      </c>
      <c t="s">
        <v>523</v>
      </c>
      <c t="s">
        <v>39289</v>
      </c>
      <c>
        <v>33165</v>
      </c>
      <c r="AQ4267" t="s">
        <v>3093</v>
      </c>
      <c t="s">
        <v>41094</v>
      </c>
    </row>
    <row>
      <c t="s">
        <v>17594</v>
      </c>
      <c t="s">
        <v>1299</v>
      </c>
      <c t="s">
        <v>3003</v>
      </c>
      <c t="s">
        <v>9569</v>
      </c>
      <c t="s">
        <v>15866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4268" s="1" t="str">
        <f ca="1">HYPERLINK("https://web.datatree.com/?/property?propertyId=33645663", "https://web.datatree.com/?/property?propertyId=33645663")</f>
        <v>https://web.datatree.com/?/property?propertyId=33645663</v>
      </c>
      <c r="Q4268" t="s">
        <v>316</v>
      </c>
      <c>
        <v>0.23</v>
      </c>
      <c t="s">
        <v>6175</v>
      </c>
      <c t="s">
        <v>7107</v>
      </c>
      <c t="s">
        <v>32018</v>
      </c>
      <c t="s">
        <v>41856</v>
      </c>
      <c t="s">
        <v>32018</v>
      </c>
      <c t="s">
        <v>42474</v>
      </c>
      <c t="s">
        <v>50440</v>
      </c>
      <c t="s">
        <v>2517</v>
      </c>
      <c t="s">
        <v>39289</v>
      </c>
      <c>
        <v>33909</v>
      </c>
      <c t="s">
        <v>11294</v>
      </c>
      <c t="s">
        <v>48794</v>
      </c>
      <c t="s">
        <v>44106</v>
      </c>
      <c>
        <v>1325</v>
      </c>
      <c r="AI4268" t="s">
        <v>6294</v>
      </c>
      <c t="s">
        <v>24900</v>
      </c>
      <c r="AL4268" t="s">
        <v>15127</v>
      </c>
      <c r="AN4268" t="s">
        <v>65451</v>
      </c>
      <c t="s">
        <v>39799</v>
      </c>
      <c t="s">
        <v>27780</v>
      </c>
      <c t="s">
        <v>3093</v>
      </c>
      <c t="s">
        <v>62093</v>
      </c>
    </row>
    <row>
      <c t="s">
        <v>17594</v>
      </c>
      <c t="s">
        <v>44765</v>
      </c>
      <c t="s">
        <v>20862</v>
      </c>
      <c t="s">
        <v>8220</v>
      </c>
      <c t="s">
        <v>20316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4269" s="1" t="str">
        <f ca="1">HYPERLINK("https://web.datatree.com/?/property?propertyId=33645807", "https://web.datatree.com/?/property?propertyId=33645807")</f>
        <v>https://web.datatree.com/?/property?propertyId=33645807</v>
      </c>
      <c r="Q4269" t="s">
        <v>316</v>
      </c>
      <c>
        <v>0.244</v>
      </c>
      <c t="s">
        <v>22490</v>
      </c>
      <c r="U4269" t="s">
        <v>59062</v>
      </c>
      <c r="W4269" t="s">
        <v>66724</v>
      </c>
      <c t="s">
        <v>28431</v>
      </c>
      <c t="s">
        <v>22731</v>
      </c>
      <c t="s">
        <v>2517</v>
      </c>
      <c t="s">
        <v>39289</v>
      </c>
      <c>
        <v>33909</v>
      </c>
      <c t="s">
        <v>26131</v>
      </c>
      <c t="s">
        <v>48794</v>
      </c>
      <c t="s">
        <v>15345</v>
      </c>
      <c>
        <v>7</v>
      </c>
      <c r="AI4269" t="s">
        <v>43480</v>
      </c>
      <c t="s">
        <v>55842</v>
      </c>
      <c r="AL4269" t="s">
        <v>47730</v>
      </c>
      <c r="AN4269" t="s">
        <v>14509</v>
      </c>
      <c t="s">
        <v>20652</v>
      </c>
      <c t="s">
        <v>52247</v>
      </c>
      <c t="s">
        <v>3093</v>
      </c>
      <c t="s">
        <v>6736</v>
      </c>
    </row>
    <row>
      <c t="s">
        <v>17594</v>
      </c>
      <c t="s">
        <v>61959</v>
      </c>
      <c t="s">
        <v>3345</v>
      </c>
      <c t="s">
        <v>14782</v>
      </c>
      <c t="s">
        <v>31960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4270" s="1" t="str">
        <f ca="1">HYPERLINK("https://web.datatree.com/?/property?propertyId=33646654", "https://web.datatree.com/?/property?propertyId=33646654")</f>
        <v>https://web.datatree.com/?/property?propertyId=33646654</v>
      </c>
      <c r="Q4270" t="s">
        <v>316</v>
      </c>
      <c>
        <v>0.244</v>
      </c>
      <c t="s">
        <v>6175</v>
      </c>
      <c t="s">
        <v>20069</v>
      </c>
      <c t="s">
        <v>11159</v>
      </c>
      <c r="X4270" t="s">
        <v>63563</v>
      </c>
      <c t="s">
        <v>13065</v>
      </c>
      <c t="s">
        <v>2517</v>
      </c>
      <c t="s">
        <v>39289</v>
      </c>
      <c>
        <v>33909</v>
      </c>
      <c t="s">
        <v>23356</v>
      </c>
      <c t="s">
        <v>48794</v>
      </c>
      <c t="s">
        <v>59336</v>
      </c>
      <c>
        <v>111</v>
      </c>
      <c r="AI4270" t="s">
        <v>43965</v>
      </c>
      <c t="s">
        <v>31192</v>
      </c>
      <c r="AL4270" t="s">
        <v>43974</v>
      </c>
      <c r="AN4270" t="s">
        <v>50917</v>
      </c>
      <c t="s">
        <v>32893</v>
      </c>
      <c t="s">
        <v>42082</v>
      </c>
      <c t="s">
        <v>3093</v>
      </c>
      <c t="s">
        <v>41615</v>
      </c>
    </row>
    <row>
      <c t="s">
        <v>17594</v>
      </c>
      <c t="s">
        <v>20313</v>
      </c>
      <c t="s">
        <v>47141</v>
      </c>
      <c t="s">
        <v>16341</v>
      </c>
      <c t="s">
        <v>21233</v>
      </c>
      <c s="3">
        <v>121933</v>
      </c>
      <c s="3">
        <v>103750</v>
      </c>
      <c s="3">
        <v>121933</v>
      </c>
      <c>
        <v>0</v>
      </c>
      <c s="3">
        <v>0</v>
      </c>
      <c s="3">
        <v>1830.44</v>
      </c>
      <c s="3">
        <v>121933</v>
      </c>
      <c r="O4271" s="1" t="str">
        <f ca="1">HYPERLINK("https://web.datatree.com/?/property?propertyId=33647020", "https://web.datatree.com/?/property?propertyId=33647020")</f>
        <v>https://web.datatree.com/?/property?propertyId=33647020</v>
      </c>
      <c r="Q4271" t="s">
        <v>316</v>
      </c>
      <c>
        <v>0.125</v>
      </c>
      <c t="s">
        <v>26492</v>
      </c>
      <c t="s">
        <v>9900</v>
      </c>
      <c t="s">
        <v>48923</v>
      </c>
      <c t="s">
        <v>46578</v>
      </c>
      <c t="s">
        <v>48923</v>
      </c>
      <c t="s">
        <v>59273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51822</v>
      </c>
      <c>
        <v>205</v>
      </c>
      <c r="AI4271" t="s">
        <v>27846</v>
      </c>
      <c t="s">
        <v>40123</v>
      </c>
      <c r="AL4271" t="s">
        <v>1393</v>
      </c>
      <c t="s">
        <v>40227</v>
      </c>
      <c t="s">
        <v>19878</v>
      </c>
      <c t="s">
        <v>49042</v>
      </c>
      <c t="s">
        <v>14845</v>
      </c>
      <c t="s">
        <v>3093</v>
      </c>
      <c t="s">
        <v>43120</v>
      </c>
    </row>
    <row>
      <c t="s">
        <v>17594</v>
      </c>
      <c t="s">
        <v>46418</v>
      </c>
      <c t="s">
        <v>34476</v>
      </c>
      <c t="s">
        <v>38758</v>
      </c>
      <c t="s">
        <v>4750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4272" s="1" t="str">
        <f ca="1">HYPERLINK("https://web.datatree.com/?/property?propertyId=33647412", "https://web.datatree.com/?/property?propertyId=33647412")</f>
        <v>https://web.datatree.com/?/property?propertyId=33647412</v>
      </c>
      <c r="Q4272" t="s">
        <v>316</v>
      </c>
      <c>
        <v>0.226</v>
      </c>
      <c t="s">
        <v>5471</v>
      </c>
      <c t="s">
        <v>24409</v>
      </c>
      <c t="s">
        <v>19135</v>
      </c>
      <c t="s">
        <v>21670</v>
      </c>
      <c t="s">
        <v>19135</v>
      </c>
      <c t="s">
        <v>36307</v>
      </c>
      <c t="s">
        <v>20086</v>
      </c>
      <c t="s">
        <v>65059</v>
      </c>
      <c t="s">
        <v>39289</v>
      </c>
      <c>
        <v>33905</v>
      </c>
      <c t="s">
        <v>18534</v>
      </c>
      <c t="s">
        <v>48794</v>
      </c>
      <c t="s">
        <v>30641</v>
      </c>
      <c>
        <v>1900</v>
      </c>
      <c r="AI4272" t="s">
        <v>64838</v>
      </c>
      <c t="s">
        <v>45620</v>
      </c>
      <c r="AL4272" t="s">
        <v>17107</v>
      </c>
      <c r="AN4272" t="s">
        <v>65451</v>
      </c>
      <c t="s">
        <v>38011</v>
      </c>
      <c t="s">
        <v>4480</v>
      </c>
      <c t="s">
        <v>3093</v>
      </c>
      <c t="s">
        <v>41487</v>
      </c>
    </row>
    <row>
      <c t="s">
        <v>17594</v>
      </c>
      <c t="s">
        <v>15165</v>
      </c>
      <c t="s">
        <v>12402</v>
      </c>
      <c t="s">
        <v>3574</v>
      </c>
      <c t="s">
        <v>19643</v>
      </c>
      <c s="3">
        <v>7700</v>
      </c>
      <c s="3">
        <v>7700</v>
      </c>
      <c s="3">
        <v>7700</v>
      </c>
      <c>
        <v>0</v>
      </c>
      <c s="3">
        <v>0</v>
      </c>
      <c s="3">
        <v>715.8</v>
      </c>
      <c s="3">
        <v>7700</v>
      </c>
      <c r="O4273" s="1" t="str">
        <f ca="1">HYPERLINK("https://web.datatree.com/?/property?propertyId=33647635", "https://web.datatree.com/?/property?propertyId=33647635")</f>
        <v>https://web.datatree.com/?/property?propertyId=33647635</v>
      </c>
      <c r="Q4273" t="s">
        <v>316</v>
      </c>
      <c>
        <v>0.23</v>
      </c>
      <c t="s">
        <v>6175</v>
      </c>
      <c t="s">
        <v>22078</v>
      </c>
      <c t="s">
        <v>39982</v>
      </c>
      <c r="X4273" t="s">
        <v>22005</v>
      </c>
      <c t="s">
        <v>14534</v>
      </c>
      <c t="s">
        <v>2517</v>
      </c>
      <c t="s">
        <v>39289</v>
      </c>
      <c>
        <v>33909</v>
      </c>
      <c t="s">
        <v>40405</v>
      </c>
      <c t="s">
        <v>48794</v>
      </c>
      <c t="s">
        <v>20812</v>
      </c>
      <c>
        <v>421</v>
      </c>
      <c r="AI4273" t="s">
        <v>17535</v>
      </c>
      <c t="s">
        <v>31192</v>
      </c>
      <c r="AL4273" t="s">
        <v>3968</v>
      </c>
      <c t="s">
        <v>3968</v>
      </c>
      <c t="s">
        <v>39289</v>
      </c>
      <c t="s">
        <v>65515</v>
      </c>
      <c t="s">
        <v>3364</v>
      </c>
      <c t="s">
        <v>3093</v>
      </c>
      <c t="s">
        <v>31560</v>
      </c>
    </row>
    <row>
      <c t="s">
        <v>17594</v>
      </c>
      <c t="s">
        <v>66146</v>
      </c>
      <c t="s">
        <v>64309</v>
      </c>
      <c t="s">
        <v>18638</v>
      </c>
      <c t="s">
        <v>56870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4274" s="1" t="str">
        <f ca="1">HYPERLINK("https://web.datatree.com/?/property?propertyId=33647793", "https://web.datatree.com/?/property?propertyId=33647793")</f>
        <v>https://web.datatree.com/?/property?propertyId=33647793</v>
      </c>
      <c r="Q4274" t="s">
        <v>316</v>
      </c>
      <c>
        <v>0.23</v>
      </c>
      <c t="s">
        <v>6175</v>
      </c>
      <c t="s">
        <v>12330</v>
      </c>
      <c t="s">
        <v>7006</v>
      </c>
      <c r="X4274" t="s">
        <v>63390</v>
      </c>
      <c t="s">
        <v>18679</v>
      </c>
      <c t="s">
        <v>2517</v>
      </c>
      <c t="s">
        <v>39289</v>
      </c>
      <c>
        <v>33909</v>
      </c>
      <c t="s">
        <v>4501</v>
      </c>
      <c t="s">
        <v>48794</v>
      </c>
      <c t="s">
        <v>19469</v>
      </c>
      <c>
        <v>1</v>
      </c>
      <c r="AI4274" t="s">
        <v>19133</v>
      </c>
      <c r="AL4274" t="s">
        <v>36185</v>
      </c>
      <c r="AN4274" t="s">
        <v>63985</v>
      </c>
      <c>
        <v>38228</v>
      </c>
      <c r="AR4274" t="s">
        <v>66442</v>
      </c>
    </row>
    <row>
      <c t="s">
        <v>17594</v>
      </c>
      <c t="s">
        <v>64349</v>
      </c>
      <c t="s">
        <v>29930</v>
      </c>
      <c t="s">
        <v>18460</v>
      </c>
      <c t="s">
        <v>51666</v>
      </c>
      <c s="3">
        <v>8600</v>
      </c>
      <c s="3">
        <v>8600</v>
      </c>
      <c s="3">
        <v>8600</v>
      </c>
      <c>
        <v>0</v>
      </c>
      <c s="3">
        <v>0</v>
      </c>
      <c s="3">
        <v>2414.44</v>
      </c>
      <c s="3">
        <v>8600</v>
      </c>
      <c r="O4275" s="1" t="str">
        <f ca="1">HYPERLINK("https://web.datatree.com/?/property?propertyId=33647833", "https://web.datatree.com/?/property?propertyId=33647833")</f>
        <v>https://web.datatree.com/?/property?propertyId=33647833</v>
      </c>
      <c r="Q4275" t="s">
        <v>316</v>
      </c>
      <c>
        <v>0.229</v>
      </c>
      <c t="s">
        <v>42044</v>
      </c>
      <c t="s">
        <v>64649</v>
      </c>
      <c t="s">
        <v>22020</v>
      </c>
      <c t="s">
        <v>50217</v>
      </c>
      <c t="s">
        <v>37645</v>
      </c>
      <c t="s">
        <v>31213</v>
      </c>
      <c t="s">
        <v>61865</v>
      </c>
      <c t="s">
        <v>2517</v>
      </c>
      <c t="s">
        <v>39289</v>
      </c>
      <c>
        <v>33909</v>
      </c>
      <c t="s">
        <v>24582</v>
      </c>
      <c t="s">
        <v>48794</v>
      </c>
      <c t="s">
        <v>58377</v>
      </c>
      <c>
        <v>3855</v>
      </c>
      <c r="AI4275" t="s">
        <v>46340</v>
      </c>
      <c t="s">
        <v>24900</v>
      </c>
      <c t="s">
        <v>12161</v>
      </c>
      <c t="s">
        <v>6144</v>
      </c>
      <c r="AN4275" t="s">
        <v>50917</v>
      </c>
      <c t="s">
        <v>13575</v>
      </c>
      <c t="s">
        <v>14845</v>
      </c>
      <c t="s">
        <v>3093</v>
      </c>
      <c t="s">
        <v>37187</v>
      </c>
    </row>
    <row>
      <c t="s">
        <v>42103</v>
      </c>
      <c t="s">
        <v>47890</v>
      </c>
      <c t="s">
        <v>25901</v>
      </c>
      <c t="s">
        <v>14490</v>
      </c>
      <c t="s">
        <v>13750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>
        <v>2021</v>
      </c>
      <c>
        <v>535.19</v>
      </c>
      <c s="1" t="str">
        <f ca="1">HYPERLINK("https://web.datatree.com/?/property?propertyId=33648662", "https://web.datatree.com/?/property?propertyId=33648662")</f>
        <v>https://web.datatree.com/?/property?propertyId=33648662</v>
      </c>
      <c r="Q4276" t="s">
        <v>316</v>
      </c>
      <c>
        <v>0.23</v>
      </c>
      <c t="s">
        <v>6175</v>
      </c>
      <c t="s">
        <v>1992</v>
      </c>
      <c t="s">
        <v>19119</v>
      </c>
      <c r="X4276" t="s">
        <v>39319</v>
      </c>
      <c t="s">
        <v>39082</v>
      </c>
      <c t="s">
        <v>2517</v>
      </c>
      <c t="s">
        <v>39289</v>
      </c>
      <c>
        <v>33909</v>
      </c>
      <c t="s">
        <v>56583</v>
      </c>
      <c t="s">
        <v>48794</v>
      </c>
      <c t="s">
        <v>61224</v>
      </c>
      <c t="str">
        <f>"816-07487"</f>
        <v>816-07487</v>
      </c>
      <c r="AI4276" t="s">
        <v>32428</v>
      </c>
      <c r="AN4276" t="s">
        <v>22275</v>
      </c>
      <c r="AR4276" t="s">
        <v>40484</v>
      </c>
    </row>
    <row>
      <c t="s">
        <v>17594</v>
      </c>
      <c t="s">
        <v>49016</v>
      </c>
      <c t="s">
        <v>48645</v>
      </c>
      <c t="s">
        <v>42097</v>
      </c>
      <c t="s">
        <v>55547</v>
      </c>
      <c s="3">
        <v>20376</v>
      </c>
      <c s="3">
        <v>20376</v>
      </c>
      <c s="3">
        <v>10450</v>
      </c>
      <c>
        <v>0</v>
      </c>
      <c s="3">
        <v>0</v>
      </c>
      <c s="3">
        <v>601.61</v>
      </c>
      <c s="3">
        <v>20376</v>
      </c>
      <c r="O4277" s="1" t="str">
        <f ca="1">HYPERLINK("https://web.datatree.com/?/property?propertyId=33649303", "https://web.datatree.com/?/property?propertyId=33649303")</f>
        <v>https://web.datatree.com/?/property?propertyId=33649303</v>
      </c>
      <c r="Q4277" t="s">
        <v>316</v>
      </c>
      <c>
        <v>0.244</v>
      </c>
      <c t="s">
        <v>22490</v>
      </c>
      <c t="s">
        <v>56832</v>
      </c>
      <c t="s">
        <v>43023</v>
      </c>
      <c r="X4277" t="s">
        <v>39339</v>
      </c>
      <c t="s">
        <v>50440</v>
      </c>
      <c t="s">
        <v>2517</v>
      </c>
      <c t="s">
        <v>39289</v>
      </c>
      <c>
        <v>33909</v>
      </c>
      <c t="s">
        <v>50147</v>
      </c>
      <c t="s">
        <v>48794</v>
      </c>
      <c t="s">
        <v>61942</v>
      </c>
      <c>
        <v>373</v>
      </c>
      <c r="AI4277" t="s">
        <v>111</v>
      </c>
      <c t="s">
        <v>24900</v>
      </c>
      <c r="AL4277" t="s">
        <v>66317</v>
      </c>
      <c r="AN4277" t="s">
        <v>50917</v>
      </c>
      <c t="s">
        <v>36949</v>
      </c>
      <c t="s">
        <v>27553</v>
      </c>
      <c t="s">
        <v>3093</v>
      </c>
      <c t="s">
        <v>30357</v>
      </c>
    </row>
    <row>
      <c t="s">
        <v>17594</v>
      </c>
      <c t="s">
        <v>40897</v>
      </c>
      <c t="s">
        <v>7967</v>
      </c>
      <c t="s">
        <v>26874</v>
      </c>
      <c t="s">
        <v>50773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4278" s="1" t="str">
        <f ca="1">HYPERLINK("https://web.datatree.com/?/property?propertyId=33649425", "https://web.datatree.com/?/property?propertyId=33649425")</f>
        <v>https://web.datatree.com/?/property?propertyId=33649425</v>
      </c>
      <c r="Q4278" t="s">
        <v>316</v>
      </c>
      <c>
        <v>0.23</v>
      </c>
      <c t="s">
        <v>6175</v>
      </c>
      <c t="s">
        <v>4814</v>
      </c>
      <c t="s">
        <v>49338</v>
      </c>
      <c r="X4278" t="s">
        <v>27532</v>
      </c>
      <c t="s">
        <v>30928</v>
      </c>
      <c t="s">
        <v>2517</v>
      </c>
      <c t="s">
        <v>39289</v>
      </c>
      <c>
        <v>33909</v>
      </c>
      <c t="s">
        <v>16123</v>
      </c>
      <c t="s">
        <v>48794</v>
      </c>
      <c t="s">
        <v>10019</v>
      </c>
      <c>
        <v>22</v>
      </c>
      <c r="AI4278" t="s">
        <v>31512</v>
      </c>
      <c r="AL4278" t="s">
        <v>15465</v>
      </c>
      <c r="AN4278" t="s">
        <v>13328</v>
      </c>
      <c>
        <v>3930</v>
      </c>
      <c r="AR4278" t="s">
        <v>7048</v>
      </c>
    </row>
    <row>
      <c t="s">
        <v>17594</v>
      </c>
      <c t="s">
        <v>18923</v>
      </c>
      <c t="s">
        <v>12519</v>
      </c>
      <c t="s">
        <v>9672</v>
      </c>
      <c t="s">
        <v>25213</v>
      </c>
      <c s="3">
        <v>16000</v>
      </c>
      <c s="3">
        <v>16000</v>
      </c>
      <c s="3">
        <v>16000</v>
      </c>
      <c>
        <v>0</v>
      </c>
      <c s="3">
        <v>0</v>
      </c>
      <c s="3">
        <v>277</v>
      </c>
      <c s="3">
        <v>16000</v>
      </c>
      <c r="O4279" s="1" t="str">
        <f ca="1">HYPERLINK("https://web.datatree.com/?/property?propertyId=33649917", "https://web.datatree.com/?/property?propertyId=33649917")</f>
        <v>https://web.datatree.com/?/property?propertyId=33649917</v>
      </c>
      <c r="Q4279" t="s">
        <v>316</v>
      </c>
      <c>
        <v>0.227</v>
      </c>
      <c t="s">
        <v>66399</v>
      </c>
      <c t="s">
        <v>7816</v>
      </c>
      <c t="s">
        <v>23775</v>
      </c>
      <c r="X4279" t="s">
        <v>43652</v>
      </c>
      <c t="s">
        <v>6449</v>
      </c>
      <c t="s">
        <v>65059</v>
      </c>
      <c t="s">
        <v>39289</v>
      </c>
      <c>
        <v>33905</v>
      </c>
      <c t="s">
        <v>29521</v>
      </c>
      <c t="s">
        <v>48794</v>
      </c>
      <c t="s">
        <v>5266</v>
      </c>
      <c>
        <v>215</v>
      </c>
      <c r="AI4279" t="s">
        <v>6312</v>
      </c>
      <c t="s">
        <v>45393</v>
      </c>
      <c r="AL4279" t="s">
        <v>13492</v>
      </c>
      <c t="s">
        <v>13492</v>
      </c>
      <c t="s">
        <v>39289</v>
      </c>
      <c t="s">
        <v>48393</v>
      </c>
      <c t="s">
        <v>31626</v>
      </c>
      <c t="s">
        <v>3093</v>
      </c>
      <c t="s">
        <v>9627</v>
      </c>
    </row>
    <row>
      <c t="s">
        <v>17594</v>
      </c>
      <c t="s">
        <v>5066</v>
      </c>
      <c t="s">
        <v>45022</v>
      </c>
      <c t="s">
        <v>38073</v>
      </c>
      <c t="s">
        <v>11354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4280" s="1" t="str">
        <f ca="1">HYPERLINK("https://web.datatree.com/?/property?propertyId=33650574", "https://web.datatree.com/?/property?propertyId=33650574")</f>
        <v>https://web.datatree.com/?/property?propertyId=33650574</v>
      </c>
      <c r="Q4280" t="s">
        <v>316</v>
      </c>
      <c>
        <v>0.23</v>
      </c>
      <c t="s">
        <v>6175</v>
      </c>
      <c r="U4280" t="s">
        <v>15613</v>
      </c>
      <c r="W4280" t="s">
        <v>38523</v>
      </c>
      <c t="s">
        <v>32388</v>
      </c>
      <c t="s">
        <v>34731</v>
      </c>
      <c t="s">
        <v>2517</v>
      </c>
      <c t="s">
        <v>39289</v>
      </c>
      <c>
        <v>33909</v>
      </c>
      <c t="s">
        <v>26665</v>
      </c>
      <c t="s">
        <v>48794</v>
      </c>
      <c t="s">
        <v>12571</v>
      </c>
      <c>
        <v>4151</v>
      </c>
      <c r="AI4280" t="s">
        <v>16269</v>
      </c>
      <c t="s">
        <v>40123</v>
      </c>
      <c r="AL4280" t="s">
        <v>8628</v>
      </c>
      <c r="AN4280" t="s">
        <v>39289</v>
      </c>
      <c t="s">
        <v>29057</v>
      </c>
      <c t="s">
        <v>21054</v>
      </c>
      <c t="s">
        <v>3093</v>
      </c>
      <c t="s">
        <v>50722</v>
      </c>
    </row>
    <row>
      <c t="s">
        <v>17594</v>
      </c>
      <c t="s">
        <v>22366</v>
      </c>
      <c t="s">
        <v>41237</v>
      </c>
      <c t="s">
        <v>3178</v>
      </c>
      <c t="s">
        <v>8593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4281" s="1" t="str">
        <f ca="1">HYPERLINK("https://web.datatree.com/?/property?propertyId=33650917", "https://web.datatree.com/?/property?propertyId=33650917")</f>
        <v>https://web.datatree.com/?/property?propertyId=33650917</v>
      </c>
      <c r="Q4281" t="s">
        <v>316</v>
      </c>
      <c>
        <v>0.241</v>
      </c>
      <c t="s">
        <v>6175</v>
      </c>
      <c t="s">
        <v>38760</v>
      </c>
      <c t="s">
        <v>24155</v>
      </c>
      <c r="X4281" t="s">
        <v>64426</v>
      </c>
      <c t="s">
        <v>38550</v>
      </c>
      <c t="s">
        <v>2517</v>
      </c>
      <c t="s">
        <v>39289</v>
      </c>
      <c>
        <v>33909</v>
      </c>
      <c t="s">
        <v>15098</v>
      </c>
      <c t="s">
        <v>48794</v>
      </c>
      <c t="s">
        <v>61462</v>
      </c>
      <c>
        <v>4940</v>
      </c>
      <c r="AI4281" t="s">
        <v>37981</v>
      </c>
      <c t="s">
        <v>31192</v>
      </c>
      <c r="AL4281" t="s">
        <v>15244</v>
      </c>
      <c r="AN4281" t="s">
        <v>48152</v>
      </c>
      <c t="s">
        <v>60069</v>
      </c>
      <c t="s">
        <v>7062</v>
      </c>
      <c t="s">
        <v>3093</v>
      </c>
      <c t="s">
        <v>32898</v>
      </c>
    </row>
    <row>
      <c t="s">
        <v>17594</v>
      </c>
      <c t="s">
        <v>51209</v>
      </c>
      <c t="s">
        <v>49828</v>
      </c>
      <c t="s">
        <v>41164</v>
      </c>
      <c t="s">
        <v>27663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4282" s="1" t="str">
        <f ca="1">HYPERLINK("https://web.datatree.com/?/property?propertyId=33651642", "https://web.datatree.com/?/property?propertyId=33651642")</f>
        <v>https://web.datatree.com/?/property?propertyId=33651642</v>
      </c>
      <c r="Q4282" t="s">
        <v>316</v>
      </c>
      <c>
        <v>0.23</v>
      </c>
      <c t="s">
        <v>6175</v>
      </c>
      <c t="s">
        <v>1859</v>
      </c>
      <c t="s">
        <v>30189</v>
      </c>
      <c r="W4282" t="s">
        <v>16983</v>
      </c>
      <c t="s">
        <v>21655</v>
      </c>
      <c t="s">
        <v>39082</v>
      </c>
      <c t="s">
        <v>2517</v>
      </c>
      <c t="s">
        <v>39289</v>
      </c>
      <c>
        <v>33909</v>
      </c>
      <c t="s">
        <v>40013</v>
      </c>
      <c t="s">
        <v>48794</v>
      </c>
      <c t="s">
        <v>46247</v>
      </c>
      <c>
        <v>9820</v>
      </c>
      <c r="AI4282" t="s">
        <v>54688</v>
      </c>
      <c t="s">
        <v>45620</v>
      </c>
      <c r="AL4282" t="s">
        <v>38818</v>
      </c>
      <c r="AN4282" t="s">
        <v>9387</v>
      </c>
      <c t="s">
        <v>41190</v>
      </c>
      <c t="s">
        <v>26242</v>
      </c>
      <c t="s">
        <v>3093</v>
      </c>
      <c t="s">
        <v>998</v>
      </c>
    </row>
    <row>
      <c t="s">
        <v>17594</v>
      </c>
      <c t="s">
        <v>20821</v>
      </c>
      <c t="s">
        <v>25438</v>
      </c>
      <c t="s">
        <v>32437</v>
      </c>
      <c t="s">
        <v>58181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>
        <v>2021</v>
      </c>
      <c>
        <v>594.94</v>
      </c>
      <c s="1" t="str">
        <f ca="1">HYPERLINK("https://web.datatree.com/?/property?propertyId=33652464", "https://web.datatree.com/?/property?propertyId=33652464")</f>
        <v>https://web.datatree.com/?/property?propertyId=33652464</v>
      </c>
      <c r="Q4283" t="s">
        <v>316</v>
      </c>
      <c>
        <v>0.23</v>
      </c>
      <c t="s">
        <v>6175</v>
      </c>
      <c t="s">
        <v>54921</v>
      </c>
      <c t="s">
        <v>1898</v>
      </c>
      <c r="X4283" t="s">
        <v>22791</v>
      </c>
      <c t="s">
        <v>2619</v>
      </c>
      <c t="s">
        <v>2517</v>
      </c>
      <c t="s">
        <v>39289</v>
      </c>
      <c>
        <v>33909</v>
      </c>
      <c t="s">
        <v>40840</v>
      </c>
      <c t="s">
        <v>48794</v>
      </c>
      <c t="s">
        <v>56626</v>
      </c>
      <c>
        <v>3449</v>
      </c>
      <c r="AI4283" t="s">
        <v>23857</v>
      </c>
      <c t="s">
        <v>24900</v>
      </c>
      <c r="AL4283" t="s">
        <v>62422</v>
      </c>
      <c r="AN4283" t="s">
        <v>39289</v>
      </c>
      <c t="s">
        <v>37389</v>
      </c>
      <c t="s">
        <v>8172</v>
      </c>
      <c t="s">
        <v>3093</v>
      </c>
      <c t="s">
        <v>28698</v>
      </c>
    </row>
    <row>
      <c t="s">
        <v>17594</v>
      </c>
      <c t="s">
        <v>4712</v>
      </c>
      <c t="s">
        <v>29685</v>
      </c>
      <c t="s">
        <v>22313</v>
      </c>
      <c t="s">
        <v>2141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4284" s="1" t="str">
        <f ca="1">HYPERLINK("https://web.datatree.com/?/property?propertyId=33652867", "https://web.datatree.com/?/property?propertyId=33652867")</f>
        <v>https://web.datatree.com/?/property?propertyId=33652867</v>
      </c>
      <c r="Q4284" t="s">
        <v>316</v>
      </c>
      <c>
        <v>0.23</v>
      </c>
      <c t="s">
        <v>6175</v>
      </c>
      <c t="s">
        <v>52057</v>
      </c>
      <c t="s">
        <v>40622</v>
      </c>
      <c r="X4284" t="s">
        <v>24688</v>
      </c>
      <c t="s">
        <v>53675</v>
      </c>
      <c t="s">
        <v>2517</v>
      </c>
      <c t="s">
        <v>39289</v>
      </c>
      <c>
        <v>33909</v>
      </c>
      <c t="s">
        <v>56911</v>
      </c>
      <c t="s">
        <v>48794</v>
      </c>
      <c t="s">
        <v>61993</v>
      </c>
      <c>
        <v>2995</v>
      </c>
      <c r="AH4284" t="s">
        <v>57851</v>
      </c>
      <c t="s">
        <v>21507</v>
      </c>
      <c t="s">
        <v>4985</v>
      </c>
      <c r="AL4284" t="s">
        <v>11713</v>
      </c>
      <c r="AN4284" t="s">
        <v>39289</v>
      </c>
      <c t="s">
        <v>22759</v>
      </c>
      <c t="s">
        <v>18415</v>
      </c>
      <c t="s">
        <v>3093</v>
      </c>
      <c t="s">
        <v>19166</v>
      </c>
    </row>
    <row>
      <c t="s">
        <v>17594</v>
      </c>
      <c t="s">
        <v>49590</v>
      </c>
      <c t="s">
        <v>41768</v>
      </c>
      <c t="s">
        <v>8509</v>
      </c>
      <c t="s">
        <v>34367</v>
      </c>
      <c s="3">
        <v>26582</v>
      </c>
      <c s="3">
        <v>26582</v>
      </c>
      <c s="3">
        <v>10560</v>
      </c>
      <c>
        <v>0</v>
      </c>
      <c s="3">
        <v>0</v>
      </c>
      <c s="3">
        <v>723.67</v>
      </c>
      <c s="3">
        <v>26582</v>
      </c>
      <c r="O4285" s="1" t="str">
        <f ca="1">HYPERLINK("https://web.datatree.com/?/property?propertyId=33652904", "https://web.datatree.com/?/property?propertyId=33652904")</f>
        <v>https://web.datatree.com/?/property?propertyId=33652904</v>
      </c>
      <c r="Q4285" t="s">
        <v>316</v>
      </c>
      <c>
        <v>0.344</v>
      </c>
      <c t="s">
        <v>58725</v>
      </c>
      <c t="s">
        <v>2873</v>
      </c>
      <c t="s">
        <v>49567</v>
      </c>
      <c t="s">
        <v>31139</v>
      </c>
      <c t="s">
        <v>49567</v>
      </c>
      <c t="s">
        <v>16518</v>
      </c>
      <c t="s">
        <v>57064</v>
      </c>
      <c t="s">
        <v>2517</v>
      </c>
      <c t="s">
        <v>39289</v>
      </c>
      <c>
        <v>33909</v>
      </c>
      <c t="s">
        <v>41148</v>
      </c>
      <c t="s">
        <v>48794</v>
      </c>
      <c t="s">
        <v>31114</v>
      </c>
      <c>
        <v>2535</v>
      </c>
      <c r="AI4285" t="s">
        <v>1527</v>
      </c>
      <c t="s">
        <v>39321</v>
      </c>
      <c r="AL4285" t="s">
        <v>21676</v>
      </c>
      <c t="s">
        <v>21676</v>
      </c>
      <c t="s">
        <v>39289</v>
      </c>
      <c t="s">
        <v>64852</v>
      </c>
      <c t="s">
        <v>864</v>
      </c>
      <c t="s">
        <v>3093</v>
      </c>
      <c t="s">
        <v>25434</v>
      </c>
    </row>
    <row>
      <c t="s">
        <v>17594</v>
      </c>
      <c t="s">
        <v>30297</v>
      </c>
      <c t="s">
        <v>58986</v>
      </c>
      <c t="s">
        <v>32063</v>
      </c>
      <c t="s">
        <v>988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286" s="1" t="str">
        <f ca="1">HYPERLINK("https://web.datatree.com/?/property?propertyId=33653157", "https://web.datatree.com/?/property?propertyId=33653157")</f>
        <v>https://web.datatree.com/?/property?propertyId=33653157</v>
      </c>
      <c r="Q4286" t="s">
        <v>316</v>
      </c>
      <c>
        <v>0.23</v>
      </c>
      <c t="s">
        <v>22490</v>
      </c>
      <c t="s">
        <v>46448</v>
      </c>
      <c t="s">
        <v>50077</v>
      </c>
      <c t="s">
        <v>53572</v>
      </c>
      <c t="s">
        <v>50077</v>
      </c>
      <c t="s">
        <v>51542</v>
      </c>
      <c t="s">
        <v>24999</v>
      </c>
      <c t="s">
        <v>2517</v>
      </c>
      <c t="s">
        <v>39289</v>
      </c>
      <c>
        <v>33909</v>
      </c>
      <c t="s">
        <v>54711</v>
      </c>
      <c t="s">
        <v>48794</v>
      </c>
      <c t="s">
        <v>53345</v>
      </c>
      <c>
        <v>5010</v>
      </c>
      <c r="AI4286" t="s">
        <v>27201</v>
      </c>
      <c t="s">
        <v>31192</v>
      </c>
      <c r="AL4286" t="s">
        <v>55438</v>
      </c>
      <c t="s">
        <v>55438</v>
      </c>
      <c t="s">
        <v>39289</v>
      </c>
      <c t="s">
        <v>58648</v>
      </c>
      <c t="s">
        <v>4175</v>
      </c>
      <c t="s">
        <v>3093</v>
      </c>
      <c t="s">
        <v>5070</v>
      </c>
    </row>
    <row>
      <c t="s">
        <v>17594</v>
      </c>
      <c t="s">
        <v>41520</v>
      </c>
      <c t="s">
        <v>11413</v>
      </c>
      <c t="s">
        <v>49086</v>
      </c>
      <c t="s">
        <v>5017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4287" s="1" t="str">
        <f ca="1">HYPERLINK("https://web.datatree.com/?/property?propertyId=33653301", "https://web.datatree.com/?/property?propertyId=33653301")</f>
        <v>https://web.datatree.com/?/property?propertyId=33653301</v>
      </c>
      <c r="Q4287" t="s">
        <v>316</v>
      </c>
      <c>
        <v>0.244</v>
      </c>
      <c t="s">
        <v>6175</v>
      </c>
      <c t="s">
        <v>18479</v>
      </c>
      <c t="s">
        <v>51712</v>
      </c>
      <c r="X4287" t="s">
        <v>45478</v>
      </c>
      <c t="s">
        <v>33179</v>
      </c>
      <c t="s">
        <v>2517</v>
      </c>
      <c t="s">
        <v>39289</v>
      </c>
      <c>
        <v>33909</v>
      </c>
      <c t="s">
        <v>55537</v>
      </c>
      <c t="s">
        <v>48794</v>
      </c>
      <c t="s">
        <v>38785</v>
      </c>
      <c>
        <v>235</v>
      </c>
      <c r="AI4287" t="s">
        <v>55646</v>
      </c>
      <c t="s">
        <v>45393</v>
      </c>
      <c t="s">
        <v>18456</v>
      </c>
      <c t="s">
        <v>8109</v>
      </c>
      <c r="AN4287" t="s">
        <v>50917</v>
      </c>
      <c t="s">
        <v>66347</v>
      </c>
      <c t="s">
        <v>61719</v>
      </c>
      <c t="s">
        <v>3093</v>
      </c>
      <c t="s">
        <v>57691</v>
      </c>
    </row>
    <row>
      <c t="s">
        <v>17594</v>
      </c>
      <c t="s">
        <v>65731</v>
      </c>
      <c t="s">
        <v>3836</v>
      </c>
      <c t="s">
        <v>64236</v>
      </c>
      <c t="s">
        <v>53843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288" s="1" t="str">
        <f ca="1">HYPERLINK("https://web.datatree.com/?/property?propertyId=33653919", "https://web.datatree.com/?/property?propertyId=33653919")</f>
        <v>https://web.datatree.com/?/property?propertyId=33653919</v>
      </c>
      <c r="Q4288" t="s">
        <v>316</v>
      </c>
      <c>
        <v>0.244</v>
      </c>
      <c t="s">
        <v>6175</v>
      </c>
      <c t="s">
        <v>55653</v>
      </c>
      <c t="s">
        <v>12222</v>
      </c>
      <c t="s">
        <v>44457</v>
      </c>
      <c t="s">
        <v>20414</v>
      </c>
      <c t="s">
        <v>39811</v>
      </c>
      <c t="s">
        <v>15510</v>
      </c>
      <c t="s">
        <v>2517</v>
      </c>
      <c t="s">
        <v>39289</v>
      </c>
      <c>
        <v>33909</v>
      </c>
      <c t="s">
        <v>24148</v>
      </c>
      <c t="s">
        <v>48794</v>
      </c>
      <c t="s">
        <v>19655</v>
      </c>
      <c>
        <v>1616</v>
      </c>
      <c r="AI4288" t="s">
        <v>29166</v>
      </c>
      <c r="AK4288">
        <v>206</v>
      </c>
      <c t="s">
        <v>21424</v>
      </c>
      <c r="AN4288" t="s">
        <v>513</v>
      </c>
      <c>
        <v>11</v>
      </c>
      <c r="AR4288" t="s">
        <v>13723</v>
      </c>
    </row>
    <row>
      <c t="s">
        <v>17594</v>
      </c>
      <c t="s">
        <v>67254</v>
      </c>
      <c t="s">
        <v>8266</v>
      </c>
      <c t="s">
        <v>39021</v>
      </c>
      <c t="s">
        <v>45383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4289" s="1" t="str">
        <f ca="1">HYPERLINK("https://web.datatree.com/?/property?propertyId=33655183", "https://web.datatree.com/?/property?propertyId=33655183")</f>
        <v>https://web.datatree.com/?/property?propertyId=33655183</v>
      </c>
      <c r="Q4289" t="s">
        <v>316</v>
      </c>
      <c>
        <v>0.229</v>
      </c>
      <c t="s">
        <v>45031</v>
      </c>
      <c t="s">
        <v>28677</v>
      </c>
      <c t="s">
        <v>44376</v>
      </c>
      <c t="s">
        <v>12224</v>
      </c>
      <c t="s">
        <v>44285</v>
      </c>
      <c t="s">
        <v>10178</v>
      </c>
      <c t="s">
        <v>47150</v>
      </c>
      <c t="s">
        <v>2517</v>
      </c>
      <c t="s">
        <v>39289</v>
      </c>
      <c>
        <v>33909</v>
      </c>
      <c t="s">
        <v>19793</v>
      </c>
      <c t="s">
        <v>48794</v>
      </c>
      <c t="s">
        <v>26887</v>
      </c>
      <c>
        <v>15</v>
      </c>
      <c r="AI4289" t="s">
        <v>9420</v>
      </c>
      <c t="s">
        <v>45620</v>
      </c>
      <c>
        <v>414</v>
      </c>
      <c t="s">
        <v>27615</v>
      </c>
      <c t="s">
        <v>27615</v>
      </c>
      <c t="s">
        <v>27747</v>
      </c>
      <c t="s">
        <v>14839</v>
      </c>
      <c t="s">
        <v>53660</v>
      </c>
      <c t="s">
        <v>3093</v>
      </c>
      <c t="s">
        <v>48874</v>
      </c>
    </row>
    <row>
      <c t="s">
        <v>17594</v>
      </c>
      <c t="s">
        <v>32613</v>
      </c>
      <c t="s">
        <v>38027</v>
      </c>
      <c t="s">
        <v>23128</v>
      </c>
      <c t="s">
        <v>8513</v>
      </c>
      <c s="3">
        <v>17354</v>
      </c>
      <c s="3">
        <v>17354</v>
      </c>
      <c s="3">
        <v>17354</v>
      </c>
      <c>
        <v>0</v>
      </c>
      <c s="3">
        <v>0</v>
      </c>
      <c s="3">
        <v>588.71</v>
      </c>
      <c s="3">
        <v>17354</v>
      </c>
      <c r="O4290" s="1" t="str">
        <f ca="1">HYPERLINK("https://web.datatree.com/?/property?propertyId=33655306", "https://web.datatree.com/?/property?propertyId=33655306")</f>
        <v>https://web.datatree.com/?/property?propertyId=33655306</v>
      </c>
      <c r="Q4290" t="s">
        <v>316</v>
      </c>
      <c>
        <v>0.246</v>
      </c>
      <c t="s">
        <v>6175</v>
      </c>
      <c t="s">
        <v>64201</v>
      </c>
      <c t="s">
        <v>2743</v>
      </c>
      <c t="s">
        <v>60671</v>
      </c>
      <c t="s">
        <v>2743</v>
      </c>
      <c t="s">
        <v>41826</v>
      </c>
      <c t="s">
        <v>23517</v>
      </c>
      <c t="s">
        <v>2517</v>
      </c>
      <c t="s">
        <v>39289</v>
      </c>
      <c>
        <v>33909</v>
      </c>
      <c t="s">
        <v>44251</v>
      </c>
      <c t="s">
        <v>48794</v>
      </c>
      <c t="s">
        <v>35278</v>
      </c>
      <c>
        <v>315</v>
      </c>
      <c r="AI4290" t="s">
        <v>53134</v>
      </c>
      <c t="s">
        <v>1671</v>
      </c>
      <c r="AL4290" t="s">
        <v>50528</v>
      </c>
      <c r="AN4290" t="s">
        <v>26016</v>
      </c>
      <c t="s">
        <v>46032</v>
      </c>
      <c t="s">
        <v>27780</v>
      </c>
      <c t="s">
        <v>3093</v>
      </c>
      <c t="s">
        <v>17271</v>
      </c>
    </row>
    <row>
      <c t="s">
        <v>17594</v>
      </c>
      <c t="s">
        <v>46740</v>
      </c>
      <c t="s">
        <v>47887</v>
      </c>
      <c t="s">
        <v>27252</v>
      </c>
      <c t="s">
        <v>6295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291" s="1" t="str">
        <f ca="1">HYPERLINK("https://web.datatree.com/?/property?propertyId=33655905", "https://web.datatree.com/?/property?propertyId=33655905")</f>
        <v>https://web.datatree.com/?/property?propertyId=33655905</v>
      </c>
      <c r="Q4291" t="s">
        <v>316</v>
      </c>
      <c>
        <v>0.23</v>
      </c>
      <c t="s">
        <v>22490</v>
      </c>
      <c t="s">
        <v>35571</v>
      </c>
      <c t="s">
        <v>4663</v>
      </c>
      <c t="s">
        <v>1599</v>
      </c>
      <c t="s">
        <v>4663</v>
      </c>
      <c t="s">
        <v>62697</v>
      </c>
      <c t="s">
        <v>46469</v>
      </c>
      <c t="s">
        <v>2517</v>
      </c>
      <c t="s">
        <v>39289</v>
      </c>
      <c>
        <v>33909</v>
      </c>
      <c t="s">
        <v>21737</v>
      </c>
      <c t="s">
        <v>48794</v>
      </c>
      <c t="s">
        <v>33654</v>
      </c>
      <c>
        <v>114</v>
      </c>
      <c r="AI4291" t="s">
        <v>57665</v>
      </c>
      <c t="s">
        <v>45620</v>
      </c>
      <c r="AL4291" t="s">
        <v>11990</v>
      </c>
      <c r="AN4291" t="s">
        <v>51137</v>
      </c>
      <c t="s">
        <v>48291</v>
      </c>
      <c t="s">
        <v>48506</v>
      </c>
      <c t="s">
        <v>3093</v>
      </c>
      <c t="s">
        <v>41676</v>
      </c>
    </row>
    <row>
      <c t="s">
        <v>17594</v>
      </c>
      <c t="s">
        <v>50057</v>
      </c>
      <c t="s">
        <v>56858</v>
      </c>
      <c t="s">
        <v>59955</v>
      </c>
      <c t="s">
        <v>26517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4292" s="1" t="str">
        <f ca="1">HYPERLINK("https://web.datatree.com/?/property?propertyId=33656350", "https://web.datatree.com/?/property?propertyId=33656350")</f>
        <v>https://web.datatree.com/?/property?propertyId=33656350</v>
      </c>
      <c r="Q4292" t="s">
        <v>316</v>
      </c>
      <c>
        <v>0.23</v>
      </c>
      <c t="s">
        <v>6175</v>
      </c>
      <c t="s">
        <v>610</v>
      </c>
      <c t="s">
        <v>15107</v>
      </c>
      <c r="X4292" t="s">
        <v>8767</v>
      </c>
      <c t="s">
        <v>2619</v>
      </c>
      <c t="s">
        <v>2517</v>
      </c>
      <c t="s">
        <v>39289</v>
      </c>
      <c>
        <v>33909</v>
      </c>
      <c t="s">
        <v>59180</v>
      </c>
      <c t="s">
        <v>48794</v>
      </c>
      <c t="s">
        <v>49315</v>
      </c>
      <c>
        <v>151</v>
      </c>
      <c r="AI4292" t="s">
        <v>49122</v>
      </c>
      <c t="s">
        <v>45393</v>
      </c>
      <c r="AL4292" t="s">
        <v>29515</v>
      </c>
      <c r="AN4292" t="s">
        <v>39289</v>
      </c>
      <c t="s">
        <v>30476</v>
      </c>
      <c t="s">
        <v>26242</v>
      </c>
      <c t="s">
        <v>3093</v>
      </c>
      <c t="s">
        <v>47778</v>
      </c>
    </row>
    <row>
      <c t="s">
        <v>17594</v>
      </c>
      <c t="s">
        <v>30372</v>
      </c>
      <c t="s">
        <v>52142</v>
      </c>
      <c t="s">
        <v>41222</v>
      </c>
      <c t="s">
        <v>33187</v>
      </c>
      <c s="3">
        <v>22115</v>
      </c>
      <c s="3">
        <v>22115</v>
      </c>
      <c s="3">
        <v>10450</v>
      </c>
      <c>
        <v>0</v>
      </c>
      <c s="3">
        <v>0</v>
      </c>
      <c s="3">
        <v>608.36</v>
      </c>
      <c s="3">
        <v>22115</v>
      </c>
      <c r="O4293" s="1" t="str">
        <f ca="1">HYPERLINK("https://web.datatree.com/?/property?propertyId=33656388", "https://web.datatree.com/?/property?propertyId=33656388")</f>
        <v>https://web.datatree.com/?/property?propertyId=33656388</v>
      </c>
      <c r="Q4293" t="s">
        <v>316</v>
      </c>
      <c>
        <v>0.241</v>
      </c>
      <c t="s">
        <v>22490</v>
      </c>
      <c t="s">
        <v>48755</v>
      </c>
      <c t="s">
        <v>9131</v>
      </c>
      <c t="s">
        <v>6493</v>
      </c>
      <c t="s">
        <v>9131</v>
      </c>
      <c t="s">
        <v>59480</v>
      </c>
      <c t="s">
        <v>52171</v>
      </c>
      <c t="s">
        <v>2517</v>
      </c>
      <c t="s">
        <v>39289</v>
      </c>
      <c>
        <v>33909</v>
      </c>
      <c t="s">
        <v>8662</v>
      </c>
      <c t="s">
        <v>48794</v>
      </c>
      <c t="s">
        <v>55968</v>
      </c>
      <c>
        <v>4</v>
      </c>
      <c r="AI4293" t="s">
        <v>34883</v>
      </c>
      <c r="AK4293">
        <v>402</v>
      </c>
      <c t="s">
        <v>53615</v>
      </c>
      <c r="AN4293" t="s">
        <v>10909</v>
      </c>
      <c t="s">
        <v>8450</v>
      </c>
      <c r="AQ4293" t="s">
        <v>27814</v>
      </c>
      <c t="s">
        <v>29592</v>
      </c>
    </row>
    <row>
      <c t="s">
        <v>17594</v>
      </c>
      <c t="s">
        <v>748</v>
      </c>
      <c t="s">
        <v>51708</v>
      </c>
      <c t="s">
        <v>51403</v>
      </c>
      <c t="s">
        <v>60862</v>
      </c>
      <c s="3">
        <v>64740</v>
      </c>
      <c s="3">
        <v>64740</v>
      </c>
      <c s="3">
        <v>64740</v>
      </c>
      <c>
        <v>0</v>
      </c>
      <c s="3">
        <v>0</v>
      </c>
      <c s="3">
        <v>1397.21</v>
      </c>
      <c s="3">
        <v>64740</v>
      </c>
      <c>
        <v>2021</v>
      </c>
      <c>
        <v>1002.87</v>
      </c>
      <c s="1" t="str">
        <f ca="1">HYPERLINK("https://web.datatree.com/?/property?propertyId=33656728", "https://web.datatree.com/?/property?propertyId=33656728")</f>
        <v>https://web.datatree.com/?/property?propertyId=33656728</v>
      </c>
      <c r="Q4294" t="s">
        <v>316</v>
      </c>
      <c>
        <v>0.23</v>
      </c>
      <c t="s">
        <v>22490</v>
      </c>
      <c t="s">
        <v>15209</v>
      </c>
      <c t="s">
        <v>50767</v>
      </c>
      <c r="X4294" t="s">
        <v>25215</v>
      </c>
      <c t="s">
        <v>22731</v>
      </c>
      <c t="s">
        <v>2517</v>
      </c>
      <c t="s">
        <v>39289</v>
      </c>
      <c>
        <v>33909</v>
      </c>
      <c t="s">
        <v>35976</v>
      </c>
      <c t="s">
        <v>48794</v>
      </c>
      <c t="s">
        <v>15706</v>
      </c>
      <c>
        <v>2219</v>
      </c>
      <c r="AI4294" t="s">
        <v>48626</v>
      </c>
      <c t="s">
        <v>45620</v>
      </c>
      <c r="AL4294" t="s">
        <v>6640</v>
      </c>
      <c t="s">
        <v>6640</v>
      </c>
      <c t="s">
        <v>26016</v>
      </c>
      <c t="s">
        <v>58901</v>
      </c>
      <c t="s">
        <v>27410</v>
      </c>
      <c t="s">
        <v>3093</v>
      </c>
      <c t="s">
        <v>35765</v>
      </c>
    </row>
    <row>
      <c t="s">
        <v>17594</v>
      </c>
      <c t="s">
        <v>2789</v>
      </c>
      <c t="s">
        <v>62060</v>
      </c>
      <c t="s">
        <v>61585</v>
      </c>
      <c t="s">
        <v>24649</v>
      </c>
      <c s="3">
        <v>25687</v>
      </c>
      <c s="3">
        <v>25687</v>
      </c>
      <c s="3">
        <v>9680</v>
      </c>
      <c>
        <v>0</v>
      </c>
      <c s="3">
        <v>0</v>
      </c>
      <c s="3">
        <v>659.46</v>
      </c>
      <c s="3">
        <v>25687</v>
      </c>
      <c r="O4295" s="1" t="str">
        <f ca="1">HYPERLINK("https://web.datatree.com/?/property?propertyId=33656790", "https://web.datatree.com/?/property?propertyId=33656790")</f>
        <v>https://web.datatree.com/?/property?propertyId=33656790</v>
      </c>
      <c r="Q4295" t="s">
        <v>316</v>
      </c>
      <c>
        <v>0.281</v>
      </c>
      <c t="s">
        <v>22490</v>
      </c>
      <c t="s">
        <v>38361</v>
      </c>
      <c t="s">
        <v>24508</v>
      </c>
      <c t="s">
        <v>43826</v>
      </c>
      <c r="X4295" t="s">
        <v>26584</v>
      </c>
      <c t="s">
        <v>49122</v>
      </c>
      <c t="s">
        <v>2517</v>
      </c>
      <c t="s">
        <v>39289</v>
      </c>
      <c>
        <v>33909</v>
      </c>
      <c t="s">
        <v>29860</v>
      </c>
      <c t="s">
        <v>48794</v>
      </c>
      <c t="s">
        <v>6091</v>
      </c>
      <c>
        <v>4209</v>
      </c>
      <c r="AI4295" t="s">
        <v>36615</v>
      </c>
      <c t="s">
        <v>45393</v>
      </c>
      <c>
        <v>42</v>
      </c>
      <c t="s">
        <v>36080</v>
      </c>
      <c t="s">
        <v>36080</v>
      </c>
      <c t="s">
        <v>39289</v>
      </c>
      <c t="s">
        <v>33482</v>
      </c>
      <c t="s">
        <v>33029</v>
      </c>
      <c t="s">
        <v>3093</v>
      </c>
      <c t="s">
        <v>18806</v>
      </c>
    </row>
    <row>
      <c t="s">
        <v>17594</v>
      </c>
      <c t="s">
        <v>17993</v>
      </c>
      <c t="s">
        <v>24966</v>
      </c>
      <c t="s">
        <v>61899</v>
      </c>
      <c t="s">
        <v>42928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296" s="1" t="str">
        <f ca="1">HYPERLINK("https://web.datatree.com/?/property?propertyId=33657354", "https://web.datatree.com/?/property?propertyId=33657354")</f>
        <v>https://web.datatree.com/?/property?propertyId=33657354</v>
      </c>
      <c r="Q4296" t="s">
        <v>316</v>
      </c>
      <c>
        <v>0.23</v>
      </c>
      <c t="s">
        <v>6175</v>
      </c>
      <c r="U4296" t="s">
        <v>62989</v>
      </c>
      <c r="W4296" t="s">
        <v>54291</v>
      </c>
      <c t="s">
        <v>43321</v>
      </c>
      <c t="s">
        <v>61865</v>
      </c>
      <c t="s">
        <v>2517</v>
      </c>
      <c t="s">
        <v>39289</v>
      </c>
      <c>
        <v>33909</v>
      </c>
      <c t="s">
        <v>3349</v>
      </c>
      <c t="s">
        <v>48794</v>
      </c>
      <c t="s">
        <v>8667</v>
      </c>
      <c>
        <v>194</v>
      </c>
      <c r="AI4296" t="s">
        <v>60767</v>
      </c>
      <c t="s">
        <v>45620</v>
      </c>
      <c r="AL4296" t="s">
        <v>56617</v>
      </c>
      <c r="AN4296" t="s">
        <v>50917</v>
      </c>
      <c t="s">
        <v>16604</v>
      </c>
      <c t="s">
        <v>42082</v>
      </c>
      <c t="s">
        <v>3093</v>
      </c>
      <c t="s">
        <v>63327</v>
      </c>
    </row>
    <row>
      <c t="s">
        <v>17594</v>
      </c>
      <c t="s">
        <v>9802</v>
      </c>
      <c t="s">
        <v>45655</v>
      </c>
      <c t="s">
        <v>36419</v>
      </c>
      <c t="s">
        <v>16125</v>
      </c>
      <c s="3">
        <v>17260</v>
      </c>
      <c s="3">
        <v>17260</v>
      </c>
      <c s="3">
        <v>8470</v>
      </c>
      <c>
        <v>0</v>
      </c>
      <c s="3">
        <v>0</v>
      </c>
      <c s="3">
        <v>561.47</v>
      </c>
      <c s="3">
        <v>17260</v>
      </c>
      <c r="O4297" s="1" t="str">
        <f ca="1">HYPERLINK("https://web.datatree.com/?/property?propertyId=33658118", "https://web.datatree.com/?/property?propertyId=33658118")</f>
        <v>https://web.datatree.com/?/property?propertyId=33658118</v>
      </c>
      <c r="Q4297" t="s">
        <v>316</v>
      </c>
      <c>
        <v>0.249</v>
      </c>
      <c t="s">
        <v>6175</v>
      </c>
      <c t="s">
        <v>55653</v>
      </c>
      <c t="s">
        <v>39569</v>
      </c>
      <c r="X4297" t="s">
        <v>23469</v>
      </c>
      <c t="s">
        <v>38550</v>
      </c>
      <c t="s">
        <v>2517</v>
      </c>
      <c t="s">
        <v>39289</v>
      </c>
      <c>
        <v>33909</v>
      </c>
      <c t="s">
        <v>56419</v>
      </c>
      <c t="s">
        <v>48794</v>
      </c>
      <c t="s">
        <v>28588</v>
      </c>
      <c>
        <v>5935</v>
      </c>
      <c r="AI4297" t="s">
        <v>55155</v>
      </c>
      <c t="s">
        <v>45393</v>
      </c>
      <c r="AL4297" t="s">
        <v>29515</v>
      </c>
      <c r="AN4297" t="s">
        <v>39289</v>
      </c>
      <c t="s">
        <v>15794</v>
      </c>
      <c t="s">
        <v>19978</v>
      </c>
      <c t="s">
        <v>3093</v>
      </c>
      <c t="s">
        <v>28597</v>
      </c>
    </row>
    <row>
      <c t="s">
        <v>17594</v>
      </c>
      <c t="s">
        <v>3636</v>
      </c>
      <c t="s">
        <v>54955</v>
      </c>
      <c t="s">
        <v>28653</v>
      </c>
      <c t="s">
        <v>61543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4298" s="1" t="str">
        <f ca="1">HYPERLINK("https://web.datatree.com/?/property?propertyId=33658431", "https://web.datatree.com/?/property?propertyId=33658431")</f>
        <v>https://web.datatree.com/?/property?propertyId=33658431</v>
      </c>
      <c r="Q4298" t="s">
        <v>316</v>
      </c>
      <c>
        <v>0.23</v>
      </c>
      <c t="s">
        <v>22490</v>
      </c>
      <c t="s">
        <v>58197</v>
      </c>
      <c t="s">
        <v>20391</v>
      </c>
      <c r="X4298" t="s">
        <v>57558</v>
      </c>
      <c t="s">
        <v>49674</v>
      </c>
      <c t="s">
        <v>2517</v>
      </c>
      <c t="s">
        <v>39289</v>
      </c>
      <c>
        <v>33909</v>
      </c>
      <c t="s">
        <v>49443</v>
      </c>
      <c t="s">
        <v>48794</v>
      </c>
      <c t="s">
        <v>52182</v>
      </c>
      <c>
        <v>223</v>
      </c>
      <c r="AI4298" t="s">
        <v>48626</v>
      </c>
      <c t="s">
        <v>45620</v>
      </c>
      <c r="AL4298" t="s">
        <v>27399</v>
      </c>
      <c t="s">
        <v>27399</v>
      </c>
      <c t="s">
        <v>19878</v>
      </c>
      <c t="s">
        <v>25747</v>
      </c>
      <c t="s">
        <v>40645</v>
      </c>
      <c t="s">
        <v>3093</v>
      </c>
      <c t="s">
        <v>64609</v>
      </c>
    </row>
    <row>
      <c t="s">
        <v>17594</v>
      </c>
      <c t="s">
        <v>11773</v>
      </c>
      <c t="s">
        <v>42816</v>
      </c>
      <c t="s">
        <v>21933</v>
      </c>
      <c t="s">
        <v>61904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4299" s="1" t="str">
        <f ca="1">HYPERLINK("https://web.datatree.com/?/property?propertyId=33658977", "https://web.datatree.com/?/property?propertyId=33658977")</f>
        <v>https://web.datatree.com/?/property?propertyId=33658977</v>
      </c>
      <c r="Q4299" t="s">
        <v>316</v>
      </c>
      <c>
        <v>0.23</v>
      </c>
      <c t="s">
        <v>6175</v>
      </c>
      <c t="s">
        <v>64990</v>
      </c>
      <c t="s">
        <v>25282</v>
      </c>
      <c r="X4299" t="s">
        <v>51490</v>
      </c>
      <c t="s">
        <v>47150</v>
      </c>
      <c t="s">
        <v>2517</v>
      </c>
      <c t="s">
        <v>39289</v>
      </c>
      <c>
        <v>33909</v>
      </c>
      <c t="s">
        <v>41433</v>
      </c>
      <c t="s">
        <v>48794</v>
      </c>
      <c t="s">
        <v>36867</v>
      </c>
      <c>
        <v>4103</v>
      </c>
      <c r="AI4299" t="s">
        <v>22781</v>
      </c>
      <c t="s">
        <v>31192</v>
      </c>
      <c t="s">
        <v>40662</v>
      </c>
      <c t="s">
        <v>41642</v>
      </c>
      <c t="s">
        <v>41642</v>
      </c>
      <c t="s">
        <v>39289</v>
      </c>
      <c t="s">
        <v>50212</v>
      </c>
      <c t="s">
        <v>23744</v>
      </c>
      <c t="s">
        <v>3093</v>
      </c>
      <c t="s">
        <v>7116</v>
      </c>
    </row>
    <row>
      <c t="s">
        <v>17594</v>
      </c>
      <c t="s">
        <v>53629</v>
      </c>
      <c t="s">
        <v>11035</v>
      </c>
      <c t="s">
        <v>27027</v>
      </c>
      <c t="s">
        <v>16456</v>
      </c>
      <c s="3">
        <v>21145</v>
      </c>
      <c s="3">
        <v>21145</v>
      </c>
      <c s="3">
        <v>7865</v>
      </c>
      <c>
        <v>0</v>
      </c>
      <c s="3">
        <v>0</v>
      </c>
      <c s="3">
        <v>625.71</v>
      </c>
      <c s="3">
        <v>21145</v>
      </c>
      <c r="O4300" s="1" t="str">
        <f ca="1">HYPERLINK("https://web.datatree.com/?/property?propertyId=33659041", "https://web.datatree.com/?/property?propertyId=33659041")</f>
        <v>https://web.datatree.com/?/property?propertyId=33659041</v>
      </c>
      <c r="Q4300" t="s">
        <v>316</v>
      </c>
      <c>
        <v>0.393</v>
      </c>
      <c t="s">
        <v>6175</v>
      </c>
      <c t="s">
        <v>32738</v>
      </c>
      <c t="s">
        <v>16164</v>
      </c>
      <c r="X4300" t="s">
        <v>59080</v>
      </c>
      <c t="s">
        <v>17022</v>
      </c>
      <c t="s">
        <v>2517</v>
      </c>
      <c t="s">
        <v>39289</v>
      </c>
      <c>
        <v>33909</v>
      </c>
      <c t="s">
        <v>45615</v>
      </c>
      <c t="s">
        <v>48794</v>
      </c>
      <c t="s">
        <v>64237</v>
      </c>
      <c>
        <v>8511</v>
      </c>
      <c r="AH4300" t="s">
        <v>26580</v>
      </c>
      <c t="s">
        <v>17669</v>
      </c>
      <c r="AL4300" t="s">
        <v>8109</v>
      </c>
      <c r="AN4300" t="s">
        <v>50917</v>
      </c>
      <c t="s">
        <v>28178</v>
      </c>
      <c t="s">
        <v>7207</v>
      </c>
      <c t="s">
        <v>3093</v>
      </c>
      <c t="s">
        <v>27290</v>
      </c>
    </row>
    <row>
      <c t="s">
        <v>17594</v>
      </c>
      <c t="s">
        <v>6992</v>
      </c>
      <c t="s">
        <v>42652</v>
      </c>
      <c t="s">
        <v>10682</v>
      </c>
      <c t="s">
        <v>61379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301" s="1" t="str">
        <f ca="1">HYPERLINK("https://web.datatree.com/?/property?propertyId=33659415", "https://web.datatree.com/?/property?propertyId=33659415")</f>
        <v>https://web.datatree.com/?/property?propertyId=33659415</v>
      </c>
      <c r="Q4301" t="s">
        <v>316</v>
      </c>
      <c>
        <v>0.23</v>
      </c>
      <c t="s">
        <v>22490</v>
      </c>
      <c t="s">
        <v>38169</v>
      </c>
      <c t="s">
        <v>46201</v>
      </c>
      <c t="s">
        <v>10134</v>
      </c>
      <c t="s">
        <v>46201</v>
      </c>
      <c t="s">
        <v>8148</v>
      </c>
      <c t="s">
        <v>53675</v>
      </c>
      <c t="s">
        <v>2517</v>
      </c>
      <c t="s">
        <v>39289</v>
      </c>
      <c>
        <v>33909</v>
      </c>
      <c t="s">
        <v>31803</v>
      </c>
      <c t="s">
        <v>48794</v>
      </c>
      <c t="s">
        <v>17901</v>
      </c>
      <c>
        <v>13704</v>
      </c>
      <c r="AI4301" t="s">
        <v>40312</v>
      </c>
      <c t="s">
        <v>45393</v>
      </c>
      <c r="AL4301" t="s">
        <v>13020</v>
      </c>
      <c r="AN4301" t="s">
        <v>50917</v>
      </c>
      <c t="s">
        <v>15781</v>
      </c>
      <c t="s">
        <v>16126</v>
      </c>
      <c t="s">
        <v>3093</v>
      </c>
      <c t="s">
        <v>2880</v>
      </c>
    </row>
    <row>
      <c t="s">
        <v>17594</v>
      </c>
      <c t="s">
        <v>42585</v>
      </c>
      <c t="s">
        <v>36206</v>
      </c>
      <c t="s">
        <v>45104</v>
      </c>
      <c t="s">
        <v>23121</v>
      </c>
      <c s="3">
        <v>99000</v>
      </c>
      <c s="3">
        <v>99000</v>
      </c>
      <c s="3">
        <v>75900</v>
      </c>
      <c>
        <v>0</v>
      </c>
      <c s="3">
        <v>0</v>
      </c>
      <c s="3">
        <v>1169.86</v>
      </c>
      <c s="3">
        <v>99000</v>
      </c>
      <c r="O4302" s="1" t="str">
        <f ca="1">HYPERLINK("https://web.datatree.com/?/property?propertyId=33659733", "https://web.datatree.com/?/property?propertyId=33659733")</f>
        <v>https://web.datatree.com/?/property?propertyId=33659733</v>
      </c>
      <c r="Q4302" t="s">
        <v>316</v>
      </c>
      <c>
        <v>0.514</v>
      </c>
      <c t="s">
        <v>30497</v>
      </c>
      <c t="s">
        <v>22078</v>
      </c>
      <c t="s">
        <v>1898</v>
      </c>
      <c t="s">
        <v>52701</v>
      </c>
      <c t="s">
        <v>1898</v>
      </c>
      <c t="s">
        <v>12010</v>
      </c>
      <c t="s">
        <v>55047</v>
      </c>
      <c t="s">
        <v>65059</v>
      </c>
      <c t="s">
        <v>39289</v>
      </c>
      <c>
        <v>33908</v>
      </c>
      <c t="s">
        <v>56284</v>
      </c>
      <c t="s">
        <v>48794</v>
      </c>
      <c t="s">
        <v>5691</v>
      </c>
      <c>
        <v>633</v>
      </c>
      <c r="AI4302" t="s">
        <v>18679</v>
      </c>
      <c t="s">
        <v>45393</v>
      </c>
      <c r="AL4302" t="s">
        <v>46158</v>
      </c>
      <c r="AN4302" t="s">
        <v>22275</v>
      </c>
      <c t="s">
        <v>22701</v>
      </c>
      <c t="s">
        <v>1951</v>
      </c>
      <c t="s">
        <v>3093</v>
      </c>
      <c t="s">
        <v>28671</v>
      </c>
    </row>
    <row>
      <c t="s">
        <v>17594</v>
      </c>
      <c t="s">
        <v>12373</v>
      </c>
      <c t="s">
        <v>11534</v>
      </c>
      <c t="s">
        <v>51241</v>
      </c>
      <c t="s">
        <v>22325</v>
      </c>
      <c s="3">
        <v>8124</v>
      </c>
      <c s="3">
        <v>8124</v>
      </c>
      <c s="3">
        <v>4972</v>
      </c>
      <c>
        <v>0</v>
      </c>
      <c s="3">
        <v>0</v>
      </c>
      <c s="3">
        <v>316.66</v>
      </c>
      <c s="3">
        <v>8124</v>
      </c>
      <c r="O4303" s="1" t="str">
        <f ca="1">HYPERLINK("https://web.datatree.com/?/property?propertyId=33660447", "https://web.datatree.com/?/property?propertyId=33660447")</f>
        <v>https://web.datatree.com/?/property?propertyId=33660447</v>
      </c>
      <c r="Q4303" t="s">
        <v>316</v>
      </c>
      <c>
        <v>0.237</v>
      </c>
      <c t="s">
        <v>5471</v>
      </c>
      <c t="s">
        <v>38445</v>
      </c>
      <c t="s">
        <v>54626</v>
      </c>
      <c r="X4303" t="s">
        <v>15609</v>
      </c>
      <c t="s">
        <v>61272</v>
      </c>
      <c t="s">
        <v>65059</v>
      </c>
      <c t="s">
        <v>39289</v>
      </c>
      <c>
        <v>33905</v>
      </c>
      <c t="s">
        <v>40739</v>
      </c>
      <c t="s">
        <v>48794</v>
      </c>
      <c t="s">
        <v>34838</v>
      </c>
      <c>
        <v>242</v>
      </c>
      <c r="AI4303" t="s">
        <v>23132</v>
      </c>
      <c t="s">
        <v>24900</v>
      </c>
      <c r="AL4303" t="s">
        <v>66317</v>
      </c>
      <c r="AN4303" t="s">
        <v>50917</v>
      </c>
      <c t="s">
        <v>59449</v>
      </c>
      <c t="s">
        <v>4797</v>
      </c>
      <c t="s">
        <v>3093</v>
      </c>
      <c t="s">
        <v>7872</v>
      </c>
    </row>
    <row>
      <c t="s">
        <v>17594</v>
      </c>
      <c t="s">
        <v>26752</v>
      </c>
      <c t="s">
        <v>22935</v>
      </c>
      <c t="s">
        <v>24421</v>
      </c>
      <c t="s">
        <v>41005</v>
      </c>
      <c s="3">
        <v>11250</v>
      </c>
      <c s="3">
        <v>11250</v>
      </c>
      <c s="3">
        <v>11250</v>
      </c>
      <c>
        <v>0</v>
      </c>
      <c s="3">
        <v>0</v>
      </c>
      <c s="3">
        <v>149.72</v>
      </c>
      <c s="3">
        <v>11250</v>
      </c>
      <c>
        <v>2021</v>
      </c>
      <c>
        <v>152.54</v>
      </c>
      <c s="1" t="str">
        <f ca="1">HYPERLINK("https://web.datatree.com/?/property?propertyId=33661161", "https://web.datatree.com/?/property?propertyId=33661161")</f>
        <v>https://web.datatree.com/?/property?propertyId=33661161</v>
      </c>
      <c r="Q4304" t="s">
        <v>316</v>
      </c>
      <c>
        <v>0.165</v>
      </c>
      <c t="s">
        <v>36245</v>
      </c>
      <c t="s">
        <v>30828</v>
      </c>
      <c t="s">
        <v>25778</v>
      </c>
      <c r="X4304" t="s">
        <v>22072</v>
      </c>
      <c t="s">
        <v>15222</v>
      </c>
      <c t="s">
        <v>65059</v>
      </c>
      <c t="s">
        <v>39289</v>
      </c>
      <c>
        <v>33905</v>
      </c>
      <c>
        <v>33905</v>
      </c>
      <c t="s">
        <v>48794</v>
      </c>
      <c t="s">
        <v>6372</v>
      </c>
      <c>
        <v>11774</v>
      </c>
      <c r="AI4304" t="s">
        <v>59232</v>
      </c>
      <c t="s">
        <v>835</v>
      </c>
      <c r="AL4304" t="s">
        <v>11713</v>
      </c>
      <c t="s">
        <v>40227</v>
      </c>
      <c t="s">
        <v>39289</v>
      </c>
      <c t="s">
        <v>2278</v>
      </c>
      <c t="s">
        <v>4175</v>
      </c>
      <c t="s">
        <v>3093</v>
      </c>
      <c t="s">
        <v>22884</v>
      </c>
    </row>
    <row>
      <c t="s">
        <v>17594</v>
      </c>
      <c t="s">
        <v>44867</v>
      </c>
      <c t="s">
        <v>43696</v>
      </c>
      <c t="s">
        <v>40073</v>
      </c>
      <c t="s">
        <v>27447</v>
      </c>
      <c s="3">
        <v>13715</v>
      </c>
      <c s="3">
        <v>13715</v>
      </c>
      <c s="3">
        <v>13715</v>
      </c>
      <c>
        <v>0</v>
      </c>
      <c s="3">
        <v>0</v>
      </c>
      <c s="3">
        <v>219.05</v>
      </c>
      <c s="3">
        <v>13715</v>
      </c>
      <c>
        <v>2021</v>
      </c>
      <c>
        <v>154.2</v>
      </c>
      <c s="1" t="str">
        <f ca="1">HYPERLINK("https://web.datatree.com/?/property?propertyId=33661258", "https://web.datatree.com/?/property?propertyId=33661258")</f>
        <v>https://web.datatree.com/?/property?propertyId=33661258</v>
      </c>
      <c r="Q4305" t="s">
        <v>316</v>
      </c>
      <c>
        <v>0.23</v>
      </c>
      <c t="s">
        <v>5471</v>
      </c>
      <c t="s">
        <v>36721</v>
      </c>
      <c t="s">
        <v>66933</v>
      </c>
      <c r="X4305" t="s">
        <v>8787</v>
      </c>
      <c t="s">
        <v>52071</v>
      </c>
      <c t="s">
        <v>54524</v>
      </c>
      <c t="s">
        <v>39289</v>
      </c>
      <c>
        <v>33903</v>
      </c>
      <c>
        <v>33903</v>
      </c>
      <c t="s">
        <v>48794</v>
      </c>
      <c t="s">
        <v>18294</v>
      </c>
      <c>
        <v>4711</v>
      </c>
      <c r="AI4305" t="s">
        <v>52154</v>
      </c>
      <c t="s">
        <v>45620</v>
      </c>
      <c r="AL4305" t="s">
        <v>40009</v>
      </c>
      <c t="s">
        <v>40009</v>
      </c>
      <c t="s">
        <v>65467</v>
      </c>
      <c t="s">
        <v>66202</v>
      </c>
      <c t="s">
        <v>44843</v>
      </c>
      <c t="s">
        <v>3093</v>
      </c>
      <c t="s">
        <v>38196</v>
      </c>
    </row>
    <row>
      <c t="s">
        <v>17594</v>
      </c>
      <c t="s">
        <v>51991</v>
      </c>
      <c t="s">
        <v>16735</v>
      </c>
      <c t="s">
        <v>12700</v>
      </c>
      <c t="s">
        <v>57585</v>
      </c>
      <c s="3">
        <v>29109</v>
      </c>
      <c s="3">
        <v>29109</v>
      </c>
      <c s="3">
        <v>9079</v>
      </c>
      <c>
        <v>0</v>
      </c>
      <c s="3">
        <v>0</v>
      </c>
      <c s="3">
        <v>2968.56</v>
      </c>
      <c s="3">
        <v>29109</v>
      </c>
      <c>
        <v>2020</v>
      </c>
      <c>
        <v>10140.87</v>
      </c>
      <c s="1" t="str">
        <f ca="1">HYPERLINK("https://web.datatree.com/?/property?propertyId=33661826", "https://web.datatree.com/?/property?propertyId=33661826")</f>
        <v>https://web.datatree.com/?/property?propertyId=33661826</v>
      </c>
      <c r="Q4306" t="s">
        <v>316</v>
      </c>
      <c>
        <v>0.244</v>
      </c>
      <c t="s">
        <v>37741</v>
      </c>
      <c t="s">
        <v>27417</v>
      </c>
      <c t="s">
        <v>25461</v>
      </c>
      <c r="X4306" t="s">
        <v>31658</v>
      </c>
      <c t="s">
        <v>25017</v>
      </c>
      <c t="s">
        <v>2517</v>
      </c>
      <c t="s">
        <v>39289</v>
      </c>
      <c>
        <v>33909</v>
      </c>
      <c>
        <v>33909</v>
      </c>
      <c t="s">
        <v>48794</v>
      </c>
      <c t="s">
        <v>56491</v>
      </c>
      <c>
        <v>11</v>
      </c>
      <c r="AI4306" t="s">
        <v>41868</v>
      </c>
      <c t="s">
        <v>45620</v>
      </c>
      <c>
        <v>1</v>
      </c>
      <c t="s">
        <v>12394</v>
      </c>
      <c r="AN4306" t="s">
        <v>5859</v>
      </c>
      <c t="s">
        <v>46876</v>
      </c>
      <c t="s">
        <v>49977</v>
      </c>
      <c t="s">
        <v>3093</v>
      </c>
      <c t="s">
        <v>9743</v>
      </c>
    </row>
    <row>
      <c t="s">
        <v>17594</v>
      </c>
      <c t="s">
        <v>25879</v>
      </c>
      <c t="s">
        <v>58286</v>
      </c>
      <c t="s">
        <v>62594</v>
      </c>
      <c t="s">
        <v>63840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>
        <v>2021</v>
      </c>
      <c>
        <v>587.28</v>
      </c>
      <c s="1" t="str">
        <f ca="1">HYPERLINK("https://web.datatree.com/?/property?propertyId=33662701", "https://web.datatree.com/?/property?propertyId=33662701")</f>
        <v>https://web.datatree.com/?/property?propertyId=33662701</v>
      </c>
      <c r="Q4307" t="s">
        <v>316</v>
      </c>
      <c>
        <v>0.23</v>
      </c>
      <c t="s">
        <v>45031</v>
      </c>
      <c t="s">
        <v>1898</v>
      </c>
      <c t="s">
        <v>60168</v>
      </c>
      <c r="X4307" t="s">
        <v>12690</v>
      </c>
      <c t="s">
        <v>39082</v>
      </c>
      <c t="s">
        <v>2517</v>
      </c>
      <c t="s">
        <v>39289</v>
      </c>
      <c>
        <v>33909</v>
      </c>
      <c t="s">
        <v>23683</v>
      </c>
      <c t="s">
        <v>48794</v>
      </c>
      <c t="s">
        <v>58972</v>
      </c>
      <c>
        <v>6303</v>
      </c>
      <c r="AI4307" t="s">
        <v>26976</v>
      </c>
      <c t="s">
        <v>31192</v>
      </c>
      <c>
        <v>400</v>
      </c>
      <c t="s">
        <v>55393</v>
      </c>
      <c r="AN4307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59729</v>
      </c>
      <c t="s">
        <v>34762</v>
      </c>
      <c t="s">
        <v>64306</v>
      </c>
      <c t="s">
        <v>36281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308" s="1" t="str">
        <f ca="1">HYPERLINK("https://web.datatree.com/?/property?propertyId=33662763", "https://web.datatree.com/?/property?propertyId=33662763")</f>
        <v>https://web.datatree.com/?/property?propertyId=33662763</v>
      </c>
      <c r="Q4308" t="s">
        <v>316</v>
      </c>
      <c>
        <v>0.235</v>
      </c>
      <c t="s">
        <v>5471</v>
      </c>
      <c t="s">
        <v>8762</v>
      </c>
      <c t="s">
        <v>14829</v>
      </c>
      <c t="s">
        <v>1074</v>
      </c>
      <c t="s">
        <v>14829</v>
      </c>
      <c t="s">
        <v>46074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20612</v>
      </c>
      <c>
        <v>46</v>
      </c>
      <c r="AI4308" t="s">
        <v>60838</v>
      </c>
      <c t="s">
        <v>31192</v>
      </c>
      <c r="AL4308" t="s">
        <v>22403</v>
      </c>
      <c r="AN4308" t="s">
        <v>50917</v>
      </c>
      <c t="s">
        <v>1697</v>
      </c>
      <c t="s">
        <v>34162</v>
      </c>
      <c t="s">
        <v>3093</v>
      </c>
      <c t="s">
        <v>60300</v>
      </c>
    </row>
    <row>
      <c t="s">
        <v>17594</v>
      </c>
      <c t="s">
        <v>59998</v>
      </c>
      <c t="s">
        <v>57801</v>
      </c>
      <c t="s">
        <v>65841</v>
      </c>
      <c t="s">
        <v>5485</v>
      </c>
      <c s="3">
        <v>20529</v>
      </c>
      <c s="3">
        <v>20529</v>
      </c>
      <c s="3">
        <v>20529</v>
      </c>
      <c>
        <v>0</v>
      </c>
      <c s="3">
        <v>0</v>
      </c>
      <c s="3">
        <v>695.99</v>
      </c>
      <c s="3">
        <v>20529</v>
      </c>
      <c r="O4309" s="1" t="str">
        <f ca="1">HYPERLINK("https://web.datatree.com/?/property?propertyId=33662829", "https://web.datatree.com/?/property?propertyId=33662829")</f>
        <v>https://web.datatree.com/?/property?propertyId=33662829</v>
      </c>
      <c r="Q4309" t="s">
        <v>316</v>
      </c>
      <c>
        <v>0.235</v>
      </c>
      <c t="s">
        <v>54449</v>
      </c>
      <c r="U4309" t="s">
        <v>10010</v>
      </c>
      <c t="s">
        <v>56162</v>
      </c>
      <c t="s">
        <v>13369</v>
      </c>
      <c t="s">
        <v>19482</v>
      </c>
      <c t="s">
        <v>57582</v>
      </c>
      <c t="s">
        <v>2517</v>
      </c>
      <c t="s">
        <v>39289</v>
      </c>
      <c>
        <v>33904</v>
      </c>
      <c t="s">
        <v>5129</v>
      </c>
      <c t="s">
        <v>48794</v>
      </c>
      <c t="s">
        <v>52665</v>
      </c>
      <c>
        <v>100</v>
      </c>
      <c r="AI4309" t="s">
        <v>64656</v>
      </c>
      <c t="s">
        <v>24900</v>
      </c>
      <c>
        <v>650</v>
      </c>
      <c t="s">
        <v>17107</v>
      </c>
      <c t="s">
        <v>17107</v>
      </c>
      <c t="s">
        <v>65451</v>
      </c>
      <c t="s">
        <v>36524</v>
      </c>
      <c t="s">
        <v>22613</v>
      </c>
      <c t="s">
        <v>3093</v>
      </c>
      <c t="s">
        <v>7730</v>
      </c>
    </row>
    <row>
      <c t="s">
        <v>17594</v>
      </c>
      <c t="s">
        <v>58934</v>
      </c>
      <c t="s">
        <v>3067</v>
      </c>
      <c t="s">
        <v>40707</v>
      </c>
      <c t="s">
        <v>36175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4310" s="1" t="str">
        <f ca="1">HYPERLINK("https://web.datatree.com/?/property?propertyId=33663984", "https://web.datatree.com/?/property?propertyId=33663984")</f>
        <v>https://web.datatree.com/?/property?propertyId=33663984</v>
      </c>
      <c r="Q4310" t="s">
        <v>316</v>
      </c>
      <c>
        <v>0.279</v>
      </c>
      <c t="s">
        <v>5471</v>
      </c>
      <c t="s">
        <v>50331</v>
      </c>
      <c t="s">
        <v>46676</v>
      </c>
      <c t="s">
        <v>13419</v>
      </c>
      <c t="s">
        <v>46676</v>
      </c>
      <c t="s">
        <v>38605</v>
      </c>
      <c t="s">
        <v>55413</v>
      </c>
      <c t="s">
        <v>65059</v>
      </c>
      <c t="s">
        <v>39289</v>
      </c>
      <c>
        <v>33905</v>
      </c>
      <c t="s">
        <v>30155</v>
      </c>
      <c t="s">
        <v>48794</v>
      </c>
      <c t="s">
        <v>38723</v>
      </c>
      <c>
        <v>1263</v>
      </c>
      <c r="AI4310" t="s">
        <v>64853</v>
      </c>
      <c t="s">
        <v>45620</v>
      </c>
      <c r="AL4310" t="s">
        <v>60095</v>
      </c>
      <c r="AN4310" t="s">
        <v>50917</v>
      </c>
      <c t="s">
        <v>12796</v>
      </c>
      <c t="s">
        <v>18692</v>
      </c>
      <c t="s">
        <v>3093</v>
      </c>
      <c t="s">
        <v>63699</v>
      </c>
    </row>
    <row>
      <c t="s">
        <v>17594</v>
      </c>
      <c t="s">
        <v>18990</v>
      </c>
      <c t="s">
        <v>46497</v>
      </c>
      <c t="s">
        <v>24851</v>
      </c>
      <c t="s">
        <v>942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4311" s="1" t="str">
        <f ca="1">HYPERLINK("https://web.datatree.com/?/property?propertyId=33664223", "https://web.datatree.com/?/property?propertyId=33664223")</f>
        <v>https://web.datatree.com/?/property?propertyId=33664223</v>
      </c>
      <c r="Q4311" t="s">
        <v>316</v>
      </c>
      <c>
        <v>0.23</v>
      </c>
      <c t="s">
        <v>6175</v>
      </c>
      <c t="s">
        <v>59645</v>
      </c>
      <c t="s">
        <v>13824</v>
      </c>
      <c r="X4311" t="s">
        <v>63464</v>
      </c>
      <c t="s">
        <v>10653</v>
      </c>
      <c t="s">
        <v>2517</v>
      </c>
      <c t="s">
        <v>39289</v>
      </c>
      <c>
        <v>33909</v>
      </c>
      <c t="s">
        <v>13386</v>
      </c>
      <c t="s">
        <v>48794</v>
      </c>
      <c t="s">
        <v>65202</v>
      </c>
      <c>
        <v>58</v>
      </c>
      <c r="AI4311" t="s">
        <v>33269</v>
      </c>
      <c r="AK4311">
        <v>152</v>
      </c>
      <c t="s">
        <v>60998</v>
      </c>
      <c r="AN4311" t="s">
        <v>14798</v>
      </c>
      <c r="AR4311" t="s">
        <v>19777</v>
      </c>
    </row>
    <row>
      <c t="s">
        <v>17594</v>
      </c>
      <c t="s">
        <v>41783</v>
      </c>
      <c t="s">
        <v>35376</v>
      </c>
      <c t="s">
        <v>7038</v>
      </c>
      <c t="s">
        <v>43432</v>
      </c>
      <c s="3">
        <v>20376</v>
      </c>
      <c s="3">
        <v>20376</v>
      </c>
      <c s="3">
        <v>10450</v>
      </c>
      <c>
        <v>0</v>
      </c>
      <c s="3">
        <v>0</v>
      </c>
      <c s="3">
        <v>601.61</v>
      </c>
      <c s="3">
        <v>20376</v>
      </c>
      <c r="O4312" s="1" t="str">
        <f ca="1">HYPERLINK("https://web.datatree.com/?/property?propertyId=33664345", "https://web.datatree.com/?/property?propertyId=33664345")</f>
        <v>https://web.datatree.com/?/property?propertyId=33664345</v>
      </c>
      <c r="Q4312" t="s">
        <v>316</v>
      </c>
      <c>
        <v>0.244</v>
      </c>
      <c t="s">
        <v>22490</v>
      </c>
      <c r="U4312" t="s">
        <v>66941</v>
      </c>
      <c r="W4312" t="s">
        <v>18429</v>
      </c>
      <c t="s">
        <v>44937</v>
      </c>
      <c t="s">
        <v>50440</v>
      </c>
      <c t="s">
        <v>2517</v>
      </c>
      <c t="s">
        <v>39289</v>
      </c>
      <c>
        <v>33909</v>
      </c>
      <c t="s">
        <v>50147</v>
      </c>
      <c t="s">
        <v>48794</v>
      </c>
      <c t="s">
        <v>35036</v>
      </c>
      <c>
        <v>4950</v>
      </c>
      <c r="AI4312" t="s">
        <v>38190</v>
      </c>
      <c t="s">
        <v>4985</v>
      </c>
      <c t="s">
        <v>17013</v>
      </c>
      <c t="s">
        <v>18908</v>
      </c>
      <c t="s">
        <v>30757</v>
      </c>
      <c t="s">
        <v>58733</v>
      </c>
      <c t="s">
        <v>63363</v>
      </c>
      <c t="s">
        <v>12241</v>
      </c>
      <c t="s">
        <v>3093</v>
      </c>
      <c t="s">
        <v>36021</v>
      </c>
    </row>
    <row>
      <c t="s">
        <v>17594</v>
      </c>
      <c t="s">
        <v>62091</v>
      </c>
      <c t="s">
        <v>29357</v>
      </c>
      <c t="s">
        <v>55204</v>
      </c>
      <c t="s">
        <v>8681</v>
      </c>
      <c s="3">
        <v>26290</v>
      </c>
      <c s="3">
        <v>26290</v>
      </c>
      <c s="3">
        <v>12650</v>
      </c>
      <c>
        <v>0</v>
      </c>
      <c s="3">
        <v>0</v>
      </c>
      <c s="3">
        <v>2914.32</v>
      </c>
      <c s="3">
        <v>26290</v>
      </c>
      <c>
        <v>2011</v>
      </c>
      <c>
        <v>44601.39</v>
      </c>
      <c s="1" t="str">
        <f ca="1">HYPERLINK("https://web.datatree.com/?/property?propertyId=33665102", "https://web.datatree.com/?/property?propertyId=33665102")</f>
        <v>https://web.datatree.com/?/property?propertyId=33665102</v>
      </c>
      <c r="Q4313" t="s">
        <v>316</v>
      </c>
      <c>
        <v>0.23</v>
      </c>
      <c t="s">
        <v>22490</v>
      </c>
      <c t="s">
        <v>8031</v>
      </c>
      <c t="s">
        <v>37460</v>
      </c>
      <c r="X4313" t="s">
        <v>55136</v>
      </c>
      <c t="s">
        <v>25017</v>
      </c>
      <c t="s">
        <v>2517</v>
      </c>
      <c t="s">
        <v>39289</v>
      </c>
      <c>
        <v>33909</v>
      </c>
      <c t="s">
        <v>51954</v>
      </c>
      <c t="s">
        <v>48794</v>
      </c>
      <c t="s">
        <v>31651</v>
      </c>
      <c>
        <v>8352</v>
      </c>
      <c r="AI4313" t="s">
        <v>66803</v>
      </c>
      <c t="s">
        <v>45393</v>
      </c>
      <c t="s">
        <v>60084</v>
      </c>
      <c t="s">
        <v>33394</v>
      </c>
      <c t="s">
        <v>13397</v>
      </c>
      <c t="s">
        <v>50917</v>
      </c>
      <c t="s">
        <v>19373</v>
      </c>
      <c t="s">
        <v>28833</v>
      </c>
      <c t="s">
        <v>3093</v>
      </c>
      <c t="s">
        <v>56497</v>
      </c>
    </row>
    <row>
      <c t="s">
        <v>17594</v>
      </c>
      <c t="s">
        <v>432</v>
      </c>
      <c t="s">
        <v>6932</v>
      </c>
      <c t="s">
        <v>3975</v>
      </c>
      <c t="s">
        <v>24466</v>
      </c>
      <c s="3">
        <v>24937</v>
      </c>
      <c s="3">
        <v>24937</v>
      </c>
      <c s="3">
        <v>9438</v>
      </c>
      <c>
        <v>0</v>
      </c>
      <c s="3">
        <v>0</v>
      </c>
      <c s="3">
        <v>2971.6</v>
      </c>
      <c s="3">
        <v>24937</v>
      </c>
      <c>
        <v>2018</v>
      </c>
      <c>
        <v>31037.83</v>
      </c>
      <c s="1" t="str">
        <f ca="1">HYPERLINK("https://web.datatree.com/?/property?propertyId=33665446", "https://web.datatree.com/?/property?propertyId=33665446")</f>
        <v>https://web.datatree.com/?/property?propertyId=33665446</v>
      </c>
      <c r="Q4314" t="s">
        <v>316</v>
      </c>
      <c>
        <v>0.257</v>
      </c>
      <c t="s">
        <v>6175</v>
      </c>
      <c t="s">
        <v>1479</v>
      </c>
      <c t="s">
        <v>4190</v>
      </c>
      <c r="X4314" t="s">
        <v>64216</v>
      </c>
      <c t="s">
        <v>13478</v>
      </c>
      <c t="s">
        <v>2517</v>
      </c>
      <c t="s">
        <v>39289</v>
      </c>
      <c>
        <v>33909</v>
      </c>
      <c t="s">
        <v>40141</v>
      </c>
      <c t="s">
        <v>48794</v>
      </c>
      <c t="s">
        <v>53891</v>
      </c>
      <c>
        <v>316</v>
      </c>
      <c r="AI4314" t="s">
        <v>5105</v>
      </c>
      <c t="s">
        <v>45393</v>
      </c>
      <c r="AL4314" t="s">
        <v>45108</v>
      </c>
      <c t="s">
        <v>45108</v>
      </c>
      <c t="s">
        <v>26016</v>
      </c>
      <c t="s">
        <v>35671</v>
      </c>
      <c t="s">
        <v>11138</v>
      </c>
      <c t="s">
        <v>3093</v>
      </c>
      <c t="s">
        <v>52931</v>
      </c>
    </row>
    <row>
      <c t="s">
        <v>17594</v>
      </c>
      <c t="s">
        <v>18170</v>
      </c>
      <c t="s">
        <v>16584</v>
      </c>
      <c t="s">
        <v>10605</v>
      </c>
      <c t="s">
        <v>35390</v>
      </c>
      <c s="3">
        <v>18472</v>
      </c>
      <c s="3">
        <v>18472</v>
      </c>
      <c s="3">
        <v>8712</v>
      </c>
      <c>
        <v>0</v>
      </c>
      <c s="3">
        <v>0</v>
      </c>
      <c s="3">
        <v>574.36</v>
      </c>
      <c s="3">
        <v>18472</v>
      </c>
      <c r="O4315" s="1" t="str">
        <f ca="1">HYPERLINK("https://web.datatree.com/?/property?propertyId=33666918", "https://web.datatree.com/?/property?propertyId=33666918")</f>
        <v>https://web.datatree.com/?/property?propertyId=33666918</v>
      </c>
      <c r="Q4315" t="s">
        <v>316</v>
      </c>
      <c>
        <v>0.249</v>
      </c>
      <c t="s">
        <v>42044</v>
      </c>
      <c r="U4315" t="s">
        <v>6923</v>
      </c>
      <c r="W4315" t="s">
        <v>22103</v>
      </c>
      <c t="s">
        <v>17603</v>
      </c>
      <c t="s">
        <v>7113</v>
      </c>
      <c t="s">
        <v>2517</v>
      </c>
      <c t="s">
        <v>39289</v>
      </c>
      <c>
        <v>33909</v>
      </c>
      <c t="s">
        <v>66447</v>
      </c>
      <c t="s">
        <v>48794</v>
      </c>
      <c t="s">
        <v>23722</v>
      </c>
      <c>
        <v>14500</v>
      </c>
      <c r="AI4315" t="s">
        <v>26873</v>
      </c>
      <c t="s">
        <v>41372</v>
      </c>
      <c r="AL4315" t="s">
        <v>1121</v>
      </c>
      <c r="AN4315" t="s">
        <v>39289</v>
      </c>
      <c t="s">
        <v>15594</v>
      </c>
      <c t="s">
        <v>57513</v>
      </c>
      <c t="s">
        <v>3093</v>
      </c>
      <c t="s">
        <v>39905</v>
      </c>
    </row>
    <row>
      <c t="s">
        <v>17594</v>
      </c>
      <c t="s">
        <v>37380</v>
      </c>
      <c t="s">
        <v>47052</v>
      </c>
      <c t="s">
        <v>11390</v>
      </c>
      <c t="s">
        <v>34780</v>
      </c>
      <c s="3">
        <v>12544</v>
      </c>
      <c s="3">
        <v>12544</v>
      </c>
      <c s="3">
        <v>4972</v>
      </c>
      <c>
        <v>0</v>
      </c>
      <c s="3">
        <v>0</v>
      </c>
      <c s="3">
        <v>325.77</v>
      </c>
      <c s="3">
        <v>12544</v>
      </c>
      <c r="O4316" s="1" t="str">
        <f ca="1">HYPERLINK("https://web.datatree.com/?/property?propertyId=33667041", "https://web.datatree.com/?/property?propertyId=33667041")</f>
        <v>https://web.datatree.com/?/property?propertyId=33667041</v>
      </c>
      <c r="Q4316" t="s">
        <v>316</v>
      </c>
      <c>
        <v>0.307</v>
      </c>
      <c t="s">
        <v>5471</v>
      </c>
      <c t="s">
        <v>64043</v>
      </c>
      <c t="s">
        <v>19208</v>
      </c>
      <c t="s">
        <v>26823</v>
      </c>
      <c t="s">
        <v>19208</v>
      </c>
      <c t="s">
        <v>38807</v>
      </c>
      <c t="s">
        <v>10081</v>
      </c>
      <c t="s">
        <v>65059</v>
      </c>
      <c t="s">
        <v>39289</v>
      </c>
      <c>
        <v>33905</v>
      </c>
      <c t="s">
        <v>37915</v>
      </c>
      <c t="s">
        <v>48794</v>
      </c>
      <c t="s">
        <v>1365</v>
      </c>
      <c>
        <v>8230</v>
      </c>
      <c r="AI4316" t="s">
        <v>62542</v>
      </c>
      <c t="s">
        <v>45620</v>
      </c>
      <c r="AL4316" t="s">
        <v>10417</v>
      </c>
      <c r="AN4316" t="s">
        <v>10909</v>
      </c>
      <c t="s">
        <v>26914</v>
      </c>
      <c r="AQ4316" t="s">
        <v>27814</v>
      </c>
      <c t="s">
        <v>23028</v>
      </c>
    </row>
    <row>
      <c t="s">
        <v>17594</v>
      </c>
      <c t="s">
        <v>43548</v>
      </c>
      <c t="s">
        <v>2092</v>
      </c>
      <c t="s">
        <v>24715</v>
      </c>
      <c t="s">
        <v>36091</v>
      </c>
      <c s="3">
        <v>196254</v>
      </c>
      <c s="3">
        <v>196254</v>
      </c>
      <c s="3">
        <v>173392</v>
      </c>
      <c>
        <v>0</v>
      </c>
      <c s="3">
        <v>0</v>
      </c>
      <c s="3">
        <v>3551.76</v>
      </c>
      <c s="3">
        <v>196254</v>
      </c>
      <c r="O4317" s="1" t="str">
        <f ca="1">HYPERLINK("https://web.datatree.com/?/property?propertyId=33667326", "https://web.datatree.com/?/property?propertyId=33667326")</f>
        <v>https://web.datatree.com/?/property?propertyId=33667326</v>
      </c>
      <c r="Q4317" t="s">
        <v>316</v>
      </c>
      <c>
        <v>0.248</v>
      </c>
      <c t="s">
        <v>22490</v>
      </c>
      <c r="U4317" t="s">
        <v>15614</v>
      </c>
      <c r="W4317" t="s">
        <v>49295</v>
      </c>
      <c t="s">
        <v>5708</v>
      </c>
      <c t="s">
        <v>24999</v>
      </c>
      <c t="s">
        <v>2517</v>
      </c>
      <c t="s">
        <v>39289</v>
      </c>
      <c>
        <v>33904</v>
      </c>
      <c>
        <v>33904</v>
      </c>
      <c t="s">
        <v>48794</v>
      </c>
      <c t="s">
        <v>55618</v>
      </c>
      <c>
        <v>340</v>
      </c>
      <c r="AI4317" t="s">
        <v>29190</v>
      </c>
      <c t="s">
        <v>45393</v>
      </c>
      <c r="AL4317" t="s">
        <v>16349</v>
      </c>
      <c r="AN4317" t="s">
        <v>26016</v>
      </c>
      <c t="s">
        <v>49534</v>
      </c>
      <c t="s">
        <v>34162</v>
      </c>
      <c t="s">
        <v>3093</v>
      </c>
      <c t="s">
        <v>4153</v>
      </c>
    </row>
    <row>
      <c t="s">
        <v>17594</v>
      </c>
      <c t="s">
        <v>46702</v>
      </c>
      <c t="s">
        <v>45113</v>
      </c>
      <c t="s">
        <v>61949</v>
      </c>
      <c t="s">
        <v>45645</v>
      </c>
      <c s="3">
        <v>24856</v>
      </c>
      <c s="3">
        <v>24856</v>
      </c>
      <c s="3">
        <v>10049</v>
      </c>
      <c>
        <v>0</v>
      </c>
      <c s="3">
        <v>0</v>
      </c>
      <c s="3">
        <v>662.67</v>
      </c>
      <c s="3">
        <v>24856</v>
      </c>
      <c r="O4318" s="1" t="str">
        <f ca="1">HYPERLINK("https://web.datatree.com/?/property?propertyId=33667610", "https://web.datatree.com/?/property?propertyId=33667610")</f>
        <v>https://web.datatree.com/?/property?propertyId=33667610</v>
      </c>
      <c r="Q4318" t="s">
        <v>316</v>
      </c>
      <c>
        <v>0.283</v>
      </c>
      <c t="s">
        <v>45031</v>
      </c>
      <c t="s">
        <v>51248</v>
      </c>
      <c t="s">
        <v>45794</v>
      </c>
      <c t="s">
        <v>39464</v>
      </c>
      <c t="s">
        <v>49200</v>
      </c>
      <c t="s">
        <v>37829</v>
      </c>
      <c t="s">
        <v>46469</v>
      </c>
      <c t="s">
        <v>2517</v>
      </c>
      <c t="s">
        <v>39289</v>
      </c>
      <c>
        <v>33909</v>
      </c>
      <c t="s">
        <v>15502</v>
      </c>
      <c t="s">
        <v>48794</v>
      </c>
      <c t="s">
        <v>40565</v>
      </c>
      <c>
        <v>3867</v>
      </c>
      <c r="AI4318" t="s">
        <v>17305</v>
      </c>
      <c t="s">
        <v>835</v>
      </c>
      <c r="AL4318" t="s">
        <v>61913</v>
      </c>
      <c t="s">
        <v>61913</v>
      </c>
      <c t="s">
        <v>65451</v>
      </c>
      <c t="s">
        <v>55090</v>
      </c>
      <c t="s">
        <v>44843</v>
      </c>
      <c t="s">
        <v>3093</v>
      </c>
      <c t="s">
        <v>54995</v>
      </c>
    </row>
    <row>
      <c t="s">
        <v>17594</v>
      </c>
      <c t="s">
        <v>56531</v>
      </c>
      <c t="s">
        <v>54425</v>
      </c>
      <c t="s">
        <v>47152</v>
      </c>
      <c t="s">
        <v>64873</v>
      </c>
      <c s="3">
        <v>16597</v>
      </c>
      <c s="3">
        <v>16597</v>
      </c>
      <c s="3">
        <v>9339</v>
      </c>
      <c>
        <v>0</v>
      </c>
      <c s="3">
        <v>0</v>
      </c>
      <c s="3">
        <v>586.77</v>
      </c>
      <c s="3">
        <v>16597</v>
      </c>
      <c r="O4319" s="1" t="str">
        <f ca="1">HYPERLINK("https://web.datatree.com/?/property?propertyId=33668706", "https://web.datatree.com/?/property?propertyId=33668706")</f>
        <v>https://web.datatree.com/?/property?propertyId=33668706</v>
      </c>
      <c r="Q4319" t="s">
        <v>316</v>
      </c>
      <c>
        <v>0.23</v>
      </c>
      <c t="s">
        <v>65422</v>
      </c>
      <c t="s">
        <v>49241</v>
      </c>
      <c t="s">
        <v>6806</v>
      </c>
      <c r="X4319" t="s">
        <v>55450</v>
      </c>
      <c t="s">
        <v>30928</v>
      </c>
      <c t="s">
        <v>2517</v>
      </c>
      <c t="s">
        <v>39289</v>
      </c>
      <c>
        <v>33909</v>
      </c>
      <c t="s">
        <v>45135</v>
      </c>
      <c t="s">
        <v>48794</v>
      </c>
      <c t="s">
        <v>5676</v>
      </c>
      <c>
        <v>1150</v>
      </c>
      <c r="AI4319" t="s">
        <v>12715</v>
      </c>
      <c t="s">
        <v>24900</v>
      </c>
      <c r="AL4319" t="s">
        <v>19837</v>
      </c>
      <c r="AN4319" t="s">
        <v>10909</v>
      </c>
      <c t="s">
        <v>20681</v>
      </c>
      <c r="AQ4319" t="s">
        <v>27814</v>
      </c>
      <c t="s">
        <v>19583</v>
      </c>
    </row>
    <row>
      <c t="s">
        <v>42103</v>
      </c>
      <c t="s">
        <v>54107</v>
      </c>
      <c t="s">
        <v>15899</v>
      </c>
      <c t="s">
        <v>32406</v>
      </c>
      <c t="s">
        <v>16270</v>
      </c>
      <c s="3">
        <v>22620</v>
      </c>
      <c s="3">
        <v>22620</v>
      </c>
      <c s="3">
        <v>10725</v>
      </c>
      <c>
        <v>0</v>
      </c>
      <c s="3">
        <v>0</v>
      </c>
      <c s="3">
        <v>226.68</v>
      </c>
      <c s="3">
        <v>22620</v>
      </c>
      <c r="O4320" s="1" t="str">
        <f ca="1">HYPERLINK("https://web.datatree.com/?/property?propertyId=33669098", "https://web.datatree.com/?/property?propertyId=33669098")</f>
        <v>https://web.datatree.com/?/property?propertyId=33669098</v>
      </c>
      <c r="Q4320" t="s">
        <v>316</v>
      </c>
      <c>
        <v>0.39</v>
      </c>
      <c t="s">
        <v>30497</v>
      </c>
      <c t="s">
        <v>3293</v>
      </c>
      <c t="s">
        <v>29748</v>
      </c>
      <c t="s">
        <v>10600</v>
      </c>
      <c t="s">
        <v>29748</v>
      </c>
      <c t="s">
        <v>20010</v>
      </c>
      <c t="s">
        <v>18019</v>
      </c>
      <c t="s">
        <v>65059</v>
      </c>
      <c t="s">
        <v>39289</v>
      </c>
      <c>
        <v>33905</v>
      </c>
      <c t="s">
        <v>53980</v>
      </c>
      <c t="s">
        <v>48794</v>
      </c>
      <c t="s">
        <v>38681</v>
      </c>
      <c r="AI4320" t="s">
        <v>1885</v>
      </c>
      <c r="AL4320" t="s">
        <v>50326</v>
      </c>
      <c r="AN4320" t="s">
        <v>39289</v>
      </c>
      <c>
        <v>32664</v>
      </c>
      <c t="s">
        <v>31451</v>
      </c>
      <c t="s">
        <v>3093</v>
      </c>
      <c t="s">
        <v>11472</v>
      </c>
    </row>
    <row>
      <c t="s">
        <v>17594</v>
      </c>
      <c t="s">
        <v>23566</v>
      </c>
      <c t="s">
        <v>31892</v>
      </c>
      <c t="s">
        <v>2146</v>
      </c>
      <c t="s">
        <v>50947</v>
      </c>
      <c s="3">
        <v>9000</v>
      </c>
      <c s="3">
        <v>9000</v>
      </c>
      <c s="3">
        <v>9000</v>
      </c>
      <c>
        <v>0</v>
      </c>
      <c s="3">
        <v>0</v>
      </c>
      <c s="3">
        <v>709.78</v>
      </c>
      <c s="3">
        <v>9000</v>
      </c>
      <c r="O4321" s="1" t="str">
        <f ca="1">HYPERLINK("https://web.datatree.com/?/property?propertyId=33669336", "https://web.datatree.com/?/property?propertyId=33669336")</f>
        <v>https://web.datatree.com/?/property?propertyId=33669336</v>
      </c>
      <c r="Q4321" t="s">
        <v>316</v>
      </c>
      <c>
        <v>0.344</v>
      </c>
      <c t="s">
        <v>54449</v>
      </c>
      <c t="s">
        <v>47754</v>
      </c>
      <c t="s">
        <v>4190</v>
      </c>
      <c t="s">
        <v>44150</v>
      </c>
      <c t="s">
        <v>4190</v>
      </c>
      <c t="s">
        <v>33467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8277</v>
      </c>
      <c>
        <v>671</v>
      </c>
      <c r="AI4321" t="s">
        <v>54210</v>
      </c>
      <c t="s">
        <v>45393</v>
      </c>
      <c r="AL4321" t="s">
        <v>66317</v>
      </c>
      <c r="AN4321" t="s">
        <v>50917</v>
      </c>
      <c t="s">
        <v>51469</v>
      </c>
      <c t="s">
        <v>12241</v>
      </c>
      <c t="s">
        <v>3093</v>
      </c>
      <c t="s">
        <v>7825</v>
      </c>
    </row>
    <row>
      <c t="s">
        <v>17594</v>
      </c>
      <c t="s">
        <v>50058</v>
      </c>
      <c t="s">
        <v>43896</v>
      </c>
      <c t="s">
        <v>28232</v>
      </c>
      <c t="s">
        <v>55452</v>
      </c>
      <c s="3">
        <v>92552</v>
      </c>
      <c s="3">
        <v>90733</v>
      </c>
      <c s="3">
        <v>88392</v>
      </c>
      <c>
        <v>0</v>
      </c>
      <c s="3">
        <v>0</v>
      </c>
      <c s="3">
        <v>1351.39</v>
      </c>
      <c s="3">
        <v>92552</v>
      </c>
      <c r="O4322" s="1" t="str">
        <f ca="1">HYPERLINK("https://web.datatree.com/?/property?propertyId=33669488", "https://web.datatree.com/?/property?propertyId=33669488")</f>
        <v>https://web.datatree.com/?/property?propertyId=33669488</v>
      </c>
      <c r="Q4322" t="s">
        <v>316</v>
      </c>
      <c>
        <v>0.106</v>
      </c>
      <c t="s">
        <v>26492</v>
      </c>
      <c t="s">
        <v>66073</v>
      </c>
      <c t="s">
        <v>47985</v>
      </c>
      <c t="s">
        <v>61494</v>
      </c>
      <c t="s">
        <v>42100</v>
      </c>
      <c t="s">
        <v>13509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31010</v>
      </c>
      <c>
        <v>404</v>
      </c>
      <c r="AI4322" t="s">
        <v>4148</v>
      </c>
      <c t="s">
        <v>29535</v>
      </c>
      <c r="AL4322" t="s">
        <v>59764</v>
      </c>
      <c t="s">
        <v>40227</v>
      </c>
      <c t="s">
        <v>58811</v>
      </c>
      <c t="s">
        <v>49420</v>
      </c>
      <c r="AQ4322" t="s">
        <v>27814</v>
      </c>
      <c t="s">
        <v>24617</v>
      </c>
    </row>
    <row>
      <c t="s">
        <v>17594</v>
      </c>
      <c t="s">
        <v>23248</v>
      </c>
      <c t="s">
        <v>3300</v>
      </c>
      <c t="s">
        <v>2304</v>
      </c>
      <c t="s">
        <v>47847</v>
      </c>
      <c s="3">
        <v>25012</v>
      </c>
      <c s="3">
        <v>25012</v>
      </c>
      <c s="3">
        <v>9240</v>
      </c>
      <c>
        <v>0</v>
      </c>
      <c s="3">
        <v>0</v>
      </c>
      <c s="3">
        <v>638.03</v>
      </c>
      <c s="3">
        <v>25012</v>
      </c>
      <c r="O4323" s="1" t="str">
        <f ca="1">HYPERLINK("https://web.datatree.com/?/property?propertyId=33670067", "https://web.datatree.com/?/property?propertyId=33670067")</f>
        <v>https://web.datatree.com/?/property?propertyId=33670067</v>
      </c>
      <c r="Q4323" t="s">
        <v>316</v>
      </c>
      <c>
        <v>0.281</v>
      </c>
      <c t="s">
        <v>22490</v>
      </c>
      <c t="s">
        <v>49822</v>
      </c>
      <c t="s">
        <v>51787</v>
      </c>
      <c r="X4323" t="s">
        <v>15323</v>
      </c>
      <c t="s">
        <v>38550</v>
      </c>
      <c t="s">
        <v>2517</v>
      </c>
      <c t="s">
        <v>39289</v>
      </c>
      <c>
        <v>33909</v>
      </c>
      <c t="s">
        <v>54420</v>
      </c>
      <c t="s">
        <v>48794</v>
      </c>
      <c t="s">
        <v>36987</v>
      </c>
      <c>
        <v>18219</v>
      </c>
      <c r="AI4323" t="s">
        <v>50888</v>
      </c>
      <c t="s">
        <v>45620</v>
      </c>
      <c r="AL4323" t="s">
        <v>13020</v>
      </c>
      <c r="AN4323" t="s">
        <v>50917</v>
      </c>
      <c t="s">
        <v>26235</v>
      </c>
      <c t="s">
        <v>14845</v>
      </c>
      <c t="s">
        <v>3093</v>
      </c>
      <c t="s">
        <v>6340</v>
      </c>
    </row>
    <row>
      <c t="s">
        <v>17594</v>
      </c>
      <c t="s">
        <v>58658</v>
      </c>
      <c t="s">
        <v>52353</v>
      </c>
      <c t="s">
        <v>26495</v>
      </c>
      <c t="s">
        <v>52941</v>
      </c>
      <c s="3">
        <v>18357</v>
      </c>
      <c s="3">
        <v>18357</v>
      </c>
      <c s="3">
        <v>18357</v>
      </c>
      <c>
        <v>0</v>
      </c>
      <c s="3">
        <v>0</v>
      </c>
      <c s="3">
        <v>716.77</v>
      </c>
      <c s="3">
        <v>18357</v>
      </c>
      <c r="O4324" s="1" t="str">
        <f ca="1">HYPERLINK("https://web.datatree.com/?/property?propertyId=33670464", "https://web.datatree.com/?/property?propertyId=33670464")</f>
        <v>https://web.datatree.com/?/property?propertyId=33670464</v>
      </c>
      <c r="Q4324" t="s">
        <v>316</v>
      </c>
      <c>
        <v>0.254</v>
      </c>
      <c t="s">
        <v>6175</v>
      </c>
      <c t="s">
        <v>33168</v>
      </c>
      <c t="s">
        <v>13919</v>
      </c>
      <c r="X4324" t="s">
        <v>46179</v>
      </c>
      <c t="s">
        <v>18679</v>
      </c>
      <c t="s">
        <v>2517</v>
      </c>
      <c t="s">
        <v>39289</v>
      </c>
      <c>
        <v>33909</v>
      </c>
      <c t="s">
        <v>61742</v>
      </c>
      <c t="s">
        <v>48794</v>
      </c>
      <c t="s">
        <v>35946</v>
      </c>
      <c>
        <v>8780</v>
      </c>
      <c r="AI4324" t="s">
        <v>29292</v>
      </c>
      <c t="s">
        <v>45620</v>
      </c>
      <c r="AL4324" t="s">
        <v>37864</v>
      </c>
      <c t="s">
        <v>40501</v>
      </c>
      <c t="s">
        <v>47028</v>
      </c>
      <c t="s">
        <v>17374</v>
      </c>
      <c t="s">
        <v>26397</v>
      </c>
      <c t="s">
        <v>3093</v>
      </c>
      <c t="s">
        <v>19489</v>
      </c>
    </row>
    <row>
      <c t="s">
        <v>17594</v>
      </c>
      <c t="s">
        <v>16355</v>
      </c>
      <c t="s">
        <v>53794</v>
      </c>
      <c t="s">
        <v>53691</v>
      </c>
      <c t="s">
        <v>61848</v>
      </c>
      <c s="3">
        <v>26290</v>
      </c>
      <c s="3">
        <v>26290</v>
      </c>
      <c s="3">
        <v>26290</v>
      </c>
      <c>
        <v>0</v>
      </c>
      <c s="3">
        <v>0</v>
      </c>
      <c s="3">
        <v>793.79</v>
      </c>
      <c s="3">
        <v>26290</v>
      </c>
      <c r="O4325" s="1" t="str">
        <f ca="1">HYPERLINK("https://web.datatree.com/?/property?propertyId=33670563", "https://web.datatree.com/?/property?propertyId=33670563")</f>
        <v>https://web.datatree.com/?/property?propertyId=33670563</v>
      </c>
      <c r="Q4325" t="s">
        <v>316</v>
      </c>
      <c>
        <v>0.244</v>
      </c>
      <c t="s">
        <v>22490</v>
      </c>
      <c t="s">
        <v>22629</v>
      </c>
      <c t="s">
        <v>27547</v>
      </c>
      <c t="s">
        <v>19947</v>
      </c>
      <c t="s">
        <v>27547</v>
      </c>
      <c t="s">
        <v>42631</v>
      </c>
      <c t="s">
        <v>66701</v>
      </c>
      <c t="s">
        <v>2517</v>
      </c>
      <c t="s">
        <v>39289</v>
      </c>
      <c>
        <v>33909</v>
      </c>
      <c t="s">
        <v>24626</v>
      </c>
      <c t="s">
        <v>48794</v>
      </c>
      <c t="s">
        <v>10785</v>
      </c>
      <c>
        <v>715</v>
      </c>
      <c r="AI4325" t="s">
        <v>14917</v>
      </c>
      <c t="s">
        <v>24900</v>
      </c>
      <c r="AL4325" t="s">
        <v>9654</v>
      </c>
      <c t="s">
        <v>9654</v>
      </c>
      <c t="s">
        <v>19878</v>
      </c>
      <c t="s">
        <v>910</v>
      </c>
      <c t="s">
        <v>33029</v>
      </c>
      <c t="s">
        <v>3093</v>
      </c>
      <c t="s">
        <v>37322</v>
      </c>
    </row>
    <row>
      <c t="s">
        <v>17594</v>
      </c>
      <c t="s">
        <v>37034</v>
      </c>
      <c t="s">
        <v>15658</v>
      </c>
      <c t="s">
        <v>52730</v>
      </c>
      <c t="s">
        <v>66579</v>
      </c>
      <c s="3">
        <v>23352</v>
      </c>
      <c s="3">
        <v>23352</v>
      </c>
      <c s="3">
        <v>8800</v>
      </c>
      <c>
        <v>0</v>
      </c>
      <c s="3">
        <v>0</v>
      </c>
      <c s="3">
        <v>615.88</v>
      </c>
      <c s="3">
        <v>23352</v>
      </c>
      <c r="O4326" s="1" t="str">
        <f ca="1">HYPERLINK("https://web.datatree.com/?/property?propertyId=33670752", "https://web.datatree.com/?/property?propertyId=33670752")</f>
        <v>https://web.datatree.com/?/property?propertyId=33670752</v>
      </c>
      <c r="Q4326" t="s">
        <v>316</v>
      </c>
      <c>
        <v>0.258</v>
      </c>
      <c t="s">
        <v>22490</v>
      </c>
      <c t="s">
        <v>64030</v>
      </c>
      <c t="s">
        <v>51966</v>
      </c>
      <c t="s">
        <v>13040</v>
      </c>
      <c t="s">
        <v>51966</v>
      </c>
      <c t="s">
        <v>4025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42469</v>
      </c>
      <c>
        <v>174</v>
      </c>
      <c r="AI4326" t="s">
        <v>30928</v>
      </c>
      <c t="s">
        <v>45393</v>
      </c>
      <c r="AL4326" t="s">
        <v>42410</v>
      </c>
      <c r="AN4326" t="s">
        <v>26016</v>
      </c>
      <c t="s">
        <v>1401</v>
      </c>
      <c t="s">
        <v>17380</v>
      </c>
      <c t="s">
        <v>3093</v>
      </c>
      <c t="s">
        <v>47621</v>
      </c>
    </row>
    <row>
      <c t="s">
        <v>17594</v>
      </c>
      <c t="s">
        <v>60613</v>
      </c>
      <c t="s">
        <v>40051</v>
      </c>
      <c t="s">
        <v>18578</v>
      </c>
      <c t="s">
        <v>15556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>
        <v>2021</v>
      </c>
      <c>
        <v>542.5</v>
      </c>
      <c s="1" t="str">
        <f ca="1">HYPERLINK("https://web.datatree.com/?/property?propertyId=33670764", "https://web.datatree.com/?/property?propertyId=33670764")</f>
        <v>https://web.datatree.com/?/property?propertyId=33670764</v>
      </c>
      <c r="Q4327" t="s">
        <v>316</v>
      </c>
      <c>
        <v>0.23</v>
      </c>
      <c t="s">
        <v>6175</v>
      </c>
      <c t="s">
        <v>1859</v>
      </c>
      <c t="s">
        <v>20145</v>
      </c>
      <c t="s">
        <v>17455</v>
      </c>
      <c t="s">
        <v>20145</v>
      </c>
      <c t="s">
        <v>58746</v>
      </c>
      <c t="s">
        <v>53663</v>
      </c>
      <c t="s">
        <v>2517</v>
      </c>
      <c t="s">
        <v>39289</v>
      </c>
      <c>
        <v>33909</v>
      </c>
      <c t="s">
        <v>29005</v>
      </c>
      <c t="s">
        <v>48794</v>
      </c>
      <c t="s">
        <v>55593</v>
      </c>
      <c>
        <v>60</v>
      </c>
      <c r="AI4327" t="s">
        <v>6939</v>
      </c>
      <c t="s">
        <v>45620</v>
      </c>
      <c r="AL4327" t="s">
        <v>48233</v>
      </c>
      <c t="s">
        <v>48233</v>
      </c>
      <c t="s">
        <v>50917</v>
      </c>
      <c>
        <v>11705</v>
      </c>
      <c r="AQ4327" t="s">
        <v>3093</v>
      </c>
      <c t="s">
        <v>54752</v>
      </c>
    </row>
    <row>
      <c t="s">
        <v>17594</v>
      </c>
      <c t="s">
        <v>43571</v>
      </c>
      <c t="s">
        <v>17615</v>
      </c>
      <c t="s">
        <v>6513</v>
      </c>
      <c t="s">
        <v>37270</v>
      </c>
      <c s="3">
        <v>12544</v>
      </c>
      <c s="3">
        <v>12544</v>
      </c>
      <c s="3">
        <v>12544</v>
      </c>
      <c>
        <v>0</v>
      </c>
      <c s="3">
        <v>0</v>
      </c>
      <c s="3">
        <v>365.2</v>
      </c>
      <c s="3">
        <v>12544</v>
      </c>
      <c r="O4328" s="1" t="str">
        <f ca="1">HYPERLINK("https://web.datatree.com/?/property?propertyId=33670807", "https://web.datatree.com/?/property?propertyId=33670807")</f>
        <v>https://web.datatree.com/?/property?propertyId=33670807</v>
      </c>
      <c r="Q4328" t="s">
        <v>316</v>
      </c>
      <c>
        <v>0.239</v>
      </c>
      <c t="s">
        <v>5471</v>
      </c>
      <c t="s">
        <v>57302</v>
      </c>
      <c t="s">
        <v>52418</v>
      </c>
      <c t="s">
        <v>54943</v>
      </c>
      <c t="s">
        <v>16114</v>
      </c>
      <c t="s">
        <v>45129</v>
      </c>
      <c t="s">
        <v>52508</v>
      </c>
      <c t="s">
        <v>65059</v>
      </c>
      <c t="s">
        <v>39289</v>
      </c>
      <c>
        <v>33905</v>
      </c>
      <c t="s">
        <v>50827</v>
      </c>
      <c t="s">
        <v>48794</v>
      </c>
      <c t="s">
        <v>8829</v>
      </c>
      <c>
        <v>3911</v>
      </c>
      <c r="AI4328" t="s">
        <v>11270</v>
      </c>
      <c t="s">
        <v>31192</v>
      </c>
      <c r="AL4328" t="s">
        <v>51404</v>
      </c>
      <c t="s">
        <v>51404</v>
      </c>
      <c t="s">
        <v>48152</v>
      </c>
      <c t="s">
        <v>63194</v>
      </c>
      <c t="s">
        <v>62562</v>
      </c>
      <c t="s">
        <v>3093</v>
      </c>
      <c t="s">
        <v>15954</v>
      </c>
    </row>
    <row>
      <c t="s">
        <v>17594</v>
      </c>
      <c t="s">
        <v>4310</v>
      </c>
      <c t="s">
        <v>46971</v>
      </c>
      <c t="s">
        <v>12646</v>
      </c>
      <c t="s">
        <v>21890</v>
      </c>
      <c s="3">
        <v>39132</v>
      </c>
      <c s="3">
        <v>39132</v>
      </c>
      <c s="3">
        <v>19800</v>
      </c>
      <c>
        <v>0</v>
      </c>
      <c s="3">
        <v>0</v>
      </c>
      <c s="3">
        <v>800.65</v>
      </c>
      <c s="3">
        <v>39132</v>
      </c>
      <c r="O4329" s="1" t="str">
        <f ca="1">HYPERLINK("https://web.datatree.com/?/property?propertyId=33671012", "https://web.datatree.com/?/property?propertyId=33671012")</f>
        <v>https://web.datatree.com/?/property?propertyId=33671012</v>
      </c>
      <c r="Q4329" t="s">
        <v>316</v>
      </c>
      <c>
        <v>0.244</v>
      </c>
      <c t="s">
        <v>22490</v>
      </c>
      <c t="s">
        <v>60243</v>
      </c>
      <c t="s">
        <v>6850</v>
      </c>
      <c r="X4329" t="s">
        <v>43067</v>
      </c>
      <c t="s">
        <v>7113</v>
      </c>
      <c t="s">
        <v>2517</v>
      </c>
      <c t="s">
        <v>39289</v>
      </c>
      <c>
        <v>33909</v>
      </c>
      <c t="s">
        <v>45153</v>
      </c>
      <c t="s">
        <v>48794</v>
      </c>
      <c t="s">
        <v>47063</v>
      </c>
      <c>
        <v>10078</v>
      </c>
      <c r="AI4329" t="s">
        <v>36807</v>
      </c>
      <c r="AL4329" t="s">
        <v>21895</v>
      </c>
      <c t="s">
        <v>21895</v>
      </c>
      <c t="s">
        <v>43132</v>
      </c>
      <c t="s">
        <v>21787</v>
      </c>
      <c t="s">
        <v>6042</v>
      </c>
      <c t="s">
        <v>3093</v>
      </c>
      <c t="s">
        <v>33080</v>
      </c>
    </row>
    <row>
      <c t="s">
        <v>17594</v>
      </c>
      <c t="s">
        <v>30315</v>
      </c>
      <c t="s">
        <v>5725</v>
      </c>
      <c t="s">
        <v>15052</v>
      </c>
      <c t="s">
        <v>43485</v>
      </c>
      <c s="3">
        <v>114807</v>
      </c>
      <c s="3">
        <v>103750</v>
      </c>
      <c s="3">
        <v>114807</v>
      </c>
      <c>
        <v>0</v>
      </c>
      <c s="3">
        <v>0</v>
      </c>
      <c s="3">
        <v>1723.75</v>
      </c>
      <c s="3">
        <v>114807</v>
      </c>
      <c r="O4330" s="1" t="str">
        <f ca="1">HYPERLINK("https://web.datatree.com/?/property?propertyId=33671224", "https://web.datatree.com/?/property?propertyId=33671224")</f>
        <v>https://web.datatree.com/?/property?propertyId=33671224</v>
      </c>
      <c r="Q4330" t="s">
        <v>316</v>
      </c>
      <c>
        <v>0.12</v>
      </c>
      <c t="s">
        <v>26492</v>
      </c>
      <c t="s">
        <v>16200</v>
      </c>
      <c t="s">
        <v>56174</v>
      </c>
      <c t="s">
        <v>56743</v>
      </c>
      <c t="s">
        <v>56174</v>
      </c>
      <c t="s">
        <v>13568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16955</v>
      </c>
      <c>
        <v>114</v>
      </c>
      <c r="AI4330" t="s">
        <v>48326</v>
      </c>
      <c t="s">
        <v>45393</v>
      </c>
      <c r="AL4330" t="s">
        <v>52834</v>
      </c>
      <c t="s">
        <v>52834</v>
      </c>
      <c t="s">
        <v>3034</v>
      </c>
      <c t="s">
        <v>51441</v>
      </c>
      <c t="s">
        <v>34162</v>
      </c>
      <c t="s">
        <v>3093</v>
      </c>
      <c t="s">
        <v>53805</v>
      </c>
    </row>
    <row>
      <c t="s">
        <v>17594</v>
      </c>
      <c t="s">
        <v>50082</v>
      </c>
      <c t="s">
        <v>31924</v>
      </c>
      <c t="s">
        <v>47209</v>
      </c>
      <c t="s">
        <v>64812</v>
      </c>
      <c s="3">
        <v>236699</v>
      </c>
      <c s="3">
        <v>236699</v>
      </c>
      <c s="3">
        <v>207323</v>
      </c>
      <c>
        <v>0</v>
      </c>
      <c s="3">
        <v>0</v>
      </c>
      <c s="3">
        <v>3765.69</v>
      </c>
      <c s="3">
        <v>236699</v>
      </c>
      <c>
        <v>2021</v>
      </c>
      <c>
        <v>3161.06</v>
      </c>
      <c s="1" t="str">
        <f ca="1">HYPERLINK("https://web.datatree.com/?/property?propertyId=33672733", "https://web.datatree.com/?/property?propertyId=33672733")</f>
        <v>https://web.datatree.com/?/property?propertyId=33672733</v>
      </c>
      <c r="Q4331" t="s">
        <v>316</v>
      </c>
      <c>
        <v>0.23</v>
      </c>
      <c t="s">
        <v>22490</v>
      </c>
      <c t="s">
        <v>54692</v>
      </c>
      <c t="s">
        <v>15107</v>
      </c>
      <c t="s">
        <v>2006</v>
      </c>
      <c t="s">
        <v>15107</v>
      </c>
      <c t="s">
        <v>5495</v>
      </c>
      <c t="s">
        <v>53663</v>
      </c>
      <c t="s">
        <v>2517</v>
      </c>
      <c t="s">
        <v>39289</v>
      </c>
      <c>
        <v>33904</v>
      </c>
      <c t="s">
        <v>12398</v>
      </c>
      <c t="s">
        <v>48794</v>
      </c>
      <c t="s">
        <v>25397</v>
      </c>
      <c>
        <v>1421</v>
      </c>
      <c r="AH4331" t="s">
        <v>52165</v>
      </c>
      <c t="s">
        <v>16349</v>
      </c>
      <c t="s">
        <v>24900</v>
      </c>
      <c r="AL4331" t="s">
        <v>29275</v>
      </c>
      <c t="s">
        <v>29275</v>
      </c>
      <c t="s">
        <v>34191</v>
      </c>
      <c t="s">
        <v>51312</v>
      </c>
      <c t="s">
        <v>14845</v>
      </c>
      <c t="s">
        <v>3093</v>
      </c>
      <c t="s">
        <v>65131</v>
      </c>
    </row>
    <row>
      <c t="s">
        <v>17594</v>
      </c>
      <c t="s">
        <v>15119</v>
      </c>
      <c t="s">
        <v>3879</v>
      </c>
      <c t="s">
        <v>4059</v>
      </c>
      <c t="s">
        <v>30582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>
        <v>2021</v>
      </c>
      <c>
        <v>520</v>
      </c>
      <c s="1" t="str">
        <f ca="1">HYPERLINK("https://web.datatree.com/?/property?propertyId=33673397", "https://web.datatree.com/?/property?propertyId=33673397")</f>
        <v>https://web.datatree.com/?/property?propertyId=33673397</v>
      </c>
      <c r="Q4332" t="s">
        <v>316</v>
      </c>
      <c>
        <v>0.23</v>
      </c>
      <c t="s">
        <v>22490</v>
      </c>
      <c t="s">
        <v>30976</v>
      </c>
      <c t="s">
        <v>19420</v>
      </c>
      <c t="s">
        <v>1370</v>
      </c>
      <c t="s">
        <v>19420</v>
      </c>
      <c t="s">
        <v>11657</v>
      </c>
      <c t="s">
        <v>23517</v>
      </c>
      <c t="s">
        <v>2517</v>
      </c>
      <c t="s">
        <v>39289</v>
      </c>
      <c>
        <v>33909</v>
      </c>
      <c t="s">
        <v>65568</v>
      </c>
      <c t="s">
        <v>48794</v>
      </c>
      <c t="s">
        <v>20806</v>
      </c>
      <c>
        <v>80</v>
      </c>
      <c r="AI4332" t="s">
        <v>55130</v>
      </c>
      <c t="s">
        <v>45393</v>
      </c>
      <c r="AL4332" t="s">
        <v>51363</v>
      </c>
      <c r="AN4332" t="s">
        <v>26016</v>
      </c>
      <c t="s">
        <v>28796</v>
      </c>
      <c t="s">
        <v>23888</v>
      </c>
      <c t="s">
        <v>3093</v>
      </c>
      <c t="s">
        <v>1839</v>
      </c>
    </row>
    <row>
      <c t="s">
        <v>17594</v>
      </c>
      <c t="s">
        <v>32322</v>
      </c>
      <c t="s">
        <v>32399</v>
      </c>
      <c t="s">
        <v>39180</v>
      </c>
      <c t="s">
        <v>57741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333" s="1" t="str">
        <f ca="1">HYPERLINK("https://web.datatree.com/?/property?propertyId=33673925", "https://web.datatree.com/?/property?propertyId=33673925")</f>
        <v>https://web.datatree.com/?/property?propertyId=33673925</v>
      </c>
      <c r="Q4333" t="s">
        <v>316</v>
      </c>
      <c>
        <v>0.241</v>
      </c>
      <c t="s">
        <v>6175</v>
      </c>
      <c t="s">
        <v>38202</v>
      </c>
      <c t="s">
        <v>47720</v>
      </c>
      <c t="s">
        <v>56577</v>
      </c>
      <c t="s">
        <v>47720</v>
      </c>
      <c t="s">
        <v>63586</v>
      </c>
      <c t="s">
        <v>49122</v>
      </c>
      <c t="s">
        <v>2517</v>
      </c>
      <c t="s">
        <v>39289</v>
      </c>
      <c>
        <v>33909</v>
      </c>
      <c t="s">
        <v>8498</v>
      </c>
      <c t="s">
        <v>48794</v>
      </c>
      <c t="s">
        <v>11907</v>
      </c>
      <c>
        <v>62791</v>
      </c>
      <c r="AI4333" t="s">
        <v>24216</v>
      </c>
      <c r="AL4333" t="s">
        <v>614</v>
      </c>
      <c r="AN4333" t="s">
        <v>49572</v>
      </c>
      <c t="s">
        <v>26750</v>
      </c>
      <c t="s">
        <v>13315</v>
      </c>
      <c t="s">
        <v>3093</v>
      </c>
      <c t="s">
        <v>33233</v>
      </c>
    </row>
    <row>
      <c t="s">
        <v>17594</v>
      </c>
      <c t="s">
        <v>19214</v>
      </c>
      <c t="s">
        <v>36199</v>
      </c>
      <c t="s">
        <v>45601</v>
      </c>
      <c t="s">
        <v>17951</v>
      </c>
      <c s="3">
        <v>12544</v>
      </c>
      <c s="3">
        <v>12544</v>
      </c>
      <c s="3">
        <v>6243</v>
      </c>
      <c>
        <v>0</v>
      </c>
      <c s="3">
        <v>0</v>
      </c>
      <c s="3">
        <v>327.41</v>
      </c>
      <c s="3">
        <v>12544</v>
      </c>
      <c r="O4334" s="1" t="str">
        <f ca="1">HYPERLINK("https://web.datatree.com/?/property?propertyId=33673970", "https://web.datatree.com/?/property?propertyId=33673970")</f>
        <v>https://web.datatree.com/?/property?propertyId=33673970</v>
      </c>
      <c r="Q4334" t="s">
        <v>316</v>
      </c>
      <c>
        <v>0.258</v>
      </c>
      <c t="s">
        <v>5471</v>
      </c>
      <c t="s">
        <v>1800</v>
      </c>
      <c t="s">
        <v>18891</v>
      </c>
      <c r="X4334" t="s">
        <v>13724</v>
      </c>
      <c t="s">
        <v>45989</v>
      </c>
      <c t="s">
        <v>65059</v>
      </c>
      <c t="s">
        <v>39289</v>
      </c>
      <c>
        <v>33905</v>
      </c>
      <c t="s">
        <v>42126</v>
      </c>
      <c t="s">
        <v>48794</v>
      </c>
      <c t="s">
        <v>37335</v>
      </c>
      <c>
        <v>801</v>
      </c>
      <c r="AI4334" t="s">
        <v>1876</v>
      </c>
      <c t="s">
        <v>45620</v>
      </c>
      <c r="AL4334" t="s">
        <v>22249</v>
      </c>
      <c t="s">
        <v>22249</v>
      </c>
      <c t="s">
        <v>26016</v>
      </c>
      <c t="s">
        <v>41326</v>
      </c>
      <c t="s">
        <v>49977</v>
      </c>
      <c t="s">
        <v>3093</v>
      </c>
      <c t="s">
        <v>29808</v>
      </c>
    </row>
    <row>
      <c t="s">
        <v>17594</v>
      </c>
      <c t="s">
        <v>34338</v>
      </c>
      <c t="s">
        <v>63766</v>
      </c>
      <c t="s">
        <v>59134</v>
      </c>
      <c t="s">
        <v>25890</v>
      </c>
      <c s="3">
        <v>88300</v>
      </c>
      <c s="3">
        <v>88300</v>
      </c>
      <c s="3">
        <v>88300</v>
      </c>
      <c>
        <v>0</v>
      </c>
      <c s="3">
        <v>0</v>
      </c>
      <c s="3">
        <v>1205.45</v>
      </c>
      <c s="3">
        <v>88300</v>
      </c>
      <c r="O4335" s="1" t="str">
        <f ca="1">HYPERLINK("https://web.datatree.com/?/property?propertyId=33674707", "https://web.datatree.com/?/property?propertyId=33674707")</f>
        <v>https://web.datatree.com/?/property?propertyId=33674707</v>
      </c>
      <c r="Q4335" t="s">
        <v>316</v>
      </c>
      <c>
        <v>0.293</v>
      </c>
      <c t="s">
        <v>5471</v>
      </c>
      <c t="s">
        <v>42090</v>
      </c>
      <c t="s">
        <v>39115</v>
      </c>
      <c t="s">
        <v>15051</v>
      </c>
      <c t="s">
        <v>39115</v>
      </c>
      <c t="s">
        <v>56057</v>
      </c>
      <c t="s">
        <v>64777</v>
      </c>
      <c t="s">
        <v>65059</v>
      </c>
      <c t="s">
        <v>39289</v>
      </c>
      <c>
        <v>33905</v>
      </c>
      <c t="s">
        <v>34411</v>
      </c>
      <c t="s">
        <v>48794</v>
      </c>
      <c t="s">
        <v>38068</v>
      </c>
      <c>
        <v>3842</v>
      </c>
      <c r="AI4335" t="s">
        <v>29627</v>
      </c>
      <c t="s">
        <v>24900</v>
      </c>
      <c r="AL4335" t="s">
        <v>11428</v>
      </c>
      <c t="s">
        <v>11428</v>
      </c>
      <c t="s">
        <v>65451</v>
      </c>
      <c t="s">
        <v>19165</v>
      </c>
      <c t="s">
        <v>52393</v>
      </c>
      <c t="s">
        <v>3093</v>
      </c>
      <c t="s">
        <v>10145</v>
      </c>
    </row>
    <row>
      <c t="s">
        <v>17594</v>
      </c>
      <c t="s">
        <v>13366</v>
      </c>
      <c t="s">
        <v>20478</v>
      </c>
      <c t="s">
        <v>25473</v>
      </c>
      <c t="s">
        <v>17778</v>
      </c>
      <c s="3">
        <v>110738</v>
      </c>
      <c s="3">
        <v>100000</v>
      </c>
      <c s="3">
        <v>110738</v>
      </c>
      <c>
        <v>0</v>
      </c>
      <c s="3">
        <v>0</v>
      </c>
      <c s="3">
        <v>1662.82</v>
      </c>
      <c s="3">
        <v>110738</v>
      </c>
      <c r="O4336" s="1" t="str">
        <f ca="1">HYPERLINK("https://web.datatree.com/?/property?propertyId=33675510", "https://web.datatree.com/?/property?propertyId=33675510")</f>
        <v>https://web.datatree.com/?/property?propertyId=33675510</v>
      </c>
      <c r="Q4336" t="s">
        <v>316</v>
      </c>
      <c>
        <v>0.116</v>
      </c>
      <c t="s">
        <v>26492</v>
      </c>
      <c t="s">
        <v>44541</v>
      </c>
      <c t="s">
        <v>61920</v>
      </c>
      <c t="s">
        <v>18654</v>
      </c>
      <c t="s">
        <v>61920</v>
      </c>
      <c t="s">
        <v>26862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54462</v>
      </c>
      <c>
        <v>2</v>
      </c>
      <c r="AI4336" t="s">
        <v>17942</v>
      </c>
      <c t="s">
        <v>40123</v>
      </c>
      <c r="AL4336" t="s">
        <v>14506</v>
      </c>
      <c t="s">
        <v>40227</v>
      </c>
      <c t="s">
        <v>19878</v>
      </c>
      <c t="s">
        <v>16228</v>
      </c>
      <c t="s">
        <v>60160</v>
      </c>
      <c t="s">
        <v>3093</v>
      </c>
      <c t="s">
        <v>1412</v>
      </c>
      <c>
        <v>2005</v>
      </c>
    </row>
    <row>
      <c t="s">
        <v>17594</v>
      </c>
      <c t="s">
        <v>13922</v>
      </c>
      <c t="s">
        <v>33612</v>
      </c>
      <c t="s">
        <v>55035</v>
      </c>
      <c t="s">
        <v>21268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4337" s="1" t="str">
        <f ca="1">HYPERLINK("https://web.datatree.com/?/property?propertyId=33675893", "https://web.datatree.com/?/property?propertyId=33675893")</f>
        <v>https://web.datatree.com/?/property?propertyId=33675893</v>
      </c>
      <c r="Q4337" t="s">
        <v>316</v>
      </c>
      <c>
        <v>0.231</v>
      </c>
      <c t="s">
        <v>5471</v>
      </c>
      <c t="s">
        <v>64119</v>
      </c>
      <c t="s">
        <v>48726</v>
      </c>
      <c t="s">
        <v>29297</v>
      </c>
      <c t="s">
        <v>48726</v>
      </c>
      <c t="s">
        <v>19799</v>
      </c>
      <c t="s">
        <v>64631</v>
      </c>
      <c t="s">
        <v>65059</v>
      </c>
      <c t="s">
        <v>39289</v>
      </c>
      <c>
        <v>33905</v>
      </c>
      <c t="s">
        <v>45663</v>
      </c>
      <c t="s">
        <v>48794</v>
      </c>
      <c t="s">
        <v>4647</v>
      </c>
      <c>
        <v>1735</v>
      </c>
      <c r="AI4337" t="s">
        <v>4494</v>
      </c>
      <c t="s">
        <v>24900</v>
      </c>
      <c r="AL4337" t="s">
        <v>6144</v>
      </c>
      <c r="AN4337" t="s">
        <v>50917</v>
      </c>
      <c t="s">
        <v>19365</v>
      </c>
      <c t="s">
        <v>3364</v>
      </c>
      <c t="s">
        <v>3093</v>
      </c>
      <c t="s">
        <v>25332</v>
      </c>
    </row>
    <row>
      <c t="s">
        <v>17594</v>
      </c>
      <c t="s">
        <v>19289</v>
      </c>
      <c t="s">
        <v>35769</v>
      </c>
      <c t="s">
        <v>13400</v>
      </c>
      <c t="s">
        <v>26017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4338" s="1" t="str">
        <f ca="1">HYPERLINK("https://web.datatree.com/?/property?propertyId=33676475", "https://web.datatree.com/?/property?propertyId=33676475")</f>
        <v>https://web.datatree.com/?/property?propertyId=33676475</v>
      </c>
      <c r="Q4338" t="s">
        <v>316</v>
      </c>
      <c>
        <v>0.23</v>
      </c>
      <c t="s">
        <v>22490</v>
      </c>
      <c t="s">
        <v>49814</v>
      </c>
      <c t="s">
        <v>54779</v>
      </c>
      <c t="s">
        <v>12173</v>
      </c>
      <c t="s">
        <v>54779</v>
      </c>
      <c t="s">
        <v>42642</v>
      </c>
      <c t="s">
        <v>29190</v>
      </c>
      <c t="s">
        <v>2517</v>
      </c>
      <c t="s">
        <v>39289</v>
      </c>
      <c>
        <v>33909</v>
      </c>
      <c t="s">
        <v>64211</v>
      </c>
      <c t="s">
        <v>48794</v>
      </c>
      <c t="s">
        <v>46819</v>
      </c>
      <c t="str">
        <f>"23-25"</f>
        <v>23-25</v>
      </c>
      <c r="AI4338" t="s">
        <v>16285</v>
      </c>
      <c r="AL4338" t="s">
        <v>16558</v>
      </c>
      <c r="AN4338" t="s">
        <v>26016</v>
      </c>
      <c>
        <v>8010</v>
      </c>
      <c r="AR4338" t="s">
        <v>39068</v>
      </c>
    </row>
    <row>
      <c t="s">
        <v>17594</v>
      </c>
      <c t="s">
        <v>42731</v>
      </c>
      <c t="s">
        <v>49503</v>
      </c>
      <c t="s">
        <v>48647</v>
      </c>
      <c t="s">
        <v>10205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4339" s="1" t="str">
        <f ca="1">HYPERLINK("https://web.datatree.com/?/property?propertyId=33676717", "https://web.datatree.com/?/property?propertyId=33676717")</f>
        <v>https://web.datatree.com/?/property?propertyId=33676717</v>
      </c>
      <c r="Q4339" t="s">
        <v>316</v>
      </c>
      <c>
        <v>0.23</v>
      </c>
      <c t="s">
        <v>16350</v>
      </c>
      <c t="s">
        <v>54854</v>
      </c>
      <c t="s">
        <v>40611</v>
      </c>
      <c r="X4339" t="s">
        <v>23676</v>
      </c>
      <c t="s">
        <v>38550</v>
      </c>
      <c t="s">
        <v>2517</v>
      </c>
      <c t="s">
        <v>39289</v>
      </c>
      <c>
        <v>33909</v>
      </c>
      <c t="s">
        <v>59657</v>
      </c>
      <c t="s">
        <v>48794</v>
      </c>
      <c t="s">
        <v>8232</v>
      </c>
      <c>
        <v>33</v>
      </c>
      <c r="AI4339" t="s">
        <v>14704</v>
      </c>
      <c t="s">
        <v>39321</v>
      </c>
      <c r="AL4339" t="s">
        <v>27135</v>
      </c>
      <c r="AN4339" t="s">
        <v>22275</v>
      </c>
      <c t="s">
        <v>38357</v>
      </c>
      <c t="s">
        <v>4797</v>
      </c>
      <c t="s">
        <v>3093</v>
      </c>
      <c t="s">
        <v>7434</v>
      </c>
    </row>
    <row>
      <c t="s">
        <v>42103</v>
      </c>
      <c t="s">
        <v>52763</v>
      </c>
      <c t="s">
        <v>29624</v>
      </c>
      <c t="s">
        <v>35029</v>
      </c>
      <c t="s">
        <v>32817</v>
      </c>
      <c s="3">
        <v>26290</v>
      </c>
      <c s="3">
        <v>26290</v>
      </c>
      <c s="3">
        <v>12650</v>
      </c>
      <c>
        <v>0</v>
      </c>
      <c s="3">
        <v>0</v>
      </c>
      <c s="3">
        <v>2914.32</v>
      </c>
      <c s="3">
        <v>26290</v>
      </c>
      <c r="O4340" s="1" t="str">
        <f ca="1">HYPERLINK("https://web.datatree.com/?/property?propertyId=33677013", "https://web.datatree.com/?/property?propertyId=33677013")</f>
        <v>https://web.datatree.com/?/property?propertyId=33677013</v>
      </c>
      <c r="Q4340" t="s">
        <v>316</v>
      </c>
      <c>
        <v>0.23</v>
      </c>
      <c t="s">
        <v>22490</v>
      </c>
      <c t="s">
        <v>44541</v>
      </c>
      <c t="s">
        <v>6890</v>
      </c>
      <c r="X4340" t="s">
        <v>52166</v>
      </c>
      <c t="s">
        <v>25017</v>
      </c>
      <c t="s">
        <v>2517</v>
      </c>
      <c t="s">
        <v>39289</v>
      </c>
      <c>
        <v>33909</v>
      </c>
      <c t="s">
        <v>51954</v>
      </c>
      <c t="s">
        <v>48794</v>
      </c>
      <c t="s">
        <v>53496</v>
      </c>
      <c r="AI4340" t="s">
        <v>55497</v>
      </c>
      <c r="AL4340" t="s">
        <v>4180</v>
      </c>
      <c r="AN4340" t="s">
        <v>27222</v>
      </c>
      <c t="s">
        <v>62294</v>
      </c>
      <c t="s">
        <v>44380</v>
      </c>
      <c t="s">
        <v>3093</v>
      </c>
      <c t="s">
        <v>39814</v>
      </c>
    </row>
    <row>
      <c t="s">
        <v>17594</v>
      </c>
      <c t="s">
        <v>30126</v>
      </c>
      <c t="s">
        <v>20529</v>
      </c>
      <c t="s">
        <v>33423</v>
      </c>
      <c t="s">
        <v>17853</v>
      </c>
      <c s="3">
        <v>8600</v>
      </c>
      <c s="3">
        <v>8600</v>
      </c>
      <c s="3">
        <v>8600</v>
      </c>
      <c>
        <v>0</v>
      </c>
      <c s="3">
        <v>0</v>
      </c>
      <c s="3">
        <v>2830.55</v>
      </c>
      <c s="3">
        <v>8600</v>
      </c>
      <c r="O4341" s="1" t="str">
        <f ca="1">HYPERLINK("https://web.datatree.com/?/property?propertyId=33677480", "https://web.datatree.com/?/property?propertyId=33677480")</f>
        <v>https://web.datatree.com/?/property?propertyId=33677480</v>
      </c>
      <c r="Q4341" t="s">
        <v>316</v>
      </c>
      <c>
        <v>0.23</v>
      </c>
      <c t="s">
        <v>6175</v>
      </c>
      <c t="s">
        <v>64030</v>
      </c>
      <c t="s">
        <v>65960</v>
      </c>
      <c r="X4341" t="s">
        <v>3162</v>
      </c>
      <c t="s">
        <v>25017</v>
      </c>
      <c t="s">
        <v>2517</v>
      </c>
      <c t="s">
        <v>39289</v>
      </c>
      <c>
        <v>33909</v>
      </c>
      <c t="s">
        <v>49139</v>
      </c>
      <c t="s">
        <v>48794</v>
      </c>
      <c t="s">
        <v>5570</v>
      </c>
      <c>
        <v>3646</v>
      </c>
      <c r="AI4341" t="s">
        <v>43162</v>
      </c>
      <c t="s">
        <v>24900</v>
      </c>
      <c r="AL4341" t="s">
        <v>23972</v>
      </c>
      <c t="s">
        <v>23972</v>
      </c>
      <c t="s">
        <v>19878</v>
      </c>
      <c t="s">
        <v>60817</v>
      </c>
      <c t="s">
        <v>3228</v>
      </c>
      <c t="s">
        <v>3093</v>
      </c>
      <c t="s">
        <v>51575</v>
      </c>
    </row>
    <row>
      <c t="s">
        <v>17594</v>
      </c>
      <c t="s">
        <v>53544</v>
      </c>
      <c t="s">
        <v>28002</v>
      </c>
      <c t="s">
        <v>64911</v>
      </c>
      <c t="s">
        <v>29915</v>
      </c>
      <c s="3">
        <v>57750</v>
      </c>
      <c s="3">
        <v>57750</v>
      </c>
      <c s="3">
        <v>9339</v>
      </c>
      <c>
        <v>0</v>
      </c>
      <c s="3">
        <v>0</v>
      </c>
      <c s="3">
        <v>790.98</v>
      </c>
      <c s="3">
        <v>57750</v>
      </c>
      <c r="O4342" s="1" t="str">
        <f ca="1">HYPERLINK("https://web.datatree.com/?/property?propertyId=33677593", "https://web.datatree.com/?/property?propertyId=33677593")</f>
        <v>https://web.datatree.com/?/property?propertyId=33677593</v>
      </c>
      <c r="Q4342" t="s">
        <v>316</v>
      </c>
      <c>
        <v>0.23</v>
      </c>
      <c t="s">
        <v>65422</v>
      </c>
      <c t="s">
        <v>24179</v>
      </c>
      <c t="s">
        <v>25002</v>
      </c>
      <c t="s">
        <v>65180</v>
      </c>
      <c t="s">
        <v>25002</v>
      </c>
      <c t="s">
        <v>24126</v>
      </c>
      <c t="s">
        <v>39082</v>
      </c>
      <c t="s">
        <v>2517</v>
      </c>
      <c t="s">
        <v>39289</v>
      </c>
      <c>
        <v>33909</v>
      </c>
      <c>
        <v>33909</v>
      </c>
      <c t="s">
        <v>48794</v>
      </c>
      <c t="s">
        <v>42887</v>
      </c>
      <c>
        <v>180</v>
      </c>
      <c r="AI4342" t="s">
        <v>33629</v>
      </c>
      <c t="s">
        <v>24900</v>
      </c>
      <c r="AL4342" t="s">
        <v>61009</v>
      </c>
      <c t="s">
        <v>61009</v>
      </c>
      <c t="s">
        <v>26016</v>
      </c>
      <c t="s">
        <v>41685</v>
      </c>
      <c t="s">
        <v>53800</v>
      </c>
      <c t="s">
        <v>3093</v>
      </c>
      <c t="s">
        <v>8854</v>
      </c>
    </row>
    <row>
      <c t="s">
        <v>17594</v>
      </c>
      <c t="s">
        <v>23805</v>
      </c>
      <c t="s">
        <v>46896</v>
      </c>
      <c t="s">
        <v>13984</v>
      </c>
      <c t="s">
        <v>3208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4343" s="1" t="str">
        <f ca="1">HYPERLINK("https://web.datatree.com/?/property?propertyId=33677833", "https://web.datatree.com/?/property?propertyId=33677833")</f>
        <v>https://web.datatree.com/?/property?propertyId=33677833</v>
      </c>
      <c r="Q4343" t="s">
        <v>316</v>
      </c>
      <c>
        <v>0.23</v>
      </c>
      <c t="s">
        <v>45031</v>
      </c>
      <c t="s">
        <v>44319</v>
      </c>
      <c t="s">
        <v>6403</v>
      </c>
      <c r="X4343" t="s">
        <v>12487</v>
      </c>
      <c t="s">
        <v>18679</v>
      </c>
      <c t="s">
        <v>2517</v>
      </c>
      <c t="s">
        <v>39289</v>
      </c>
      <c>
        <v>33909</v>
      </c>
      <c>
        <v>33909</v>
      </c>
      <c t="s">
        <v>48794</v>
      </c>
      <c t="s">
        <v>53332</v>
      </c>
      <c>
        <v>3</v>
      </c>
      <c r="AI4343" t="s">
        <v>4821</v>
      </c>
      <c r="AL4343" t="s">
        <v>34908</v>
      </c>
      <c r="AN4343" t="s">
        <v>32840</v>
      </c>
      <c r="AR4343" t="s">
        <v>22792</v>
      </c>
    </row>
    <row>
      <c t="s">
        <v>17594</v>
      </c>
      <c t="s">
        <v>12734</v>
      </c>
      <c t="s">
        <v>48228</v>
      </c>
      <c t="s">
        <v>2640</v>
      </c>
      <c t="s">
        <v>54814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>
        <v>2020</v>
      </c>
      <c>
        <v>1742.25</v>
      </c>
      <c s="1" t="str">
        <f ca="1">HYPERLINK("https://web.datatree.com/?/property?propertyId=33678306", "https://web.datatree.com/?/property?propertyId=33678306")</f>
        <v>https://web.datatree.com/?/property?propertyId=33678306</v>
      </c>
      <c r="Q4344" t="s">
        <v>316</v>
      </c>
      <c>
        <v>0.23</v>
      </c>
      <c t="s">
        <v>6175</v>
      </c>
      <c t="s">
        <v>36702</v>
      </c>
      <c t="s">
        <v>40339</v>
      </c>
      <c r="X4344" t="s">
        <v>8308</v>
      </c>
      <c t="s">
        <v>53675</v>
      </c>
      <c t="s">
        <v>2517</v>
      </c>
      <c t="s">
        <v>39289</v>
      </c>
      <c>
        <v>33909</v>
      </c>
      <c t="s">
        <v>4027</v>
      </c>
      <c t="s">
        <v>48794</v>
      </c>
      <c t="s">
        <v>60256</v>
      </c>
      <c>
        <v>8605</v>
      </c>
      <c r="AI4344" t="s">
        <v>56492</v>
      </c>
      <c t="s">
        <v>26125</v>
      </c>
      <c r="AL4344" t="s">
        <v>46703</v>
      </c>
      <c r="AN4344" t="s">
        <v>39289</v>
      </c>
      <c t="s">
        <v>39564</v>
      </c>
      <c t="s">
        <v>13610</v>
      </c>
      <c t="s">
        <v>3093</v>
      </c>
      <c t="s">
        <v>47592</v>
      </c>
    </row>
    <row>
      <c t="s">
        <v>17594</v>
      </c>
      <c t="s">
        <v>15003</v>
      </c>
      <c t="s">
        <v>7600</v>
      </c>
      <c t="s">
        <v>34281</v>
      </c>
      <c t="s">
        <v>27995</v>
      </c>
      <c s="3">
        <v>2947</v>
      </c>
      <c s="3">
        <v>2947</v>
      </c>
      <c s="3">
        <v>620</v>
      </c>
      <c>
        <v>0</v>
      </c>
      <c s="3">
        <v>0</v>
      </c>
      <c s="3">
        <v>302.21</v>
      </c>
      <c s="3">
        <v>2947</v>
      </c>
      <c>
        <v>2014</v>
      </c>
      <c>
        <v>5078.64</v>
      </c>
      <c s="1" t="str">
        <f ca="1">HYPERLINK("https://web.datatree.com/?/property?propertyId=33678993", "https://web.datatree.com/?/property?propertyId=33678993")</f>
        <v>https://web.datatree.com/?/property?propertyId=33678993</v>
      </c>
      <c r="Q4345" t="s">
        <v>316</v>
      </c>
      <c>
        <v>0.143</v>
      </c>
      <c t="s">
        <v>42044</v>
      </c>
      <c t="s">
        <v>58276</v>
      </c>
      <c t="s">
        <v>22925</v>
      </c>
      <c r="X4345" t="s">
        <v>4777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31700</v>
      </c>
      <c r="AI4345" t="s">
        <v>321</v>
      </c>
      <c t="s">
        <v>45620</v>
      </c>
      <c r="AL4345" t="s">
        <v>26674</v>
      </c>
      <c r="AN4345" t="s">
        <v>51137</v>
      </c>
      <c t="s">
        <v>43554</v>
      </c>
      <c t="s">
        <v>52393</v>
      </c>
      <c t="s">
        <v>3093</v>
      </c>
      <c t="s">
        <v>3790</v>
      </c>
    </row>
    <row>
      <c t="s">
        <v>17594</v>
      </c>
      <c t="s">
        <v>51162</v>
      </c>
      <c t="s">
        <v>47204</v>
      </c>
      <c t="s">
        <v>65403</v>
      </c>
      <c t="s">
        <v>6079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4346" s="1" t="str">
        <f ca="1">HYPERLINK("https://web.datatree.com/?/property?propertyId=33680070", "https://web.datatree.com/?/property?propertyId=33680070")</f>
        <v>https://web.datatree.com/?/property?propertyId=33680070</v>
      </c>
      <c r="Q4346" t="s">
        <v>316</v>
      </c>
      <c>
        <v>0.23</v>
      </c>
      <c t="s">
        <v>6175</v>
      </c>
      <c t="s">
        <v>64030</v>
      </c>
      <c t="s">
        <v>4190</v>
      </c>
      <c r="X4346" t="s">
        <v>53223</v>
      </c>
      <c t="s">
        <v>38550</v>
      </c>
      <c t="s">
        <v>2517</v>
      </c>
      <c t="s">
        <v>39289</v>
      </c>
      <c>
        <v>33909</v>
      </c>
      <c t="s">
        <v>20974</v>
      </c>
      <c t="s">
        <v>48794</v>
      </c>
      <c t="s">
        <v>6392</v>
      </c>
      <c>
        <v>13035</v>
      </c>
      <c r="AI4346" t="s">
        <v>34731</v>
      </c>
      <c t="s">
        <v>39321</v>
      </c>
      <c r="AL4346" t="s">
        <v>55393</v>
      </c>
      <c r="AN4346" t="s">
        <v>39289</v>
      </c>
      <c t="s">
        <v>49857</v>
      </c>
      <c t="s">
        <v>27720</v>
      </c>
      <c t="s">
        <v>3093</v>
      </c>
      <c t="s">
        <v>3490</v>
      </c>
    </row>
    <row>
      <c t="s">
        <v>17594</v>
      </c>
      <c t="s">
        <v>56054</v>
      </c>
      <c t="s">
        <v>2556</v>
      </c>
      <c t="s">
        <v>10394</v>
      </c>
      <c t="s">
        <v>42325</v>
      </c>
      <c s="3">
        <v>20302</v>
      </c>
      <c s="3">
        <v>20302</v>
      </c>
      <c s="3">
        <v>9130</v>
      </c>
      <c>
        <v>0</v>
      </c>
      <c s="3">
        <v>0</v>
      </c>
      <c s="3">
        <v>607.3</v>
      </c>
      <c s="3">
        <v>20302</v>
      </c>
      <c r="O4347" s="1" t="str">
        <f ca="1">HYPERLINK("https://web.datatree.com/?/property?propertyId=33680662", "https://web.datatree.com/?/property?propertyId=33680662")</f>
        <v>https://web.datatree.com/?/property?propertyId=33680662</v>
      </c>
      <c r="Q4347" t="s">
        <v>316</v>
      </c>
      <c>
        <v>0.261</v>
      </c>
      <c t="s">
        <v>45031</v>
      </c>
      <c t="s">
        <v>3534</v>
      </c>
      <c t="s">
        <v>63085</v>
      </c>
      <c r="X4347" t="s">
        <v>7862</v>
      </c>
      <c t="s">
        <v>47150</v>
      </c>
      <c t="s">
        <v>2517</v>
      </c>
      <c t="s">
        <v>39289</v>
      </c>
      <c>
        <v>33909</v>
      </c>
      <c t="s">
        <v>33828</v>
      </c>
      <c t="s">
        <v>48794</v>
      </c>
      <c t="s">
        <v>49854</v>
      </c>
      <c>
        <v>112</v>
      </c>
      <c r="AI4347" t="s">
        <v>18685</v>
      </c>
      <c t="s">
        <v>24900</v>
      </c>
      <c t="s">
        <v>8675</v>
      </c>
      <c t="s">
        <v>8109</v>
      </c>
      <c r="AN4347" t="s">
        <v>50917</v>
      </c>
      <c t="s">
        <v>21417</v>
      </c>
      <c t="s">
        <v>29069</v>
      </c>
      <c t="s">
        <v>3093</v>
      </c>
      <c t="s">
        <v>10519</v>
      </c>
    </row>
    <row>
      <c t="s">
        <v>17594</v>
      </c>
      <c t="s">
        <v>9015</v>
      </c>
      <c t="s">
        <v>30393</v>
      </c>
      <c t="s">
        <v>15482</v>
      </c>
      <c t="s">
        <v>57215</v>
      </c>
      <c s="3">
        <v>20482</v>
      </c>
      <c s="3">
        <v>20482</v>
      </c>
      <c s="3">
        <v>10780</v>
      </c>
      <c>
        <v>0</v>
      </c>
      <c s="3">
        <v>0</v>
      </c>
      <c s="3">
        <v>710.55</v>
      </c>
      <c s="3">
        <v>20482</v>
      </c>
      <c r="O4348" s="1" t="str">
        <f ca="1">HYPERLINK("https://web.datatree.com/?/property?propertyId=33680800", "https://web.datatree.com/?/property?propertyId=33680800")</f>
        <v>https://web.datatree.com/?/property?propertyId=33680800</v>
      </c>
      <c r="Q4348" t="s">
        <v>316</v>
      </c>
      <c>
        <v>0.359</v>
      </c>
      <c t="s">
        <v>6175</v>
      </c>
      <c t="s">
        <v>23047</v>
      </c>
      <c t="s">
        <v>19093</v>
      </c>
      <c r="X4348" t="s">
        <v>5248</v>
      </c>
      <c t="s">
        <v>14534</v>
      </c>
      <c t="s">
        <v>2517</v>
      </c>
      <c t="s">
        <v>39289</v>
      </c>
      <c>
        <v>33909</v>
      </c>
      <c t="s">
        <v>33438</v>
      </c>
      <c t="s">
        <v>48794</v>
      </c>
      <c t="s">
        <v>46823</v>
      </c>
      <c>
        <v>13</v>
      </c>
      <c r="AI4348" t="s">
        <v>64255</v>
      </c>
      <c r="AL4348" t="s">
        <v>38674</v>
      </c>
      <c r="AN4348" t="s">
        <v>43247</v>
      </c>
      <c r="AR4348" t="s">
        <v>46489</v>
      </c>
    </row>
    <row>
      <c t="s">
        <v>17594</v>
      </c>
      <c t="s">
        <v>37843</v>
      </c>
      <c t="s">
        <v>43717</v>
      </c>
      <c t="s">
        <v>2799</v>
      </c>
      <c t="s">
        <v>59346</v>
      </c>
      <c s="3">
        <v>109206</v>
      </c>
      <c s="3">
        <v>109206</v>
      </c>
      <c s="3">
        <v>109206</v>
      </c>
      <c>
        <v>0</v>
      </c>
      <c s="3">
        <v>0</v>
      </c>
      <c s="3">
        <v>2251.93</v>
      </c>
      <c s="3">
        <v>109206</v>
      </c>
      <c>
        <v>2021</v>
      </c>
      <c>
        <v>2268.03</v>
      </c>
      <c s="1" t="str">
        <f ca="1">HYPERLINK("https://web.datatree.com/?/property?propertyId=33681135", "https://web.datatree.com/?/property?propertyId=33681135")</f>
        <v>https://web.datatree.com/?/property?propertyId=33681135</v>
      </c>
      <c r="Q4349" t="s">
        <v>316</v>
      </c>
      <c>
        <v>0.344</v>
      </c>
      <c t="s">
        <v>6175</v>
      </c>
      <c t="s">
        <v>50331</v>
      </c>
      <c t="s">
        <v>14856</v>
      </c>
      <c r="X4349" t="s">
        <v>26315</v>
      </c>
      <c t="s">
        <v>29190</v>
      </c>
      <c t="s">
        <v>2517</v>
      </c>
      <c t="s">
        <v>39289</v>
      </c>
      <c>
        <v>33904</v>
      </c>
      <c t="s">
        <v>61546</v>
      </c>
      <c t="s">
        <v>48794</v>
      </c>
      <c t="s">
        <v>7208</v>
      </c>
      <c>
        <v>8095</v>
      </c>
      <c r="AI4349" t="s">
        <v>26344</v>
      </c>
      <c t="s">
        <v>20615</v>
      </c>
      <c r="AL4349" t="s">
        <v>3220</v>
      </c>
      <c r="AN4349" t="s">
        <v>50829</v>
      </c>
      <c t="s">
        <v>10341</v>
      </c>
      <c t="s">
        <v>14695</v>
      </c>
      <c t="s">
        <v>3093</v>
      </c>
      <c t="s">
        <v>37796</v>
      </c>
    </row>
    <row>
      <c t="s">
        <v>17594</v>
      </c>
      <c t="s">
        <v>1310</v>
      </c>
      <c t="s">
        <v>67076</v>
      </c>
      <c t="s">
        <v>47636</v>
      </c>
      <c t="s">
        <v>19562</v>
      </c>
      <c s="3">
        <v>30450</v>
      </c>
      <c s="3">
        <v>30450</v>
      </c>
      <c s="3">
        <v>30450</v>
      </c>
      <c>
        <v>0</v>
      </c>
      <c s="3">
        <v>0</v>
      </c>
      <c s="3">
        <v>997.06</v>
      </c>
      <c s="3">
        <v>30450</v>
      </c>
      <c r="O4350" s="1" t="str">
        <f ca="1">HYPERLINK("https://web.datatree.com/?/property?propertyId=33681901", "https://web.datatree.com/?/property?propertyId=33681901")</f>
        <v>https://web.datatree.com/?/property?propertyId=33681901</v>
      </c>
      <c r="Q4350" t="s">
        <v>316</v>
      </c>
      <c>
        <v>0.399</v>
      </c>
      <c t="s">
        <v>6175</v>
      </c>
      <c t="s">
        <v>47656</v>
      </c>
      <c t="s">
        <v>41408</v>
      </c>
      <c t="s">
        <v>65180</v>
      </c>
      <c t="s">
        <v>49622</v>
      </c>
      <c t="s">
        <v>50607</v>
      </c>
      <c t="s">
        <v>47150</v>
      </c>
      <c t="s">
        <v>2517</v>
      </c>
      <c t="s">
        <v>39289</v>
      </c>
      <c>
        <v>33909</v>
      </c>
      <c t="s">
        <v>48883</v>
      </c>
      <c t="s">
        <v>48794</v>
      </c>
      <c t="s">
        <v>21594</v>
      </c>
      <c>
        <v>16</v>
      </c>
      <c r="AI4350" t="s">
        <v>63203</v>
      </c>
      <c t="s">
        <v>45620</v>
      </c>
      <c r="AL4350" t="s">
        <v>57829</v>
      </c>
      <c r="AN4350" t="s">
        <v>64022</v>
      </c>
      <c t="s">
        <v>24022</v>
      </c>
      <c t="s">
        <v>44428</v>
      </c>
      <c t="s">
        <v>3093</v>
      </c>
      <c t="s">
        <v>5067</v>
      </c>
    </row>
    <row>
      <c t="s">
        <v>42103</v>
      </c>
      <c t="s">
        <v>50792</v>
      </c>
      <c t="s">
        <v>54558</v>
      </c>
      <c t="s">
        <v>37319</v>
      </c>
      <c t="s">
        <v>27296</v>
      </c>
      <c s="3">
        <v>7560</v>
      </c>
      <c s="3">
        <v>7560</v>
      </c>
      <c s="3">
        <v>7560</v>
      </c>
      <c>
        <v>0</v>
      </c>
      <c s="3">
        <v>0</v>
      </c>
      <c s="3">
        <v>562.62</v>
      </c>
      <c s="3">
        <v>7560</v>
      </c>
      <c r="O4351" s="1" t="str">
        <f ca="1">HYPERLINK("https://web.datatree.com/?/property?propertyId=33682084", "https://web.datatree.com/?/property?propertyId=33682084")</f>
        <v>https://web.datatree.com/?/property?propertyId=33682084</v>
      </c>
      <c r="Q4351" t="s">
        <v>316</v>
      </c>
      <c>
        <v>0.31</v>
      </c>
      <c t="s">
        <v>6175</v>
      </c>
      <c t="s">
        <v>56786</v>
      </c>
      <c t="s">
        <v>62986</v>
      </c>
      <c t="s">
        <v>51891</v>
      </c>
      <c t="s">
        <v>62986</v>
      </c>
      <c t="s">
        <v>51909</v>
      </c>
      <c t="s">
        <v>17022</v>
      </c>
      <c t="s">
        <v>2517</v>
      </c>
      <c t="s">
        <v>39289</v>
      </c>
      <c>
        <v>33909</v>
      </c>
      <c t="s">
        <v>34939</v>
      </c>
      <c t="s">
        <v>48794</v>
      </c>
      <c t="s">
        <v>14297</v>
      </c>
      <c r="AI4351" t="s">
        <v>32696</v>
      </c>
      <c r="AL4351" t="s">
        <v>9092</v>
      </c>
      <c r="AN4351" t="s">
        <v>18236</v>
      </c>
      <c>
        <v>75357</v>
      </c>
      <c t="s">
        <v>7011</v>
      </c>
      <c t="s">
        <v>3093</v>
      </c>
      <c t="s">
        <v>28776</v>
      </c>
    </row>
    <row>
      <c t="s">
        <v>17594</v>
      </c>
      <c t="s">
        <v>649</v>
      </c>
      <c t="s">
        <v>57196</v>
      </c>
      <c t="s">
        <v>21586</v>
      </c>
      <c t="s">
        <v>7759</v>
      </c>
      <c s="3">
        <v>24937</v>
      </c>
      <c s="3">
        <v>24937</v>
      </c>
      <c s="3">
        <v>24937</v>
      </c>
      <c>
        <v>0</v>
      </c>
      <c s="3">
        <v>0</v>
      </c>
      <c s="3">
        <v>3065.01</v>
      </c>
      <c s="3">
        <v>24937</v>
      </c>
      <c r="O4352" s="1" t="str">
        <f ca="1">HYPERLINK("https://web.datatree.com/?/property?propertyId=33682365", "https://web.datatree.com/?/property?propertyId=33682365")</f>
        <v>https://web.datatree.com/?/property?propertyId=33682365</v>
      </c>
      <c r="Q4352" t="s">
        <v>316</v>
      </c>
      <c>
        <v>0.23</v>
      </c>
      <c t="s">
        <v>6175</v>
      </c>
      <c r="U4352" t="s">
        <v>15108</v>
      </c>
      <c t="s">
        <v>27504</v>
      </c>
      <c t="s">
        <v>56993</v>
      </c>
      <c t="s">
        <v>10980</v>
      </c>
      <c t="s">
        <v>61865</v>
      </c>
      <c t="s">
        <v>2517</v>
      </c>
      <c t="s">
        <v>39289</v>
      </c>
      <c>
        <v>33909</v>
      </c>
      <c t="s">
        <v>45743</v>
      </c>
      <c t="s">
        <v>48794</v>
      </c>
      <c t="s">
        <v>33183</v>
      </c>
      <c>
        <v>3225</v>
      </c>
      <c r="AI4352" t="s">
        <v>39906</v>
      </c>
      <c t="s">
        <v>31192</v>
      </c>
      <c>
        <v>777</v>
      </c>
      <c t="s">
        <v>38297</v>
      </c>
      <c t="s">
        <v>32847</v>
      </c>
      <c t="s">
        <v>27222</v>
      </c>
      <c t="s">
        <v>11144</v>
      </c>
      <c t="s">
        <v>43446</v>
      </c>
      <c t="s">
        <v>3093</v>
      </c>
      <c t="s">
        <v>4205</v>
      </c>
    </row>
    <row>
      <c t="s">
        <v>17594</v>
      </c>
      <c t="s">
        <v>15494</v>
      </c>
      <c t="s">
        <v>61170</v>
      </c>
      <c t="s">
        <v>27338</v>
      </c>
      <c t="s">
        <v>32496</v>
      </c>
      <c s="3">
        <v>30340</v>
      </c>
      <c s="3">
        <v>30340</v>
      </c>
      <c s="3">
        <v>30340</v>
      </c>
      <c>
        <v>0</v>
      </c>
      <c s="3">
        <v>0</v>
      </c>
      <c s="3">
        <v>428.79</v>
      </c>
      <c s="3">
        <v>30340</v>
      </c>
      <c r="O4353" s="1" t="str">
        <f ca="1">HYPERLINK("https://web.datatree.com/?/property?propertyId=33682849", "https://web.datatree.com/?/property?propertyId=33682849")</f>
        <v>https://web.datatree.com/?/property?propertyId=33682849</v>
      </c>
      <c r="Q4353" t="s">
        <v>316</v>
      </c>
      <c>
        <v>0.064</v>
      </c>
      <c t="s">
        <v>54329</v>
      </c>
      <c t="s">
        <v>19357</v>
      </c>
      <c t="s">
        <v>32018</v>
      </c>
      <c r="X4353" t="s">
        <v>65922</v>
      </c>
      <c t="s">
        <v>63736</v>
      </c>
      <c t="s">
        <v>65059</v>
      </c>
      <c t="s">
        <v>39289</v>
      </c>
      <c>
        <v>33908</v>
      </c>
      <c>
        <v>33908</v>
      </c>
      <c t="s">
        <v>48794</v>
      </c>
      <c t="s">
        <v>12896</v>
      </c>
      <c>
        <v>506</v>
      </c>
      <c r="AI4353" t="s">
        <v>27742</v>
      </c>
      <c t="s">
        <v>45620</v>
      </c>
      <c r="AL4353" t="s">
        <v>60024</v>
      </c>
      <c t="s">
        <v>60024</v>
      </c>
      <c t="s">
        <v>49572</v>
      </c>
      <c t="s">
        <v>34319</v>
      </c>
      <c t="s">
        <v>63810</v>
      </c>
      <c t="s">
        <v>3093</v>
      </c>
      <c t="s">
        <v>39892</v>
      </c>
    </row>
    <row>
      <c t="s">
        <v>42103</v>
      </c>
      <c t="s">
        <v>3361</v>
      </c>
      <c t="s">
        <v>18671</v>
      </c>
      <c t="s">
        <v>59896</v>
      </c>
      <c t="s">
        <v>48849</v>
      </c>
      <c s="3">
        <v>123192</v>
      </c>
      <c s="3">
        <v>123192</v>
      </c>
      <c s="3">
        <v>123192</v>
      </c>
      <c>
        <v>0</v>
      </c>
      <c s="3">
        <v>0</v>
      </c>
      <c s="3">
        <v>2280.38</v>
      </c>
      <c s="3">
        <v>123192</v>
      </c>
      <c r="O4354" s="1" t="str">
        <f ca="1">HYPERLINK("https://web.datatree.com/?/property?propertyId=33682973", "https://web.datatree.com/?/property?propertyId=33682973")</f>
        <v>https://web.datatree.com/?/property?propertyId=33682973</v>
      </c>
      <c r="Q4354" t="s">
        <v>316</v>
      </c>
      <c>
        <v>0.307</v>
      </c>
      <c t="s">
        <v>22490</v>
      </c>
      <c r="U4354" t="s">
        <v>92</v>
      </c>
      <c r="W4354" t="s">
        <v>26747</v>
      </c>
      <c t="s">
        <v>27557</v>
      </c>
      <c t="s">
        <v>25017</v>
      </c>
      <c t="s">
        <v>2517</v>
      </c>
      <c t="s">
        <v>39289</v>
      </c>
      <c>
        <v>33904</v>
      </c>
      <c>
        <v>33904</v>
      </c>
      <c t="s">
        <v>48794</v>
      </c>
      <c t="s">
        <v>37298</v>
      </c>
      <c r="AI4354" t="s">
        <v>55588</v>
      </c>
      <c r="AL4354" t="s">
        <v>34557</v>
      </c>
      <c r="AN4354" t="s">
        <v>65451</v>
      </c>
      <c t="s">
        <v>34670</v>
      </c>
      <c t="s">
        <v>44380</v>
      </c>
      <c t="s">
        <v>3093</v>
      </c>
      <c t="s">
        <v>13518</v>
      </c>
    </row>
    <row>
      <c t="s">
        <v>42103</v>
      </c>
      <c t="s">
        <v>11915</v>
      </c>
      <c t="s">
        <v>36798</v>
      </c>
      <c t="s">
        <v>6265</v>
      </c>
      <c t="s">
        <v>10637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355" s="1" t="str">
        <f ca="1">HYPERLINK("https://web.datatree.com/?/property?propertyId=33683087", "https://web.datatree.com/?/property?propertyId=33683087")</f>
        <v>https://web.datatree.com/?/property?propertyId=33683087</v>
      </c>
      <c r="Q4355" t="s">
        <v>316</v>
      </c>
      <c>
        <v>0.243</v>
      </c>
      <c t="s">
        <v>5471</v>
      </c>
      <c t="s">
        <v>44541</v>
      </c>
      <c t="s">
        <v>56617</v>
      </c>
      <c t="s">
        <v>46717</v>
      </c>
      <c t="s">
        <v>56617</v>
      </c>
      <c t="s">
        <v>17224</v>
      </c>
      <c t="s">
        <v>20199</v>
      </c>
      <c t="s">
        <v>65059</v>
      </c>
      <c t="s">
        <v>39289</v>
      </c>
      <c>
        <v>33905</v>
      </c>
      <c t="s">
        <v>37524</v>
      </c>
      <c t="s">
        <v>48794</v>
      </c>
      <c t="s">
        <v>42979</v>
      </c>
      <c r="AI4355" t="s">
        <v>63209</v>
      </c>
      <c r="AL4355" t="s">
        <v>4630</v>
      </c>
      <c r="AN4355" t="s">
        <v>50917</v>
      </c>
      <c>
        <v>12856</v>
      </c>
      <c t="s">
        <v>61509</v>
      </c>
      <c t="s">
        <v>3093</v>
      </c>
      <c t="s">
        <v>57937</v>
      </c>
    </row>
    <row>
      <c t="s">
        <v>42103</v>
      </c>
      <c t="s">
        <v>20913</v>
      </c>
      <c t="s">
        <v>16169</v>
      </c>
      <c t="s">
        <v>25688</v>
      </c>
      <c t="s">
        <v>11729</v>
      </c>
      <c s="3">
        <v>3947</v>
      </c>
      <c s="3">
        <v>3947</v>
      </c>
      <c s="3">
        <v>2063</v>
      </c>
      <c>
        <v>0</v>
      </c>
      <c s="3">
        <v>0</v>
      </c>
      <c s="3">
        <v>269.19</v>
      </c>
      <c s="3">
        <v>3947</v>
      </c>
      <c>
        <v>2014</v>
      </c>
      <c>
        <v>5551.15</v>
      </c>
      <c s="1" t="str">
        <f ca="1">HYPERLINK("https://web.datatree.com/?/property?propertyId=33683840", "https://web.datatree.com/?/property?propertyId=33683840")</f>
        <v>https://web.datatree.com/?/property?propertyId=33683840</v>
      </c>
      <c r="Q4356" t="s">
        <v>316</v>
      </c>
      <c>
        <v>0.115</v>
      </c>
      <c t="s">
        <v>6175</v>
      </c>
      <c t="s">
        <v>36377</v>
      </c>
      <c t="s">
        <v>700</v>
      </c>
      <c r="X4356" t="s">
        <v>37509</v>
      </c>
      <c t="s">
        <v>33179</v>
      </c>
      <c t="s">
        <v>2517</v>
      </c>
      <c t="s">
        <v>39289</v>
      </c>
      <c>
        <v>33909</v>
      </c>
      <c t="s">
        <v>50642</v>
      </c>
      <c t="s">
        <v>48794</v>
      </c>
      <c t="s">
        <v>56571</v>
      </c>
      <c r="AI4356" t="s">
        <v>62094</v>
      </c>
      <c r="AL4356" t="s">
        <v>53927</v>
      </c>
      <c r="AN4356" t="s">
        <v>32657</v>
      </c>
      <c t="s">
        <v>61586</v>
      </c>
      <c t="s">
        <v>44380</v>
      </c>
      <c t="s">
        <v>3093</v>
      </c>
      <c t="s">
        <v>12837</v>
      </c>
    </row>
    <row>
      <c t="s">
        <v>17594</v>
      </c>
      <c t="s">
        <v>18542</v>
      </c>
      <c t="s">
        <v>54037</v>
      </c>
      <c t="s">
        <v>57205</v>
      </c>
      <c t="s">
        <v>63148</v>
      </c>
      <c s="3">
        <v>17210</v>
      </c>
      <c s="3">
        <v>17210</v>
      </c>
      <c s="3">
        <v>9075</v>
      </c>
      <c>
        <v>0</v>
      </c>
      <c s="3">
        <v>0</v>
      </c>
      <c s="3">
        <v>557.94</v>
      </c>
      <c s="3">
        <v>17210</v>
      </c>
      <c r="O4357" s="1" t="str">
        <f ca="1">HYPERLINK("https://web.datatree.com/?/property?propertyId=33685051", "https://web.datatree.com/?/property?propertyId=33685051")</f>
        <v>https://web.datatree.com/?/property?propertyId=33685051</v>
      </c>
      <c r="Q4357" t="s">
        <v>316</v>
      </c>
      <c>
        <v>0.244</v>
      </c>
      <c t="s">
        <v>6175</v>
      </c>
      <c t="s">
        <v>58362</v>
      </c>
      <c t="s">
        <v>7282</v>
      </c>
      <c r="X4357" t="s">
        <v>11359</v>
      </c>
      <c t="s">
        <v>66701</v>
      </c>
      <c t="s">
        <v>2517</v>
      </c>
      <c t="s">
        <v>39289</v>
      </c>
      <c>
        <v>33909</v>
      </c>
      <c t="s">
        <v>60135</v>
      </c>
      <c t="s">
        <v>48794</v>
      </c>
      <c t="s">
        <v>22965</v>
      </c>
      <c>
        <v>13343</v>
      </c>
      <c r="AI4357" t="s">
        <v>24799</v>
      </c>
      <c t="s">
        <v>45393</v>
      </c>
      <c r="AL4357" t="s">
        <v>67217</v>
      </c>
      <c r="AN4357" t="s">
        <v>50917</v>
      </c>
      <c t="s">
        <v>50823</v>
      </c>
      <c t="s">
        <v>60333</v>
      </c>
      <c t="s">
        <v>3093</v>
      </c>
      <c t="s">
        <v>56621</v>
      </c>
    </row>
    <row>
      <c t="s">
        <v>17594</v>
      </c>
      <c t="s">
        <v>14549</v>
      </c>
      <c t="s">
        <v>60691</v>
      </c>
      <c t="s">
        <v>30686</v>
      </c>
      <c t="s">
        <v>31065</v>
      </c>
      <c s="3">
        <v>8515</v>
      </c>
      <c s="3">
        <v>8515</v>
      </c>
      <c s="3">
        <v>4972</v>
      </c>
      <c>
        <v>0</v>
      </c>
      <c s="3">
        <v>0</v>
      </c>
      <c s="3">
        <v>317.96</v>
      </c>
      <c s="3">
        <v>8515</v>
      </c>
      <c r="O4358" s="1" t="str">
        <f ca="1">HYPERLINK("https://web.datatree.com/?/property?propertyId=33685593", "https://web.datatree.com/?/property?propertyId=33685593")</f>
        <v>https://web.datatree.com/?/property?propertyId=33685593</v>
      </c>
      <c r="Q4358" t="s">
        <v>316</v>
      </c>
      <c>
        <v>0.247</v>
      </c>
      <c t="s">
        <v>5471</v>
      </c>
      <c t="s">
        <v>65572</v>
      </c>
      <c t="s">
        <v>55276</v>
      </c>
      <c r="X4358" t="s">
        <v>25393</v>
      </c>
      <c t="s">
        <v>16121</v>
      </c>
      <c t="s">
        <v>65059</v>
      </c>
      <c t="s">
        <v>39289</v>
      </c>
      <c>
        <v>33905</v>
      </c>
      <c t="s">
        <v>29594</v>
      </c>
      <c t="s">
        <v>48794</v>
      </c>
      <c t="s">
        <v>45559</v>
      </c>
      <c>
        <v>1936</v>
      </c>
      <c r="AI4358" t="s">
        <v>65779</v>
      </c>
      <c t="s">
        <v>24900</v>
      </c>
      <c t="s">
        <v>44336</v>
      </c>
      <c t="s">
        <v>6144</v>
      </c>
      <c r="AN4358" t="s">
        <v>50917</v>
      </c>
      <c t="s">
        <v>21905</v>
      </c>
      <c t="s">
        <v>4480</v>
      </c>
      <c t="s">
        <v>3093</v>
      </c>
      <c t="s">
        <v>14957</v>
      </c>
    </row>
    <row>
      <c t="s">
        <v>17594</v>
      </c>
      <c t="s">
        <v>38316</v>
      </c>
      <c t="s">
        <v>39887</v>
      </c>
      <c t="s">
        <v>14445</v>
      </c>
      <c t="s">
        <v>1768</v>
      </c>
      <c s="3">
        <v>24450</v>
      </c>
      <c s="3">
        <v>24450</v>
      </c>
      <c s="3">
        <v>24450</v>
      </c>
      <c>
        <v>0</v>
      </c>
      <c s="3">
        <v>0</v>
      </c>
      <c s="3">
        <v>693.4</v>
      </c>
      <c s="3">
        <v>24450</v>
      </c>
      <c r="O4359" s="1" t="str">
        <f ca="1">HYPERLINK("https://web.datatree.com/?/property?propertyId=33685944", "https://web.datatree.com/?/property?propertyId=33685944")</f>
        <v>https://web.datatree.com/?/property?propertyId=33685944</v>
      </c>
      <c r="Q4359" t="s">
        <v>316</v>
      </c>
      <c>
        <v>0.23</v>
      </c>
      <c t="s">
        <v>22490</v>
      </c>
      <c r="U4359" t="s">
        <v>40796</v>
      </c>
      <c r="X4359" t="s">
        <v>55129</v>
      </c>
      <c t="s">
        <v>66701</v>
      </c>
      <c t="s">
        <v>2517</v>
      </c>
      <c t="s">
        <v>39289</v>
      </c>
      <c>
        <v>33909</v>
      </c>
      <c t="s">
        <v>48620</v>
      </c>
      <c t="s">
        <v>48794</v>
      </c>
      <c t="s">
        <v>14724</v>
      </c>
      <c>
        <v>3425</v>
      </c>
      <c r="AI4359" t="s">
        <v>4877</v>
      </c>
      <c t="s">
        <v>31192</v>
      </c>
      <c r="AL4359" t="s">
        <v>40685</v>
      </c>
      <c t="s">
        <v>40685</v>
      </c>
      <c t="s">
        <v>65451</v>
      </c>
      <c t="s">
        <v>64077</v>
      </c>
      <c t="s">
        <v>61719</v>
      </c>
      <c t="s">
        <v>3093</v>
      </c>
      <c t="s">
        <v>32747</v>
      </c>
    </row>
    <row>
      <c t="s">
        <v>17594</v>
      </c>
      <c t="s">
        <v>57718</v>
      </c>
      <c t="s">
        <v>1420</v>
      </c>
      <c t="s">
        <v>53242</v>
      </c>
      <c t="s">
        <v>61652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360" s="1" t="str">
        <f ca="1">HYPERLINK("https://web.datatree.com/?/property?propertyId=33685965", "https://web.datatree.com/?/property?propertyId=33685965")</f>
        <v>https://web.datatree.com/?/property?propertyId=33685965</v>
      </c>
      <c r="Q4360" t="s">
        <v>316</v>
      </c>
      <c>
        <v>0.244</v>
      </c>
      <c t="s">
        <v>6175</v>
      </c>
      <c t="s">
        <v>18560</v>
      </c>
      <c t="s">
        <v>37084</v>
      </c>
      <c t="s">
        <v>42153</v>
      </c>
      <c t="s">
        <v>59767</v>
      </c>
      <c t="s">
        <v>23084</v>
      </c>
      <c t="s">
        <v>23517</v>
      </c>
      <c t="s">
        <v>2517</v>
      </c>
      <c t="s">
        <v>39289</v>
      </c>
      <c>
        <v>33909</v>
      </c>
      <c t="s">
        <v>51006</v>
      </c>
      <c t="s">
        <v>48794</v>
      </c>
      <c t="s">
        <v>20840</v>
      </c>
      <c>
        <v>40</v>
      </c>
      <c r="AI4360" t="s">
        <v>28610</v>
      </c>
      <c t="s">
        <v>24900</v>
      </c>
      <c>
        <v>209</v>
      </c>
      <c t="s">
        <v>8109</v>
      </c>
      <c r="AN4360" t="s">
        <v>50917</v>
      </c>
      <c t="s">
        <v>27941</v>
      </c>
      <c t="s">
        <v>42082</v>
      </c>
      <c t="s">
        <v>3093</v>
      </c>
      <c t="s">
        <v>58689</v>
      </c>
    </row>
    <row>
      <c t="s">
        <v>17594</v>
      </c>
      <c t="s">
        <v>3830</v>
      </c>
      <c t="s">
        <v>9777</v>
      </c>
      <c t="s">
        <v>64394</v>
      </c>
      <c t="s">
        <v>49566</v>
      </c>
      <c s="3">
        <v>33600</v>
      </c>
      <c s="3">
        <v>33600</v>
      </c>
      <c s="3">
        <v>13310</v>
      </c>
      <c>
        <v>0</v>
      </c>
      <c s="3">
        <v>0</v>
      </c>
      <c s="3">
        <v>766.21</v>
      </c>
      <c s="3">
        <v>33600</v>
      </c>
      <c r="O4361" s="1" t="str">
        <f ca="1">HYPERLINK("https://web.datatree.com/?/property?propertyId=33686207", "https://web.datatree.com/?/property?propertyId=33686207")</f>
        <v>https://web.datatree.com/?/property?propertyId=33686207</v>
      </c>
      <c r="Q4361" t="s">
        <v>316</v>
      </c>
      <c>
        <v>0.307</v>
      </c>
      <c t="s">
        <v>45031</v>
      </c>
      <c t="s">
        <v>54069</v>
      </c>
      <c t="s">
        <v>46485</v>
      </c>
      <c t="s">
        <v>21670</v>
      </c>
      <c t="s">
        <v>46485</v>
      </c>
      <c t="s">
        <v>6687</v>
      </c>
      <c t="s">
        <v>10653</v>
      </c>
      <c t="s">
        <v>2517</v>
      </c>
      <c t="s">
        <v>39289</v>
      </c>
      <c>
        <v>33909</v>
      </c>
      <c t="s">
        <v>57010</v>
      </c>
      <c t="s">
        <v>48794</v>
      </c>
      <c t="s">
        <v>9449</v>
      </c>
      <c>
        <v>441</v>
      </c>
      <c r="AI4361" t="s">
        <v>57193</v>
      </c>
      <c t="s">
        <v>40123</v>
      </c>
      <c r="AL4361" t="s">
        <v>55393</v>
      </c>
      <c t="s">
        <v>51647</v>
      </c>
      <c t="s">
        <v>39289</v>
      </c>
      <c t="s">
        <v>41837</v>
      </c>
      <c t="s">
        <v>66797</v>
      </c>
      <c t="s">
        <v>3093</v>
      </c>
      <c t="s">
        <v>1541</v>
      </c>
    </row>
    <row>
      <c t="s">
        <v>42103</v>
      </c>
      <c t="s">
        <v>15003</v>
      </c>
      <c t="s">
        <v>62519</v>
      </c>
      <c t="s">
        <v>48430</v>
      </c>
      <c t="s">
        <v>11227</v>
      </c>
      <c s="3">
        <v>3432</v>
      </c>
      <c s="3">
        <v>3432</v>
      </c>
      <c s="3">
        <v>3432</v>
      </c>
      <c>
        <v>0</v>
      </c>
      <c s="3">
        <v>0</v>
      </c>
      <c s="3">
        <v>411.11</v>
      </c>
      <c s="3">
        <v>3432</v>
      </c>
      <c r="O4362" s="1" t="str">
        <f ca="1">HYPERLINK("https://web.datatree.com/?/property?propertyId=33687408", "https://web.datatree.com/?/property?propertyId=33687408")</f>
        <v>https://web.datatree.com/?/property?propertyId=33687408</v>
      </c>
      <c r="Q4362" t="s">
        <v>316</v>
      </c>
      <c>
        <v>0.215</v>
      </c>
      <c t="s">
        <v>42044</v>
      </c>
      <c t="s">
        <v>20572</v>
      </c>
      <c t="s">
        <v>51020</v>
      </c>
      <c r="X4362" t="s">
        <v>50595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459</v>
      </c>
      <c r="AH4362" t="s">
        <v>63047</v>
      </c>
      <c t="s">
        <v>20676</v>
      </c>
      <c t="s">
        <v>45620</v>
      </c>
      <c>
        <v>2</v>
      </c>
      <c t="s">
        <v>66317</v>
      </c>
      <c t="s">
        <v>13397</v>
      </c>
      <c t="s">
        <v>50917</v>
      </c>
      <c t="s">
        <v>5773</v>
      </c>
      <c t="s">
        <v>41946</v>
      </c>
      <c t="s">
        <v>3093</v>
      </c>
      <c t="s">
        <v>27959</v>
      </c>
    </row>
    <row>
      <c t="s">
        <v>17594</v>
      </c>
      <c t="s">
        <v>57041</v>
      </c>
      <c t="s">
        <v>3635</v>
      </c>
      <c t="s">
        <v>39147</v>
      </c>
      <c t="s">
        <v>26199</v>
      </c>
      <c s="3">
        <v>30977</v>
      </c>
      <c s="3">
        <v>30977</v>
      </c>
      <c s="3">
        <v>9079</v>
      </c>
      <c>
        <v>0</v>
      </c>
      <c s="3">
        <v>0</v>
      </c>
      <c s="3">
        <v>3112.21</v>
      </c>
      <c s="3">
        <v>30977</v>
      </c>
      <c r="O4363" s="1" t="str">
        <f ca="1">HYPERLINK("https://web.datatree.com/?/property?propertyId=33688067", "https://web.datatree.com/?/property?propertyId=33688067")</f>
        <v>https://web.datatree.com/?/property?propertyId=33688067</v>
      </c>
      <c r="Q4363" t="s">
        <v>316</v>
      </c>
      <c>
        <v>0.273</v>
      </c>
      <c t="s">
        <v>6175</v>
      </c>
      <c t="s">
        <v>59301</v>
      </c>
      <c t="s">
        <v>3471</v>
      </c>
      <c r="X4363" t="s">
        <v>11334</v>
      </c>
      <c t="s">
        <v>13478</v>
      </c>
      <c t="s">
        <v>2517</v>
      </c>
      <c t="s">
        <v>39289</v>
      </c>
      <c>
        <v>33909</v>
      </c>
      <c t="s">
        <v>40141</v>
      </c>
      <c t="s">
        <v>48794</v>
      </c>
      <c t="s">
        <v>23819</v>
      </c>
      <c>
        <v>299</v>
      </c>
      <c r="AI4363" t="s">
        <v>6313</v>
      </c>
      <c t="s">
        <v>24900</v>
      </c>
      <c r="AL4363" t="s">
        <v>61074</v>
      </c>
      <c r="AN4363" t="s">
        <v>19878</v>
      </c>
      <c t="s">
        <v>2135</v>
      </c>
      <c t="s">
        <v>4797</v>
      </c>
      <c t="s">
        <v>3093</v>
      </c>
      <c t="s">
        <v>6145</v>
      </c>
    </row>
    <row>
      <c t="s">
        <v>17594</v>
      </c>
      <c t="s">
        <v>32806</v>
      </c>
      <c t="s">
        <v>12132</v>
      </c>
      <c t="s">
        <v>40568</v>
      </c>
      <c t="s">
        <v>20507</v>
      </c>
      <c s="3">
        <v>19712</v>
      </c>
      <c s="3">
        <v>19712</v>
      </c>
      <c s="3">
        <v>19712</v>
      </c>
      <c>
        <v>0</v>
      </c>
      <c s="3">
        <v>0</v>
      </c>
      <c s="3">
        <v>479.61</v>
      </c>
      <c s="3">
        <v>19712</v>
      </c>
      <c r="O4364" s="1" t="str">
        <f ca="1">HYPERLINK("https://web.datatree.com/?/property?propertyId=33688365", "https://web.datatree.com/?/property?propertyId=33688365")</f>
        <v>https://web.datatree.com/?/property?propertyId=33688365</v>
      </c>
      <c r="Q4364" t="s">
        <v>316</v>
      </c>
      <c>
        <v>0.455</v>
      </c>
      <c t="s">
        <v>37489</v>
      </c>
      <c t="s">
        <v>35754</v>
      </c>
      <c t="s">
        <v>64898</v>
      </c>
      <c r="X4364" t="s">
        <v>49643</v>
      </c>
      <c t="s">
        <v>18019</v>
      </c>
      <c t="s">
        <v>65059</v>
      </c>
      <c t="s">
        <v>39289</v>
      </c>
      <c>
        <v>33905</v>
      </c>
      <c>
        <v>33905</v>
      </c>
      <c t="s">
        <v>48794</v>
      </c>
      <c t="s">
        <v>21277</v>
      </c>
      <c>
        <v>9136</v>
      </c>
      <c r="AI4364" t="s">
        <v>16503</v>
      </c>
      <c t="s">
        <v>45393</v>
      </c>
      <c r="AL4364" t="s">
        <v>23715</v>
      </c>
      <c t="s">
        <v>23715</v>
      </c>
      <c t="s">
        <v>39289</v>
      </c>
      <c t="s">
        <v>38433</v>
      </c>
      <c t="s">
        <v>30106</v>
      </c>
      <c t="s">
        <v>3093</v>
      </c>
      <c t="s">
        <v>40055</v>
      </c>
    </row>
    <row>
      <c t="s">
        <v>17594</v>
      </c>
      <c t="s">
        <v>15917</v>
      </c>
      <c t="s">
        <v>9474</v>
      </c>
      <c t="s">
        <v>58715</v>
      </c>
      <c t="s">
        <v>14110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365" s="1" t="str">
        <f ca="1">HYPERLINK("https://web.datatree.com/?/property?propertyId=33688841", "https://web.datatree.com/?/property?propertyId=33688841")</f>
        <v>https://web.datatree.com/?/property?propertyId=33688841</v>
      </c>
      <c r="Q4365" t="s">
        <v>316</v>
      </c>
      <c>
        <v>0.23</v>
      </c>
      <c t="s">
        <v>6175</v>
      </c>
      <c r="U4365" t="s">
        <v>62858</v>
      </c>
      <c r="W4365" t="s">
        <v>35718</v>
      </c>
      <c t="s">
        <v>65213</v>
      </c>
      <c t="s">
        <v>61850</v>
      </c>
      <c t="s">
        <v>2517</v>
      </c>
      <c t="s">
        <v>39289</v>
      </c>
      <c>
        <v>33909</v>
      </c>
      <c t="s">
        <v>6186</v>
      </c>
      <c t="s">
        <v>48794</v>
      </c>
      <c t="s">
        <v>13248</v>
      </c>
      <c>
        <v>145</v>
      </c>
      <c r="AI4365" t="s">
        <v>49674</v>
      </c>
      <c t="s">
        <v>45620</v>
      </c>
      <c>
        <v>504</v>
      </c>
      <c t="s">
        <v>55393</v>
      </c>
      <c r="AN4365" t="s">
        <v>39289</v>
      </c>
      <c t="s">
        <v>15578</v>
      </c>
      <c t="s">
        <v>4480</v>
      </c>
      <c t="s">
        <v>3093</v>
      </c>
      <c t="s">
        <v>13455</v>
      </c>
    </row>
    <row>
      <c t="s">
        <v>17594</v>
      </c>
      <c t="s">
        <v>10806</v>
      </c>
      <c t="s">
        <v>15308</v>
      </c>
      <c t="s">
        <v>38980</v>
      </c>
      <c t="s">
        <v>48029</v>
      </c>
      <c s="3">
        <v>31592</v>
      </c>
      <c s="3">
        <v>31592</v>
      </c>
      <c s="3">
        <v>12650</v>
      </c>
      <c>
        <v>0</v>
      </c>
      <c s="3">
        <v>0</v>
      </c>
      <c s="3">
        <v>2001.72</v>
      </c>
      <c s="3">
        <v>31592</v>
      </c>
      <c r="O4366" s="1" t="str">
        <f ca="1">HYPERLINK("https://web.datatree.com/?/property?propertyId=33688997", "https://web.datatree.com/?/property?propertyId=33688997")</f>
        <v>https://web.datatree.com/?/property?propertyId=33688997</v>
      </c>
      <c r="Q4366" t="s">
        <v>316</v>
      </c>
      <c>
        <v>0.23</v>
      </c>
      <c t="s">
        <v>22490</v>
      </c>
      <c t="s">
        <v>6645</v>
      </c>
      <c t="s">
        <v>47830</v>
      </c>
      <c r="X4366" t="s">
        <v>46428</v>
      </c>
      <c t="s">
        <v>17022</v>
      </c>
      <c t="s">
        <v>2517</v>
      </c>
      <c t="s">
        <v>39289</v>
      </c>
      <c>
        <v>33909</v>
      </c>
      <c t="s">
        <v>48169</v>
      </c>
      <c t="s">
        <v>48794</v>
      </c>
      <c t="s">
        <v>14777</v>
      </c>
      <c>
        <v>2</v>
      </c>
      <c r="AI4366" t="s">
        <v>57422</v>
      </c>
      <c r="AL4366" t="s">
        <v>6492</v>
      </c>
      <c t="s">
        <v>6492</v>
      </c>
      <c t="s">
        <v>26304</v>
      </c>
      <c>
        <v>68330</v>
      </c>
      <c r="AR4366" t="s">
        <v>33171</v>
      </c>
    </row>
    <row>
      <c t="s">
        <v>17594</v>
      </c>
      <c t="s">
        <v>39459</v>
      </c>
      <c t="s">
        <v>49488</v>
      </c>
      <c t="s">
        <v>29536</v>
      </c>
      <c t="s">
        <v>10313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4367" s="1" t="str">
        <f ca="1">HYPERLINK("https://web.datatree.com/?/property?propertyId=33689447", "https://web.datatree.com/?/property?propertyId=33689447")</f>
        <v>https://web.datatree.com/?/property?propertyId=33689447</v>
      </c>
      <c r="Q4367" t="s">
        <v>316</v>
      </c>
      <c>
        <v>0.244</v>
      </c>
      <c t="s">
        <v>6175</v>
      </c>
      <c t="s">
        <v>54943</v>
      </c>
      <c t="s">
        <v>32964</v>
      </c>
      <c r="X4367" t="s">
        <v>46089</v>
      </c>
      <c t="s">
        <v>2626</v>
      </c>
      <c t="s">
        <v>2517</v>
      </c>
      <c t="s">
        <v>39289</v>
      </c>
      <c>
        <v>33909</v>
      </c>
      <c t="s">
        <v>2752</v>
      </c>
      <c t="s">
        <v>48794</v>
      </c>
      <c t="s">
        <v>34366</v>
      </c>
      <c>
        <v>16990</v>
      </c>
      <c r="AI4367" t="s">
        <v>32351</v>
      </c>
      <c t="s">
        <v>24900</v>
      </c>
      <c r="AL4367" t="s">
        <v>41781</v>
      </c>
      <c r="AN4367" t="s">
        <v>39289</v>
      </c>
      <c t="s">
        <v>28187</v>
      </c>
      <c t="s">
        <v>7207</v>
      </c>
      <c t="s">
        <v>3093</v>
      </c>
      <c t="s">
        <v>16157</v>
      </c>
    </row>
    <row>
      <c t="s">
        <v>17594</v>
      </c>
      <c t="s">
        <v>50660</v>
      </c>
      <c t="s">
        <v>12778</v>
      </c>
      <c t="s">
        <v>52700</v>
      </c>
      <c t="s">
        <v>43135</v>
      </c>
      <c s="3">
        <v>7300</v>
      </c>
      <c s="3">
        <v>7300</v>
      </c>
      <c s="3">
        <v>7300</v>
      </c>
      <c>
        <v>0</v>
      </c>
      <c s="3">
        <v>0</v>
      </c>
      <c s="3">
        <v>484.25</v>
      </c>
      <c s="3">
        <v>7300</v>
      </c>
      <c>
        <v>2021</v>
      </c>
      <c>
        <v>488.26</v>
      </c>
      <c s="1" t="str">
        <f ca="1">HYPERLINK("https://web.datatree.com/?/property?propertyId=33690594", "https://web.datatree.com/?/property?propertyId=33690594")</f>
        <v>https://web.datatree.com/?/property?propertyId=33690594</v>
      </c>
      <c r="Q4368" t="s">
        <v>316</v>
      </c>
      <c>
        <v>0.244</v>
      </c>
      <c t="s">
        <v>22490</v>
      </c>
      <c t="s">
        <v>552</v>
      </c>
      <c t="s">
        <v>3650</v>
      </c>
      <c t="s">
        <v>1599</v>
      </c>
      <c t="s">
        <v>3650</v>
      </c>
      <c t="s">
        <v>67240</v>
      </c>
      <c t="s">
        <v>39082</v>
      </c>
      <c t="s">
        <v>2517</v>
      </c>
      <c t="s">
        <v>39289</v>
      </c>
      <c>
        <v>33909</v>
      </c>
      <c t="s">
        <v>39109</v>
      </c>
      <c t="s">
        <v>48794</v>
      </c>
      <c t="s">
        <v>30353</v>
      </c>
      <c>
        <v>181</v>
      </c>
      <c r="AI4368" t="s">
        <v>5105</v>
      </c>
      <c t="s">
        <v>45393</v>
      </c>
      <c r="AL4368" t="s">
        <v>2501</v>
      </c>
      <c r="AN4368" t="s">
        <v>27747</v>
      </c>
      <c>
        <v>1527</v>
      </c>
      <c r="AQ4368" t="s">
        <v>3093</v>
      </c>
      <c t="s">
        <v>25141</v>
      </c>
    </row>
    <row>
      <c t="s">
        <v>17594</v>
      </c>
      <c t="s">
        <v>19988</v>
      </c>
      <c t="s">
        <v>9917</v>
      </c>
      <c t="s">
        <v>62458</v>
      </c>
      <c t="s">
        <v>29695</v>
      </c>
      <c s="3">
        <v>33172</v>
      </c>
      <c s="3">
        <v>33172</v>
      </c>
      <c s="3">
        <v>33172</v>
      </c>
      <c>
        <v>0</v>
      </c>
      <c s="3">
        <v>0</v>
      </c>
      <c s="3">
        <v>3279.24</v>
      </c>
      <c s="3">
        <v>33172</v>
      </c>
      <c r="O4369" s="1" t="str">
        <f ca="1">HYPERLINK("https://web.datatree.com/?/property?propertyId=33691534", "https://web.datatree.com/?/property?propertyId=33691534")</f>
        <v>https://web.datatree.com/?/property?propertyId=33691534</v>
      </c>
      <c r="Q4369" t="s">
        <v>316</v>
      </c>
      <c>
        <v>0.27</v>
      </c>
      <c t="s">
        <v>22490</v>
      </c>
      <c r="U4369" t="s">
        <v>3287</v>
      </c>
      <c t="s">
        <v>43746</v>
      </c>
      <c t="s">
        <v>45888</v>
      </c>
      <c t="s">
        <v>25012</v>
      </c>
      <c t="s">
        <v>2626</v>
      </c>
      <c t="s">
        <v>2517</v>
      </c>
      <c t="s">
        <v>39289</v>
      </c>
      <c>
        <v>33909</v>
      </c>
      <c t="s">
        <v>38819</v>
      </c>
      <c t="s">
        <v>48794</v>
      </c>
      <c t="s">
        <v>4410</v>
      </c>
      <c>
        <v>6398</v>
      </c>
      <c r="AI4369" t="s">
        <v>13392</v>
      </c>
      <c t="s">
        <v>24900</v>
      </c>
      <c r="AL4369" t="s">
        <v>11713</v>
      </c>
      <c r="AN4369" t="s">
        <v>39289</v>
      </c>
      <c t="s">
        <v>49561</v>
      </c>
      <c t="s">
        <v>51249</v>
      </c>
      <c t="s">
        <v>3093</v>
      </c>
      <c t="s">
        <v>48105</v>
      </c>
    </row>
    <row>
      <c t="s">
        <v>17594</v>
      </c>
      <c t="s">
        <v>15526</v>
      </c>
      <c t="s">
        <v>45722</v>
      </c>
      <c t="s">
        <v>7632</v>
      </c>
      <c t="s">
        <v>52590</v>
      </c>
      <c s="3">
        <v>9271</v>
      </c>
      <c s="3">
        <v>9271</v>
      </c>
      <c s="3">
        <v>4972</v>
      </c>
      <c>
        <v>0</v>
      </c>
      <c s="3">
        <v>0</v>
      </c>
      <c s="3">
        <v>321.86</v>
      </c>
      <c s="3">
        <v>9271</v>
      </c>
      <c>
        <v>2019</v>
      </c>
      <c>
        <v>1411.38</v>
      </c>
      <c s="1" t="str">
        <f ca="1">HYPERLINK("https://web.datatree.com/?/property?propertyId=33691964", "https://web.datatree.com/?/property?propertyId=33691964")</f>
        <v>https://web.datatree.com/?/property?propertyId=33691964</v>
      </c>
      <c r="Q4370" t="s">
        <v>316</v>
      </c>
      <c>
        <v>0.279</v>
      </c>
      <c t="s">
        <v>5471</v>
      </c>
      <c t="s">
        <v>3293</v>
      </c>
      <c t="s">
        <v>62735</v>
      </c>
      <c r="X4370" t="s">
        <v>55085</v>
      </c>
      <c t="s">
        <v>18225</v>
      </c>
      <c t="s">
        <v>65059</v>
      </c>
      <c t="s">
        <v>39289</v>
      </c>
      <c>
        <v>33905</v>
      </c>
      <c t="s">
        <v>61148</v>
      </c>
      <c t="s">
        <v>48794</v>
      </c>
      <c t="s">
        <v>49672</v>
      </c>
      <c>
        <v>1416</v>
      </c>
      <c r="AI4370" t="s">
        <v>7082</v>
      </c>
      <c t="s">
        <v>45620</v>
      </c>
      <c r="AL4370" t="s">
        <v>25403</v>
      </c>
      <c r="AN4370" t="s">
        <v>10909</v>
      </c>
      <c t="s">
        <v>63648</v>
      </c>
      <c r="AQ4370" t="s">
        <v>27814</v>
      </c>
      <c t="s">
        <v>56731</v>
      </c>
    </row>
    <row>
      <c t="s">
        <v>17594</v>
      </c>
      <c t="s">
        <v>45929</v>
      </c>
      <c t="s">
        <v>28642</v>
      </c>
      <c t="s">
        <v>38677</v>
      </c>
      <c t="s">
        <v>19334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4371" s="1" t="str">
        <f ca="1">HYPERLINK("https://web.datatree.com/?/property?propertyId=33692543", "https://web.datatree.com/?/property?propertyId=33692543")</f>
        <v>https://web.datatree.com/?/property?propertyId=33692543</v>
      </c>
      <c r="Q4371" t="s">
        <v>316</v>
      </c>
      <c>
        <v>0.235</v>
      </c>
      <c t="s">
        <v>6175</v>
      </c>
      <c t="s">
        <v>21379</v>
      </c>
      <c t="s">
        <v>19804</v>
      </c>
      <c t="s">
        <v>26502</v>
      </c>
      <c t="s">
        <v>61239</v>
      </c>
      <c t="s">
        <v>53040</v>
      </c>
      <c t="s">
        <v>39082</v>
      </c>
      <c t="s">
        <v>2517</v>
      </c>
      <c t="s">
        <v>39289</v>
      </c>
      <c>
        <v>33909</v>
      </c>
      <c t="s">
        <v>23492</v>
      </c>
      <c t="s">
        <v>48794</v>
      </c>
      <c t="s">
        <v>27901</v>
      </c>
      <c>
        <v>2437</v>
      </c>
      <c r="AI4371" t="s">
        <v>22767</v>
      </c>
      <c t="s">
        <v>31192</v>
      </c>
      <c r="AL4371" t="s">
        <v>50455</v>
      </c>
      <c t="s">
        <v>50455</v>
      </c>
      <c t="s">
        <v>27222</v>
      </c>
      <c t="s">
        <v>25742</v>
      </c>
      <c t="s">
        <v>15686</v>
      </c>
      <c t="s">
        <v>3093</v>
      </c>
      <c t="s">
        <v>57092</v>
      </c>
    </row>
    <row>
      <c t="s">
        <v>17594</v>
      </c>
      <c t="s">
        <v>166</v>
      </c>
      <c t="s">
        <v>46294</v>
      </c>
      <c t="s">
        <v>55706</v>
      </c>
      <c t="s">
        <v>24330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4372" s="1" t="str">
        <f ca="1">HYPERLINK("https://web.datatree.com/?/property?propertyId=33692700", "https://web.datatree.com/?/property?propertyId=33692700")</f>
        <v>https://web.datatree.com/?/property?propertyId=33692700</v>
      </c>
      <c r="Q4372" t="s">
        <v>316</v>
      </c>
      <c>
        <v>0.241</v>
      </c>
      <c t="s">
        <v>6175</v>
      </c>
      <c t="s">
        <v>62125</v>
      </c>
      <c t="s">
        <v>14295</v>
      </c>
      <c t="s">
        <v>10892</v>
      </c>
      <c t="s">
        <v>3889</v>
      </c>
      <c t="s">
        <v>4280</v>
      </c>
      <c t="s">
        <v>25017</v>
      </c>
      <c t="s">
        <v>2517</v>
      </c>
      <c t="s">
        <v>39289</v>
      </c>
      <c>
        <v>33909</v>
      </c>
      <c t="s">
        <v>16777</v>
      </c>
      <c t="s">
        <v>48794</v>
      </c>
      <c t="s">
        <v>44984</v>
      </c>
      <c>
        <v>637</v>
      </c>
      <c r="AI4372" t="s">
        <v>21986</v>
      </c>
      <c t="s">
        <v>24900</v>
      </c>
      <c r="AL4372" t="s">
        <v>45726</v>
      </c>
      <c r="AN4372" t="s">
        <v>19878</v>
      </c>
      <c t="s">
        <v>43828</v>
      </c>
      <c t="s">
        <v>34025</v>
      </c>
      <c t="s">
        <v>3093</v>
      </c>
      <c t="s">
        <v>22579</v>
      </c>
    </row>
    <row>
      <c t="s">
        <v>17594</v>
      </c>
      <c t="s">
        <v>25749</v>
      </c>
      <c t="s">
        <v>55741</v>
      </c>
      <c t="s">
        <v>21373</v>
      </c>
      <c t="s">
        <v>64003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373" s="1" t="str">
        <f ca="1">HYPERLINK("https://web.datatree.com/?/property?propertyId=33692735", "https://web.datatree.com/?/property?propertyId=33692735")</f>
        <v>https://web.datatree.com/?/property?propertyId=33692735</v>
      </c>
      <c r="Q4373" t="s">
        <v>316</v>
      </c>
      <c>
        <v>0.23</v>
      </c>
      <c t="s">
        <v>22490</v>
      </c>
      <c t="s">
        <v>32009</v>
      </c>
      <c t="s">
        <v>11183</v>
      </c>
      <c t="s">
        <v>51891</v>
      </c>
      <c t="s">
        <v>11183</v>
      </c>
      <c t="s">
        <v>31408</v>
      </c>
      <c t="s">
        <v>59763</v>
      </c>
      <c t="s">
        <v>2517</v>
      </c>
      <c t="s">
        <v>39289</v>
      </c>
      <c>
        <v>33909</v>
      </c>
      <c>
        <v>33909</v>
      </c>
      <c t="s">
        <v>48794</v>
      </c>
      <c t="s">
        <v>13800</v>
      </c>
      <c>
        <v>13411</v>
      </c>
      <c r="AI4373" t="s">
        <v>2619</v>
      </c>
      <c t="s">
        <v>41372</v>
      </c>
      <c r="AL4373" t="s">
        <v>18092</v>
      </c>
      <c r="AN4373" t="s">
        <v>39289</v>
      </c>
      <c t="s">
        <v>64945</v>
      </c>
      <c t="s">
        <v>40645</v>
      </c>
      <c t="s">
        <v>3093</v>
      </c>
      <c t="s">
        <v>52875</v>
      </c>
    </row>
    <row>
      <c t="s">
        <v>17594</v>
      </c>
      <c t="s">
        <v>18165</v>
      </c>
      <c t="s">
        <v>625</v>
      </c>
      <c t="s">
        <v>60926</v>
      </c>
      <c t="s">
        <v>12231</v>
      </c>
      <c s="3">
        <v>18361</v>
      </c>
      <c s="3">
        <v>18361</v>
      </c>
      <c s="3">
        <v>9130</v>
      </c>
      <c>
        <v>0</v>
      </c>
      <c s="3">
        <v>0</v>
      </c>
      <c s="3">
        <v>581.68</v>
      </c>
      <c s="3">
        <v>18361</v>
      </c>
      <c r="O4374" s="1" t="str">
        <f ca="1">HYPERLINK("https://web.datatree.com/?/property?propertyId=33692801", "https://web.datatree.com/?/property?propertyId=33692801")</f>
        <v>https://web.datatree.com/?/property?propertyId=33692801</v>
      </c>
      <c r="Q4374" t="s">
        <v>316</v>
      </c>
      <c>
        <v>0.23</v>
      </c>
      <c t="s">
        <v>22490</v>
      </c>
      <c t="s">
        <v>1800</v>
      </c>
      <c t="s">
        <v>33711</v>
      </c>
      <c r="X4374" t="s">
        <v>59674</v>
      </c>
      <c t="s">
        <v>53663</v>
      </c>
      <c t="s">
        <v>2517</v>
      </c>
      <c t="s">
        <v>39289</v>
      </c>
      <c>
        <v>33909</v>
      </c>
      <c>
        <v>33909</v>
      </c>
      <c t="s">
        <v>48794</v>
      </c>
      <c t="s">
        <v>24908</v>
      </c>
      <c>
        <v>2905</v>
      </c>
      <c r="AH4374" t="s">
        <v>6851</v>
      </c>
      <c t="s">
        <v>66544</v>
      </c>
      <c t="s">
        <v>55842</v>
      </c>
      <c r="AL4374" t="s">
        <v>42094</v>
      </c>
      <c r="AN4374" t="s">
        <v>66651</v>
      </c>
      <c t="s">
        <v>18320</v>
      </c>
      <c t="s">
        <v>54916</v>
      </c>
      <c t="s">
        <v>3093</v>
      </c>
      <c t="s">
        <v>25231</v>
      </c>
    </row>
    <row>
      <c t="s">
        <v>17594</v>
      </c>
      <c t="s">
        <v>28198</v>
      </c>
      <c t="s">
        <v>37341</v>
      </c>
      <c t="s">
        <v>53598</v>
      </c>
      <c t="s">
        <v>50832</v>
      </c>
      <c s="3">
        <v>8867</v>
      </c>
      <c s="3">
        <v>8867</v>
      </c>
      <c s="3">
        <v>4972</v>
      </c>
      <c>
        <v>0</v>
      </c>
      <c s="3">
        <v>0</v>
      </c>
      <c s="3">
        <v>323.16</v>
      </c>
      <c s="3">
        <v>8867</v>
      </c>
      <c r="O4375" s="1" t="str">
        <f ca="1">HYPERLINK("https://web.datatree.com/?/property?propertyId=33694098", "https://web.datatree.com/?/property?propertyId=33694098")</f>
        <v>https://web.datatree.com/?/property?propertyId=33694098</v>
      </c>
      <c r="Q4375" t="s">
        <v>316</v>
      </c>
      <c>
        <v>0.291</v>
      </c>
      <c t="s">
        <v>5471</v>
      </c>
      <c t="s">
        <v>15209</v>
      </c>
      <c t="s">
        <v>11492</v>
      </c>
      <c r="X4375" t="s">
        <v>14807</v>
      </c>
      <c t="s">
        <v>20650</v>
      </c>
      <c t="s">
        <v>65059</v>
      </c>
      <c t="s">
        <v>39289</v>
      </c>
      <c>
        <v>33905</v>
      </c>
      <c t="s">
        <v>16834</v>
      </c>
      <c t="s">
        <v>48794</v>
      </c>
      <c t="s">
        <v>10597</v>
      </c>
      <c>
        <v>155</v>
      </c>
      <c r="AI4375" t="s">
        <v>20199</v>
      </c>
      <c t="s">
        <v>45393</v>
      </c>
      <c r="AL4375" t="s">
        <v>37463</v>
      </c>
      <c r="AN4375" t="s">
        <v>50917</v>
      </c>
      <c t="s">
        <v>3573</v>
      </c>
      <c t="s">
        <v>61719</v>
      </c>
      <c t="s">
        <v>3093</v>
      </c>
      <c t="s">
        <v>122</v>
      </c>
    </row>
    <row>
      <c t="s">
        <v>17594</v>
      </c>
      <c t="s">
        <v>55259</v>
      </c>
      <c t="s">
        <v>5177</v>
      </c>
      <c t="s">
        <v>19868</v>
      </c>
      <c t="s">
        <v>43286</v>
      </c>
      <c s="3">
        <v>65914</v>
      </c>
      <c s="3">
        <v>65914</v>
      </c>
      <c s="3">
        <v>65914</v>
      </c>
      <c>
        <v>0</v>
      </c>
      <c s="3">
        <v>0</v>
      </c>
      <c s="3">
        <v>887.98</v>
      </c>
      <c s="3">
        <v>65914</v>
      </c>
      <c r="O4376" s="1" t="str">
        <f ca="1">HYPERLINK("https://web.datatree.com/?/property?propertyId=33695465", "https://web.datatree.com/?/property?propertyId=33695465")</f>
        <v>https://web.datatree.com/?/property?propertyId=33695465</v>
      </c>
      <c r="Q4376" t="s">
        <v>316</v>
      </c>
      <c>
        <v>5.25</v>
      </c>
      <c t="s">
        <v>30497</v>
      </c>
      <c t="s">
        <v>1859</v>
      </c>
      <c t="s">
        <v>56229</v>
      </c>
      <c t="s">
        <v>54573</v>
      </c>
      <c t="s">
        <v>56229</v>
      </c>
      <c t="s">
        <v>28600</v>
      </c>
      <c t="s">
        <v>21849</v>
      </c>
      <c t="s">
        <v>65059</v>
      </c>
      <c t="s">
        <v>39289</v>
      </c>
      <c>
        <v>33905</v>
      </c>
      <c>
        <v>33905</v>
      </c>
      <c t="s">
        <v>48794</v>
      </c>
      <c t="s">
        <v>41739</v>
      </c>
      <c>
        <v>2451</v>
      </c>
      <c r="AI4376" t="s">
        <v>60239</v>
      </c>
      <c t="s">
        <v>41372</v>
      </c>
      <c r="AL4376" t="s">
        <v>31138</v>
      </c>
      <c t="s">
        <v>31138</v>
      </c>
      <c t="s">
        <v>50917</v>
      </c>
      <c t="s">
        <v>36982</v>
      </c>
      <c t="s">
        <v>53800</v>
      </c>
      <c t="s">
        <v>3093</v>
      </c>
      <c t="s">
        <v>16154</v>
      </c>
    </row>
    <row>
      <c t="s">
        <v>17594</v>
      </c>
      <c t="s">
        <v>64517</v>
      </c>
      <c t="s">
        <v>51424</v>
      </c>
      <c t="s">
        <v>66877</v>
      </c>
      <c t="s">
        <v>3856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377" s="1" t="str">
        <f ca="1">HYPERLINK("https://web.datatree.com/?/property?propertyId=33695536", "https://web.datatree.com/?/property?propertyId=33695536")</f>
        <v>https://web.datatree.com/?/property?propertyId=33695536</v>
      </c>
      <c r="Q4377" t="s">
        <v>316</v>
      </c>
      <c>
        <v>0.23</v>
      </c>
      <c t="s">
        <v>6175</v>
      </c>
      <c t="s">
        <v>64201</v>
      </c>
      <c t="s">
        <v>61208</v>
      </c>
      <c r="X4377" t="s">
        <v>12223</v>
      </c>
      <c t="s">
        <v>55273</v>
      </c>
      <c t="s">
        <v>2517</v>
      </c>
      <c t="s">
        <v>39289</v>
      </c>
      <c>
        <v>33909</v>
      </c>
      <c t="s">
        <v>3119</v>
      </c>
      <c t="s">
        <v>48794</v>
      </c>
      <c t="s">
        <v>29123</v>
      </c>
      <c>
        <v>18813</v>
      </c>
      <c r="AI4377" t="s">
        <v>25815</v>
      </c>
      <c r="AL4377" t="s">
        <v>55685</v>
      </c>
      <c r="AN4377" t="s">
        <v>49572</v>
      </c>
      <c t="s">
        <v>45797</v>
      </c>
      <c t="s">
        <v>14695</v>
      </c>
      <c t="s">
        <v>3093</v>
      </c>
      <c t="s">
        <v>53278</v>
      </c>
    </row>
    <row>
      <c t="s">
        <v>17594</v>
      </c>
      <c t="s">
        <v>46689</v>
      </c>
      <c t="s">
        <v>61684</v>
      </c>
      <c t="s">
        <v>36568</v>
      </c>
      <c t="s">
        <v>66699</v>
      </c>
      <c s="3">
        <v>56330</v>
      </c>
      <c s="3">
        <v>56330</v>
      </c>
      <c s="3">
        <v>39930</v>
      </c>
      <c>
        <v>0</v>
      </c>
      <c s="3">
        <v>0</v>
      </c>
      <c s="3">
        <v>1134.95</v>
      </c>
      <c s="3">
        <v>56330</v>
      </c>
      <c r="O4378" s="1" t="str">
        <f ca="1">HYPERLINK("https://web.datatree.com/?/property?propertyId=33695921", "https://web.datatree.com/?/property?propertyId=33695921")</f>
        <v>https://web.datatree.com/?/property?propertyId=33695921</v>
      </c>
      <c r="Q4378" t="s">
        <v>316</v>
      </c>
      <c>
        <v>0.23</v>
      </c>
      <c t="s">
        <v>22490</v>
      </c>
      <c t="s">
        <v>39466</v>
      </c>
      <c t="s">
        <v>35017</v>
      </c>
      <c r="X4378" t="s">
        <v>64592</v>
      </c>
      <c t="s">
        <v>33179</v>
      </c>
      <c t="s">
        <v>2517</v>
      </c>
      <c t="s">
        <v>39289</v>
      </c>
      <c>
        <v>33909</v>
      </c>
      <c t="s">
        <v>34288</v>
      </c>
      <c t="s">
        <v>48794</v>
      </c>
      <c t="s">
        <v>669</v>
      </c>
      <c>
        <v>58</v>
      </c>
      <c r="AI4378" t="s">
        <v>14774</v>
      </c>
      <c t="s">
        <v>45393</v>
      </c>
      <c r="AL4378" t="s">
        <v>43328</v>
      </c>
      <c t="s">
        <v>43328</v>
      </c>
      <c t="s">
        <v>22275</v>
      </c>
      <c>
        <v>17110</v>
      </c>
      <c r="AR4378" t="s">
        <v>29890</v>
      </c>
    </row>
    <row>
      <c t="s">
        <v>17594</v>
      </c>
      <c t="s">
        <v>4261</v>
      </c>
      <c t="s">
        <v>46565</v>
      </c>
      <c t="s">
        <v>44230</v>
      </c>
      <c t="s">
        <v>38315</v>
      </c>
      <c s="3">
        <v>193125</v>
      </c>
      <c s="3">
        <v>193125</v>
      </c>
      <c s="3">
        <v>169950</v>
      </c>
      <c>
        <v>0</v>
      </c>
      <c s="3">
        <v>0</v>
      </c>
      <c s="3">
        <v>3487.19</v>
      </c>
      <c s="3">
        <v>193125</v>
      </c>
      <c r="O4379" s="1" t="str">
        <f ca="1">HYPERLINK("https://web.datatree.com/?/property?propertyId=33696271", "https://web.datatree.com/?/property?propertyId=33696271")</f>
        <v>https://web.datatree.com/?/property?propertyId=33696271</v>
      </c>
      <c r="Q4379" t="s">
        <v>316</v>
      </c>
      <c>
        <v>0.23</v>
      </c>
      <c t="s">
        <v>22490</v>
      </c>
      <c t="s">
        <v>53608</v>
      </c>
      <c t="s">
        <v>34323</v>
      </c>
      <c t="s">
        <v>33280</v>
      </c>
      <c t="s">
        <v>34323</v>
      </c>
      <c t="s">
        <v>12303</v>
      </c>
      <c t="s">
        <v>55082</v>
      </c>
      <c t="s">
        <v>2517</v>
      </c>
      <c t="s">
        <v>39289</v>
      </c>
      <c>
        <v>33904</v>
      </c>
      <c t="s">
        <v>63949</v>
      </c>
      <c t="s">
        <v>48794</v>
      </c>
      <c t="s">
        <v>10474</v>
      </c>
      <c>
        <v>1734</v>
      </c>
      <c r="AI4379" t="s">
        <v>63803</v>
      </c>
      <c t="s">
        <v>1671</v>
      </c>
      <c r="AL4379" t="s">
        <v>2196</v>
      </c>
      <c r="AN4379" t="s">
        <v>36633</v>
      </c>
      <c t="s">
        <v>24867</v>
      </c>
      <c t="s">
        <v>44843</v>
      </c>
      <c t="s">
        <v>3093</v>
      </c>
      <c t="s">
        <v>63477</v>
      </c>
    </row>
    <row>
      <c t="s">
        <v>17594</v>
      </c>
      <c t="s">
        <v>58071</v>
      </c>
      <c t="s">
        <v>36330</v>
      </c>
      <c t="s">
        <v>49824</v>
      </c>
      <c t="s">
        <v>59099</v>
      </c>
      <c s="3">
        <v>8776</v>
      </c>
      <c s="3">
        <v>8776</v>
      </c>
      <c s="3">
        <v>4972</v>
      </c>
      <c>
        <v>0</v>
      </c>
      <c s="3">
        <v>0</v>
      </c>
      <c s="3">
        <v>317.96</v>
      </c>
      <c s="3">
        <v>8776</v>
      </c>
      <c r="O4380" s="1" t="str">
        <f ca="1">HYPERLINK("https://web.datatree.com/?/property?propertyId=33697308", "https://web.datatree.com/?/property?propertyId=33697308")</f>
        <v>https://web.datatree.com/?/property?propertyId=33697308</v>
      </c>
      <c r="Q4380" t="s">
        <v>316</v>
      </c>
      <c>
        <v>0.251</v>
      </c>
      <c t="s">
        <v>5471</v>
      </c>
      <c t="s">
        <v>32056</v>
      </c>
      <c t="s">
        <v>14703</v>
      </c>
      <c r="X4380" t="s">
        <v>37867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47886</v>
      </c>
      <c>
        <v>12328</v>
      </c>
      <c r="AI4380" t="s">
        <v>24288</v>
      </c>
      <c t="s">
        <v>45620</v>
      </c>
      <c r="AL4380" t="s">
        <v>18475</v>
      </c>
      <c r="AN4380" t="s">
        <v>22275</v>
      </c>
      <c t="s">
        <v>41536</v>
      </c>
      <c t="s">
        <v>25140</v>
      </c>
      <c t="s">
        <v>3093</v>
      </c>
      <c t="s">
        <v>20399</v>
      </c>
    </row>
    <row>
      <c t="s">
        <v>17594</v>
      </c>
      <c t="s">
        <v>23040</v>
      </c>
      <c t="s">
        <v>48666</v>
      </c>
      <c t="s">
        <v>42549</v>
      </c>
      <c t="s">
        <v>28006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4381" s="1" t="str">
        <f ca="1">HYPERLINK("https://web.datatree.com/?/property?propertyId=33697441", "https://web.datatree.com/?/property?propertyId=33697441")</f>
        <v>https://web.datatree.com/?/property?propertyId=33697441</v>
      </c>
      <c r="Q4381" t="s">
        <v>316</v>
      </c>
      <c>
        <v>0.23</v>
      </c>
      <c t="s">
        <v>22490</v>
      </c>
      <c t="s">
        <v>30720</v>
      </c>
      <c t="s">
        <v>24833</v>
      </c>
      <c r="X4381" t="s">
        <v>4650</v>
      </c>
      <c t="s">
        <v>22731</v>
      </c>
      <c t="s">
        <v>2517</v>
      </c>
      <c t="s">
        <v>39289</v>
      </c>
      <c>
        <v>33909</v>
      </c>
      <c t="s">
        <v>15810</v>
      </c>
      <c t="s">
        <v>48794</v>
      </c>
      <c t="s">
        <v>43704</v>
      </c>
      <c>
        <v>16</v>
      </c>
      <c r="AI4381" t="s">
        <v>40290</v>
      </c>
      <c t="s">
        <v>40123</v>
      </c>
      <c r="AL4381" t="s">
        <v>22788</v>
      </c>
      <c t="s">
        <v>22788</v>
      </c>
      <c t="s">
        <v>17331</v>
      </c>
      <c t="s">
        <v>25097</v>
      </c>
      <c t="s">
        <v>49977</v>
      </c>
      <c t="s">
        <v>3093</v>
      </c>
      <c t="s">
        <v>55379</v>
      </c>
    </row>
    <row>
      <c t="s">
        <v>17594</v>
      </c>
      <c t="s">
        <v>62597</v>
      </c>
      <c t="s">
        <v>35827</v>
      </c>
      <c t="s">
        <v>60924</v>
      </c>
      <c t="s">
        <v>24736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382" s="1" t="str">
        <f ca="1">HYPERLINK("https://web.datatree.com/?/property?propertyId=33697802", "https://web.datatree.com/?/property?propertyId=33697802")</f>
        <v>https://web.datatree.com/?/property?propertyId=33697802</v>
      </c>
      <c r="Q4382" t="s">
        <v>316</v>
      </c>
      <c>
        <v>0.229</v>
      </c>
      <c t="s">
        <v>22490</v>
      </c>
      <c t="s">
        <v>42212</v>
      </c>
      <c t="s">
        <v>65971</v>
      </c>
      <c t="s">
        <v>52045</v>
      </c>
      <c t="s">
        <v>65971</v>
      </c>
      <c t="s">
        <v>57377</v>
      </c>
      <c t="s">
        <v>47150</v>
      </c>
      <c t="s">
        <v>2517</v>
      </c>
      <c t="s">
        <v>39289</v>
      </c>
      <c>
        <v>33909</v>
      </c>
      <c t="s">
        <v>53276</v>
      </c>
      <c t="s">
        <v>48794</v>
      </c>
      <c t="s">
        <v>389</v>
      </c>
      <c>
        <v>60</v>
      </c>
      <c r="AI4382" t="s">
        <v>47491</v>
      </c>
      <c t="s">
        <v>31192</v>
      </c>
      <c r="AL4382" t="s">
        <v>51134</v>
      </c>
      <c r="AN4382" t="s">
        <v>10909</v>
      </c>
      <c t="s">
        <v>18417</v>
      </c>
      <c r="AQ4382" t="s">
        <v>27814</v>
      </c>
      <c t="s">
        <v>19445</v>
      </c>
    </row>
    <row>
      <c t="s">
        <v>17594</v>
      </c>
      <c t="s">
        <v>46567</v>
      </c>
      <c t="s">
        <v>54400</v>
      </c>
      <c t="s">
        <v>57438</v>
      </c>
      <c t="s">
        <v>25138</v>
      </c>
      <c s="3">
        <v>8500</v>
      </c>
      <c s="3">
        <v>8500</v>
      </c>
      <c s="3">
        <v>8500</v>
      </c>
      <c>
        <v>0</v>
      </c>
      <c s="3">
        <v>0</v>
      </c>
      <c s="3">
        <v>679.59</v>
      </c>
      <c s="3">
        <v>8500</v>
      </c>
      <c r="O4383" s="1" t="str">
        <f ca="1">HYPERLINK("https://web.datatree.com/?/property?propertyId=33698061", "https://web.datatree.com/?/property?propertyId=33698061")</f>
        <v>https://web.datatree.com/?/property?propertyId=33698061</v>
      </c>
      <c r="Q4383" t="s">
        <v>316</v>
      </c>
      <c>
        <v>0.244</v>
      </c>
      <c t="s">
        <v>6175</v>
      </c>
      <c t="s">
        <v>552</v>
      </c>
      <c t="s">
        <v>33457</v>
      </c>
      <c r="X4383" t="s">
        <v>7230</v>
      </c>
      <c t="s">
        <v>30928</v>
      </c>
      <c t="s">
        <v>2517</v>
      </c>
      <c t="s">
        <v>39289</v>
      </c>
      <c>
        <v>33909</v>
      </c>
      <c t="s">
        <v>63474</v>
      </c>
      <c t="s">
        <v>48794</v>
      </c>
      <c t="s">
        <v>2331</v>
      </c>
      <c>
        <v>4907</v>
      </c>
      <c r="AH4383" t="s">
        <v>57851</v>
      </c>
      <c t="s">
        <v>55376</v>
      </c>
      <c t="s">
        <v>31192</v>
      </c>
      <c r="AL4383" t="s">
        <v>3402</v>
      </c>
      <c r="AN4383" t="s">
        <v>39289</v>
      </c>
      <c t="s">
        <v>63657</v>
      </c>
      <c t="s">
        <v>61410</v>
      </c>
      <c t="s">
        <v>3093</v>
      </c>
      <c t="s">
        <v>16774</v>
      </c>
    </row>
    <row>
      <c t="s">
        <v>17594</v>
      </c>
      <c t="s">
        <v>58783</v>
      </c>
      <c t="s">
        <v>35745</v>
      </c>
      <c t="s">
        <v>55145</v>
      </c>
      <c t="s">
        <v>16491</v>
      </c>
      <c s="3">
        <v>18984</v>
      </c>
      <c s="3">
        <v>18984</v>
      </c>
      <c s="3">
        <v>7865</v>
      </c>
      <c>
        <v>0</v>
      </c>
      <c s="3">
        <v>0</v>
      </c>
      <c s="3">
        <v>535.36</v>
      </c>
      <c s="3">
        <v>18984</v>
      </c>
      <c r="O4384" s="1" t="str">
        <f ca="1">HYPERLINK("https://web.datatree.com/?/property?propertyId=33698385", "https://web.datatree.com/?/property?propertyId=33698385")</f>
        <v>https://web.datatree.com/?/property?propertyId=33698385</v>
      </c>
      <c r="Q4384" t="s">
        <v>316</v>
      </c>
      <c>
        <v>0.281</v>
      </c>
      <c t="s">
        <v>6175</v>
      </c>
      <c t="s">
        <v>46795</v>
      </c>
      <c t="s">
        <v>56661</v>
      </c>
      <c r="X4384" t="s">
        <v>49771</v>
      </c>
      <c t="s">
        <v>13829</v>
      </c>
      <c t="s">
        <v>2517</v>
      </c>
      <c t="s">
        <v>39289</v>
      </c>
      <c>
        <v>33909</v>
      </c>
      <c t="s">
        <v>898</v>
      </c>
      <c t="s">
        <v>48794</v>
      </c>
      <c t="s">
        <v>35072</v>
      </c>
      <c>
        <v>35517</v>
      </c>
      <c r="AI4384" t="s">
        <v>29644</v>
      </c>
      <c t="s">
        <v>31192</v>
      </c>
      <c r="AL4384" t="s">
        <v>63155</v>
      </c>
      <c r="AN4384" t="s">
        <v>50829</v>
      </c>
      <c t="s">
        <v>44860</v>
      </c>
      <c t="s">
        <v>44428</v>
      </c>
      <c t="s">
        <v>3093</v>
      </c>
      <c t="s">
        <v>6103</v>
      </c>
    </row>
    <row>
      <c t="s">
        <v>17594</v>
      </c>
      <c t="s">
        <v>25283</v>
      </c>
      <c t="s">
        <v>51943</v>
      </c>
      <c t="s">
        <v>60406</v>
      </c>
      <c t="s">
        <v>22784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4385" s="1" t="str">
        <f ca="1">HYPERLINK("https://web.datatree.com/?/property?propertyId=33698490", "https://web.datatree.com/?/property?propertyId=33698490")</f>
        <v>https://web.datatree.com/?/property?propertyId=33698490</v>
      </c>
      <c r="Q4385" t="s">
        <v>316</v>
      </c>
      <c>
        <v>0.23</v>
      </c>
      <c t="s">
        <v>45031</v>
      </c>
      <c t="s">
        <v>35474</v>
      </c>
      <c t="s">
        <v>9435</v>
      </c>
      <c t="s">
        <v>63144</v>
      </c>
      <c t="s">
        <v>20597</v>
      </c>
      <c t="s">
        <v>18274</v>
      </c>
      <c t="s">
        <v>18679</v>
      </c>
      <c t="s">
        <v>2517</v>
      </c>
      <c t="s">
        <v>39289</v>
      </c>
      <c>
        <v>33909</v>
      </c>
      <c t="s">
        <v>63886</v>
      </c>
      <c t="s">
        <v>48794</v>
      </c>
      <c t="s">
        <v>18150</v>
      </c>
      <c>
        <v>10210</v>
      </c>
      <c r="AI4385" t="s">
        <v>45280</v>
      </c>
      <c t="s">
        <v>31192</v>
      </c>
      <c r="AL4385" t="s">
        <v>51148</v>
      </c>
      <c t="s">
        <v>51148</v>
      </c>
      <c t="s">
        <v>39289</v>
      </c>
      <c t="s">
        <v>14625</v>
      </c>
      <c t="s">
        <v>35508</v>
      </c>
      <c t="s">
        <v>3093</v>
      </c>
      <c t="s">
        <v>63364</v>
      </c>
    </row>
    <row>
      <c t="s">
        <v>42103</v>
      </c>
      <c t="s">
        <v>29346</v>
      </c>
      <c t="s">
        <v>62843</v>
      </c>
      <c t="s">
        <v>16716</v>
      </c>
      <c t="s">
        <v>547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386" s="1" t="str">
        <f ca="1">HYPERLINK("https://web.datatree.com/?/property?propertyId=33699294", "https://web.datatree.com/?/property?propertyId=33699294")</f>
        <v>https://web.datatree.com/?/property?propertyId=33699294</v>
      </c>
      <c r="Q4386" t="s">
        <v>316</v>
      </c>
      <c>
        <v>0.23</v>
      </c>
      <c t="s">
        <v>6175</v>
      </c>
      <c t="s">
        <v>38259</v>
      </c>
      <c t="s">
        <v>9592</v>
      </c>
      <c r="X4386" t="s">
        <v>22575</v>
      </c>
      <c t="s">
        <v>61865</v>
      </c>
      <c t="s">
        <v>2517</v>
      </c>
      <c t="s">
        <v>39289</v>
      </c>
      <c>
        <v>33909</v>
      </c>
      <c t="s">
        <v>58155</v>
      </c>
      <c t="s">
        <v>48794</v>
      </c>
      <c t="s">
        <v>49302</v>
      </c>
      <c r="AI4386" t="s">
        <v>261</v>
      </c>
      <c r="AL4386" t="s">
        <v>55393</v>
      </c>
      <c r="AN4386" t="s">
        <v>39289</v>
      </c>
      <c t="s">
        <v>57697</v>
      </c>
      <c t="s">
        <v>22666</v>
      </c>
      <c t="s">
        <v>3093</v>
      </c>
      <c t="s">
        <v>9229</v>
      </c>
    </row>
    <row>
      <c t="s">
        <v>17594</v>
      </c>
      <c t="s">
        <v>38113</v>
      </c>
      <c t="s">
        <v>20538</v>
      </c>
      <c t="s">
        <v>58904</v>
      </c>
      <c t="s">
        <v>58738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387" s="1" t="str">
        <f ca="1">HYPERLINK("https://web.datatree.com/?/property?propertyId=33699409", "https://web.datatree.com/?/property?propertyId=33699409")</f>
        <v>https://web.datatree.com/?/property?propertyId=33699409</v>
      </c>
      <c r="Q4387" t="s">
        <v>316</v>
      </c>
      <c>
        <v>0.23</v>
      </c>
      <c t="s">
        <v>6175</v>
      </c>
      <c t="s">
        <v>56037</v>
      </c>
      <c t="s">
        <v>3535</v>
      </c>
      <c r="X4387" t="s">
        <v>62605</v>
      </c>
      <c t="s">
        <v>13065</v>
      </c>
      <c t="s">
        <v>2517</v>
      </c>
      <c t="s">
        <v>39289</v>
      </c>
      <c>
        <v>33909</v>
      </c>
      <c t="s">
        <v>18531</v>
      </c>
      <c t="s">
        <v>48794</v>
      </c>
      <c t="s">
        <v>66368</v>
      </c>
      <c>
        <v>2641</v>
      </c>
      <c r="AI4387" t="s">
        <v>5927</v>
      </c>
      <c t="s">
        <v>31192</v>
      </c>
      <c r="AL4387" t="s">
        <v>23242</v>
      </c>
      <c t="s">
        <v>23242</v>
      </c>
      <c t="s">
        <v>18236</v>
      </c>
      <c t="s">
        <v>62626</v>
      </c>
      <c t="s">
        <v>5652</v>
      </c>
      <c t="s">
        <v>3093</v>
      </c>
      <c t="s">
        <v>22813</v>
      </c>
    </row>
    <row>
      <c t="s">
        <v>17594</v>
      </c>
      <c t="s">
        <v>59429</v>
      </c>
      <c t="s">
        <v>51113</v>
      </c>
      <c t="s">
        <v>43410</v>
      </c>
      <c t="s">
        <v>60954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4388" s="1" t="str">
        <f ca="1">HYPERLINK("https://web.datatree.com/?/property?propertyId=33700250", "https://web.datatree.com/?/property?propertyId=33700250")</f>
        <v>https://web.datatree.com/?/property?propertyId=33700250</v>
      </c>
      <c r="Q4388" t="s">
        <v>316</v>
      </c>
      <c>
        <v>0.23</v>
      </c>
      <c t="s">
        <v>45031</v>
      </c>
      <c t="s">
        <v>63615</v>
      </c>
      <c t="s">
        <v>7358</v>
      </c>
      <c t="s">
        <v>1360</v>
      </c>
      <c t="s">
        <v>7358</v>
      </c>
      <c t="s">
        <v>35676</v>
      </c>
      <c t="s">
        <v>46469</v>
      </c>
      <c t="s">
        <v>2517</v>
      </c>
      <c t="s">
        <v>39289</v>
      </c>
      <c>
        <v>33909</v>
      </c>
      <c t="s">
        <v>22858</v>
      </c>
      <c t="s">
        <v>48794</v>
      </c>
      <c t="s">
        <v>3202</v>
      </c>
      <c>
        <v>6202</v>
      </c>
      <c r="AI4388" t="s">
        <v>25384</v>
      </c>
      <c t="s">
        <v>45393</v>
      </c>
      <c r="AL4388" t="s">
        <v>50237</v>
      </c>
      <c t="s">
        <v>50237</v>
      </c>
      <c t="s">
        <v>4477</v>
      </c>
      <c t="s">
        <v>36465</v>
      </c>
      <c t="s">
        <v>12241</v>
      </c>
      <c t="s">
        <v>3093</v>
      </c>
      <c t="s">
        <v>11708</v>
      </c>
    </row>
    <row>
      <c t="s">
        <v>17594</v>
      </c>
      <c t="s">
        <v>65127</v>
      </c>
      <c t="s">
        <v>48660</v>
      </c>
      <c t="s">
        <v>52821</v>
      </c>
      <c t="s">
        <v>26331</v>
      </c>
      <c s="3">
        <v>18000</v>
      </c>
      <c s="3">
        <v>18000</v>
      </c>
      <c s="3">
        <v>6389</v>
      </c>
      <c>
        <v>0</v>
      </c>
      <c s="3">
        <v>0</v>
      </c>
      <c s="3">
        <v>164.02</v>
      </c>
      <c s="3">
        <v>18000</v>
      </c>
      <c r="O4389" s="1" t="str">
        <f ca="1">HYPERLINK("https://web.datatree.com/?/property?propertyId=33700564", "https://web.datatree.com/?/property?propertyId=33700564")</f>
        <v>https://web.datatree.com/?/property?propertyId=33700564</v>
      </c>
      <c r="Q4389" t="s">
        <v>316</v>
      </c>
      <c>
        <v>0.23</v>
      </c>
      <c t="s">
        <v>66399</v>
      </c>
      <c t="s">
        <v>15111</v>
      </c>
      <c t="s">
        <v>54740</v>
      </c>
      <c r="X4389" t="s">
        <v>4809</v>
      </c>
      <c t="s">
        <v>6449</v>
      </c>
      <c t="s">
        <v>65059</v>
      </c>
      <c t="s">
        <v>39289</v>
      </c>
      <c>
        <v>33905</v>
      </c>
      <c>
        <v>33905</v>
      </c>
      <c t="s">
        <v>48794</v>
      </c>
      <c t="s">
        <v>25501</v>
      </c>
      <c>
        <v>390</v>
      </c>
      <c r="AI4389" t="s">
        <v>53508</v>
      </c>
      <c t="s">
        <v>39321</v>
      </c>
      <c r="AL4389" t="s">
        <v>23689</v>
      </c>
      <c t="s">
        <v>40227</v>
      </c>
      <c t="s">
        <v>39289</v>
      </c>
      <c t="s">
        <v>47390</v>
      </c>
      <c t="s">
        <v>19978</v>
      </c>
      <c t="s">
        <v>3093</v>
      </c>
      <c t="s">
        <v>33852</v>
      </c>
    </row>
    <row>
      <c t="s">
        <v>17594</v>
      </c>
      <c t="s">
        <v>28881</v>
      </c>
      <c t="s">
        <v>7514</v>
      </c>
      <c t="s">
        <v>33999</v>
      </c>
      <c t="s">
        <v>46025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4390" s="1" t="str">
        <f ca="1">HYPERLINK("https://web.datatree.com/?/property?propertyId=33700745", "https://web.datatree.com/?/property?propertyId=33700745")</f>
        <v>https://web.datatree.com/?/property?propertyId=33700745</v>
      </c>
      <c r="Q4390" t="s">
        <v>316</v>
      </c>
      <c>
        <v>0.23</v>
      </c>
      <c t="s">
        <v>22490</v>
      </c>
      <c t="s">
        <v>15893</v>
      </c>
      <c t="s">
        <v>62994</v>
      </c>
      <c r="X4390" t="s">
        <v>30761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57978</v>
      </c>
      <c>
        <v>63</v>
      </c>
      <c r="AI4390" t="s">
        <v>12832</v>
      </c>
      <c t="s">
        <v>45393</v>
      </c>
      <c r="AL4390" t="s">
        <v>11871</v>
      </c>
      <c r="AN4390" t="s">
        <v>26016</v>
      </c>
      <c t="s">
        <v>51254</v>
      </c>
      <c t="s">
        <v>42082</v>
      </c>
      <c t="s">
        <v>3093</v>
      </c>
      <c t="s">
        <v>18682</v>
      </c>
    </row>
    <row>
      <c t="s">
        <v>17594</v>
      </c>
      <c t="s">
        <v>50270</v>
      </c>
      <c t="s">
        <v>7015</v>
      </c>
      <c t="s">
        <v>49328</v>
      </c>
      <c t="s">
        <v>34181</v>
      </c>
      <c s="3">
        <v>28919</v>
      </c>
      <c s="3">
        <v>28919</v>
      </c>
      <c s="3">
        <v>28919</v>
      </c>
      <c>
        <v>0</v>
      </c>
      <c s="3">
        <v>0</v>
      </c>
      <c s="3">
        <v>860.94</v>
      </c>
      <c s="3">
        <v>28919</v>
      </c>
      <c r="O4391" s="1" t="str">
        <f ca="1">HYPERLINK("https://web.datatree.com/?/property?propertyId=33701634", "https://web.datatree.com/?/property?propertyId=33701634")</f>
        <v>https://web.datatree.com/?/property?propertyId=33701634</v>
      </c>
      <c r="Q4391" t="s">
        <v>316</v>
      </c>
      <c>
        <v>0.274</v>
      </c>
      <c t="s">
        <v>22490</v>
      </c>
      <c t="s">
        <v>11570</v>
      </c>
      <c t="s">
        <v>45794</v>
      </c>
      <c t="s">
        <v>46676</v>
      </c>
      <c t="s">
        <v>45794</v>
      </c>
      <c t="s">
        <v>28781</v>
      </c>
      <c t="s">
        <v>66701</v>
      </c>
      <c t="s">
        <v>2517</v>
      </c>
      <c t="s">
        <v>39289</v>
      </c>
      <c>
        <v>33909</v>
      </c>
      <c t="s">
        <v>33143</v>
      </c>
      <c t="s">
        <v>48794</v>
      </c>
      <c t="s">
        <v>62574</v>
      </c>
      <c>
        <v>684</v>
      </c>
      <c r="AI4391" t="s">
        <v>63957</v>
      </c>
      <c t="s">
        <v>24900</v>
      </c>
      <c r="AL4391" t="s">
        <v>2657</v>
      </c>
      <c t="s">
        <v>862</v>
      </c>
      <c t="s">
        <v>22275</v>
      </c>
      <c t="s">
        <v>36490</v>
      </c>
      <c t="s">
        <v>43446</v>
      </c>
      <c t="s">
        <v>3093</v>
      </c>
      <c t="s">
        <v>29537</v>
      </c>
    </row>
    <row>
      <c t="s">
        <v>17594</v>
      </c>
      <c t="s">
        <v>46335</v>
      </c>
      <c t="s">
        <v>6815</v>
      </c>
      <c t="s">
        <v>34698</v>
      </c>
      <c t="s">
        <v>64058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517.64</v>
      </c>
      <c s="1" t="str">
        <f ca="1">HYPERLINK("https://web.datatree.com/?/property?propertyId=33702134", "https://web.datatree.com/?/property?propertyId=33702134")</f>
        <v>https://web.datatree.com/?/property?propertyId=33702134</v>
      </c>
      <c r="Q4392" t="s">
        <v>316</v>
      </c>
      <c>
        <v>0.23</v>
      </c>
      <c t="s">
        <v>6175</v>
      </c>
      <c t="s">
        <v>18553</v>
      </c>
      <c t="s">
        <v>62610</v>
      </c>
      <c r="X4392" t="s">
        <v>43255</v>
      </c>
      <c t="s">
        <v>18679</v>
      </c>
      <c t="s">
        <v>2517</v>
      </c>
      <c t="s">
        <v>39289</v>
      </c>
      <c>
        <v>33909</v>
      </c>
      <c t="s">
        <v>9703</v>
      </c>
      <c t="s">
        <v>48794</v>
      </c>
      <c t="s">
        <v>48485</v>
      </c>
      <c>
        <v>350</v>
      </c>
      <c r="AI4392" t="s">
        <v>45220</v>
      </c>
      <c t="s">
        <v>45620</v>
      </c>
      <c r="AL4392" t="s">
        <v>2430</v>
      </c>
      <c r="AN4392" t="s">
        <v>7234</v>
      </c>
      <c>
        <v>0</v>
      </c>
      <c r="AR4392" t="s">
        <v>58524</v>
      </c>
    </row>
    <row>
      <c t="s">
        <v>17594</v>
      </c>
      <c t="s">
        <v>60131</v>
      </c>
      <c t="s">
        <v>4122</v>
      </c>
      <c t="s">
        <v>36308</v>
      </c>
      <c t="s">
        <v>3678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4393" s="1" t="str">
        <f ca="1">HYPERLINK("https://web.datatree.com/?/property?propertyId=33702745", "https://web.datatree.com/?/property?propertyId=33702745")</f>
        <v>https://web.datatree.com/?/property?propertyId=33702745</v>
      </c>
      <c r="Q4393" t="s">
        <v>316</v>
      </c>
      <c>
        <v>0.23</v>
      </c>
      <c t="s">
        <v>6175</v>
      </c>
      <c t="s">
        <v>55321</v>
      </c>
      <c t="s">
        <v>58621</v>
      </c>
      <c r="X4393" t="s">
        <v>58539</v>
      </c>
      <c t="s">
        <v>61865</v>
      </c>
      <c t="s">
        <v>2517</v>
      </c>
      <c t="s">
        <v>39289</v>
      </c>
      <c>
        <v>33909</v>
      </c>
      <c t="s">
        <v>13537</v>
      </c>
      <c t="s">
        <v>48794</v>
      </c>
      <c t="s">
        <v>15460</v>
      </c>
      <c>
        <v>110</v>
      </c>
      <c r="AI4393" t="s">
        <v>38311</v>
      </c>
      <c t="s">
        <v>48479</v>
      </c>
      <c r="AL4393" t="s">
        <v>46008</v>
      </c>
      <c r="AN4393" t="s">
        <v>10909</v>
      </c>
      <c t="s">
        <v>66965</v>
      </c>
      <c r="AQ4393" t="s">
        <v>27814</v>
      </c>
      <c t="s">
        <v>32565</v>
      </c>
    </row>
    <row>
      <c t="s">
        <v>17594</v>
      </c>
      <c t="s">
        <v>22732</v>
      </c>
      <c t="s">
        <v>65552</v>
      </c>
      <c t="s">
        <v>26432</v>
      </c>
      <c t="s">
        <v>38616</v>
      </c>
      <c s="3">
        <v>15788</v>
      </c>
      <c s="3">
        <v>15788</v>
      </c>
      <c s="3">
        <v>8250</v>
      </c>
      <c>
        <v>0</v>
      </c>
      <c s="3">
        <v>0</v>
      </c>
      <c s="3">
        <v>512.81</v>
      </c>
      <c s="3">
        <v>15788</v>
      </c>
      <c r="O4394" s="1" t="str">
        <f ca="1">HYPERLINK("https://web.datatree.com/?/property?propertyId=33703546", "https://web.datatree.com/?/property?propertyId=33703546")</f>
        <v>https://web.datatree.com/?/property?propertyId=33703546</v>
      </c>
      <c r="Q4394" t="s">
        <v>316</v>
      </c>
      <c>
        <v>0.23</v>
      </c>
      <c t="s">
        <v>6175</v>
      </c>
      <c t="s">
        <v>29328</v>
      </c>
      <c t="s">
        <v>9964</v>
      </c>
      <c r="X4394" t="s">
        <v>12377</v>
      </c>
      <c t="s">
        <v>2626</v>
      </c>
      <c t="s">
        <v>2517</v>
      </c>
      <c t="s">
        <v>39289</v>
      </c>
      <c>
        <v>33909</v>
      </c>
      <c t="s">
        <v>32462</v>
      </c>
      <c t="s">
        <v>48794</v>
      </c>
      <c t="s">
        <v>11426</v>
      </c>
      <c>
        <v>2336</v>
      </c>
      <c r="AI4394" t="s">
        <v>29086</v>
      </c>
      <c t="s">
        <v>24900</v>
      </c>
      <c r="AL4394" t="s">
        <v>65059</v>
      </c>
      <c t="s">
        <v>5040</v>
      </c>
      <c t="s">
        <v>39289</v>
      </c>
      <c t="s">
        <v>43407</v>
      </c>
      <c t="s">
        <v>51114</v>
      </c>
      <c t="s">
        <v>3093</v>
      </c>
      <c t="s">
        <v>63340</v>
      </c>
    </row>
    <row>
      <c t="s">
        <v>17594</v>
      </c>
      <c t="s">
        <v>58954</v>
      </c>
      <c t="s">
        <v>26054</v>
      </c>
      <c t="s">
        <v>2213</v>
      </c>
      <c t="s">
        <v>66503</v>
      </c>
      <c s="3">
        <v>8600</v>
      </c>
      <c s="3">
        <v>8600</v>
      </c>
      <c s="3">
        <v>8600</v>
      </c>
      <c>
        <v>0</v>
      </c>
      <c s="3">
        <v>0</v>
      </c>
      <c s="3">
        <v>2770.94</v>
      </c>
      <c s="3">
        <v>8600</v>
      </c>
      <c r="O4395" s="1" t="str">
        <f ca="1">HYPERLINK("https://web.datatree.com/?/property?propertyId=33703671", "https://web.datatree.com/?/property?propertyId=33703671")</f>
        <v>https://web.datatree.com/?/property?propertyId=33703671</v>
      </c>
      <c r="Q4395" t="s">
        <v>316</v>
      </c>
      <c>
        <v>0.23</v>
      </c>
      <c t="s">
        <v>6175</v>
      </c>
      <c t="s">
        <v>39781</v>
      </c>
      <c t="s">
        <v>41554</v>
      </c>
      <c t="s">
        <v>16200</v>
      </c>
      <c t="s">
        <v>41554</v>
      </c>
      <c t="s">
        <v>52480</v>
      </c>
      <c t="s">
        <v>59356</v>
      </c>
      <c t="s">
        <v>2517</v>
      </c>
      <c t="s">
        <v>39289</v>
      </c>
      <c>
        <v>33909</v>
      </c>
      <c t="s">
        <v>66509</v>
      </c>
      <c t="s">
        <v>48794</v>
      </c>
      <c t="s">
        <v>53967</v>
      </c>
      <c>
        <v>1633</v>
      </c>
      <c r="AI4395" t="s">
        <v>62800</v>
      </c>
      <c t="s">
        <v>39321</v>
      </c>
      <c r="AL4395" t="s">
        <v>2517</v>
      </c>
      <c t="s">
        <v>34722</v>
      </c>
      <c t="s">
        <v>39289</v>
      </c>
      <c t="s">
        <v>51227</v>
      </c>
      <c t="s">
        <v>53476</v>
      </c>
      <c t="s">
        <v>3093</v>
      </c>
      <c t="s">
        <v>22762</v>
      </c>
    </row>
    <row>
      <c t="s">
        <v>17594</v>
      </c>
      <c t="s">
        <v>54844</v>
      </c>
      <c t="s">
        <v>59571</v>
      </c>
      <c t="s">
        <v>22100</v>
      </c>
      <c t="s">
        <v>6658</v>
      </c>
      <c s="3">
        <v>8600</v>
      </c>
      <c s="3">
        <v>8600</v>
      </c>
      <c s="3">
        <v>8600</v>
      </c>
      <c>
        <v>0</v>
      </c>
      <c s="3">
        <v>0</v>
      </c>
      <c s="3">
        <v>2889.06</v>
      </c>
      <c s="3">
        <v>8600</v>
      </c>
      <c r="O4396" s="1" t="str">
        <f ca="1">HYPERLINK("https://web.datatree.com/?/property?propertyId=33704574", "https://web.datatree.com/?/property?propertyId=33704574")</f>
        <v>https://web.datatree.com/?/property?propertyId=33704574</v>
      </c>
      <c r="Q4396" t="s">
        <v>316</v>
      </c>
      <c>
        <v>0.244</v>
      </c>
      <c t="s">
        <v>6175</v>
      </c>
      <c t="s">
        <v>33269</v>
      </c>
      <c t="s">
        <v>43721</v>
      </c>
      <c t="s">
        <v>51968</v>
      </c>
      <c t="s">
        <v>43721</v>
      </c>
      <c t="s">
        <v>44235</v>
      </c>
      <c t="s">
        <v>25017</v>
      </c>
      <c t="s">
        <v>2517</v>
      </c>
      <c t="s">
        <v>39289</v>
      </c>
      <c>
        <v>33909</v>
      </c>
      <c t="s">
        <v>58501</v>
      </c>
      <c t="s">
        <v>48794</v>
      </c>
      <c t="s">
        <v>32899</v>
      </c>
      <c>
        <v>1155</v>
      </c>
      <c r="AI4396" t="s">
        <v>66585</v>
      </c>
      <c t="s">
        <v>40123</v>
      </c>
      <c r="AL4396" t="s">
        <v>59494</v>
      </c>
      <c r="AN4396" t="s">
        <v>65451</v>
      </c>
      <c t="s">
        <v>15408</v>
      </c>
      <c t="s">
        <v>31626</v>
      </c>
      <c t="s">
        <v>3093</v>
      </c>
      <c t="s">
        <v>23464</v>
      </c>
    </row>
    <row>
      <c t="s">
        <v>17594</v>
      </c>
      <c t="s">
        <v>44621</v>
      </c>
      <c t="s">
        <v>1870</v>
      </c>
      <c t="s">
        <v>56979</v>
      </c>
      <c t="s">
        <v>9830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4397" s="1" t="str">
        <f ca="1">HYPERLINK("https://web.datatree.com/?/property?propertyId=33704758", "https://web.datatree.com/?/property?propertyId=33704758")</f>
        <v>https://web.datatree.com/?/property?propertyId=33704758</v>
      </c>
      <c r="Q4397" t="s">
        <v>316</v>
      </c>
      <c>
        <v>0.23</v>
      </c>
      <c t="s">
        <v>22490</v>
      </c>
      <c t="s">
        <v>66997</v>
      </c>
      <c t="s">
        <v>47984</v>
      </c>
      <c r="X4397" t="s">
        <v>3046</v>
      </c>
      <c t="s">
        <v>49122</v>
      </c>
      <c t="s">
        <v>2517</v>
      </c>
      <c t="s">
        <v>39289</v>
      </c>
      <c>
        <v>33909</v>
      </c>
      <c t="s">
        <v>56107</v>
      </c>
      <c t="s">
        <v>48794</v>
      </c>
      <c t="s">
        <v>14322</v>
      </c>
      <c>
        <v>2885</v>
      </c>
      <c r="AI4397" t="s">
        <v>14674</v>
      </c>
      <c t="s">
        <v>63316</v>
      </c>
      <c r="AL4397" t="s">
        <v>63523</v>
      </c>
      <c t="s">
        <v>63523</v>
      </c>
      <c t="s">
        <v>65451</v>
      </c>
      <c t="s">
        <v>22708</v>
      </c>
      <c t="s">
        <v>13610</v>
      </c>
      <c t="s">
        <v>3093</v>
      </c>
      <c t="s">
        <v>66792</v>
      </c>
    </row>
    <row>
      <c t="s">
        <v>17594</v>
      </c>
      <c t="s">
        <v>46846</v>
      </c>
      <c t="s">
        <v>39919</v>
      </c>
      <c t="s">
        <v>28102</v>
      </c>
      <c t="s">
        <v>23201</v>
      </c>
      <c s="3">
        <v>8400</v>
      </c>
      <c s="3">
        <v>8400</v>
      </c>
      <c s="3">
        <v>8400</v>
      </c>
      <c>
        <v>0</v>
      </c>
      <c s="3">
        <v>0</v>
      </c>
      <c s="3">
        <v>609.45</v>
      </c>
      <c s="3">
        <v>8400</v>
      </c>
      <c r="O4398" s="1" t="str">
        <f ca="1">HYPERLINK("https://web.datatree.com/?/property?propertyId=33705167", "https://web.datatree.com/?/property?propertyId=33705167")</f>
        <v>https://web.datatree.com/?/property?propertyId=33705167</v>
      </c>
      <c r="Q4398" t="s">
        <v>316</v>
      </c>
      <c>
        <v>0.241</v>
      </c>
      <c t="s">
        <v>22490</v>
      </c>
      <c r="U4398" t="s">
        <v>8052</v>
      </c>
      <c t="s">
        <v>40487</v>
      </c>
      <c t="s">
        <v>21475</v>
      </c>
      <c t="s">
        <v>57902</v>
      </c>
      <c t="s">
        <v>34136</v>
      </c>
      <c t="s">
        <v>2517</v>
      </c>
      <c t="s">
        <v>39289</v>
      </c>
      <c>
        <v>33909</v>
      </c>
      <c t="s">
        <v>8211</v>
      </c>
      <c t="s">
        <v>48794</v>
      </c>
      <c t="s">
        <v>6681</v>
      </c>
      <c>
        <v>12603</v>
      </c>
      <c r="AI4398" t="s">
        <v>62166</v>
      </c>
      <c t="s">
        <v>24900</v>
      </c>
      <c r="AL4398" t="s">
        <v>14702</v>
      </c>
      <c t="s">
        <v>14702</v>
      </c>
      <c t="s">
        <v>65451</v>
      </c>
      <c t="s">
        <v>20384</v>
      </c>
      <c t="s">
        <v>15686</v>
      </c>
      <c t="s">
        <v>3093</v>
      </c>
      <c t="s">
        <v>37726</v>
      </c>
    </row>
    <row>
      <c t="s">
        <v>17594</v>
      </c>
      <c t="s">
        <v>35105</v>
      </c>
      <c t="s">
        <v>21622</v>
      </c>
      <c t="s">
        <v>14968</v>
      </c>
      <c t="s">
        <v>56607</v>
      </c>
      <c s="3">
        <v>74599</v>
      </c>
      <c s="3">
        <v>67250</v>
      </c>
      <c s="3">
        <v>71053</v>
      </c>
      <c>
        <v>0</v>
      </c>
      <c s="3">
        <v>0</v>
      </c>
      <c s="3">
        <v>1088.37</v>
      </c>
      <c s="3">
        <v>74599</v>
      </c>
      <c r="O4399" s="1" t="str">
        <f ca="1">HYPERLINK("https://web.datatree.com/?/property?propertyId=33705512", "https://web.datatree.com/?/property?propertyId=33705512")</f>
        <v>https://web.datatree.com/?/property?propertyId=33705512</v>
      </c>
      <c r="Q4399" t="s">
        <v>316</v>
      </c>
      <c>
        <v>0.097</v>
      </c>
      <c t="s">
        <v>26492</v>
      </c>
      <c r="U4399" t="s">
        <v>25919</v>
      </c>
      <c r="W4399" t="s">
        <v>12994</v>
      </c>
      <c t="s">
        <v>64385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32689</v>
      </c>
      <c>
        <v>727</v>
      </c>
      <c r="AI4399" t="s">
        <v>48447</v>
      </c>
      <c t="s">
        <v>45620</v>
      </c>
      <c r="AL4399" t="s">
        <v>21600</v>
      </c>
      <c t="s">
        <v>40227</v>
      </c>
      <c t="s">
        <v>49572</v>
      </c>
      <c t="s">
        <v>18295</v>
      </c>
      <c t="s">
        <v>49977</v>
      </c>
      <c t="s">
        <v>3093</v>
      </c>
      <c t="s">
        <v>31252</v>
      </c>
    </row>
    <row>
      <c t="s">
        <v>17594</v>
      </c>
      <c t="s">
        <v>45109</v>
      </c>
      <c t="s">
        <v>35117</v>
      </c>
      <c t="s">
        <v>23506</v>
      </c>
      <c t="s">
        <v>33135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400" s="1" t="str">
        <f ca="1">HYPERLINK("https://web.datatree.com/?/property?propertyId=33705627", "https://web.datatree.com/?/property?propertyId=33705627")</f>
        <v>https://web.datatree.com/?/property?propertyId=33705627</v>
      </c>
      <c r="Q4400" t="s">
        <v>316</v>
      </c>
      <c>
        <v>0.23</v>
      </c>
      <c t="s">
        <v>6175</v>
      </c>
      <c t="s">
        <v>47754</v>
      </c>
      <c t="s">
        <v>36594</v>
      </c>
      <c r="X4400" t="s">
        <v>6811</v>
      </c>
      <c t="s">
        <v>66701</v>
      </c>
      <c t="s">
        <v>2517</v>
      </c>
      <c t="s">
        <v>39289</v>
      </c>
      <c>
        <v>33909</v>
      </c>
      <c t="s">
        <v>63173</v>
      </c>
      <c t="s">
        <v>48794</v>
      </c>
      <c t="s">
        <v>1944</v>
      </c>
      <c>
        <v>8935</v>
      </c>
      <c r="AI4400" t="s">
        <v>64009</v>
      </c>
      <c t="s">
        <v>45393</v>
      </c>
      <c r="AL4400" t="s">
        <v>1121</v>
      </c>
      <c r="AN4400" t="s">
        <v>39289</v>
      </c>
      <c t="s">
        <v>36810</v>
      </c>
      <c t="s">
        <v>38014</v>
      </c>
      <c t="s">
        <v>3093</v>
      </c>
      <c t="s">
        <v>64762</v>
      </c>
    </row>
    <row>
      <c t="s">
        <v>17594</v>
      </c>
      <c t="s">
        <v>17829</v>
      </c>
      <c t="s">
        <v>3869</v>
      </c>
      <c t="s">
        <v>26036</v>
      </c>
      <c t="s">
        <v>21910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401" s="1" t="str">
        <f ca="1">HYPERLINK("https://web.datatree.com/?/property?propertyId=33705677", "https://web.datatree.com/?/property?propertyId=33705677")</f>
        <v>https://web.datatree.com/?/property?propertyId=33705677</v>
      </c>
      <c r="Q4401" t="s">
        <v>316</v>
      </c>
      <c>
        <v>0.241</v>
      </c>
      <c t="s">
        <v>5471</v>
      </c>
      <c t="s">
        <v>9998</v>
      </c>
      <c t="s">
        <v>25102</v>
      </c>
      <c t="s">
        <v>65497</v>
      </c>
      <c t="s">
        <v>25102</v>
      </c>
      <c t="s">
        <v>33323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50550</v>
      </c>
      <c>
        <v>4404</v>
      </c>
      <c r="AI4401" t="s">
        <v>25102</v>
      </c>
      <c t="s">
        <v>45620</v>
      </c>
      <c r="AL4401" t="s">
        <v>16425</v>
      </c>
      <c r="AN4401" t="s">
        <v>10804</v>
      </c>
      <c t="s">
        <v>5332</v>
      </c>
      <c t="s">
        <v>52247</v>
      </c>
      <c t="s">
        <v>3093</v>
      </c>
      <c t="s">
        <v>23635</v>
      </c>
    </row>
    <row>
      <c t="s">
        <v>17594</v>
      </c>
      <c t="s">
        <v>9583</v>
      </c>
      <c t="s">
        <v>47173</v>
      </c>
      <c t="s">
        <v>50291</v>
      </c>
      <c t="s">
        <v>45840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402" s="1" t="str">
        <f ca="1">HYPERLINK("https://web.datatree.com/?/property?propertyId=33706086", "https://web.datatree.com/?/property?propertyId=33706086")</f>
        <v>https://web.datatree.com/?/property?propertyId=33706086</v>
      </c>
      <c r="Q4402" t="s">
        <v>316</v>
      </c>
      <c>
        <v>0.23</v>
      </c>
      <c t="s">
        <v>6175</v>
      </c>
      <c t="s">
        <v>1859</v>
      </c>
      <c t="s">
        <v>45300</v>
      </c>
      <c t="s">
        <v>52701</v>
      </c>
      <c t="s">
        <v>45300</v>
      </c>
      <c t="s">
        <v>61348</v>
      </c>
      <c t="s">
        <v>15510</v>
      </c>
      <c t="s">
        <v>2517</v>
      </c>
      <c t="s">
        <v>39289</v>
      </c>
      <c>
        <v>33909</v>
      </c>
      <c t="s">
        <v>48962</v>
      </c>
      <c t="s">
        <v>48794</v>
      </c>
      <c t="s">
        <v>21969</v>
      </c>
      <c>
        <v>12</v>
      </c>
      <c r="AI4402" t="s">
        <v>3768</v>
      </c>
      <c t="s">
        <v>39321</v>
      </c>
      <c r="AL4402" t="s">
        <v>62380</v>
      </c>
      <c r="AN4402" t="s">
        <v>26016</v>
      </c>
      <c t="s">
        <v>65009</v>
      </c>
      <c t="s">
        <v>3364</v>
      </c>
      <c t="s">
        <v>3093</v>
      </c>
      <c t="s">
        <v>60401</v>
      </c>
    </row>
    <row>
      <c t="s">
        <v>17594</v>
      </c>
      <c t="s">
        <v>32598</v>
      </c>
      <c t="s">
        <v>37946</v>
      </c>
      <c t="s">
        <v>61642</v>
      </c>
      <c t="s">
        <v>43565</v>
      </c>
      <c s="3">
        <v>23969</v>
      </c>
      <c s="3">
        <v>23969</v>
      </c>
      <c s="3">
        <v>12650</v>
      </c>
      <c>
        <v>0</v>
      </c>
      <c s="3">
        <v>0</v>
      </c>
      <c s="3">
        <v>675.67</v>
      </c>
      <c s="3">
        <v>23969</v>
      </c>
      <c>
        <v>2021</v>
      </c>
      <c>
        <v>689.13</v>
      </c>
      <c s="1" t="str">
        <f ca="1">HYPERLINK("https://web.datatree.com/?/property?propertyId=33706152", "https://web.datatree.com/?/property?propertyId=33706152")</f>
        <v>https://web.datatree.com/?/property?propertyId=33706152</v>
      </c>
      <c r="Q4403" t="s">
        <v>316</v>
      </c>
      <c>
        <v>0.269</v>
      </c>
      <c t="s">
        <v>22490</v>
      </c>
      <c t="s">
        <v>9183</v>
      </c>
      <c t="s">
        <v>53537</v>
      </c>
      <c r="X4403" t="s">
        <v>29281</v>
      </c>
      <c t="s">
        <v>53675</v>
      </c>
      <c t="s">
        <v>2517</v>
      </c>
      <c t="s">
        <v>39289</v>
      </c>
      <c>
        <v>33909</v>
      </c>
      <c t="s">
        <v>19098</v>
      </c>
      <c t="s">
        <v>48794</v>
      </c>
      <c t="s">
        <v>8372</v>
      </c>
      <c>
        <v>1161</v>
      </c>
      <c r="AI4403" t="s">
        <v>3042</v>
      </c>
      <c t="s">
        <v>39321</v>
      </c>
      <c r="AL4403" t="s">
        <v>29515</v>
      </c>
      <c r="AN4403" t="s">
        <v>39289</v>
      </c>
      <c t="s">
        <v>43857</v>
      </c>
      <c t="s">
        <v>60333</v>
      </c>
      <c t="s">
        <v>3093</v>
      </c>
      <c t="s">
        <v>34377</v>
      </c>
    </row>
    <row>
      <c t="s">
        <v>17594</v>
      </c>
      <c t="s">
        <v>59358</v>
      </c>
      <c t="s">
        <v>26510</v>
      </c>
      <c t="s">
        <v>66301</v>
      </c>
      <c t="s">
        <v>40212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4404" s="1" t="str">
        <f ca="1">HYPERLINK("https://web.datatree.com/?/property?propertyId=33706187", "https://web.datatree.com/?/property?propertyId=33706187")</f>
        <v>https://web.datatree.com/?/property?propertyId=33706187</v>
      </c>
      <c r="Q4404" t="s">
        <v>316</v>
      </c>
      <c>
        <v>0.246</v>
      </c>
      <c t="s">
        <v>6175</v>
      </c>
      <c t="s">
        <v>63182</v>
      </c>
      <c t="s">
        <v>62133</v>
      </c>
      <c t="s">
        <v>47119</v>
      </c>
      <c t="s">
        <v>62133</v>
      </c>
      <c t="s">
        <v>12841</v>
      </c>
      <c t="s">
        <v>29190</v>
      </c>
      <c t="s">
        <v>2517</v>
      </c>
      <c t="s">
        <v>39289</v>
      </c>
      <c>
        <v>33909</v>
      </c>
      <c t="s">
        <v>35118</v>
      </c>
      <c t="s">
        <v>48794</v>
      </c>
      <c t="s">
        <v>833</v>
      </c>
      <c>
        <v>2622</v>
      </c>
      <c r="AI4404" t="s">
        <v>33235</v>
      </c>
      <c t="s">
        <v>24900</v>
      </c>
      <c r="AL4404" t="s">
        <v>31138</v>
      </c>
      <c t="s">
        <v>31138</v>
      </c>
      <c t="s">
        <v>50917</v>
      </c>
      <c t="s">
        <v>2894</v>
      </c>
      <c t="s">
        <v>7207</v>
      </c>
      <c t="s">
        <v>3093</v>
      </c>
      <c t="s">
        <v>13531</v>
      </c>
    </row>
    <row>
      <c t="s">
        <v>17594</v>
      </c>
      <c t="s">
        <v>14895</v>
      </c>
      <c t="s">
        <v>38496</v>
      </c>
      <c t="s">
        <v>55815</v>
      </c>
      <c t="s">
        <v>5249</v>
      </c>
      <c s="3">
        <v>55793</v>
      </c>
      <c s="3">
        <v>55793</v>
      </c>
      <c s="3">
        <v>20986</v>
      </c>
      <c>
        <v>0</v>
      </c>
      <c s="3">
        <v>0</v>
      </c>
      <c s="3">
        <v>892.33</v>
      </c>
      <c s="3">
        <v>55793</v>
      </c>
      <c r="O4405" s="1" t="str">
        <f ca="1">HYPERLINK("https://web.datatree.com/?/property?propertyId=33706331", "https://web.datatree.com/?/property?propertyId=33706331")</f>
        <v>https://web.datatree.com/?/property?propertyId=33706331</v>
      </c>
      <c r="Q4405" t="s">
        <v>316</v>
      </c>
      <c>
        <v>0.23</v>
      </c>
      <c t="s">
        <v>6175</v>
      </c>
      <c t="s">
        <v>58276</v>
      </c>
      <c t="s">
        <v>4528</v>
      </c>
      <c r="X4405" t="s">
        <v>2415</v>
      </c>
      <c t="s">
        <v>25854</v>
      </c>
      <c t="s">
        <v>2517</v>
      </c>
      <c t="s">
        <v>39289</v>
      </c>
      <c>
        <v>33904</v>
      </c>
      <c t="s">
        <v>16618</v>
      </c>
      <c t="s">
        <v>48794</v>
      </c>
      <c t="s">
        <v>11250</v>
      </c>
      <c>
        <v>790</v>
      </c>
      <c r="AI4405" t="s">
        <v>19227</v>
      </c>
      <c t="s">
        <v>24900</v>
      </c>
      <c r="AL4405" t="s">
        <v>51555</v>
      </c>
      <c r="AN4405" t="s">
        <v>19878</v>
      </c>
      <c t="s">
        <v>10200</v>
      </c>
      <c t="s">
        <v>61719</v>
      </c>
      <c t="s">
        <v>3093</v>
      </c>
      <c t="s">
        <v>25583</v>
      </c>
    </row>
    <row>
      <c t="s">
        <v>17594</v>
      </c>
      <c t="s">
        <v>39451</v>
      </c>
      <c t="s">
        <v>25818</v>
      </c>
      <c t="s">
        <v>48681</v>
      </c>
      <c t="s">
        <v>7736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4406" s="1" t="str">
        <f ca="1">HYPERLINK("https://web.datatree.com/?/property?propertyId=33706704", "https://web.datatree.com/?/property?propertyId=33706704")</f>
        <v>https://web.datatree.com/?/property?propertyId=33706704</v>
      </c>
      <c r="Q4406" t="s">
        <v>316</v>
      </c>
      <c>
        <v>0.244</v>
      </c>
      <c t="s">
        <v>6175</v>
      </c>
      <c t="s">
        <v>18849</v>
      </c>
      <c t="s">
        <v>61958</v>
      </c>
      <c t="s">
        <v>36241</v>
      </c>
      <c t="s">
        <v>61958</v>
      </c>
      <c t="s">
        <v>6768</v>
      </c>
      <c t="s">
        <v>34731</v>
      </c>
      <c t="s">
        <v>2517</v>
      </c>
      <c t="s">
        <v>39289</v>
      </c>
      <c>
        <v>33909</v>
      </c>
      <c t="s">
        <v>26632</v>
      </c>
      <c t="s">
        <v>48794</v>
      </c>
      <c t="s">
        <v>56075</v>
      </c>
      <c>
        <v>6202</v>
      </c>
      <c r="AI4406" t="s">
        <v>38261</v>
      </c>
      <c t="s">
        <v>45620</v>
      </c>
      <c r="AL4406" t="s">
        <v>60229</v>
      </c>
      <c r="AN4406" t="s">
        <v>17134</v>
      </c>
      <c t="s">
        <v>51671</v>
      </c>
      <c t="s">
        <v>31626</v>
      </c>
      <c t="s">
        <v>3093</v>
      </c>
      <c t="s">
        <v>55991</v>
      </c>
    </row>
    <row>
      <c t="s">
        <v>17594</v>
      </c>
      <c t="s">
        <v>16816</v>
      </c>
      <c t="s">
        <v>47973</v>
      </c>
      <c t="s">
        <v>65033</v>
      </c>
      <c t="s">
        <v>4176</v>
      </c>
      <c s="3">
        <v>7500</v>
      </c>
      <c s="3">
        <v>7500</v>
      </c>
      <c s="3">
        <v>7500</v>
      </c>
      <c>
        <v>0</v>
      </c>
      <c s="3">
        <v>0</v>
      </c>
      <c s="3">
        <v>623.83</v>
      </c>
      <c s="3">
        <v>7500</v>
      </c>
      <c r="O4407" s="1" t="str">
        <f ca="1">HYPERLINK("https://web.datatree.com/?/property?propertyId=33708072", "https://web.datatree.com/?/property?propertyId=33708072")</f>
        <v>https://web.datatree.com/?/property?propertyId=33708072</v>
      </c>
      <c r="Q4407" t="s">
        <v>316</v>
      </c>
      <c>
        <v>0.23</v>
      </c>
      <c t="s">
        <v>42044</v>
      </c>
      <c t="s">
        <v>16388</v>
      </c>
      <c t="s">
        <v>47267</v>
      </c>
      <c t="s">
        <v>60215</v>
      </c>
      <c t="s">
        <v>47267</v>
      </c>
      <c t="s">
        <v>31594</v>
      </c>
      <c t="s">
        <v>61865</v>
      </c>
      <c t="s">
        <v>2517</v>
      </c>
      <c t="s">
        <v>39289</v>
      </c>
      <c>
        <v>33909</v>
      </c>
      <c t="s">
        <v>8520</v>
      </c>
      <c t="s">
        <v>48794</v>
      </c>
      <c t="s">
        <v>16850</v>
      </c>
      <c>
        <v>3812</v>
      </c>
      <c r="AI4407" t="s">
        <v>24882</v>
      </c>
      <c t="s">
        <v>1671</v>
      </c>
      <c r="AL4407" t="s">
        <v>61724</v>
      </c>
      <c t="s">
        <v>59679</v>
      </c>
      <c t="s">
        <v>39289</v>
      </c>
      <c t="s">
        <v>3359</v>
      </c>
      <c t="s">
        <v>56028</v>
      </c>
      <c t="s">
        <v>3093</v>
      </c>
      <c t="s">
        <v>4674</v>
      </c>
    </row>
    <row>
      <c t="s">
        <v>17594</v>
      </c>
      <c t="s">
        <v>66264</v>
      </c>
      <c t="s">
        <v>35344</v>
      </c>
      <c t="s">
        <v>56116</v>
      </c>
      <c t="s">
        <v>44778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>
        <v>2019</v>
      </c>
      <c>
        <v>4059.79</v>
      </c>
      <c s="1" t="str">
        <f ca="1">HYPERLINK("https://web.datatree.com/?/property?propertyId=33708352", "https://web.datatree.com/?/property?propertyId=33708352")</f>
        <v>https://web.datatree.com/?/property?propertyId=33708352</v>
      </c>
      <c r="Q4408" t="s">
        <v>316</v>
      </c>
      <c>
        <v>0.23</v>
      </c>
      <c t="s">
        <v>22490</v>
      </c>
      <c t="s">
        <v>63182</v>
      </c>
      <c t="s">
        <v>35586</v>
      </c>
      <c r="X4408" t="s">
        <v>6534</v>
      </c>
      <c t="s">
        <v>46469</v>
      </c>
      <c t="s">
        <v>2517</v>
      </c>
      <c t="s">
        <v>39289</v>
      </c>
      <c>
        <v>33909</v>
      </c>
      <c t="s">
        <v>11542</v>
      </c>
      <c t="s">
        <v>48794</v>
      </c>
      <c t="s">
        <v>53161</v>
      </c>
      <c>
        <v>3040</v>
      </c>
      <c r="AI4408" t="s">
        <v>53693</v>
      </c>
      <c t="s">
        <v>45620</v>
      </c>
      <c r="AL4408" t="s">
        <v>8443</v>
      </c>
      <c r="AN4408" t="s">
        <v>10804</v>
      </c>
      <c t="s">
        <v>21335</v>
      </c>
      <c t="s">
        <v>58683</v>
      </c>
      <c t="s">
        <v>3093</v>
      </c>
      <c t="s">
        <v>17821</v>
      </c>
    </row>
    <row>
      <c t="s">
        <v>17594</v>
      </c>
      <c t="s">
        <v>59081</v>
      </c>
      <c t="s">
        <v>17928</v>
      </c>
      <c t="s">
        <v>37238</v>
      </c>
      <c t="s">
        <v>53297</v>
      </c>
      <c s="3">
        <v>41000</v>
      </c>
      <c s="3">
        <v>41000</v>
      </c>
      <c s="3">
        <v>41000</v>
      </c>
      <c>
        <v>0</v>
      </c>
      <c s="3">
        <v>0</v>
      </c>
      <c s="3">
        <v>1022.16</v>
      </c>
      <c s="3">
        <v>41000</v>
      </c>
      <c r="O4409" s="1" t="str">
        <f ca="1">HYPERLINK("https://web.datatree.com/?/property?propertyId=33709045", "https://web.datatree.com/?/property?propertyId=33709045")</f>
        <v>https://web.datatree.com/?/property?propertyId=33709045</v>
      </c>
      <c r="Q4409" t="s">
        <v>316</v>
      </c>
      <c>
        <v>0.23</v>
      </c>
      <c t="s">
        <v>14479</v>
      </c>
      <c t="s">
        <v>50417</v>
      </c>
      <c t="s">
        <v>44893</v>
      </c>
      <c r="X4409" t="s">
        <v>14221</v>
      </c>
      <c t="s">
        <v>39082</v>
      </c>
      <c t="s">
        <v>2517</v>
      </c>
      <c t="s">
        <v>39289</v>
      </c>
      <c>
        <v>33909</v>
      </c>
      <c t="s">
        <v>53408</v>
      </c>
      <c t="s">
        <v>48794</v>
      </c>
      <c t="s">
        <v>56658</v>
      </c>
      <c>
        <v>27</v>
      </c>
      <c r="AH4409" t="s">
        <v>15376</v>
      </c>
      <c t="s">
        <v>61830</v>
      </c>
      <c t="s">
        <v>31192</v>
      </c>
      <c r="AL4409" t="s">
        <v>38674</v>
      </c>
      <c t="s">
        <v>38674</v>
      </c>
      <c t="s">
        <v>66651</v>
      </c>
      <c t="s">
        <v>50234</v>
      </c>
      <c t="s">
        <v>50779</v>
      </c>
      <c t="s">
        <v>3093</v>
      </c>
      <c t="s">
        <v>39880</v>
      </c>
    </row>
    <row>
      <c t="s">
        <v>17594</v>
      </c>
      <c t="s">
        <v>12777</v>
      </c>
      <c t="s">
        <v>43610</v>
      </c>
      <c t="s">
        <v>1464</v>
      </c>
      <c t="s">
        <v>20154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597.9</v>
      </c>
      <c s="1" t="str">
        <f ca="1">HYPERLINK("https://web.datatree.com/?/property?propertyId=33709077", "https://web.datatree.com/?/property?propertyId=33709077")</f>
        <v>https://web.datatree.com/?/property?propertyId=33709077</v>
      </c>
      <c r="Q4410" t="s">
        <v>316</v>
      </c>
      <c>
        <v>0.23</v>
      </c>
      <c t="s">
        <v>6175</v>
      </c>
      <c t="s">
        <v>37895</v>
      </c>
      <c t="s">
        <v>56237</v>
      </c>
      <c t="s">
        <v>23295</v>
      </c>
      <c t="s">
        <v>56237</v>
      </c>
      <c t="s">
        <v>41254</v>
      </c>
      <c t="s">
        <v>38550</v>
      </c>
      <c t="s">
        <v>2517</v>
      </c>
      <c t="s">
        <v>39289</v>
      </c>
      <c>
        <v>33909</v>
      </c>
      <c t="s">
        <v>13234</v>
      </c>
      <c t="s">
        <v>48794</v>
      </c>
      <c t="s">
        <v>3317</v>
      </c>
      <c>
        <v>142</v>
      </c>
      <c r="AI4410" t="s">
        <v>42662</v>
      </c>
      <c t="s">
        <v>4985</v>
      </c>
      <c r="AL4410" t="s">
        <v>44071</v>
      </c>
      <c r="AN4410" t="s">
        <v>50917</v>
      </c>
      <c t="s">
        <v>24313</v>
      </c>
      <c t="s">
        <v>34025</v>
      </c>
      <c t="s">
        <v>3093</v>
      </c>
      <c t="s">
        <v>16935</v>
      </c>
    </row>
    <row>
      <c t="s">
        <v>17594</v>
      </c>
      <c t="s">
        <v>8849</v>
      </c>
      <c t="s">
        <v>35638</v>
      </c>
      <c t="s">
        <v>45926</v>
      </c>
      <c t="s">
        <v>41975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411" s="1" t="str">
        <f ca="1">HYPERLINK("https://web.datatree.com/?/property?propertyId=33709097", "https://web.datatree.com/?/property?propertyId=33709097")</f>
        <v>https://web.datatree.com/?/property?propertyId=33709097</v>
      </c>
      <c r="Q4411" t="s">
        <v>316</v>
      </c>
      <c>
        <v>0.23</v>
      </c>
      <c t="s">
        <v>22490</v>
      </c>
      <c t="s">
        <v>15269</v>
      </c>
      <c t="s">
        <v>50089</v>
      </c>
      <c t="s">
        <v>4416</v>
      </c>
      <c t="s">
        <v>50089</v>
      </c>
      <c t="s">
        <v>53792</v>
      </c>
      <c t="s">
        <v>39082</v>
      </c>
      <c t="s">
        <v>2517</v>
      </c>
      <c t="s">
        <v>39289</v>
      </c>
      <c>
        <v>33909</v>
      </c>
      <c t="s">
        <v>8345</v>
      </c>
      <c t="s">
        <v>48794</v>
      </c>
      <c t="s">
        <v>48871</v>
      </c>
      <c>
        <v>632</v>
      </c>
      <c r="AI4411" t="s">
        <v>32248</v>
      </c>
      <c t="s">
        <v>835</v>
      </c>
      <c r="AL4411" t="s">
        <v>16489</v>
      </c>
      <c r="AN4411" t="s">
        <v>26016</v>
      </c>
      <c t="s">
        <v>52813</v>
      </c>
      <c t="s">
        <v>40645</v>
      </c>
      <c t="s">
        <v>3093</v>
      </c>
      <c t="s">
        <v>20293</v>
      </c>
    </row>
    <row>
      <c t="s">
        <v>17594</v>
      </c>
      <c t="s">
        <v>48987</v>
      </c>
      <c t="s">
        <v>57935</v>
      </c>
      <c t="s">
        <v>32834</v>
      </c>
      <c t="s">
        <v>44638</v>
      </c>
      <c s="3">
        <v>39960</v>
      </c>
      <c s="3">
        <v>39960</v>
      </c>
      <c s="3">
        <v>39600</v>
      </c>
      <c>
        <v>0</v>
      </c>
      <c s="3">
        <v>0</v>
      </c>
      <c s="3">
        <v>550.26</v>
      </c>
      <c s="3">
        <v>39960</v>
      </c>
      <c r="O4412" s="1" t="str">
        <f ca="1">HYPERLINK("https://web.datatree.com/?/property?propertyId=33709613", "https://web.datatree.com/?/property?propertyId=33709613")</f>
        <v>https://web.datatree.com/?/property?propertyId=33709613</v>
      </c>
      <c r="Q4412" t="s">
        <v>316</v>
      </c>
      <c>
        <v>0.043</v>
      </c>
      <c t="s">
        <v>45526</v>
      </c>
      <c t="s">
        <v>26163</v>
      </c>
      <c t="s">
        <v>25273</v>
      </c>
      <c t="s">
        <v>52431</v>
      </c>
      <c t="s">
        <v>29064</v>
      </c>
      <c t="s">
        <v>10953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49950</v>
      </c>
      <c>
        <v>11620</v>
      </c>
      <c r="AI4412" t="s">
        <v>22297</v>
      </c>
      <c t="s">
        <v>4985</v>
      </c>
      <c>
        <v>309</v>
      </c>
      <c t="s">
        <v>2726</v>
      </c>
      <c t="s">
        <v>2726</v>
      </c>
      <c t="s">
        <v>39289</v>
      </c>
      <c t="s">
        <v>22913</v>
      </c>
      <c t="s">
        <v>44726</v>
      </c>
      <c t="s">
        <v>3093</v>
      </c>
      <c t="s">
        <v>23490</v>
      </c>
    </row>
    <row>
      <c t="s">
        <v>17594</v>
      </c>
      <c t="s">
        <v>50473</v>
      </c>
      <c t="s">
        <v>25789</v>
      </c>
      <c t="s">
        <v>9635</v>
      </c>
      <c t="s">
        <v>60699</v>
      </c>
      <c s="3">
        <v>27289</v>
      </c>
      <c s="3">
        <v>27289</v>
      </c>
      <c s="3">
        <v>13548</v>
      </c>
      <c>
        <v>0</v>
      </c>
      <c s="3">
        <v>0</v>
      </c>
      <c s="3">
        <v>664.8</v>
      </c>
      <c s="3">
        <v>27289</v>
      </c>
      <c r="O4413" s="1" t="str">
        <f ca="1">HYPERLINK("https://web.datatree.com/?/property?propertyId=33709846", "https://web.datatree.com/?/property?propertyId=33709846")</f>
        <v>https://web.datatree.com/?/property?propertyId=33709846</v>
      </c>
      <c r="Q4413" t="s">
        <v>316</v>
      </c>
      <c>
        <v>0.23</v>
      </c>
      <c t="s">
        <v>22490</v>
      </c>
      <c t="s">
        <v>6294</v>
      </c>
      <c t="s">
        <v>38918</v>
      </c>
      <c t="s">
        <v>22505</v>
      </c>
      <c t="s">
        <v>38918</v>
      </c>
      <c t="s">
        <v>548</v>
      </c>
      <c t="s">
        <v>49674</v>
      </c>
      <c t="s">
        <v>2517</v>
      </c>
      <c t="s">
        <v>39289</v>
      </c>
      <c>
        <v>33909</v>
      </c>
      <c>
        <v>33909</v>
      </c>
      <c t="s">
        <v>48794</v>
      </c>
      <c t="s">
        <v>12676</v>
      </c>
      <c>
        <v>1412</v>
      </c>
      <c r="AI4413" t="s">
        <v>29637</v>
      </c>
      <c t="s">
        <v>1671</v>
      </c>
      <c r="AL4413" t="s">
        <v>61489</v>
      </c>
      <c t="s">
        <v>61489</v>
      </c>
      <c t="s">
        <v>32657</v>
      </c>
      <c t="s">
        <v>41357</v>
      </c>
      <c t="s">
        <v>62562</v>
      </c>
      <c t="s">
        <v>3093</v>
      </c>
      <c t="s">
        <v>39865</v>
      </c>
    </row>
    <row>
      <c t="s">
        <v>17594</v>
      </c>
      <c t="s">
        <v>6644</v>
      </c>
      <c t="s">
        <v>17396</v>
      </c>
      <c t="s">
        <v>29986</v>
      </c>
      <c t="s">
        <v>63918</v>
      </c>
      <c s="3">
        <v>8600</v>
      </c>
      <c s="3">
        <v>8600</v>
      </c>
      <c s="3">
        <v>8600</v>
      </c>
      <c>
        <v>0</v>
      </c>
      <c s="3">
        <v>0</v>
      </c>
      <c s="3">
        <v>585.47</v>
      </c>
      <c s="3">
        <v>8600</v>
      </c>
      <c r="O4414" s="1" t="str">
        <f ca="1">HYPERLINK("https://web.datatree.com/?/property?propertyId=33710275", "https://web.datatree.com/?/property?propertyId=33710275")</f>
        <v>https://web.datatree.com/?/property?propertyId=33710275</v>
      </c>
      <c r="Q4414" t="s">
        <v>316</v>
      </c>
      <c>
        <v>0.23</v>
      </c>
      <c t="s">
        <v>6175</v>
      </c>
      <c t="s">
        <v>54692</v>
      </c>
      <c t="s">
        <v>11698</v>
      </c>
      <c t="s">
        <v>25163</v>
      </c>
      <c t="s">
        <v>9592</v>
      </c>
      <c t="s">
        <v>40452</v>
      </c>
      <c t="s">
        <v>34731</v>
      </c>
      <c t="s">
        <v>2517</v>
      </c>
      <c t="s">
        <v>39289</v>
      </c>
      <c>
        <v>33909</v>
      </c>
      <c t="s">
        <v>31840</v>
      </c>
      <c t="s">
        <v>48794</v>
      </c>
      <c t="s">
        <v>438</v>
      </c>
      <c>
        <v>26771</v>
      </c>
      <c r="AI4414" t="s">
        <v>64784</v>
      </c>
      <c r="AL4414" t="s">
        <v>8628</v>
      </c>
      <c t="s">
        <v>8628</v>
      </c>
      <c t="s">
        <v>39289</v>
      </c>
      <c t="s">
        <v>17954</v>
      </c>
      <c t="s">
        <v>27893</v>
      </c>
      <c t="s">
        <v>3093</v>
      </c>
      <c t="s">
        <v>62068</v>
      </c>
    </row>
    <row>
      <c t="s">
        <v>42103</v>
      </c>
      <c t="s">
        <v>18134</v>
      </c>
      <c t="s">
        <v>18683</v>
      </c>
      <c t="s">
        <v>41538</v>
      </c>
      <c t="s">
        <v>37352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415" s="1" t="str">
        <f ca="1">HYPERLINK("https://web.datatree.com/?/property?propertyId=33711548", "https://web.datatree.com/?/property?propertyId=33711548")</f>
        <v>https://web.datatree.com/?/property?propertyId=33711548</v>
      </c>
      <c r="Q4415" t="s">
        <v>316</v>
      </c>
      <c>
        <v>0.23</v>
      </c>
      <c t="s">
        <v>6175</v>
      </c>
      <c r="U4415" t="s">
        <v>52350</v>
      </c>
      <c t="s">
        <v>32056</v>
      </c>
      <c t="s">
        <v>30230</v>
      </c>
      <c t="s">
        <v>56410</v>
      </c>
      <c t="s">
        <v>38550</v>
      </c>
      <c t="s">
        <v>2517</v>
      </c>
      <c t="s">
        <v>39289</v>
      </c>
      <c>
        <v>33909</v>
      </c>
      <c t="s">
        <v>876</v>
      </c>
      <c t="s">
        <v>48794</v>
      </c>
      <c t="s">
        <v>3501</v>
      </c>
      <c r="AI4415" t="s">
        <v>58816</v>
      </c>
      <c r="AL4415" t="s">
        <v>17648</v>
      </c>
      <c t="s">
        <v>17648</v>
      </c>
      <c t="s">
        <v>3034</v>
      </c>
      <c>
        <v>42071</v>
      </c>
      <c t="s">
        <v>61207</v>
      </c>
      <c t="s">
        <v>3093</v>
      </c>
      <c t="s">
        <v>24956</v>
      </c>
    </row>
    <row>
      <c t="s">
        <v>17594</v>
      </c>
      <c t="s">
        <v>22042</v>
      </c>
      <c t="s">
        <v>21624</v>
      </c>
      <c t="s">
        <v>41345</v>
      </c>
      <c t="s">
        <v>12477</v>
      </c>
      <c s="3">
        <v>8576</v>
      </c>
      <c s="3">
        <v>8576</v>
      </c>
      <c s="3">
        <v>4952</v>
      </c>
      <c>
        <v>0</v>
      </c>
      <c s="3">
        <v>0</v>
      </c>
      <c s="3">
        <v>315.22</v>
      </c>
      <c s="3">
        <v>8576</v>
      </c>
      <c r="O4416" s="1" t="str">
        <f ca="1">HYPERLINK("https://web.datatree.com/?/property?propertyId=33711895", "https://web.datatree.com/?/property?propertyId=33711895")</f>
        <v>https://web.datatree.com/?/property?propertyId=33711895</v>
      </c>
      <c r="Q4416" t="s">
        <v>316</v>
      </c>
      <c>
        <v>0.227</v>
      </c>
      <c t="s">
        <v>5471</v>
      </c>
      <c t="s">
        <v>4879</v>
      </c>
      <c t="s">
        <v>60102</v>
      </c>
      <c r="X4416" t="s">
        <v>19689</v>
      </c>
      <c t="s">
        <v>19394</v>
      </c>
      <c t="s">
        <v>65059</v>
      </c>
      <c t="s">
        <v>39289</v>
      </c>
      <c>
        <v>33905</v>
      </c>
      <c t="s">
        <v>22045</v>
      </c>
      <c t="s">
        <v>48794</v>
      </c>
      <c t="s">
        <v>51640</v>
      </c>
      <c>
        <v>12716</v>
      </c>
      <c r="AI4416" t="s">
        <v>43584</v>
      </c>
      <c t="s">
        <v>1671</v>
      </c>
      <c r="AL4416" t="s">
        <v>32207</v>
      </c>
      <c r="AN4416" t="s">
        <v>39289</v>
      </c>
      <c t="s">
        <v>5817</v>
      </c>
      <c t="s">
        <v>64128</v>
      </c>
      <c t="s">
        <v>3093</v>
      </c>
      <c t="s">
        <v>63685</v>
      </c>
    </row>
    <row>
      <c t="s">
        <v>17594</v>
      </c>
      <c t="s">
        <v>31637</v>
      </c>
      <c t="s">
        <v>42605</v>
      </c>
      <c t="s">
        <v>38839</v>
      </c>
      <c t="s">
        <v>36717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4417" s="1" t="str">
        <f ca="1">HYPERLINK("https://web.datatree.com/?/property?propertyId=33712286", "https://web.datatree.com/?/property?propertyId=33712286")</f>
        <v>https://web.datatree.com/?/property?propertyId=33712286</v>
      </c>
      <c r="Q4417" t="s">
        <v>316</v>
      </c>
      <c>
        <v>0.23</v>
      </c>
      <c t="s">
        <v>6175</v>
      </c>
      <c t="s">
        <v>21841</v>
      </c>
      <c t="s">
        <v>29465</v>
      </c>
      <c r="X4417" t="s">
        <v>5802</v>
      </c>
      <c t="s">
        <v>61865</v>
      </c>
      <c t="s">
        <v>2517</v>
      </c>
      <c t="s">
        <v>39289</v>
      </c>
      <c>
        <v>33909</v>
      </c>
      <c t="s">
        <v>8389</v>
      </c>
      <c t="s">
        <v>48794</v>
      </c>
      <c t="s">
        <v>2679</v>
      </c>
      <c>
        <v>5627</v>
      </c>
      <c r="AH4417" t="s">
        <v>26580</v>
      </c>
      <c t="s">
        <v>17022</v>
      </c>
      <c t="s">
        <v>45393</v>
      </c>
      <c r="AL4417" t="s">
        <v>6449</v>
      </c>
      <c r="AN4417" t="s">
        <v>51087</v>
      </c>
      <c t="s">
        <v>10843</v>
      </c>
      <c t="s">
        <v>26242</v>
      </c>
      <c t="s">
        <v>3093</v>
      </c>
      <c t="s">
        <v>53376</v>
      </c>
    </row>
    <row>
      <c t="s">
        <v>17594</v>
      </c>
      <c t="s">
        <v>47610</v>
      </c>
      <c t="s">
        <v>58545</v>
      </c>
      <c t="s">
        <v>8475</v>
      </c>
      <c t="s">
        <v>31502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4418" s="1" t="str">
        <f ca="1">HYPERLINK("https://web.datatree.com/?/property?propertyId=33712587", "https://web.datatree.com/?/property?propertyId=33712587")</f>
        <v>https://web.datatree.com/?/property?propertyId=33712587</v>
      </c>
      <c r="Q4418" t="s">
        <v>316</v>
      </c>
      <c>
        <v>0.241</v>
      </c>
      <c t="s">
        <v>6175</v>
      </c>
      <c t="s">
        <v>29834</v>
      </c>
      <c t="s">
        <v>47841</v>
      </c>
      <c t="s">
        <v>13453</v>
      </c>
      <c t="s">
        <v>47841</v>
      </c>
      <c t="s">
        <v>6780</v>
      </c>
      <c t="s">
        <v>41506</v>
      </c>
      <c t="s">
        <v>2517</v>
      </c>
      <c t="s">
        <v>39289</v>
      </c>
      <c>
        <v>33909</v>
      </c>
      <c t="s">
        <v>318</v>
      </c>
      <c t="s">
        <v>48794</v>
      </c>
      <c t="s">
        <v>1604</v>
      </c>
      <c>
        <v>10724</v>
      </c>
      <c r="AI4418" t="s">
        <v>49777</v>
      </c>
      <c t="s">
        <v>45393</v>
      </c>
      <c r="AL4418" t="s">
        <v>5312</v>
      </c>
      <c r="AN4418" t="s">
        <v>50917</v>
      </c>
      <c t="s">
        <v>15286</v>
      </c>
      <c t="s">
        <v>32895</v>
      </c>
      <c t="s">
        <v>3093</v>
      </c>
      <c t="s">
        <v>29228</v>
      </c>
    </row>
    <row>
      <c t="s">
        <v>42103</v>
      </c>
      <c t="s">
        <v>26986</v>
      </c>
      <c t="s">
        <v>28293</v>
      </c>
      <c t="s">
        <v>60747</v>
      </c>
      <c t="s">
        <v>40327</v>
      </c>
      <c s="3">
        <v>8689</v>
      </c>
      <c s="3">
        <v>8689</v>
      </c>
      <c s="3">
        <v>4972</v>
      </c>
      <c>
        <v>0</v>
      </c>
      <c s="3">
        <v>0</v>
      </c>
      <c s="3">
        <v>316.66</v>
      </c>
      <c s="3">
        <v>8689</v>
      </c>
      <c r="O4419" s="1" t="str">
        <f ca="1">HYPERLINK("https://web.datatree.com/?/property?propertyId=33712764", "https://web.datatree.com/?/property?propertyId=33712764")</f>
        <v>https://web.datatree.com/?/property?propertyId=33712764</v>
      </c>
      <c r="Q4419" t="s">
        <v>316</v>
      </c>
      <c>
        <v>0.242</v>
      </c>
      <c t="s">
        <v>5471</v>
      </c>
      <c t="s">
        <v>26023</v>
      </c>
      <c t="s">
        <v>26124</v>
      </c>
      <c r="X4419" t="s">
        <v>41573</v>
      </c>
      <c t="s">
        <v>20199</v>
      </c>
      <c t="s">
        <v>65059</v>
      </c>
      <c t="s">
        <v>39289</v>
      </c>
      <c>
        <v>33905</v>
      </c>
      <c t="s">
        <v>59368</v>
      </c>
      <c t="s">
        <v>48794</v>
      </c>
      <c t="s">
        <v>14983</v>
      </c>
      <c r="AI4419" t="s">
        <v>63743</v>
      </c>
      <c r="AL4419" t="s">
        <v>27521</v>
      </c>
      <c r="AN4419" t="s">
        <v>54940</v>
      </c>
      <c r="AQ4419" t="s">
        <v>3093</v>
      </c>
      <c t="s">
        <v>39943</v>
      </c>
    </row>
    <row>
      <c t="s">
        <v>17594</v>
      </c>
      <c t="s">
        <v>55681</v>
      </c>
      <c t="s">
        <v>33487</v>
      </c>
      <c t="s">
        <v>61529</v>
      </c>
      <c t="s">
        <v>64430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4420" s="1" t="str">
        <f ca="1">HYPERLINK("https://web.datatree.com/?/property?propertyId=33712809", "https://web.datatree.com/?/property?propertyId=33712809")</f>
        <v>https://web.datatree.com/?/property?propertyId=33712809</v>
      </c>
      <c r="Q4420" t="s">
        <v>316</v>
      </c>
      <c>
        <v>0.244</v>
      </c>
      <c t="s">
        <v>22490</v>
      </c>
      <c t="s">
        <v>11199</v>
      </c>
      <c t="s">
        <v>11853</v>
      </c>
      <c r="X4420" t="s">
        <v>7753</v>
      </c>
      <c t="s">
        <v>29190</v>
      </c>
      <c t="s">
        <v>2517</v>
      </c>
      <c t="s">
        <v>39289</v>
      </c>
      <c>
        <v>33909</v>
      </c>
      <c t="s">
        <v>56020</v>
      </c>
      <c t="s">
        <v>48794</v>
      </c>
      <c t="s">
        <v>24683</v>
      </c>
      <c>
        <v>1006</v>
      </c>
      <c r="AH4420" t="s">
        <v>6851</v>
      </c>
      <c t="s">
        <v>2626</v>
      </c>
      <c t="s">
        <v>45393</v>
      </c>
      <c r="AL4420" t="s">
        <v>2203</v>
      </c>
      <c t="s">
        <v>2203</v>
      </c>
      <c t="s">
        <v>50829</v>
      </c>
      <c t="s">
        <v>57984</v>
      </c>
      <c t="s">
        <v>44428</v>
      </c>
      <c t="s">
        <v>3093</v>
      </c>
      <c t="s">
        <v>20929</v>
      </c>
    </row>
    <row>
      <c t="s">
        <v>17594</v>
      </c>
      <c t="s">
        <v>65741</v>
      </c>
      <c t="s">
        <v>62505</v>
      </c>
      <c t="s">
        <v>15060</v>
      </c>
      <c t="s">
        <v>61377</v>
      </c>
      <c s="3">
        <v>73733</v>
      </c>
      <c s="3">
        <v>64860</v>
      </c>
      <c s="3">
        <v>73319</v>
      </c>
      <c>
        <v>0</v>
      </c>
      <c s="3">
        <v>0</v>
      </c>
      <c s="3">
        <v>1118.17</v>
      </c>
      <c s="3">
        <v>73733</v>
      </c>
      <c r="O4421" s="1" t="str">
        <f ca="1">HYPERLINK("https://web.datatree.com/?/property?propertyId=33712835", "https://web.datatree.com/?/property?propertyId=33712835")</f>
        <v>https://web.datatree.com/?/property?propertyId=33712835</v>
      </c>
      <c r="Q4421" t="s">
        <v>316</v>
      </c>
      <c>
        <v>0.119</v>
      </c>
      <c t="s">
        <v>26492</v>
      </c>
      <c t="s">
        <v>2140</v>
      </c>
      <c t="s">
        <v>38693</v>
      </c>
      <c t="s">
        <v>64500</v>
      </c>
      <c t="s">
        <v>38693</v>
      </c>
      <c t="s">
        <v>44571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27942</v>
      </c>
      <c>
        <v>797</v>
      </c>
      <c r="AI4421" t="s">
        <v>23045</v>
      </c>
      <c t="s">
        <v>45620</v>
      </c>
      <c r="AL4421" t="s">
        <v>39506</v>
      </c>
      <c t="s">
        <v>39506</v>
      </c>
      <c t="s">
        <v>17331</v>
      </c>
      <c t="s">
        <v>60434</v>
      </c>
      <c t="s">
        <v>22152</v>
      </c>
      <c t="s">
        <v>3093</v>
      </c>
      <c t="s">
        <v>21709</v>
      </c>
    </row>
    <row>
      <c t="s">
        <v>17594</v>
      </c>
      <c t="s">
        <v>31799</v>
      </c>
      <c t="s">
        <v>5564</v>
      </c>
      <c t="s">
        <v>17454</v>
      </c>
      <c t="s">
        <v>37984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4422" s="1" t="str">
        <f ca="1">HYPERLINK("https://web.datatree.com/?/property?propertyId=33712942", "https://web.datatree.com/?/property?propertyId=33712942")</f>
        <v>https://web.datatree.com/?/property?propertyId=33712942</v>
      </c>
      <c r="Q4422" t="s">
        <v>316</v>
      </c>
      <c>
        <v>0.23</v>
      </c>
      <c t="s">
        <v>22490</v>
      </c>
      <c t="s">
        <v>27704</v>
      </c>
      <c t="s">
        <v>64322</v>
      </c>
      <c r="X4422" t="s">
        <v>10569</v>
      </c>
      <c t="s">
        <v>10653</v>
      </c>
      <c t="s">
        <v>2517</v>
      </c>
      <c t="s">
        <v>39289</v>
      </c>
      <c>
        <v>33909</v>
      </c>
      <c t="s">
        <v>41444</v>
      </c>
      <c t="s">
        <v>48794</v>
      </c>
      <c t="s">
        <v>29160</v>
      </c>
      <c>
        <v>1</v>
      </c>
      <c r="AI4422" t="s">
        <v>112</v>
      </c>
      <c r="AL4422" t="s">
        <v>4841</v>
      </c>
      <c r="AN4422" t="s">
        <v>32840</v>
      </c>
      <c r="AR4422" t="s">
        <v>3346</v>
      </c>
    </row>
    <row>
      <c t="s">
        <v>17594</v>
      </c>
      <c t="s">
        <v>43816</v>
      </c>
      <c t="s">
        <v>13383</v>
      </c>
      <c t="s">
        <v>61821</v>
      </c>
      <c t="s">
        <v>39675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4423" s="1" t="str">
        <f ca="1">HYPERLINK("https://web.datatree.com/?/property?propertyId=33714995", "https://web.datatree.com/?/property?propertyId=33714995")</f>
        <v>https://web.datatree.com/?/property?propertyId=33714995</v>
      </c>
      <c r="Q4423" t="s">
        <v>316</v>
      </c>
      <c>
        <v>0.247</v>
      </c>
      <c t="s">
        <v>5471</v>
      </c>
      <c t="s">
        <v>44541</v>
      </c>
      <c t="s">
        <v>42459</v>
      </c>
      <c t="s">
        <v>3581</v>
      </c>
      <c t="s">
        <v>42459</v>
      </c>
      <c t="s">
        <v>41523</v>
      </c>
      <c t="s">
        <v>23113</v>
      </c>
      <c t="s">
        <v>65059</v>
      </c>
      <c t="s">
        <v>39289</v>
      </c>
      <c>
        <v>33905</v>
      </c>
      <c t="s">
        <v>44733</v>
      </c>
      <c t="s">
        <v>48794</v>
      </c>
      <c t="s">
        <v>37617</v>
      </c>
      <c>
        <v>428</v>
      </c>
      <c r="AI4423" t="s">
        <v>9697</v>
      </c>
      <c t="s">
        <v>45620</v>
      </c>
      <c r="AL4423" t="s">
        <v>3843</v>
      </c>
      <c r="AN4423" t="s">
        <v>26016</v>
      </c>
      <c t="s">
        <v>59411</v>
      </c>
      <c t="s">
        <v>49977</v>
      </c>
      <c t="s">
        <v>3093</v>
      </c>
      <c t="s">
        <v>21078</v>
      </c>
    </row>
    <row>
      <c t="s">
        <v>17594</v>
      </c>
      <c t="s">
        <v>44579</v>
      </c>
      <c t="s">
        <v>21159</v>
      </c>
      <c t="s">
        <v>42670</v>
      </c>
      <c t="s">
        <v>57780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2021</v>
      </c>
      <c>
        <v>310.25</v>
      </c>
      <c s="1" t="str">
        <f ca="1">HYPERLINK("https://web.datatree.com/?/property?propertyId=33715389", "https://web.datatree.com/?/property?propertyId=33715389")</f>
        <v>https://web.datatree.com/?/property?propertyId=33715389</v>
      </c>
      <c r="Q4424" t="s">
        <v>316</v>
      </c>
      <c>
        <v>0.235</v>
      </c>
      <c t="s">
        <v>5471</v>
      </c>
      <c t="s">
        <v>26815</v>
      </c>
      <c t="s">
        <v>14048</v>
      </c>
      <c r="X4424" t="s">
        <v>52463</v>
      </c>
      <c t="s">
        <v>19394</v>
      </c>
      <c t="s">
        <v>65059</v>
      </c>
      <c t="s">
        <v>39289</v>
      </c>
      <c>
        <v>33905</v>
      </c>
      <c t="s">
        <v>22045</v>
      </c>
      <c t="s">
        <v>48794</v>
      </c>
      <c t="s">
        <v>1990</v>
      </c>
      <c>
        <v>12155</v>
      </c>
      <c r="AI4424" t="s">
        <v>41506</v>
      </c>
      <c t="s">
        <v>45393</v>
      </c>
      <c r="AL4424" t="s">
        <v>21676</v>
      </c>
      <c t="s">
        <v>21676</v>
      </c>
      <c t="s">
        <v>39289</v>
      </c>
      <c>
        <v>33025</v>
      </c>
      <c t="s">
        <v>864</v>
      </c>
      <c t="s">
        <v>3093</v>
      </c>
      <c t="s">
        <v>1144</v>
      </c>
    </row>
    <row>
      <c t="s">
        <v>17594</v>
      </c>
      <c t="s">
        <v>43043</v>
      </c>
      <c t="s">
        <v>52033</v>
      </c>
      <c t="s">
        <v>39508</v>
      </c>
      <c t="s">
        <v>8439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4425" s="1" t="str">
        <f ca="1">HYPERLINK("https://web.datatree.com/?/property?propertyId=33715805", "https://web.datatree.com/?/property?propertyId=33715805")</f>
        <v>https://web.datatree.com/?/property?propertyId=33715805</v>
      </c>
      <c r="Q4425" t="s">
        <v>316</v>
      </c>
      <c>
        <v>0.244</v>
      </c>
      <c t="s">
        <v>22490</v>
      </c>
      <c t="s">
        <v>9774</v>
      </c>
      <c t="s">
        <v>55657</v>
      </c>
      <c r="X4425" t="s">
        <v>4380</v>
      </c>
      <c t="s">
        <v>66701</v>
      </c>
      <c t="s">
        <v>2517</v>
      </c>
      <c t="s">
        <v>39289</v>
      </c>
      <c>
        <v>33909</v>
      </c>
      <c t="s">
        <v>32727</v>
      </c>
      <c t="s">
        <v>48794</v>
      </c>
      <c t="s">
        <v>49626</v>
      </c>
      <c>
        <v>6437</v>
      </c>
      <c r="AI4425" t="s">
        <v>44473</v>
      </c>
      <c t="s">
        <v>31192</v>
      </c>
      <c r="AL4425" t="s">
        <v>27398</v>
      </c>
      <c t="s">
        <v>21345</v>
      </c>
      <c t="s">
        <v>39289</v>
      </c>
      <c t="s">
        <v>22483</v>
      </c>
      <c t="s">
        <v>53800</v>
      </c>
      <c t="s">
        <v>3093</v>
      </c>
      <c t="s">
        <v>52235</v>
      </c>
    </row>
    <row>
      <c t="s">
        <v>17594</v>
      </c>
      <c t="s">
        <v>36191</v>
      </c>
      <c t="s">
        <v>4686</v>
      </c>
      <c t="s">
        <v>11102</v>
      </c>
      <c t="s">
        <v>23140</v>
      </c>
      <c s="3">
        <v>95477</v>
      </c>
      <c s="3">
        <v>86250</v>
      </c>
      <c s="3">
        <v>83999</v>
      </c>
      <c>
        <v>0</v>
      </c>
      <c s="3">
        <v>0</v>
      </c>
      <c s="3">
        <v>1326.28</v>
      </c>
      <c s="3">
        <v>95477</v>
      </c>
      <c r="O4426" s="1" t="str">
        <f ca="1">HYPERLINK("https://web.datatree.com/?/property?propertyId=33716433", "https://web.datatree.com/?/property?propertyId=33716433")</f>
        <v>https://web.datatree.com/?/property?propertyId=33716433</v>
      </c>
      <c r="Q4426" t="s">
        <v>316</v>
      </c>
      <c>
        <v>0.095</v>
      </c>
      <c t="s">
        <v>26492</v>
      </c>
      <c t="s">
        <v>2140</v>
      </c>
      <c t="s">
        <v>42377</v>
      </c>
      <c t="s">
        <v>1611</v>
      </c>
      <c t="s">
        <v>42377</v>
      </c>
      <c t="s">
        <v>57968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49321</v>
      </c>
      <c>
        <v>655</v>
      </c>
      <c r="AH4426" t="s">
        <v>6851</v>
      </c>
      <c t="s">
        <v>33745</v>
      </c>
      <c t="s">
        <v>45620</v>
      </c>
      <c r="AL4426" t="s">
        <v>30355</v>
      </c>
      <c t="s">
        <v>40227</v>
      </c>
      <c t="s">
        <v>50829</v>
      </c>
      <c t="s">
        <v>5437</v>
      </c>
      <c t="s">
        <v>52247</v>
      </c>
      <c t="s">
        <v>3093</v>
      </c>
      <c t="s">
        <v>10346</v>
      </c>
      <c>
        <v>2005</v>
      </c>
    </row>
    <row>
      <c t="s">
        <v>42103</v>
      </c>
      <c t="s">
        <v>55981</v>
      </c>
      <c t="s">
        <v>59425</v>
      </c>
      <c t="s">
        <v>57230</v>
      </c>
      <c t="s">
        <v>67003</v>
      </c>
      <c s="3">
        <v>28000</v>
      </c>
      <c s="3">
        <v>28000</v>
      </c>
      <c s="3">
        <v>28000</v>
      </c>
      <c>
        <v>0</v>
      </c>
      <c s="3">
        <v>0</v>
      </c>
      <c s="3">
        <v>735.97</v>
      </c>
      <c s="3">
        <v>28000</v>
      </c>
      <c r="O4427" s="1" t="str">
        <f ca="1">HYPERLINK("https://web.datatree.com/?/property?propertyId=33716672", "https://web.datatree.com/?/property?propertyId=33716672")</f>
        <v>https://web.datatree.com/?/property?propertyId=33716672</v>
      </c>
      <c r="Q4427" t="s">
        <v>316</v>
      </c>
      <c>
        <v>0.23</v>
      </c>
      <c t="s">
        <v>22490</v>
      </c>
      <c t="s">
        <v>54943</v>
      </c>
      <c t="s">
        <v>28989</v>
      </c>
      <c t="s">
        <v>41965</v>
      </c>
      <c r="X4427" t="s">
        <v>39746</v>
      </c>
      <c t="s">
        <v>47150</v>
      </c>
      <c t="s">
        <v>2517</v>
      </c>
      <c t="s">
        <v>39289</v>
      </c>
      <c>
        <v>33909</v>
      </c>
      <c t="s">
        <v>16358</v>
      </c>
      <c t="s">
        <v>48794</v>
      </c>
      <c t="s">
        <v>26676</v>
      </c>
      <c>
        <v>2359</v>
      </c>
      <c r="AI4427" t="s">
        <v>51842</v>
      </c>
      <c r="AL4427" t="s">
        <v>13303</v>
      </c>
      <c r="AN4427" t="s">
        <v>513</v>
      </c>
      <c r="AQ4427" t="s">
        <v>27814</v>
      </c>
      <c t="s">
        <v>1509</v>
      </c>
    </row>
    <row>
      <c t="s">
        <v>17594</v>
      </c>
      <c t="s">
        <v>65780</v>
      </c>
      <c t="s">
        <v>32929</v>
      </c>
      <c t="s">
        <v>64249</v>
      </c>
      <c t="s">
        <v>13099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>
        <v>2018</v>
      </c>
      <c>
        <v>4262.07</v>
      </c>
      <c s="1" t="str">
        <f ca="1">HYPERLINK("https://web.datatree.com/?/property?propertyId=33716749", "https://web.datatree.com/?/property?propertyId=33716749")</f>
        <v>https://web.datatree.com/?/property?propertyId=33716749</v>
      </c>
      <c r="Q4428" t="s">
        <v>316</v>
      </c>
      <c>
        <v>0.23</v>
      </c>
      <c t="s">
        <v>22490</v>
      </c>
      <c t="s">
        <v>59344</v>
      </c>
      <c t="s">
        <v>46845</v>
      </c>
      <c t="s">
        <v>64505</v>
      </c>
      <c t="s">
        <v>46845</v>
      </c>
      <c t="s">
        <v>50420</v>
      </c>
      <c t="s">
        <v>38550</v>
      </c>
      <c t="s">
        <v>2517</v>
      </c>
      <c t="s">
        <v>39289</v>
      </c>
      <c>
        <v>33909</v>
      </c>
      <c t="s">
        <v>32369</v>
      </c>
      <c t="s">
        <v>48794</v>
      </c>
      <c t="s">
        <v>788</v>
      </c>
      <c>
        <v>1257</v>
      </c>
      <c r="AI4428" t="s">
        <v>10524</v>
      </c>
      <c t="s">
        <v>24900</v>
      </c>
      <c r="AL4428" t="s">
        <v>30742</v>
      </c>
      <c r="AN4428" t="s">
        <v>26016</v>
      </c>
      <c t="s">
        <v>20690</v>
      </c>
      <c t="s">
        <v>33029</v>
      </c>
      <c t="s">
        <v>3093</v>
      </c>
      <c t="s">
        <v>36019</v>
      </c>
    </row>
    <row>
      <c t="s">
        <v>17594</v>
      </c>
      <c t="s">
        <v>10838</v>
      </c>
      <c t="s">
        <v>60509</v>
      </c>
      <c t="s">
        <v>48609</v>
      </c>
      <c t="s">
        <v>60750</v>
      </c>
      <c s="3">
        <v>9856</v>
      </c>
      <c s="3">
        <v>9856</v>
      </c>
      <c s="3">
        <v>3727</v>
      </c>
      <c>
        <v>0</v>
      </c>
      <c s="3">
        <v>0</v>
      </c>
      <c s="3">
        <v>289.83</v>
      </c>
      <c s="3">
        <v>9856</v>
      </c>
      <c>
        <v>2020</v>
      </c>
      <c>
        <v>345.57</v>
      </c>
      <c s="1" t="str">
        <f ca="1">HYPERLINK("https://web.datatree.com/?/property?propertyId=33717265", "https://web.datatree.com/?/property?propertyId=33717265")</f>
        <v>https://web.datatree.com/?/property?propertyId=33717265</v>
      </c>
      <c r="Q4429" t="s">
        <v>316</v>
      </c>
      <c>
        <v>0.206</v>
      </c>
      <c t="s">
        <v>37489</v>
      </c>
      <c t="s">
        <v>19912</v>
      </c>
      <c t="s">
        <v>12310</v>
      </c>
      <c r="X4429" t="s">
        <v>21858</v>
      </c>
      <c t="s">
        <v>18019</v>
      </c>
      <c t="s">
        <v>65059</v>
      </c>
      <c t="s">
        <v>39289</v>
      </c>
      <c>
        <v>33905</v>
      </c>
      <c t="s">
        <v>47111</v>
      </c>
      <c t="s">
        <v>48794</v>
      </c>
      <c t="s">
        <v>64854</v>
      </c>
      <c>
        <v>4327</v>
      </c>
      <c r="AI4429" t="s">
        <v>19240</v>
      </c>
      <c r="AK4429">
        <v>328</v>
      </c>
      <c t="s">
        <v>62769</v>
      </c>
      <c t="s">
        <v>62769</v>
      </c>
      <c t="s">
        <v>39289</v>
      </c>
      <c t="s">
        <v>54309</v>
      </c>
      <c t="s">
        <v>22311</v>
      </c>
      <c t="s">
        <v>3093</v>
      </c>
      <c t="s">
        <v>43936</v>
      </c>
    </row>
    <row>
      <c t="s">
        <v>17594</v>
      </c>
      <c t="s">
        <v>43742</v>
      </c>
      <c t="s">
        <v>42795</v>
      </c>
      <c t="s">
        <v>47815</v>
      </c>
      <c t="s">
        <v>35275</v>
      </c>
      <c s="3">
        <v>34132</v>
      </c>
      <c s="3">
        <v>34132</v>
      </c>
      <c s="3">
        <v>34132</v>
      </c>
      <c>
        <v>0</v>
      </c>
      <c s="3">
        <v>0</v>
      </c>
      <c s="3">
        <v>468.35</v>
      </c>
      <c s="3">
        <v>34132</v>
      </c>
      <c r="O4430" s="1" t="str">
        <f ca="1">HYPERLINK("https://web.datatree.com/?/property?propertyId=33717556", "https://web.datatree.com/?/property?propertyId=33717556")</f>
        <v>https://web.datatree.com/?/property?propertyId=33717556</v>
      </c>
      <c r="Q4430" t="s">
        <v>316</v>
      </c>
      <c>
        <v>0.046</v>
      </c>
      <c t="s">
        <v>54329</v>
      </c>
      <c t="s">
        <v>35571</v>
      </c>
      <c t="s">
        <v>44319</v>
      </c>
      <c t="s">
        <v>4868</v>
      </c>
      <c t="s">
        <v>44319</v>
      </c>
      <c t="s">
        <v>7938</v>
      </c>
      <c t="s">
        <v>32195</v>
      </c>
      <c t="s">
        <v>65059</v>
      </c>
      <c t="s">
        <v>39289</v>
      </c>
      <c>
        <v>33908</v>
      </c>
      <c>
        <v>33908</v>
      </c>
      <c t="s">
        <v>48794</v>
      </c>
      <c t="s">
        <v>63336</v>
      </c>
      <c>
        <v>9585</v>
      </c>
      <c r="AH4430" t="s">
        <v>26580</v>
      </c>
      <c>
        <v>300</v>
      </c>
      <c r="AL4430" t="s">
        <v>47495</v>
      </c>
      <c r="AN4430" t="s">
        <v>49572</v>
      </c>
      <c t="s">
        <v>44641</v>
      </c>
      <c t="s">
        <v>60160</v>
      </c>
      <c t="s">
        <v>3093</v>
      </c>
      <c t="s">
        <v>28668</v>
      </c>
    </row>
    <row>
      <c t="s">
        <v>17594</v>
      </c>
      <c t="s">
        <v>5005</v>
      </c>
      <c t="s">
        <v>65657</v>
      </c>
      <c t="s">
        <v>54384</v>
      </c>
      <c t="s">
        <v>14580</v>
      </c>
      <c s="3">
        <v>13534</v>
      </c>
      <c s="3">
        <v>13534</v>
      </c>
      <c s="3">
        <v>10955</v>
      </c>
      <c>
        <v>0</v>
      </c>
      <c s="3">
        <v>0</v>
      </c>
      <c s="3">
        <v>175.6</v>
      </c>
      <c s="3">
        <v>13534</v>
      </c>
      <c r="O4431" s="1" t="str">
        <f ca="1">HYPERLINK("https://web.datatree.com/?/property?propertyId=33717934", "https://web.datatree.com/?/property?propertyId=33717934")</f>
        <v>https://web.datatree.com/?/property?propertyId=33717934</v>
      </c>
      <c r="Q4431" t="s">
        <v>316</v>
      </c>
      <c>
        <v>0.415</v>
      </c>
      <c t="s">
        <v>36917</v>
      </c>
      <c t="s">
        <v>4814</v>
      </c>
      <c t="s">
        <v>42592</v>
      </c>
      <c t="s">
        <v>36241</v>
      </c>
      <c t="s">
        <v>42592</v>
      </c>
      <c t="s">
        <v>59831</v>
      </c>
      <c t="s">
        <v>45219</v>
      </c>
      <c t="s">
        <v>54524</v>
      </c>
      <c t="s">
        <v>39289</v>
      </c>
      <c>
        <v>33903</v>
      </c>
      <c t="s">
        <v>23076</v>
      </c>
      <c t="s">
        <v>48794</v>
      </c>
      <c t="s">
        <v>14694</v>
      </c>
      <c>
        <v>3752</v>
      </c>
      <c r="AI4431" t="s">
        <v>52886</v>
      </c>
      <c t="s">
        <v>41372</v>
      </c>
      <c r="AL4431" t="s">
        <v>216</v>
      </c>
      <c r="AN4431" t="s">
        <v>66651</v>
      </c>
      <c t="s">
        <v>49553</v>
      </c>
      <c t="s">
        <v>65563</v>
      </c>
      <c t="s">
        <v>3093</v>
      </c>
      <c t="s">
        <v>49517</v>
      </c>
    </row>
    <row>
      <c t="s">
        <v>17594</v>
      </c>
      <c t="s">
        <v>31024</v>
      </c>
      <c t="s">
        <v>56087</v>
      </c>
      <c t="s">
        <v>32205</v>
      </c>
      <c t="s">
        <v>11322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432" s="1" t="str">
        <f ca="1">HYPERLINK("https://web.datatree.com/?/property?propertyId=33718170", "https://web.datatree.com/?/property?propertyId=33718170")</f>
        <v>https://web.datatree.com/?/property?propertyId=33718170</v>
      </c>
      <c r="Q4432" t="s">
        <v>316</v>
      </c>
      <c>
        <v>0.23</v>
      </c>
      <c t="s">
        <v>22490</v>
      </c>
      <c t="s">
        <v>36693</v>
      </c>
      <c t="s">
        <v>43598</v>
      </c>
      <c t="s">
        <v>51202</v>
      </c>
      <c t="s">
        <v>43598</v>
      </c>
      <c t="s">
        <v>65373</v>
      </c>
      <c t="s">
        <v>38550</v>
      </c>
      <c t="s">
        <v>2517</v>
      </c>
      <c t="s">
        <v>39289</v>
      </c>
      <c>
        <v>33909</v>
      </c>
      <c t="s">
        <v>47963</v>
      </c>
      <c t="s">
        <v>48794</v>
      </c>
      <c t="s">
        <v>58238</v>
      </c>
      <c>
        <v>868</v>
      </c>
      <c r="AI4432" t="s">
        <v>26708</v>
      </c>
      <c t="s">
        <v>31192</v>
      </c>
      <c r="AL4432" t="s">
        <v>63097</v>
      </c>
      <c t="s">
        <v>63097</v>
      </c>
      <c t="s">
        <v>14798</v>
      </c>
      <c t="s">
        <v>65871</v>
      </c>
      <c t="s">
        <v>22152</v>
      </c>
      <c t="s">
        <v>3093</v>
      </c>
      <c t="s">
        <v>51929</v>
      </c>
    </row>
    <row>
      <c t="s">
        <v>17594</v>
      </c>
      <c t="s">
        <v>38821</v>
      </c>
      <c t="s">
        <v>26434</v>
      </c>
      <c t="s">
        <v>66656</v>
      </c>
      <c t="s">
        <v>5614</v>
      </c>
      <c s="3">
        <v>7300</v>
      </c>
      <c s="3">
        <v>7300</v>
      </c>
      <c s="3">
        <v>7300</v>
      </c>
      <c>
        <v>0</v>
      </c>
      <c s="3">
        <v>0</v>
      </c>
      <c s="3">
        <v>484.25</v>
      </c>
      <c s="3">
        <v>7300</v>
      </c>
      <c r="O4433" s="1" t="str">
        <f ca="1">HYPERLINK("https://web.datatree.com/?/property?propertyId=33718199", "https://web.datatree.com/?/property?propertyId=33718199")</f>
        <v>https://web.datatree.com/?/property?propertyId=33718199</v>
      </c>
      <c r="Q4433" t="s">
        <v>316</v>
      </c>
      <c>
        <v>0.23</v>
      </c>
      <c t="s">
        <v>22490</v>
      </c>
      <c t="s">
        <v>54971</v>
      </c>
      <c t="s">
        <v>2259</v>
      </c>
      <c t="s">
        <v>42388</v>
      </c>
      <c t="s">
        <v>2259</v>
      </c>
      <c t="s">
        <v>24813</v>
      </c>
      <c t="s">
        <v>23517</v>
      </c>
      <c t="s">
        <v>2517</v>
      </c>
      <c t="s">
        <v>39289</v>
      </c>
      <c>
        <v>33909</v>
      </c>
      <c t="s">
        <v>65568</v>
      </c>
      <c t="s">
        <v>48794</v>
      </c>
      <c t="s">
        <v>19817</v>
      </c>
      <c>
        <v>4148</v>
      </c>
      <c r="AI4433" t="s">
        <v>46992</v>
      </c>
      <c t="s">
        <v>1671</v>
      </c>
      <c r="AL4433" t="s">
        <v>29513</v>
      </c>
      <c r="AN4433" t="s">
        <v>27481</v>
      </c>
      <c t="s">
        <v>3206</v>
      </c>
      <c t="s">
        <v>22455</v>
      </c>
      <c t="s">
        <v>3093</v>
      </c>
      <c t="s">
        <v>39753</v>
      </c>
    </row>
    <row>
      <c t="s">
        <v>17594</v>
      </c>
      <c t="s">
        <v>48331</v>
      </c>
      <c t="s">
        <v>42392</v>
      </c>
      <c t="s">
        <v>10526</v>
      </c>
      <c t="s">
        <v>10789</v>
      </c>
      <c s="3">
        <v>8400</v>
      </c>
      <c s="3">
        <v>8400</v>
      </c>
      <c s="3">
        <v>8400</v>
      </c>
      <c>
        <v>0</v>
      </c>
      <c s="3">
        <v>0</v>
      </c>
      <c s="3">
        <v>757.73</v>
      </c>
      <c s="3">
        <v>8400</v>
      </c>
      <c r="O4434" s="1" t="str">
        <f ca="1">HYPERLINK("https://web.datatree.com/?/property?propertyId=33718406", "https://web.datatree.com/?/property?propertyId=33718406")</f>
        <v>https://web.datatree.com/?/property?propertyId=33718406</v>
      </c>
      <c r="Q4434" t="s">
        <v>316</v>
      </c>
      <c>
        <v>0.268</v>
      </c>
      <c t="s">
        <v>22490</v>
      </c>
      <c t="s">
        <v>3009</v>
      </c>
      <c t="s">
        <v>32018</v>
      </c>
      <c t="s">
        <v>39139</v>
      </c>
      <c t="s">
        <v>32018</v>
      </c>
      <c t="s">
        <v>55317</v>
      </c>
      <c t="s">
        <v>29190</v>
      </c>
      <c t="s">
        <v>2517</v>
      </c>
      <c t="s">
        <v>39289</v>
      </c>
      <c>
        <v>33909</v>
      </c>
      <c t="s">
        <v>57204</v>
      </c>
      <c t="s">
        <v>48794</v>
      </c>
      <c t="s">
        <v>28646</v>
      </c>
      <c>
        <v>321</v>
      </c>
      <c r="AI4434" t="s">
        <v>65141</v>
      </c>
      <c t="s">
        <v>45620</v>
      </c>
      <c r="AL4434" t="s">
        <v>29713</v>
      </c>
      <c r="AN4434" t="s">
        <v>65467</v>
      </c>
      <c t="s">
        <v>62277</v>
      </c>
      <c t="s">
        <v>22152</v>
      </c>
      <c t="s">
        <v>3093</v>
      </c>
      <c t="s">
        <v>19820</v>
      </c>
    </row>
    <row>
      <c t="s">
        <v>17594</v>
      </c>
      <c t="s">
        <v>20567</v>
      </c>
      <c t="s">
        <v>22427</v>
      </c>
      <c t="s">
        <v>31667</v>
      </c>
      <c t="s">
        <v>5384</v>
      </c>
      <c s="3">
        <v>83547</v>
      </c>
      <c s="3">
        <v>74250</v>
      </c>
      <c s="3">
        <v>83547</v>
      </c>
      <c>
        <v>0</v>
      </c>
      <c s="3">
        <v>0</v>
      </c>
      <c s="3">
        <v>1255.72</v>
      </c>
      <c s="3">
        <v>83547</v>
      </c>
      <c r="O4435" s="1" t="str">
        <f ca="1">HYPERLINK("https://web.datatree.com/?/property?propertyId=33718599", "https://web.datatree.com/?/property?propertyId=33718599")</f>
        <v>https://web.datatree.com/?/property?propertyId=33718599</v>
      </c>
      <c r="Q4435" t="s">
        <v>316</v>
      </c>
      <c>
        <v>0.103</v>
      </c>
      <c t="s">
        <v>26492</v>
      </c>
      <c t="s">
        <v>27351</v>
      </c>
      <c t="s">
        <v>35142</v>
      </c>
      <c r="X4435" t="s">
        <v>51657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19423</v>
      </c>
      <c>
        <v>1044</v>
      </c>
      <c r="AI4435" t="s">
        <v>41027</v>
      </c>
      <c t="s">
        <v>31192</v>
      </c>
      <c r="AL4435" t="s">
        <v>53335</v>
      </c>
      <c t="s">
        <v>53335</v>
      </c>
      <c t="s">
        <v>22275</v>
      </c>
      <c t="s">
        <v>46915</v>
      </c>
      <c t="s">
        <v>43294</v>
      </c>
      <c t="s">
        <v>3093</v>
      </c>
      <c t="s">
        <v>49415</v>
      </c>
    </row>
    <row>
      <c t="s">
        <v>17594</v>
      </c>
      <c t="s">
        <v>51181</v>
      </c>
      <c t="s">
        <v>5883</v>
      </c>
      <c t="s">
        <v>50944</v>
      </c>
      <c t="s">
        <v>23737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436" s="1" t="str">
        <f ca="1">HYPERLINK("https://web.datatree.com/?/property?propertyId=33718842", "https://web.datatree.com/?/property?propertyId=33718842")</f>
        <v>https://web.datatree.com/?/property?propertyId=33718842</v>
      </c>
      <c r="Q4436" t="s">
        <v>316</v>
      </c>
      <c>
        <v>0.23</v>
      </c>
      <c t="s">
        <v>22490</v>
      </c>
      <c t="s">
        <v>34124</v>
      </c>
      <c t="s">
        <v>60291</v>
      </c>
      <c t="s">
        <v>1752</v>
      </c>
      <c t="s">
        <v>60291</v>
      </c>
      <c t="s">
        <v>4085</v>
      </c>
      <c t="s">
        <v>41506</v>
      </c>
      <c t="s">
        <v>2517</v>
      </c>
      <c t="s">
        <v>39289</v>
      </c>
      <c>
        <v>33909</v>
      </c>
      <c t="s">
        <v>5577</v>
      </c>
      <c t="s">
        <v>48794</v>
      </c>
      <c t="s">
        <v>24170</v>
      </c>
      <c>
        <v>3019</v>
      </c>
      <c r="AI4436" t="s">
        <v>35407</v>
      </c>
      <c t="s">
        <v>24900</v>
      </c>
      <c r="AL4436" t="s">
        <v>23311</v>
      </c>
      <c t="s">
        <v>23311</v>
      </c>
      <c t="s">
        <v>56163</v>
      </c>
      <c t="s">
        <v>22257</v>
      </c>
      <c t="s">
        <v>52393</v>
      </c>
      <c t="s">
        <v>3093</v>
      </c>
      <c t="s">
        <v>61343</v>
      </c>
    </row>
    <row>
      <c t="s">
        <v>17594</v>
      </c>
      <c t="s">
        <v>56534</v>
      </c>
      <c t="s">
        <v>52186</v>
      </c>
      <c t="s">
        <v>8516</v>
      </c>
      <c t="s">
        <v>694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437" s="1" t="str">
        <f ca="1">HYPERLINK("https://web.datatree.com/?/property?propertyId=33718975", "https://web.datatree.com/?/property?propertyId=33718975")</f>
        <v>https://web.datatree.com/?/property?propertyId=33718975</v>
      </c>
      <c r="Q4437" t="s">
        <v>316</v>
      </c>
      <c>
        <v>0.23</v>
      </c>
      <c t="s">
        <v>6175</v>
      </c>
      <c t="s">
        <v>13977</v>
      </c>
      <c t="s">
        <v>37991</v>
      </c>
      <c r="X4437" t="s">
        <v>24119</v>
      </c>
      <c t="s">
        <v>23517</v>
      </c>
      <c t="s">
        <v>2517</v>
      </c>
      <c t="s">
        <v>39289</v>
      </c>
      <c>
        <v>33909</v>
      </c>
      <c t="s">
        <v>8217</v>
      </c>
      <c t="s">
        <v>48794</v>
      </c>
      <c t="s">
        <v>33594</v>
      </c>
      <c>
        <v>10803</v>
      </c>
      <c r="AI4437" t="s">
        <v>52171</v>
      </c>
      <c t="s">
        <v>24900</v>
      </c>
      <c t="s">
        <v>5656</v>
      </c>
      <c t="s">
        <v>45506</v>
      </c>
      <c r="AN4437" t="s">
        <v>50917</v>
      </c>
      <c t="s">
        <v>28409</v>
      </c>
      <c t="s">
        <v>40645</v>
      </c>
      <c t="s">
        <v>3093</v>
      </c>
      <c t="s">
        <v>8778</v>
      </c>
    </row>
    <row>
      <c t="s">
        <v>17594</v>
      </c>
      <c t="s">
        <v>2162</v>
      </c>
      <c t="s">
        <v>26946</v>
      </c>
      <c t="s">
        <v>61658</v>
      </c>
      <c t="s">
        <v>11368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438" s="1" t="str">
        <f ca="1">HYPERLINK("https://web.datatree.com/?/property?propertyId=33719439", "https://web.datatree.com/?/property?propertyId=33719439")</f>
        <v>https://web.datatree.com/?/property?propertyId=33719439</v>
      </c>
      <c r="Q4438" t="s">
        <v>316</v>
      </c>
      <c>
        <v>0.23</v>
      </c>
      <c t="s">
        <v>22490</v>
      </c>
      <c t="s">
        <v>1995</v>
      </c>
      <c t="s">
        <v>65129</v>
      </c>
      <c r="X4438" t="s">
        <v>43907</v>
      </c>
      <c t="s">
        <v>46469</v>
      </c>
      <c t="s">
        <v>2517</v>
      </c>
      <c t="s">
        <v>39289</v>
      </c>
      <c>
        <v>33909</v>
      </c>
      <c t="s">
        <v>21737</v>
      </c>
      <c t="s">
        <v>48794</v>
      </c>
      <c t="s">
        <v>29693</v>
      </c>
      <c>
        <v>2807</v>
      </c>
      <c r="AI4438" t="s">
        <v>50741</v>
      </c>
      <c t="s">
        <v>45393</v>
      </c>
      <c r="AL4438" t="s">
        <v>4180</v>
      </c>
      <c t="s">
        <v>4180</v>
      </c>
      <c t="s">
        <v>27222</v>
      </c>
      <c t="s">
        <v>22301</v>
      </c>
      <c t="s">
        <v>49977</v>
      </c>
      <c t="s">
        <v>3093</v>
      </c>
      <c t="s">
        <v>50001</v>
      </c>
    </row>
    <row>
      <c t="s">
        <v>17594</v>
      </c>
      <c t="s">
        <v>9498</v>
      </c>
      <c t="s">
        <v>25484</v>
      </c>
      <c t="s">
        <v>16894</v>
      </c>
      <c t="s">
        <v>53900</v>
      </c>
      <c s="3">
        <v>24856</v>
      </c>
      <c s="3">
        <v>24856</v>
      </c>
      <c s="3">
        <v>10049</v>
      </c>
      <c>
        <v>0</v>
      </c>
      <c s="3">
        <v>0</v>
      </c>
      <c s="3">
        <v>645.13</v>
      </c>
      <c s="3">
        <v>24856</v>
      </c>
      <c r="O4439" s="1" t="str">
        <f ca="1">HYPERLINK("https://web.datatree.com/?/property?propertyId=33719983", "https://web.datatree.com/?/property?propertyId=33719983")</f>
        <v>https://web.datatree.com/?/property?propertyId=33719983</v>
      </c>
      <c r="Q4439" t="s">
        <v>316</v>
      </c>
      <c>
        <v>0.275</v>
      </c>
      <c t="s">
        <v>22490</v>
      </c>
      <c t="s">
        <v>50865</v>
      </c>
      <c t="s">
        <v>12385</v>
      </c>
      <c t="s">
        <v>63182</v>
      </c>
      <c t="s">
        <v>42030</v>
      </c>
      <c t="s">
        <v>64929</v>
      </c>
      <c t="s">
        <v>22731</v>
      </c>
      <c t="s">
        <v>2517</v>
      </c>
      <c t="s">
        <v>39289</v>
      </c>
      <c>
        <v>33909</v>
      </c>
      <c t="s">
        <v>35927</v>
      </c>
      <c t="s">
        <v>48794</v>
      </c>
      <c t="s">
        <v>58124</v>
      </c>
      <c>
        <v>1264</v>
      </c>
      <c r="AI4439" t="s">
        <v>66683</v>
      </c>
      <c r="AL4439" t="s">
        <v>60324</v>
      </c>
      <c r="AN4439" t="s">
        <v>26016</v>
      </c>
      <c t="s">
        <v>336</v>
      </c>
      <c t="s">
        <v>22455</v>
      </c>
      <c t="s">
        <v>3093</v>
      </c>
      <c t="s">
        <v>52524</v>
      </c>
    </row>
    <row>
      <c t="s">
        <v>17594</v>
      </c>
      <c t="s">
        <v>58502</v>
      </c>
      <c t="s">
        <v>27107</v>
      </c>
      <c t="s">
        <v>7022</v>
      </c>
      <c t="s">
        <v>60846</v>
      </c>
      <c s="3">
        <v>7700</v>
      </c>
      <c s="3">
        <v>7700</v>
      </c>
      <c s="3">
        <v>7700</v>
      </c>
      <c>
        <v>0</v>
      </c>
      <c s="3">
        <v>0</v>
      </c>
      <c s="3">
        <v>690.23</v>
      </c>
      <c s="3">
        <v>7700</v>
      </c>
      <c r="O4440" s="1" t="str">
        <f ca="1">HYPERLINK("https://web.datatree.com/?/property?propertyId=33720598", "https://web.datatree.com/?/property?propertyId=33720598")</f>
        <v>https://web.datatree.com/?/property?propertyId=33720598</v>
      </c>
      <c r="Q4440" t="s">
        <v>316</v>
      </c>
      <c>
        <v>0.23</v>
      </c>
      <c t="s">
        <v>6175</v>
      </c>
      <c t="s">
        <v>44319</v>
      </c>
      <c t="s">
        <v>10419</v>
      </c>
      <c r="X4440" t="s">
        <v>53441</v>
      </c>
      <c t="s">
        <v>34136</v>
      </c>
      <c t="s">
        <v>2517</v>
      </c>
      <c t="s">
        <v>39289</v>
      </c>
      <c>
        <v>33909</v>
      </c>
      <c t="s">
        <v>20488</v>
      </c>
      <c t="s">
        <v>48794</v>
      </c>
      <c t="s">
        <v>11759</v>
      </c>
      <c>
        <v>9526</v>
      </c>
      <c r="AI4440" t="s">
        <v>3233</v>
      </c>
      <c t="s">
        <v>41372</v>
      </c>
      <c r="AL4440" t="s">
        <v>52071</v>
      </c>
      <c t="s">
        <v>52071</v>
      </c>
      <c t="s">
        <v>65451</v>
      </c>
      <c t="s">
        <v>29023</v>
      </c>
      <c t="s">
        <v>1951</v>
      </c>
      <c t="s">
        <v>3093</v>
      </c>
      <c t="s">
        <v>28791</v>
      </c>
    </row>
    <row>
      <c t="s">
        <v>17594</v>
      </c>
      <c t="s">
        <v>52014</v>
      </c>
      <c t="s">
        <v>60919</v>
      </c>
      <c t="s">
        <v>52616</v>
      </c>
      <c t="s">
        <v>30471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441" s="1" t="str">
        <f ca="1">HYPERLINK("https://web.datatree.com/?/property?propertyId=33721182", "https://web.datatree.com/?/property?propertyId=33721182")</f>
        <v>https://web.datatree.com/?/property?propertyId=33721182</v>
      </c>
      <c r="Q4441" t="s">
        <v>316</v>
      </c>
      <c>
        <v>0.231</v>
      </c>
      <c t="s">
        <v>6175</v>
      </c>
      <c t="s">
        <v>47715</v>
      </c>
      <c t="s">
        <v>19420</v>
      </c>
      <c r="X4441" t="s">
        <v>65345</v>
      </c>
      <c t="s">
        <v>23517</v>
      </c>
      <c t="s">
        <v>2517</v>
      </c>
      <c t="s">
        <v>39289</v>
      </c>
      <c>
        <v>33909</v>
      </c>
      <c t="s">
        <v>29709</v>
      </c>
      <c t="s">
        <v>48794</v>
      </c>
      <c t="s">
        <v>64806</v>
      </c>
      <c>
        <v>3449</v>
      </c>
      <c r="AI4441" t="s">
        <v>65437</v>
      </c>
      <c t="s">
        <v>4985</v>
      </c>
      <c r="AL4441" t="s">
        <v>61009</v>
      </c>
      <c r="AN4441" t="s">
        <v>26016</v>
      </c>
      <c t="s">
        <v>1629</v>
      </c>
      <c t="s">
        <v>34342</v>
      </c>
      <c t="s">
        <v>3093</v>
      </c>
      <c t="s">
        <v>63708</v>
      </c>
    </row>
    <row>
      <c t="s">
        <v>17594</v>
      </c>
      <c t="s">
        <v>25743</v>
      </c>
      <c t="s">
        <v>21437</v>
      </c>
      <c t="s">
        <v>21466</v>
      </c>
      <c t="s">
        <v>59179</v>
      </c>
      <c s="3">
        <v>17741</v>
      </c>
      <c s="3">
        <v>17741</v>
      </c>
      <c s="3">
        <v>7865</v>
      </c>
      <c>
        <v>0</v>
      </c>
      <c s="3">
        <v>0</v>
      </c>
      <c s="3">
        <v>447.77</v>
      </c>
      <c s="3">
        <v>17741</v>
      </c>
      <c>
        <v>2021</v>
      </c>
      <c>
        <v>530.63</v>
      </c>
      <c s="1" t="str">
        <f ca="1">HYPERLINK("https://web.datatree.com/?/property?propertyId=33721949", "https://web.datatree.com/?/property?propertyId=33721949")</f>
        <v>https://web.datatree.com/?/property?propertyId=33721949</v>
      </c>
      <c r="Q4442" t="s">
        <v>316</v>
      </c>
      <c>
        <v>0.23</v>
      </c>
      <c t="s">
        <v>6175</v>
      </c>
      <c t="s">
        <v>19791</v>
      </c>
      <c t="s">
        <v>49567</v>
      </c>
      <c r="X4442" t="s">
        <v>4100</v>
      </c>
      <c t="s">
        <v>18679</v>
      </c>
      <c t="s">
        <v>2517</v>
      </c>
      <c t="s">
        <v>39289</v>
      </c>
      <c>
        <v>33909</v>
      </c>
      <c t="s">
        <v>51106</v>
      </c>
      <c t="s">
        <v>48794</v>
      </c>
      <c t="s">
        <v>1917</v>
      </c>
      <c r="AI4442" t="s">
        <v>17460</v>
      </c>
      <c r="AL4442" t="s">
        <v>40612</v>
      </c>
      <c t="s">
        <v>40612</v>
      </c>
      <c t="s">
        <v>9533</v>
      </c>
      <c>
        <v>693</v>
      </c>
      <c r="AQ4442" t="s">
        <v>3093</v>
      </c>
      <c t="s">
        <v>14007</v>
      </c>
    </row>
    <row>
      <c t="s">
        <v>17594</v>
      </c>
      <c t="s">
        <v>33488</v>
      </c>
      <c t="s">
        <v>57375</v>
      </c>
      <c t="s">
        <v>55441</v>
      </c>
      <c t="s">
        <v>17059</v>
      </c>
      <c s="3">
        <v>396000</v>
      </c>
      <c s="3">
        <v>396000</v>
      </c>
      <c s="3">
        <v>396000</v>
      </c>
      <c>
        <v>0</v>
      </c>
      <c s="3">
        <v>0</v>
      </c>
      <c r="L4443" s="3">
        <v>396000</v>
      </c>
      <c r="O4443" s="1" t="str">
        <f ca="1">HYPERLINK("https://web.datatree.com/?/property?propertyId=33722042", "https://web.datatree.com/?/property?propertyId=33722042")</f>
        <v>https://web.datatree.com/?/property?propertyId=33722042</v>
      </c>
      <c r="Q4443" t="s">
        <v>316</v>
      </c>
      <c>
        <v>0.284</v>
      </c>
      <c t="s">
        <v>22490</v>
      </c>
      <c t="s">
        <v>11223</v>
      </c>
      <c t="s">
        <v>13160</v>
      </c>
      <c t="s">
        <v>24692</v>
      </c>
      <c t="s">
        <v>5173</v>
      </c>
      <c t="s">
        <v>42479</v>
      </c>
      <c t="s">
        <v>19991</v>
      </c>
      <c t="s">
        <v>2517</v>
      </c>
      <c t="s">
        <v>39289</v>
      </c>
      <c>
        <v>33904</v>
      </c>
      <c t="s">
        <v>31685</v>
      </c>
      <c t="s">
        <v>48794</v>
      </c>
      <c t="s">
        <v>33714</v>
      </c>
      <c>
        <v>5021</v>
      </c>
      <c r="AI4443" t="s">
        <v>40069</v>
      </c>
      <c t="s">
        <v>25514</v>
      </c>
      <c r="AL4443" t="s">
        <v>21604</v>
      </c>
      <c t="s">
        <v>39656</v>
      </c>
      <c t="s">
        <v>50829</v>
      </c>
      <c t="s">
        <v>55159</v>
      </c>
      <c t="s">
        <v>34162</v>
      </c>
      <c t="s">
        <v>3093</v>
      </c>
      <c t="s">
        <v>57017</v>
      </c>
    </row>
    <row>
      <c t="s">
        <v>17594</v>
      </c>
      <c t="s">
        <v>47526</v>
      </c>
      <c t="s">
        <v>65142</v>
      </c>
      <c t="s">
        <v>15149</v>
      </c>
      <c t="s">
        <v>35771</v>
      </c>
      <c s="3">
        <v>20482</v>
      </c>
      <c s="3">
        <v>20482</v>
      </c>
      <c s="3">
        <v>9599</v>
      </c>
      <c>
        <v>0</v>
      </c>
      <c s="3">
        <v>0</v>
      </c>
      <c s="3">
        <v>702.49</v>
      </c>
      <c s="3">
        <v>20482</v>
      </c>
      <c r="O4444" s="1" t="str">
        <f ca="1">HYPERLINK("https://web.datatree.com/?/property?propertyId=33722681", "https://web.datatree.com/?/property?propertyId=33722681")</f>
        <v>https://web.datatree.com/?/property?propertyId=33722681</v>
      </c>
      <c r="Q4444" t="s">
        <v>316</v>
      </c>
      <c>
        <v>0.372</v>
      </c>
      <c t="s">
        <v>6175</v>
      </c>
      <c t="s">
        <v>55134</v>
      </c>
      <c t="s">
        <v>65003</v>
      </c>
      <c r="X4444" t="s">
        <v>38708</v>
      </c>
      <c t="s">
        <v>13829</v>
      </c>
      <c t="s">
        <v>2517</v>
      </c>
      <c t="s">
        <v>39289</v>
      </c>
      <c>
        <v>33909</v>
      </c>
      <c t="s">
        <v>10513</v>
      </c>
      <c t="s">
        <v>48794</v>
      </c>
      <c t="s">
        <v>1866</v>
      </c>
      <c>
        <v>70</v>
      </c>
      <c r="AI4444" t="s">
        <v>21515</v>
      </c>
      <c t="s">
        <v>31192</v>
      </c>
      <c r="AL4444" t="s">
        <v>54889</v>
      </c>
      <c r="AN4444" t="s">
        <v>26016</v>
      </c>
      <c t="s">
        <v>17729</v>
      </c>
      <c t="s">
        <v>2121</v>
      </c>
      <c t="s">
        <v>3093</v>
      </c>
      <c t="s">
        <v>62299</v>
      </c>
    </row>
    <row>
      <c t="s">
        <v>42103</v>
      </c>
      <c t="s">
        <v>5388</v>
      </c>
      <c t="s">
        <v>32538</v>
      </c>
      <c t="s">
        <v>8578</v>
      </c>
      <c t="s">
        <v>6926</v>
      </c>
      <c s="3">
        <v>39960</v>
      </c>
      <c s="3">
        <v>39960</v>
      </c>
      <c s="3">
        <v>28551</v>
      </c>
      <c>
        <v>0</v>
      </c>
      <c s="3">
        <v>0</v>
      </c>
      <c s="3">
        <v>460.06</v>
      </c>
      <c s="3">
        <v>39960</v>
      </c>
      <c r="O4445" s="1" t="str">
        <f ca="1">HYPERLINK("https://web.datatree.com/?/property?propertyId=33723403", "https://web.datatree.com/?/property?propertyId=33723403")</f>
        <v>https://web.datatree.com/?/property?propertyId=33723403</v>
      </c>
      <c r="Q4445" t="s">
        <v>316</v>
      </c>
      <c>
        <v>0.05</v>
      </c>
      <c t="s">
        <v>45526</v>
      </c>
      <c t="s">
        <v>17266</v>
      </c>
      <c t="s">
        <v>29182</v>
      </c>
      <c r="X4445" t="s">
        <v>14259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35423</v>
      </c>
      <c r="AI4445" t="s">
        <v>25024</v>
      </c>
      <c r="AL4445" t="s">
        <v>28960</v>
      </c>
      <c r="AN4445" t="s">
        <v>17134</v>
      </c>
      <c>
        <v>44021</v>
      </c>
      <c t="s">
        <v>1762</v>
      </c>
      <c t="s">
        <v>3093</v>
      </c>
      <c t="s">
        <v>54135</v>
      </c>
    </row>
    <row>
      <c t="s">
        <v>17594</v>
      </c>
      <c t="s">
        <v>50257</v>
      </c>
      <c t="s">
        <v>28922</v>
      </c>
      <c t="s">
        <v>59728</v>
      </c>
      <c t="s">
        <v>10056</v>
      </c>
      <c s="3">
        <v>144593</v>
      </c>
      <c s="3">
        <v>140977</v>
      </c>
      <c s="3">
        <v>118116</v>
      </c>
      <c>
        <v>0</v>
      </c>
      <c s="3">
        <v>0</v>
      </c>
      <c s="3">
        <v>2230.11</v>
      </c>
      <c s="3">
        <v>144593</v>
      </c>
      <c r="O4446" s="1" t="str">
        <f ca="1">HYPERLINK("https://web.datatree.com/?/property?propertyId=33723674", "https://web.datatree.com/?/property?propertyId=33723674")</f>
        <v>https://web.datatree.com/?/property?propertyId=33723674</v>
      </c>
      <c r="Q4446" t="s">
        <v>316</v>
      </c>
      <c>
        <v>0.231</v>
      </c>
      <c t="s">
        <v>22490</v>
      </c>
      <c t="s">
        <v>10361</v>
      </c>
      <c t="s">
        <v>32196</v>
      </c>
      <c t="s">
        <v>64201</v>
      </c>
      <c t="s">
        <v>32196</v>
      </c>
      <c t="s">
        <v>23771</v>
      </c>
      <c t="s">
        <v>64273</v>
      </c>
      <c t="s">
        <v>2517</v>
      </c>
      <c t="s">
        <v>39289</v>
      </c>
      <c>
        <v>33904</v>
      </c>
      <c>
        <v>33904</v>
      </c>
      <c t="s">
        <v>48794</v>
      </c>
      <c t="s">
        <v>14606</v>
      </c>
      <c>
        <v>20</v>
      </c>
      <c r="AI4446" t="s">
        <v>60041</v>
      </c>
      <c t="s">
        <v>31192</v>
      </c>
      <c r="AL4446" t="s">
        <v>64263</v>
      </c>
      <c r="AN4446" t="s">
        <v>27747</v>
      </c>
      <c t="s">
        <v>13368</v>
      </c>
      <c t="s">
        <v>26242</v>
      </c>
      <c t="s">
        <v>3093</v>
      </c>
      <c t="s">
        <v>58886</v>
      </c>
    </row>
    <row>
      <c t="s">
        <v>17594</v>
      </c>
      <c t="s">
        <v>41073</v>
      </c>
      <c t="s">
        <v>56447</v>
      </c>
      <c t="s">
        <v>20275</v>
      </c>
      <c t="s">
        <v>59716</v>
      </c>
      <c s="3">
        <v>135000</v>
      </c>
      <c s="3">
        <v>135000</v>
      </c>
      <c s="3">
        <v>135000</v>
      </c>
      <c>
        <v>0</v>
      </c>
      <c s="3">
        <v>0</v>
      </c>
      <c s="3">
        <v>5591.94</v>
      </c>
      <c s="3">
        <v>135000</v>
      </c>
      <c r="O4447" s="1" t="str">
        <f ca="1">HYPERLINK("https://web.datatree.com/?/property?propertyId=33724577", "https://web.datatree.com/?/property?propertyId=33724577")</f>
        <v>https://web.datatree.com/?/property?propertyId=33724577</v>
      </c>
      <c r="Q4447" t="s">
        <v>316</v>
      </c>
      <c>
        <v>0.376</v>
      </c>
      <c t="s">
        <v>60849</v>
      </c>
      <c t="s">
        <v>552</v>
      </c>
      <c t="s">
        <v>40278</v>
      </c>
      <c t="s">
        <v>17071</v>
      </c>
      <c t="s">
        <v>40278</v>
      </c>
      <c t="s">
        <v>15419</v>
      </c>
      <c t="s">
        <v>62467</v>
      </c>
      <c t="s">
        <v>65059</v>
      </c>
      <c t="s">
        <v>39289</v>
      </c>
      <c>
        <v>33905</v>
      </c>
      <c t="s">
        <v>50784</v>
      </c>
      <c t="s">
        <v>48794</v>
      </c>
      <c t="s">
        <v>57771</v>
      </c>
      <c>
        <v>137</v>
      </c>
      <c r="AI4447" t="s">
        <v>28285</v>
      </c>
      <c t="s">
        <v>45620</v>
      </c>
      <c r="AL4447" t="s">
        <v>2193</v>
      </c>
      <c t="s">
        <v>1307</v>
      </c>
      <c t="s">
        <v>26016</v>
      </c>
      <c>
        <v>7435</v>
      </c>
      <c r="AQ4447" t="s">
        <v>3093</v>
      </c>
      <c t="s">
        <v>48350</v>
      </c>
    </row>
    <row>
      <c t="s">
        <v>17594</v>
      </c>
      <c t="s">
        <v>42501</v>
      </c>
      <c t="s">
        <v>17436</v>
      </c>
      <c t="s">
        <v>31354</v>
      </c>
      <c t="s">
        <v>27647</v>
      </c>
      <c s="3">
        <v>245382</v>
      </c>
      <c s="3">
        <v>245382</v>
      </c>
      <c s="3">
        <v>168300</v>
      </c>
      <c>
        <v>0</v>
      </c>
      <c s="3">
        <v>0</v>
      </c>
      <c s="3">
        <v>3235.11</v>
      </c>
      <c s="3">
        <v>245382</v>
      </c>
      <c r="O4448" s="1" t="str">
        <f ca="1">HYPERLINK("https://web.datatree.com/?/property?propertyId=33724582", "https://web.datatree.com/?/property?propertyId=33724582")</f>
        <v>https://web.datatree.com/?/property?propertyId=33724582</v>
      </c>
      <c r="Q4448" t="s">
        <v>316</v>
      </c>
      <c>
        <v>0.23</v>
      </c>
      <c t="s">
        <v>22490</v>
      </c>
      <c t="s">
        <v>10361</v>
      </c>
      <c t="s">
        <v>54496</v>
      </c>
      <c t="s">
        <v>31425</v>
      </c>
      <c t="s">
        <v>54496</v>
      </c>
      <c t="s">
        <v>30124</v>
      </c>
      <c t="s">
        <v>50069</v>
      </c>
      <c t="s">
        <v>2517</v>
      </c>
      <c t="s">
        <v>39289</v>
      </c>
      <c>
        <v>33904</v>
      </c>
      <c>
        <v>33904</v>
      </c>
      <c t="s">
        <v>48794</v>
      </c>
      <c t="s">
        <v>25489</v>
      </c>
      <c>
        <v>6845</v>
      </c>
      <c r="AI4448" t="s">
        <v>24569</v>
      </c>
      <c t="s">
        <v>31192</v>
      </c>
      <c r="AL4448" t="s">
        <v>1121</v>
      </c>
      <c t="s">
        <v>1121</v>
      </c>
      <c t="s">
        <v>39289</v>
      </c>
      <c t="s">
        <v>27770</v>
      </c>
      <c t="s">
        <v>32895</v>
      </c>
      <c t="s">
        <v>3093</v>
      </c>
      <c t="s">
        <v>23815</v>
      </c>
    </row>
    <row>
      <c t="s">
        <v>17594</v>
      </c>
      <c t="s">
        <v>34026</v>
      </c>
      <c t="s">
        <v>61086</v>
      </c>
      <c t="s">
        <v>4915</v>
      </c>
      <c t="s">
        <v>22194</v>
      </c>
      <c s="3">
        <v>9047</v>
      </c>
      <c s="3">
        <v>9047</v>
      </c>
      <c s="3">
        <v>4972</v>
      </c>
      <c>
        <v>0</v>
      </c>
      <c s="3">
        <v>0</v>
      </c>
      <c s="3">
        <v>324.47</v>
      </c>
      <c s="3">
        <v>9047</v>
      </c>
      <c r="O4449" s="1" t="str">
        <f ca="1">HYPERLINK("https://web.datatree.com/?/property?propertyId=33724591", "https://web.datatree.com/?/property?propertyId=33724591")</f>
        <v>https://web.datatree.com/?/property?propertyId=33724591</v>
      </c>
      <c r="Q4449" t="s">
        <v>316</v>
      </c>
      <c>
        <v>0.301</v>
      </c>
      <c t="s">
        <v>37489</v>
      </c>
      <c t="s">
        <v>1615</v>
      </c>
      <c t="s">
        <v>59923</v>
      </c>
      <c r="X4449" t="s">
        <v>52888</v>
      </c>
      <c t="s">
        <v>10854</v>
      </c>
      <c t="s">
        <v>65059</v>
      </c>
      <c t="s">
        <v>39289</v>
      </c>
      <c>
        <v>33905</v>
      </c>
      <c t="s">
        <v>24292</v>
      </c>
      <c t="s">
        <v>48794</v>
      </c>
      <c t="s">
        <v>9783</v>
      </c>
      <c>
        <v>190</v>
      </c>
      <c r="AI4449" t="s">
        <v>61288</v>
      </c>
      <c t="s">
        <v>1671</v>
      </c>
      <c t="s">
        <v>61334</v>
      </c>
      <c t="s">
        <v>13685</v>
      </c>
      <c t="s">
        <v>13685</v>
      </c>
      <c t="s">
        <v>39289</v>
      </c>
      <c t="s">
        <v>66109</v>
      </c>
      <c t="s">
        <v>4797</v>
      </c>
      <c t="s">
        <v>3093</v>
      </c>
      <c t="s">
        <v>56194</v>
      </c>
    </row>
    <row>
      <c t="s">
        <v>17594</v>
      </c>
      <c t="s">
        <v>37638</v>
      </c>
      <c t="s">
        <v>58883</v>
      </c>
      <c t="s">
        <v>38399</v>
      </c>
      <c t="s">
        <v>32530</v>
      </c>
      <c s="3">
        <v>33426</v>
      </c>
      <c s="3">
        <v>33426</v>
      </c>
      <c s="3">
        <v>14007</v>
      </c>
      <c>
        <v>0</v>
      </c>
      <c s="3">
        <v>0</v>
      </c>
      <c s="3">
        <v>795.17</v>
      </c>
      <c s="3">
        <v>33426</v>
      </c>
      <c r="O4450" s="1" t="str">
        <f ca="1">HYPERLINK("https://web.datatree.com/?/property?propertyId=33725234", "https://web.datatree.com/?/property?propertyId=33725234")</f>
        <v>https://web.datatree.com/?/property?propertyId=33725234</v>
      </c>
      <c r="Q4450" t="s">
        <v>316</v>
      </c>
      <c>
        <v>0.344</v>
      </c>
      <c t="s">
        <v>54449</v>
      </c>
      <c t="s">
        <v>38361</v>
      </c>
      <c t="s">
        <v>45794</v>
      </c>
      <c t="s">
        <v>57869</v>
      </c>
      <c t="s">
        <v>45794</v>
      </c>
      <c t="s">
        <v>4467</v>
      </c>
      <c t="s">
        <v>24999</v>
      </c>
      <c t="s">
        <v>2517</v>
      </c>
      <c t="s">
        <v>39289</v>
      </c>
      <c>
        <v>33904</v>
      </c>
      <c t="s">
        <v>19366</v>
      </c>
      <c t="s">
        <v>48794</v>
      </c>
      <c t="s">
        <v>65136</v>
      </c>
      <c>
        <v>4089</v>
      </c>
      <c r="AH4450" t="s">
        <v>26580</v>
      </c>
      <c t="s">
        <v>51647</v>
      </c>
      <c t="s">
        <v>56275</v>
      </c>
      <c t="s">
        <v>57583</v>
      </c>
      <c t="s">
        <v>11713</v>
      </c>
      <c t="s">
        <v>11713</v>
      </c>
      <c t="s">
        <v>39289</v>
      </c>
      <c t="s">
        <v>7626</v>
      </c>
      <c t="s">
        <v>35375</v>
      </c>
      <c t="s">
        <v>3093</v>
      </c>
      <c t="s">
        <v>8110</v>
      </c>
    </row>
    <row>
      <c t="s">
        <v>17594</v>
      </c>
      <c t="s">
        <v>31726</v>
      </c>
      <c t="s">
        <v>58286</v>
      </c>
      <c t="s">
        <v>35180</v>
      </c>
      <c t="s">
        <v>40722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451" s="1" t="str">
        <f ca="1">HYPERLINK("https://web.datatree.com/?/property?propertyId=33725385", "https://web.datatree.com/?/property?propertyId=33725385")</f>
        <v>https://web.datatree.com/?/property?propertyId=33725385</v>
      </c>
      <c r="Q4451" t="s">
        <v>316</v>
      </c>
      <c>
        <v>0.23</v>
      </c>
      <c t="s">
        <v>6175</v>
      </c>
      <c t="s">
        <v>53587</v>
      </c>
      <c t="s">
        <v>20391</v>
      </c>
      <c r="X4451" t="s">
        <v>20070</v>
      </c>
      <c t="s">
        <v>34731</v>
      </c>
      <c t="s">
        <v>2517</v>
      </c>
      <c t="s">
        <v>39289</v>
      </c>
      <c>
        <v>33909</v>
      </c>
      <c t="s">
        <v>8090</v>
      </c>
      <c t="s">
        <v>48794</v>
      </c>
      <c t="s">
        <v>41155</v>
      </c>
      <c>
        <v>6303</v>
      </c>
      <c r="AI4451" t="s">
        <v>26976</v>
      </c>
      <c t="s">
        <v>31192</v>
      </c>
      <c>
        <v>400</v>
      </c>
      <c t="s">
        <v>55393</v>
      </c>
      <c r="AN4451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64086</v>
      </c>
      <c t="s">
        <v>11341</v>
      </c>
      <c t="s">
        <v>16980</v>
      </c>
      <c t="s">
        <v>23198</v>
      </c>
      <c s="3">
        <v>1182983</v>
      </c>
      <c s="3">
        <v>1182983</v>
      </c>
      <c s="3">
        <v>915750</v>
      </c>
      <c>
        <v>0</v>
      </c>
      <c s="3">
        <v>0</v>
      </c>
      <c s="3">
        <v>17339.03</v>
      </c>
      <c s="3">
        <v>1182983</v>
      </c>
      <c r="O4452" s="1" t="str">
        <f ca="1">HYPERLINK("https://web.datatree.com/?/property?propertyId=33726135", "https://web.datatree.com/?/property?propertyId=33726135")</f>
        <v>https://web.datatree.com/?/property?propertyId=33726135</v>
      </c>
      <c r="Q4452" t="s">
        <v>316</v>
      </c>
      <c>
        <v>0.85</v>
      </c>
      <c t="s">
        <v>50623</v>
      </c>
      <c t="s">
        <v>27417</v>
      </c>
      <c t="s">
        <v>9726</v>
      </c>
      <c t="s">
        <v>18380</v>
      </c>
      <c t="s">
        <v>14313</v>
      </c>
      <c t="s">
        <v>39702</v>
      </c>
      <c t="s">
        <v>23444</v>
      </c>
      <c t="s">
        <v>65059</v>
      </c>
      <c t="s">
        <v>39289</v>
      </c>
      <c>
        <v>33901</v>
      </c>
      <c t="s">
        <v>41849</v>
      </c>
      <c t="s">
        <v>48794</v>
      </c>
      <c t="s">
        <v>9405</v>
      </c>
      <c>
        <v>1585</v>
      </c>
      <c r="AI4452" t="s">
        <v>61486</v>
      </c>
      <c t="s">
        <v>55842</v>
      </c>
      <c r="AL4452" t="s">
        <v>11713</v>
      </c>
      <c t="s">
        <v>11713</v>
      </c>
      <c t="s">
        <v>39289</v>
      </c>
      <c t="s">
        <v>64578</v>
      </c>
      <c t="s">
        <v>22479</v>
      </c>
      <c t="s">
        <v>3093</v>
      </c>
      <c t="s">
        <v>7159</v>
      </c>
    </row>
    <row>
      <c t="s">
        <v>17594</v>
      </c>
      <c t="s">
        <v>55568</v>
      </c>
      <c t="s">
        <v>40492</v>
      </c>
      <c t="s">
        <v>36649</v>
      </c>
      <c t="s">
        <v>17678</v>
      </c>
      <c s="3">
        <v>48648</v>
      </c>
      <c s="3">
        <v>48648</v>
      </c>
      <c s="3">
        <v>48648</v>
      </c>
      <c>
        <v>0</v>
      </c>
      <c s="3">
        <v>0</v>
      </c>
      <c s="3">
        <v>830.69</v>
      </c>
      <c s="3">
        <v>48648</v>
      </c>
      <c r="O4453" s="1" t="str">
        <f ca="1">HYPERLINK("https://web.datatree.com/?/property?propertyId=33726238", "https://web.datatree.com/?/property?propertyId=33726238")</f>
        <v>https://web.datatree.com/?/property?propertyId=33726238</v>
      </c>
      <c r="Q4453" t="s">
        <v>316</v>
      </c>
      <c>
        <v>2.234</v>
      </c>
      <c t="s">
        <v>5471</v>
      </c>
      <c t="s">
        <v>42408</v>
      </c>
      <c t="s">
        <v>66102</v>
      </c>
      <c r="X4453" t="s">
        <v>6542</v>
      </c>
      <c t="s">
        <v>51647</v>
      </c>
      <c t="s">
        <v>54524</v>
      </c>
      <c t="s">
        <v>39289</v>
      </c>
      <c>
        <v>33903</v>
      </c>
      <c>
        <v>33903</v>
      </c>
      <c t="s">
        <v>48794</v>
      </c>
      <c t="s">
        <v>40176</v>
      </c>
      <c>
        <v>2390</v>
      </c>
      <c r="AI4453" t="s">
        <v>13065</v>
      </c>
      <c t="s">
        <v>39321</v>
      </c>
      <c r="AL4453" t="s">
        <v>55393</v>
      </c>
      <c t="s">
        <v>65059</v>
      </c>
      <c t="s">
        <v>39289</v>
      </c>
      <c t="s">
        <v>21212</v>
      </c>
      <c t="s">
        <v>44843</v>
      </c>
      <c t="s">
        <v>3093</v>
      </c>
      <c t="s">
        <v>28445</v>
      </c>
    </row>
    <row>
      <c t="s">
        <v>17594</v>
      </c>
      <c t="s">
        <v>45621</v>
      </c>
      <c t="s">
        <v>1344</v>
      </c>
      <c t="s">
        <v>9060</v>
      </c>
      <c t="s">
        <v>13164</v>
      </c>
      <c s="3">
        <v>12544</v>
      </c>
      <c s="3">
        <v>12544</v>
      </c>
      <c s="3">
        <v>4972</v>
      </c>
      <c>
        <v>0</v>
      </c>
      <c s="3">
        <v>0</v>
      </c>
      <c s="3">
        <v>332.27</v>
      </c>
      <c s="3">
        <v>12544</v>
      </c>
      <c>
        <v>2019</v>
      </c>
      <c>
        <v>1475.99</v>
      </c>
      <c s="1" t="str">
        <f ca="1">HYPERLINK("https://web.datatree.com/?/property?propertyId=33726253", "https://web.datatree.com/?/property?propertyId=33726253")</f>
        <v>https://web.datatree.com/?/property?propertyId=33726253</v>
      </c>
      <c r="Q4454" t="s">
        <v>316</v>
      </c>
      <c>
        <v>0.359</v>
      </c>
      <c t="s">
        <v>37489</v>
      </c>
      <c t="s">
        <v>47754</v>
      </c>
      <c t="s">
        <v>29745</v>
      </c>
      <c t="s">
        <v>56498</v>
      </c>
      <c t="s">
        <v>24432</v>
      </c>
      <c t="s">
        <v>52995</v>
      </c>
      <c t="s">
        <v>10854</v>
      </c>
      <c t="s">
        <v>65059</v>
      </c>
      <c t="s">
        <v>39289</v>
      </c>
      <c>
        <v>33905</v>
      </c>
      <c t="s">
        <v>24292</v>
      </c>
      <c t="s">
        <v>48794</v>
      </c>
      <c t="s">
        <v>37551</v>
      </c>
      <c t="str">
        <f>"62-06"</f>
        <v>62-06</v>
      </c>
      <c r="AI4454" t="s">
        <v>12934</v>
      </c>
      <c r="AK4454">
        <v>162</v>
      </c>
      <c t="s">
        <v>60998</v>
      </c>
      <c r="AN4454" t="s">
        <v>14798</v>
      </c>
      <c r="AR4454" t="s">
        <v>10261</v>
      </c>
    </row>
    <row>
      <c t="s">
        <v>17594</v>
      </c>
      <c t="s">
        <v>56692</v>
      </c>
      <c t="s">
        <v>14714</v>
      </c>
      <c t="s">
        <v>64795</v>
      </c>
      <c t="s">
        <v>25369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4455" s="1" t="str">
        <f ca="1">HYPERLINK("https://web.datatree.com/?/property?propertyId=33726888", "https://web.datatree.com/?/property?propertyId=33726888")</f>
        <v>https://web.datatree.com/?/property?propertyId=33726888</v>
      </c>
      <c r="Q4455" t="s">
        <v>316</v>
      </c>
      <c>
        <v>0.244</v>
      </c>
      <c t="s">
        <v>6175</v>
      </c>
      <c t="s">
        <v>51166</v>
      </c>
      <c t="s">
        <v>44471</v>
      </c>
      <c t="s">
        <v>44201</v>
      </c>
      <c t="s">
        <v>44471</v>
      </c>
      <c t="s">
        <v>53025</v>
      </c>
      <c t="s">
        <v>25017</v>
      </c>
      <c t="s">
        <v>2517</v>
      </c>
      <c t="s">
        <v>39289</v>
      </c>
      <c>
        <v>33909</v>
      </c>
      <c t="s">
        <v>33598</v>
      </c>
      <c t="s">
        <v>48794</v>
      </c>
      <c t="s">
        <v>61333</v>
      </c>
      <c>
        <v>14422</v>
      </c>
      <c r="AI4455" t="s">
        <v>60471</v>
      </c>
      <c t="s">
        <v>41372</v>
      </c>
      <c r="AL4455" t="s">
        <v>1121</v>
      </c>
      <c t="s">
        <v>1121</v>
      </c>
      <c t="s">
        <v>39289</v>
      </c>
      <c t="s">
        <v>38081</v>
      </c>
      <c t="s">
        <v>50779</v>
      </c>
      <c t="s">
        <v>3093</v>
      </c>
      <c t="s">
        <v>54276</v>
      </c>
    </row>
    <row>
      <c t="s">
        <v>17594</v>
      </c>
      <c t="s">
        <v>3268</v>
      </c>
      <c t="s">
        <v>41383</v>
      </c>
      <c t="s">
        <v>17430</v>
      </c>
      <c t="s">
        <v>33228</v>
      </c>
      <c s="3">
        <v>26250</v>
      </c>
      <c s="3">
        <v>26250</v>
      </c>
      <c s="3">
        <v>26250</v>
      </c>
      <c>
        <v>0</v>
      </c>
      <c s="3">
        <v>0</v>
      </c>
      <c s="3">
        <v>509.64</v>
      </c>
      <c s="3">
        <v>26250</v>
      </c>
      <c>
        <v>2021</v>
      </c>
      <c>
        <v>439.89</v>
      </c>
      <c s="1" t="str">
        <f ca="1">HYPERLINK("https://web.datatree.com/?/property?propertyId=33727579", "https://web.datatree.com/?/property?propertyId=33727579")</f>
        <v>https://web.datatree.com/?/property?propertyId=33727579</v>
      </c>
      <c r="Q4456" t="s">
        <v>316</v>
      </c>
      <c>
        <v>0.237</v>
      </c>
      <c t="s">
        <v>5471</v>
      </c>
      <c t="s">
        <v>3293</v>
      </c>
      <c t="s">
        <v>25143</v>
      </c>
      <c r="X4456" t="s">
        <v>20699</v>
      </c>
      <c t="s">
        <v>31198</v>
      </c>
      <c t="s">
        <v>65059</v>
      </c>
      <c t="s">
        <v>39289</v>
      </c>
      <c>
        <v>33905</v>
      </c>
      <c t="s">
        <v>62411</v>
      </c>
      <c t="s">
        <v>48794</v>
      </c>
      <c t="s">
        <v>57627</v>
      </c>
      <c>
        <v>9180</v>
      </c>
      <c r="AI4456" t="s">
        <v>29171</v>
      </c>
      <c t="s">
        <v>45393</v>
      </c>
      <c r="AL4456" t="s">
        <v>11713</v>
      </c>
      <c r="AN4456" t="s">
        <v>39289</v>
      </c>
      <c>
        <v>34109</v>
      </c>
      <c r="AQ4456" t="s">
        <v>3093</v>
      </c>
      <c t="s">
        <v>37017</v>
      </c>
    </row>
    <row>
      <c t="s">
        <v>17594</v>
      </c>
      <c t="s">
        <v>62896</v>
      </c>
      <c t="s">
        <v>23455</v>
      </c>
      <c t="s">
        <v>52404</v>
      </c>
      <c t="s">
        <v>51830</v>
      </c>
      <c s="3">
        <v>20612</v>
      </c>
      <c s="3">
        <v>20612</v>
      </c>
      <c s="3">
        <v>9339</v>
      </c>
      <c>
        <v>0</v>
      </c>
      <c s="3">
        <v>0</v>
      </c>
      <c s="3">
        <v>585.26</v>
      </c>
      <c s="3">
        <v>20612</v>
      </c>
      <c r="O4457" s="1" t="str">
        <f ca="1">HYPERLINK("https://web.datatree.com/?/property?propertyId=33727759", "https://web.datatree.com/?/property?propertyId=33727759")</f>
        <v>https://web.datatree.com/?/property?propertyId=33727759</v>
      </c>
      <c r="Q4457" t="s">
        <v>316</v>
      </c>
      <c>
        <v>0.241</v>
      </c>
      <c t="s">
        <v>6175</v>
      </c>
      <c t="s">
        <v>52701</v>
      </c>
      <c t="s">
        <v>36228</v>
      </c>
      <c r="X4457" t="s">
        <v>20514</v>
      </c>
      <c t="s">
        <v>61850</v>
      </c>
      <c t="s">
        <v>2517</v>
      </c>
      <c t="s">
        <v>39289</v>
      </c>
      <c>
        <v>33909</v>
      </c>
      <c t="s">
        <v>55227</v>
      </c>
      <c t="s">
        <v>48794</v>
      </c>
      <c t="s">
        <v>32997</v>
      </c>
      <c>
        <v>41</v>
      </c>
      <c r="AI4457" t="s">
        <v>7196</v>
      </c>
      <c t="s">
        <v>45393</v>
      </c>
      <c r="AL4457" t="s">
        <v>1377</v>
      </c>
      <c r="AN4457" t="s">
        <v>5859</v>
      </c>
      <c t="s">
        <v>17779</v>
      </c>
      <c t="s">
        <v>1951</v>
      </c>
      <c t="s">
        <v>3093</v>
      </c>
      <c t="s">
        <v>40960</v>
      </c>
    </row>
    <row>
      <c t="s">
        <v>17594</v>
      </c>
      <c t="s">
        <v>35802</v>
      </c>
      <c t="s">
        <v>6848</v>
      </c>
      <c t="s">
        <v>34353</v>
      </c>
      <c t="s">
        <v>19535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4458" s="1" t="str">
        <f ca="1">HYPERLINK("https://web.datatree.com/?/property?propertyId=33727905", "https://web.datatree.com/?/property?propertyId=33727905")</f>
        <v>https://web.datatree.com/?/property?propertyId=33727905</v>
      </c>
      <c r="Q4458" t="s">
        <v>316</v>
      </c>
      <c>
        <v>0.23</v>
      </c>
      <c t="s">
        <v>22490</v>
      </c>
      <c t="s">
        <v>4324</v>
      </c>
      <c t="s">
        <v>35588</v>
      </c>
      <c r="X4458" t="s">
        <v>12428</v>
      </c>
      <c t="s">
        <v>29190</v>
      </c>
      <c t="s">
        <v>2517</v>
      </c>
      <c t="s">
        <v>39289</v>
      </c>
      <c>
        <v>33904</v>
      </c>
      <c t="s">
        <v>2231</v>
      </c>
      <c t="s">
        <v>48794</v>
      </c>
      <c t="s">
        <v>61422</v>
      </c>
      <c>
        <v>367</v>
      </c>
      <c r="AI4458" t="s">
        <v>38685</v>
      </c>
      <c r="AL4458" t="s">
        <v>12891</v>
      </c>
      <c r="AN4458" t="s">
        <v>58811</v>
      </c>
      <c t="s">
        <v>30228</v>
      </c>
      <c r="AQ4458" t="s">
        <v>27814</v>
      </c>
      <c t="s">
        <v>15129</v>
      </c>
    </row>
    <row>
      <c t="s">
        <v>17594</v>
      </c>
      <c t="s">
        <v>57749</v>
      </c>
      <c t="s">
        <v>8237</v>
      </c>
      <c t="s">
        <v>61465</v>
      </c>
      <c t="s">
        <v>56279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4459" s="1" t="str">
        <f ca="1">HYPERLINK("https://web.datatree.com/?/property?propertyId=33728035", "https://web.datatree.com/?/property?propertyId=33728035")</f>
        <v>https://web.datatree.com/?/property?propertyId=33728035</v>
      </c>
      <c r="Q4459" t="s">
        <v>316</v>
      </c>
      <c>
        <v>0.23</v>
      </c>
      <c t="s">
        <v>14479</v>
      </c>
      <c t="s">
        <v>14858</v>
      </c>
      <c t="s">
        <v>14175</v>
      </c>
      <c r="X4459" t="s">
        <v>37376</v>
      </c>
      <c t="s">
        <v>30928</v>
      </c>
      <c t="s">
        <v>2517</v>
      </c>
      <c t="s">
        <v>39289</v>
      </c>
      <c>
        <v>33909</v>
      </c>
      <c t="s">
        <v>49403</v>
      </c>
      <c t="s">
        <v>48794</v>
      </c>
      <c t="s">
        <v>34899</v>
      </c>
      <c>
        <v>422</v>
      </c>
      <c r="AI4459" t="s">
        <v>25221</v>
      </c>
      <c t="s">
        <v>45620</v>
      </c>
      <c r="AL4459" t="s">
        <v>49696</v>
      </c>
      <c t="s">
        <v>3269</v>
      </c>
      <c t="s">
        <v>26016</v>
      </c>
      <c t="s">
        <v>52820</v>
      </c>
      <c t="s">
        <v>4797</v>
      </c>
      <c t="s">
        <v>3093</v>
      </c>
      <c t="s">
        <v>11794</v>
      </c>
    </row>
    <row>
      <c t="s">
        <v>17594</v>
      </c>
      <c t="s">
        <v>41079</v>
      </c>
      <c t="s">
        <v>44488</v>
      </c>
      <c t="s">
        <v>30163</v>
      </c>
      <c t="s">
        <v>46851</v>
      </c>
      <c s="3">
        <v>9404</v>
      </c>
      <c s="3">
        <v>9404</v>
      </c>
      <c s="3">
        <v>4972</v>
      </c>
      <c>
        <v>0</v>
      </c>
      <c s="3">
        <v>0</v>
      </c>
      <c s="3">
        <v>323.16</v>
      </c>
      <c s="3">
        <v>9404</v>
      </c>
      <c r="O4460" s="1" t="str">
        <f ca="1">HYPERLINK("https://web.datatree.com/?/property?propertyId=33729002", "https://web.datatree.com/?/property?propertyId=33729002")</f>
        <v>https://web.datatree.com/?/property?propertyId=33729002</v>
      </c>
      <c r="Q4460" t="s">
        <v>316</v>
      </c>
      <c>
        <v>0.286</v>
      </c>
      <c t="s">
        <v>5471</v>
      </c>
      <c t="s">
        <v>64318</v>
      </c>
      <c t="s">
        <v>10207</v>
      </c>
      <c r="X4460" t="s">
        <v>1685</v>
      </c>
      <c t="s">
        <v>52508</v>
      </c>
      <c t="s">
        <v>65059</v>
      </c>
      <c t="s">
        <v>39289</v>
      </c>
      <c>
        <v>33905</v>
      </c>
      <c t="s">
        <v>20796</v>
      </c>
      <c t="s">
        <v>48794</v>
      </c>
      <c t="s">
        <v>48859</v>
      </c>
      <c>
        <v>1222</v>
      </c>
      <c r="AI4460" t="s">
        <v>19389</v>
      </c>
      <c t="s">
        <v>45393</v>
      </c>
      <c r="AL4460" t="s">
        <v>12888</v>
      </c>
      <c r="AN4460" t="s">
        <v>27481</v>
      </c>
      <c t="s">
        <v>500</v>
      </c>
      <c t="s">
        <v>26242</v>
      </c>
      <c t="s">
        <v>3093</v>
      </c>
      <c t="s">
        <v>32242</v>
      </c>
    </row>
    <row>
      <c t="s">
        <v>17594</v>
      </c>
      <c t="s">
        <v>32875</v>
      </c>
      <c t="s">
        <v>4083</v>
      </c>
      <c t="s">
        <v>2279</v>
      </c>
      <c t="s">
        <v>10562</v>
      </c>
      <c s="3">
        <v>22152</v>
      </c>
      <c s="3">
        <v>22152</v>
      </c>
      <c s="3">
        <v>22152</v>
      </c>
      <c>
        <v>0</v>
      </c>
      <c s="3">
        <v>0</v>
      </c>
      <c s="3">
        <v>633.3</v>
      </c>
      <c s="3">
        <v>22152</v>
      </c>
      <c r="O4461" s="1" t="str">
        <f ca="1">HYPERLINK("https://web.datatree.com/?/property?propertyId=33729182", "https://web.datatree.com/?/property?propertyId=33729182")</f>
        <v>https://web.datatree.com/?/property?propertyId=33729182</v>
      </c>
      <c r="Q4461" t="s">
        <v>316</v>
      </c>
      <c>
        <v>0.23</v>
      </c>
      <c t="s">
        <v>22490</v>
      </c>
      <c t="s">
        <v>20058</v>
      </c>
      <c t="s">
        <v>44155</v>
      </c>
      <c t="s">
        <v>12869</v>
      </c>
      <c t="s">
        <v>44155</v>
      </c>
      <c t="s">
        <v>25536</v>
      </c>
      <c t="s">
        <v>66701</v>
      </c>
      <c t="s">
        <v>2517</v>
      </c>
      <c t="s">
        <v>39289</v>
      </c>
      <c>
        <v>33909</v>
      </c>
      <c t="s">
        <v>54014</v>
      </c>
      <c t="s">
        <v>48794</v>
      </c>
      <c t="s">
        <v>62310</v>
      </c>
      <c>
        <v>18535</v>
      </c>
      <c r="AI4461" t="s">
        <v>54193</v>
      </c>
      <c t="s">
        <v>45620</v>
      </c>
      <c r="AL4461" t="s">
        <v>32172</v>
      </c>
      <c r="AN4461" t="s">
        <v>49572</v>
      </c>
      <c t="s">
        <v>34131</v>
      </c>
      <c t="s">
        <v>22455</v>
      </c>
      <c t="s">
        <v>3093</v>
      </c>
      <c t="s">
        <v>11824</v>
      </c>
    </row>
    <row>
      <c t="s">
        <v>17594</v>
      </c>
      <c t="s">
        <v>3785</v>
      </c>
      <c t="s">
        <v>23085</v>
      </c>
      <c t="s">
        <v>63595</v>
      </c>
      <c t="s">
        <v>13810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4462" s="1" t="str">
        <f ca="1">HYPERLINK("https://web.datatree.com/?/property?propertyId=33729188", "https://web.datatree.com/?/property?propertyId=33729188")</f>
        <v>https://web.datatree.com/?/property?propertyId=33729188</v>
      </c>
      <c r="Q4462" t="s">
        <v>316</v>
      </c>
      <c>
        <v>0.23</v>
      </c>
      <c t="s">
        <v>6175</v>
      </c>
      <c t="s">
        <v>60286</v>
      </c>
      <c t="s">
        <v>12903</v>
      </c>
      <c r="X4462" t="s">
        <v>20856</v>
      </c>
      <c t="s">
        <v>18679</v>
      </c>
      <c t="s">
        <v>2517</v>
      </c>
      <c t="s">
        <v>39289</v>
      </c>
      <c>
        <v>33909</v>
      </c>
      <c t="s">
        <v>23503</v>
      </c>
      <c t="s">
        <v>48794</v>
      </c>
      <c t="s">
        <v>41285</v>
      </c>
      <c>
        <v>1416</v>
      </c>
      <c r="AI4462" t="s">
        <v>39465</v>
      </c>
      <c t="s">
        <v>31192</v>
      </c>
      <c r="AL4462" t="s">
        <v>15772</v>
      </c>
      <c t="s">
        <v>15772</v>
      </c>
      <c t="s">
        <v>65451</v>
      </c>
      <c t="s">
        <v>22331</v>
      </c>
      <c t="s">
        <v>39711</v>
      </c>
      <c t="s">
        <v>3093</v>
      </c>
      <c t="s">
        <v>32799</v>
      </c>
    </row>
    <row>
      <c t="s">
        <v>17594</v>
      </c>
      <c t="s">
        <v>51681</v>
      </c>
      <c t="s">
        <v>51611</v>
      </c>
      <c t="s">
        <v>11336</v>
      </c>
      <c t="s">
        <v>15453</v>
      </c>
      <c s="3">
        <v>12544</v>
      </c>
      <c s="3">
        <v>12544</v>
      </c>
      <c s="3">
        <v>4972</v>
      </c>
      <c>
        <v>0</v>
      </c>
      <c s="3">
        <v>0</v>
      </c>
      <c s="3">
        <v>320.56</v>
      </c>
      <c s="3">
        <v>12544</v>
      </c>
      <c r="O4463" s="1" t="str">
        <f ca="1">HYPERLINK("https://web.datatree.com/?/property?propertyId=33729842", "https://web.datatree.com/?/property?propertyId=33729842")</f>
        <v>https://web.datatree.com/?/property?propertyId=33729842</v>
      </c>
      <c r="Q4463" t="s">
        <v>316</v>
      </c>
      <c>
        <v>0.265</v>
      </c>
      <c t="s">
        <v>5471</v>
      </c>
      <c t="s">
        <v>63376</v>
      </c>
      <c t="s">
        <v>30915</v>
      </c>
      <c t="s">
        <v>67208</v>
      </c>
      <c t="s">
        <v>30915</v>
      </c>
      <c t="s">
        <v>3190</v>
      </c>
      <c t="s">
        <v>62688</v>
      </c>
      <c t="s">
        <v>65059</v>
      </c>
      <c t="s">
        <v>39289</v>
      </c>
      <c>
        <v>33905</v>
      </c>
      <c t="s">
        <v>64131</v>
      </c>
      <c t="s">
        <v>48794</v>
      </c>
      <c t="s">
        <v>61134</v>
      </c>
      <c>
        <v>443</v>
      </c>
      <c r="AI4463" t="s">
        <v>65138</v>
      </c>
      <c t="s">
        <v>45393</v>
      </c>
      <c r="AL4463" t="s">
        <v>60431</v>
      </c>
      <c r="AN4463" t="s">
        <v>50917</v>
      </c>
      <c t="s">
        <v>2907</v>
      </c>
      <c t="s">
        <v>39566</v>
      </c>
      <c t="s">
        <v>3093</v>
      </c>
      <c t="s">
        <v>57265</v>
      </c>
    </row>
    <row>
      <c t="s">
        <v>17594</v>
      </c>
      <c t="s">
        <v>54683</v>
      </c>
      <c t="s">
        <v>52365</v>
      </c>
      <c t="s">
        <v>62946</v>
      </c>
      <c t="s">
        <v>31469</v>
      </c>
      <c s="3">
        <v>76552</v>
      </c>
      <c s="3">
        <v>67250</v>
      </c>
      <c s="3">
        <v>73772</v>
      </c>
      <c>
        <v>0</v>
      </c>
      <c s="3">
        <v>0</v>
      </c>
      <c s="3">
        <v>1124.83</v>
      </c>
      <c s="3">
        <v>76552</v>
      </c>
      <c r="O4464" s="1" t="str">
        <f ca="1">HYPERLINK("https://web.datatree.com/?/property?propertyId=33730003", "https://web.datatree.com/?/property?propertyId=33730003")</f>
        <v>https://web.datatree.com/?/property?propertyId=33730003</v>
      </c>
      <c r="Q4464" t="s">
        <v>316</v>
      </c>
      <c>
        <v>0.125</v>
      </c>
      <c t="s">
        <v>26492</v>
      </c>
      <c t="s">
        <v>60074</v>
      </c>
      <c t="s">
        <v>65572</v>
      </c>
      <c r="X4464" t="s">
        <v>30659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29854</v>
      </c>
      <c>
        <v>5753</v>
      </c>
      <c r="AH4464" t="s">
        <v>26580</v>
      </c>
      <c t="s">
        <v>32180</v>
      </c>
      <c r="AK4464">
        <v>3191</v>
      </c>
      <c t="s">
        <v>19330</v>
      </c>
      <c t="s">
        <v>40227</v>
      </c>
      <c t="s">
        <v>39289</v>
      </c>
      <c t="s">
        <v>61371</v>
      </c>
      <c t="s">
        <v>15070</v>
      </c>
      <c t="s">
        <v>3093</v>
      </c>
      <c t="s">
        <v>32838</v>
      </c>
    </row>
    <row>
      <c t="s">
        <v>17594</v>
      </c>
      <c t="s">
        <v>20547</v>
      </c>
      <c t="s">
        <v>45295</v>
      </c>
      <c t="s">
        <v>15747</v>
      </c>
      <c t="s">
        <v>27734</v>
      </c>
      <c s="3">
        <v>166583</v>
      </c>
      <c s="3">
        <v>166583</v>
      </c>
      <c s="3">
        <v>153340</v>
      </c>
      <c>
        <v>0</v>
      </c>
      <c s="3">
        <v>0</v>
      </c>
      <c s="3">
        <v>2369.36</v>
      </c>
      <c s="3">
        <v>166583</v>
      </c>
      <c r="O4465" s="1" t="str">
        <f ca="1">HYPERLINK("https://web.datatree.com/?/property?propertyId=33730149", "https://web.datatree.com/?/property?propertyId=33730149")</f>
        <v>https://web.datatree.com/?/property?propertyId=33730149</v>
      </c>
      <c r="Q4465" t="s">
        <v>316</v>
      </c>
      <c>
        <v>8.5</v>
      </c>
      <c t="s">
        <v>30497</v>
      </c>
      <c t="s">
        <v>24110</v>
      </c>
      <c t="s">
        <v>21178</v>
      </c>
      <c t="s">
        <v>42913</v>
      </c>
      <c t="s">
        <v>21178</v>
      </c>
      <c t="s">
        <v>45685</v>
      </c>
      <c t="s">
        <v>66960</v>
      </c>
      <c t="s">
        <v>65059</v>
      </c>
      <c t="s">
        <v>39289</v>
      </c>
      <c>
        <v>33905</v>
      </c>
      <c t="s">
        <v>17030</v>
      </c>
      <c t="s">
        <v>48794</v>
      </c>
      <c t="s">
        <v>20709</v>
      </c>
      <c>
        <v>398</v>
      </c>
      <c r="AI4465" t="s">
        <v>47153</v>
      </c>
      <c t="s">
        <v>45620</v>
      </c>
      <c r="AL4465" t="s">
        <v>7105</v>
      </c>
      <c r="AN4465" t="s">
        <v>65467</v>
      </c>
      <c t="s">
        <v>56707</v>
      </c>
      <c t="s">
        <v>14695</v>
      </c>
      <c t="s">
        <v>3093</v>
      </c>
      <c t="s">
        <v>26785</v>
      </c>
    </row>
    <row>
      <c t="s">
        <v>17594</v>
      </c>
      <c t="s">
        <v>9236</v>
      </c>
      <c t="s">
        <v>6181</v>
      </c>
      <c t="s">
        <v>36768</v>
      </c>
      <c t="s">
        <v>64314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466" s="1" t="str">
        <f ca="1">HYPERLINK("https://web.datatree.com/?/property?propertyId=33730588", "https://web.datatree.com/?/property?propertyId=33730588")</f>
        <v>https://web.datatree.com/?/property?propertyId=33730588</v>
      </c>
      <c r="Q4466" t="s">
        <v>316</v>
      </c>
      <c>
        <v>0.23</v>
      </c>
      <c t="s">
        <v>6175</v>
      </c>
      <c t="s">
        <v>13491</v>
      </c>
      <c t="s">
        <v>22136</v>
      </c>
      <c t="s">
        <v>1465</v>
      </c>
      <c t="s">
        <v>22136</v>
      </c>
      <c t="s">
        <v>6561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38114</v>
      </c>
      <c>
        <v>82</v>
      </c>
      <c r="AI4466" t="s">
        <v>32776</v>
      </c>
      <c t="s">
        <v>31192</v>
      </c>
      <c r="AL4466" t="s">
        <v>5040</v>
      </c>
      <c r="AN4466" t="s">
        <v>14509</v>
      </c>
      <c t="s">
        <v>39552</v>
      </c>
      <c t="s">
        <v>38085</v>
      </c>
      <c t="s">
        <v>3093</v>
      </c>
      <c t="s">
        <v>53172</v>
      </c>
    </row>
    <row>
      <c t="s">
        <v>17594</v>
      </c>
      <c t="s">
        <v>28004</v>
      </c>
      <c t="s">
        <v>55810</v>
      </c>
      <c t="s">
        <v>51058</v>
      </c>
      <c t="s">
        <v>9920</v>
      </c>
      <c s="3">
        <v>7700</v>
      </c>
      <c s="3">
        <v>7700</v>
      </c>
      <c s="3">
        <v>7700</v>
      </c>
      <c>
        <v>0</v>
      </c>
      <c s="3">
        <v>0</v>
      </c>
      <c s="3">
        <v>561.47</v>
      </c>
      <c s="3">
        <v>7700</v>
      </c>
      <c r="O4467" s="1" t="str">
        <f ca="1">HYPERLINK("https://web.datatree.com/?/property?propertyId=33731242", "https://web.datatree.com/?/property?propertyId=33731242")</f>
        <v>https://web.datatree.com/?/property?propertyId=33731242</v>
      </c>
      <c r="Q4467" t="s">
        <v>316</v>
      </c>
      <c>
        <v>0.248</v>
      </c>
      <c t="s">
        <v>6175</v>
      </c>
      <c t="s">
        <v>50554</v>
      </c>
      <c t="s">
        <v>4458</v>
      </c>
      <c t="s">
        <v>62056</v>
      </c>
      <c t="s">
        <v>20565</v>
      </c>
      <c t="s">
        <v>25736</v>
      </c>
      <c t="s">
        <v>29190</v>
      </c>
      <c t="s">
        <v>2517</v>
      </c>
      <c t="s">
        <v>39289</v>
      </c>
      <c>
        <v>33909</v>
      </c>
      <c t="s">
        <v>17245</v>
      </c>
      <c t="s">
        <v>48794</v>
      </c>
      <c t="s">
        <v>35948</v>
      </c>
      <c>
        <v>902</v>
      </c>
      <c r="AI4467" t="s">
        <v>61290</v>
      </c>
      <c r="AL4467" t="s">
        <v>42601</v>
      </c>
      <c r="AN4467" t="s">
        <v>14798</v>
      </c>
      <c r="AR4467" t="s">
        <v>29397</v>
      </c>
    </row>
    <row>
      <c t="s">
        <v>17594</v>
      </c>
      <c t="s">
        <v>2164</v>
      </c>
      <c t="s">
        <v>39925</v>
      </c>
      <c t="s">
        <v>6229</v>
      </c>
      <c t="s">
        <v>28278</v>
      </c>
      <c s="3">
        <v>102987</v>
      </c>
      <c s="3">
        <v>93500</v>
      </c>
      <c s="3">
        <v>102987</v>
      </c>
      <c>
        <v>0</v>
      </c>
      <c s="3">
        <v>0</v>
      </c>
      <c s="3">
        <v>1546.79</v>
      </c>
      <c s="3">
        <v>102987</v>
      </c>
      <c r="O4468" s="1" t="str">
        <f ca="1">HYPERLINK("https://web.datatree.com/?/property?propertyId=33731392", "https://web.datatree.com/?/property?propertyId=33731392")</f>
        <v>https://web.datatree.com/?/property?propertyId=33731392</v>
      </c>
      <c r="Q4468" t="s">
        <v>316</v>
      </c>
      <c>
        <v>0.096</v>
      </c>
      <c t="s">
        <v>26492</v>
      </c>
      <c r="U4468" t="s">
        <v>18094</v>
      </c>
      <c r="W4468" t="s">
        <v>49489</v>
      </c>
      <c t="s">
        <v>4781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64102</v>
      </c>
      <c>
        <v>1600</v>
      </c>
      <c r="AI4468" t="s">
        <v>15650</v>
      </c>
      <c t="s">
        <v>31192</v>
      </c>
      <c r="AL4468" t="s">
        <v>26757</v>
      </c>
      <c t="s">
        <v>40227</v>
      </c>
      <c t="s">
        <v>40451</v>
      </c>
      <c t="s">
        <v>57386</v>
      </c>
      <c t="s">
        <v>60160</v>
      </c>
      <c t="s">
        <v>3093</v>
      </c>
      <c t="s">
        <v>52425</v>
      </c>
    </row>
    <row>
      <c t="s">
        <v>17594</v>
      </c>
      <c t="s">
        <v>26455</v>
      </c>
      <c t="s">
        <v>21916</v>
      </c>
      <c t="s">
        <v>22775</v>
      </c>
      <c t="s">
        <v>48850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4469" s="1" t="str">
        <f ca="1">HYPERLINK("https://web.datatree.com/?/property?propertyId=33732509", "https://web.datatree.com/?/property?propertyId=33732509")</f>
        <v>https://web.datatree.com/?/property?propertyId=33732509</v>
      </c>
      <c r="Q4469" t="s">
        <v>316</v>
      </c>
      <c>
        <v>0.244</v>
      </c>
      <c t="s">
        <v>6175</v>
      </c>
      <c t="s">
        <v>25477</v>
      </c>
      <c t="s">
        <v>50728</v>
      </c>
      <c t="s">
        <v>39210</v>
      </c>
      <c t="s">
        <v>50728</v>
      </c>
      <c t="s">
        <v>14749</v>
      </c>
      <c t="s">
        <v>14534</v>
      </c>
      <c t="s">
        <v>2517</v>
      </c>
      <c t="s">
        <v>39289</v>
      </c>
      <c>
        <v>33909</v>
      </c>
      <c t="s">
        <v>32869</v>
      </c>
      <c t="s">
        <v>48794</v>
      </c>
      <c t="s">
        <v>39447</v>
      </c>
      <c>
        <v>4209</v>
      </c>
      <c r="AI4469" t="s">
        <v>62800</v>
      </c>
      <c t="s">
        <v>24900</v>
      </c>
      <c t="s">
        <v>44509</v>
      </c>
      <c t="s">
        <v>63957</v>
      </c>
      <c r="AN4469" t="s">
        <v>50917</v>
      </c>
      <c t="s">
        <v>63635</v>
      </c>
      <c t="s">
        <v>54916</v>
      </c>
      <c t="s">
        <v>3093</v>
      </c>
      <c t="s">
        <v>41559</v>
      </c>
    </row>
    <row>
      <c t="s">
        <v>17594</v>
      </c>
      <c t="s">
        <v>54136</v>
      </c>
      <c t="s">
        <v>3080</v>
      </c>
      <c t="s">
        <v>43577</v>
      </c>
      <c t="s">
        <v>12642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4470" s="1" t="str">
        <f ca="1">HYPERLINK("https://web.datatree.com/?/property?propertyId=33732961", "https://web.datatree.com/?/property?propertyId=33732961")</f>
        <v>https://web.datatree.com/?/property?propertyId=33732961</v>
      </c>
      <c r="Q4470" t="s">
        <v>316</v>
      </c>
      <c>
        <v>0.236</v>
      </c>
      <c t="s">
        <v>6175</v>
      </c>
      <c t="s">
        <v>33813</v>
      </c>
      <c t="s">
        <v>20041</v>
      </c>
      <c t="s">
        <v>52920</v>
      </c>
      <c t="s">
        <v>20041</v>
      </c>
      <c t="s">
        <v>2499</v>
      </c>
      <c t="s">
        <v>14534</v>
      </c>
      <c t="s">
        <v>2517</v>
      </c>
      <c t="s">
        <v>39289</v>
      </c>
      <c>
        <v>33909</v>
      </c>
      <c t="s">
        <v>41607</v>
      </c>
      <c t="s">
        <v>48794</v>
      </c>
      <c t="s">
        <v>17528</v>
      </c>
      <c r="AI4470" t="s">
        <v>9248</v>
      </c>
      <c r="AL4470" t="s">
        <v>22421</v>
      </c>
      <c r="AN4470" t="s">
        <v>63985</v>
      </c>
      <c>
        <v>64367</v>
      </c>
      <c r="AR4470" t="s">
        <v>2010</v>
      </c>
    </row>
    <row>
      <c t="s">
        <v>17594</v>
      </c>
      <c t="s">
        <v>10371</v>
      </c>
      <c t="s">
        <v>36093</v>
      </c>
      <c t="s">
        <v>7459</v>
      </c>
      <c t="s">
        <v>6745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471" s="1" t="str">
        <f ca="1">HYPERLINK("https://web.datatree.com/?/property?propertyId=33733055", "https://web.datatree.com/?/property?propertyId=33733055")</f>
        <v>https://web.datatree.com/?/property?propertyId=33733055</v>
      </c>
      <c r="Q4471" t="s">
        <v>316</v>
      </c>
      <c>
        <v>0.23</v>
      </c>
      <c t="s">
        <v>22490</v>
      </c>
      <c t="s">
        <v>54971</v>
      </c>
      <c t="s">
        <v>66441</v>
      </c>
      <c t="s">
        <v>21379</v>
      </c>
      <c t="s">
        <v>66441</v>
      </c>
      <c t="s">
        <v>47875</v>
      </c>
      <c t="s">
        <v>2626</v>
      </c>
      <c t="s">
        <v>2517</v>
      </c>
      <c t="s">
        <v>39289</v>
      </c>
      <c>
        <v>33909</v>
      </c>
      <c t="s">
        <v>1668</v>
      </c>
      <c t="s">
        <v>48794</v>
      </c>
      <c t="s">
        <v>2457</v>
      </c>
      <c>
        <v>14</v>
      </c>
      <c r="AI4471" t="s">
        <v>46796</v>
      </c>
      <c t="s">
        <v>55842</v>
      </c>
      <c r="AL4471" t="s">
        <v>35547</v>
      </c>
      <c r="AN4471" t="s">
        <v>65467</v>
      </c>
      <c t="s">
        <v>26345</v>
      </c>
      <c t="s">
        <v>33029</v>
      </c>
      <c t="s">
        <v>3093</v>
      </c>
      <c t="s">
        <v>29189</v>
      </c>
    </row>
    <row>
      <c t="s">
        <v>17594</v>
      </c>
      <c t="s">
        <v>6654</v>
      </c>
      <c t="s">
        <v>41058</v>
      </c>
      <c t="s">
        <v>38955</v>
      </c>
      <c t="s">
        <v>14767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>
        <v>2021</v>
      </c>
      <c>
        <v>520</v>
      </c>
      <c s="1" t="str">
        <f ca="1">HYPERLINK("https://web.datatree.com/?/property?propertyId=33733597", "https://web.datatree.com/?/property?propertyId=33733597")</f>
        <v>https://web.datatree.com/?/property?propertyId=33733597</v>
      </c>
      <c r="Q4472" t="s">
        <v>316</v>
      </c>
      <c>
        <v>0.23</v>
      </c>
      <c t="s">
        <v>22490</v>
      </c>
      <c t="s">
        <v>10361</v>
      </c>
      <c t="s">
        <v>60761</v>
      </c>
      <c r="X4472" t="s">
        <v>28517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53463</v>
      </c>
      <c>
        <v>89</v>
      </c>
      <c r="AI4472" t="s">
        <v>29295</v>
      </c>
      <c r="AL4472" t="s">
        <v>60587</v>
      </c>
      <c r="AN4472" t="s">
        <v>41825</v>
      </c>
      <c t="s">
        <v>44417</v>
      </c>
      <c r="AQ4472" t="s">
        <v>27814</v>
      </c>
      <c t="s">
        <v>39953</v>
      </c>
    </row>
    <row>
      <c t="s">
        <v>17594</v>
      </c>
      <c t="s">
        <v>59538</v>
      </c>
      <c t="s">
        <v>41637</v>
      </c>
      <c t="s">
        <v>2115</v>
      </c>
      <c t="s">
        <v>33730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473" s="1" t="str">
        <f ca="1">HYPERLINK("https://web.datatree.com/?/property?propertyId=33733922", "https://web.datatree.com/?/property?propertyId=33733922")</f>
        <v>https://web.datatree.com/?/property?propertyId=33733922</v>
      </c>
      <c r="Q4473" t="s">
        <v>316</v>
      </c>
      <c>
        <v>0.23</v>
      </c>
      <c t="s">
        <v>6175</v>
      </c>
      <c t="s">
        <v>7133</v>
      </c>
      <c t="s">
        <v>1515</v>
      </c>
      <c t="s">
        <v>33384</v>
      </c>
      <c t="s">
        <v>48952</v>
      </c>
      <c t="s">
        <v>54820</v>
      </c>
      <c t="s">
        <v>2626</v>
      </c>
      <c t="s">
        <v>2517</v>
      </c>
      <c t="s">
        <v>39289</v>
      </c>
      <c>
        <v>33909</v>
      </c>
      <c t="s">
        <v>382</v>
      </c>
      <c t="s">
        <v>48794</v>
      </c>
      <c t="s">
        <v>8059</v>
      </c>
      <c>
        <v>5322</v>
      </c>
      <c r="AI4473" t="s">
        <v>45350</v>
      </c>
      <c t="s">
        <v>24900</v>
      </c>
      <c r="AL4473" t="s">
        <v>2097</v>
      </c>
      <c r="AN4473" t="s">
        <v>27481</v>
      </c>
      <c t="s">
        <v>48343</v>
      </c>
      <c t="s">
        <v>54916</v>
      </c>
      <c t="s">
        <v>3093</v>
      </c>
      <c t="s">
        <v>14657</v>
      </c>
    </row>
    <row>
      <c t="s">
        <v>17594</v>
      </c>
      <c t="s">
        <v>60317</v>
      </c>
      <c t="s">
        <v>18751</v>
      </c>
      <c t="s">
        <v>31345</v>
      </c>
      <c t="s">
        <v>7796</v>
      </c>
      <c s="3">
        <v>22874</v>
      </c>
      <c s="3">
        <v>22874</v>
      </c>
      <c s="3">
        <v>9433</v>
      </c>
      <c>
        <v>0</v>
      </c>
      <c s="3">
        <v>0</v>
      </c>
      <c s="3">
        <v>414.38</v>
      </c>
      <c s="3">
        <v>22874</v>
      </c>
      <c>
        <v>2016</v>
      </c>
      <c>
        <v>3297.67</v>
      </c>
      <c s="1" t="str">
        <f ca="1">HYPERLINK("https://web.datatree.com/?/property?propertyId=33734248", "https://web.datatree.com/?/property?propertyId=33734248")</f>
        <v>https://web.datatree.com/?/property?propertyId=33734248</v>
      </c>
      <c r="Q4474" t="s">
        <v>316</v>
      </c>
      <c>
        <v>0.237</v>
      </c>
      <c t="s">
        <v>5471</v>
      </c>
      <c t="s">
        <v>49892</v>
      </c>
      <c t="s">
        <v>16594</v>
      </c>
      <c r="X4474" t="s">
        <v>70</v>
      </c>
      <c t="s">
        <v>43940</v>
      </c>
      <c t="s">
        <v>65059</v>
      </c>
      <c t="s">
        <v>39289</v>
      </c>
      <c>
        <v>33905</v>
      </c>
      <c t="s">
        <v>34697</v>
      </c>
      <c t="s">
        <v>48794</v>
      </c>
      <c t="s">
        <v>20452</v>
      </c>
      <c>
        <v>13053</v>
      </c>
      <c r="AI4474" t="s">
        <v>17519</v>
      </c>
      <c t="s">
        <v>45393</v>
      </c>
      <c r="AL4474" t="s">
        <v>67217</v>
      </c>
      <c r="AN4474" t="s">
        <v>50917</v>
      </c>
      <c t="s">
        <v>30298</v>
      </c>
      <c t="s">
        <v>61410</v>
      </c>
      <c t="s">
        <v>3093</v>
      </c>
      <c t="s">
        <v>64899</v>
      </c>
    </row>
    <row>
      <c t="s">
        <v>17594</v>
      </c>
      <c t="s">
        <v>22911</v>
      </c>
      <c t="s">
        <v>14650</v>
      </c>
      <c t="s">
        <v>17934</v>
      </c>
      <c t="s">
        <v>19339</v>
      </c>
      <c s="3">
        <v>12544</v>
      </c>
      <c s="3">
        <v>12544</v>
      </c>
      <c s="3">
        <v>4952</v>
      </c>
      <c>
        <v>0</v>
      </c>
      <c s="3">
        <v>0</v>
      </c>
      <c s="3">
        <v>313.92</v>
      </c>
      <c s="3">
        <v>12544</v>
      </c>
      <c r="O4475" s="1" t="str">
        <f ca="1">HYPERLINK("https://web.datatree.com/?/property?propertyId=33735345", "https://web.datatree.com/?/property?propertyId=33735345")</f>
        <v>https://web.datatree.com/?/property?propertyId=33735345</v>
      </c>
      <c r="Q4475" t="s">
        <v>316</v>
      </c>
      <c>
        <v>0.224</v>
      </c>
      <c t="s">
        <v>5471</v>
      </c>
      <c t="s">
        <v>24730</v>
      </c>
      <c t="s">
        <v>44480</v>
      </c>
      <c t="s">
        <v>11001</v>
      </c>
      <c t="s">
        <v>15403</v>
      </c>
      <c t="s">
        <v>16012</v>
      </c>
      <c t="s">
        <v>51290</v>
      </c>
      <c t="s">
        <v>65059</v>
      </c>
      <c t="s">
        <v>39289</v>
      </c>
      <c>
        <v>33905</v>
      </c>
      <c t="s">
        <v>26106</v>
      </c>
      <c t="s">
        <v>48794</v>
      </c>
      <c t="s">
        <v>47273</v>
      </c>
      <c>
        <v>5837</v>
      </c>
      <c r="AI4475" t="s">
        <v>47122</v>
      </c>
      <c t="s">
        <v>45393</v>
      </c>
      <c r="AL4475" t="s">
        <v>2040</v>
      </c>
      <c t="s">
        <v>40227</v>
      </c>
      <c t="s">
        <v>50917</v>
      </c>
      <c t="s">
        <v>33661</v>
      </c>
      <c t="s">
        <v>54916</v>
      </c>
      <c t="s">
        <v>3093</v>
      </c>
      <c t="s">
        <v>67129</v>
      </c>
    </row>
    <row>
      <c t="s">
        <v>17594</v>
      </c>
      <c t="s">
        <v>15823</v>
      </c>
      <c t="s">
        <v>40139</v>
      </c>
      <c t="s">
        <v>41802</v>
      </c>
      <c t="s">
        <v>33081</v>
      </c>
      <c s="3">
        <v>7500</v>
      </c>
      <c s="3">
        <v>7500</v>
      </c>
      <c s="3">
        <v>7500</v>
      </c>
      <c>
        <v>0</v>
      </c>
      <c s="3">
        <v>0</v>
      </c>
      <c s="3">
        <v>645.41</v>
      </c>
      <c s="3">
        <v>7500</v>
      </c>
      <c r="O4476" s="1" t="str">
        <f ca="1">HYPERLINK("https://web.datatree.com/?/property?propertyId=33736735", "https://web.datatree.com/?/property?propertyId=33736735")</f>
        <v>https://web.datatree.com/?/property?propertyId=33736735</v>
      </c>
      <c r="Q4476" t="s">
        <v>316</v>
      </c>
      <c>
        <v>0.255</v>
      </c>
      <c t="s">
        <v>6175</v>
      </c>
      <c t="s">
        <v>16741</v>
      </c>
      <c t="s">
        <v>21716</v>
      </c>
      <c r="X4476" t="s">
        <v>34334</v>
      </c>
      <c t="s">
        <v>13065</v>
      </c>
      <c t="s">
        <v>2517</v>
      </c>
      <c t="s">
        <v>39289</v>
      </c>
      <c>
        <v>33909</v>
      </c>
      <c t="s">
        <v>31296</v>
      </c>
      <c t="s">
        <v>48794</v>
      </c>
      <c t="s">
        <v>2131</v>
      </c>
      <c>
        <v>2105</v>
      </c>
      <c r="AI4476" t="s">
        <v>280</v>
      </c>
      <c t="s">
        <v>835</v>
      </c>
      <c r="AL4476" t="s">
        <v>10240</v>
      </c>
      <c t="s">
        <v>10240</v>
      </c>
      <c t="s">
        <v>39289</v>
      </c>
      <c t="s">
        <v>34841</v>
      </c>
      <c t="s">
        <v>23744</v>
      </c>
      <c t="s">
        <v>3093</v>
      </c>
      <c t="s">
        <v>3816</v>
      </c>
    </row>
    <row>
      <c t="s">
        <v>17594</v>
      </c>
      <c t="s">
        <v>38176</v>
      </c>
      <c t="s">
        <v>17692</v>
      </c>
      <c t="s">
        <v>18555</v>
      </c>
      <c t="s">
        <v>45423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4477" s="1" t="str">
        <f ca="1">HYPERLINK("https://web.datatree.com/?/property?propertyId=33736756", "https://web.datatree.com/?/property?propertyId=33736756")</f>
        <v>https://web.datatree.com/?/property?propertyId=33736756</v>
      </c>
      <c r="Q4477" t="s">
        <v>316</v>
      </c>
      <c>
        <v>0.23</v>
      </c>
      <c t="s">
        <v>6175</v>
      </c>
      <c t="s">
        <v>56498</v>
      </c>
      <c t="s">
        <v>31737</v>
      </c>
      <c t="s">
        <v>61259</v>
      </c>
      <c t="s">
        <v>3421</v>
      </c>
      <c t="s">
        <v>66346</v>
      </c>
      <c t="s">
        <v>39082</v>
      </c>
      <c t="s">
        <v>2517</v>
      </c>
      <c t="s">
        <v>39289</v>
      </c>
      <c>
        <v>33909</v>
      </c>
      <c t="s">
        <v>39325</v>
      </c>
      <c t="s">
        <v>48794</v>
      </c>
      <c t="s">
        <v>15730</v>
      </c>
      <c>
        <v>6806</v>
      </c>
      <c r="AI4477" t="s">
        <v>32196</v>
      </c>
      <c t="s">
        <v>40123</v>
      </c>
      <c r="AL4477" t="s">
        <v>51967</v>
      </c>
      <c r="AN4477" t="s">
        <v>65467</v>
      </c>
      <c t="s">
        <v>1918</v>
      </c>
      <c t="s">
        <v>52247</v>
      </c>
      <c t="s">
        <v>3093</v>
      </c>
      <c t="s">
        <v>28669</v>
      </c>
    </row>
    <row>
      <c t="s">
        <v>17594</v>
      </c>
      <c t="s">
        <v>62761</v>
      </c>
      <c t="s">
        <v>26616</v>
      </c>
      <c t="s">
        <v>2800</v>
      </c>
      <c t="s">
        <v>23829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4478" s="1" t="str">
        <f ca="1">HYPERLINK("https://web.datatree.com/?/property?propertyId=33738113", "https://web.datatree.com/?/property?propertyId=33738113")</f>
        <v>https://web.datatree.com/?/property?propertyId=33738113</v>
      </c>
      <c r="Q4478" t="s">
        <v>316</v>
      </c>
      <c>
        <v>0.23</v>
      </c>
      <c t="s">
        <v>22490</v>
      </c>
      <c t="s">
        <v>1949</v>
      </c>
      <c t="s">
        <v>49325</v>
      </c>
      <c r="X4478" t="s">
        <v>60636</v>
      </c>
      <c t="s">
        <v>53675</v>
      </c>
      <c t="s">
        <v>2517</v>
      </c>
      <c t="s">
        <v>39289</v>
      </c>
      <c>
        <v>33909</v>
      </c>
      <c t="s">
        <v>51398</v>
      </c>
      <c t="s">
        <v>48794</v>
      </c>
      <c t="s">
        <v>10192</v>
      </c>
      <c>
        <v>1</v>
      </c>
      <c r="AI4478" t="s">
        <v>6655</v>
      </c>
      <c r="AL4478" t="s">
        <v>27521</v>
      </c>
      <c r="AN4478" t="s">
        <v>54940</v>
      </c>
      <c r="AR4478" t="s">
        <v>53759</v>
      </c>
    </row>
    <row>
      <c t="s">
        <v>17594</v>
      </c>
      <c t="s">
        <v>22090</v>
      </c>
      <c t="s">
        <v>26798</v>
      </c>
      <c t="s">
        <v>62515</v>
      </c>
      <c t="s">
        <v>6786</v>
      </c>
      <c s="3">
        <v>22130</v>
      </c>
      <c s="3">
        <v>22130</v>
      </c>
      <c s="3">
        <v>8800</v>
      </c>
      <c>
        <v>0</v>
      </c>
      <c s="3">
        <v>0</v>
      </c>
      <c s="3">
        <v>619.92</v>
      </c>
      <c s="3">
        <v>22130</v>
      </c>
      <c r="O4479" s="1" t="str">
        <f ca="1">HYPERLINK("https://web.datatree.com/?/property?propertyId=33738927", "https://web.datatree.com/?/property?propertyId=33738927")</f>
        <v>https://web.datatree.com/?/property?propertyId=33738927</v>
      </c>
      <c r="Q4479" t="s">
        <v>316</v>
      </c>
      <c>
        <v>0.262</v>
      </c>
      <c t="s">
        <v>22490</v>
      </c>
      <c t="s">
        <v>56498</v>
      </c>
      <c t="s">
        <v>45794</v>
      </c>
      <c t="s">
        <v>1129</v>
      </c>
      <c t="s">
        <v>45794</v>
      </c>
      <c t="s">
        <v>26842</v>
      </c>
      <c t="s">
        <v>49122</v>
      </c>
      <c t="s">
        <v>2517</v>
      </c>
      <c t="s">
        <v>39289</v>
      </c>
      <c>
        <v>33909</v>
      </c>
      <c t="s">
        <v>56107</v>
      </c>
      <c t="s">
        <v>48794</v>
      </c>
      <c t="s">
        <v>50286</v>
      </c>
      <c>
        <v>13111</v>
      </c>
      <c r="AI4479" t="s">
        <v>48967</v>
      </c>
      <c t="s">
        <v>45393</v>
      </c>
      <c r="AL4479" t="s">
        <v>27398</v>
      </c>
      <c t="s">
        <v>60048</v>
      </c>
      <c t="s">
        <v>39289</v>
      </c>
      <c t="s">
        <v>4397</v>
      </c>
      <c t="s">
        <v>52393</v>
      </c>
      <c t="s">
        <v>3093</v>
      </c>
      <c t="s">
        <v>29823</v>
      </c>
    </row>
    <row>
      <c t="s">
        <v>17594</v>
      </c>
      <c t="s">
        <v>49209</v>
      </c>
      <c t="s">
        <v>62711</v>
      </c>
      <c t="s">
        <v>1249</v>
      </c>
      <c t="s">
        <v>10379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4480" s="1" t="str">
        <f ca="1">HYPERLINK("https://web.datatree.com/?/property?propertyId=33739008", "https://web.datatree.com/?/property?propertyId=33739008")</f>
        <v>https://web.datatree.com/?/property?propertyId=33739008</v>
      </c>
      <c r="Q4480" t="s">
        <v>316</v>
      </c>
      <c>
        <v>0.242</v>
      </c>
      <c t="s">
        <v>6175</v>
      </c>
      <c t="s">
        <v>48490</v>
      </c>
      <c t="s">
        <v>27815</v>
      </c>
      <c t="s">
        <v>9946</v>
      </c>
      <c t="s">
        <v>27815</v>
      </c>
      <c t="s">
        <v>65192</v>
      </c>
      <c t="s">
        <v>53675</v>
      </c>
      <c t="s">
        <v>2517</v>
      </c>
      <c t="s">
        <v>39289</v>
      </c>
      <c>
        <v>33909</v>
      </c>
      <c t="s">
        <v>45607</v>
      </c>
      <c t="s">
        <v>48794</v>
      </c>
      <c t="s">
        <v>29719</v>
      </c>
      <c>
        <v>2070</v>
      </c>
      <c r="AI4480" t="s">
        <v>29190</v>
      </c>
      <c t="s">
        <v>55842</v>
      </c>
      <c t="s">
        <v>66552</v>
      </c>
      <c t="s">
        <v>8109</v>
      </c>
      <c r="AN4480" t="s">
        <v>50917</v>
      </c>
      <c t="s">
        <v>35256</v>
      </c>
      <c t="s">
        <v>32746</v>
      </c>
      <c t="s">
        <v>3093</v>
      </c>
      <c t="s">
        <v>8584</v>
      </c>
    </row>
    <row>
      <c t="s">
        <v>17594</v>
      </c>
      <c t="s">
        <v>41112</v>
      </c>
      <c t="s">
        <v>7465</v>
      </c>
      <c t="s">
        <v>41239</v>
      </c>
      <c t="s">
        <v>58295</v>
      </c>
      <c s="3">
        <v>28210</v>
      </c>
      <c s="3">
        <v>28210</v>
      </c>
      <c s="3">
        <v>8712</v>
      </c>
      <c>
        <v>0</v>
      </c>
      <c s="3">
        <v>0</v>
      </c>
      <c s="3">
        <v>2830.55</v>
      </c>
      <c s="3">
        <v>28210</v>
      </c>
      <c r="O4481" s="1" t="str">
        <f ca="1">HYPERLINK("https://web.datatree.com/?/property?propertyId=33739434", "https://web.datatree.com/?/property?propertyId=33739434")</f>
        <v>https://web.datatree.com/?/property?propertyId=33739434</v>
      </c>
      <c r="Q4481" t="s">
        <v>316</v>
      </c>
      <c>
        <v>0.23</v>
      </c>
      <c t="s">
        <v>6175</v>
      </c>
      <c t="s">
        <v>9579</v>
      </c>
      <c t="s">
        <v>31126</v>
      </c>
      <c r="X4481" t="s">
        <v>15697</v>
      </c>
      <c t="s">
        <v>17022</v>
      </c>
      <c t="s">
        <v>2517</v>
      </c>
      <c t="s">
        <v>39289</v>
      </c>
      <c>
        <v>33909</v>
      </c>
      <c t="s">
        <v>6800</v>
      </c>
      <c t="s">
        <v>48794</v>
      </c>
      <c t="s">
        <v>21788</v>
      </c>
      <c>
        <v>1418</v>
      </c>
      <c r="AI4481" t="s">
        <v>2626</v>
      </c>
      <c t="s">
        <v>45393</v>
      </c>
      <c r="AL4481" t="s">
        <v>30836</v>
      </c>
      <c r="AN4481" t="s">
        <v>50917</v>
      </c>
      <c t="s">
        <v>33206</v>
      </c>
      <c t="s">
        <v>24994</v>
      </c>
      <c t="s">
        <v>3093</v>
      </c>
      <c t="s">
        <v>57075</v>
      </c>
    </row>
    <row>
      <c t="s">
        <v>17594</v>
      </c>
      <c t="s">
        <v>43618</v>
      </c>
      <c t="s">
        <v>52313</v>
      </c>
      <c t="s">
        <v>24698</v>
      </c>
      <c t="s">
        <v>23330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482" s="1" t="str">
        <f ca="1">HYPERLINK("https://web.datatree.com/?/property?propertyId=33739583", "https://web.datatree.com/?/property?propertyId=33739583")</f>
        <v>https://web.datatree.com/?/property?propertyId=33739583</v>
      </c>
      <c r="Q4482" t="s">
        <v>316</v>
      </c>
      <c>
        <v>0.23</v>
      </c>
      <c t="s">
        <v>22490</v>
      </c>
      <c r="U4482" t="s">
        <v>45014</v>
      </c>
      <c r="W4482" t="s">
        <v>18184</v>
      </c>
      <c t="s">
        <v>59162</v>
      </c>
      <c t="s">
        <v>41506</v>
      </c>
      <c t="s">
        <v>2517</v>
      </c>
      <c t="s">
        <v>39289</v>
      </c>
      <c>
        <v>33909</v>
      </c>
      <c t="s">
        <v>5577</v>
      </c>
      <c t="s">
        <v>48794</v>
      </c>
      <c t="s">
        <v>10896</v>
      </c>
      <c>
        <v>8961</v>
      </c>
      <c r="AI4482" t="s">
        <v>19732</v>
      </c>
      <c t="s">
        <v>39321</v>
      </c>
      <c r="AL4482" t="s">
        <v>55393</v>
      </c>
      <c t="s">
        <v>461</v>
      </c>
      <c t="s">
        <v>39289</v>
      </c>
      <c t="s">
        <v>54694</v>
      </c>
      <c t="s">
        <v>6081</v>
      </c>
      <c t="s">
        <v>3093</v>
      </c>
      <c t="s">
        <v>1895</v>
      </c>
    </row>
    <row>
      <c t="s">
        <v>17594</v>
      </c>
      <c t="s">
        <v>53774</v>
      </c>
      <c t="s">
        <v>18471</v>
      </c>
      <c t="s">
        <v>57451</v>
      </c>
      <c t="s">
        <v>52217</v>
      </c>
      <c s="3">
        <v>10000</v>
      </c>
      <c s="3">
        <v>10000</v>
      </c>
      <c s="3">
        <v>4840</v>
      </c>
      <c>
        <v>0</v>
      </c>
      <c s="3">
        <v>0</v>
      </c>
      <c s="3">
        <v>101.14</v>
      </c>
      <c s="3">
        <v>10000</v>
      </c>
      <c r="O4483" s="1" t="str">
        <f ca="1">HYPERLINK("https://web.datatree.com/?/property?propertyId=33739852", "https://web.datatree.com/?/property?propertyId=33739852")</f>
        <v>https://web.datatree.com/?/property?propertyId=33739852</v>
      </c>
      <c r="Q4483" t="s">
        <v>316</v>
      </c>
      <c>
        <v>0.15</v>
      </c>
      <c t="s">
        <v>36245</v>
      </c>
      <c t="s">
        <v>53533</v>
      </c>
      <c t="s">
        <v>45794</v>
      </c>
      <c r="X4483" t="s">
        <v>22070</v>
      </c>
      <c t="s">
        <v>21676</v>
      </c>
      <c t="s">
        <v>65059</v>
      </c>
      <c t="s">
        <v>39289</v>
      </c>
      <c>
        <v>33905</v>
      </c>
      <c t="s">
        <v>37868</v>
      </c>
      <c t="s">
        <v>48794</v>
      </c>
      <c t="s">
        <v>517</v>
      </c>
      <c>
        <v>410</v>
      </c>
      <c r="AI4483" t="s">
        <v>43048</v>
      </c>
      <c t="s">
        <v>31192</v>
      </c>
      <c r="AL4483" t="s">
        <v>23729</v>
      </c>
      <c t="s">
        <v>23729</v>
      </c>
      <c t="s">
        <v>32657</v>
      </c>
      <c t="s">
        <v>14299</v>
      </c>
      <c t="s">
        <v>12251</v>
      </c>
      <c t="s">
        <v>3093</v>
      </c>
      <c t="s">
        <v>13380</v>
      </c>
    </row>
    <row>
      <c t="s">
        <v>17594</v>
      </c>
      <c t="s">
        <v>22655</v>
      </c>
      <c t="s">
        <v>56850</v>
      </c>
      <c t="s">
        <v>58146</v>
      </c>
      <c t="s">
        <v>14780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2018</v>
      </c>
      <c>
        <v>1764.76</v>
      </c>
      <c s="1" t="str">
        <f ca="1">HYPERLINK("https://web.datatree.com/?/property?propertyId=33739902", "https://web.datatree.com/?/property?propertyId=33739902")</f>
        <v>https://web.datatree.com/?/property?propertyId=33739902</v>
      </c>
      <c r="Q4484" t="s">
        <v>316</v>
      </c>
      <c>
        <v>0.238</v>
      </c>
      <c t="s">
        <v>5471</v>
      </c>
      <c t="s">
        <v>12765</v>
      </c>
      <c t="s">
        <v>65388</v>
      </c>
      <c r="X4484" t="s">
        <v>2273</v>
      </c>
      <c t="s">
        <v>43060</v>
      </c>
      <c t="s">
        <v>65059</v>
      </c>
      <c t="s">
        <v>39289</v>
      </c>
      <c>
        <v>33905</v>
      </c>
      <c t="s">
        <v>60873</v>
      </c>
      <c t="s">
        <v>48794</v>
      </c>
      <c t="s">
        <v>63899</v>
      </c>
      <c>
        <v>10764</v>
      </c>
      <c r="AI4484" t="s">
        <v>48337</v>
      </c>
      <c t="s">
        <v>45393</v>
      </c>
      <c r="AL4484" t="s">
        <v>63930</v>
      </c>
      <c r="AN4484" t="s">
        <v>50917</v>
      </c>
      <c t="s">
        <v>14491</v>
      </c>
      <c t="s">
        <v>17380</v>
      </c>
      <c t="s">
        <v>3093</v>
      </c>
      <c t="s">
        <v>14141</v>
      </c>
    </row>
    <row>
      <c t="s">
        <v>17594</v>
      </c>
      <c t="s">
        <v>62823</v>
      </c>
      <c t="s">
        <v>10186</v>
      </c>
      <c t="s">
        <v>65923</v>
      </c>
      <c t="s">
        <v>42053</v>
      </c>
      <c s="3">
        <v>291459</v>
      </c>
      <c s="3">
        <v>291459</v>
      </c>
      <c s="3">
        <v>291459</v>
      </c>
      <c>
        <v>0</v>
      </c>
      <c s="3">
        <v>0</v>
      </c>
      <c s="3">
        <v>4985.69</v>
      </c>
      <c s="3">
        <v>291459</v>
      </c>
      <c r="O4485" s="1" t="str">
        <f ca="1">HYPERLINK("https://web.datatree.com/?/property?propertyId=33740213", "https://web.datatree.com/?/property?propertyId=33740213")</f>
        <v>https://web.datatree.com/?/property?propertyId=33740213</v>
      </c>
      <c r="Q4485" t="s">
        <v>316</v>
      </c>
      <c>
        <v>0.301</v>
      </c>
      <c t="s">
        <v>22490</v>
      </c>
      <c t="s">
        <v>32056</v>
      </c>
      <c t="s">
        <v>19249</v>
      </c>
      <c t="s">
        <v>25185</v>
      </c>
      <c t="s">
        <v>19249</v>
      </c>
      <c t="s">
        <v>60124</v>
      </c>
      <c t="s">
        <v>19991</v>
      </c>
      <c t="s">
        <v>2517</v>
      </c>
      <c t="s">
        <v>39289</v>
      </c>
      <c>
        <v>33904</v>
      </c>
      <c t="s">
        <v>3542</v>
      </c>
      <c t="s">
        <v>48794</v>
      </c>
      <c t="s">
        <v>9178</v>
      </c>
      <c>
        <v>1571</v>
      </c>
      <c r="AI4485" t="s">
        <v>40408</v>
      </c>
      <c t="s">
        <v>31192</v>
      </c>
      <c r="AL4485" t="s">
        <v>6913</v>
      </c>
      <c r="AN4485" t="s">
        <v>22275</v>
      </c>
      <c t="s">
        <v>62801</v>
      </c>
      <c t="s">
        <v>49842</v>
      </c>
      <c t="s">
        <v>3093</v>
      </c>
      <c t="s">
        <v>59022</v>
      </c>
    </row>
    <row>
      <c t="s">
        <v>17594</v>
      </c>
      <c t="s">
        <v>44698</v>
      </c>
      <c t="s">
        <v>6970</v>
      </c>
      <c t="s">
        <v>8045</v>
      </c>
      <c t="s">
        <v>10440</v>
      </c>
      <c s="3">
        <v>12544</v>
      </c>
      <c s="3">
        <v>12544</v>
      </c>
      <c s="3">
        <v>4972</v>
      </c>
      <c>
        <v>0</v>
      </c>
      <c s="3">
        <v>0</v>
      </c>
      <c s="3">
        <v>332.27</v>
      </c>
      <c s="3">
        <v>12544</v>
      </c>
      <c r="O4486" s="1" t="str">
        <f ca="1">HYPERLINK("https://web.datatree.com/?/property?propertyId=33740470", "https://web.datatree.com/?/property?propertyId=33740470")</f>
        <v>https://web.datatree.com/?/property?propertyId=33740470</v>
      </c>
      <c r="Q4486" t="s">
        <v>316</v>
      </c>
      <c>
        <v>0.356</v>
      </c>
      <c t="s">
        <v>5471</v>
      </c>
      <c r="U4486" t="s">
        <v>59702</v>
      </c>
      <c r="W4486" t="s">
        <v>7579</v>
      </c>
      <c t="s">
        <v>15513</v>
      </c>
      <c t="s">
        <v>15518</v>
      </c>
      <c t="s">
        <v>65059</v>
      </c>
      <c t="s">
        <v>39289</v>
      </c>
      <c>
        <v>33905</v>
      </c>
      <c t="s">
        <v>26691</v>
      </c>
      <c t="s">
        <v>48794</v>
      </c>
      <c t="s">
        <v>25098</v>
      </c>
      <c>
        <v>1780</v>
      </c>
      <c r="AH4486" t="s">
        <v>26580</v>
      </c>
      <c t="s">
        <v>9205</v>
      </c>
      <c r="AL4486" t="s">
        <v>45313</v>
      </c>
      <c r="AN4486" t="s">
        <v>10804</v>
      </c>
      <c t="s">
        <v>36570</v>
      </c>
      <c t="s">
        <v>59267</v>
      </c>
      <c t="s">
        <v>3093</v>
      </c>
      <c t="s">
        <v>22498</v>
      </c>
    </row>
    <row>
      <c t="s">
        <v>17594</v>
      </c>
      <c t="s">
        <v>24124</v>
      </c>
      <c t="s">
        <v>3738</v>
      </c>
      <c t="s">
        <v>21170</v>
      </c>
      <c t="s">
        <v>66706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2020</v>
      </c>
      <c>
        <v>1716.1</v>
      </c>
      <c s="1" t="str">
        <f ca="1">HYPERLINK("https://web.datatree.com/?/property?propertyId=33740736", "https://web.datatree.com/?/property?propertyId=33740736")</f>
        <v>https://web.datatree.com/?/property?propertyId=33740736</v>
      </c>
      <c r="Q4487" t="s">
        <v>316</v>
      </c>
      <c>
        <v>0.23</v>
      </c>
      <c t="s">
        <v>6175</v>
      </c>
      <c t="s">
        <v>50331</v>
      </c>
      <c t="s">
        <v>29946</v>
      </c>
      <c t="s">
        <v>57207</v>
      </c>
      <c t="s">
        <v>29946</v>
      </c>
      <c t="s">
        <v>62040</v>
      </c>
      <c t="s">
        <v>2626</v>
      </c>
      <c t="s">
        <v>2517</v>
      </c>
      <c t="s">
        <v>39289</v>
      </c>
      <c>
        <v>33909</v>
      </c>
      <c t="s">
        <v>27140</v>
      </c>
      <c t="s">
        <v>48794</v>
      </c>
      <c t="s">
        <v>46474</v>
      </c>
      <c>
        <v>2</v>
      </c>
      <c r="AI4487" t="s">
        <v>34900</v>
      </c>
      <c t="s">
        <v>45620</v>
      </c>
      <c r="AL4487" t="s">
        <v>63821</v>
      </c>
      <c r="AN4487" t="s">
        <v>27747</v>
      </c>
      <c t="s">
        <v>42204</v>
      </c>
      <c t="s">
        <v>35508</v>
      </c>
      <c t="s">
        <v>3093</v>
      </c>
      <c t="s">
        <v>25883</v>
      </c>
    </row>
    <row>
      <c t="s">
        <v>17594</v>
      </c>
      <c t="s">
        <v>59387</v>
      </c>
      <c t="s">
        <v>25714</v>
      </c>
      <c t="s">
        <v>54774</v>
      </c>
      <c t="s">
        <v>32224</v>
      </c>
      <c s="3">
        <v>8000</v>
      </c>
      <c s="3">
        <v>8000</v>
      </c>
      <c s="3">
        <v>8000</v>
      </c>
      <c>
        <v>0</v>
      </c>
      <c s="3">
        <v>0</v>
      </c>
      <c s="3">
        <v>762.27</v>
      </c>
      <c s="3">
        <v>8000</v>
      </c>
      <c r="O4488" s="1" t="str">
        <f ca="1">HYPERLINK("https://web.datatree.com/?/property?propertyId=33740762", "https://web.datatree.com/?/property?propertyId=33740762")</f>
        <v>https://web.datatree.com/?/property?propertyId=33740762</v>
      </c>
      <c r="Q4488" t="s">
        <v>316</v>
      </c>
      <c>
        <v>0.288</v>
      </c>
      <c t="s">
        <v>22490</v>
      </c>
      <c t="s">
        <v>39139</v>
      </c>
      <c t="s">
        <v>63668</v>
      </c>
      <c t="s">
        <v>23303</v>
      </c>
      <c t="s">
        <v>54306</v>
      </c>
      <c t="s">
        <v>24858</v>
      </c>
      <c t="s">
        <v>371</v>
      </c>
      <c t="s">
        <v>2517</v>
      </c>
      <c t="s">
        <v>39289</v>
      </c>
      <c>
        <v>33909</v>
      </c>
      <c>
        <v>33909</v>
      </c>
      <c t="s">
        <v>48794</v>
      </c>
      <c t="s">
        <v>56756</v>
      </c>
      <c>
        <v>303</v>
      </c>
      <c r="AI4488" t="s">
        <v>11570</v>
      </c>
      <c t="s">
        <v>45393</v>
      </c>
      <c r="AL4488" t="s">
        <v>30363</v>
      </c>
      <c t="s">
        <v>30363</v>
      </c>
      <c t="s">
        <v>32576</v>
      </c>
      <c t="s">
        <v>3699</v>
      </c>
      <c t="s">
        <v>48506</v>
      </c>
      <c t="s">
        <v>3093</v>
      </c>
      <c t="s">
        <v>36395</v>
      </c>
    </row>
    <row>
      <c t="s">
        <v>17594</v>
      </c>
      <c t="s">
        <v>18689</v>
      </c>
      <c t="s">
        <v>33068</v>
      </c>
      <c t="s">
        <v>32839</v>
      </c>
      <c t="s">
        <v>22860</v>
      </c>
      <c s="3">
        <v>96335</v>
      </c>
      <c s="3">
        <v>86250</v>
      </c>
      <c s="3">
        <v>82525</v>
      </c>
      <c>
        <v>0</v>
      </c>
      <c s="3">
        <v>0</v>
      </c>
      <c s="3">
        <v>1317.16</v>
      </c>
      <c s="3">
        <v>96335</v>
      </c>
      <c r="O4489" s="1" t="str">
        <f ca="1">HYPERLINK("https://web.datatree.com/?/property?propertyId=33741125", "https://web.datatree.com/?/property?propertyId=33741125")</f>
        <v>https://web.datatree.com/?/property?propertyId=33741125</v>
      </c>
      <c r="Q4489" t="s">
        <v>316</v>
      </c>
      <c>
        <v>0.095</v>
      </c>
      <c t="s">
        <v>26492</v>
      </c>
      <c t="s">
        <v>32056</v>
      </c>
      <c t="s">
        <v>392</v>
      </c>
      <c t="s">
        <v>26126</v>
      </c>
      <c t="s">
        <v>392</v>
      </c>
      <c t="s">
        <v>41194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10801</v>
      </c>
      <c>
        <v>1060</v>
      </c>
      <c r="AI4489" t="s">
        <v>61716</v>
      </c>
      <c t="s">
        <v>31192</v>
      </c>
      <c r="AL4489" t="s">
        <v>23894</v>
      </c>
      <c t="s">
        <v>40227</v>
      </c>
      <c t="s">
        <v>51137</v>
      </c>
      <c t="s">
        <v>45320</v>
      </c>
      <c t="s">
        <v>38014</v>
      </c>
      <c t="s">
        <v>3093</v>
      </c>
      <c t="s">
        <v>12362</v>
      </c>
    </row>
    <row>
      <c t="s">
        <v>17594</v>
      </c>
      <c t="s">
        <v>57261</v>
      </c>
      <c t="s">
        <v>47450</v>
      </c>
      <c t="s">
        <v>14818</v>
      </c>
      <c t="s">
        <v>46473</v>
      </c>
      <c s="3">
        <v>8987</v>
      </c>
      <c s="3">
        <v>8987</v>
      </c>
      <c s="3">
        <v>4972</v>
      </c>
      <c>
        <v>0</v>
      </c>
      <c s="3">
        <v>0</v>
      </c>
      <c s="3">
        <v>324.47</v>
      </c>
      <c s="3">
        <v>8987</v>
      </c>
      <c r="O4490" s="1" t="str">
        <f ca="1">HYPERLINK("https://web.datatree.com/?/property?propertyId=33741749", "https://web.datatree.com/?/property?propertyId=33741749")</f>
        <v>https://web.datatree.com/?/property?propertyId=33741749</v>
      </c>
      <c r="Q4490" t="s">
        <v>316</v>
      </c>
      <c>
        <v>0.296</v>
      </c>
      <c t="s">
        <v>5471</v>
      </c>
      <c t="s">
        <v>10451</v>
      </c>
      <c t="s">
        <v>19877</v>
      </c>
      <c r="X4490" t="s">
        <v>64034</v>
      </c>
      <c t="s">
        <v>1805</v>
      </c>
      <c t="s">
        <v>65059</v>
      </c>
      <c t="s">
        <v>39289</v>
      </c>
      <c>
        <v>33905</v>
      </c>
      <c t="s">
        <v>27520</v>
      </c>
      <c t="s">
        <v>48794</v>
      </c>
      <c t="s">
        <v>43136</v>
      </c>
      <c>
        <v>13539</v>
      </c>
      <c r="AI4490" t="s">
        <v>19467</v>
      </c>
      <c t="s">
        <v>45393</v>
      </c>
      <c r="AL4490" t="s">
        <v>19541</v>
      </c>
      <c r="AN4490" t="s">
        <v>50917</v>
      </c>
      <c t="s">
        <v>61178</v>
      </c>
      <c t="s">
        <v>19978</v>
      </c>
      <c t="s">
        <v>3093</v>
      </c>
      <c t="s">
        <v>50839</v>
      </c>
    </row>
    <row>
      <c t="s">
        <v>17594</v>
      </c>
      <c t="s">
        <v>55784</v>
      </c>
      <c t="s">
        <v>20114</v>
      </c>
      <c t="s">
        <v>51926</v>
      </c>
      <c t="s">
        <v>16900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4491" s="1" t="str">
        <f ca="1">HYPERLINK("https://web.datatree.com/?/property?propertyId=33742012", "https://web.datatree.com/?/property?propertyId=33742012")</f>
        <v>https://web.datatree.com/?/property?propertyId=33742012</v>
      </c>
      <c r="Q4491" t="s">
        <v>316</v>
      </c>
      <c>
        <v>0.23</v>
      </c>
      <c t="s">
        <v>22490</v>
      </c>
      <c t="s">
        <v>53354</v>
      </c>
      <c t="s">
        <v>17399</v>
      </c>
      <c t="s">
        <v>33243</v>
      </c>
      <c r="X4491" t="s">
        <v>8928</v>
      </c>
      <c t="s">
        <v>371</v>
      </c>
      <c t="s">
        <v>2517</v>
      </c>
      <c t="s">
        <v>39289</v>
      </c>
      <c>
        <v>33909</v>
      </c>
      <c t="s">
        <v>1610</v>
      </c>
      <c t="s">
        <v>48794</v>
      </c>
      <c t="s">
        <v>55427</v>
      </c>
      <c>
        <v>2329</v>
      </c>
      <c r="AI4491" t="s">
        <v>33179</v>
      </c>
      <c t="s">
        <v>45393</v>
      </c>
      <c>
        <v>42</v>
      </c>
      <c t="s">
        <v>18475</v>
      </c>
      <c t="s">
        <v>18475</v>
      </c>
      <c t="s">
        <v>22275</v>
      </c>
      <c t="s">
        <v>40774</v>
      </c>
      <c t="s">
        <v>39566</v>
      </c>
      <c t="s">
        <v>3093</v>
      </c>
      <c t="s">
        <v>3100</v>
      </c>
    </row>
    <row>
      <c t="s">
        <v>17594</v>
      </c>
      <c t="s">
        <v>19731</v>
      </c>
      <c t="s">
        <v>39075</v>
      </c>
      <c t="s">
        <v>66237</v>
      </c>
      <c t="s">
        <v>59938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492" s="1" t="str">
        <f ca="1">HYPERLINK("https://web.datatree.com/?/property?propertyId=33742089", "https://web.datatree.com/?/property?propertyId=33742089")</f>
        <v>https://web.datatree.com/?/property?propertyId=33742089</v>
      </c>
      <c r="Q4492" t="s">
        <v>316</v>
      </c>
      <c>
        <v>0.241</v>
      </c>
      <c t="s">
        <v>5471</v>
      </c>
      <c t="s">
        <v>56684</v>
      </c>
      <c t="s">
        <v>9234</v>
      </c>
      <c t="s">
        <v>773</v>
      </c>
      <c t="s">
        <v>9234</v>
      </c>
      <c t="s">
        <v>42368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38734</v>
      </c>
      <c>
        <v>5536</v>
      </c>
      <c r="AI4492" t="s">
        <v>54351</v>
      </c>
      <c t="s">
        <v>31192</v>
      </c>
      <c r="AL4492" t="s">
        <v>59878</v>
      </c>
      <c r="AN4492" t="s">
        <v>18236</v>
      </c>
      <c t="s">
        <v>17085</v>
      </c>
      <c t="s">
        <v>19978</v>
      </c>
      <c t="s">
        <v>3093</v>
      </c>
      <c t="s">
        <v>36383</v>
      </c>
    </row>
    <row>
      <c t="s">
        <v>17594</v>
      </c>
      <c t="s">
        <v>65842</v>
      </c>
      <c t="s">
        <v>34487</v>
      </c>
      <c t="s">
        <v>46763</v>
      </c>
      <c t="s">
        <v>51184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4493" s="1" t="str">
        <f ca="1">HYPERLINK("https://web.datatree.com/?/property?propertyId=33742922", "https://web.datatree.com/?/property?propertyId=33742922")</f>
        <v>https://web.datatree.com/?/property?propertyId=33742922</v>
      </c>
      <c r="Q4493" t="s">
        <v>316</v>
      </c>
      <c>
        <v>0.244</v>
      </c>
      <c t="s">
        <v>6175</v>
      </c>
      <c t="s">
        <v>11082</v>
      </c>
      <c t="s">
        <v>6050</v>
      </c>
      <c t="s">
        <v>13683</v>
      </c>
      <c t="s">
        <v>6050</v>
      </c>
      <c t="s">
        <v>51749</v>
      </c>
      <c t="s">
        <v>14534</v>
      </c>
      <c t="s">
        <v>2517</v>
      </c>
      <c t="s">
        <v>39289</v>
      </c>
      <c>
        <v>33909</v>
      </c>
      <c t="s">
        <v>22368</v>
      </c>
      <c t="s">
        <v>48794</v>
      </c>
      <c t="s">
        <v>20950</v>
      </c>
      <c>
        <v>12380</v>
      </c>
      <c r="AI4493" t="s">
        <v>21244</v>
      </c>
      <c t="s">
        <v>31192</v>
      </c>
      <c r="AL4493" t="s">
        <v>32207</v>
      </c>
      <c t="s">
        <v>32207</v>
      </c>
      <c t="s">
        <v>39289</v>
      </c>
      <c t="s">
        <v>65520</v>
      </c>
      <c t="s">
        <v>47183</v>
      </c>
      <c t="s">
        <v>3093</v>
      </c>
      <c t="s">
        <v>35212</v>
      </c>
    </row>
    <row>
      <c t="s">
        <v>17594</v>
      </c>
      <c t="s">
        <v>44310</v>
      </c>
      <c t="s">
        <v>24544</v>
      </c>
      <c t="s">
        <v>10053</v>
      </c>
      <c t="s">
        <v>25931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4494" s="1" t="str">
        <f ca="1">HYPERLINK("https://web.datatree.com/?/property?propertyId=33744303", "https://web.datatree.com/?/property?propertyId=33744303")</f>
        <v>https://web.datatree.com/?/property?propertyId=33744303</v>
      </c>
      <c r="Q4494" t="s">
        <v>316</v>
      </c>
      <c>
        <v>0.225</v>
      </c>
      <c t="s">
        <v>5471</v>
      </c>
      <c r="U4494" t="s">
        <v>11785</v>
      </c>
      <c t="s">
        <v>61273</v>
      </c>
      <c t="s">
        <v>49160</v>
      </c>
      <c t="s">
        <v>33308</v>
      </c>
      <c t="s">
        <v>4082</v>
      </c>
      <c t="s">
        <v>65059</v>
      </c>
      <c t="s">
        <v>39289</v>
      </c>
      <c>
        <v>33905</v>
      </c>
      <c t="s">
        <v>2037</v>
      </c>
      <c t="s">
        <v>48794</v>
      </c>
      <c t="s">
        <v>5204</v>
      </c>
      <c>
        <v>311</v>
      </c>
      <c r="AH4494" t="s">
        <v>52165</v>
      </c>
      <c t="s">
        <v>18679</v>
      </c>
      <c t="s">
        <v>45393</v>
      </c>
      <c r="AL4494" t="s">
        <v>11713</v>
      </c>
      <c r="AN4494" t="s">
        <v>39289</v>
      </c>
      <c t="s">
        <v>54636</v>
      </c>
      <c t="s">
        <v>45860</v>
      </c>
      <c t="s">
        <v>3093</v>
      </c>
      <c t="s">
        <v>36983</v>
      </c>
    </row>
    <row>
      <c t="s">
        <v>17594</v>
      </c>
      <c t="s">
        <v>46884</v>
      </c>
      <c t="s">
        <v>8866</v>
      </c>
      <c t="s">
        <v>47147</v>
      </c>
      <c t="s">
        <v>40225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4495" s="1" t="str">
        <f ca="1">HYPERLINK("https://web.datatree.com/?/property?propertyId=33744638", "https://web.datatree.com/?/property?propertyId=33744638")</f>
        <v>https://web.datatree.com/?/property?propertyId=33744638</v>
      </c>
      <c r="Q4495" t="s">
        <v>316</v>
      </c>
      <c>
        <v>0.23</v>
      </c>
      <c t="s">
        <v>6175</v>
      </c>
      <c t="s">
        <v>1981</v>
      </c>
      <c t="s">
        <v>6276</v>
      </c>
      <c r="X4495" t="s">
        <v>65341</v>
      </c>
      <c t="s">
        <v>38550</v>
      </c>
      <c t="s">
        <v>2517</v>
      </c>
      <c t="s">
        <v>39289</v>
      </c>
      <c>
        <v>33909</v>
      </c>
      <c t="s">
        <v>54898</v>
      </c>
      <c t="s">
        <v>48794</v>
      </c>
      <c t="s">
        <v>27537</v>
      </c>
      <c>
        <v>69</v>
      </c>
      <c r="AI4495" t="s">
        <v>51919</v>
      </c>
      <c t="s">
        <v>31192</v>
      </c>
      <c r="AL4495" t="s">
        <v>12532</v>
      </c>
      <c r="AN4495" t="s">
        <v>26016</v>
      </c>
      <c t="s">
        <v>55049</v>
      </c>
      <c t="s">
        <v>26242</v>
      </c>
      <c t="s">
        <v>3093</v>
      </c>
      <c t="s">
        <v>4287</v>
      </c>
    </row>
    <row>
      <c t="s">
        <v>17594</v>
      </c>
      <c t="s">
        <v>36824</v>
      </c>
      <c t="s">
        <v>58406</v>
      </c>
      <c t="s">
        <v>6795</v>
      </c>
      <c t="s">
        <v>1960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4496" s="1" t="str">
        <f ca="1">HYPERLINK("https://web.datatree.com/?/property?propertyId=33744982", "https://web.datatree.com/?/property?propertyId=33744982")</f>
        <v>https://web.datatree.com/?/property?propertyId=33744982</v>
      </c>
      <c r="Q4496" t="s">
        <v>316</v>
      </c>
      <c>
        <v>0.23</v>
      </c>
      <c t="s">
        <v>6175</v>
      </c>
      <c t="s">
        <v>60018</v>
      </c>
      <c t="s">
        <v>63573</v>
      </c>
      <c t="s">
        <v>44918</v>
      </c>
      <c t="s">
        <v>63573</v>
      </c>
      <c t="s">
        <v>38751</v>
      </c>
      <c t="s">
        <v>2619</v>
      </c>
      <c t="s">
        <v>2517</v>
      </c>
      <c t="s">
        <v>39289</v>
      </c>
      <c>
        <v>33909</v>
      </c>
      <c t="s">
        <v>60164</v>
      </c>
      <c t="s">
        <v>48794</v>
      </c>
      <c t="s">
        <v>37787</v>
      </c>
      <c>
        <v>10782</v>
      </c>
      <c r="AI4496" t="s">
        <v>35122</v>
      </c>
      <c t="s">
        <v>45393</v>
      </c>
      <c r="AL4496" t="s">
        <v>20406</v>
      </c>
      <c r="AN4496" t="s">
        <v>26443</v>
      </c>
      <c t="s">
        <v>31621</v>
      </c>
      <c t="s">
        <v>21054</v>
      </c>
      <c t="s">
        <v>3093</v>
      </c>
      <c t="s">
        <v>50806</v>
      </c>
    </row>
    <row>
      <c t="s">
        <v>17594</v>
      </c>
      <c t="s">
        <v>25865</v>
      </c>
      <c t="s">
        <v>32523</v>
      </c>
      <c t="s">
        <v>17783</v>
      </c>
      <c t="s">
        <v>59590</v>
      </c>
      <c s="3">
        <v>113349</v>
      </c>
      <c s="3">
        <v>106000</v>
      </c>
      <c s="3">
        <v>107084</v>
      </c>
      <c>
        <v>0</v>
      </c>
      <c s="3">
        <v>0</v>
      </c>
      <c s="3">
        <v>1642.94</v>
      </c>
      <c s="3">
        <v>113349</v>
      </c>
      <c r="O4497" s="1" t="str">
        <f ca="1">HYPERLINK("https://web.datatree.com/?/property?propertyId=33745052", "https://web.datatree.com/?/property?propertyId=33745052")</f>
        <v>https://web.datatree.com/?/property?propertyId=33745052</v>
      </c>
      <c r="Q4497" t="s">
        <v>316</v>
      </c>
      <c>
        <v>0.193</v>
      </c>
      <c t="s">
        <v>26492</v>
      </c>
      <c r="U4497" t="s">
        <v>31466</v>
      </c>
      <c r="W4497" t="s">
        <v>29372</v>
      </c>
      <c t="s">
        <v>24652</v>
      </c>
      <c t="s">
        <v>65698</v>
      </c>
      <c t="s">
        <v>65059</v>
      </c>
      <c t="s">
        <v>39289</v>
      </c>
      <c>
        <v>33905</v>
      </c>
      <c>
        <v>33905</v>
      </c>
      <c t="s">
        <v>48794</v>
      </c>
      <c t="s">
        <v>58102</v>
      </c>
      <c>
        <v>1053</v>
      </c>
      <c r="AI4497" t="s">
        <v>7943</v>
      </c>
      <c t="s">
        <v>45393</v>
      </c>
      <c r="AL4497" t="s">
        <v>13210</v>
      </c>
      <c t="s">
        <v>40227</v>
      </c>
      <c t="s">
        <v>27481</v>
      </c>
      <c t="s">
        <v>44504</v>
      </c>
      <c t="s">
        <v>14695</v>
      </c>
      <c t="s">
        <v>3093</v>
      </c>
      <c t="s">
        <v>62</v>
      </c>
    </row>
    <row>
      <c t="s">
        <v>17594</v>
      </c>
      <c t="s">
        <v>55935</v>
      </c>
      <c t="s">
        <v>18130</v>
      </c>
      <c t="s">
        <v>1868</v>
      </c>
      <c t="s">
        <v>45363</v>
      </c>
      <c s="3">
        <v>29983</v>
      </c>
      <c s="3">
        <v>29983</v>
      </c>
      <c s="3">
        <v>9079</v>
      </c>
      <c>
        <v>0</v>
      </c>
      <c s="3">
        <v>0</v>
      </c>
      <c s="3">
        <v>3049.66</v>
      </c>
      <c s="3">
        <v>29983</v>
      </c>
      <c r="O4498" s="1" t="str">
        <f ca="1">HYPERLINK("https://web.datatree.com/?/property?propertyId=33745186", "https://web.datatree.com/?/property?propertyId=33745186")</f>
        <v>https://web.datatree.com/?/property?propertyId=33745186</v>
      </c>
      <c r="Q4498" t="s">
        <v>316</v>
      </c>
      <c>
        <v>0.258</v>
      </c>
      <c t="s">
        <v>6175</v>
      </c>
      <c t="s">
        <v>552</v>
      </c>
      <c t="s">
        <v>16756</v>
      </c>
      <c r="X4498" t="s">
        <v>5616</v>
      </c>
      <c t="s">
        <v>58797</v>
      </c>
      <c t="s">
        <v>2517</v>
      </c>
      <c t="s">
        <v>39289</v>
      </c>
      <c>
        <v>33909</v>
      </c>
      <c t="s">
        <v>16733</v>
      </c>
      <c t="s">
        <v>48794</v>
      </c>
      <c t="s">
        <v>4347</v>
      </c>
      <c t="str">
        <f>"94-440"</f>
        <v>94-440</v>
      </c>
      <c r="AI4498" t="s">
        <v>23211</v>
      </c>
      <c t="s">
        <v>45393</v>
      </c>
      <c>
        <v>100</v>
      </c>
      <c t="s">
        <v>50297</v>
      </c>
      <c r="AN4498" t="s">
        <v>43132</v>
      </c>
      <c t="s">
        <v>3796</v>
      </c>
      <c t="s">
        <v>32746</v>
      </c>
      <c t="s">
        <v>3093</v>
      </c>
      <c t="s">
        <v>30379</v>
      </c>
    </row>
    <row>
      <c t="s">
        <v>17594</v>
      </c>
      <c t="s">
        <v>62982</v>
      </c>
      <c t="s">
        <v>31549</v>
      </c>
      <c t="s">
        <v>56603</v>
      </c>
      <c t="s">
        <v>17548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499" s="1" t="str">
        <f ca="1">HYPERLINK("https://web.datatree.com/?/property?propertyId=33746035", "https://web.datatree.com/?/property?propertyId=33746035")</f>
        <v>https://web.datatree.com/?/property?propertyId=33746035</v>
      </c>
      <c r="Q4499" t="s">
        <v>316</v>
      </c>
      <c>
        <v>0.23</v>
      </c>
      <c t="s">
        <v>6175</v>
      </c>
      <c t="s">
        <v>6294</v>
      </c>
      <c t="s">
        <v>28475</v>
      </c>
      <c t="s">
        <v>33521</v>
      </c>
      <c t="s">
        <v>28475</v>
      </c>
      <c t="s">
        <v>3210</v>
      </c>
      <c t="s">
        <v>66701</v>
      </c>
      <c t="s">
        <v>2517</v>
      </c>
      <c t="s">
        <v>39289</v>
      </c>
      <c>
        <v>33909</v>
      </c>
      <c t="s">
        <v>54014</v>
      </c>
      <c t="s">
        <v>48794</v>
      </c>
      <c t="s">
        <v>39822</v>
      </c>
      <c>
        <v>268</v>
      </c>
      <c r="AI4499" t="s">
        <v>35113</v>
      </c>
      <c t="s">
        <v>31192</v>
      </c>
      <c r="AL4499" t="s">
        <v>5448</v>
      </c>
      <c r="AN4499" t="s">
        <v>22275</v>
      </c>
      <c t="s">
        <v>6489</v>
      </c>
      <c t="s">
        <v>14845</v>
      </c>
      <c t="s">
        <v>3093</v>
      </c>
      <c t="s">
        <v>41002</v>
      </c>
    </row>
    <row>
      <c t="s">
        <v>17594</v>
      </c>
      <c t="s">
        <v>47697</v>
      </c>
      <c t="s">
        <v>50706</v>
      </c>
      <c t="s">
        <v>45394</v>
      </c>
      <c t="s">
        <v>29507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4500" s="1" t="str">
        <f ca="1">HYPERLINK("https://web.datatree.com/?/property?propertyId=33746677", "https://web.datatree.com/?/property?propertyId=33746677")</f>
        <v>https://web.datatree.com/?/property?propertyId=33746677</v>
      </c>
      <c r="Q4500" t="s">
        <v>316</v>
      </c>
      <c>
        <v>0.241</v>
      </c>
      <c t="s">
        <v>6175</v>
      </c>
      <c t="s">
        <v>30886</v>
      </c>
      <c t="s">
        <v>30230</v>
      </c>
      <c r="X4500" t="s">
        <v>66064</v>
      </c>
      <c t="s">
        <v>55273</v>
      </c>
      <c t="s">
        <v>2517</v>
      </c>
      <c t="s">
        <v>39289</v>
      </c>
      <c>
        <v>33909</v>
      </c>
      <c t="s">
        <v>12421</v>
      </c>
      <c t="s">
        <v>48794</v>
      </c>
      <c t="s">
        <v>1814</v>
      </c>
      <c>
        <v>42937</v>
      </c>
      <c r="AI4500" t="s">
        <v>40825</v>
      </c>
      <c t="s">
        <v>31192</v>
      </c>
      <c r="AL4500" t="s">
        <v>28505</v>
      </c>
      <c t="s">
        <v>28505</v>
      </c>
      <c t="s">
        <v>50829</v>
      </c>
      <c t="s">
        <v>33098</v>
      </c>
      <c t="s">
        <v>57614</v>
      </c>
      <c t="s">
        <v>3093</v>
      </c>
      <c t="s">
        <v>49021</v>
      </c>
    </row>
    <row>
      <c t="s">
        <v>17594</v>
      </c>
      <c t="s">
        <v>49294</v>
      </c>
      <c t="s">
        <v>4922</v>
      </c>
      <c t="s">
        <v>37563</v>
      </c>
      <c t="s">
        <v>57784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501" s="1" t="str">
        <f ca="1">HYPERLINK("https://web.datatree.com/?/property?propertyId=33747204", "https://web.datatree.com/?/property?propertyId=33747204")</f>
        <v>https://web.datatree.com/?/property?propertyId=33747204</v>
      </c>
      <c r="Q4501" t="s">
        <v>316</v>
      </c>
      <c>
        <v>0.23</v>
      </c>
      <c t="s">
        <v>6175</v>
      </c>
      <c r="U4501" t="s">
        <v>13706</v>
      </c>
      <c r="W4501" t="s">
        <v>23281</v>
      </c>
      <c t="s">
        <v>11485</v>
      </c>
      <c t="s">
        <v>5115</v>
      </c>
      <c t="s">
        <v>2517</v>
      </c>
      <c t="s">
        <v>39289</v>
      </c>
      <c>
        <v>33909</v>
      </c>
      <c t="s">
        <v>49372</v>
      </c>
      <c t="s">
        <v>48794</v>
      </c>
      <c t="s">
        <v>18920</v>
      </c>
      <c>
        <v>7404</v>
      </c>
      <c r="AI4501" t="s">
        <v>65540</v>
      </c>
      <c t="s">
        <v>40123</v>
      </c>
      <c r="AL4501" t="s">
        <v>55393</v>
      </c>
      <c t="s">
        <v>16890</v>
      </c>
      <c t="s">
        <v>39289</v>
      </c>
      <c t="s">
        <v>17716</v>
      </c>
      <c t="s">
        <v>44726</v>
      </c>
      <c t="s">
        <v>3093</v>
      </c>
      <c t="s">
        <v>31663</v>
      </c>
    </row>
    <row>
      <c t="s">
        <v>17594</v>
      </c>
      <c t="s">
        <v>2724</v>
      </c>
      <c t="s">
        <v>5095</v>
      </c>
      <c t="s">
        <v>18681</v>
      </c>
      <c t="s">
        <v>60162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527.13</v>
      </c>
      <c s="1" t="str">
        <f ca="1">HYPERLINK("https://web.datatree.com/?/property?propertyId=33747593", "https://web.datatree.com/?/property?propertyId=33747593")</f>
        <v>https://web.datatree.com/?/property?propertyId=33747593</v>
      </c>
      <c r="Q4502" t="s">
        <v>316</v>
      </c>
      <c>
        <v>0.23</v>
      </c>
      <c t="s">
        <v>28270</v>
      </c>
      <c t="s">
        <v>23429</v>
      </c>
      <c t="s">
        <v>31416</v>
      </c>
      <c t="s">
        <v>15172</v>
      </c>
      <c t="s">
        <v>31416</v>
      </c>
      <c t="s">
        <v>55309</v>
      </c>
      <c t="s">
        <v>39777</v>
      </c>
      <c t="s">
        <v>2517</v>
      </c>
      <c t="s">
        <v>39289</v>
      </c>
      <c>
        <v>33909</v>
      </c>
      <c t="s">
        <v>33501</v>
      </c>
      <c t="s">
        <v>48794</v>
      </c>
      <c t="s">
        <v>44985</v>
      </c>
      <c>
        <v>23688</v>
      </c>
      <c r="AI4502" t="s">
        <v>16063</v>
      </c>
      <c t="s">
        <v>45620</v>
      </c>
      <c r="AL4502" t="s">
        <v>64963</v>
      </c>
      <c r="AN4502" t="s">
        <v>51137</v>
      </c>
      <c t="s">
        <v>19533</v>
      </c>
      <c t="s">
        <v>27780</v>
      </c>
      <c t="s">
        <v>3093</v>
      </c>
      <c t="s">
        <v>62921</v>
      </c>
    </row>
    <row>
      <c t="s">
        <v>17594</v>
      </c>
      <c t="s">
        <v>36581</v>
      </c>
      <c t="s">
        <v>54001</v>
      </c>
      <c t="s">
        <v>61545</v>
      </c>
      <c t="s">
        <v>45664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4503" s="1" t="str">
        <f ca="1">HYPERLINK("https://web.datatree.com/?/property?propertyId=33747635", "https://web.datatree.com/?/property?propertyId=33747635")</f>
        <v>https://web.datatree.com/?/property?propertyId=33747635</v>
      </c>
      <c r="Q4503" t="s">
        <v>316</v>
      </c>
      <c>
        <v>0.23</v>
      </c>
      <c t="s">
        <v>22490</v>
      </c>
      <c t="s">
        <v>59767</v>
      </c>
      <c t="s">
        <v>66951</v>
      </c>
      <c t="s">
        <v>37293</v>
      </c>
      <c t="s">
        <v>55483</v>
      </c>
      <c t="s">
        <v>61103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4185</v>
      </c>
      <c>
        <v>29</v>
      </c>
      <c r="AI4503" t="s">
        <v>62183</v>
      </c>
      <c r="AL4503" t="s">
        <v>39291</v>
      </c>
      <c r="AN4503" t="s">
        <v>32840</v>
      </c>
      <c r="AR4503" t="s">
        <v>7776</v>
      </c>
    </row>
    <row>
      <c t="s">
        <v>17594</v>
      </c>
      <c t="s">
        <v>4160</v>
      </c>
      <c t="s">
        <v>44513</v>
      </c>
      <c t="s">
        <v>5507</v>
      </c>
      <c t="s">
        <v>11300</v>
      </c>
      <c s="3">
        <v>8000</v>
      </c>
      <c s="3">
        <v>8000</v>
      </c>
      <c s="3">
        <v>8000</v>
      </c>
      <c>
        <v>0</v>
      </c>
      <c s="3">
        <v>0</v>
      </c>
      <c s="3">
        <v>588.39</v>
      </c>
      <c s="3">
        <v>8000</v>
      </c>
      <c r="O4504" s="1" t="str">
        <f ca="1">HYPERLINK("https://web.datatree.com/?/property?propertyId=33748043", "https://web.datatree.com/?/property?propertyId=33748043")</f>
        <v>https://web.datatree.com/?/property?propertyId=33748043</v>
      </c>
      <c r="Q4504" t="s">
        <v>316</v>
      </c>
      <c>
        <v>0.244</v>
      </c>
      <c t="s">
        <v>22490</v>
      </c>
      <c t="s">
        <v>51844</v>
      </c>
      <c t="s">
        <v>9592</v>
      </c>
      <c t="s">
        <v>43220</v>
      </c>
      <c t="s">
        <v>9592</v>
      </c>
      <c t="s">
        <v>44826</v>
      </c>
      <c t="s">
        <v>38550</v>
      </c>
      <c t="s">
        <v>2517</v>
      </c>
      <c t="s">
        <v>39289</v>
      </c>
      <c>
        <v>33909</v>
      </c>
      <c t="s">
        <v>40205</v>
      </c>
      <c t="s">
        <v>48794</v>
      </c>
      <c t="s">
        <v>66688</v>
      </c>
      <c t="s">
        <v>11607</v>
      </c>
      <c r="AI4504" t="s">
        <v>12532</v>
      </c>
      <c t="s">
        <v>31192</v>
      </c>
      <c r="AL4504" t="s">
        <v>52220</v>
      </c>
      <c r="AN4504" t="s">
        <v>19878</v>
      </c>
      <c t="s">
        <v>31452</v>
      </c>
      <c t="s">
        <v>17093</v>
      </c>
      <c t="s">
        <v>3093</v>
      </c>
      <c t="s">
        <v>11058</v>
      </c>
    </row>
    <row>
      <c t="s">
        <v>17594</v>
      </c>
      <c t="s">
        <v>28013</v>
      </c>
      <c t="s">
        <v>5681</v>
      </c>
      <c t="s">
        <v>40725</v>
      </c>
      <c t="s">
        <v>18125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505" s="1" t="str">
        <f ca="1">HYPERLINK("https://web.datatree.com/?/property?propertyId=33748336", "https://web.datatree.com/?/property?propertyId=33748336")</f>
        <v>https://web.datatree.com/?/property?propertyId=33748336</v>
      </c>
      <c r="Q4505" t="s">
        <v>316</v>
      </c>
      <c>
        <v>0.23</v>
      </c>
      <c t="s">
        <v>22490</v>
      </c>
      <c t="s">
        <v>37194</v>
      </c>
      <c t="s">
        <v>51604</v>
      </c>
      <c t="s">
        <v>66704</v>
      </c>
      <c t="s">
        <v>51604</v>
      </c>
      <c t="s">
        <v>44790</v>
      </c>
      <c t="s">
        <v>22731</v>
      </c>
      <c t="s">
        <v>2517</v>
      </c>
      <c t="s">
        <v>39289</v>
      </c>
      <c>
        <v>33909</v>
      </c>
      <c t="s">
        <v>34024</v>
      </c>
      <c t="s">
        <v>48794</v>
      </c>
      <c t="s">
        <v>35961</v>
      </c>
      <c>
        <v>406</v>
      </c>
      <c r="AI4505" t="s">
        <v>6583</v>
      </c>
      <c t="s">
        <v>24900</v>
      </c>
      <c r="AL4505" t="s">
        <v>25488</v>
      </c>
      <c r="AN4505" t="s">
        <v>66651</v>
      </c>
      <c t="s">
        <v>50019</v>
      </c>
      <c t="s">
        <v>60160</v>
      </c>
      <c t="s">
        <v>3093</v>
      </c>
      <c t="s">
        <v>25294</v>
      </c>
    </row>
    <row>
      <c t="s">
        <v>17594</v>
      </c>
      <c t="s">
        <v>7788</v>
      </c>
      <c t="s">
        <v>60594</v>
      </c>
      <c t="s">
        <v>42918</v>
      </c>
      <c t="s">
        <v>38298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2020</v>
      </c>
      <c>
        <v>1262</v>
      </c>
      <c s="1" t="str">
        <f ca="1">HYPERLINK("https://web.datatree.com/?/property?propertyId=33748429", "https://web.datatree.com/?/property?propertyId=33748429")</f>
        <v>https://web.datatree.com/?/property?propertyId=33748429</v>
      </c>
      <c r="Q4506" t="s">
        <v>316</v>
      </c>
      <c>
        <v>0.23</v>
      </c>
      <c t="s">
        <v>22490</v>
      </c>
      <c t="s">
        <v>45337</v>
      </c>
      <c t="s">
        <v>50350</v>
      </c>
      <c r="X4506" t="s">
        <v>40756</v>
      </c>
      <c t="s">
        <v>49674</v>
      </c>
      <c t="s">
        <v>2517</v>
      </c>
      <c t="s">
        <v>39289</v>
      </c>
      <c>
        <v>33909</v>
      </c>
      <c t="s">
        <v>5644</v>
      </c>
      <c t="s">
        <v>48794</v>
      </c>
      <c t="s">
        <v>23367</v>
      </c>
      <c>
        <v>2</v>
      </c>
      <c r="AI4506" t="s">
        <v>29201</v>
      </c>
      <c r="AL4506" t="s">
        <v>17736</v>
      </c>
      <c r="AN4506" t="s">
        <v>32840</v>
      </c>
      <c r="AR4506" t="s">
        <v>59805</v>
      </c>
    </row>
    <row>
      <c t="s">
        <v>17594</v>
      </c>
      <c t="s">
        <v>31481</v>
      </c>
      <c t="s">
        <v>46646</v>
      </c>
      <c t="s">
        <v>21324</v>
      </c>
      <c t="s">
        <v>45922</v>
      </c>
      <c s="3">
        <v>34866</v>
      </c>
      <c s="3">
        <v>34672</v>
      </c>
      <c s="3">
        <v>34723</v>
      </c>
      <c>
        <v>0</v>
      </c>
      <c s="3">
        <v>0</v>
      </c>
      <c s="3">
        <v>482.15</v>
      </c>
      <c s="3">
        <v>34866</v>
      </c>
      <c r="O4507" s="1" t="str">
        <f ca="1">HYPERLINK("https://web.datatree.com/?/property?propertyId=33749708", "https://web.datatree.com/?/property?propertyId=33749708")</f>
        <v>https://web.datatree.com/?/property?propertyId=33749708</v>
      </c>
      <c r="Q4507" t="s">
        <v>316</v>
      </c>
      <c>
        <v>0.046</v>
      </c>
      <c t="s">
        <v>54329</v>
      </c>
      <c t="s">
        <v>16200</v>
      </c>
      <c t="s">
        <v>7192</v>
      </c>
      <c t="s">
        <v>63182</v>
      </c>
      <c t="s">
        <v>7192</v>
      </c>
      <c t="s">
        <v>39816</v>
      </c>
      <c t="s">
        <v>38537</v>
      </c>
      <c t="s">
        <v>65059</v>
      </c>
      <c t="s">
        <v>39289</v>
      </c>
      <c>
        <v>33908</v>
      </c>
      <c>
        <v>33908</v>
      </c>
      <c t="s">
        <v>48794</v>
      </c>
      <c t="s">
        <v>7905</v>
      </c>
      <c>
        <v>90</v>
      </c>
      <c r="AI4507" t="s">
        <v>18180</v>
      </c>
      <c t="s">
        <v>45620</v>
      </c>
      <c r="AL4507" t="s">
        <v>54786</v>
      </c>
      <c r="AN4507" t="s">
        <v>5982</v>
      </c>
      <c t="s">
        <v>65042</v>
      </c>
      <c t="s">
        <v>22212</v>
      </c>
      <c t="s">
        <v>3093</v>
      </c>
      <c t="s">
        <v>51829</v>
      </c>
      <c>
        <v>1980</v>
      </c>
    </row>
    <row>
      <c t="s">
        <v>17594</v>
      </c>
      <c t="s">
        <v>26915</v>
      </c>
      <c t="s">
        <v>38042</v>
      </c>
      <c t="s">
        <v>14505</v>
      </c>
      <c t="s">
        <v>57275</v>
      </c>
      <c s="3">
        <v>8700</v>
      </c>
      <c s="3">
        <v>8700</v>
      </c>
      <c s="3">
        <v>8700</v>
      </c>
      <c>
        <v>0</v>
      </c>
      <c s="3">
        <v>0</v>
      </c>
      <c s="3">
        <v>690.41</v>
      </c>
      <c s="3">
        <v>8700</v>
      </c>
      <c r="O4508" s="1" t="str">
        <f ca="1">HYPERLINK("https://web.datatree.com/?/property?propertyId=33750352", "https://web.datatree.com/?/property?propertyId=33750352")</f>
        <v>https://web.datatree.com/?/property?propertyId=33750352</v>
      </c>
      <c r="Q4508" t="s">
        <v>316</v>
      </c>
      <c>
        <v>0.23</v>
      </c>
      <c t="s">
        <v>54449</v>
      </c>
      <c t="s">
        <v>2140</v>
      </c>
      <c t="s">
        <v>24112</v>
      </c>
      <c r="X4508" t="s">
        <v>42000</v>
      </c>
      <c t="s">
        <v>39777</v>
      </c>
      <c t="s">
        <v>2517</v>
      </c>
      <c t="s">
        <v>39289</v>
      </c>
      <c>
        <v>33909</v>
      </c>
      <c t="s">
        <v>30283</v>
      </c>
      <c t="s">
        <v>48794</v>
      </c>
      <c t="s">
        <v>24023</v>
      </c>
      <c>
        <v>7850</v>
      </c>
      <c r="AI4508" t="s">
        <v>32411</v>
      </c>
      <c t="s">
        <v>31192</v>
      </c>
      <c r="AL4508" t="s">
        <v>38297</v>
      </c>
      <c t="s">
        <v>10193</v>
      </c>
      <c t="s">
        <v>27222</v>
      </c>
      <c t="s">
        <v>29947</v>
      </c>
      <c t="s">
        <v>26242</v>
      </c>
      <c t="s">
        <v>3093</v>
      </c>
      <c t="s">
        <v>47414</v>
      </c>
    </row>
    <row>
      <c t="s">
        <v>17594</v>
      </c>
      <c t="s">
        <v>50435</v>
      </c>
      <c t="s">
        <v>36621</v>
      </c>
      <c t="s">
        <v>39473</v>
      </c>
      <c t="s">
        <v>38568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509" s="1" t="str">
        <f ca="1">HYPERLINK("https://web.datatree.com/?/property?propertyId=33750375", "https://web.datatree.com/?/property?propertyId=33750375")</f>
        <v>https://web.datatree.com/?/property?propertyId=33750375</v>
      </c>
      <c r="Q4509" t="s">
        <v>316</v>
      </c>
      <c>
        <v>0.23</v>
      </c>
      <c t="s">
        <v>22490</v>
      </c>
      <c t="s">
        <v>4237</v>
      </c>
      <c t="s">
        <v>67156</v>
      </c>
      <c t="s">
        <v>6617</v>
      </c>
      <c t="s">
        <v>67156</v>
      </c>
      <c t="s">
        <v>21143</v>
      </c>
      <c t="s">
        <v>22731</v>
      </c>
      <c t="s">
        <v>2517</v>
      </c>
      <c t="s">
        <v>39289</v>
      </c>
      <c>
        <v>33909</v>
      </c>
      <c t="s">
        <v>34024</v>
      </c>
      <c t="s">
        <v>48794</v>
      </c>
      <c t="s">
        <v>263</v>
      </c>
      <c>
        <v>13414</v>
      </c>
      <c r="AI4509" t="s">
        <v>19467</v>
      </c>
      <c t="s">
        <v>45393</v>
      </c>
      <c r="AL4509" t="s">
        <v>19541</v>
      </c>
      <c r="AN4509" t="s">
        <v>50917</v>
      </c>
      <c t="s">
        <v>23516</v>
      </c>
      <c t="s">
        <v>34162</v>
      </c>
      <c t="s">
        <v>3093</v>
      </c>
      <c t="s">
        <v>64935</v>
      </c>
    </row>
    <row>
      <c t="s">
        <v>17594</v>
      </c>
      <c t="s">
        <v>19446</v>
      </c>
      <c t="s">
        <v>13308</v>
      </c>
      <c t="s">
        <v>34613</v>
      </c>
      <c t="s">
        <v>6355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510" s="1" t="str">
        <f ca="1">HYPERLINK("https://web.datatree.com/?/property?propertyId=33751120", "https://web.datatree.com/?/property?propertyId=33751120")</f>
        <v>https://web.datatree.com/?/property?propertyId=33751120</v>
      </c>
      <c r="Q4510" t="s">
        <v>316</v>
      </c>
      <c>
        <v>0.23</v>
      </c>
      <c t="s">
        <v>22490</v>
      </c>
      <c t="s">
        <v>44610</v>
      </c>
      <c t="s">
        <v>42242</v>
      </c>
      <c r="X4510" t="s">
        <v>39617</v>
      </c>
      <c t="s">
        <v>2626</v>
      </c>
      <c t="s">
        <v>2517</v>
      </c>
      <c t="s">
        <v>39289</v>
      </c>
      <c>
        <v>33909</v>
      </c>
      <c t="s">
        <v>1668</v>
      </c>
      <c t="s">
        <v>48794</v>
      </c>
      <c t="s">
        <v>47947</v>
      </c>
      <c>
        <v>8360</v>
      </c>
      <c r="AI4510" t="s">
        <v>63306</v>
      </c>
      <c t="s">
        <v>45393</v>
      </c>
      <c>
        <v>202</v>
      </c>
      <c t="s">
        <v>47157</v>
      </c>
      <c t="s">
        <v>47157</v>
      </c>
      <c t="s">
        <v>39289</v>
      </c>
      <c t="s">
        <v>45686</v>
      </c>
      <c t="s">
        <v>5948</v>
      </c>
      <c t="s">
        <v>3093</v>
      </c>
      <c t="s">
        <v>25467</v>
      </c>
    </row>
    <row>
      <c t="s">
        <v>17594</v>
      </c>
      <c t="s">
        <v>33764</v>
      </c>
      <c t="s">
        <v>55887</v>
      </c>
      <c t="s">
        <v>59420</v>
      </c>
      <c t="s">
        <v>35160</v>
      </c>
      <c s="3">
        <v>20302</v>
      </c>
      <c s="3">
        <v>20302</v>
      </c>
      <c s="3">
        <v>9130</v>
      </c>
      <c>
        <v>0</v>
      </c>
      <c s="3">
        <v>0</v>
      </c>
      <c s="3">
        <v>607.3</v>
      </c>
      <c s="3">
        <v>20302</v>
      </c>
      <c r="O4511" s="1" t="str">
        <f ca="1">HYPERLINK("https://web.datatree.com/?/property?propertyId=33751147", "https://web.datatree.com/?/property?propertyId=33751147")</f>
        <v>https://web.datatree.com/?/property?propertyId=33751147</v>
      </c>
      <c r="Q4511" t="s">
        <v>316</v>
      </c>
      <c>
        <v>0.261</v>
      </c>
      <c t="s">
        <v>22490</v>
      </c>
      <c t="s">
        <v>23630</v>
      </c>
      <c t="s">
        <v>44348</v>
      </c>
      <c r="X4511" t="s">
        <v>32252</v>
      </c>
      <c t="s">
        <v>46469</v>
      </c>
      <c t="s">
        <v>2517</v>
      </c>
      <c t="s">
        <v>39289</v>
      </c>
      <c>
        <v>33909</v>
      </c>
      <c t="s">
        <v>606</v>
      </c>
      <c t="s">
        <v>48794</v>
      </c>
      <c t="s">
        <v>39570</v>
      </c>
      <c>
        <v>1213</v>
      </c>
      <c r="AI4511" t="s">
        <v>23014</v>
      </c>
      <c t="s">
        <v>4985</v>
      </c>
      <c r="AL4511" t="s">
        <v>7107</v>
      </c>
      <c r="AN4511" t="s">
        <v>50917</v>
      </c>
      <c t="s">
        <v>64891</v>
      </c>
      <c t="s">
        <v>4797</v>
      </c>
      <c t="s">
        <v>3093</v>
      </c>
      <c t="s">
        <v>53191</v>
      </c>
    </row>
    <row>
      <c t="s">
        <v>17594</v>
      </c>
      <c t="s">
        <v>21551</v>
      </c>
      <c t="s">
        <v>27602</v>
      </c>
      <c t="s">
        <v>1913</v>
      </c>
      <c t="s">
        <v>53712</v>
      </c>
      <c s="3">
        <v>23352</v>
      </c>
      <c s="3">
        <v>23352</v>
      </c>
      <c s="3">
        <v>23352</v>
      </c>
      <c>
        <v>0</v>
      </c>
      <c s="3">
        <v>0</v>
      </c>
      <c s="3">
        <v>768.97</v>
      </c>
      <c s="3">
        <v>23352</v>
      </c>
      <c r="O4512" s="1" t="str">
        <f ca="1">HYPERLINK("https://web.datatree.com/?/property?propertyId=33751262", "https://web.datatree.com/?/property?propertyId=33751262")</f>
        <v>https://web.datatree.com/?/property?propertyId=33751262</v>
      </c>
      <c r="Q4512" t="s">
        <v>316</v>
      </c>
      <c>
        <v>0.264</v>
      </c>
      <c t="s">
        <v>22490</v>
      </c>
      <c t="s">
        <v>40321</v>
      </c>
      <c t="s">
        <v>62610</v>
      </c>
      <c t="s">
        <v>56162</v>
      </c>
      <c t="s">
        <v>10976</v>
      </c>
      <c t="s">
        <v>54430</v>
      </c>
      <c t="s">
        <v>23517</v>
      </c>
      <c t="s">
        <v>2517</v>
      </c>
      <c t="s">
        <v>39289</v>
      </c>
      <c>
        <v>33909</v>
      </c>
      <c t="s">
        <v>23360</v>
      </c>
      <c t="s">
        <v>48794</v>
      </c>
      <c t="s">
        <v>7106</v>
      </c>
      <c>
        <v>5017</v>
      </c>
      <c r="AI4512" t="s">
        <v>3372</v>
      </c>
      <c t="s">
        <v>31192</v>
      </c>
      <c r="AL4512" t="s">
        <v>14261</v>
      </c>
      <c t="s">
        <v>14261</v>
      </c>
      <c t="s">
        <v>18236</v>
      </c>
      <c t="s">
        <v>49066</v>
      </c>
      <c t="s">
        <v>13175</v>
      </c>
      <c t="s">
        <v>3093</v>
      </c>
      <c t="s">
        <v>10566</v>
      </c>
    </row>
    <row>
      <c t="s">
        <v>17594</v>
      </c>
      <c t="s">
        <v>33669</v>
      </c>
      <c t="s">
        <v>37909</v>
      </c>
      <c t="s">
        <v>4643</v>
      </c>
      <c t="s">
        <v>10277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>
        <v>2021</v>
      </c>
      <c>
        <v>584.1</v>
      </c>
      <c s="1" t="str">
        <f ca="1">HYPERLINK("https://web.datatree.com/?/property?propertyId=33752447", "https://web.datatree.com/?/property?propertyId=33752447")</f>
        <v>https://web.datatree.com/?/property?propertyId=33752447</v>
      </c>
      <c r="Q4513" t="s">
        <v>316</v>
      </c>
      <c>
        <v>0.23</v>
      </c>
      <c t="s">
        <v>6175</v>
      </c>
      <c t="s">
        <v>16493</v>
      </c>
      <c t="s">
        <v>9592</v>
      </c>
      <c r="X4513" t="s">
        <v>31400</v>
      </c>
      <c t="s">
        <v>22731</v>
      </c>
      <c t="s">
        <v>2517</v>
      </c>
      <c t="s">
        <v>39289</v>
      </c>
      <c>
        <v>33909</v>
      </c>
      <c t="s">
        <v>48852</v>
      </c>
      <c t="s">
        <v>48794</v>
      </c>
      <c t="s">
        <v>31765</v>
      </c>
      <c>
        <v>6330</v>
      </c>
      <c r="AI4513" t="s">
        <v>60185</v>
      </c>
      <c t="s">
        <v>4985</v>
      </c>
      <c r="AL4513" t="s">
        <v>65059</v>
      </c>
      <c t="s">
        <v>13701</v>
      </c>
      <c t="s">
        <v>39289</v>
      </c>
      <c t="s">
        <v>51835</v>
      </c>
      <c t="s">
        <v>44726</v>
      </c>
      <c t="s">
        <v>3093</v>
      </c>
      <c t="s">
        <v>11222</v>
      </c>
    </row>
    <row>
      <c t="s">
        <v>17594</v>
      </c>
      <c t="s">
        <v>34447</v>
      </c>
      <c t="s">
        <v>31659</v>
      </c>
      <c t="s">
        <v>65226</v>
      </c>
      <c t="s">
        <v>26497</v>
      </c>
      <c s="3">
        <v>19990</v>
      </c>
      <c s="3">
        <v>19990</v>
      </c>
      <c s="3">
        <v>10450</v>
      </c>
      <c>
        <v>0</v>
      </c>
      <c s="3">
        <v>0</v>
      </c>
      <c s="3">
        <v>597.57</v>
      </c>
      <c s="3">
        <v>19990</v>
      </c>
      <c r="O4514" s="1" t="str">
        <f ca="1">HYPERLINK("https://web.datatree.com/?/property?propertyId=33752528", "https://web.datatree.com/?/property?propertyId=33752528")</f>
        <v>https://web.datatree.com/?/property?propertyId=33752528</v>
      </c>
      <c r="Q4514" t="s">
        <v>316</v>
      </c>
      <c>
        <v>0.23</v>
      </c>
      <c t="s">
        <v>22490</v>
      </c>
      <c t="s">
        <v>20657</v>
      </c>
      <c t="s">
        <v>49610</v>
      </c>
      <c r="X4514" t="s">
        <v>16769</v>
      </c>
      <c t="s">
        <v>44061</v>
      </c>
      <c t="s">
        <v>2517</v>
      </c>
      <c t="s">
        <v>39289</v>
      </c>
      <c>
        <v>33909</v>
      </c>
      <c t="s">
        <v>57704</v>
      </c>
      <c t="s">
        <v>48794</v>
      </c>
      <c t="s">
        <v>3514</v>
      </c>
      <c>
        <v>2509</v>
      </c>
      <c r="AI4514" t="s">
        <v>42439</v>
      </c>
      <c t="s">
        <v>45393</v>
      </c>
      <c r="AL4514" t="s">
        <v>63688</v>
      </c>
      <c r="AN4514" t="s">
        <v>50917</v>
      </c>
      <c t="s">
        <v>36506</v>
      </c>
      <c t="s">
        <v>54916</v>
      </c>
      <c t="s">
        <v>3093</v>
      </c>
      <c t="s">
        <v>26897</v>
      </c>
    </row>
    <row>
      <c t="s">
        <v>17594</v>
      </c>
      <c t="s">
        <v>35751</v>
      </c>
      <c t="s">
        <v>5733</v>
      </c>
      <c t="s">
        <v>16878</v>
      </c>
      <c t="s">
        <v>38822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4515" s="1" t="str">
        <f ca="1">HYPERLINK("https://web.datatree.com/?/property?propertyId=33753891", "https://web.datatree.com/?/property?propertyId=33753891")</f>
        <v>https://web.datatree.com/?/property?propertyId=33753891</v>
      </c>
      <c r="Q4515" t="s">
        <v>316</v>
      </c>
      <c>
        <v>0.244</v>
      </c>
      <c t="s">
        <v>6175</v>
      </c>
      <c r="U4515" t="s">
        <v>14167</v>
      </c>
      <c r="W4515" t="s">
        <v>13456</v>
      </c>
      <c t="s">
        <v>39356</v>
      </c>
      <c t="s">
        <v>34731</v>
      </c>
      <c t="s">
        <v>2517</v>
      </c>
      <c t="s">
        <v>39289</v>
      </c>
      <c>
        <v>33909</v>
      </c>
      <c t="s">
        <v>31840</v>
      </c>
      <c t="s">
        <v>48794</v>
      </c>
      <c t="s">
        <v>55765</v>
      </c>
      <c>
        <v>17</v>
      </c>
      <c r="AI4515" t="s">
        <v>42021</v>
      </c>
      <c t="s">
        <v>31192</v>
      </c>
      <c r="AL4515" t="s">
        <v>6292</v>
      </c>
      <c r="AN4515" t="s">
        <v>27747</v>
      </c>
      <c t="s">
        <v>30168</v>
      </c>
      <c t="s">
        <v>1951</v>
      </c>
      <c t="s">
        <v>3093</v>
      </c>
      <c t="s">
        <v>5882</v>
      </c>
    </row>
    <row>
      <c t="s">
        <v>17594</v>
      </c>
      <c t="s">
        <v>26585</v>
      </c>
      <c t="s">
        <v>7775</v>
      </c>
      <c t="s">
        <v>1580</v>
      </c>
      <c t="s">
        <v>61954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516" s="1" t="str">
        <f ca="1">HYPERLINK("https://web.datatree.com/?/property?propertyId=33753946", "https://web.datatree.com/?/property?propertyId=33753946")</f>
        <v>https://web.datatree.com/?/property?propertyId=33753946</v>
      </c>
      <c r="Q4516" t="s">
        <v>316</v>
      </c>
      <c>
        <v>0.23</v>
      </c>
      <c t="s">
        <v>22490</v>
      </c>
      <c t="s">
        <v>21670</v>
      </c>
      <c t="s">
        <v>46942</v>
      </c>
      <c r="X4516" t="s">
        <v>35049</v>
      </c>
      <c t="s">
        <v>49674</v>
      </c>
      <c t="s">
        <v>2517</v>
      </c>
      <c t="s">
        <v>39289</v>
      </c>
      <c>
        <v>33909</v>
      </c>
      <c t="s">
        <v>49443</v>
      </c>
      <c t="s">
        <v>48794</v>
      </c>
      <c t="s">
        <v>42644</v>
      </c>
      <c>
        <v>27017</v>
      </c>
      <c r="AH4516" t="s">
        <v>52165</v>
      </c>
      <c t="s">
        <v>39082</v>
      </c>
      <c t="s">
        <v>24900</v>
      </c>
      <c r="AL4516" t="s">
        <v>6449</v>
      </c>
      <c r="AN4516" t="s">
        <v>4477</v>
      </c>
      <c t="s">
        <v>58940</v>
      </c>
      <c t="s">
        <v>52247</v>
      </c>
      <c t="s">
        <v>3093</v>
      </c>
      <c t="s">
        <v>18405</v>
      </c>
    </row>
    <row>
      <c t="s">
        <v>17594</v>
      </c>
      <c t="s">
        <v>27659</v>
      </c>
      <c t="s">
        <v>56913</v>
      </c>
      <c t="s">
        <v>58233</v>
      </c>
      <c t="s">
        <v>27020</v>
      </c>
      <c s="3">
        <v>180502</v>
      </c>
      <c s="3">
        <v>180502</v>
      </c>
      <c s="3">
        <v>180502</v>
      </c>
      <c>
        <v>0</v>
      </c>
      <c s="3">
        <v>0</v>
      </c>
      <c s="3">
        <v>2464.18</v>
      </c>
      <c s="3">
        <v>180502</v>
      </c>
      <c r="O4517" s="1" t="str">
        <f ca="1">HYPERLINK("https://web.datatree.com/?/property?propertyId=33754376", "https://web.datatree.com/?/property?propertyId=33754376")</f>
        <v>https://web.datatree.com/?/property?propertyId=33754376</v>
      </c>
      <c r="Q4517" t="s">
        <v>316</v>
      </c>
      <c>
        <v>0.571</v>
      </c>
      <c t="s">
        <v>5471</v>
      </c>
      <c r="U4517" t="s">
        <v>13524</v>
      </c>
      <c t="s">
        <v>57278</v>
      </c>
      <c t="s">
        <v>56176</v>
      </c>
      <c t="s">
        <v>16031</v>
      </c>
      <c t="s">
        <v>20898</v>
      </c>
      <c t="s">
        <v>65059</v>
      </c>
      <c t="s">
        <v>39289</v>
      </c>
      <c>
        <v>33905</v>
      </c>
      <c t="s">
        <v>2712</v>
      </c>
      <c t="s">
        <v>48794</v>
      </c>
      <c t="s">
        <v>49012</v>
      </c>
      <c>
        <v>9254</v>
      </c>
      <c r="AI4517" t="s">
        <v>53663</v>
      </c>
      <c t="s">
        <v>45393</v>
      </c>
      <c r="AL4517" t="s">
        <v>6365</v>
      </c>
      <c t="s">
        <v>6365</v>
      </c>
      <c t="s">
        <v>39289</v>
      </c>
      <c t="s">
        <v>28113</v>
      </c>
      <c t="s">
        <v>61719</v>
      </c>
      <c t="s">
        <v>3093</v>
      </c>
      <c t="s">
        <v>54530</v>
      </c>
    </row>
    <row>
      <c t="s">
        <v>17594</v>
      </c>
      <c t="s">
        <v>44995</v>
      </c>
      <c t="s">
        <v>66401</v>
      </c>
      <c t="s">
        <v>47693</v>
      </c>
      <c t="s">
        <v>35615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4518" s="1" t="str">
        <f ca="1">HYPERLINK("https://web.datatree.com/?/property?propertyId=33754888", "https://web.datatree.com/?/property?propertyId=33754888")</f>
        <v>https://web.datatree.com/?/property?propertyId=33754888</v>
      </c>
      <c r="Q4518" t="s">
        <v>316</v>
      </c>
      <c>
        <v>0.23</v>
      </c>
      <c t="s">
        <v>6175</v>
      </c>
      <c t="s">
        <v>50514</v>
      </c>
      <c t="s">
        <v>8053</v>
      </c>
      <c t="s">
        <v>21379</v>
      </c>
      <c t="s">
        <v>8053</v>
      </c>
      <c t="s">
        <v>7441</v>
      </c>
      <c t="s">
        <v>29190</v>
      </c>
      <c t="s">
        <v>2517</v>
      </c>
      <c t="s">
        <v>39289</v>
      </c>
      <c>
        <v>33909</v>
      </c>
      <c t="s">
        <v>23407</v>
      </c>
      <c t="s">
        <v>48794</v>
      </c>
      <c t="s">
        <v>63409</v>
      </c>
      <c>
        <v>42</v>
      </c>
      <c r="AI4518" t="s">
        <v>1250</v>
      </c>
      <c t="s">
        <v>24900</v>
      </c>
      <c r="AL4518" t="s">
        <v>14323</v>
      </c>
      <c r="AN4518" t="s">
        <v>50917</v>
      </c>
      <c t="s">
        <v>49740</v>
      </c>
      <c t="s">
        <v>7207</v>
      </c>
      <c t="s">
        <v>3093</v>
      </c>
      <c t="s">
        <v>26321</v>
      </c>
    </row>
    <row>
      <c t="s">
        <v>17594</v>
      </c>
      <c t="s">
        <v>14397</v>
      </c>
      <c t="s">
        <v>1139</v>
      </c>
      <c t="s">
        <v>30546</v>
      </c>
      <c t="s">
        <v>28516</v>
      </c>
      <c s="3">
        <v>26249</v>
      </c>
      <c s="3">
        <v>26249</v>
      </c>
      <c s="3">
        <v>9339</v>
      </c>
      <c>
        <v>0</v>
      </c>
      <c s="3">
        <v>0</v>
      </c>
      <c s="3">
        <v>645.6</v>
      </c>
      <c s="3">
        <v>26249</v>
      </c>
      <c r="O4519" s="1" t="str">
        <f ca="1">HYPERLINK("https://web.datatree.com/?/property?propertyId=33755130", "https://web.datatree.com/?/property?propertyId=33755130")</f>
        <v>https://web.datatree.com/?/property?propertyId=33755130</v>
      </c>
      <c r="Q4519" t="s">
        <v>316</v>
      </c>
      <c>
        <v>0.272</v>
      </c>
      <c t="s">
        <v>6175</v>
      </c>
      <c t="s">
        <v>67077</v>
      </c>
      <c t="s">
        <v>31499</v>
      </c>
      <c r="X4519" t="s">
        <v>31568</v>
      </c>
      <c t="s">
        <v>55273</v>
      </c>
      <c t="s">
        <v>2517</v>
      </c>
      <c t="s">
        <v>39289</v>
      </c>
      <c>
        <v>33909</v>
      </c>
      <c t="s">
        <v>6356</v>
      </c>
      <c t="s">
        <v>48794</v>
      </c>
      <c t="s">
        <v>27963</v>
      </c>
      <c>
        <v>637</v>
      </c>
      <c r="AI4519" t="s">
        <v>1901</v>
      </c>
      <c t="s">
        <v>45620</v>
      </c>
      <c r="AL4519" t="s">
        <v>35789</v>
      </c>
      <c r="AN4519" t="s">
        <v>19878</v>
      </c>
      <c t="s">
        <v>27947</v>
      </c>
      <c t="s">
        <v>4480</v>
      </c>
      <c t="s">
        <v>3093</v>
      </c>
      <c t="s">
        <v>61248</v>
      </c>
    </row>
    <row>
      <c t="s">
        <v>17594</v>
      </c>
      <c t="s">
        <v>58117</v>
      </c>
      <c t="s">
        <v>42244</v>
      </c>
      <c t="s">
        <v>26557</v>
      </c>
      <c t="s">
        <v>1251</v>
      </c>
      <c s="3">
        <v>8564</v>
      </c>
      <c s="3">
        <v>8564</v>
      </c>
      <c s="3">
        <v>4972</v>
      </c>
      <c>
        <v>0</v>
      </c>
      <c s="3">
        <v>0</v>
      </c>
      <c s="3">
        <v>317.96</v>
      </c>
      <c s="3">
        <v>8564</v>
      </c>
      <c>
        <v>2021</v>
      </c>
      <c>
        <v>348.45</v>
      </c>
      <c s="1" t="str">
        <f ca="1">HYPERLINK("https://web.datatree.com/?/property?propertyId=33755479", "https://web.datatree.com/?/property?propertyId=33755479")</f>
        <v>https://web.datatree.com/?/property?propertyId=33755479</v>
      </c>
      <c r="Q4520" t="s">
        <v>316</v>
      </c>
      <c>
        <v>0.252</v>
      </c>
      <c t="s">
        <v>5471</v>
      </c>
      <c r="U4520" t="s">
        <v>25337</v>
      </c>
      <c r="W4520" t="s">
        <v>7857</v>
      </c>
      <c t="s">
        <v>31505</v>
      </c>
      <c t="s">
        <v>49407</v>
      </c>
      <c t="s">
        <v>65059</v>
      </c>
      <c t="s">
        <v>39289</v>
      </c>
      <c>
        <v>33905</v>
      </c>
      <c t="s">
        <v>4228</v>
      </c>
      <c t="s">
        <v>48794</v>
      </c>
      <c t="s">
        <v>53341</v>
      </c>
      <c>
        <v>67491</v>
      </c>
      <c r="AI4520" t="s">
        <v>111</v>
      </c>
      <c t="s">
        <v>31192</v>
      </c>
      <c r="AL4520" t="s">
        <v>29275</v>
      </c>
      <c r="AN4520" t="s">
        <v>51137</v>
      </c>
      <c t="s">
        <v>26850</v>
      </c>
      <c t="s">
        <v>43294</v>
      </c>
      <c t="s">
        <v>3093</v>
      </c>
      <c t="s">
        <v>12821</v>
      </c>
    </row>
    <row>
      <c t="s">
        <v>17594</v>
      </c>
      <c t="s">
        <v>45630</v>
      </c>
      <c t="s">
        <v>6600</v>
      </c>
      <c t="s">
        <v>50608</v>
      </c>
      <c t="s">
        <v>59050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4521" s="1" t="str">
        <f ca="1">HYPERLINK("https://web.datatree.com/?/property?propertyId=33756563", "https://web.datatree.com/?/property?propertyId=33756563")</f>
        <v>https://web.datatree.com/?/property?propertyId=33756563</v>
      </c>
      <c r="Q4521" t="s">
        <v>316</v>
      </c>
      <c>
        <v>0.23</v>
      </c>
      <c t="s">
        <v>6175</v>
      </c>
      <c t="s">
        <v>6209</v>
      </c>
      <c t="s">
        <v>53486</v>
      </c>
      <c t="s">
        <v>7996</v>
      </c>
      <c t="s">
        <v>53486</v>
      </c>
      <c t="s">
        <v>16465</v>
      </c>
      <c t="s">
        <v>371</v>
      </c>
      <c t="s">
        <v>2517</v>
      </c>
      <c t="s">
        <v>39289</v>
      </c>
      <c>
        <v>33909</v>
      </c>
      <c t="s">
        <v>61884</v>
      </c>
      <c t="s">
        <v>48794</v>
      </c>
      <c t="s">
        <v>36146</v>
      </c>
      <c>
        <v>2023</v>
      </c>
      <c r="AI4521" t="s">
        <v>21452</v>
      </c>
      <c t="s">
        <v>31192</v>
      </c>
      <c r="AL4521" t="s">
        <v>10240</v>
      </c>
      <c t="s">
        <v>10240</v>
      </c>
      <c t="s">
        <v>39289</v>
      </c>
      <c t="s">
        <v>27838</v>
      </c>
      <c t="s">
        <v>14845</v>
      </c>
      <c t="s">
        <v>3093</v>
      </c>
      <c t="s">
        <v>55739</v>
      </c>
    </row>
    <row>
      <c t="s">
        <v>17594</v>
      </c>
      <c t="s">
        <v>19359</v>
      </c>
      <c t="s">
        <v>52874</v>
      </c>
      <c t="s">
        <v>58001</v>
      </c>
      <c t="s">
        <v>56547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>
        <v>2018</v>
      </c>
      <c>
        <v>5064.78</v>
      </c>
      <c s="1" t="str">
        <f ca="1">HYPERLINK("https://web.datatree.com/?/property?propertyId=33757197", "https://web.datatree.com/?/property?propertyId=33757197")</f>
        <v>https://web.datatree.com/?/property?propertyId=33757197</v>
      </c>
      <c r="Q4522" t="s">
        <v>316</v>
      </c>
      <c>
        <v>0.241</v>
      </c>
      <c t="s">
        <v>6175</v>
      </c>
      <c t="s">
        <v>65685</v>
      </c>
      <c t="s">
        <v>39982</v>
      </c>
      <c t="s">
        <v>51891</v>
      </c>
      <c t="s">
        <v>39982</v>
      </c>
      <c t="s">
        <v>23481</v>
      </c>
      <c t="s">
        <v>14534</v>
      </c>
      <c t="s">
        <v>2517</v>
      </c>
      <c t="s">
        <v>39289</v>
      </c>
      <c>
        <v>33909</v>
      </c>
      <c t="s">
        <v>32744</v>
      </c>
      <c t="s">
        <v>48794</v>
      </c>
      <c t="s">
        <v>44334</v>
      </c>
      <c>
        <v>2603</v>
      </c>
      <c r="AI4522" t="s">
        <v>810</v>
      </c>
      <c t="s">
        <v>45393</v>
      </c>
      <c r="AL4522" t="s">
        <v>36080</v>
      </c>
      <c r="AN4522" t="s">
        <v>39289</v>
      </c>
      <c t="s">
        <v>1489</v>
      </c>
      <c t="s">
        <v>35508</v>
      </c>
      <c t="s">
        <v>3093</v>
      </c>
      <c t="s">
        <v>54454</v>
      </c>
    </row>
    <row>
      <c t="s">
        <v>17594</v>
      </c>
      <c t="s">
        <v>29321</v>
      </c>
      <c t="s">
        <v>7379</v>
      </c>
      <c t="s">
        <v>47097</v>
      </c>
      <c t="s">
        <v>43516</v>
      </c>
      <c s="3">
        <v>99372</v>
      </c>
      <c s="3">
        <v>90000</v>
      </c>
      <c s="3">
        <v>99372</v>
      </c>
      <c>
        <v>0</v>
      </c>
      <c s="3">
        <v>0</v>
      </c>
      <c s="3">
        <v>1492.68</v>
      </c>
      <c s="3">
        <v>99372</v>
      </c>
      <c r="O4523" s="1" t="str">
        <f ca="1">HYPERLINK("https://web.datatree.com/?/property?propertyId=33757630", "https://web.datatree.com/?/property?propertyId=33757630")</f>
        <v>https://web.datatree.com/?/property?propertyId=33757630</v>
      </c>
      <c r="Q4523" t="s">
        <v>316</v>
      </c>
      <c>
        <v>0.095</v>
      </c>
      <c t="s">
        <v>26492</v>
      </c>
      <c t="s">
        <v>3293</v>
      </c>
      <c t="s">
        <v>29064</v>
      </c>
      <c t="s">
        <v>4868</v>
      </c>
      <c t="s">
        <v>29064</v>
      </c>
      <c t="s">
        <v>51635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15751</v>
      </c>
      <c>
        <v>218</v>
      </c>
      <c r="AI4523" t="s">
        <v>5657</v>
      </c>
      <c t="s">
        <v>45620</v>
      </c>
      <c r="AL4523" t="s">
        <v>30334</v>
      </c>
      <c t="s">
        <v>40227</v>
      </c>
      <c t="s">
        <v>39289</v>
      </c>
      <c t="s">
        <v>22680</v>
      </c>
      <c t="s">
        <v>14695</v>
      </c>
      <c t="s">
        <v>3093</v>
      </c>
      <c t="s">
        <v>66485</v>
      </c>
    </row>
    <row>
      <c t="s">
        <v>17594</v>
      </c>
      <c t="s">
        <v>24520</v>
      </c>
      <c t="s">
        <v>32289</v>
      </c>
      <c t="s">
        <v>8183</v>
      </c>
      <c t="s">
        <v>11110</v>
      </c>
      <c s="3">
        <v>100518</v>
      </c>
      <c s="3">
        <v>86250</v>
      </c>
      <c s="3">
        <v>100518</v>
      </c>
      <c>
        <v>0</v>
      </c>
      <c s="3">
        <v>0</v>
      </c>
      <c s="3">
        <v>1509.81</v>
      </c>
      <c s="3">
        <v>100518</v>
      </c>
      <c r="O4524" s="1" t="str">
        <f ca="1">HYPERLINK("https://web.datatree.com/?/property?propertyId=33757729", "https://web.datatree.com/?/property?propertyId=33757729")</f>
        <v>https://web.datatree.com/?/property?propertyId=33757729</v>
      </c>
      <c r="Q4524" t="s">
        <v>316</v>
      </c>
      <c>
        <v>0.105</v>
      </c>
      <c t="s">
        <v>26492</v>
      </c>
      <c t="s">
        <v>54943</v>
      </c>
      <c t="s">
        <v>64126</v>
      </c>
      <c t="s">
        <v>47656</v>
      </c>
      <c t="s">
        <v>64126</v>
      </c>
      <c t="s">
        <v>40596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66754</v>
      </c>
      <c>
        <v>1507</v>
      </c>
      <c r="AI4524" t="s">
        <v>32108</v>
      </c>
      <c t="s">
        <v>31192</v>
      </c>
      <c r="AL4524" t="s">
        <v>5377</v>
      </c>
      <c t="s">
        <v>5377</v>
      </c>
      <c t="s">
        <v>50829</v>
      </c>
      <c t="s">
        <v>27637</v>
      </c>
      <c t="s">
        <v>3364</v>
      </c>
      <c t="s">
        <v>3093</v>
      </c>
      <c t="s">
        <v>15065</v>
      </c>
    </row>
    <row>
      <c t="s">
        <v>17594</v>
      </c>
      <c t="s">
        <v>23797</v>
      </c>
      <c t="s">
        <v>42288</v>
      </c>
      <c t="s">
        <v>22903</v>
      </c>
      <c t="s">
        <v>15071</v>
      </c>
      <c s="3">
        <v>8100</v>
      </c>
      <c s="3">
        <v>8100</v>
      </c>
      <c s="3">
        <v>8100</v>
      </c>
      <c>
        <v>0</v>
      </c>
      <c s="3">
        <v>0</v>
      </c>
      <c s="3">
        <v>587.86</v>
      </c>
      <c s="3">
        <v>8100</v>
      </c>
      <c>
        <v>2021</v>
      </c>
      <c>
        <v>622.21</v>
      </c>
      <c s="1" t="str">
        <f ca="1">HYPERLINK("https://web.datatree.com/?/property?propertyId=33757948", "https://web.datatree.com/?/property?propertyId=33757948")</f>
        <v>https://web.datatree.com/?/property?propertyId=33757948</v>
      </c>
      <c r="Q4525" t="s">
        <v>316</v>
      </c>
      <c>
        <v>0.268</v>
      </c>
      <c t="s">
        <v>6175</v>
      </c>
      <c t="s">
        <v>22078</v>
      </c>
      <c t="s">
        <v>28798</v>
      </c>
      <c t="s">
        <v>7130</v>
      </c>
      <c t="s">
        <v>41554</v>
      </c>
      <c t="s">
        <v>22834</v>
      </c>
      <c t="s">
        <v>15510</v>
      </c>
      <c t="s">
        <v>2517</v>
      </c>
      <c t="s">
        <v>39289</v>
      </c>
      <c>
        <v>33909</v>
      </c>
      <c>
        <v>33909</v>
      </c>
      <c t="s">
        <v>48794</v>
      </c>
      <c t="s">
        <v>63328</v>
      </c>
      <c>
        <v>2619</v>
      </c>
      <c r="AI4525" t="s">
        <v>7365</v>
      </c>
      <c r="AL4525" t="s">
        <v>35556</v>
      </c>
      <c t="s">
        <v>35556</v>
      </c>
      <c t="s">
        <v>9533</v>
      </c>
      <c t="s">
        <v>30468</v>
      </c>
      <c t="s">
        <v>57614</v>
      </c>
      <c t="s">
        <v>3093</v>
      </c>
      <c t="s">
        <v>7253</v>
      </c>
    </row>
    <row>
      <c t="s">
        <v>17594</v>
      </c>
      <c t="s">
        <v>53000</v>
      </c>
      <c t="s">
        <v>48842</v>
      </c>
      <c t="s">
        <v>10121</v>
      </c>
      <c t="s">
        <v>36341</v>
      </c>
      <c s="3">
        <v>7700</v>
      </c>
      <c s="3">
        <v>7700</v>
      </c>
      <c s="3">
        <v>7700</v>
      </c>
      <c>
        <v>0</v>
      </c>
      <c s="3">
        <v>0</v>
      </c>
      <c s="3">
        <v>600.59</v>
      </c>
      <c s="3">
        <v>7700</v>
      </c>
      <c r="O4526" s="1" t="str">
        <f ca="1">HYPERLINK("https://web.datatree.com/?/property?propertyId=33759410", "https://web.datatree.com/?/property?propertyId=33759410")</f>
        <v>https://web.datatree.com/?/property?propertyId=33759410</v>
      </c>
      <c r="Q4526" t="s">
        <v>316</v>
      </c>
      <c>
        <v>0.287</v>
      </c>
      <c t="s">
        <v>6175</v>
      </c>
      <c t="s">
        <v>6753</v>
      </c>
      <c t="s">
        <v>52485</v>
      </c>
      <c r="X4526" t="s">
        <v>23445</v>
      </c>
      <c t="s">
        <v>29190</v>
      </c>
      <c t="s">
        <v>2517</v>
      </c>
      <c t="s">
        <v>39289</v>
      </c>
      <c>
        <v>33909</v>
      </c>
      <c t="s">
        <v>46684</v>
      </c>
      <c t="s">
        <v>48794</v>
      </c>
      <c t="s">
        <v>49435</v>
      </c>
      <c>
        <v>238</v>
      </c>
      <c r="AI4526" t="s">
        <v>19389</v>
      </c>
      <c t="s">
        <v>45393</v>
      </c>
      <c r="AL4526" t="s">
        <v>39016</v>
      </c>
      <c t="s">
        <v>39016</v>
      </c>
      <c t="s">
        <v>50917</v>
      </c>
      <c t="s">
        <v>40038</v>
      </c>
      <c t="s">
        <v>636</v>
      </c>
      <c t="s">
        <v>3093</v>
      </c>
      <c t="s">
        <v>7597</v>
      </c>
    </row>
    <row>
      <c t="s">
        <v>17594</v>
      </c>
      <c t="s">
        <v>2250</v>
      </c>
      <c t="s">
        <v>18897</v>
      </c>
      <c t="s">
        <v>904</v>
      </c>
      <c t="s">
        <v>30771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4527" s="1" t="str">
        <f ca="1">HYPERLINK("https://web.datatree.com/?/property?propertyId=33760079", "https://web.datatree.com/?/property?propertyId=33760079")</f>
        <v>https://web.datatree.com/?/property?propertyId=33760079</v>
      </c>
      <c r="Q4527" t="s">
        <v>316</v>
      </c>
      <c>
        <v>0.275</v>
      </c>
      <c t="s">
        <v>5471</v>
      </c>
      <c t="s">
        <v>3429</v>
      </c>
      <c t="s">
        <v>43303</v>
      </c>
      <c t="s">
        <v>7976</v>
      </c>
      <c t="s">
        <v>43303</v>
      </c>
      <c t="s">
        <v>47648</v>
      </c>
      <c t="s">
        <v>18225</v>
      </c>
      <c t="s">
        <v>65059</v>
      </c>
      <c t="s">
        <v>39289</v>
      </c>
      <c>
        <v>33905</v>
      </c>
      <c t="s">
        <v>61148</v>
      </c>
      <c t="s">
        <v>48794</v>
      </c>
      <c t="s">
        <v>17191</v>
      </c>
      <c>
        <v>301</v>
      </c>
      <c r="AI4527" t="s">
        <v>4788</v>
      </c>
      <c t="s">
        <v>45393</v>
      </c>
      <c r="AL4527" t="s">
        <v>55393</v>
      </c>
      <c t="s">
        <v>10256</v>
      </c>
      <c t="s">
        <v>39289</v>
      </c>
      <c t="s">
        <v>66283</v>
      </c>
      <c t="s">
        <v>62830</v>
      </c>
      <c t="s">
        <v>3093</v>
      </c>
      <c t="s">
        <v>8946</v>
      </c>
    </row>
    <row>
      <c t="s">
        <v>17594</v>
      </c>
      <c t="s">
        <v>58891</v>
      </c>
      <c t="s">
        <v>63178</v>
      </c>
      <c t="s">
        <v>18952</v>
      </c>
      <c t="s">
        <v>50158</v>
      </c>
      <c s="3">
        <v>31592</v>
      </c>
      <c s="3">
        <v>31592</v>
      </c>
      <c s="3">
        <v>11858</v>
      </c>
      <c>
        <v>0</v>
      </c>
      <c s="3">
        <v>0</v>
      </c>
      <c s="3">
        <v>2036.59</v>
      </c>
      <c s="3">
        <v>31592</v>
      </c>
      <c r="O4528" s="1" t="str">
        <f ca="1">HYPERLINK("https://web.datatree.com/?/property?propertyId=33761228", "https://web.datatree.com/?/property?propertyId=33761228")</f>
        <v>https://web.datatree.com/?/property?propertyId=33761228</v>
      </c>
      <c r="Q4528" t="s">
        <v>316</v>
      </c>
      <c>
        <v>0.23</v>
      </c>
      <c t="s">
        <v>32050</v>
      </c>
      <c t="s">
        <v>31698</v>
      </c>
      <c t="s">
        <v>64901</v>
      </c>
      <c t="s">
        <v>38619</v>
      </c>
      <c t="s">
        <v>64901</v>
      </c>
      <c t="s">
        <v>26514</v>
      </c>
      <c t="s">
        <v>2626</v>
      </c>
      <c t="s">
        <v>2517</v>
      </c>
      <c t="s">
        <v>39289</v>
      </c>
      <c>
        <v>33909</v>
      </c>
      <c t="s">
        <v>4007</v>
      </c>
      <c t="s">
        <v>48794</v>
      </c>
      <c t="s">
        <v>22285</v>
      </c>
      <c>
        <v>4</v>
      </c>
      <c r="AI4528" t="s">
        <v>49847</v>
      </c>
      <c t="s">
        <v>40123</v>
      </c>
      <c r="AL4528" t="s">
        <v>59745</v>
      </c>
      <c r="AN4528" t="s">
        <v>19878</v>
      </c>
      <c t="s">
        <v>32153</v>
      </c>
      <c t="s">
        <v>702</v>
      </c>
      <c t="s">
        <v>3093</v>
      </c>
      <c t="s">
        <v>24920</v>
      </c>
    </row>
    <row>
      <c t="s">
        <v>17594</v>
      </c>
      <c t="s">
        <v>5829</v>
      </c>
      <c t="s">
        <v>35058</v>
      </c>
      <c t="s">
        <v>15272</v>
      </c>
      <c t="s">
        <v>37802</v>
      </c>
      <c s="3">
        <v>70741</v>
      </c>
      <c s="3">
        <v>63500</v>
      </c>
      <c s="3">
        <v>68465</v>
      </c>
      <c>
        <v>0</v>
      </c>
      <c s="3">
        <v>0</v>
      </c>
      <c s="3">
        <v>1042.57</v>
      </c>
      <c s="3">
        <v>70741</v>
      </c>
      <c r="O4529" s="1" t="str">
        <f ca="1">HYPERLINK("https://web.datatree.com/?/property?propertyId=33761678", "https://web.datatree.com/?/property?propertyId=33761678")</f>
        <v>https://web.datatree.com/?/property?propertyId=33761678</v>
      </c>
      <c r="Q4529" t="s">
        <v>316</v>
      </c>
      <c>
        <v>0.095</v>
      </c>
      <c t="s">
        <v>26492</v>
      </c>
      <c t="s">
        <v>16200</v>
      </c>
      <c t="s">
        <v>18122</v>
      </c>
      <c r="W4529" t="s">
        <v>26254</v>
      </c>
      <c t="s">
        <v>57792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12833</v>
      </c>
      <c>
        <v>4508</v>
      </c>
      <c r="AI4529" t="s">
        <v>20049</v>
      </c>
      <c r="AL4529" t="s">
        <v>10315</v>
      </c>
      <c t="s">
        <v>61974</v>
      </c>
      <c t="s">
        <v>27481</v>
      </c>
      <c t="s">
        <v>61145</v>
      </c>
      <c t="s">
        <v>62713</v>
      </c>
      <c t="s">
        <v>3093</v>
      </c>
      <c t="s">
        <v>19434</v>
      </c>
    </row>
    <row>
      <c t="s">
        <v>17594</v>
      </c>
      <c t="s">
        <v>55434</v>
      </c>
      <c t="s">
        <v>16244</v>
      </c>
      <c t="s">
        <v>63218</v>
      </c>
      <c t="s">
        <v>35310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530" s="1" t="str">
        <f ca="1">HYPERLINK("https://web.datatree.com/?/property?propertyId=33762787", "https://web.datatree.com/?/property?propertyId=33762787")</f>
        <v>https://web.datatree.com/?/property?propertyId=33762787</v>
      </c>
      <c r="Q4530" t="s">
        <v>316</v>
      </c>
      <c>
        <v>0.23</v>
      </c>
      <c t="s">
        <v>22490</v>
      </c>
      <c t="s">
        <v>248</v>
      </c>
      <c t="s">
        <v>6781</v>
      </c>
      <c t="s">
        <v>37949</v>
      </c>
      <c t="s">
        <v>6781</v>
      </c>
      <c t="s">
        <v>33140</v>
      </c>
      <c t="s">
        <v>24999</v>
      </c>
      <c t="s">
        <v>2517</v>
      </c>
      <c t="s">
        <v>39289</v>
      </c>
      <c>
        <v>33909</v>
      </c>
      <c t="s">
        <v>19283</v>
      </c>
      <c t="s">
        <v>48794</v>
      </c>
      <c t="s">
        <v>46994</v>
      </c>
      <c>
        <v>112</v>
      </c>
      <c r="AI4530" t="s">
        <v>44637</v>
      </c>
      <c r="AL4530" t="s">
        <v>57077</v>
      </c>
      <c r="AN4530" t="s">
        <v>53599</v>
      </c>
      <c r="AR4530" t="s">
        <v>15705</v>
      </c>
    </row>
    <row>
      <c t="s">
        <v>17594</v>
      </c>
      <c t="s">
        <v>7399</v>
      </c>
      <c t="s">
        <v>43932</v>
      </c>
      <c t="s">
        <v>30948</v>
      </c>
      <c t="s">
        <v>52516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531" s="1" t="str">
        <f ca="1">HYPERLINK("https://web.datatree.com/?/property?propertyId=33763822", "https://web.datatree.com/?/property?propertyId=33763822")</f>
        <v>https://web.datatree.com/?/property?propertyId=33763822</v>
      </c>
      <c r="Q4531" t="s">
        <v>316</v>
      </c>
      <c>
        <v>0.23</v>
      </c>
      <c t="s">
        <v>22490</v>
      </c>
      <c t="s">
        <v>12784</v>
      </c>
      <c t="s">
        <v>36492</v>
      </c>
      <c t="s">
        <v>21379</v>
      </c>
      <c t="s">
        <v>36492</v>
      </c>
      <c t="s">
        <v>51356</v>
      </c>
      <c t="s">
        <v>34136</v>
      </c>
      <c t="s">
        <v>2517</v>
      </c>
      <c t="s">
        <v>39289</v>
      </c>
      <c>
        <v>33909</v>
      </c>
      <c t="s">
        <v>7667</v>
      </c>
      <c t="s">
        <v>48794</v>
      </c>
      <c t="s">
        <v>43442</v>
      </c>
      <c>
        <v>1324</v>
      </c>
      <c r="AI4531" t="s">
        <v>33575</v>
      </c>
      <c t="s">
        <v>24900</v>
      </c>
      <c r="AL4531" t="s">
        <v>45726</v>
      </c>
      <c r="AN4531" t="s">
        <v>19878</v>
      </c>
      <c t="s">
        <v>63021</v>
      </c>
      <c t="s">
        <v>41946</v>
      </c>
      <c t="s">
        <v>3093</v>
      </c>
      <c t="s">
        <v>43902</v>
      </c>
    </row>
    <row>
      <c t="s">
        <v>17594</v>
      </c>
      <c t="s">
        <v>37247</v>
      </c>
      <c t="s">
        <v>36664</v>
      </c>
      <c t="s">
        <v>42005</v>
      </c>
      <c t="s">
        <v>6570</v>
      </c>
      <c s="3">
        <v>49341</v>
      </c>
      <c s="3">
        <v>49341</v>
      </c>
      <c s="3">
        <v>24759</v>
      </c>
      <c>
        <v>0</v>
      </c>
      <c s="3">
        <v>0</v>
      </c>
      <c s="3">
        <v>1860.23</v>
      </c>
      <c s="3">
        <v>49341</v>
      </c>
      <c r="O4532" s="1" t="str">
        <f ca="1">HYPERLINK("https://web.datatree.com/?/property?propertyId=33764043", "https://web.datatree.com/?/property?propertyId=33764043")</f>
        <v>https://web.datatree.com/?/property?propertyId=33764043</v>
      </c>
      <c r="Q4532" t="s">
        <v>316</v>
      </c>
      <c>
        <v>0.236</v>
      </c>
      <c t="s">
        <v>22490</v>
      </c>
      <c r="U4532" t="s">
        <v>29613</v>
      </c>
      <c r="W4532" t="s">
        <v>57587</v>
      </c>
      <c t="s">
        <v>1594</v>
      </c>
      <c t="s">
        <v>17022</v>
      </c>
      <c t="s">
        <v>2517</v>
      </c>
      <c t="s">
        <v>39289</v>
      </c>
      <c>
        <v>33909</v>
      </c>
      <c t="s">
        <v>29477</v>
      </c>
      <c t="s">
        <v>48794</v>
      </c>
      <c t="s">
        <v>27005</v>
      </c>
      <c>
        <v>1366</v>
      </c>
      <c r="AI4532" t="s">
        <v>43081</v>
      </c>
      <c t="s">
        <v>41173</v>
      </c>
      <c r="AL4532" t="s">
        <v>6124</v>
      </c>
      <c r="AN4532" t="s">
        <v>50917</v>
      </c>
      <c t="s">
        <v>13563</v>
      </c>
      <c t="s">
        <v>56315</v>
      </c>
      <c t="s">
        <v>3093</v>
      </c>
      <c t="s">
        <v>47708</v>
      </c>
    </row>
    <row>
      <c t="s">
        <v>17594</v>
      </c>
      <c t="s">
        <v>58078</v>
      </c>
      <c t="s">
        <v>49412</v>
      </c>
      <c t="s">
        <v>33807</v>
      </c>
      <c t="s">
        <v>47478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4533" s="1" t="str">
        <f ca="1">HYPERLINK("https://web.datatree.com/?/property?propertyId=33764062", "https://web.datatree.com/?/property?propertyId=33764062")</f>
        <v>https://web.datatree.com/?/property?propertyId=33764062</v>
      </c>
      <c r="Q4533" t="s">
        <v>316</v>
      </c>
      <c>
        <v>0.23</v>
      </c>
      <c t="s">
        <v>22490</v>
      </c>
      <c t="s">
        <v>52045</v>
      </c>
      <c t="s">
        <v>40684</v>
      </c>
      <c t="s">
        <v>67238</v>
      </c>
      <c t="s">
        <v>40684</v>
      </c>
      <c t="s">
        <v>42413</v>
      </c>
      <c t="s">
        <v>2626</v>
      </c>
      <c t="s">
        <v>2517</v>
      </c>
      <c t="s">
        <v>39289</v>
      </c>
      <c>
        <v>33909</v>
      </c>
      <c t="s">
        <v>9482</v>
      </c>
      <c t="s">
        <v>48794</v>
      </c>
      <c t="s">
        <v>7251</v>
      </c>
      <c>
        <v>3683</v>
      </c>
      <c r="AI4533" t="s">
        <v>59677</v>
      </c>
      <c t="s">
        <v>18126</v>
      </c>
      <c r="AL4533" t="s">
        <v>44044</v>
      </c>
      <c t="s">
        <v>44044</v>
      </c>
      <c t="s">
        <v>18236</v>
      </c>
      <c t="s">
        <v>10483</v>
      </c>
      <c t="s">
        <v>52247</v>
      </c>
      <c t="s">
        <v>3093</v>
      </c>
      <c t="s">
        <v>37707</v>
      </c>
    </row>
    <row>
      <c t="s">
        <v>17594</v>
      </c>
      <c t="s">
        <v>64225</v>
      </c>
      <c t="s">
        <v>61571</v>
      </c>
      <c t="s">
        <v>49052</v>
      </c>
      <c t="s">
        <v>63741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534" s="1" t="str">
        <f ca="1">HYPERLINK("https://web.datatree.com/?/property?propertyId=33764533", "https://web.datatree.com/?/property?propertyId=33764533")</f>
        <v>https://web.datatree.com/?/property?propertyId=33764533</v>
      </c>
      <c r="Q4534" t="s">
        <v>316</v>
      </c>
      <c>
        <v>0.23</v>
      </c>
      <c t="s">
        <v>6175</v>
      </c>
      <c r="U4534" t="s">
        <v>3347</v>
      </c>
      <c r="W4534" t="s">
        <v>47623</v>
      </c>
      <c t="s">
        <v>20484</v>
      </c>
      <c t="s">
        <v>66701</v>
      </c>
      <c t="s">
        <v>2517</v>
      </c>
      <c t="s">
        <v>39289</v>
      </c>
      <c>
        <v>33909</v>
      </c>
      <c t="s">
        <v>52331</v>
      </c>
      <c t="s">
        <v>48794</v>
      </c>
      <c t="s">
        <v>52953</v>
      </c>
      <c>
        <v>34642</v>
      </c>
      <c r="AI4534" t="s">
        <v>34736</v>
      </c>
      <c t="s">
        <v>40123</v>
      </c>
      <c r="AL4534" t="s">
        <v>32847</v>
      </c>
      <c t="s">
        <v>41814</v>
      </c>
      <c t="s">
        <v>65451</v>
      </c>
      <c t="s">
        <v>57479</v>
      </c>
      <c t="s">
        <v>15846</v>
      </c>
      <c t="s">
        <v>3093</v>
      </c>
      <c t="s">
        <v>339</v>
      </c>
    </row>
    <row>
      <c t="s">
        <v>17594</v>
      </c>
      <c t="s">
        <v>45599</v>
      </c>
      <c t="s">
        <v>12431</v>
      </c>
      <c t="s">
        <v>23408</v>
      </c>
      <c t="s">
        <v>43242</v>
      </c>
      <c s="3">
        <v>25675</v>
      </c>
      <c s="3">
        <v>25675</v>
      </c>
      <c s="3">
        <v>11858</v>
      </c>
      <c>
        <v>0</v>
      </c>
      <c s="3">
        <v>0</v>
      </c>
      <c s="3">
        <v>754.51</v>
      </c>
      <c s="3">
        <v>25675</v>
      </c>
      <c r="O4535" s="1" t="str">
        <f ca="1">HYPERLINK("https://web.datatree.com/?/property?propertyId=33764752", "https://web.datatree.com/?/property?propertyId=33764752")</f>
        <v>https://web.datatree.com/?/property?propertyId=33764752</v>
      </c>
      <c r="Q4535" t="s">
        <v>316</v>
      </c>
      <c>
        <v>0.37</v>
      </c>
      <c t="s">
        <v>65422</v>
      </c>
      <c t="s">
        <v>1859</v>
      </c>
      <c t="s">
        <v>57311</v>
      </c>
      <c t="s">
        <v>32443</v>
      </c>
      <c t="s">
        <v>57311</v>
      </c>
      <c t="s">
        <v>56201</v>
      </c>
      <c t="s">
        <v>61850</v>
      </c>
      <c t="s">
        <v>2517</v>
      </c>
      <c t="s">
        <v>39289</v>
      </c>
      <c>
        <v>33909</v>
      </c>
      <c t="s">
        <v>4197</v>
      </c>
      <c t="s">
        <v>48794</v>
      </c>
      <c t="s">
        <v>46859</v>
      </c>
      <c>
        <v>904</v>
      </c>
      <c r="AI4535" t="s">
        <v>60790</v>
      </c>
      <c t="s">
        <v>835</v>
      </c>
      <c r="AL4535" t="s">
        <v>26307</v>
      </c>
      <c t="s">
        <v>26307</v>
      </c>
      <c t="s">
        <v>27481</v>
      </c>
      <c t="s">
        <v>55751</v>
      </c>
      <c t="s">
        <v>34162</v>
      </c>
      <c t="s">
        <v>3093</v>
      </c>
      <c t="s">
        <v>37274</v>
      </c>
    </row>
    <row>
      <c t="s">
        <v>17594</v>
      </c>
      <c t="s">
        <v>60359</v>
      </c>
      <c t="s">
        <v>18558</v>
      </c>
      <c t="s">
        <v>44355</v>
      </c>
      <c t="s">
        <v>43419</v>
      </c>
      <c s="3">
        <v>1925</v>
      </c>
      <c s="3">
        <v>1925</v>
      </c>
      <c s="3">
        <v>1925</v>
      </c>
      <c>
        <v>0</v>
      </c>
      <c s="3">
        <v>0</v>
      </c>
      <c s="3">
        <v>358.99</v>
      </c>
      <c s="3">
        <v>1925</v>
      </c>
      <c>
        <v>2021</v>
      </c>
      <c>
        <v>329.67</v>
      </c>
      <c s="1" t="str">
        <f ca="1">HYPERLINK("https://web.datatree.com/?/property?propertyId=33764867", "https://web.datatree.com/?/property?propertyId=33764867")</f>
        <v>https://web.datatree.com/?/property?propertyId=33764867</v>
      </c>
      <c r="Q4536" t="s">
        <v>316</v>
      </c>
      <c>
        <v>0.119</v>
      </c>
      <c t="s">
        <v>6175</v>
      </c>
      <c t="s">
        <v>14376</v>
      </c>
      <c t="s">
        <v>50512</v>
      </c>
      <c t="s">
        <v>8655</v>
      </c>
      <c t="s">
        <v>50512</v>
      </c>
      <c t="s">
        <v>17111</v>
      </c>
      <c t="s">
        <v>14534</v>
      </c>
      <c t="s">
        <v>2517</v>
      </c>
      <c t="s">
        <v>39289</v>
      </c>
      <c>
        <v>33909</v>
      </c>
      <c t="s">
        <v>57014</v>
      </c>
      <c t="s">
        <v>48794</v>
      </c>
      <c t="s">
        <v>60159</v>
      </c>
      <c>
        <v>8103</v>
      </c>
      <c r="AI4536" t="s">
        <v>55273</v>
      </c>
      <c t="s">
        <v>24900</v>
      </c>
      <c r="AL4536" t="s">
        <v>8109</v>
      </c>
      <c t="s">
        <v>13397</v>
      </c>
      <c t="s">
        <v>50917</v>
      </c>
      <c t="s">
        <v>49948</v>
      </c>
      <c t="s">
        <v>45980</v>
      </c>
      <c t="s">
        <v>3093</v>
      </c>
      <c t="s">
        <v>46058</v>
      </c>
    </row>
    <row>
      <c t="s">
        <v>17594</v>
      </c>
      <c t="s">
        <v>25250</v>
      </c>
      <c t="s">
        <v>66936</v>
      </c>
      <c t="s">
        <v>2557</v>
      </c>
      <c t="s">
        <v>9745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537" s="1" t="str">
        <f ca="1">HYPERLINK("https://web.datatree.com/?/property?propertyId=33765144", "https://web.datatree.com/?/property?propertyId=33765144")</f>
        <v>https://web.datatree.com/?/property?propertyId=33765144</v>
      </c>
      <c r="Q4537" t="s">
        <v>316</v>
      </c>
      <c>
        <v>0.23</v>
      </c>
      <c t="s">
        <v>6175</v>
      </c>
      <c t="s">
        <v>7097</v>
      </c>
      <c t="s">
        <v>17007</v>
      </c>
      <c t="s">
        <v>43240</v>
      </c>
      <c t="s">
        <v>17007</v>
      </c>
      <c t="s">
        <v>26905</v>
      </c>
      <c t="s">
        <v>23517</v>
      </c>
      <c t="s">
        <v>2517</v>
      </c>
      <c t="s">
        <v>39289</v>
      </c>
      <c>
        <v>33909</v>
      </c>
      <c t="s">
        <v>44339</v>
      </c>
      <c t="s">
        <v>48794</v>
      </c>
      <c t="s">
        <v>9364</v>
      </c>
      <c>
        <v>11105</v>
      </c>
      <c r="AH4537" t="s">
        <v>63047</v>
      </c>
      <c t="s">
        <v>47716</v>
      </c>
      <c t="s">
        <v>31192</v>
      </c>
      <c r="AL4537" t="s">
        <v>34557</v>
      </c>
      <c t="s">
        <v>34557</v>
      </c>
      <c t="s">
        <v>65451</v>
      </c>
      <c t="s">
        <v>17939</v>
      </c>
      <c t="s">
        <v>14845</v>
      </c>
      <c t="s">
        <v>3093</v>
      </c>
      <c t="s">
        <v>61635</v>
      </c>
    </row>
    <row>
      <c t="s">
        <v>17594</v>
      </c>
      <c t="s">
        <v>3390</v>
      </c>
      <c t="s">
        <v>21993</v>
      </c>
      <c t="s">
        <v>2862</v>
      </c>
      <c t="s">
        <v>4524</v>
      </c>
      <c s="3">
        <v>36210</v>
      </c>
      <c s="3">
        <v>36210</v>
      </c>
      <c s="3">
        <v>36210</v>
      </c>
      <c>
        <v>0</v>
      </c>
      <c s="3">
        <v>0</v>
      </c>
      <c s="3">
        <v>976.14</v>
      </c>
      <c s="3">
        <v>36210</v>
      </c>
      <c r="O4538" s="1" t="str">
        <f ca="1">HYPERLINK("https://web.datatree.com/?/property?propertyId=33765591", "https://web.datatree.com/?/property?propertyId=33765591")</f>
        <v>https://web.datatree.com/?/property?propertyId=33765591</v>
      </c>
      <c r="Q4538" t="s">
        <v>316</v>
      </c>
      <c>
        <v>0.275</v>
      </c>
      <c t="s">
        <v>42044</v>
      </c>
      <c t="s">
        <v>47498</v>
      </c>
      <c t="s">
        <v>17790</v>
      </c>
      <c r="X4538" t="s">
        <v>3483</v>
      </c>
      <c t="s">
        <v>8669</v>
      </c>
      <c t="s">
        <v>2517</v>
      </c>
      <c t="s">
        <v>39289</v>
      </c>
      <c>
        <v>33909</v>
      </c>
      <c t="s">
        <v>5156</v>
      </c>
      <c t="s">
        <v>48794</v>
      </c>
      <c t="s">
        <v>3464</v>
      </c>
      <c>
        <v>9001</v>
      </c>
      <c r="AH4538" t="s">
        <v>26580</v>
      </c>
      <c t="s">
        <v>41</v>
      </c>
      <c t="s">
        <v>1671</v>
      </c>
      <c r="AL4538" t="s">
        <v>18092</v>
      </c>
      <c t="s">
        <v>18092</v>
      </c>
      <c t="s">
        <v>39289</v>
      </c>
      <c t="s">
        <v>38229</v>
      </c>
      <c t="s">
        <v>11138</v>
      </c>
      <c t="s">
        <v>3093</v>
      </c>
      <c t="s">
        <v>18529</v>
      </c>
    </row>
    <row>
      <c t="s">
        <v>17594</v>
      </c>
      <c t="s">
        <v>49966</v>
      </c>
      <c t="s">
        <v>65070</v>
      </c>
      <c t="s">
        <v>56157</v>
      </c>
      <c t="s">
        <v>28127</v>
      </c>
      <c s="3">
        <v>26250</v>
      </c>
      <c s="3">
        <v>26250</v>
      </c>
      <c s="3">
        <v>18975</v>
      </c>
      <c>
        <v>0</v>
      </c>
      <c s="3">
        <v>0</v>
      </c>
      <c s="3">
        <v>469.74</v>
      </c>
      <c s="3">
        <v>26250</v>
      </c>
      <c r="O4539" s="1" t="str">
        <f ca="1">HYPERLINK("https://web.datatree.com/?/property?propertyId=33766876", "https://web.datatree.com/?/property?propertyId=33766876")</f>
        <v>https://web.datatree.com/?/property?propertyId=33766876</v>
      </c>
      <c r="Q4539" t="s">
        <v>316</v>
      </c>
      <c>
        <v>0.249</v>
      </c>
      <c t="s">
        <v>5471</v>
      </c>
      <c t="s">
        <v>27437</v>
      </c>
      <c t="s">
        <v>45770</v>
      </c>
      <c r="X4539" t="s">
        <v>20265</v>
      </c>
      <c t="s">
        <v>35140</v>
      </c>
      <c t="s">
        <v>65059</v>
      </c>
      <c t="s">
        <v>39289</v>
      </c>
      <c>
        <v>33905</v>
      </c>
      <c t="s">
        <v>19331</v>
      </c>
      <c t="s">
        <v>48794</v>
      </c>
      <c t="s">
        <v>3127</v>
      </c>
      <c>
        <v>6312</v>
      </c>
      <c r="AI4539" t="s">
        <v>63436</v>
      </c>
      <c t="s">
        <v>52137</v>
      </c>
      <c>
        <v>223</v>
      </c>
      <c t="s">
        <v>33855</v>
      </c>
      <c t="s">
        <v>63436</v>
      </c>
      <c t="s">
        <v>51087</v>
      </c>
      <c t="s">
        <v>59454</v>
      </c>
      <c t="s">
        <v>66620</v>
      </c>
      <c t="s">
        <v>3093</v>
      </c>
      <c t="s">
        <v>32057</v>
      </c>
    </row>
    <row>
      <c t="s">
        <v>17594</v>
      </c>
      <c t="s">
        <v>60649</v>
      </c>
      <c t="s">
        <v>7993</v>
      </c>
      <c t="s">
        <v>53907</v>
      </c>
      <c t="s">
        <v>28593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540" s="1" t="str">
        <f ca="1">HYPERLINK("https://web.datatree.com/?/property?propertyId=33767236", "https://web.datatree.com/?/property?propertyId=33767236")</f>
        <v>https://web.datatree.com/?/property?propertyId=33767236</v>
      </c>
      <c r="Q4540" t="s">
        <v>316</v>
      </c>
      <c>
        <v>0.23</v>
      </c>
      <c t="s">
        <v>6175</v>
      </c>
      <c t="s">
        <v>34468</v>
      </c>
      <c t="s">
        <v>30870</v>
      </c>
      <c t="s">
        <v>34468</v>
      </c>
      <c t="s">
        <v>30870</v>
      </c>
      <c t="s">
        <v>18198</v>
      </c>
      <c t="s">
        <v>25017</v>
      </c>
      <c t="s">
        <v>2517</v>
      </c>
      <c t="s">
        <v>39289</v>
      </c>
      <c>
        <v>33909</v>
      </c>
      <c t="s">
        <v>4057</v>
      </c>
      <c t="s">
        <v>48794</v>
      </c>
      <c t="s">
        <v>45833</v>
      </c>
      <c>
        <v>14939</v>
      </c>
      <c r="AI4540" t="s">
        <v>39051</v>
      </c>
      <c t="s">
        <v>45393</v>
      </c>
      <c r="AL4540" t="s">
        <v>39897</v>
      </c>
      <c r="AN4540" t="s">
        <v>50917</v>
      </c>
      <c t="s">
        <v>15197</v>
      </c>
      <c t="s">
        <v>27720</v>
      </c>
      <c t="s">
        <v>3093</v>
      </c>
      <c t="s">
        <v>63397</v>
      </c>
    </row>
    <row>
      <c t="s">
        <v>17594</v>
      </c>
      <c t="s">
        <v>1747</v>
      </c>
      <c t="s">
        <v>55142</v>
      </c>
      <c t="s">
        <v>58898</v>
      </c>
      <c t="s">
        <v>36577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4541" s="1" t="str">
        <f ca="1">HYPERLINK("https://web.datatree.com/?/property?propertyId=33767764", "https://web.datatree.com/?/property?propertyId=33767764")</f>
        <v>https://web.datatree.com/?/property?propertyId=33767764</v>
      </c>
      <c r="Q4541" t="s">
        <v>316</v>
      </c>
      <c>
        <v>0.23</v>
      </c>
      <c t="s">
        <v>22490</v>
      </c>
      <c t="s">
        <v>33922</v>
      </c>
      <c t="s">
        <v>40817</v>
      </c>
      <c r="X4541" t="s">
        <v>46747</v>
      </c>
      <c t="s">
        <v>38550</v>
      </c>
      <c t="s">
        <v>2517</v>
      </c>
      <c t="s">
        <v>39289</v>
      </c>
      <c>
        <v>33909</v>
      </c>
      <c t="s">
        <v>32369</v>
      </c>
      <c t="s">
        <v>48794</v>
      </c>
      <c t="s">
        <v>66891</v>
      </c>
      <c>
        <v>8423</v>
      </c>
      <c r="AI4541" t="s">
        <v>3901</v>
      </c>
      <c t="s">
        <v>45393</v>
      </c>
      <c r="AL4541" t="s">
        <v>4554</v>
      </c>
      <c r="AN4541" t="s">
        <v>50917</v>
      </c>
      <c t="s">
        <v>28098</v>
      </c>
      <c t="s">
        <v>4797</v>
      </c>
      <c t="s">
        <v>3093</v>
      </c>
      <c t="s">
        <v>40555</v>
      </c>
    </row>
    <row>
      <c t="s">
        <v>17594</v>
      </c>
      <c s="2" t="s">
        <v>19309</v>
      </c>
      <c t="s">
        <v>20256</v>
      </c>
      <c t="s">
        <v>5869</v>
      </c>
      <c t="s">
        <v>54993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4542" s="1" t="str">
        <f ca="1">HYPERLINK("https://web.datatree.com/?/property?propertyId=33767770", "https://web.datatree.com/?/property?propertyId=33767770")</f>
        <v>https://web.datatree.com/?/property?propertyId=33767770</v>
      </c>
      <c r="Q4542" t="s">
        <v>316</v>
      </c>
      <c>
        <v>0.226</v>
      </c>
      <c t="s">
        <v>5471</v>
      </c>
      <c t="s">
        <v>19112</v>
      </c>
      <c t="s">
        <v>33837</v>
      </c>
      <c t="s">
        <v>50865</v>
      </c>
      <c t="s">
        <v>33837</v>
      </c>
      <c t="s">
        <v>20023</v>
      </c>
      <c t="s">
        <v>3722</v>
      </c>
      <c t="s">
        <v>65059</v>
      </c>
      <c t="s">
        <v>39289</v>
      </c>
      <c>
        <v>33905</v>
      </c>
      <c t="s">
        <v>3137</v>
      </c>
      <c t="s">
        <v>48794</v>
      </c>
      <c s="2" t="s">
        <v>24939</v>
      </c>
      <c>
        <v>7978</v>
      </c>
      <c r="AI4542" t="s">
        <v>40186</v>
      </c>
      <c t="s">
        <v>24900</v>
      </c>
      <c r="AL4542" t="s">
        <v>46703</v>
      </c>
      <c t="s">
        <v>46703</v>
      </c>
      <c t="s">
        <v>39289</v>
      </c>
      <c t="s">
        <v>50323</v>
      </c>
      <c t="s">
        <v>56641</v>
      </c>
      <c t="s">
        <v>3093</v>
      </c>
      <c t="s">
        <v>9800</v>
      </c>
    </row>
    <row>
      <c t="s">
        <v>17594</v>
      </c>
      <c t="s">
        <v>58427</v>
      </c>
      <c t="s">
        <v>66448</v>
      </c>
      <c t="s">
        <v>15195</v>
      </c>
      <c t="s">
        <v>30056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4543" s="1" t="str">
        <f ca="1">HYPERLINK("https://web.datatree.com/?/property?propertyId=33767915", "https://web.datatree.com/?/property?propertyId=33767915")</f>
        <v>https://web.datatree.com/?/property?propertyId=33767915</v>
      </c>
      <c r="Q4543" t="s">
        <v>316</v>
      </c>
      <c>
        <v>0.23</v>
      </c>
      <c t="s">
        <v>6175</v>
      </c>
      <c t="s">
        <v>62125</v>
      </c>
      <c t="s">
        <v>58826</v>
      </c>
      <c r="X4543" t="s">
        <v>57954</v>
      </c>
      <c t="s">
        <v>14917</v>
      </c>
      <c t="s">
        <v>2517</v>
      </c>
      <c t="s">
        <v>39289</v>
      </c>
      <c>
        <v>33909</v>
      </c>
      <c t="s">
        <v>3053</v>
      </c>
      <c t="s">
        <v>48794</v>
      </c>
      <c t="s">
        <v>55704</v>
      </c>
      <c>
        <v>9</v>
      </c>
      <c r="AI4543" t="s">
        <v>4141</v>
      </c>
      <c t="s">
        <v>31192</v>
      </c>
      <c r="AL4543" t="s">
        <v>63445</v>
      </c>
      <c r="AN4543" t="s">
        <v>14509</v>
      </c>
      <c t="s">
        <v>20074</v>
      </c>
      <c t="s">
        <v>56186</v>
      </c>
      <c t="s">
        <v>3093</v>
      </c>
      <c t="s">
        <v>43688</v>
      </c>
    </row>
    <row>
      <c t="s">
        <v>17594</v>
      </c>
      <c t="s">
        <v>53389</v>
      </c>
      <c t="s">
        <v>9355</v>
      </c>
      <c t="s">
        <v>38061</v>
      </c>
      <c t="s">
        <v>11932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4544" s="1" t="str">
        <f ca="1">HYPERLINK("https://web.datatree.com/?/property?propertyId=33768250", "https://web.datatree.com/?/property?propertyId=33768250")</f>
        <v>https://web.datatree.com/?/property?propertyId=33768250</v>
      </c>
      <c r="Q4544" t="s">
        <v>316</v>
      </c>
      <c>
        <v>0.23</v>
      </c>
      <c t="s">
        <v>22490</v>
      </c>
      <c r="U4544" t="s">
        <v>12688</v>
      </c>
      <c t="s">
        <v>41303</v>
      </c>
      <c t="s">
        <v>57184</v>
      </c>
      <c t="s">
        <v>29564</v>
      </c>
      <c t="s">
        <v>66701</v>
      </c>
      <c t="s">
        <v>2517</v>
      </c>
      <c t="s">
        <v>39289</v>
      </c>
      <c>
        <v>33909</v>
      </c>
      <c t="s">
        <v>56034</v>
      </c>
      <c t="s">
        <v>48794</v>
      </c>
      <c t="s">
        <v>25441</v>
      </c>
      <c>
        <v>1207</v>
      </c>
      <c r="AI4544" t="s">
        <v>37814</v>
      </c>
      <c t="s">
        <v>45620</v>
      </c>
      <c r="AL4544" t="s">
        <v>28867</v>
      </c>
      <c t="s">
        <v>47683</v>
      </c>
      <c t="s">
        <v>51087</v>
      </c>
      <c t="s">
        <v>5163</v>
      </c>
      <c t="s">
        <v>34171</v>
      </c>
      <c t="s">
        <v>3093</v>
      </c>
      <c t="s">
        <v>55607</v>
      </c>
    </row>
    <row>
      <c t="s">
        <v>17594</v>
      </c>
      <c t="s">
        <v>64387</v>
      </c>
      <c t="s">
        <v>32975</v>
      </c>
      <c t="s">
        <v>34516</v>
      </c>
      <c t="s">
        <v>55571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4545" s="1" t="str">
        <f ca="1">HYPERLINK("https://web.datatree.com/?/property?propertyId=33768801", "https://web.datatree.com/?/property?propertyId=33768801")</f>
        <v>https://web.datatree.com/?/property?propertyId=33768801</v>
      </c>
      <c r="Q4545" t="s">
        <v>316</v>
      </c>
      <c>
        <v>0.256</v>
      </c>
      <c t="s">
        <v>6175</v>
      </c>
      <c t="s">
        <v>40597</v>
      </c>
      <c t="s">
        <v>53138</v>
      </c>
      <c t="s">
        <v>4868</v>
      </c>
      <c t="s">
        <v>53138</v>
      </c>
      <c t="s">
        <v>15546</v>
      </c>
      <c t="s">
        <v>2626</v>
      </c>
      <c t="s">
        <v>2517</v>
      </c>
      <c t="s">
        <v>39289</v>
      </c>
      <c>
        <v>33909</v>
      </c>
      <c t="s">
        <v>10563</v>
      </c>
      <c t="s">
        <v>48794</v>
      </c>
      <c t="s">
        <v>16496</v>
      </c>
      <c>
        <v>3636</v>
      </c>
      <c r="AI4545" t="s">
        <v>66</v>
      </c>
      <c t="s">
        <v>45620</v>
      </c>
      <c r="AL4545" t="s">
        <v>29912</v>
      </c>
      <c r="AN4545" t="s">
        <v>17134</v>
      </c>
      <c t="s">
        <v>50134</v>
      </c>
      <c t="s">
        <v>62983</v>
      </c>
      <c t="s">
        <v>3093</v>
      </c>
      <c t="s">
        <v>38162</v>
      </c>
    </row>
    <row>
      <c t="s">
        <v>17594</v>
      </c>
      <c t="s">
        <v>23655</v>
      </c>
      <c t="s">
        <v>28477</v>
      </c>
      <c t="s">
        <v>834</v>
      </c>
      <c t="s">
        <v>27548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4546" s="1" t="str">
        <f ca="1">HYPERLINK("https://web.datatree.com/?/property?propertyId=33768948", "https://web.datatree.com/?/property?propertyId=33768948")</f>
        <v>https://web.datatree.com/?/property?propertyId=33768948</v>
      </c>
      <c r="Q4546" t="s">
        <v>316</v>
      </c>
      <c>
        <v>0.23</v>
      </c>
      <c t="s">
        <v>6175</v>
      </c>
      <c t="s">
        <v>13273</v>
      </c>
      <c t="s">
        <v>65015</v>
      </c>
      <c r="X4546" t="s">
        <v>54783</v>
      </c>
      <c t="s">
        <v>60363</v>
      </c>
      <c t="s">
        <v>2517</v>
      </c>
      <c t="s">
        <v>39289</v>
      </c>
      <c>
        <v>33909</v>
      </c>
      <c t="s">
        <v>45376</v>
      </c>
      <c t="s">
        <v>48794</v>
      </c>
      <c t="s">
        <v>57353</v>
      </c>
      <c>
        <v>7665</v>
      </c>
      <c r="AI4546" t="s">
        <v>60471</v>
      </c>
      <c t="s">
        <v>40123</v>
      </c>
      <c r="AL4546" t="s">
        <v>55393</v>
      </c>
      <c r="AN4546" t="s">
        <v>39289</v>
      </c>
      <c t="s">
        <v>52604</v>
      </c>
      <c t="s">
        <v>27553</v>
      </c>
      <c t="s">
        <v>3093</v>
      </c>
      <c t="s">
        <v>17274</v>
      </c>
    </row>
    <row>
      <c t="s">
        <v>17594</v>
      </c>
      <c t="s">
        <v>43345</v>
      </c>
      <c t="s">
        <v>28314</v>
      </c>
      <c t="s">
        <v>18115</v>
      </c>
      <c t="s">
        <v>41007</v>
      </c>
      <c s="3">
        <v>7600</v>
      </c>
      <c s="3">
        <v>7600</v>
      </c>
      <c s="3">
        <v>7600</v>
      </c>
      <c>
        <v>0</v>
      </c>
      <c s="3">
        <v>0</v>
      </c>
      <c s="3">
        <v>573.63</v>
      </c>
      <c s="3">
        <v>7600</v>
      </c>
      <c r="O4547" s="1" t="str">
        <f ca="1">HYPERLINK("https://web.datatree.com/?/property?propertyId=33769097", "https://web.datatree.com/?/property?propertyId=33769097")</f>
        <v>https://web.datatree.com/?/property?propertyId=33769097</v>
      </c>
      <c r="Q4547" t="s">
        <v>316</v>
      </c>
      <c>
        <v>0.255</v>
      </c>
      <c t="s">
        <v>6175</v>
      </c>
      <c t="s">
        <v>46006</v>
      </c>
      <c t="s">
        <v>40252</v>
      </c>
      <c t="s">
        <v>8444</v>
      </c>
      <c t="s">
        <v>35237</v>
      </c>
      <c t="s">
        <v>63402</v>
      </c>
      <c t="s">
        <v>15510</v>
      </c>
      <c t="s">
        <v>2517</v>
      </c>
      <c t="s">
        <v>39289</v>
      </c>
      <c>
        <v>33909</v>
      </c>
      <c t="s">
        <v>24440</v>
      </c>
      <c t="s">
        <v>48794</v>
      </c>
      <c t="s">
        <v>27580</v>
      </c>
      <c>
        <v>23604</v>
      </c>
      <c r="AH4547" t="s">
        <v>57851</v>
      </c>
      <c t="s">
        <v>17972</v>
      </c>
      <c t="s">
        <v>24900</v>
      </c>
      <c r="AL4547" t="s">
        <v>34725</v>
      </c>
      <c r="AN4547" t="s">
        <v>4477</v>
      </c>
      <c t="s">
        <v>42491</v>
      </c>
      <c t="s">
        <v>33029</v>
      </c>
      <c t="s">
        <v>3093</v>
      </c>
      <c t="s">
        <v>9559</v>
      </c>
    </row>
    <row>
      <c t="s">
        <v>17594</v>
      </c>
      <c t="s">
        <v>40511</v>
      </c>
      <c t="s">
        <v>64029</v>
      </c>
      <c t="s">
        <v>60297</v>
      </c>
      <c t="s">
        <v>47530</v>
      </c>
      <c s="3">
        <v>23778</v>
      </c>
      <c s="3">
        <v>23778</v>
      </c>
      <c s="3">
        <v>8800</v>
      </c>
      <c>
        <v>0</v>
      </c>
      <c s="3">
        <v>0</v>
      </c>
      <c s="3">
        <v>609.97</v>
      </c>
      <c s="3">
        <v>23778</v>
      </c>
      <c r="O4548" s="1" t="str">
        <f ca="1">HYPERLINK("https://web.datatree.com/?/property?propertyId=33769199", "https://web.datatree.com/?/property?propertyId=33769199")</f>
        <v>https://web.datatree.com/?/property?propertyId=33769199</v>
      </c>
      <c r="Q4548" t="s">
        <v>316</v>
      </c>
      <c>
        <v>0.261</v>
      </c>
      <c t="s">
        <v>22490</v>
      </c>
      <c t="s">
        <v>58276</v>
      </c>
      <c t="s">
        <v>65369</v>
      </c>
      <c r="X4548" t="s">
        <v>4833</v>
      </c>
      <c t="s">
        <v>14534</v>
      </c>
      <c t="s">
        <v>2517</v>
      </c>
      <c t="s">
        <v>39289</v>
      </c>
      <c>
        <v>33909</v>
      </c>
      <c t="s">
        <v>39947</v>
      </c>
      <c t="s">
        <v>48794</v>
      </c>
      <c t="s">
        <v>17482</v>
      </c>
      <c>
        <v>147</v>
      </c>
      <c r="AI4548" t="s">
        <v>40977</v>
      </c>
      <c t="s">
        <v>24900</v>
      </c>
      <c r="AL4548" t="s">
        <v>452</v>
      </c>
      <c r="AN4548" t="s">
        <v>26016</v>
      </c>
      <c t="s">
        <v>13283</v>
      </c>
      <c t="s">
        <v>25140</v>
      </c>
      <c t="s">
        <v>3093</v>
      </c>
      <c t="s">
        <v>65012</v>
      </c>
    </row>
    <row>
      <c t="s">
        <v>17594</v>
      </c>
      <c t="s">
        <v>59653</v>
      </c>
      <c t="s">
        <v>53235</v>
      </c>
      <c t="s">
        <v>58423</v>
      </c>
      <c t="s">
        <v>56978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4549" s="1" t="str">
        <f ca="1">HYPERLINK("https://web.datatree.com/?/property?propertyId=33769575", "https://web.datatree.com/?/property?propertyId=33769575")</f>
        <v>https://web.datatree.com/?/property?propertyId=33769575</v>
      </c>
      <c r="Q4549" t="s">
        <v>316</v>
      </c>
      <c>
        <v>0.23</v>
      </c>
      <c t="s">
        <v>22490</v>
      </c>
      <c t="s">
        <v>8762</v>
      </c>
      <c t="s">
        <v>48784</v>
      </c>
      <c r="X4549" t="s">
        <v>35201</v>
      </c>
      <c t="s">
        <v>66701</v>
      </c>
      <c t="s">
        <v>2517</v>
      </c>
      <c t="s">
        <v>39289</v>
      </c>
      <c>
        <v>33909</v>
      </c>
      <c t="s">
        <v>59199</v>
      </c>
      <c t="s">
        <v>48794</v>
      </c>
      <c t="s">
        <v>32075</v>
      </c>
      <c>
        <v>4600</v>
      </c>
      <c r="AI4549" t="s">
        <v>66919</v>
      </c>
      <c t="s">
        <v>45620</v>
      </c>
      <c r="AL4549" t="s">
        <v>59282</v>
      </c>
      <c r="AN4549" t="s">
        <v>50917</v>
      </c>
      <c t="s">
        <v>34380</v>
      </c>
      <c t="s">
        <v>14695</v>
      </c>
      <c t="s">
        <v>3093</v>
      </c>
      <c t="s">
        <v>67128</v>
      </c>
    </row>
    <row>
      <c t="s">
        <v>17594</v>
      </c>
      <c t="s">
        <v>1227</v>
      </c>
      <c t="s">
        <v>36160</v>
      </c>
      <c t="s">
        <v>52218</v>
      </c>
      <c t="s">
        <v>36112</v>
      </c>
      <c s="3">
        <v>88188</v>
      </c>
      <c s="3">
        <v>88188</v>
      </c>
      <c s="3">
        <v>80839</v>
      </c>
      <c>
        <v>0</v>
      </c>
      <c s="3">
        <v>0</v>
      </c>
      <c s="3">
        <v>1251.14</v>
      </c>
      <c s="3">
        <v>88188</v>
      </c>
      <c r="O4550" s="1" t="str">
        <f ca="1">HYPERLINK("https://web.datatree.com/?/property?propertyId=33771648", "https://web.datatree.com/?/property?propertyId=33771648")</f>
        <v>https://web.datatree.com/?/property?propertyId=33771648</v>
      </c>
      <c r="Q4550" t="s">
        <v>316</v>
      </c>
      <c>
        <v>0.553</v>
      </c>
      <c t="s">
        <v>30497</v>
      </c>
      <c t="s">
        <v>54374</v>
      </c>
      <c t="s">
        <v>23756</v>
      </c>
      <c r="X4550" t="s">
        <v>108</v>
      </c>
      <c t="s">
        <v>65944</v>
      </c>
      <c t="s">
        <v>65059</v>
      </c>
      <c t="s">
        <v>39289</v>
      </c>
      <c>
        <v>33905</v>
      </c>
      <c>
        <v>33905</v>
      </c>
      <c t="s">
        <v>48794</v>
      </c>
      <c t="s">
        <v>30406</v>
      </c>
      <c>
        <v>202</v>
      </c>
      <c r="AI4550" t="s">
        <v>41113</v>
      </c>
      <c t="s">
        <v>24900</v>
      </c>
      <c r="AL4550" t="s">
        <v>59143</v>
      </c>
      <c t="s">
        <v>40227</v>
      </c>
      <c t="s">
        <v>65467</v>
      </c>
      <c t="s">
        <v>18261</v>
      </c>
      <c t="s">
        <v>43294</v>
      </c>
      <c t="s">
        <v>3093</v>
      </c>
      <c t="s">
        <v>49149</v>
      </c>
    </row>
    <row>
      <c t="s">
        <v>17594</v>
      </c>
      <c t="s">
        <v>16984</v>
      </c>
      <c t="s">
        <v>64636</v>
      </c>
      <c t="s">
        <v>30111</v>
      </c>
      <c t="s">
        <v>4983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4551" s="1" t="str">
        <f ca="1">HYPERLINK("https://web.datatree.com/?/property?propertyId=33771698", "https://web.datatree.com/?/property?propertyId=33771698")</f>
        <v>https://web.datatree.com/?/property?propertyId=33771698</v>
      </c>
      <c r="Q4551" t="s">
        <v>316</v>
      </c>
      <c>
        <v>0.23</v>
      </c>
      <c t="s">
        <v>22490</v>
      </c>
      <c t="s">
        <v>44541</v>
      </c>
      <c t="s">
        <v>41760</v>
      </c>
      <c t="s">
        <v>23659</v>
      </c>
      <c t="s">
        <v>41760</v>
      </c>
      <c t="s">
        <v>30288</v>
      </c>
      <c t="s">
        <v>57064</v>
      </c>
      <c t="s">
        <v>2517</v>
      </c>
      <c t="s">
        <v>39289</v>
      </c>
      <c>
        <v>33909</v>
      </c>
      <c t="s">
        <v>54528</v>
      </c>
      <c t="s">
        <v>48794</v>
      </c>
      <c t="s">
        <v>49424</v>
      </c>
      <c>
        <v>631</v>
      </c>
      <c r="AI4551" t="s">
        <v>30930</v>
      </c>
      <c t="s">
        <v>31192</v>
      </c>
      <c r="AL4551" t="s">
        <v>30742</v>
      </c>
      <c r="AN4551" t="s">
        <v>26016</v>
      </c>
      <c t="s">
        <v>61180</v>
      </c>
      <c t="s">
        <v>23744</v>
      </c>
      <c t="s">
        <v>3093</v>
      </c>
      <c t="s">
        <v>64950</v>
      </c>
    </row>
    <row>
      <c t="s">
        <v>17594</v>
      </c>
      <c t="s">
        <v>62615</v>
      </c>
      <c t="s">
        <v>42632</v>
      </c>
      <c t="s">
        <v>14434</v>
      </c>
      <c t="s">
        <v>46471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552" s="1" t="str">
        <f ca="1">HYPERLINK("https://web.datatree.com/?/property?propertyId=33772864", "https://web.datatree.com/?/property?propertyId=33772864")</f>
        <v>https://web.datatree.com/?/property?propertyId=33772864</v>
      </c>
      <c r="Q4552" t="s">
        <v>316</v>
      </c>
      <c>
        <v>0.23</v>
      </c>
      <c t="s">
        <v>6175</v>
      </c>
      <c t="s">
        <v>24179</v>
      </c>
      <c t="s">
        <v>37991</v>
      </c>
      <c t="s">
        <v>5831</v>
      </c>
      <c t="s">
        <v>43112</v>
      </c>
      <c t="s">
        <v>4708</v>
      </c>
      <c t="s">
        <v>66701</v>
      </c>
      <c t="s">
        <v>2517</v>
      </c>
      <c t="s">
        <v>39289</v>
      </c>
      <c>
        <v>33909</v>
      </c>
      <c t="s">
        <v>57281</v>
      </c>
      <c t="s">
        <v>48794</v>
      </c>
      <c t="s">
        <v>58227</v>
      </c>
      <c>
        <v>1472</v>
      </c>
      <c r="AI4552" t="s">
        <v>60552</v>
      </c>
      <c t="s">
        <v>4985</v>
      </c>
      <c r="AL4552" t="s">
        <v>26641</v>
      </c>
      <c r="AN4552" t="s">
        <v>39289</v>
      </c>
      <c t="s">
        <v>47326</v>
      </c>
      <c t="s">
        <v>17380</v>
      </c>
      <c t="s">
        <v>3093</v>
      </c>
      <c t="s">
        <v>31005</v>
      </c>
    </row>
    <row>
      <c t="s">
        <v>17594</v>
      </c>
      <c t="s">
        <v>56541</v>
      </c>
      <c t="s">
        <v>28358</v>
      </c>
      <c t="s">
        <v>30979</v>
      </c>
      <c t="s">
        <v>48258</v>
      </c>
      <c s="3">
        <v>17602</v>
      </c>
      <c s="3">
        <v>17602</v>
      </c>
      <c s="3">
        <v>9075</v>
      </c>
      <c>
        <v>0</v>
      </c>
      <c s="3">
        <v>0</v>
      </c>
      <c s="3">
        <v>575.48</v>
      </c>
      <c s="3">
        <v>17602</v>
      </c>
      <c r="O4553" s="1" t="str">
        <f ca="1">HYPERLINK("https://web.datatree.com/?/property?propertyId=33773621", "https://web.datatree.com/?/property?propertyId=33773621")</f>
        <v>https://web.datatree.com/?/property?propertyId=33773621</v>
      </c>
      <c r="Q4553" t="s">
        <v>316</v>
      </c>
      <c>
        <v>0.255</v>
      </c>
      <c t="s">
        <v>6175</v>
      </c>
      <c t="s">
        <v>3617</v>
      </c>
      <c t="s">
        <v>51741</v>
      </c>
      <c r="X4553" t="s">
        <v>12552</v>
      </c>
      <c t="s">
        <v>13478</v>
      </c>
      <c t="s">
        <v>2517</v>
      </c>
      <c t="s">
        <v>39289</v>
      </c>
      <c>
        <v>33909</v>
      </c>
      <c t="s">
        <v>45441</v>
      </c>
      <c t="s">
        <v>48794</v>
      </c>
      <c t="s">
        <v>28483</v>
      </c>
      <c>
        <v>18</v>
      </c>
      <c r="AI4553" t="s">
        <v>33496</v>
      </c>
      <c t="s">
        <v>31192</v>
      </c>
      <c r="AL4553" t="s">
        <v>36794</v>
      </c>
      <c r="AN4553" t="s">
        <v>26016</v>
      </c>
      <c t="s">
        <v>57710</v>
      </c>
      <c t="s">
        <v>34162</v>
      </c>
      <c t="s">
        <v>3093</v>
      </c>
      <c t="s">
        <v>18661</v>
      </c>
    </row>
    <row>
      <c t="s">
        <v>17594</v>
      </c>
      <c t="s">
        <v>65786</v>
      </c>
      <c t="s">
        <v>63063</v>
      </c>
      <c t="s">
        <v>41598</v>
      </c>
      <c t="s">
        <v>28272</v>
      </c>
      <c s="3">
        <v>12544</v>
      </c>
      <c s="3">
        <v>12544</v>
      </c>
      <c s="3">
        <v>12544</v>
      </c>
      <c>
        <v>0</v>
      </c>
      <c s="3">
        <v>0</v>
      </c>
      <c s="3">
        <v>363.89</v>
      </c>
      <c s="3">
        <v>12544</v>
      </c>
      <c r="O4554" s="1" t="str">
        <f ca="1">HYPERLINK("https://web.datatree.com/?/property?propertyId=33773663", "https://web.datatree.com/?/property?propertyId=33773663")</f>
        <v>https://web.datatree.com/?/property?propertyId=33773663</v>
      </c>
      <c r="Q4554" t="s">
        <v>316</v>
      </c>
      <c>
        <v>0.226</v>
      </c>
      <c t="s">
        <v>5471</v>
      </c>
      <c t="s">
        <v>42442</v>
      </c>
      <c t="s">
        <v>20692</v>
      </c>
      <c t="s">
        <v>64108</v>
      </c>
      <c t="s">
        <v>20692</v>
      </c>
      <c t="s">
        <v>22870</v>
      </c>
      <c t="s">
        <v>13500</v>
      </c>
      <c t="s">
        <v>65059</v>
      </c>
      <c t="s">
        <v>39289</v>
      </c>
      <c>
        <v>33905</v>
      </c>
      <c t="s">
        <v>31286</v>
      </c>
      <c t="s">
        <v>48794</v>
      </c>
      <c t="s">
        <v>37618</v>
      </c>
      <c>
        <v>5069</v>
      </c>
      <c r="AI4554" t="s">
        <v>8737</v>
      </c>
      <c t="s">
        <v>24900</v>
      </c>
      <c r="AL4554" t="s">
        <v>21676</v>
      </c>
      <c t="s">
        <v>21676</v>
      </c>
      <c t="s">
        <v>39289</v>
      </c>
      <c t="s">
        <v>26613</v>
      </c>
      <c t="s">
        <v>35679</v>
      </c>
      <c t="s">
        <v>3093</v>
      </c>
      <c t="s">
        <v>64392</v>
      </c>
    </row>
    <row>
      <c t="s">
        <v>17594</v>
      </c>
      <c t="s">
        <v>8010</v>
      </c>
      <c t="s">
        <v>63600</v>
      </c>
      <c t="s">
        <v>10567</v>
      </c>
      <c t="s">
        <v>47722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555" s="1" t="str">
        <f ca="1">HYPERLINK("https://web.datatree.com/?/property?propertyId=33775016", "https://web.datatree.com/?/property?propertyId=33775016")</f>
        <v>https://web.datatree.com/?/property?propertyId=33775016</v>
      </c>
      <c r="Q4555" t="s">
        <v>316</v>
      </c>
      <c>
        <v>0.23</v>
      </c>
      <c t="s">
        <v>6175</v>
      </c>
      <c t="s">
        <v>48615</v>
      </c>
      <c t="s">
        <v>19781</v>
      </c>
      <c t="s">
        <v>5578</v>
      </c>
      <c t="s">
        <v>36651</v>
      </c>
      <c t="s">
        <v>66281</v>
      </c>
      <c t="s">
        <v>23517</v>
      </c>
      <c t="s">
        <v>2517</v>
      </c>
      <c t="s">
        <v>39289</v>
      </c>
      <c>
        <v>33909</v>
      </c>
      <c t="s">
        <v>63841</v>
      </c>
      <c t="s">
        <v>48794</v>
      </c>
      <c t="s">
        <v>63090</v>
      </c>
      <c>
        <v>335</v>
      </c>
      <c r="AI4555" t="s">
        <v>4336</v>
      </c>
      <c t="s">
        <v>45620</v>
      </c>
      <c r="AL4555" t="s">
        <v>63876</v>
      </c>
      <c r="AN4555" t="s">
        <v>21017</v>
      </c>
      <c t="s">
        <v>17544</v>
      </c>
      <c t="s">
        <v>30106</v>
      </c>
      <c t="s">
        <v>3093</v>
      </c>
      <c t="s">
        <v>41047</v>
      </c>
    </row>
    <row>
      <c t="s">
        <v>17594</v>
      </c>
      <c t="s">
        <v>51989</v>
      </c>
      <c t="s">
        <v>40946</v>
      </c>
      <c t="s">
        <v>1788</v>
      </c>
      <c t="s">
        <v>44341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556" s="1" t="str">
        <f ca="1">HYPERLINK("https://web.datatree.com/?/property?propertyId=33775699", "https://web.datatree.com/?/property?propertyId=33775699")</f>
        <v>https://web.datatree.com/?/property?propertyId=33775699</v>
      </c>
      <c r="Q4556" t="s">
        <v>316</v>
      </c>
      <c>
        <v>0.242</v>
      </c>
      <c t="s">
        <v>6175</v>
      </c>
      <c t="s">
        <v>64413</v>
      </c>
      <c t="s">
        <v>20513</v>
      </c>
      <c t="s">
        <v>44541</v>
      </c>
      <c t="s">
        <v>27727</v>
      </c>
      <c t="s">
        <v>13105</v>
      </c>
      <c t="s">
        <v>23517</v>
      </c>
      <c t="s">
        <v>2517</v>
      </c>
      <c t="s">
        <v>39289</v>
      </c>
      <c>
        <v>33909</v>
      </c>
      <c t="s">
        <v>44326</v>
      </c>
      <c t="s">
        <v>48794</v>
      </c>
      <c t="s">
        <v>22175</v>
      </c>
      <c>
        <v>10129</v>
      </c>
      <c r="AI4556" t="s">
        <v>27366</v>
      </c>
      <c t="s">
        <v>55842</v>
      </c>
      <c r="AL4556" t="s">
        <v>23695</v>
      </c>
      <c r="AN4556" t="s">
        <v>39289</v>
      </c>
      <c t="s">
        <v>7348</v>
      </c>
      <c t="s">
        <v>51100</v>
      </c>
      <c t="s">
        <v>3093</v>
      </c>
      <c t="s">
        <v>23939</v>
      </c>
    </row>
    <row>
      <c t="s">
        <v>17594</v>
      </c>
      <c t="s">
        <v>13618</v>
      </c>
      <c t="s">
        <v>53977</v>
      </c>
      <c t="s">
        <v>44402</v>
      </c>
      <c t="s">
        <v>15508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>
        <v>2021</v>
      </c>
      <c>
        <v>591.97</v>
      </c>
      <c s="1" t="str">
        <f ca="1">HYPERLINK("https://web.datatree.com/?/property?propertyId=33776806", "https://web.datatree.com/?/property?propertyId=33776806")</f>
        <v>https://web.datatree.com/?/property?propertyId=33776806</v>
      </c>
      <c r="Q4557" t="s">
        <v>316</v>
      </c>
      <c>
        <v>0.23</v>
      </c>
      <c t="s">
        <v>22490</v>
      </c>
      <c t="s">
        <v>33832</v>
      </c>
      <c t="s">
        <v>19274</v>
      </c>
      <c r="X4557" t="s">
        <v>62381</v>
      </c>
      <c t="s">
        <v>25017</v>
      </c>
      <c t="s">
        <v>2517</v>
      </c>
      <c t="s">
        <v>39289</v>
      </c>
      <c>
        <v>33909</v>
      </c>
      <c t="s">
        <v>33712</v>
      </c>
      <c t="s">
        <v>48794</v>
      </c>
      <c t="s">
        <v>39223</v>
      </c>
      <c>
        <v>1480</v>
      </c>
      <c r="AI4557" t="s">
        <v>26978</v>
      </c>
      <c t="s">
        <v>24900</v>
      </c>
      <c r="AL4557" t="s">
        <v>36441</v>
      </c>
      <c r="AN4557" t="s">
        <v>65451</v>
      </c>
      <c t="s">
        <v>52577</v>
      </c>
      <c t="s">
        <v>26242</v>
      </c>
      <c t="s">
        <v>3093</v>
      </c>
      <c t="s">
        <v>64948</v>
      </c>
    </row>
    <row>
      <c t="s">
        <v>17594</v>
      </c>
      <c t="s">
        <v>43641</v>
      </c>
      <c t="s">
        <v>13543</v>
      </c>
      <c t="s">
        <v>43509</v>
      </c>
      <c t="s">
        <v>11756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558" s="1" t="str">
        <f ca="1">HYPERLINK("https://web.datatree.com/?/property?propertyId=33777247", "https://web.datatree.com/?/property?propertyId=33777247")</f>
        <v>https://web.datatree.com/?/property?propertyId=33777247</v>
      </c>
      <c r="Q4558" t="s">
        <v>316</v>
      </c>
      <c>
        <v>0.23</v>
      </c>
      <c t="s">
        <v>6175</v>
      </c>
      <c t="s">
        <v>50331</v>
      </c>
      <c t="s">
        <v>11693</v>
      </c>
      <c t="s">
        <v>6753</v>
      </c>
      <c t="s">
        <v>11693</v>
      </c>
      <c t="s">
        <v>26473</v>
      </c>
      <c t="s">
        <v>13829</v>
      </c>
      <c t="s">
        <v>2517</v>
      </c>
      <c t="s">
        <v>39289</v>
      </c>
      <c>
        <v>33909</v>
      </c>
      <c t="s">
        <v>61859</v>
      </c>
      <c t="s">
        <v>48794</v>
      </c>
      <c t="s">
        <v>42978</v>
      </c>
      <c>
        <v>3000</v>
      </c>
      <c r="AI4558" t="s">
        <v>61850</v>
      </c>
      <c t="s">
        <v>24900</v>
      </c>
      <c t="s">
        <v>29694</v>
      </c>
      <c t="s">
        <v>15417</v>
      </c>
      <c r="AN4558" t="s">
        <v>39289</v>
      </c>
      <c t="s">
        <v>27087</v>
      </c>
      <c t="s">
        <v>34162</v>
      </c>
      <c t="s">
        <v>3093</v>
      </c>
      <c t="s">
        <v>62475</v>
      </c>
    </row>
    <row>
      <c t="s">
        <v>17594</v>
      </c>
      <c t="s">
        <v>63048</v>
      </c>
      <c t="s">
        <v>62101</v>
      </c>
      <c t="s">
        <v>66641</v>
      </c>
      <c t="s">
        <v>25147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4559" s="1" t="str">
        <f ca="1">HYPERLINK("https://web.datatree.com/?/property?propertyId=33777390", "https://web.datatree.com/?/property?propertyId=33777390")</f>
        <v>https://web.datatree.com/?/property?propertyId=33777390</v>
      </c>
      <c r="Q4559" t="s">
        <v>316</v>
      </c>
      <c>
        <v>0.23</v>
      </c>
      <c t="s">
        <v>22490</v>
      </c>
      <c t="s">
        <v>38139</v>
      </c>
      <c t="s">
        <v>5094</v>
      </c>
      <c r="X4559" t="s">
        <v>48407</v>
      </c>
      <c t="s">
        <v>24999</v>
      </c>
      <c t="s">
        <v>2517</v>
      </c>
      <c t="s">
        <v>39289</v>
      </c>
      <c>
        <v>33909</v>
      </c>
      <c t="s">
        <v>19283</v>
      </c>
      <c t="s">
        <v>48794</v>
      </c>
      <c t="s">
        <v>52194</v>
      </c>
      <c r="AI4559" t="s">
        <v>33754</v>
      </c>
      <c r="AK4559">
        <v>17</v>
      </c>
      <c t="s">
        <v>24694</v>
      </c>
      <c r="AN4559" t="s">
        <v>63985</v>
      </c>
      <c>
        <v>61389</v>
      </c>
      <c r="AR4559" t="s">
        <v>12133</v>
      </c>
    </row>
    <row>
      <c t="s">
        <v>17594</v>
      </c>
      <c t="s">
        <v>39407</v>
      </c>
      <c t="s">
        <v>6149</v>
      </c>
      <c t="s">
        <v>39869</v>
      </c>
      <c t="s">
        <v>37566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>
        <v>2020</v>
      </c>
      <c>
        <v>1113.08</v>
      </c>
      <c s="1" t="str">
        <f ca="1">HYPERLINK("https://web.datatree.com/?/property?propertyId=33777741", "https://web.datatree.com/?/property?propertyId=33777741")</f>
        <v>https://web.datatree.com/?/property?propertyId=33777741</v>
      </c>
      <c r="Q4560" t="s">
        <v>316</v>
      </c>
      <c>
        <v>0.23</v>
      </c>
      <c t="s">
        <v>22490</v>
      </c>
      <c t="s">
        <v>36108</v>
      </c>
      <c t="s">
        <v>44893</v>
      </c>
      <c r="X4560" t="s">
        <v>15641</v>
      </c>
      <c t="s">
        <v>34136</v>
      </c>
      <c t="s">
        <v>2517</v>
      </c>
      <c t="s">
        <v>39289</v>
      </c>
      <c>
        <v>33909</v>
      </c>
      <c t="s">
        <v>65013</v>
      </c>
      <c t="s">
        <v>48794</v>
      </c>
      <c t="s">
        <v>37933</v>
      </c>
      <c>
        <v>3016</v>
      </c>
      <c r="AH4560" t="s">
        <v>15376</v>
      </c>
      <c t="s">
        <v>22781</v>
      </c>
      <c t="s">
        <v>31192</v>
      </c>
      <c r="AL4560" t="s">
        <v>21636</v>
      </c>
      <c t="s">
        <v>21636</v>
      </c>
      <c t="s">
        <v>26443</v>
      </c>
      <c t="s">
        <v>27116</v>
      </c>
      <c t="s">
        <v>32895</v>
      </c>
      <c t="s">
        <v>3093</v>
      </c>
      <c t="s">
        <v>64658</v>
      </c>
    </row>
    <row>
      <c t="s">
        <v>17594</v>
      </c>
      <c t="s">
        <v>31949</v>
      </c>
      <c t="s">
        <v>15689</v>
      </c>
      <c t="s">
        <v>66721</v>
      </c>
      <c t="s">
        <v>14501</v>
      </c>
      <c s="3">
        <v>23006</v>
      </c>
      <c s="3">
        <v>23006</v>
      </c>
      <c s="3">
        <v>9570</v>
      </c>
      <c>
        <v>0</v>
      </c>
      <c s="3">
        <v>0</v>
      </c>
      <c s="3">
        <v>603.98</v>
      </c>
      <c s="3">
        <v>23006</v>
      </c>
      <c r="O4561" s="1" t="str">
        <f ca="1">HYPERLINK("https://web.datatree.com/?/property?propertyId=33777760", "https://web.datatree.com/?/property?propertyId=33777760")</f>
        <v>https://web.datatree.com/?/property?propertyId=33777760</v>
      </c>
      <c r="Q4561" t="s">
        <v>316</v>
      </c>
      <c>
        <v>0.233</v>
      </c>
      <c t="s">
        <v>22490</v>
      </c>
      <c t="s">
        <v>1599</v>
      </c>
      <c t="s">
        <v>53505</v>
      </c>
      <c r="X4561" t="s">
        <v>11072</v>
      </c>
      <c t="s">
        <v>49674</v>
      </c>
      <c t="s">
        <v>2517</v>
      </c>
      <c t="s">
        <v>39289</v>
      </c>
      <c>
        <v>33909</v>
      </c>
      <c t="s">
        <v>48438</v>
      </c>
      <c t="s">
        <v>48794</v>
      </c>
      <c t="s">
        <v>10136</v>
      </c>
      <c>
        <v>30</v>
      </c>
      <c r="AI4561" t="s">
        <v>35754</v>
      </c>
      <c t="s">
        <v>41372</v>
      </c>
      <c r="AL4561" t="s">
        <v>51170</v>
      </c>
      <c r="AN4561" t="s">
        <v>26016</v>
      </c>
      <c t="s">
        <v>48768</v>
      </c>
      <c t="s">
        <v>36638</v>
      </c>
      <c t="s">
        <v>3093</v>
      </c>
      <c t="s">
        <v>67206</v>
      </c>
    </row>
    <row>
      <c t="s">
        <v>17594</v>
      </c>
      <c t="s">
        <v>61726</v>
      </c>
      <c t="s">
        <v>11210</v>
      </c>
      <c t="s">
        <v>41210</v>
      </c>
      <c t="s">
        <v>10862</v>
      </c>
      <c s="3">
        <v>24937</v>
      </c>
      <c s="3">
        <v>24937</v>
      </c>
      <c s="3">
        <v>9079</v>
      </c>
      <c>
        <v>0</v>
      </c>
      <c s="3">
        <v>0</v>
      </c>
      <c s="3">
        <v>2968.56</v>
      </c>
      <c s="3">
        <v>24937</v>
      </c>
      <c>
        <v>2018</v>
      </c>
      <c>
        <v>30856.78</v>
      </c>
      <c s="1" t="str">
        <f ca="1">HYPERLINK("https://web.datatree.com/?/property?propertyId=33778044", "https://web.datatree.com/?/property?propertyId=33778044")</f>
        <v>https://web.datatree.com/?/property?propertyId=33778044</v>
      </c>
      <c r="Q4562" t="s">
        <v>316</v>
      </c>
      <c>
        <v>0.244</v>
      </c>
      <c t="s">
        <v>6175</v>
      </c>
      <c t="s">
        <v>11223</v>
      </c>
      <c t="s">
        <v>8173</v>
      </c>
      <c r="W4562" t="s">
        <v>42144</v>
      </c>
      <c t="s">
        <v>3252</v>
      </c>
      <c t="s">
        <v>61865</v>
      </c>
      <c t="s">
        <v>2517</v>
      </c>
      <c t="s">
        <v>39289</v>
      </c>
      <c>
        <v>33909</v>
      </c>
      <c t="s">
        <v>41725</v>
      </c>
      <c t="s">
        <v>48794</v>
      </c>
      <c t="s">
        <v>1161</v>
      </c>
      <c>
        <v>11790</v>
      </c>
      <c r="AI4562" t="s">
        <v>21396</v>
      </c>
      <c t="s">
        <v>45620</v>
      </c>
      <c r="AL4562" t="s">
        <v>40376</v>
      </c>
      <c r="AN4562" t="s">
        <v>56163</v>
      </c>
      <c t="s">
        <v>65359</v>
      </c>
      <c t="s">
        <v>61719</v>
      </c>
      <c t="s">
        <v>3093</v>
      </c>
      <c t="s">
        <v>51612</v>
      </c>
    </row>
    <row>
      <c t="s">
        <v>17594</v>
      </c>
      <c t="s">
        <v>23547</v>
      </c>
      <c t="s">
        <v>30998</v>
      </c>
      <c t="s">
        <v>37338</v>
      </c>
      <c t="s">
        <v>32863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4563" s="1" t="str">
        <f ca="1">HYPERLINK("https://web.datatree.com/?/property?propertyId=33778568", "https://web.datatree.com/?/property?propertyId=33778568")</f>
        <v>https://web.datatree.com/?/property?propertyId=33778568</v>
      </c>
      <c r="Q4563" t="s">
        <v>316</v>
      </c>
      <c>
        <v>0.257</v>
      </c>
      <c t="s">
        <v>5471</v>
      </c>
      <c t="s">
        <v>10361</v>
      </c>
      <c t="s">
        <v>36452</v>
      </c>
      <c t="s">
        <v>26163</v>
      </c>
      <c t="s">
        <v>36452</v>
      </c>
      <c t="s">
        <v>3751</v>
      </c>
      <c t="s">
        <v>26386</v>
      </c>
      <c t="s">
        <v>65059</v>
      </c>
      <c t="s">
        <v>39289</v>
      </c>
      <c>
        <v>33905</v>
      </c>
      <c t="s">
        <v>36103</v>
      </c>
      <c t="s">
        <v>48794</v>
      </c>
      <c t="s">
        <v>38562</v>
      </c>
      <c>
        <v>892</v>
      </c>
      <c r="AI4563" t="s">
        <v>10129</v>
      </c>
      <c t="s">
        <v>45393</v>
      </c>
      <c r="AL4563" t="s">
        <v>66627</v>
      </c>
      <c r="AN4563" t="s">
        <v>51137</v>
      </c>
      <c t="s">
        <v>54696</v>
      </c>
      <c t="s">
        <v>49977</v>
      </c>
      <c t="s">
        <v>3093</v>
      </c>
      <c t="s">
        <v>64604</v>
      </c>
    </row>
    <row>
      <c t="s">
        <v>17594</v>
      </c>
      <c t="s">
        <v>59237</v>
      </c>
      <c t="s">
        <v>14064</v>
      </c>
      <c t="s">
        <v>39800</v>
      </c>
      <c t="s">
        <v>9073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564" s="1" t="str">
        <f ca="1">HYPERLINK("https://web.datatree.com/?/property?propertyId=33779666", "https://web.datatree.com/?/property?propertyId=33779666")</f>
        <v>https://web.datatree.com/?/property?propertyId=33779666</v>
      </c>
      <c r="Q4564" t="s">
        <v>316</v>
      </c>
      <c>
        <v>0.23</v>
      </c>
      <c t="s">
        <v>6175</v>
      </c>
      <c t="s">
        <v>56092</v>
      </c>
      <c t="s">
        <v>59926</v>
      </c>
      <c r="W4564" t="s">
        <v>2105</v>
      </c>
      <c t="s">
        <v>15868</v>
      </c>
      <c t="s">
        <v>15510</v>
      </c>
      <c t="s">
        <v>2517</v>
      </c>
      <c t="s">
        <v>39289</v>
      </c>
      <c>
        <v>33909</v>
      </c>
      <c t="s">
        <v>53221</v>
      </c>
      <c t="s">
        <v>48794</v>
      </c>
      <c t="s">
        <v>37264</v>
      </c>
      <c>
        <v>1105</v>
      </c>
      <c r="AH4564" t="s">
        <v>26580</v>
      </c>
      <c t="s">
        <v>56489</v>
      </c>
      <c r="AK4564" t="s">
        <v>25384</v>
      </c>
      <c t="s">
        <v>17648</v>
      </c>
      <c r="AN4564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10154</v>
      </c>
      <c t="s">
        <v>4583</v>
      </c>
      <c t="s">
        <v>39140</v>
      </c>
      <c t="s">
        <v>21836</v>
      </c>
      <c s="3">
        <v>140977</v>
      </c>
      <c s="3">
        <v>140977</v>
      </c>
      <c s="3">
        <v>113740</v>
      </c>
      <c>
        <v>0</v>
      </c>
      <c s="3">
        <v>0</v>
      </c>
      <c s="3">
        <v>2204.41</v>
      </c>
      <c s="3">
        <v>140977</v>
      </c>
      <c r="O4565" s="1" t="str">
        <f ca="1">HYPERLINK("https://web.datatree.com/?/property?propertyId=33779816", "https://web.datatree.com/?/property?propertyId=33779816")</f>
        <v>https://web.datatree.com/?/property?propertyId=33779816</v>
      </c>
      <c r="Q4565" t="s">
        <v>316</v>
      </c>
      <c>
        <v>0.266</v>
      </c>
      <c t="s">
        <v>22490</v>
      </c>
      <c t="s">
        <v>14827</v>
      </c>
      <c t="s">
        <v>20497</v>
      </c>
      <c t="s">
        <v>3701</v>
      </c>
      <c t="s">
        <v>20497</v>
      </c>
      <c t="s">
        <v>2846</v>
      </c>
      <c t="s">
        <v>24999</v>
      </c>
      <c t="s">
        <v>2517</v>
      </c>
      <c t="s">
        <v>39289</v>
      </c>
      <c>
        <v>33904</v>
      </c>
      <c t="s">
        <v>7052</v>
      </c>
      <c t="s">
        <v>48794</v>
      </c>
      <c t="s">
        <v>59771</v>
      </c>
      <c>
        <v>1511</v>
      </c>
      <c r="AI4565" t="s">
        <v>39531</v>
      </c>
      <c t="s">
        <v>45393</v>
      </c>
      <c r="AL4565" t="s">
        <v>8304</v>
      </c>
      <c t="s">
        <v>8304</v>
      </c>
      <c t="s">
        <v>49572</v>
      </c>
      <c t="s">
        <v>56625</v>
      </c>
      <c t="s">
        <v>62830</v>
      </c>
      <c t="s">
        <v>3093</v>
      </c>
      <c t="s">
        <v>9516</v>
      </c>
    </row>
    <row>
      <c t="s">
        <v>17594</v>
      </c>
      <c t="s">
        <v>40539</v>
      </c>
      <c t="s">
        <v>48408</v>
      </c>
      <c t="s">
        <v>58477</v>
      </c>
      <c t="s">
        <v>4701</v>
      </c>
      <c s="3">
        <v>70849</v>
      </c>
      <c s="3">
        <v>63500</v>
      </c>
      <c s="3">
        <v>67753</v>
      </c>
      <c>
        <v>0</v>
      </c>
      <c s="3">
        <v>0</v>
      </c>
      <c s="3">
        <v>1036.47</v>
      </c>
      <c s="3">
        <v>70849</v>
      </c>
      <c r="O4566" s="1" t="str">
        <f ca="1">HYPERLINK("https://web.datatree.com/?/property?propertyId=33780097", "https://web.datatree.com/?/property?propertyId=33780097")</f>
        <v>https://web.datatree.com/?/property?propertyId=33780097</v>
      </c>
      <c r="Q4566" t="s">
        <v>316</v>
      </c>
      <c>
        <v>0.098</v>
      </c>
      <c t="s">
        <v>26492</v>
      </c>
      <c t="s">
        <v>15812</v>
      </c>
      <c t="s">
        <v>41141</v>
      </c>
      <c t="s">
        <v>26502</v>
      </c>
      <c t="s">
        <v>41141</v>
      </c>
      <c t="s">
        <v>48729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33787</v>
      </c>
      <c>
        <v>3936</v>
      </c>
      <c r="AI4566" t="s">
        <v>55865</v>
      </c>
      <c t="s">
        <v>31192</v>
      </c>
      <c r="AL4566" t="s">
        <v>35792</v>
      </c>
      <c t="s">
        <v>40227</v>
      </c>
      <c t="s">
        <v>58733</v>
      </c>
      <c t="s">
        <v>29143</v>
      </c>
      <c t="s">
        <v>44428</v>
      </c>
      <c t="s">
        <v>3093</v>
      </c>
      <c t="s">
        <v>39218</v>
      </c>
    </row>
    <row>
      <c t="s">
        <v>17594</v>
      </c>
      <c t="s">
        <v>24797</v>
      </c>
      <c t="s">
        <v>39828</v>
      </c>
      <c t="s">
        <v>41363</v>
      </c>
      <c t="s">
        <v>12243</v>
      </c>
      <c s="3">
        <v>46512</v>
      </c>
      <c s="3">
        <v>46512</v>
      </c>
      <c s="3">
        <v>22824</v>
      </c>
      <c>
        <v>0</v>
      </c>
      <c s="3">
        <v>0</v>
      </c>
      <c s="3">
        <v>905.19</v>
      </c>
      <c s="3">
        <v>46512</v>
      </c>
      <c r="O4567" s="1" t="str">
        <f ca="1">HYPERLINK("https://web.datatree.com/?/property?propertyId=33780102", "https://web.datatree.com/?/property?propertyId=33780102")</f>
        <v>https://web.datatree.com/?/property?propertyId=33780102</v>
      </c>
      <c r="Q4567" t="s">
        <v>316</v>
      </c>
      <c>
        <v>0.23</v>
      </c>
      <c t="s">
        <v>43534</v>
      </c>
      <c t="s">
        <v>1859</v>
      </c>
      <c t="s">
        <v>54206</v>
      </c>
      <c t="s">
        <v>12203</v>
      </c>
      <c t="s">
        <v>54206</v>
      </c>
      <c t="s">
        <v>39018</v>
      </c>
      <c t="s">
        <v>21849</v>
      </c>
      <c t="s">
        <v>2517</v>
      </c>
      <c t="s">
        <v>39289</v>
      </c>
      <c>
        <v>33904</v>
      </c>
      <c t="s">
        <v>17157</v>
      </c>
      <c t="s">
        <v>48794</v>
      </c>
      <c t="s">
        <v>8050</v>
      </c>
      <c>
        <v>14572</v>
      </c>
      <c r="AI4567" t="s">
        <v>62156</v>
      </c>
      <c t="s">
        <v>1671</v>
      </c>
      <c r="AL4567" t="s">
        <v>31196</v>
      </c>
      <c r="AN4567" t="s">
        <v>65451</v>
      </c>
      <c t="s">
        <v>26347</v>
      </c>
      <c t="s">
        <v>5800</v>
      </c>
      <c t="s">
        <v>3093</v>
      </c>
      <c t="s">
        <v>13344</v>
      </c>
    </row>
    <row>
      <c t="s">
        <v>17594</v>
      </c>
      <c t="s">
        <v>20143</v>
      </c>
      <c t="s">
        <v>6304</v>
      </c>
      <c t="s">
        <v>47501</v>
      </c>
      <c t="s">
        <v>59395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568" s="1" t="str">
        <f ca="1">HYPERLINK("https://web.datatree.com/?/property?propertyId=33782459", "https://web.datatree.com/?/property?propertyId=33782459")</f>
        <v>https://web.datatree.com/?/property?propertyId=33782459</v>
      </c>
      <c r="Q4568" t="s">
        <v>316</v>
      </c>
      <c>
        <v>0.23</v>
      </c>
      <c t="s">
        <v>22490</v>
      </c>
      <c t="s">
        <v>10361</v>
      </c>
      <c t="s">
        <v>25120</v>
      </c>
      <c t="s">
        <v>15017</v>
      </c>
      <c t="s">
        <v>25120</v>
      </c>
      <c t="s">
        <v>62393</v>
      </c>
      <c t="s">
        <v>52171</v>
      </c>
      <c t="s">
        <v>2517</v>
      </c>
      <c t="s">
        <v>39289</v>
      </c>
      <c>
        <v>33909</v>
      </c>
      <c t="s">
        <v>24609</v>
      </c>
      <c t="s">
        <v>48794</v>
      </c>
      <c t="s">
        <v>36327</v>
      </c>
      <c>
        <v>60</v>
      </c>
      <c r="AI4568" t="s">
        <v>14526</v>
      </c>
      <c r="AL4568" t="s">
        <v>13713</v>
      </c>
      <c r="AN4568" t="s">
        <v>32840</v>
      </c>
      <c r="AR4568" t="s">
        <v>653</v>
      </c>
    </row>
    <row>
      <c t="s">
        <v>17594</v>
      </c>
      <c t="s">
        <v>53547</v>
      </c>
      <c t="s">
        <v>10102</v>
      </c>
      <c t="s">
        <v>1642</v>
      </c>
      <c t="s">
        <v>25872</v>
      </c>
      <c s="3">
        <v>7700</v>
      </c>
      <c s="3">
        <v>7700</v>
      </c>
      <c s="3">
        <v>7700</v>
      </c>
      <c>
        <v>0</v>
      </c>
      <c s="3">
        <v>0</v>
      </c>
      <c s="3">
        <v>640.64</v>
      </c>
      <c s="3">
        <v>7700</v>
      </c>
      <c r="O4569" s="1" t="str">
        <f ca="1">HYPERLINK("https://web.datatree.com/?/property?propertyId=33784101", "https://web.datatree.com/?/property?propertyId=33784101")</f>
        <v>https://web.datatree.com/?/property?propertyId=33784101</v>
      </c>
      <c r="Q4569" t="s">
        <v>316</v>
      </c>
      <c>
        <v>0.241</v>
      </c>
      <c t="s">
        <v>6175</v>
      </c>
      <c t="s">
        <v>56969</v>
      </c>
      <c t="s">
        <v>13824</v>
      </c>
      <c r="X4569" t="s">
        <v>27169</v>
      </c>
      <c t="s">
        <v>5115</v>
      </c>
      <c t="s">
        <v>2517</v>
      </c>
      <c t="s">
        <v>39289</v>
      </c>
      <c>
        <v>33909</v>
      </c>
      <c t="s">
        <v>49754</v>
      </c>
      <c t="s">
        <v>48794</v>
      </c>
      <c t="s">
        <v>46356</v>
      </c>
      <c t="str">
        <f>"89-21"</f>
        <v>89-21</v>
      </c>
      <c r="AI4569" t="s">
        <v>17060</v>
      </c>
      <c t="s">
        <v>24900</v>
      </c>
      <c>
        <v>425</v>
      </c>
      <c t="s">
        <v>23788</v>
      </c>
      <c t="s">
        <v>13397</v>
      </c>
      <c t="s">
        <v>50917</v>
      </c>
      <c>
        <v>11373</v>
      </c>
      <c r="AQ4569" t="s">
        <v>3093</v>
      </c>
      <c t="s">
        <v>62354</v>
      </c>
    </row>
    <row>
      <c t="s">
        <v>17594</v>
      </c>
      <c t="s">
        <v>9833</v>
      </c>
      <c t="s">
        <v>51336</v>
      </c>
      <c t="s">
        <v>48827</v>
      </c>
      <c t="s">
        <v>62834</v>
      </c>
      <c s="3">
        <v>25672</v>
      </c>
      <c s="3">
        <v>25672</v>
      </c>
      <c s="3">
        <v>11550</v>
      </c>
      <c>
        <v>0</v>
      </c>
      <c s="3">
        <v>0</v>
      </c>
      <c s="3">
        <v>660.98</v>
      </c>
      <c s="3">
        <v>25672</v>
      </c>
      <c r="O4570" s="1" t="str">
        <f ca="1">HYPERLINK("https://web.datatree.com/?/property?propertyId=33784346", "https://web.datatree.com/?/property?propertyId=33784346")</f>
        <v>https://web.datatree.com/?/property?propertyId=33784346</v>
      </c>
      <c r="Q4570" t="s">
        <v>316</v>
      </c>
      <c>
        <v>0.269</v>
      </c>
      <c t="s">
        <v>22490</v>
      </c>
      <c t="s">
        <v>33283</v>
      </c>
      <c t="s">
        <v>19760</v>
      </c>
      <c t="s">
        <v>22771</v>
      </c>
      <c t="s">
        <v>19760</v>
      </c>
      <c t="s">
        <v>66185</v>
      </c>
      <c t="s">
        <v>29190</v>
      </c>
      <c t="s">
        <v>2517</v>
      </c>
      <c t="s">
        <v>39289</v>
      </c>
      <c>
        <v>33909</v>
      </c>
      <c t="s">
        <v>48542</v>
      </c>
      <c t="s">
        <v>48794</v>
      </c>
      <c t="s">
        <v>66277</v>
      </c>
      <c>
        <v>6542</v>
      </c>
      <c r="AI4570" t="s">
        <v>35647</v>
      </c>
      <c t="s">
        <v>45620</v>
      </c>
      <c r="AL4570" t="s">
        <v>8290</v>
      </c>
      <c r="AN4570" t="s">
        <v>51087</v>
      </c>
      <c t="s">
        <v>27407</v>
      </c>
      <c t="s">
        <v>27410</v>
      </c>
      <c t="s">
        <v>3093</v>
      </c>
      <c t="s">
        <v>59065</v>
      </c>
    </row>
    <row>
      <c t="s">
        <v>17594</v>
      </c>
      <c t="s">
        <v>53590</v>
      </c>
      <c t="s">
        <v>40313</v>
      </c>
      <c t="s">
        <v>9855</v>
      </c>
      <c t="s">
        <v>61470</v>
      </c>
      <c s="3">
        <v>131946</v>
      </c>
      <c s="3">
        <v>131946</v>
      </c>
      <c s="3">
        <v>68382</v>
      </c>
      <c>
        <v>0</v>
      </c>
      <c s="3">
        <v>0</v>
      </c>
      <c s="3">
        <v>1858.46</v>
      </c>
      <c s="3">
        <v>131946</v>
      </c>
      <c r="O4571" s="1" t="str">
        <f ca="1">HYPERLINK("https://web.datatree.com/?/property?propertyId=33784662", "https://web.datatree.com/?/property?propertyId=33784662")</f>
        <v>https://web.datatree.com/?/property?propertyId=33784662</v>
      </c>
      <c r="Q4571" t="s">
        <v>316</v>
      </c>
      <c>
        <v>0.248</v>
      </c>
      <c t="s">
        <v>22490</v>
      </c>
      <c t="s">
        <v>9598</v>
      </c>
      <c t="s">
        <v>31686</v>
      </c>
      <c t="s">
        <v>19357</v>
      </c>
      <c t="s">
        <v>31686</v>
      </c>
      <c t="s">
        <v>27428</v>
      </c>
      <c t="s">
        <v>33335</v>
      </c>
      <c t="s">
        <v>2517</v>
      </c>
      <c t="s">
        <v>39289</v>
      </c>
      <c>
        <v>33904</v>
      </c>
      <c t="s">
        <v>16213</v>
      </c>
      <c t="s">
        <v>48794</v>
      </c>
      <c t="s">
        <v>22710</v>
      </c>
      <c>
        <v>4</v>
      </c>
      <c r="AI4571" t="s">
        <v>39290</v>
      </c>
      <c t="s">
        <v>45620</v>
      </c>
      <c r="AL4571" t="s">
        <v>51793</v>
      </c>
      <c r="AN4571" t="s">
        <v>26016</v>
      </c>
      <c t="s">
        <v>3541</v>
      </c>
      <c t="s">
        <v>52247</v>
      </c>
      <c t="s">
        <v>3093</v>
      </c>
      <c t="s">
        <v>14967</v>
      </c>
    </row>
    <row>
      <c t="s">
        <v>17594</v>
      </c>
      <c t="s">
        <v>36116</v>
      </c>
      <c t="s">
        <v>7617</v>
      </c>
      <c t="s">
        <v>11422</v>
      </c>
      <c t="s">
        <v>36466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4572" s="1" t="str">
        <f ca="1">HYPERLINK("https://web.datatree.com/?/property?propertyId=33785166", "https://web.datatree.com/?/property?propertyId=33785166")</f>
        <v>https://web.datatree.com/?/property?propertyId=33785166</v>
      </c>
      <c r="Q4572" t="s">
        <v>316</v>
      </c>
      <c>
        <v>0.23</v>
      </c>
      <c t="s">
        <v>22490</v>
      </c>
      <c t="s">
        <v>8031</v>
      </c>
      <c t="s">
        <v>38572</v>
      </c>
      <c r="X4572" t="s">
        <v>56240</v>
      </c>
      <c t="s">
        <v>29190</v>
      </c>
      <c t="s">
        <v>2517</v>
      </c>
      <c t="s">
        <v>39289</v>
      </c>
      <c>
        <v>33909</v>
      </c>
      <c t="s">
        <v>48037</v>
      </c>
      <c t="s">
        <v>48794</v>
      </c>
      <c t="s">
        <v>53901</v>
      </c>
      <c>
        <v>3525</v>
      </c>
      <c r="AI4572" t="s">
        <v>1233</v>
      </c>
      <c t="s">
        <v>45393</v>
      </c>
      <c t="s">
        <v>18890</v>
      </c>
      <c t="s">
        <v>45059</v>
      </c>
      <c t="s">
        <v>13397</v>
      </c>
      <c t="s">
        <v>50917</v>
      </c>
      <c t="s">
        <v>39931</v>
      </c>
      <c t="s">
        <v>61410</v>
      </c>
      <c t="s">
        <v>3093</v>
      </c>
      <c t="s">
        <v>54085</v>
      </c>
    </row>
    <row>
      <c t="s">
        <v>17594</v>
      </c>
      <c t="s">
        <v>24880</v>
      </c>
      <c t="s">
        <v>62647</v>
      </c>
      <c t="s">
        <v>11591</v>
      </c>
      <c t="s">
        <v>60270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4573" s="1" t="str">
        <f ca="1">HYPERLINK("https://web.datatree.com/?/property?propertyId=33785631", "https://web.datatree.com/?/property?propertyId=33785631")</f>
        <v>https://web.datatree.com/?/property?propertyId=33785631</v>
      </c>
      <c r="Q4573" t="s">
        <v>316</v>
      </c>
      <c>
        <v>0.229</v>
      </c>
      <c t="s">
        <v>22490</v>
      </c>
      <c t="s">
        <v>38139</v>
      </c>
      <c t="s">
        <v>66505</v>
      </c>
      <c r="X4573" t="s">
        <v>38650</v>
      </c>
      <c t="s">
        <v>10653</v>
      </c>
      <c t="s">
        <v>2517</v>
      </c>
      <c t="s">
        <v>39289</v>
      </c>
      <c>
        <v>33909</v>
      </c>
      <c t="s">
        <v>41444</v>
      </c>
      <c t="s">
        <v>48794</v>
      </c>
      <c t="s">
        <v>48197</v>
      </c>
      <c>
        <v>4</v>
      </c>
      <c r="AI4573" t="s">
        <v>48327</v>
      </c>
      <c r="AL4573" t="s">
        <v>15051</v>
      </c>
      <c t="s">
        <v>15051</v>
      </c>
      <c t="s">
        <v>17331</v>
      </c>
      <c>
        <v>35112</v>
      </c>
      <c r="AR4573" t="s">
        <v>60380</v>
      </c>
    </row>
    <row>
      <c t="s">
        <v>17594</v>
      </c>
      <c t="s">
        <v>32720</v>
      </c>
      <c t="s">
        <v>59899</v>
      </c>
      <c t="s">
        <v>62757</v>
      </c>
      <c t="s">
        <v>45729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4574" s="1" t="str">
        <f ca="1">HYPERLINK("https://web.datatree.com/?/property?propertyId=33786416", "https://web.datatree.com/?/property?propertyId=33786416")</f>
        <v>https://web.datatree.com/?/property?propertyId=33786416</v>
      </c>
      <c r="Q4574" t="s">
        <v>316</v>
      </c>
      <c>
        <v>0.23</v>
      </c>
      <c t="s">
        <v>22490</v>
      </c>
      <c t="s">
        <v>3293</v>
      </c>
      <c t="s">
        <v>12829</v>
      </c>
      <c r="X4574" t="s">
        <v>31017</v>
      </c>
      <c t="s">
        <v>2626</v>
      </c>
      <c t="s">
        <v>2517</v>
      </c>
      <c t="s">
        <v>39289</v>
      </c>
      <c>
        <v>33909</v>
      </c>
      <c t="s">
        <v>13021</v>
      </c>
      <c t="s">
        <v>48794</v>
      </c>
      <c t="s">
        <v>17979</v>
      </c>
      <c>
        <v>2556</v>
      </c>
      <c r="AI4574" t="s">
        <v>26112</v>
      </c>
      <c t="s">
        <v>45393</v>
      </c>
      <c r="AL4574" t="s">
        <v>63688</v>
      </c>
      <c r="AN4574" t="s">
        <v>50917</v>
      </c>
      <c t="s">
        <v>21336</v>
      </c>
      <c t="s">
        <v>40645</v>
      </c>
      <c t="s">
        <v>3093</v>
      </c>
      <c t="s">
        <v>22735</v>
      </c>
    </row>
    <row>
      <c t="s">
        <v>17594</v>
      </c>
      <c t="s">
        <v>57802</v>
      </c>
      <c t="s">
        <v>13420</v>
      </c>
      <c t="s">
        <v>9244</v>
      </c>
      <c t="s">
        <v>3655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575" s="1" t="str">
        <f ca="1">HYPERLINK("https://web.datatree.com/?/property?propertyId=33786654", "https://web.datatree.com/?/property?propertyId=33786654")</f>
        <v>https://web.datatree.com/?/property?propertyId=33786654</v>
      </c>
      <c r="Q4575" t="s">
        <v>316</v>
      </c>
      <c>
        <v>0.23</v>
      </c>
      <c t="s">
        <v>6175</v>
      </c>
      <c t="s">
        <v>2140</v>
      </c>
      <c t="s">
        <v>62473</v>
      </c>
      <c t="s">
        <v>26628</v>
      </c>
      <c r="X4575" t="s">
        <v>55660</v>
      </c>
      <c t="s">
        <v>53663</v>
      </c>
      <c t="s">
        <v>2517</v>
      </c>
      <c t="s">
        <v>39289</v>
      </c>
      <c>
        <v>33909</v>
      </c>
      <c t="s">
        <v>11712</v>
      </c>
      <c t="s">
        <v>48794</v>
      </c>
      <c t="s">
        <v>51817</v>
      </c>
      <c>
        <v>10452</v>
      </c>
      <c r="AI4575" t="s">
        <v>54352</v>
      </c>
      <c t="s">
        <v>835</v>
      </c>
      <c r="AL4575" t="s">
        <v>23695</v>
      </c>
      <c t="s">
        <v>11555</v>
      </c>
      <c t="s">
        <v>39289</v>
      </c>
      <c t="s">
        <v>58693</v>
      </c>
      <c t="s">
        <v>28673</v>
      </c>
      <c t="s">
        <v>3093</v>
      </c>
      <c t="s">
        <v>31383</v>
      </c>
    </row>
    <row>
      <c t="s">
        <v>17594</v>
      </c>
      <c t="s">
        <v>52952</v>
      </c>
      <c t="s">
        <v>16574</v>
      </c>
      <c t="s">
        <v>64778</v>
      </c>
      <c t="s">
        <v>31778</v>
      </c>
      <c s="3">
        <v>10600</v>
      </c>
      <c s="3">
        <v>10600</v>
      </c>
      <c s="3">
        <v>9339</v>
      </c>
      <c>
        <v>0</v>
      </c>
      <c s="3">
        <v>0</v>
      </c>
      <c s="3">
        <v>663.14</v>
      </c>
      <c s="3">
        <v>10600</v>
      </c>
      <c>
        <v>2021</v>
      </c>
      <c>
        <v>667.74</v>
      </c>
      <c s="1" t="str">
        <f ca="1">HYPERLINK("https://web.datatree.com/?/property?propertyId=33787065", "https://web.datatree.com/?/property?propertyId=33787065")</f>
        <v>https://web.datatree.com/?/property?propertyId=33787065</v>
      </c>
      <c r="Q4576" t="s">
        <v>316</v>
      </c>
      <c>
        <v>0.284</v>
      </c>
      <c t="s">
        <v>6175</v>
      </c>
      <c t="s">
        <v>62125</v>
      </c>
      <c t="s">
        <v>11971</v>
      </c>
      <c t="s">
        <v>58113</v>
      </c>
      <c t="s">
        <v>56216</v>
      </c>
      <c t="s">
        <v>3756</v>
      </c>
      <c t="s">
        <v>10653</v>
      </c>
      <c t="s">
        <v>2517</v>
      </c>
      <c t="s">
        <v>39289</v>
      </c>
      <c>
        <v>33909</v>
      </c>
      <c t="s">
        <v>36547</v>
      </c>
      <c t="s">
        <v>48794</v>
      </c>
      <c t="s">
        <v>38420</v>
      </c>
      <c>
        <v>3140</v>
      </c>
      <c r="AI4576" t="s">
        <v>24424</v>
      </c>
      <c r="AL4576" t="s">
        <v>60203</v>
      </c>
      <c r="AN4576" t="s">
        <v>49730</v>
      </c>
      <c t="s">
        <v>18492</v>
      </c>
      <c t="s">
        <v>54605</v>
      </c>
      <c t="s">
        <v>3093</v>
      </c>
      <c t="s">
        <v>1993</v>
      </c>
    </row>
    <row>
      <c t="s">
        <v>17594</v>
      </c>
      <c t="s">
        <v>46740</v>
      </c>
      <c t="s">
        <v>26365</v>
      </c>
      <c t="s">
        <v>353</v>
      </c>
      <c t="s">
        <v>22105</v>
      </c>
      <c s="3">
        <v>7700</v>
      </c>
      <c s="3">
        <v>7700</v>
      </c>
      <c s="3">
        <v>7700</v>
      </c>
      <c>
        <v>0</v>
      </c>
      <c s="3">
        <v>0</v>
      </c>
      <c s="3">
        <v>580.33</v>
      </c>
      <c s="3">
        <v>7700</v>
      </c>
      <c>
        <v>2021</v>
      </c>
      <c>
        <v>535.29</v>
      </c>
      <c s="1" t="str">
        <f ca="1">HYPERLINK("https://web.datatree.com/?/property?propertyId=33787767", "https://web.datatree.com/?/property?propertyId=33787767")</f>
        <v>https://web.datatree.com/?/property?propertyId=33787767</v>
      </c>
      <c r="Q4577" t="s">
        <v>316</v>
      </c>
      <c>
        <v>0.25</v>
      </c>
      <c t="s">
        <v>6175</v>
      </c>
      <c t="s">
        <v>44541</v>
      </c>
      <c t="s">
        <v>5331</v>
      </c>
      <c t="s">
        <v>37541</v>
      </c>
      <c t="s">
        <v>5331</v>
      </c>
      <c t="s">
        <v>10717</v>
      </c>
      <c t="s">
        <v>46469</v>
      </c>
      <c t="s">
        <v>2517</v>
      </c>
      <c t="s">
        <v>39289</v>
      </c>
      <c>
        <v>33909</v>
      </c>
      <c t="s">
        <v>21737</v>
      </c>
      <c t="s">
        <v>48794</v>
      </c>
      <c t="s">
        <v>33654</v>
      </c>
      <c>
        <v>485</v>
      </c>
      <c r="AI4577" t="s">
        <v>56671</v>
      </c>
      <c t="s">
        <v>24900</v>
      </c>
      <c>
        <v>105</v>
      </c>
      <c t="s">
        <v>36441</v>
      </c>
      <c r="AN4577" t="s">
        <v>65451</v>
      </c>
      <c t="s">
        <v>23887</v>
      </c>
      <c t="s">
        <v>65563</v>
      </c>
      <c t="s">
        <v>3093</v>
      </c>
      <c t="s">
        <v>31956</v>
      </c>
    </row>
    <row>
      <c t="s">
        <v>17594</v>
      </c>
      <c t="s">
        <v>756</v>
      </c>
      <c t="s">
        <v>42276</v>
      </c>
      <c t="s">
        <v>57546</v>
      </c>
      <c t="s">
        <v>45950</v>
      </c>
      <c s="3">
        <v>17210</v>
      </c>
      <c s="3">
        <v>17210</v>
      </c>
      <c s="3">
        <v>9075</v>
      </c>
      <c>
        <v>0</v>
      </c>
      <c s="3">
        <v>0</v>
      </c>
      <c s="3">
        <v>557.94</v>
      </c>
      <c s="3">
        <v>17210</v>
      </c>
      <c>
        <v>2021</v>
      </c>
      <c>
        <v>541.95</v>
      </c>
      <c s="1" t="str">
        <f ca="1">HYPERLINK("https://web.datatree.com/?/property?propertyId=33788060", "https://web.datatree.com/?/property?propertyId=33788060")</f>
        <v>https://web.datatree.com/?/property?propertyId=33788060</v>
      </c>
      <c r="Q4578" t="s">
        <v>316</v>
      </c>
      <c>
        <v>0.244</v>
      </c>
      <c t="s">
        <v>6175</v>
      </c>
      <c t="s">
        <v>30846</v>
      </c>
      <c t="s">
        <v>58484</v>
      </c>
      <c r="X4578" t="s">
        <v>64767</v>
      </c>
      <c t="s">
        <v>33179</v>
      </c>
      <c t="s">
        <v>2517</v>
      </c>
      <c t="s">
        <v>39289</v>
      </c>
      <c>
        <v>33909</v>
      </c>
      <c t="s">
        <v>818</v>
      </c>
      <c t="s">
        <v>48794</v>
      </c>
      <c t="s">
        <v>54538</v>
      </c>
      <c>
        <v>8030</v>
      </c>
      <c r="AI4578" t="s">
        <v>24692</v>
      </c>
      <c t="s">
        <v>24900</v>
      </c>
      <c r="AL4578" t="s">
        <v>3220</v>
      </c>
      <c r="AN4578" t="s">
        <v>50829</v>
      </c>
      <c t="s">
        <v>44991</v>
      </c>
      <c t="s">
        <v>44428</v>
      </c>
      <c t="s">
        <v>3093</v>
      </c>
      <c t="s">
        <v>46337</v>
      </c>
    </row>
    <row>
      <c t="s">
        <v>17594</v>
      </c>
      <c t="s">
        <v>25142</v>
      </c>
      <c t="s">
        <v>42905</v>
      </c>
      <c t="s">
        <v>9750</v>
      </c>
      <c t="s">
        <v>29640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4579" s="1" t="str">
        <f ca="1">HYPERLINK("https://web.datatree.com/?/property?propertyId=33788571", "https://web.datatree.com/?/property?propertyId=33788571")</f>
        <v>https://web.datatree.com/?/property?propertyId=33788571</v>
      </c>
      <c r="Q4579" t="s">
        <v>316</v>
      </c>
      <c>
        <v>0.244</v>
      </c>
      <c t="s">
        <v>6175</v>
      </c>
      <c t="s">
        <v>63047</v>
      </c>
      <c t="s">
        <v>5376</v>
      </c>
      <c t="s">
        <v>41856</v>
      </c>
      <c t="s">
        <v>5376</v>
      </c>
      <c t="s">
        <v>47311</v>
      </c>
      <c t="s">
        <v>41506</v>
      </c>
      <c t="s">
        <v>2517</v>
      </c>
      <c t="s">
        <v>39289</v>
      </c>
      <c>
        <v>33909</v>
      </c>
      <c t="s">
        <v>318</v>
      </c>
      <c t="s">
        <v>48794</v>
      </c>
      <c t="s">
        <v>37320</v>
      </c>
      <c>
        <v>30623</v>
      </c>
      <c r="AI4579" t="s">
        <v>25263</v>
      </c>
      <c t="s">
        <v>45620</v>
      </c>
      <c r="AL4579" t="s">
        <v>6913</v>
      </c>
      <c r="AN4579" t="s">
        <v>65467</v>
      </c>
      <c t="s">
        <v>19605</v>
      </c>
      <c t="s">
        <v>44428</v>
      </c>
      <c t="s">
        <v>3093</v>
      </c>
      <c t="s">
        <v>58740</v>
      </c>
    </row>
    <row>
      <c t="s">
        <v>17594</v>
      </c>
      <c t="s">
        <v>57181</v>
      </c>
      <c t="s">
        <v>21316</v>
      </c>
      <c t="s">
        <v>21207</v>
      </c>
      <c t="s">
        <v>47515</v>
      </c>
      <c s="3">
        <v>64816</v>
      </c>
      <c s="3">
        <v>64816</v>
      </c>
      <c s="3">
        <v>64816</v>
      </c>
      <c>
        <v>0</v>
      </c>
      <c s="3">
        <v>0</v>
      </c>
      <c s="3">
        <v>954.21</v>
      </c>
      <c s="3">
        <v>64816</v>
      </c>
      <c r="O4580" s="1" t="str">
        <f ca="1">HYPERLINK("https://web.datatree.com/?/property?propertyId=33789265", "https://web.datatree.com/?/property?propertyId=33789265")</f>
        <v>https://web.datatree.com/?/property?propertyId=33789265</v>
      </c>
      <c r="Q4580" t="s">
        <v>316</v>
      </c>
      <c>
        <v>0.205</v>
      </c>
      <c t="s">
        <v>5471</v>
      </c>
      <c t="s">
        <v>3293</v>
      </c>
      <c t="s">
        <v>17307</v>
      </c>
      <c t="s">
        <v>52431</v>
      </c>
      <c t="s">
        <v>15299</v>
      </c>
      <c t="s">
        <v>64062</v>
      </c>
      <c t="s">
        <v>56429</v>
      </c>
      <c t="s">
        <v>54524</v>
      </c>
      <c t="s">
        <v>39289</v>
      </c>
      <c>
        <v>33903</v>
      </c>
      <c t="s">
        <v>26075</v>
      </c>
      <c t="s">
        <v>48794</v>
      </c>
      <c t="s">
        <v>37832</v>
      </c>
      <c>
        <v>8950</v>
      </c>
      <c r="AI4580" t="s">
        <v>17022</v>
      </c>
      <c t="s">
        <v>24900</v>
      </c>
      <c>
        <v>308</v>
      </c>
      <c t="s">
        <v>55393</v>
      </c>
      <c r="AN4580" t="s">
        <v>39289</v>
      </c>
      <c t="s">
        <v>30457</v>
      </c>
      <c t="s">
        <v>22613</v>
      </c>
      <c t="s">
        <v>3093</v>
      </c>
      <c t="s">
        <v>52672</v>
      </c>
    </row>
    <row>
      <c t="s">
        <v>42103</v>
      </c>
      <c t="s">
        <v>2379</v>
      </c>
      <c t="s">
        <v>65987</v>
      </c>
      <c t="s">
        <v>413</v>
      </c>
      <c t="s">
        <v>13410</v>
      </c>
      <c s="3">
        <v>72897</v>
      </c>
      <c s="3">
        <v>71023</v>
      </c>
      <c s="3">
        <v>72897</v>
      </c>
      <c>
        <v>0</v>
      </c>
      <c s="3">
        <v>0</v>
      </c>
      <c s="3">
        <v>1096.27</v>
      </c>
      <c s="3">
        <v>72897</v>
      </c>
      <c r="O4581" s="1" t="str">
        <f ca="1">HYPERLINK("https://web.datatree.com/?/property?propertyId=33790256", "https://web.datatree.com/?/property?propertyId=33790256")</f>
        <v>https://web.datatree.com/?/property?propertyId=33790256</v>
      </c>
      <c r="Q4581" t="s">
        <v>316</v>
      </c>
      <c>
        <v>0.095</v>
      </c>
      <c t="s">
        <v>26492</v>
      </c>
      <c t="s">
        <v>44541</v>
      </c>
      <c t="s">
        <v>1046</v>
      </c>
      <c t="s">
        <v>26586</v>
      </c>
      <c t="s">
        <v>12635</v>
      </c>
      <c t="s">
        <v>126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26291</v>
      </c>
      <c r="AI4581" t="s">
        <v>34855</v>
      </c>
      <c r="AL4581" t="s">
        <v>1396</v>
      </c>
      <c t="s">
        <v>6351</v>
      </c>
      <c t="s">
        <v>18236</v>
      </c>
      <c t="s">
        <v>55611</v>
      </c>
      <c t="s">
        <v>22106</v>
      </c>
      <c t="s">
        <v>3093</v>
      </c>
      <c t="s">
        <v>54839</v>
      </c>
      <c>
        <v>2005</v>
      </c>
    </row>
    <row>
      <c t="s">
        <v>17594</v>
      </c>
      <c t="s">
        <v>13948</v>
      </c>
      <c t="s">
        <v>19721</v>
      </c>
      <c t="s">
        <v>1244</v>
      </c>
      <c t="s">
        <v>26765</v>
      </c>
      <c s="3">
        <v>14210</v>
      </c>
      <c s="3">
        <v>14210</v>
      </c>
      <c s="3">
        <v>5856</v>
      </c>
      <c>
        <v>0</v>
      </c>
      <c s="3">
        <v>0</v>
      </c>
      <c s="3">
        <v>130.29</v>
      </c>
      <c s="3">
        <v>14210</v>
      </c>
      <c r="O4582" s="1" t="str">
        <f ca="1">HYPERLINK("https://web.datatree.com/?/property?propertyId=33790414", "https://web.datatree.com/?/property?propertyId=33790414")</f>
        <v>https://web.datatree.com/?/property?propertyId=33790414</v>
      </c>
      <c r="Q4582" t="s">
        <v>316</v>
      </c>
      <c>
        <v>0.262</v>
      </c>
      <c t="s">
        <v>36245</v>
      </c>
      <c r="U4582" t="s">
        <v>28751</v>
      </c>
      <c t="s">
        <v>32044</v>
      </c>
      <c t="s">
        <v>20945</v>
      </c>
      <c t="s">
        <v>44104</v>
      </c>
      <c t="s">
        <v>46065</v>
      </c>
      <c t="s">
        <v>65059</v>
      </c>
      <c t="s">
        <v>39289</v>
      </c>
      <c>
        <v>33901</v>
      </c>
      <c t="s">
        <v>38965</v>
      </c>
      <c t="s">
        <v>48794</v>
      </c>
      <c t="s">
        <v>53301</v>
      </c>
      <c>
        <v>12040</v>
      </c>
      <c r="AI4582" t="s">
        <v>24999</v>
      </c>
      <c t="s">
        <v>45393</v>
      </c>
      <c r="AL4582" t="s">
        <v>18092</v>
      </c>
      <c t="s">
        <v>18092</v>
      </c>
      <c t="s">
        <v>39289</v>
      </c>
      <c t="s">
        <v>65472</v>
      </c>
      <c t="s">
        <v>32746</v>
      </c>
      <c t="s">
        <v>3093</v>
      </c>
      <c t="s">
        <v>10520</v>
      </c>
    </row>
    <row>
      <c t="s">
        <v>17594</v>
      </c>
      <c t="s">
        <v>59810</v>
      </c>
      <c t="s">
        <v>51691</v>
      </c>
      <c t="s">
        <v>63224</v>
      </c>
      <c t="s">
        <v>13416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583" s="1" t="str">
        <f ca="1">HYPERLINK("https://web.datatree.com/?/property?propertyId=33790914", "https://web.datatree.com/?/property?propertyId=33790914")</f>
        <v>https://web.datatree.com/?/property?propertyId=33790914</v>
      </c>
      <c r="Q4583" t="s">
        <v>316</v>
      </c>
      <c>
        <v>0.23</v>
      </c>
      <c t="s">
        <v>22490</v>
      </c>
      <c t="s">
        <v>58112</v>
      </c>
      <c t="s">
        <v>22736</v>
      </c>
      <c t="s">
        <v>63605</v>
      </c>
      <c t="s">
        <v>22736</v>
      </c>
      <c t="s">
        <v>12595</v>
      </c>
      <c t="s">
        <v>34136</v>
      </c>
      <c t="s">
        <v>2517</v>
      </c>
      <c t="s">
        <v>39289</v>
      </c>
      <c>
        <v>33909</v>
      </c>
      <c t="s">
        <v>6838</v>
      </c>
      <c t="s">
        <v>48794</v>
      </c>
      <c t="s">
        <v>43324</v>
      </c>
      <c>
        <v>28312</v>
      </c>
      <c r="AI4583" t="s">
        <v>34066</v>
      </c>
      <c t="s">
        <v>45620</v>
      </c>
      <c r="AL4583" t="s">
        <v>8875</v>
      </c>
      <c r="AN4583" t="s">
        <v>51137</v>
      </c>
      <c t="s">
        <v>21623</v>
      </c>
      <c t="s">
        <v>42082</v>
      </c>
      <c t="s">
        <v>3093</v>
      </c>
      <c t="s">
        <v>63050</v>
      </c>
    </row>
    <row>
      <c t="s">
        <v>42103</v>
      </c>
      <c t="s">
        <v>64724</v>
      </c>
      <c t="s">
        <v>59889</v>
      </c>
      <c t="s">
        <v>13789</v>
      </c>
      <c t="s">
        <v>39720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584" s="1" t="str">
        <f ca="1">HYPERLINK("https://web.datatree.com/?/property?propertyId=33791546", "https://web.datatree.com/?/property?propertyId=33791546")</f>
        <v>https://web.datatree.com/?/property?propertyId=33791546</v>
      </c>
      <c r="Q4584" t="s">
        <v>316</v>
      </c>
      <c>
        <v>0.23</v>
      </c>
      <c t="s">
        <v>6175</v>
      </c>
      <c t="s">
        <v>65032</v>
      </c>
      <c t="s">
        <v>40932</v>
      </c>
      <c r="W4584" t="s">
        <v>53618</v>
      </c>
      <c t="s">
        <v>55206</v>
      </c>
      <c t="s">
        <v>53663</v>
      </c>
      <c t="s">
        <v>2517</v>
      </c>
      <c t="s">
        <v>39289</v>
      </c>
      <c>
        <v>33909</v>
      </c>
      <c t="s">
        <v>2837</v>
      </c>
      <c t="s">
        <v>48794</v>
      </c>
      <c t="s">
        <v>59678</v>
      </c>
      <c r="AI4584" t="s">
        <v>57891</v>
      </c>
      <c r="AL4584" t="s">
        <v>40431</v>
      </c>
      <c r="AN4584" t="s">
        <v>65451</v>
      </c>
      <c t="s">
        <v>34481</v>
      </c>
      <c t="s">
        <v>23536</v>
      </c>
      <c t="s">
        <v>3093</v>
      </c>
      <c t="s">
        <v>47544</v>
      </c>
    </row>
    <row>
      <c t="s">
        <v>17594</v>
      </c>
      <c t="s">
        <v>44802</v>
      </c>
      <c t="s">
        <v>50294</v>
      </c>
      <c t="s">
        <v>20437</v>
      </c>
      <c t="s">
        <v>4525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4585" s="1" t="str">
        <f ca="1">HYPERLINK("https://web.datatree.com/?/property?propertyId=33791962", "https://web.datatree.com/?/property?propertyId=33791962")</f>
        <v>https://web.datatree.com/?/property?propertyId=33791962</v>
      </c>
      <c r="Q4585" t="s">
        <v>316</v>
      </c>
      <c>
        <v>0.23</v>
      </c>
      <c t="s">
        <v>22490</v>
      </c>
      <c r="U4585" t="s">
        <v>54211</v>
      </c>
      <c r="W4585" t="s">
        <v>872</v>
      </c>
      <c t="s">
        <v>8503</v>
      </c>
      <c t="s">
        <v>25017</v>
      </c>
      <c t="s">
        <v>2517</v>
      </c>
      <c t="s">
        <v>39289</v>
      </c>
      <c>
        <v>33909</v>
      </c>
      <c t="s">
        <v>63632</v>
      </c>
      <c t="s">
        <v>48794</v>
      </c>
      <c t="s">
        <v>33626</v>
      </c>
      <c>
        <v>13205</v>
      </c>
      <c r="AI4585" t="s">
        <v>49067</v>
      </c>
      <c t="s">
        <v>31192</v>
      </c>
      <c r="AL4585" t="s">
        <v>28490</v>
      </c>
      <c r="AN4585" t="s">
        <v>39289</v>
      </c>
      <c t="s">
        <v>43703</v>
      </c>
      <c t="s">
        <v>3228</v>
      </c>
      <c t="s">
        <v>3093</v>
      </c>
      <c t="s">
        <v>39026</v>
      </c>
    </row>
    <row>
      <c t="s">
        <v>17594</v>
      </c>
      <c t="s">
        <v>14562</v>
      </c>
      <c t="s">
        <v>55964</v>
      </c>
      <c t="s">
        <v>46495</v>
      </c>
      <c t="s">
        <v>30598</v>
      </c>
      <c s="3">
        <v>22152</v>
      </c>
      <c s="3">
        <v>22152</v>
      </c>
      <c s="3">
        <v>8800</v>
      </c>
      <c>
        <v>0</v>
      </c>
      <c s="3">
        <v>0</v>
      </c>
      <c s="3">
        <v>588.04</v>
      </c>
      <c s="3">
        <v>22152</v>
      </c>
      <c>
        <v>2019</v>
      </c>
      <c>
        <v>5513.22</v>
      </c>
      <c s="1" t="str">
        <f ca="1">HYPERLINK("https://web.datatree.com/?/property?propertyId=33792497", "https://web.datatree.com/?/property?propertyId=33792497")</f>
        <v>https://web.datatree.com/?/property?propertyId=33792497</v>
      </c>
      <c r="Q4586" t="s">
        <v>316</v>
      </c>
      <c>
        <v>0.244</v>
      </c>
      <c t="s">
        <v>22490</v>
      </c>
      <c t="s">
        <v>6212</v>
      </c>
      <c t="s">
        <v>39666</v>
      </c>
      <c t="s">
        <v>25958</v>
      </c>
      <c r="X4586" t="s">
        <v>10155</v>
      </c>
      <c t="s">
        <v>25017</v>
      </c>
      <c t="s">
        <v>2517</v>
      </c>
      <c t="s">
        <v>39289</v>
      </c>
      <c>
        <v>33909</v>
      </c>
      <c t="s">
        <v>25375</v>
      </c>
      <c t="s">
        <v>48794</v>
      </c>
      <c t="s">
        <v>19863</v>
      </c>
      <c>
        <v>3600</v>
      </c>
      <c r="AI4586" t="s">
        <v>22839</v>
      </c>
      <c t="s">
        <v>24900</v>
      </c>
      <c r="AL4586" t="s">
        <v>11713</v>
      </c>
      <c r="AN4586" t="s">
        <v>39289</v>
      </c>
      <c t="s">
        <v>38870</v>
      </c>
      <c t="s">
        <v>35375</v>
      </c>
      <c t="s">
        <v>3093</v>
      </c>
      <c t="s">
        <v>56802</v>
      </c>
    </row>
    <row>
      <c t="s">
        <v>17594</v>
      </c>
      <c t="s">
        <v>57003</v>
      </c>
      <c t="s">
        <v>14146</v>
      </c>
      <c t="s">
        <v>22163</v>
      </c>
      <c t="s">
        <v>57470</v>
      </c>
      <c s="3">
        <v>10500</v>
      </c>
      <c s="3">
        <v>10500</v>
      </c>
      <c s="3">
        <v>9599</v>
      </c>
      <c>
        <v>0</v>
      </c>
      <c s="3">
        <v>0</v>
      </c>
      <c s="3">
        <v>718.84</v>
      </c>
      <c s="3">
        <v>10500</v>
      </c>
      <c r="O4587" s="1" t="str">
        <f ca="1">HYPERLINK("https://web.datatree.com/?/property?propertyId=33792684", "https://web.datatree.com/?/property?propertyId=33792684")</f>
        <v>https://web.datatree.com/?/property?propertyId=33792684</v>
      </c>
      <c r="Q4587" t="s">
        <v>316</v>
      </c>
      <c>
        <v>0.353</v>
      </c>
      <c t="s">
        <v>6175</v>
      </c>
      <c t="s">
        <v>10998</v>
      </c>
      <c t="s">
        <v>39950</v>
      </c>
      <c t="s">
        <v>28283</v>
      </c>
      <c t="s">
        <v>39950</v>
      </c>
      <c t="s">
        <v>22233</v>
      </c>
      <c t="s">
        <v>29190</v>
      </c>
      <c t="s">
        <v>2517</v>
      </c>
      <c t="s">
        <v>39289</v>
      </c>
      <c>
        <v>33909</v>
      </c>
      <c t="s">
        <v>12866</v>
      </c>
      <c t="s">
        <v>48794</v>
      </c>
      <c t="s">
        <v>51461</v>
      </c>
      <c>
        <v>1150</v>
      </c>
      <c r="AI4587" t="s">
        <v>32168</v>
      </c>
      <c r="AK4587">
        <v>702</v>
      </c>
      <c t="s">
        <v>17626</v>
      </c>
      <c t="s">
        <v>41642</v>
      </c>
      <c t="s">
        <v>39289</v>
      </c>
      <c>
        <v>33062</v>
      </c>
      <c r="AQ4587" t="s">
        <v>3093</v>
      </c>
      <c t="s">
        <v>52051</v>
      </c>
    </row>
    <row>
      <c t="s">
        <v>17594</v>
      </c>
      <c t="s">
        <v>33385</v>
      </c>
      <c t="s">
        <v>16599</v>
      </c>
      <c t="s">
        <v>24291</v>
      </c>
      <c t="s">
        <v>8471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588" s="1" t="str">
        <f ca="1">HYPERLINK("https://web.datatree.com/?/property?propertyId=33793133", "https://web.datatree.com/?/property?propertyId=33793133")</f>
        <v>https://web.datatree.com/?/property?propertyId=33793133</v>
      </c>
      <c r="Q4588" t="s">
        <v>316</v>
      </c>
      <c>
        <v>0.23</v>
      </c>
      <c t="s">
        <v>6175</v>
      </c>
      <c t="s">
        <v>3293</v>
      </c>
      <c t="s">
        <v>36029</v>
      </c>
      <c t="s">
        <v>56645</v>
      </c>
      <c t="s">
        <v>29499</v>
      </c>
      <c t="s">
        <v>9044</v>
      </c>
      <c t="s">
        <v>38550</v>
      </c>
      <c t="s">
        <v>2517</v>
      </c>
      <c t="s">
        <v>39289</v>
      </c>
      <c>
        <v>33909</v>
      </c>
      <c t="s">
        <v>64381</v>
      </c>
      <c t="s">
        <v>48794</v>
      </c>
      <c t="s">
        <v>52826</v>
      </c>
      <c>
        <v>25</v>
      </c>
      <c r="AI4588" t="s">
        <v>1599</v>
      </c>
      <c t="s">
        <v>31192</v>
      </c>
      <c r="AL4588" t="s">
        <v>27402</v>
      </c>
      <c r="AN4588" t="s">
        <v>50917</v>
      </c>
      <c t="s">
        <v>8068</v>
      </c>
      <c t="s">
        <v>24707</v>
      </c>
      <c t="s">
        <v>3093</v>
      </c>
      <c t="s">
        <v>51545</v>
      </c>
    </row>
    <row>
      <c t="s">
        <v>42103</v>
      </c>
      <c t="s">
        <v>61639</v>
      </c>
      <c t="s">
        <v>44782</v>
      </c>
      <c t="s">
        <v>31063</v>
      </c>
      <c t="s">
        <v>34652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589" s="1" t="str">
        <f ca="1">HYPERLINK("https://web.datatree.com/?/property?propertyId=33793549", "https://web.datatree.com/?/property?propertyId=33793549")</f>
        <v>https://web.datatree.com/?/property?propertyId=33793549</v>
      </c>
      <c r="Q4589" t="s">
        <v>316</v>
      </c>
      <c>
        <v>0.23</v>
      </c>
      <c t="s">
        <v>6175</v>
      </c>
      <c t="s">
        <v>552</v>
      </c>
      <c t="s">
        <v>17494</v>
      </c>
      <c r="X4589" t="s">
        <v>54224</v>
      </c>
      <c t="s">
        <v>66701</v>
      </c>
      <c t="s">
        <v>2517</v>
      </c>
      <c t="s">
        <v>39289</v>
      </c>
      <c>
        <v>33909</v>
      </c>
      <c t="s">
        <v>7931</v>
      </c>
      <c t="s">
        <v>48794</v>
      </c>
      <c t="s">
        <v>10219</v>
      </c>
      <c r="AI4589" t="s">
        <v>15402</v>
      </c>
      <c r="AL4589" t="s">
        <v>10437</v>
      </c>
      <c r="AN4589" t="s">
        <v>39289</v>
      </c>
      <c t="s">
        <v>54543</v>
      </c>
      <c t="s">
        <v>41731</v>
      </c>
      <c t="s">
        <v>3093</v>
      </c>
      <c t="s">
        <v>14235</v>
      </c>
    </row>
    <row>
      <c t="s">
        <v>17594</v>
      </c>
      <c t="s">
        <v>20429</v>
      </c>
      <c t="s">
        <v>5372</v>
      </c>
      <c t="s">
        <v>65966</v>
      </c>
      <c t="s">
        <v>47258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590" s="1" t="str">
        <f ca="1">HYPERLINK("https://web.datatree.com/?/property?propertyId=33795027", "https://web.datatree.com/?/property?propertyId=33795027")</f>
        <v>https://web.datatree.com/?/property?propertyId=33795027</v>
      </c>
      <c r="Q4590" t="s">
        <v>316</v>
      </c>
      <c>
        <v>0.23</v>
      </c>
      <c t="s">
        <v>22490</v>
      </c>
      <c t="s">
        <v>6234</v>
      </c>
      <c t="s">
        <v>43085</v>
      </c>
      <c r="X4590" t="s">
        <v>55953</v>
      </c>
      <c t="s">
        <v>49674</v>
      </c>
      <c t="s">
        <v>2517</v>
      </c>
      <c t="s">
        <v>39289</v>
      </c>
      <c>
        <v>33909</v>
      </c>
      <c t="s">
        <v>28565</v>
      </c>
      <c t="s">
        <v>48794</v>
      </c>
      <c t="s">
        <v>13014</v>
      </c>
      <c>
        <v>4215</v>
      </c>
      <c r="AI4590" t="s">
        <v>60964</v>
      </c>
      <c t="s">
        <v>31192</v>
      </c>
      <c r="AL4590" t="s">
        <v>18908</v>
      </c>
      <c t="s">
        <v>4574</v>
      </c>
      <c t="s">
        <v>58733</v>
      </c>
      <c t="s">
        <v>22008</v>
      </c>
      <c t="s">
        <v>44573</v>
      </c>
      <c t="s">
        <v>3093</v>
      </c>
      <c t="s">
        <v>7678</v>
      </c>
    </row>
    <row>
      <c t="s">
        <v>17594</v>
      </c>
      <c t="s">
        <v>29656</v>
      </c>
      <c t="s">
        <v>63721</v>
      </c>
      <c t="s">
        <v>31586</v>
      </c>
      <c t="s">
        <v>14496</v>
      </c>
      <c s="3">
        <v>357424</v>
      </c>
      <c s="3">
        <v>357424</v>
      </c>
      <c s="3">
        <v>304515</v>
      </c>
      <c>
        <v>0</v>
      </c>
      <c s="3">
        <v>0</v>
      </c>
      <c s="3">
        <v>5439.03</v>
      </c>
      <c s="3">
        <v>357424</v>
      </c>
      <c r="O4591" s="1" t="str">
        <f ca="1">HYPERLINK("https://web.datatree.com/?/property?propertyId=33795092", "https://web.datatree.com/?/property?propertyId=33795092")</f>
        <v>https://web.datatree.com/?/property?propertyId=33795092</v>
      </c>
      <c r="Q4591" t="s">
        <v>316</v>
      </c>
      <c>
        <v>0.307</v>
      </c>
      <c t="s">
        <v>22490</v>
      </c>
      <c t="s">
        <v>66929</v>
      </c>
      <c t="s">
        <v>25759</v>
      </c>
      <c r="X4591" t="s">
        <v>15092</v>
      </c>
      <c t="s">
        <v>35748</v>
      </c>
      <c t="s">
        <v>2517</v>
      </c>
      <c t="s">
        <v>39289</v>
      </c>
      <c>
        <v>33904</v>
      </c>
      <c>
        <v>33904</v>
      </c>
      <c t="s">
        <v>48794</v>
      </c>
      <c t="s">
        <v>47317</v>
      </c>
      <c>
        <v>1651</v>
      </c>
      <c r="AI4591" t="s">
        <v>19475</v>
      </c>
      <c t="s">
        <v>45620</v>
      </c>
      <c r="AL4591" t="s">
        <v>49064</v>
      </c>
      <c r="AN4591" t="s">
        <v>32657</v>
      </c>
      <c t="s">
        <v>13362</v>
      </c>
      <c t="s">
        <v>35354</v>
      </c>
      <c t="s">
        <v>3093</v>
      </c>
      <c t="s">
        <v>36173</v>
      </c>
    </row>
    <row>
      <c t="s">
        <v>17594</v>
      </c>
      <c t="s">
        <v>25235</v>
      </c>
      <c t="s">
        <v>42154</v>
      </c>
      <c t="s">
        <v>29434</v>
      </c>
      <c t="s">
        <v>45289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592" s="1" t="str">
        <f ca="1">HYPERLINK("https://web.datatree.com/?/property?propertyId=33795519", "https://web.datatree.com/?/property?propertyId=33795519")</f>
        <v>https://web.datatree.com/?/property?propertyId=33795519</v>
      </c>
      <c r="Q4592" t="s">
        <v>316</v>
      </c>
      <c>
        <v>0.23</v>
      </c>
      <c t="s">
        <v>22490</v>
      </c>
      <c t="s">
        <v>19779</v>
      </c>
      <c t="s">
        <v>26000</v>
      </c>
      <c t="s">
        <v>14620</v>
      </c>
      <c t="s">
        <v>34217</v>
      </c>
      <c t="s">
        <v>35172</v>
      </c>
      <c t="s">
        <v>66701</v>
      </c>
      <c t="s">
        <v>2517</v>
      </c>
      <c t="s">
        <v>39289</v>
      </c>
      <c>
        <v>33909</v>
      </c>
      <c t="s">
        <v>54014</v>
      </c>
      <c t="s">
        <v>48794</v>
      </c>
      <c t="s">
        <v>62704</v>
      </c>
      <c>
        <v>1139</v>
      </c>
      <c r="AI4592" t="s">
        <v>19187</v>
      </c>
      <c t="s">
        <v>55842</v>
      </c>
      <c r="AL4592" t="s">
        <v>16528</v>
      </c>
      <c t="s">
        <v>16528</v>
      </c>
      <c t="s">
        <v>65451</v>
      </c>
      <c t="s">
        <v>17187</v>
      </c>
      <c t="s">
        <v>39566</v>
      </c>
      <c t="s">
        <v>3093</v>
      </c>
      <c t="s">
        <v>26931</v>
      </c>
    </row>
    <row>
      <c t="s">
        <v>17594</v>
      </c>
      <c t="s">
        <v>52477</v>
      </c>
      <c t="s">
        <v>36044</v>
      </c>
      <c t="s">
        <v>57489</v>
      </c>
      <c t="s">
        <v>23325</v>
      </c>
      <c s="3">
        <v>18361</v>
      </c>
      <c s="3">
        <v>18361</v>
      </c>
      <c s="3">
        <v>9339</v>
      </c>
      <c>
        <v>0</v>
      </c>
      <c s="3">
        <v>0</v>
      </c>
      <c s="3">
        <v>575.99</v>
      </c>
      <c s="3">
        <v>18361</v>
      </c>
      <c r="O4593" s="1" t="str">
        <f ca="1">HYPERLINK("https://web.datatree.com/?/property?propertyId=33795918", "https://web.datatree.com/?/property?propertyId=33795918")</f>
        <v>https://web.datatree.com/?/property?propertyId=33795918</v>
      </c>
      <c r="Q4593" t="s">
        <v>316</v>
      </c>
      <c>
        <v>0.23</v>
      </c>
      <c t="s">
        <v>6175</v>
      </c>
      <c r="U4593" t="s">
        <v>30743</v>
      </c>
      <c r="W4593" t="s">
        <v>60420</v>
      </c>
      <c t="s">
        <v>33727</v>
      </c>
      <c t="s">
        <v>30928</v>
      </c>
      <c t="s">
        <v>2517</v>
      </c>
      <c t="s">
        <v>39289</v>
      </c>
      <c>
        <v>33909</v>
      </c>
      <c t="s">
        <v>50757</v>
      </c>
      <c t="s">
        <v>48794</v>
      </c>
      <c t="s">
        <v>44273</v>
      </c>
      <c>
        <v>7717</v>
      </c>
      <c r="AI4593" t="s">
        <v>53090</v>
      </c>
      <c t="s">
        <v>55842</v>
      </c>
      <c r="AL4593" t="s">
        <v>43786</v>
      </c>
      <c r="AN4593" t="s">
        <v>32657</v>
      </c>
      <c t="s">
        <v>23284</v>
      </c>
      <c t="s">
        <v>702</v>
      </c>
      <c t="s">
        <v>3093</v>
      </c>
      <c t="s">
        <v>7878</v>
      </c>
    </row>
    <row>
      <c t="s">
        <v>17594</v>
      </c>
      <c t="s">
        <v>13707</v>
      </c>
      <c t="s">
        <v>33199</v>
      </c>
      <c t="s">
        <v>13408</v>
      </c>
      <c t="s">
        <v>38343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4594" s="1" t="str">
        <f ca="1">HYPERLINK("https://web.datatree.com/?/property?propertyId=33795955", "https://web.datatree.com/?/property?propertyId=33795955")</f>
        <v>https://web.datatree.com/?/property?propertyId=33795955</v>
      </c>
      <c r="Q4594" t="s">
        <v>316</v>
      </c>
      <c>
        <v>0.23</v>
      </c>
      <c t="s">
        <v>22490</v>
      </c>
      <c t="s">
        <v>44457</v>
      </c>
      <c t="s">
        <v>32832</v>
      </c>
      <c r="X4594" t="s">
        <v>5696</v>
      </c>
      <c t="s">
        <v>53675</v>
      </c>
      <c t="s">
        <v>2517</v>
      </c>
      <c t="s">
        <v>39289</v>
      </c>
      <c>
        <v>33909</v>
      </c>
      <c t="s">
        <v>26012</v>
      </c>
      <c t="s">
        <v>48794</v>
      </c>
      <c t="s">
        <v>45781</v>
      </c>
      <c>
        <v>21253</v>
      </c>
      <c r="AI4594" t="s">
        <v>54669</v>
      </c>
      <c t="s">
        <v>31192</v>
      </c>
      <c r="AL4594" t="s">
        <v>14725</v>
      </c>
      <c r="AN4594" t="s">
        <v>65451</v>
      </c>
      <c t="s">
        <v>31619</v>
      </c>
      <c t="s">
        <v>14845</v>
      </c>
      <c t="s">
        <v>3093</v>
      </c>
      <c t="s">
        <v>51108</v>
      </c>
    </row>
    <row>
      <c t="s">
        <v>17594</v>
      </c>
      <c t="s">
        <v>46912</v>
      </c>
      <c t="s">
        <v>61739</v>
      </c>
      <c t="s">
        <v>6869</v>
      </c>
      <c t="s">
        <v>53735</v>
      </c>
      <c s="3">
        <v>23673</v>
      </c>
      <c s="3">
        <v>23673</v>
      </c>
      <c s="3">
        <v>23673</v>
      </c>
      <c>
        <v>0</v>
      </c>
      <c s="3">
        <v>0</v>
      </c>
      <c s="3">
        <v>752.42</v>
      </c>
      <c s="3">
        <v>23673</v>
      </c>
      <c r="O4595" s="1" t="str">
        <f ca="1">HYPERLINK("https://web.datatree.com/?/property?propertyId=33796098", "https://web.datatree.com/?/property?propertyId=33796098")</f>
        <v>https://web.datatree.com/?/property?propertyId=33796098</v>
      </c>
      <c r="Q4595" t="s">
        <v>316</v>
      </c>
      <c>
        <v>0.244</v>
      </c>
      <c t="s">
        <v>22490</v>
      </c>
      <c t="s">
        <v>54417</v>
      </c>
      <c t="s">
        <v>11579</v>
      </c>
      <c r="X4595" t="s">
        <v>29175</v>
      </c>
      <c t="s">
        <v>53663</v>
      </c>
      <c t="s">
        <v>2517</v>
      </c>
      <c t="s">
        <v>39289</v>
      </c>
      <c>
        <v>33909</v>
      </c>
      <c t="s">
        <v>23117</v>
      </c>
      <c t="s">
        <v>48794</v>
      </c>
      <c t="s">
        <v>52461</v>
      </c>
      <c>
        <v>7850</v>
      </c>
      <c r="AI4595" t="s">
        <v>46039</v>
      </c>
      <c t="s">
        <v>39321</v>
      </c>
      <c r="AL4595" t="s">
        <v>16664</v>
      </c>
      <c t="s">
        <v>16664</v>
      </c>
      <c t="s">
        <v>9387</v>
      </c>
      <c t="s">
        <v>11639</v>
      </c>
      <c t="s">
        <v>62845</v>
      </c>
      <c t="s">
        <v>3093</v>
      </c>
      <c t="s">
        <v>39639</v>
      </c>
    </row>
    <row>
      <c t="s">
        <v>17594</v>
      </c>
      <c t="s">
        <v>13786</v>
      </c>
      <c t="s">
        <v>67198</v>
      </c>
      <c t="s">
        <v>37382</v>
      </c>
      <c t="s">
        <v>59866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4596" s="1" t="str">
        <f ca="1">HYPERLINK("https://web.datatree.com/?/property?propertyId=33796408", "https://web.datatree.com/?/property?propertyId=33796408")</f>
        <v>https://web.datatree.com/?/property?propertyId=33796408</v>
      </c>
      <c r="Q4596" t="s">
        <v>316</v>
      </c>
      <c>
        <v>0.244</v>
      </c>
      <c t="s">
        <v>42044</v>
      </c>
      <c t="s">
        <v>54926</v>
      </c>
      <c t="s">
        <v>17541</v>
      </c>
      <c r="X4596" t="s">
        <v>34989</v>
      </c>
      <c t="s">
        <v>57064</v>
      </c>
      <c t="s">
        <v>2517</v>
      </c>
      <c t="s">
        <v>39289</v>
      </c>
      <c>
        <v>33909</v>
      </c>
      <c t="s">
        <v>47713</v>
      </c>
      <c t="s">
        <v>48794</v>
      </c>
      <c t="s">
        <v>34928</v>
      </c>
      <c>
        <v>10</v>
      </c>
      <c r="AI4596" t="s">
        <v>50375</v>
      </c>
      <c t="s">
        <v>55842</v>
      </c>
      <c r="AL4596" t="s">
        <v>54269</v>
      </c>
      <c t="s">
        <v>54269</v>
      </c>
      <c t="s">
        <v>50917</v>
      </c>
      <c t="s">
        <v>8966</v>
      </c>
      <c t="s">
        <v>52393</v>
      </c>
      <c t="s">
        <v>3093</v>
      </c>
      <c t="s">
        <v>24208</v>
      </c>
    </row>
    <row>
      <c t="s">
        <v>17594</v>
      </c>
      <c t="s">
        <v>35153</v>
      </c>
      <c t="s">
        <v>1487</v>
      </c>
      <c t="s">
        <v>36546</v>
      </c>
      <c t="s">
        <v>307</v>
      </c>
      <c s="3">
        <v>26249</v>
      </c>
      <c s="3">
        <v>26249</v>
      </c>
      <c s="3">
        <v>9680</v>
      </c>
      <c>
        <v>0</v>
      </c>
      <c s="3">
        <v>0</v>
      </c>
      <c s="3">
        <v>3063.66</v>
      </c>
      <c s="3">
        <v>26249</v>
      </c>
      <c r="O4597" s="1" t="str">
        <f ca="1">HYPERLINK("https://web.datatree.com/?/property?propertyId=33797137", "https://web.datatree.com/?/property?propertyId=33797137")</f>
        <v>https://web.datatree.com/?/property?propertyId=33797137</v>
      </c>
      <c r="Q4597" t="s">
        <v>316</v>
      </c>
      <c>
        <v>0.27</v>
      </c>
      <c t="s">
        <v>6175</v>
      </c>
      <c t="s">
        <v>34179</v>
      </c>
      <c t="s">
        <v>34394</v>
      </c>
      <c r="X4597" t="s">
        <v>4759</v>
      </c>
      <c t="s">
        <v>53675</v>
      </c>
      <c t="s">
        <v>2517</v>
      </c>
      <c t="s">
        <v>39289</v>
      </c>
      <c>
        <v>33909</v>
      </c>
      <c t="s">
        <v>37934</v>
      </c>
      <c t="s">
        <v>48794</v>
      </c>
      <c t="s">
        <v>57957</v>
      </c>
      <c>
        <v>118</v>
      </c>
      <c r="AI4597" t="s">
        <v>46252</v>
      </c>
      <c t="s">
        <v>45393</v>
      </c>
      <c r="AL4597" t="s">
        <v>6799</v>
      </c>
      <c r="AN4597" t="s">
        <v>10804</v>
      </c>
      <c t="s">
        <v>58815</v>
      </c>
      <c t="s">
        <v>52393</v>
      </c>
      <c t="s">
        <v>3093</v>
      </c>
      <c t="s">
        <v>3355</v>
      </c>
    </row>
    <row>
      <c t="s">
        <v>42103</v>
      </c>
      <c t="s">
        <v>3140</v>
      </c>
      <c t="s">
        <v>5814</v>
      </c>
      <c t="s">
        <v>27089</v>
      </c>
      <c t="s">
        <v>25292</v>
      </c>
      <c s="3">
        <v>29068</v>
      </c>
      <c s="3">
        <v>29068</v>
      </c>
      <c s="3">
        <v>28600</v>
      </c>
      <c>
        <v>0</v>
      </c>
      <c s="3">
        <v>0</v>
      </c>
      <c s="3">
        <v>356.76</v>
      </c>
      <c s="3">
        <v>29068</v>
      </c>
      <c r="O4598" s="1" t="str">
        <f ca="1">HYPERLINK("https://web.datatree.com/?/property?propertyId=33797458", "https://web.datatree.com/?/property?propertyId=33797458")</f>
        <v>https://web.datatree.com/?/property?propertyId=33797458</v>
      </c>
      <c r="Q4598" t="s">
        <v>316</v>
      </c>
      <c>
        <v>0.044</v>
      </c>
      <c t="s">
        <v>54329</v>
      </c>
      <c t="s">
        <v>23867</v>
      </c>
      <c t="s">
        <v>62210</v>
      </c>
      <c t="s">
        <v>30114</v>
      </c>
      <c t="s">
        <v>13119</v>
      </c>
      <c t="s">
        <v>57700</v>
      </c>
      <c t="s">
        <v>61908</v>
      </c>
      <c t="s">
        <v>65059</v>
      </c>
      <c t="s">
        <v>39289</v>
      </c>
      <c>
        <v>33908</v>
      </c>
      <c t="s">
        <v>4105</v>
      </c>
      <c t="s">
        <v>48794</v>
      </c>
      <c t="s">
        <v>4654</v>
      </c>
      <c r="AI4598" t="s">
        <v>49398</v>
      </c>
      <c r="AL4598" t="s">
        <v>49573</v>
      </c>
      <c t="s">
        <v>53482</v>
      </c>
      <c t="s">
        <v>10909</v>
      </c>
      <c t="s">
        <v>52957</v>
      </c>
      <c r="AQ4598" t="s">
        <v>27814</v>
      </c>
      <c t="s">
        <v>12952</v>
      </c>
    </row>
    <row>
      <c t="s">
        <v>17594</v>
      </c>
      <c t="s">
        <v>29479</v>
      </c>
      <c t="s">
        <v>21177</v>
      </c>
      <c t="s">
        <v>4425</v>
      </c>
      <c t="s">
        <v>20378</v>
      </c>
      <c s="3">
        <v>167960</v>
      </c>
      <c s="3">
        <v>167960</v>
      </c>
      <c s="3">
        <v>167960</v>
      </c>
      <c>
        <v>0</v>
      </c>
      <c s="3">
        <v>0</v>
      </c>
      <c s="3">
        <v>2947.14</v>
      </c>
      <c s="3">
        <v>167960</v>
      </c>
      <c r="O4599" s="1" t="str">
        <f ca="1">HYPERLINK("https://web.datatree.com/?/property?propertyId=33797535", "https://web.datatree.com/?/property?propertyId=33797535")</f>
        <v>https://web.datatree.com/?/property?propertyId=33797535</v>
      </c>
      <c r="Q4599" t="s">
        <v>316</v>
      </c>
      <c>
        <v>0.244</v>
      </c>
      <c t="s">
        <v>22490</v>
      </c>
      <c t="s">
        <v>39139</v>
      </c>
      <c t="s">
        <v>2069</v>
      </c>
      <c t="s">
        <v>18053</v>
      </c>
      <c t="s">
        <v>2069</v>
      </c>
      <c t="s">
        <v>17008</v>
      </c>
      <c t="s">
        <v>20676</v>
      </c>
      <c t="s">
        <v>2517</v>
      </c>
      <c t="s">
        <v>39289</v>
      </c>
      <c>
        <v>33904</v>
      </c>
      <c t="s">
        <v>59173</v>
      </c>
      <c t="s">
        <v>48794</v>
      </c>
      <c t="s">
        <v>58315</v>
      </c>
      <c>
        <v>555</v>
      </c>
      <c r="AI4599" t="s">
        <v>33543</v>
      </c>
      <c t="s">
        <v>45393</v>
      </c>
      <c t="s">
        <v>3581</v>
      </c>
      <c t="s">
        <v>15772</v>
      </c>
      <c t="s">
        <v>15772</v>
      </c>
      <c t="s">
        <v>65451</v>
      </c>
      <c t="s">
        <v>63867</v>
      </c>
      <c t="s">
        <v>29651</v>
      </c>
      <c t="s">
        <v>3093</v>
      </c>
      <c t="s">
        <v>44682</v>
      </c>
    </row>
    <row>
      <c t="s">
        <v>17594</v>
      </c>
      <c t="s">
        <v>31734</v>
      </c>
      <c t="s">
        <v>63079</v>
      </c>
      <c t="s">
        <v>35911</v>
      </c>
      <c t="s">
        <v>41125</v>
      </c>
      <c s="3">
        <v>8838</v>
      </c>
      <c s="3">
        <v>8838</v>
      </c>
      <c s="3">
        <v>4972</v>
      </c>
      <c>
        <v>0</v>
      </c>
      <c s="3">
        <v>0</v>
      </c>
      <c s="3">
        <v>316.66</v>
      </c>
      <c s="3">
        <v>8838</v>
      </c>
      <c r="O4600" s="1" t="str">
        <f ca="1">HYPERLINK("https://web.datatree.com/?/property?propertyId=33798038", "https://web.datatree.com/?/property?propertyId=33798038")</f>
        <v>https://web.datatree.com/?/property?propertyId=33798038</v>
      </c>
      <c r="Q4600" t="s">
        <v>316</v>
      </c>
      <c>
        <v>0.241</v>
      </c>
      <c t="s">
        <v>5471</v>
      </c>
      <c t="s">
        <v>5857</v>
      </c>
      <c t="s">
        <v>11161</v>
      </c>
      <c r="X4600" t="s">
        <v>39867</v>
      </c>
      <c t="s">
        <v>26561</v>
      </c>
      <c t="s">
        <v>65059</v>
      </c>
      <c t="s">
        <v>39289</v>
      </c>
      <c>
        <v>33905</v>
      </c>
      <c t="s">
        <v>11992</v>
      </c>
      <c t="s">
        <v>48794</v>
      </c>
      <c t="s">
        <v>37265</v>
      </c>
      <c>
        <v>44299</v>
      </c>
      <c r="AI4600" t="s">
        <v>66470</v>
      </c>
      <c t="s">
        <v>31192</v>
      </c>
      <c r="AL4600" t="s">
        <v>62939</v>
      </c>
      <c r="AN4600" t="s">
        <v>51137</v>
      </c>
      <c t="s">
        <v>26766</v>
      </c>
      <c t="s">
        <v>5800</v>
      </c>
      <c t="s">
        <v>3093</v>
      </c>
      <c t="s">
        <v>66053</v>
      </c>
    </row>
    <row>
      <c t="s">
        <v>17594</v>
      </c>
      <c t="s">
        <v>11844</v>
      </c>
      <c t="s">
        <v>49169</v>
      </c>
      <c t="s">
        <v>3340</v>
      </c>
      <c t="s">
        <v>42822</v>
      </c>
      <c s="3">
        <v>229928</v>
      </c>
      <c s="3">
        <v>229928</v>
      </c>
      <c s="3">
        <v>229928</v>
      </c>
      <c>
        <v>0</v>
      </c>
      <c s="3">
        <v>0</v>
      </c>
      <c s="3">
        <v>3155.02</v>
      </c>
      <c s="3">
        <v>229928</v>
      </c>
      <c r="O4601" s="1" t="str">
        <f ca="1">HYPERLINK("https://web.datatree.com/?/property?propertyId=33798101", "https://web.datatree.com/?/property?propertyId=33798101")</f>
        <v>https://web.datatree.com/?/property?propertyId=33798101</v>
      </c>
      <c r="Q4601" t="s">
        <v>316</v>
      </c>
      <c>
        <v>2.65</v>
      </c>
      <c r="T4601" t="s">
        <v>44541</v>
      </c>
      <c t="s">
        <v>32250</v>
      </c>
      <c r="X4601" t="s">
        <v>63890</v>
      </c>
      <c t="s">
        <v>63573</v>
      </c>
      <c t="s">
        <v>65059</v>
      </c>
      <c t="s">
        <v>39289</v>
      </c>
      <c>
        <v>33908</v>
      </c>
      <c t="s">
        <v>8540</v>
      </c>
      <c t="s">
        <v>48794</v>
      </c>
      <c t="s">
        <v>48792</v>
      </c>
      <c>
        <v>6</v>
      </c>
      <c r="AI4601" t="s">
        <v>35932</v>
      </c>
      <c t="s">
        <v>45620</v>
      </c>
      <c r="AL4601" t="s">
        <v>19818</v>
      </c>
      <c t="s">
        <v>19818</v>
      </c>
      <c t="s">
        <v>19878</v>
      </c>
      <c t="s">
        <v>57528</v>
      </c>
      <c t="s">
        <v>17380</v>
      </c>
      <c t="s">
        <v>3093</v>
      </c>
      <c t="s">
        <v>43875</v>
      </c>
    </row>
    <row>
      <c t="s">
        <v>17594</v>
      </c>
      <c t="s">
        <v>12049</v>
      </c>
      <c t="s">
        <v>64774</v>
      </c>
      <c t="s">
        <v>12783</v>
      </c>
      <c t="s">
        <v>22567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4602" s="1" t="str">
        <f ca="1">HYPERLINK("https://web.datatree.com/?/property?propertyId=33798770", "https://web.datatree.com/?/property?propertyId=33798770")</f>
        <v>https://web.datatree.com/?/property?propertyId=33798770</v>
      </c>
      <c r="Q4602" t="s">
        <v>316</v>
      </c>
      <c>
        <v>0.23</v>
      </c>
      <c t="s">
        <v>22490</v>
      </c>
      <c r="U4602" t="s">
        <v>28761</v>
      </c>
      <c t="s">
        <v>1859</v>
      </c>
      <c t="s">
        <v>60271</v>
      </c>
      <c t="s">
        <v>47568</v>
      </c>
      <c t="s">
        <v>22731</v>
      </c>
      <c t="s">
        <v>2517</v>
      </c>
      <c t="s">
        <v>39289</v>
      </c>
      <c>
        <v>33909</v>
      </c>
      <c t="s">
        <v>49798</v>
      </c>
      <c t="s">
        <v>48794</v>
      </c>
      <c t="s">
        <v>53298</v>
      </c>
      <c>
        <v>221</v>
      </c>
      <c r="AI4602" t="s">
        <v>43631</v>
      </c>
      <c t="s">
        <v>56275</v>
      </c>
      <c r="AL4602" t="s">
        <v>2918</v>
      </c>
      <c t="s">
        <v>2918</v>
      </c>
      <c t="s">
        <v>17134</v>
      </c>
      <c t="s">
        <v>43012</v>
      </c>
      <c t="s">
        <v>26242</v>
      </c>
      <c t="s">
        <v>3093</v>
      </c>
      <c t="s">
        <v>29503</v>
      </c>
    </row>
    <row>
      <c t="s">
        <v>17594</v>
      </c>
      <c t="s">
        <v>55675</v>
      </c>
      <c t="s">
        <v>42994</v>
      </c>
      <c t="s">
        <v>99</v>
      </c>
      <c t="s">
        <v>39630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4603" s="1" t="str">
        <f ca="1">HYPERLINK("https://web.datatree.com/?/property?propertyId=33799150", "https://web.datatree.com/?/property?propertyId=33799150")</f>
        <v>https://web.datatree.com/?/property?propertyId=33799150</v>
      </c>
      <c r="Q4603" t="s">
        <v>316</v>
      </c>
      <c>
        <v>0.23</v>
      </c>
      <c t="s">
        <v>6175</v>
      </c>
      <c t="s">
        <v>15209</v>
      </c>
      <c t="s">
        <v>53281</v>
      </c>
      <c t="s">
        <v>3222</v>
      </c>
      <c t="s">
        <v>65910</v>
      </c>
      <c t="s">
        <v>27915</v>
      </c>
      <c t="s">
        <v>14534</v>
      </c>
      <c t="s">
        <v>2517</v>
      </c>
      <c t="s">
        <v>39289</v>
      </c>
      <c>
        <v>33909</v>
      </c>
      <c t="s">
        <v>40465</v>
      </c>
      <c t="s">
        <v>48794</v>
      </c>
      <c t="s">
        <v>27268</v>
      </c>
      <c>
        <v>58</v>
      </c>
      <c r="AI4603" t="s">
        <v>22359</v>
      </c>
      <c t="s">
        <v>40123</v>
      </c>
      <c r="AL4603" t="s">
        <v>3670</v>
      </c>
      <c r="AN4603" t="s">
        <v>26016</v>
      </c>
      <c t="s">
        <v>31402</v>
      </c>
      <c t="s">
        <v>62830</v>
      </c>
      <c t="s">
        <v>3093</v>
      </c>
      <c t="s">
        <v>47943</v>
      </c>
    </row>
    <row>
      <c t="s">
        <v>17594</v>
      </c>
      <c t="s">
        <v>29176</v>
      </c>
      <c t="s">
        <v>39693</v>
      </c>
      <c t="s">
        <v>28645</v>
      </c>
      <c t="s">
        <v>38037</v>
      </c>
      <c s="3">
        <v>15202</v>
      </c>
      <c s="3">
        <v>15202</v>
      </c>
      <c s="3">
        <v>5782</v>
      </c>
      <c>
        <v>0</v>
      </c>
      <c s="3">
        <v>0</v>
      </c>
      <c s="3">
        <v>133.1</v>
      </c>
      <c s="3">
        <v>15202</v>
      </c>
      <c>
        <v>2019</v>
      </c>
      <c>
        <v>790.68</v>
      </c>
      <c s="1" t="str">
        <f ca="1">HYPERLINK("https://web.datatree.com/?/property?propertyId=33799418", "https://web.datatree.com/?/property?propertyId=33799418")</f>
        <v>https://web.datatree.com/?/property?propertyId=33799418</v>
      </c>
      <c r="Q4604" t="s">
        <v>316</v>
      </c>
      <c>
        <v>0.282</v>
      </c>
      <c t="s">
        <v>36917</v>
      </c>
      <c t="s">
        <v>42212</v>
      </c>
      <c t="s">
        <v>28069</v>
      </c>
      <c t="s">
        <v>1611</v>
      </c>
      <c t="s">
        <v>28069</v>
      </c>
      <c t="s">
        <v>17737</v>
      </c>
      <c t="s">
        <v>33179</v>
      </c>
      <c t="s">
        <v>65059</v>
      </c>
      <c t="s">
        <v>39289</v>
      </c>
      <c>
        <v>33907</v>
      </c>
      <c t="s">
        <v>11910</v>
      </c>
      <c t="s">
        <v>48794</v>
      </c>
      <c t="s">
        <v>52550</v>
      </c>
      <c>
        <v>8300</v>
      </c>
      <c r="AI4604" t="s">
        <v>6449</v>
      </c>
      <c t="s">
        <v>4985</v>
      </c>
      <c t="s">
        <v>6163</v>
      </c>
      <c t="s">
        <v>63249</v>
      </c>
      <c r="AN4604" t="s">
        <v>51087</v>
      </c>
      <c t="s">
        <v>14150</v>
      </c>
      <c t="s">
        <v>17246</v>
      </c>
      <c t="s">
        <v>3093</v>
      </c>
      <c t="s">
        <v>45769</v>
      </c>
    </row>
    <row>
      <c t="s">
        <v>17594</v>
      </c>
      <c t="s">
        <v>9664</v>
      </c>
      <c t="s">
        <v>47010</v>
      </c>
      <c t="s">
        <v>66958</v>
      </c>
      <c t="s">
        <v>54304</v>
      </c>
      <c s="3">
        <v>10600</v>
      </c>
      <c s="3">
        <v>10600</v>
      </c>
      <c s="3">
        <v>9339</v>
      </c>
      <c>
        <v>0</v>
      </c>
      <c s="3">
        <v>0</v>
      </c>
      <c s="3">
        <v>2880.21</v>
      </c>
      <c s="3">
        <v>10600</v>
      </c>
      <c r="O4605" s="1" t="str">
        <f ca="1">HYPERLINK("https://web.datatree.com/?/property?propertyId=33799952", "https://web.datatree.com/?/property?propertyId=33799952")</f>
        <v>https://web.datatree.com/?/property?propertyId=33799952</v>
      </c>
      <c r="Q4605" t="s">
        <v>316</v>
      </c>
      <c>
        <v>0.23</v>
      </c>
      <c t="s">
        <v>6175</v>
      </c>
      <c t="s">
        <v>32587</v>
      </c>
      <c t="s">
        <v>62567</v>
      </c>
      <c t="s">
        <v>32587</v>
      </c>
      <c t="s">
        <v>62567</v>
      </c>
      <c t="s">
        <v>19044</v>
      </c>
      <c t="s">
        <v>55273</v>
      </c>
      <c t="s">
        <v>2517</v>
      </c>
      <c t="s">
        <v>39289</v>
      </c>
      <c>
        <v>33909</v>
      </c>
      <c t="s">
        <v>48692</v>
      </c>
      <c t="s">
        <v>48794</v>
      </c>
      <c t="s">
        <v>11691</v>
      </c>
      <c>
        <v>905</v>
      </c>
      <c r="AI4605" t="s">
        <v>56561</v>
      </c>
      <c t="s">
        <v>45393</v>
      </c>
      <c r="AL4605" t="s">
        <v>66490</v>
      </c>
      <c t="s">
        <v>66490</v>
      </c>
      <c t="s">
        <v>65451</v>
      </c>
      <c t="s">
        <v>62749</v>
      </c>
      <c t="s">
        <v>38014</v>
      </c>
      <c t="s">
        <v>3093</v>
      </c>
      <c t="s">
        <v>14823</v>
      </c>
    </row>
    <row>
      <c t="s">
        <v>17594</v>
      </c>
      <c t="s">
        <v>49952</v>
      </c>
      <c t="s">
        <v>59974</v>
      </c>
      <c t="s">
        <v>16542</v>
      </c>
      <c t="s">
        <v>15728</v>
      </c>
      <c s="3">
        <v>80197</v>
      </c>
      <c s="3">
        <v>70500</v>
      </c>
      <c s="3">
        <v>76933</v>
      </c>
      <c>
        <v>0</v>
      </c>
      <c s="3">
        <v>0</v>
      </c>
      <c s="3">
        <v>1174.84</v>
      </c>
      <c s="3">
        <v>80197</v>
      </c>
      <c r="O4606" s="1" t="str">
        <f ca="1">HYPERLINK("https://web.datatree.com/?/property?propertyId=33800012", "https://web.datatree.com/?/property?propertyId=33800012")</f>
        <v>https://web.datatree.com/?/property?propertyId=33800012</v>
      </c>
      <c r="Q4606" t="s">
        <v>316</v>
      </c>
      <c>
        <v>0.095</v>
      </c>
      <c t="s">
        <v>26492</v>
      </c>
      <c t="s">
        <v>2140</v>
      </c>
      <c t="s">
        <v>46202</v>
      </c>
      <c t="s">
        <v>65792</v>
      </c>
      <c t="s">
        <v>46202</v>
      </c>
      <c t="s">
        <v>10148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2569</v>
      </c>
      <c>
        <v>90</v>
      </c>
      <c r="AI4606" t="s">
        <v>41987</v>
      </c>
      <c t="s">
        <v>45620</v>
      </c>
      <c r="AL4606" t="s">
        <v>33091</v>
      </c>
      <c t="s">
        <v>40227</v>
      </c>
      <c t="s">
        <v>27747</v>
      </c>
      <c t="s">
        <v>52175</v>
      </c>
      <c t="s">
        <v>44428</v>
      </c>
      <c t="s">
        <v>3093</v>
      </c>
      <c t="s">
        <v>13372</v>
      </c>
    </row>
    <row>
      <c t="s">
        <v>17594</v>
      </c>
      <c t="s">
        <v>42435</v>
      </c>
      <c t="s">
        <v>34287</v>
      </c>
      <c t="s">
        <v>53423</v>
      </c>
      <c t="s">
        <v>55800</v>
      </c>
      <c s="3">
        <v>12544</v>
      </c>
      <c s="3">
        <v>12544</v>
      </c>
      <c s="3">
        <v>6389</v>
      </c>
      <c>
        <v>0</v>
      </c>
      <c s="3">
        <v>0</v>
      </c>
      <c s="3">
        <v>332.26</v>
      </c>
      <c s="3">
        <v>12544</v>
      </c>
      <c r="O4607" s="1" t="str">
        <f ca="1">HYPERLINK("https://web.datatree.com/?/property?propertyId=33800257", "https://web.datatree.com/?/property?propertyId=33800257")</f>
        <v>https://web.datatree.com/?/property?propertyId=33800257</v>
      </c>
      <c r="Q4607" t="s">
        <v>316</v>
      </c>
      <c>
        <v>0.294</v>
      </c>
      <c t="s">
        <v>37489</v>
      </c>
      <c r="U4607" t="s">
        <v>41821</v>
      </c>
      <c r="W4607" t="s">
        <v>8826</v>
      </c>
      <c t="s">
        <v>55892</v>
      </c>
      <c t="s">
        <v>65695</v>
      </c>
      <c t="s">
        <v>65059</v>
      </c>
      <c t="s">
        <v>39289</v>
      </c>
      <c>
        <v>33905</v>
      </c>
      <c t="s">
        <v>5780</v>
      </c>
      <c t="s">
        <v>48794</v>
      </c>
      <c t="s">
        <v>13207</v>
      </c>
      <c>
        <v>2907</v>
      </c>
      <c r="AI4607" t="s">
        <v>19924</v>
      </c>
      <c t="s">
        <v>45620</v>
      </c>
      <c r="AL4607" t="s">
        <v>46963</v>
      </c>
      <c r="AN4607" t="s">
        <v>51137</v>
      </c>
      <c t="s">
        <v>43450</v>
      </c>
      <c t="s">
        <v>27720</v>
      </c>
      <c t="s">
        <v>3093</v>
      </c>
      <c t="s">
        <v>59421</v>
      </c>
    </row>
    <row>
      <c t="s">
        <v>17594</v>
      </c>
      <c t="s">
        <v>8730</v>
      </c>
      <c t="s">
        <v>24500</v>
      </c>
      <c t="s">
        <v>10800</v>
      </c>
      <c t="s">
        <v>30639</v>
      </c>
      <c s="3">
        <v>23969</v>
      </c>
      <c s="3">
        <v>23969</v>
      </c>
      <c s="3">
        <v>12650</v>
      </c>
      <c>
        <v>0</v>
      </c>
      <c s="3">
        <v>0</v>
      </c>
      <c s="3">
        <v>675.67</v>
      </c>
      <c s="3">
        <v>23969</v>
      </c>
      <c r="O4608" s="1" t="str">
        <f ca="1">HYPERLINK("https://web.datatree.com/?/property?propertyId=33800464", "https://web.datatree.com/?/property?propertyId=33800464")</f>
        <v>https://web.datatree.com/?/property?propertyId=33800464</v>
      </c>
      <c r="Q4608" t="s">
        <v>316</v>
      </c>
      <c>
        <v>0.268</v>
      </c>
      <c t="s">
        <v>22490</v>
      </c>
      <c t="s">
        <v>41586</v>
      </c>
      <c t="s">
        <v>53666</v>
      </c>
      <c r="X4608" t="s">
        <v>50494</v>
      </c>
      <c t="s">
        <v>39082</v>
      </c>
      <c t="s">
        <v>2517</v>
      </c>
      <c t="s">
        <v>39289</v>
      </c>
      <c>
        <v>33909</v>
      </c>
      <c>
        <v>33909</v>
      </c>
      <c t="s">
        <v>48794</v>
      </c>
      <c t="s">
        <v>893</v>
      </c>
      <c>
        <v>16421</v>
      </c>
      <c r="AI4608" t="s">
        <v>55376</v>
      </c>
      <c t="s">
        <v>39321</v>
      </c>
      <c r="AL4608" t="s">
        <v>55393</v>
      </c>
      <c r="AN4608" t="s">
        <v>39289</v>
      </c>
      <c t="s">
        <v>54927</v>
      </c>
      <c t="s">
        <v>11950</v>
      </c>
      <c t="s">
        <v>3093</v>
      </c>
      <c t="s">
        <v>14867</v>
      </c>
    </row>
    <row>
      <c t="s">
        <v>17594</v>
      </c>
      <c t="s">
        <v>19695</v>
      </c>
      <c t="s">
        <v>38230</v>
      </c>
      <c t="s">
        <v>36237</v>
      </c>
      <c t="s">
        <v>17270</v>
      </c>
      <c s="3">
        <v>49760</v>
      </c>
      <c s="3">
        <v>49760</v>
      </c>
      <c s="3">
        <v>24759</v>
      </c>
      <c>
        <v>0</v>
      </c>
      <c s="3">
        <v>0</v>
      </c>
      <c s="3">
        <v>955.52</v>
      </c>
      <c s="3">
        <v>49760</v>
      </c>
      <c r="O4609" s="1" t="str">
        <f ca="1">HYPERLINK("https://web.datatree.com/?/property?propertyId=33801029", "https://web.datatree.com/?/property?propertyId=33801029")</f>
        <v>https://web.datatree.com/?/property?propertyId=33801029</v>
      </c>
      <c r="Q4609" t="s">
        <v>316</v>
      </c>
      <c>
        <v>0.23</v>
      </c>
      <c t="s">
        <v>22490</v>
      </c>
      <c t="s">
        <v>29901</v>
      </c>
      <c t="s">
        <v>31302</v>
      </c>
      <c r="X4609" t="s">
        <v>59108</v>
      </c>
      <c t="s">
        <v>47150</v>
      </c>
      <c t="s">
        <v>2517</v>
      </c>
      <c t="s">
        <v>39289</v>
      </c>
      <c>
        <v>33909</v>
      </c>
      <c t="s">
        <v>25976</v>
      </c>
      <c t="s">
        <v>48794</v>
      </c>
      <c t="s">
        <v>49439</v>
      </c>
      <c>
        <v>1259</v>
      </c>
      <c r="AI4609" t="s">
        <v>25463</v>
      </c>
      <c t="s">
        <v>45620</v>
      </c>
      <c r="AL4609" t="s">
        <v>14619</v>
      </c>
      <c r="AN4609" t="s">
        <v>39289</v>
      </c>
      <c t="s">
        <v>66999</v>
      </c>
      <c t="s">
        <v>44428</v>
      </c>
      <c t="s">
        <v>3093</v>
      </c>
      <c t="s">
        <v>49278</v>
      </c>
    </row>
    <row>
      <c t="s">
        <v>17594</v>
      </c>
      <c t="s">
        <v>47037</v>
      </c>
      <c t="s">
        <v>4090</v>
      </c>
      <c t="s">
        <v>61804</v>
      </c>
      <c t="s">
        <v>25192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>
        <v>2021</v>
      </c>
      <c>
        <v>545.13</v>
      </c>
      <c s="1" t="str">
        <f ca="1">HYPERLINK("https://web.datatree.com/?/property?propertyId=33801434", "https://web.datatree.com/?/property?propertyId=33801434")</f>
        <v>https://web.datatree.com/?/property?propertyId=33801434</v>
      </c>
      <c r="Q4610" t="s">
        <v>316</v>
      </c>
      <c>
        <v>0.255</v>
      </c>
      <c t="s">
        <v>6175</v>
      </c>
      <c t="s">
        <v>52256</v>
      </c>
      <c t="s">
        <v>5746</v>
      </c>
      <c r="X4610" t="s">
        <v>55202</v>
      </c>
      <c t="s">
        <v>2626</v>
      </c>
      <c t="s">
        <v>2517</v>
      </c>
      <c t="s">
        <v>39289</v>
      </c>
      <c>
        <v>33909</v>
      </c>
      <c t="s">
        <v>1668</v>
      </c>
      <c t="s">
        <v>48794</v>
      </c>
      <c t="s">
        <v>8302</v>
      </c>
      <c>
        <v>333</v>
      </c>
      <c r="AI4610" t="s">
        <v>41338</v>
      </c>
      <c t="s">
        <v>31192</v>
      </c>
      <c>
        <v>416</v>
      </c>
      <c t="s">
        <v>6365</v>
      </c>
      <c t="s">
        <v>6365</v>
      </c>
      <c t="s">
        <v>39289</v>
      </c>
      <c t="s">
        <v>50633</v>
      </c>
      <c t="s">
        <v>19978</v>
      </c>
      <c t="s">
        <v>3093</v>
      </c>
      <c t="s">
        <v>34418</v>
      </c>
    </row>
    <row>
      <c t="s">
        <v>17594</v>
      </c>
      <c t="s">
        <v>15273</v>
      </c>
      <c t="s">
        <v>27275</v>
      </c>
      <c t="s">
        <v>59986</v>
      </c>
      <c t="s">
        <v>47215</v>
      </c>
      <c s="3">
        <v>41000</v>
      </c>
      <c s="3">
        <v>41000</v>
      </c>
      <c s="3">
        <v>13310</v>
      </c>
      <c>
        <v>0</v>
      </c>
      <c s="3">
        <v>0</v>
      </c>
      <c s="3">
        <v>738.57</v>
      </c>
      <c s="3">
        <v>41000</v>
      </c>
      <c r="O4611" s="1" t="str">
        <f ca="1">HYPERLINK("https://web.datatree.com/?/property?propertyId=33801533", "https://web.datatree.com/?/property?propertyId=33801533")</f>
        <v>https://web.datatree.com/?/property?propertyId=33801533</v>
      </c>
      <c r="Q4611" t="s">
        <v>316</v>
      </c>
      <c>
        <v>0.23</v>
      </c>
      <c t="s">
        <v>14479</v>
      </c>
      <c t="s">
        <v>45866</v>
      </c>
      <c t="s">
        <v>2741</v>
      </c>
      <c t="s">
        <v>18219</v>
      </c>
      <c t="s">
        <v>2816</v>
      </c>
      <c t="s">
        <v>28236</v>
      </c>
      <c t="s">
        <v>39082</v>
      </c>
      <c t="s">
        <v>2517</v>
      </c>
      <c t="s">
        <v>39289</v>
      </c>
      <c>
        <v>33909</v>
      </c>
      <c t="s">
        <v>64059</v>
      </c>
      <c t="s">
        <v>48794</v>
      </c>
      <c t="s">
        <v>55590</v>
      </c>
      <c>
        <v>5</v>
      </c>
      <c r="AI4611" t="s">
        <v>13086</v>
      </c>
      <c t="s">
        <v>31192</v>
      </c>
      <c r="AL4611" t="s">
        <v>60016</v>
      </c>
      <c r="AN4611" t="s">
        <v>26016</v>
      </c>
      <c t="s">
        <v>35906</v>
      </c>
      <c t="s">
        <v>46906</v>
      </c>
      <c t="s">
        <v>3093</v>
      </c>
      <c t="s">
        <v>33461</v>
      </c>
    </row>
    <row>
      <c t="s">
        <v>17594</v>
      </c>
      <c t="s">
        <v>29443</v>
      </c>
      <c t="s">
        <v>48135</v>
      </c>
      <c t="s">
        <v>6845</v>
      </c>
      <c t="s">
        <v>48499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 r="O4612" s="1" t="str">
        <f ca="1">HYPERLINK("https://web.datatree.com/?/property?propertyId=33801756", "https://web.datatree.com/?/property?propertyId=33801756")</f>
        <v>https://web.datatree.com/?/property?propertyId=33801756</v>
      </c>
      <c r="Q4612" t="s">
        <v>316</v>
      </c>
      <c>
        <v>0.23</v>
      </c>
      <c t="s">
        <v>45031</v>
      </c>
      <c t="s">
        <v>46578</v>
      </c>
      <c t="s">
        <v>67184</v>
      </c>
      <c r="X4612" t="s">
        <v>19803</v>
      </c>
      <c t="s">
        <v>18679</v>
      </c>
      <c t="s">
        <v>2517</v>
      </c>
      <c t="s">
        <v>39289</v>
      </c>
      <c>
        <v>33909</v>
      </c>
      <c t="s">
        <v>14059</v>
      </c>
      <c t="s">
        <v>48794</v>
      </c>
      <c t="s">
        <v>8247</v>
      </c>
      <c>
        <v>223</v>
      </c>
      <c r="AI4612" t="s">
        <v>47572</v>
      </c>
      <c t="s">
        <v>45620</v>
      </c>
      <c r="AL4612" t="s">
        <v>20036</v>
      </c>
      <c r="AN4612" t="s">
        <v>5982</v>
      </c>
      <c t="s">
        <v>52340</v>
      </c>
      <c t="s">
        <v>56028</v>
      </c>
      <c t="s">
        <v>3093</v>
      </c>
      <c t="s">
        <v>23730</v>
      </c>
    </row>
    <row>
      <c t="s">
        <v>17594</v>
      </c>
      <c t="s">
        <v>5613</v>
      </c>
      <c t="s">
        <v>12115</v>
      </c>
      <c t="s">
        <v>18290</v>
      </c>
      <c t="s">
        <v>23595</v>
      </c>
      <c s="3">
        <v>22736</v>
      </c>
      <c s="3">
        <v>22736</v>
      </c>
      <c s="3">
        <v>8800</v>
      </c>
      <c>
        <v>0</v>
      </c>
      <c s="3">
        <v>0</v>
      </c>
      <c s="3">
        <v>714.08</v>
      </c>
      <c s="3">
        <v>22736</v>
      </c>
      <c>
        <v>2021</v>
      </c>
      <c>
        <v>532.49</v>
      </c>
      <c s="1" t="str">
        <f ca="1">HYPERLINK("https://web.datatree.com/?/property?propertyId=33801847", "https://web.datatree.com/?/property?propertyId=33801847")</f>
        <v>https://web.datatree.com/?/property?propertyId=33801847</v>
      </c>
      <c r="Q4613" t="s">
        <v>316</v>
      </c>
      <c>
        <v>0.23</v>
      </c>
      <c t="s">
        <v>58725</v>
      </c>
      <c t="s">
        <v>1894</v>
      </c>
      <c t="s">
        <v>9823</v>
      </c>
      <c r="X4613" t="s">
        <v>57062</v>
      </c>
      <c t="s">
        <v>57064</v>
      </c>
      <c t="s">
        <v>2517</v>
      </c>
      <c t="s">
        <v>39289</v>
      </c>
      <c>
        <v>33909</v>
      </c>
      <c t="s">
        <v>6306</v>
      </c>
      <c t="s">
        <v>48794</v>
      </c>
      <c t="s">
        <v>55961</v>
      </c>
      <c>
        <v>209</v>
      </c>
      <c r="AI4613" t="s">
        <v>42801</v>
      </c>
      <c t="s">
        <v>55842</v>
      </c>
      <c r="AL4613" t="s">
        <v>65081</v>
      </c>
      <c t="s">
        <v>65081</v>
      </c>
      <c t="s">
        <v>19878</v>
      </c>
      <c t="s">
        <v>18423</v>
      </c>
      <c t="s">
        <v>55071</v>
      </c>
      <c t="s">
        <v>3093</v>
      </c>
      <c t="s">
        <v>37989</v>
      </c>
    </row>
    <row>
      <c t="s">
        <v>42103</v>
      </c>
      <c t="s">
        <v>23589</v>
      </c>
      <c t="s">
        <v>49584</v>
      </c>
      <c t="s">
        <v>44433</v>
      </c>
      <c t="s">
        <v>33408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4614" s="1" t="str">
        <f ca="1">HYPERLINK("https://web.datatree.com/?/property?propertyId=33802050", "https://web.datatree.com/?/property?propertyId=33802050")</f>
        <v>https://web.datatree.com/?/property?propertyId=33802050</v>
      </c>
      <c r="Q4614" t="s">
        <v>316</v>
      </c>
      <c>
        <v>0.244</v>
      </c>
      <c t="s">
        <v>22490</v>
      </c>
      <c t="s">
        <v>59107</v>
      </c>
      <c t="s">
        <v>63838</v>
      </c>
      <c t="s">
        <v>52431</v>
      </c>
      <c t="s">
        <v>63838</v>
      </c>
      <c t="s">
        <v>34624</v>
      </c>
      <c t="s">
        <v>2626</v>
      </c>
      <c t="s">
        <v>2517</v>
      </c>
      <c t="s">
        <v>39289</v>
      </c>
      <c>
        <v>33909</v>
      </c>
      <c t="s">
        <v>19381</v>
      </c>
      <c t="s">
        <v>48794</v>
      </c>
      <c t="s">
        <v>13551</v>
      </c>
      <c r="AI4614" t="s">
        <v>65658</v>
      </c>
      <c r="AL4614" t="s">
        <v>44886</v>
      </c>
      <c r="AN4614" t="s">
        <v>65451</v>
      </c>
      <c>
        <v>93067</v>
      </c>
      <c t="s">
        <v>15796</v>
      </c>
      <c t="s">
        <v>3093</v>
      </c>
      <c t="s">
        <v>25611</v>
      </c>
    </row>
    <row>
      <c t="s">
        <v>17594</v>
      </c>
      <c t="s">
        <v>49028</v>
      </c>
      <c t="s">
        <v>22562</v>
      </c>
      <c t="s">
        <v>49581</v>
      </c>
      <c t="s">
        <v>28707</v>
      </c>
      <c s="3">
        <v>69880</v>
      </c>
      <c s="3">
        <v>62040</v>
      </c>
      <c s="3">
        <v>69401</v>
      </c>
      <c>
        <v>0</v>
      </c>
      <c s="3">
        <v>0</v>
      </c>
      <c s="3">
        <v>1054.7</v>
      </c>
      <c s="3">
        <v>69880</v>
      </c>
      <c r="O4615" s="1" t="str">
        <f ca="1">HYPERLINK("https://web.datatree.com/?/property?propertyId=33802370", "https://web.datatree.com/?/property?propertyId=33802370")</f>
        <v>https://web.datatree.com/?/property?propertyId=33802370</v>
      </c>
      <c r="Q4615" t="s">
        <v>316</v>
      </c>
      <c>
        <v>0.103</v>
      </c>
      <c t="s">
        <v>26492</v>
      </c>
      <c t="s">
        <v>64507</v>
      </c>
      <c t="s">
        <v>6676</v>
      </c>
      <c t="s">
        <v>27351</v>
      </c>
      <c r="X4615" t="s">
        <v>13393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20475</v>
      </c>
      <c>
        <v>3545</v>
      </c>
      <c r="AH4615" t="s">
        <v>12549</v>
      </c>
      <c>
        <v>250</v>
      </c>
      <c r="AL4615" t="s">
        <v>37987</v>
      </c>
      <c t="s">
        <v>40227</v>
      </c>
      <c t="s">
        <v>49572</v>
      </c>
      <c t="s">
        <v>42872</v>
      </c>
      <c t="s">
        <v>64128</v>
      </c>
      <c t="s">
        <v>3093</v>
      </c>
      <c t="s">
        <v>14503</v>
      </c>
    </row>
    <row>
      <c t="s">
        <v>17594</v>
      </c>
      <c t="s">
        <v>10611</v>
      </c>
      <c t="s">
        <v>32968</v>
      </c>
      <c t="s">
        <v>60192</v>
      </c>
      <c t="s">
        <v>31710</v>
      </c>
      <c s="3">
        <v>235000</v>
      </c>
      <c s="3">
        <v>235000</v>
      </c>
      <c s="3">
        <v>235000</v>
      </c>
      <c>
        <v>0</v>
      </c>
      <c s="3">
        <v>0</v>
      </c>
      <c s="3">
        <v>3283.38</v>
      </c>
      <c s="3">
        <v>235000</v>
      </c>
      <c r="O4616" s="1" t="str">
        <f ca="1">HYPERLINK("https://web.datatree.com/?/property?propertyId=33803160", "https://web.datatree.com/?/property?propertyId=33803160")</f>
        <v>https://web.datatree.com/?/property?propertyId=33803160</v>
      </c>
      <c r="Q4616" t="s">
        <v>316</v>
      </c>
      <c>
        <v>0.282</v>
      </c>
      <c t="s">
        <v>29818</v>
      </c>
      <c t="s">
        <v>16200</v>
      </c>
      <c t="s">
        <v>23585</v>
      </c>
      <c t="s">
        <v>23659</v>
      </c>
      <c t="s">
        <v>23585</v>
      </c>
      <c t="s">
        <v>63386</v>
      </c>
      <c t="s">
        <v>24194</v>
      </c>
      <c t="s">
        <v>65059</v>
      </c>
      <c t="s">
        <v>39289</v>
      </c>
      <c>
        <v>33908</v>
      </c>
      <c t="s">
        <v>17279</v>
      </c>
      <c t="s">
        <v>48794</v>
      </c>
      <c t="s">
        <v>66420</v>
      </c>
      <c>
        <v>1457</v>
      </c>
      <c r="AI4616" t="s">
        <v>30427</v>
      </c>
      <c t="s">
        <v>31192</v>
      </c>
      <c r="AL4616" t="s">
        <v>42695</v>
      </c>
      <c t="s">
        <v>42695</v>
      </c>
      <c t="s">
        <v>32576</v>
      </c>
      <c t="s">
        <v>41910</v>
      </c>
      <c t="s">
        <v>702</v>
      </c>
      <c t="s">
        <v>3093</v>
      </c>
      <c t="s">
        <v>54577</v>
      </c>
    </row>
    <row>
      <c t="s">
        <v>17594</v>
      </c>
      <c t="s">
        <v>53485</v>
      </c>
      <c t="s">
        <v>37407</v>
      </c>
      <c t="s">
        <v>34297</v>
      </c>
      <c t="s">
        <v>13514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4617" s="1" t="str">
        <f ca="1">HYPERLINK("https://web.datatree.com/?/property?propertyId=33803836", "https://web.datatree.com/?/property?propertyId=33803836")</f>
        <v>https://web.datatree.com/?/property?propertyId=33803836</v>
      </c>
      <c r="Q4617" t="s">
        <v>316</v>
      </c>
      <c>
        <v>0.231</v>
      </c>
      <c t="s">
        <v>5471</v>
      </c>
      <c t="s">
        <v>35571</v>
      </c>
      <c t="s">
        <v>17648</v>
      </c>
      <c t="s">
        <v>33621</v>
      </c>
      <c t="s">
        <v>17648</v>
      </c>
      <c t="s">
        <v>35386</v>
      </c>
      <c t="s">
        <v>64631</v>
      </c>
      <c t="s">
        <v>65059</v>
      </c>
      <c t="s">
        <v>39289</v>
      </c>
      <c>
        <v>33905</v>
      </c>
      <c t="s">
        <v>45663</v>
      </c>
      <c t="s">
        <v>48794</v>
      </c>
      <c t="s">
        <v>49224</v>
      </c>
      <c>
        <v>102</v>
      </c>
      <c r="AI4617" t="s">
        <v>44311</v>
      </c>
      <c t="s">
        <v>55842</v>
      </c>
      <c r="AL4617" t="s">
        <v>44071</v>
      </c>
      <c r="AN4617" t="s">
        <v>50917</v>
      </c>
      <c t="s">
        <v>43985</v>
      </c>
      <c t="s">
        <v>49842</v>
      </c>
      <c t="s">
        <v>3093</v>
      </c>
      <c t="s">
        <v>58401</v>
      </c>
    </row>
    <row>
      <c t="s">
        <v>17594</v>
      </c>
      <c t="s">
        <v>23504</v>
      </c>
      <c t="s">
        <v>42098</v>
      </c>
      <c t="s">
        <v>52468</v>
      </c>
      <c t="s">
        <v>45499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618" s="1" t="str">
        <f ca="1">HYPERLINK("https://web.datatree.com/?/property?propertyId=33803862", "https://web.datatree.com/?/property?propertyId=33803862")</f>
        <v>https://web.datatree.com/?/property?propertyId=33803862</v>
      </c>
      <c r="Q4618" t="s">
        <v>316</v>
      </c>
      <c>
        <v>0.23</v>
      </c>
      <c t="s">
        <v>22490</v>
      </c>
      <c t="s">
        <v>54158</v>
      </c>
      <c t="s">
        <v>33359</v>
      </c>
      <c r="X4618" t="s">
        <v>39937</v>
      </c>
      <c t="s">
        <v>53675</v>
      </c>
      <c t="s">
        <v>2517</v>
      </c>
      <c t="s">
        <v>39289</v>
      </c>
      <c>
        <v>33909</v>
      </c>
      <c t="s">
        <v>41833</v>
      </c>
      <c t="s">
        <v>48794</v>
      </c>
      <c t="s">
        <v>13715</v>
      </c>
      <c>
        <v>2727</v>
      </c>
      <c r="AI4618" t="s">
        <v>5571</v>
      </c>
      <c t="s">
        <v>31192</v>
      </c>
      <c r="AL4618" t="s">
        <v>42695</v>
      </c>
      <c r="AN4618" t="s">
        <v>27481</v>
      </c>
      <c t="s">
        <v>65872</v>
      </c>
      <c t="s">
        <v>27780</v>
      </c>
      <c t="s">
        <v>3093</v>
      </c>
      <c t="s">
        <v>51088</v>
      </c>
    </row>
    <row>
      <c t="s">
        <v>17594</v>
      </c>
      <c t="s">
        <v>24091</v>
      </c>
      <c t="s">
        <v>40556</v>
      </c>
      <c t="s">
        <v>30644</v>
      </c>
      <c t="s">
        <v>54142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4619" s="1" t="str">
        <f ca="1">HYPERLINK("https://web.datatree.com/?/property?propertyId=33804135", "https://web.datatree.com/?/property?propertyId=33804135")</f>
        <v>https://web.datatree.com/?/property?propertyId=33804135</v>
      </c>
      <c r="Q4619" t="s">
        <v>316</v>
      </c>
      <c>
        <v>0.255</v>
      </c>
      <c t="s">
        <v>6175</v>
      </c>
      <c t="s">
        <v>58876</v>
      </c>
      <c t="s">
        <v>4772</v>
      </c>
      <c t="s">
        <v>64570</v>
      </c>
      <c t="s">
        <v>56387</v>
      </c>
      <c t="s">
        <v>15326</v>
      </c>
      <c t="s">
        <v>2626</v>
      </c>
      <c t="s">
        <v>2517</v>
      </c>
      <c t="s">
        <v>39289</v>
      </c>
      <c>
        <v>33909</v>
      </c>
      <c t="s">
        <v>59118</v>
      </c>
      <c t="s">
        <v>48794</v>
      </c>
      <c t="s">
        <v>9544</v>
      </c>
      <c>
        <v>5716</v>
      </c>
      <c r="AI4619" t="s">
        <v>6061</v>
      </c>
      <c t="s">
        <v>31192</v>
      </c>
      <c r="AL4619" t="s">
        <v>16124</v>
      </c>
      <c t="s">
        <v>16124</v>
      </c>
      <c t="s">
        <v>51137</v>
      </c>
      <c t="s">
        <v>21092</v>
      </c>
      <c t="s">
        <v>1951</v>
      </c>
      <c t="s">
        <v>3093</v>
      </c>
      <c t="s">
        <v>16344</v>
      </c>
    </row>
    <row>
      <c t="s">
        <v>42103</v>
      </c>
      <c t="s">
        <v>40536</v>
      </c>
      <c t="s">
        <v>11267</v>
      </c>
      <c t="s">
        <v>29163</v>
      </c>
      <c t="s">
        <v>14969</v>
      </c>
      <c s="3">
        <v>8807</v>
      </c>
      <c s="3">
        <v>8807</v>
      </c>
      <c s="3">
        <v>4972</v>
      </c>
      <c>
        <v>0</v>
      </c>
      <c s="3">
        <v>0</v>
      </c>
      <c s="3">
        <v>316.66</v>
      </c>
      <c s="3">
        <v>8807</v>
      </c>
      <c>
        <v>2016</v>
      </c>
      <c>
        <v>2523.58</v>
      </c>
      <c s="1" t="str">
        <f ca="1">HYPERLINK("https://web.datatree.com/?/property?propertyId=33804624", "https://web.datatree.com/?/property?propertyId=33804624")</f>
        <v>https://web.datatree.com/?/property?propertyId=33804624</v>
      </c>
      <c r="Q4620" t="s">
        <v>316</v>
      </c>
      <c>
        <v>0.239</v>
      </c>
      <c t="s">
        <v>5471</v>
      </c>
      <c r="U4620" t="s">
        <v>7969</v>
      </c>
      <c t="s">
        <v>57932</v>
      </c>
      <c t="s">
        <v>3234</v>
      </c>
      <c t="s">
        <v>20605</v>
      </c>
      <c t="s">
        <v>3747</v>
      </c>
      <c t="s">
        <v>65059</v>
      </c>
      <c t="s">
        <v>39289</v>
      </c>
      <c>
        <v>33905</v>
      </c>
      <c t="s">
        <v>10948</v>
      </c>
      <c t="s">
        <v>48794</v>
      </c>
      <c t="s">
        <v>28890</v>
      </c>
      <c r="AI4620" t="s">
        <v>5075</v>
      </c>
      <c r="AL4620" t="s">
        <v>8800</v>
      </c>
      <c r="AN4620" t="s">
        <v>18236</v>
      </c>
      <c t="s">
        <v>10543</v>
      </c>
      <c t="s">
        <v>22666</v>
      </c>
      <c t="s">
        <v>3093</v>
      </c>
      <c t="s">
        <v>30273</v>
      </c>
    </row>
    <row>
      <c t="s">
        <v>17594</v>
      </c>
      <c t="s">
        <v>22864</v>
      </c>
      <c t="s">
        <v>22445</v>
      </c>
      <c t="s">
        <v>35808</v>
      </c>
      <c t="s">
        <v>40217</v>
      </c>
      <c s="3">
        <v>221400</v>
      </c>
      <c s="3">
        <v>221400</v>
      </c>
      <c s="3">
        <v>221400</v>
      </c>
      <c>
        <v>0</v>
      </c>
      <c s="3">
        <v>0</v>
      </c>
      <c s="3">
        <v>3454.19</v>
      </c>
      <c s="3">
        <v>221400</v>
      </c>
      <c r="O4621" s="1" t="str">
        <f ca="1">HYPERLINK("https://web.datatree.com/?/property?propertyId=33804927", "https://web.datatree.com/?/property?propertyId=33804927")</f>
        <v>https://web.datatree.com/?/property?propertyId=33804927</v>
      </c>
      <c r="Q4621" t="s">
        <v>316</v>
      </c>
      <c>
        <v>0.402</v>
      </c>
      <c t="s">
        <v>2</v>
      </c>
      <c t="s">
        <v>66811</v>
      </c>
      <c t="s">
        <v>47971</v>
      </c>
      <c t="s">
        <v>1599</v>
      </c>
      <c t="s">
        <v>47971</v>
      </c>
      <c t="s">
        <v>62957</v>
      </c>
      <c t="s">
        <v>54190</v>
      </c>
      <c t="s">
        <v>65059</v>
      </c>
      <c t="s">
        <v>39289</v>
      </c>
      <c>
        <v>33908</v>
      </c>
      <c t="s">
        <v>3084</v>
      </c>
      <c t="s">
        <v>48794</v>
      </c>
      <c t="s">
        <v>18386</v>
      </c>
      <c>
        <v>1128</v>
      </c>
      <c r="AI4621" t="s">
        <v>40925</v>
      </c>
      <c t="s">
        <v>31192</v>
      </c>
      <c r="AL4621" t="s">
        <v>47027</v>
      </c>
      <c r="AN4621" t="s">
        <v>22275</v>
      </c>
      <c t="s">
        <v>22916</v>
      </c>
      <c t="s">
        <v>31373</v>
      </c>
      <c t="s">
        <v>3093</v>
      </c>
      <c t="s">
        <v>36332</v>
      </c>
    </row>
    <row>
      <c t="s">
        <v>17594</v>
      </c>
      <c t="s">
        <v>14857</v>
      </c>
      <c t="s">
        <v>46571</v>
      </c>
      <c t="s">
        <v>44864</v>
      </c>
      <c t="s">
        <v>23119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4622" s="1" t="str">
        <f ca="1">HYPERLINK("https://web.datatree.com/?/property?propertyId=33805928", "https://web.datatree.com/?/property?propertyId=33805928")</f>
        <v>https://web.datatree.com/?/property?propertyId=33805928</v>
      </c>
      <c r="Q4622" t="s">
        <v>316</v>
      </c>
      <c>
        <v>0.23</v>
      </c>
      <c t="s">
        <v>6175</v>
      </c>
      <c t="s">
        <v>42801</v>
      </c>
      <c t="s">
        <v>67153</v>
      </c>
      <c r="X4622" t="s">
        <v>49082</v>
      </c>
      <c t="s">
        <v>13829</v>
      </c>
      <c t="s">
        <v>2517</v>
      </c>
      <c t="s">
        <v>39289</v>
      </c>
      <c>
        <v>33909</v>
      </c>
      <c t="s">
        <v>1736</v>
      </c>
      <c t="s">
        <v>48794</v>
      </c>
      <c t="s">
        <v>58061</v>
      </c>
      <c>
        <v>28</v>
      </c>
      <c r="AI4622" t="s">
        <v>3265</v>
      </c>
      <c t="s">
        <v>31192</v>
      </c>
      <c r="AL4622" t="s">
        <v>5040</v>
      </c>
      <c r="AN4622" t="s">
        <v>14509</v>
      </c>
      <c t="s">
        <v>7669</v>
      </c>
      <c t="s">
        <v>47183</v>
      </c>
      <c t="s">
        <v>3093</v>
      </c>
      <c t="s">
        <v>5022</v>
      </c>
    </row>
    <row>
      <c t="s">
        <v>17594</v>
      </c>
      <c t="s">
        <v>8040</v>
      </c>
      <c t="s">
        <v>27790</v>
      </c>
      <c t="s">
        <v>7936</v>
      </c>
      <c t="s">
        <v>5316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4623" s="1" t="str">
        <f ca="1">HYPERLINK("https://web.datatree.com/?/property?propertyId=33806620", "https://web.datatree.com/?/property?propertyId=33806620")</f>
        <v>https://web.datatree.com/?/property?propertyId=33806620</v>
      </c>
      <c r="Q4623" t="s">
        <v>316</v>
      </c>
      <c>
        <v>0.244</v>
      </c>
      <c t="s">
        <v>6175</v>
      </c>
      <c t="s">
        <v>33280</v>
      </c>
      <c t="s">
        <v>16474</v>
      </c>
      <c t="s">
        <v>773</v>
      </c>
      <c t="s">
        <v>16474</v>
      </c>
      <c t="s">
        <v>23238</v>
      </c>
      <c t="s">
        <v>14534</v>
      </c>
      <c t="s">
        <v>2517</v>
      </c>
      <c t="s">
        <v>39289</v>
      </c>
      <c>
        <v>33909</v>
      </c>
      <c t="s">
        <v>44572</v>
      </c>
      <c t="s">
        <v>48794</v>
      </c>
      <c t="s">
        <v>2974</v>
      </c>
      <c>
        <v>8852</v>
      </c>
      <c r="AI4623" t="s">
        <v>45525</v>
      </c>
      <c t="s">
        <v>31192</v>
      </c>
      <c r="AL4623" t="s">
        <v>21971</v>
      </c>
      <c r="AN4623" t="s">
        <v>65451</v>
      </c>
      <c t="s">
        <v>33054</v>
      </c>
      <c t="s">
        <v>41946</v>
      </c>
      <c t="s">
        <v>3093</v>
      </c>
      <c t="s">
        <v>63448</v>
      </c>
    </row>
    <row>
      <c t="s">
        <v>17594</v>
      </c>
      <c t="s">
        <v>11449</v>
      </c>
      <c t="s">
        <v>4452</v>
      </c>
      <c t="s">
        <v>32652</v>
      </c>
      <c t="s">
        <v>47630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624" s="1" t="str">
        <f ca="1">HYPERLINK("https://web.datatree.com/?/property?propertyId=33806803", "https://web.datatree.com/?/property?propertyId=33806803")</f>
        <v>https://web.datatree.com/?/property?propertyId=33806803</v>
      </c>
      <c r="Q4624" t="s">
        <v>316</v>
      </c>
      <c>
        <v>0.23</v>
      </c>
      <c t="s">
        <v>6175</v>
      </c>
      <c t="s">
        <v>50200</v>
      </c>
      <c t="s">
        <v>51536</v>
      </c>
      <c t="s">
        <v>24487</v>
      </c>
      <c t="s">
        <v>51536</v>
      </c>
      <c t="s">
        <v>54709</v>
      </c>
      <c t="s">
        <v>53663</v>
      </c>
      <c t="s">
        <v>2517</v>
      </c>
      <c t="s">
        <v>39289</v>
      </c>
      <c>
        <v>33909</v>
      </c>
      <c t="s">
        <v>51778</v>
      </c>
      <c t="s">
        <v>48794</v>
      </c>
      <c t="s">
        <v>52314</v>
      </c>
      <c>
        <v>12094</v>
      </c>
      <c r="AI4624" t="s">
        <v>57908</v>
      </c>
      <c t="s">
        <v>41372</v>
      </c>
      <c r="AL4624" t="s">
        <v>41399</v>
      </c>
      <c r="AN4624" t="s">
        <v>39289</v>
      </c>
      <c t="s">
        <v>3357</v>
      </c>
      <c t="s">
        <v>28673</v>
      </c>
      <c t="s">
        <v>3093</v>
      </c>
      <c t="s">
        <v>12527</v>
      </c>
    </row>
    <row>
      <c t="s">
        <v>17594</v>
      </c>
      <c t="s">
        <v>20000</v>
      </c>
      <c t="s">
        <v>59225</v>
      </c>
      <c t="s">
        <v>52569</v>
      </c>
      <c t="s">
        <v>22573</v>
      </c>
      <c s="3">
        <v>32888</v>
      </c>
      <c s="3">
        <v>32888</v>
      </c>
      <c s="3">
        <v>9079</v>
      </c>
      <c>
        <v>0</v>
      </c>
      <c s="3">
        <v>0</v>
      </c>
      <c s="3">
        <v>3278.44</v>
      </c>
      <c s="3">
        <v>32888</v>
      </c>
      <c r="O4625" s="1" t="str">
        <f ca="1">HYPERLINK("https://web.datatree.com/?/property?propertyId=33807352", "https://web.datatree.com/?/property?propertyId=33807352")</f>
        <v>https://web.datatree.com/?/property?propertyId=33807352</v>
      </c>
      <c r="Q4625" t="s">
        <v>316</v>
      </c>
      <c>
        <v>0.305</v>
      </c>
      <c t="s">
        <v>6175</v>
      </c>
      <c t="s">
        <v>57374</v>
      </c>
      <c t="s">
        <v>64983</v>
      </c>
      <c r="X4625" t="s">
        <v>48402</v>
      </c>
      <c t="s">
        <v>61865</v>
      </c>
      <c t="s">
        <v>2517</v>
      </c>
      <c t="s">
        <v>39289</v>
      </c>
      <c>
        <v>33909</v>
      </c>
      <c t="s">
        <v>13129</v>
      </c>
      <c t="s">
        <v>48794</v>
      </c>
      <c t="s">
        <v>20309</v>
      </c>
      <c>
        <v>36</v>
      </c>
      <c r="AI4625" t="s">
        <v>16000</v>
      </c>
      <c t="s">
        <v>24900</v>
      </c>
      <c r="AL4625" t="s">
        <v>61009</v>
      </c>
      <c r="AN4625" t="s">
        <v>26016</v>
      </c>
      <c t="s">
        <v>22906</v>
      </c>
      <c t="s">
        <v>53800</v>
      </c>
      <c t="s">
        <v>3093</v>
      </c>
      <c t="s">
        <v>66746</v>
      </c>
    </row>
    <row>
      <c t="s">
        <v>17594</v>
      </c>
      <c t="s">
        <v>52450</v>
      </c>
      <c t="s">
        <v>47877</v>
      </c>
      <c t="s">
        <v>58066</v>
      </c>
      <c t="s">
        <v>57450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4626" s="1" t="str">
        <f ca="1">HYPERLINK("https://web.datatree.com/?/property?propertyId=33807359", "https://web.datatree.com/?/property?propertyId=33807359")</f>
        <v>https://web.datatree.com/?/property?propertyId=33807359</v>
      </c>
      <c r="Q4626" t="s">
        <v>316</v>
      </c>
      <c>
        <v>0.23</v>
      </c>
      <c t="s">
        <v>6175</v>
      </c>
      <c t="s">
        <v>21379</v>
      </c>
      <c t="s">
        <v>32018</v>
      </c>
      <c r="X4626" t="s">
        <v>13351</v>
      </c>
      <c t="s">
        <v>22731</v>
      </c>
      <c t="s">
        <v>2517</v>
      </c>
      <c t="s">
        <v>39289</v>
      </c>
      <c>
        <v>33909</v>
      </c>
      <c t="s">
        <v>29153</v>
      </c>
      <c t="s">
        <v>48794</v>
      </c>
      <c t="s">
        <v>28417</v>
      </c>
      <c>
        <v>1250</v>
      </c>
      <c r="AI4626" t="s">
        <v>41872</v>
      </c>
      <c t="s">
        <v>24900</v>
      </c>
      <c>
        <v>422</v>
      </c>
      <c t="s">
        <v>57484</v>
      </c>
      <c r="AN4626" t="s">
        <v>22275</v>
      </c>
      <c t="s">
        <v>14897</v>
      </c>
      <c t="s">
        <v>34162</v>
      </c>
      <c t="s">
        <v>3093</v>
      </c>
      <c t="s">
        <v>21896</v>
      </c>
    </row>
    <row>
      <c t="s">
        <v>17594</v>
      </c>
      <c t="s">
        <v>256</v>
      </c>
      <c t="s">
        <v>30603</v>
      </c>
      <c t="s">
        <v>43953</v>
      </c>
      <c t="s">
        <v>28420</v>
      </c>
      <c s="3">
        <v>20472</v>
      </c>
      <c s="3">
        <v>20472</v>
      </c>
      <c s="3">
        <v>9130</v>
      </c>
      <c>
        <v>0</v>
      </c>
      <c s="3">
        <v>0</v>
      </c>
      <c s="3">
        <v>585.72</v>
      </c>
      <c s="3">
        <v>20472</v>
      </c>
      <c>
        <v>2020</v>
      </c>
      <c>
        <v>1777.52</v>
      </c>
      <c s="1" t="str">
        <f ca="1">HYPERLINK("https://web.datatree.com/?/property?propertyId=33807367", "https://web.datatree.com/?/property?propertyId=33807367")</f>
        <v>https://web.datatree.com/?/property?propertyId=33807367</v>
      </c>
      <c r="Q4627" t="s">
        <v>316</v>
      </c>
      <c>
        <v>0.244</v>
      </c>
      <c t="s">
        <v>45031</v>
      </c>
      <c t="s">
        <v>60671</v>
      </c>
      <c t="s">
        <v>528</v>
      </c>
      <c t="s">
        <v>16194</v>
      </c>
      <c t="s">
        <v>528</v>
      </c>
      <c t="s">
        <v>30653</v>
      </c>
      <c t="s">
        <v>22731</v>
      </c>
      <c t="s">
        <v>2517</v>
      </c>
      <c t="s">
        <v>39289</v>
      </c>
      <c>
        <v>33909</v>
      </c>
      <c t="s">
        <v>6235</v>
      </c>
      <c t="s">
        <v>48794</v>
      </c>
      <c t="s">
        <v>35944</v>
      </c>
      <c>
        <v>24</v>
      </c>
      <c r="AI4627" t="s">
        <v>19565</v>
      </c>
      <c t="s">
        <v>31192</v>
      </c>
      <c r="AL4627" t="s">
        <v>59263</v>
      </c>
      <c r="AN4627" t="s">
        <v>22275</v>
      </c>
      <c t="s">
        <v>27909</v>
      </c>
      <c t="s">
        <v>42082</v>
      </c>
      <c t="s">
        <v>3093</v>
      </c>
      <c t="s">
        <v>66508</v>
      </c>
    </row>
    <row>
      <c t="s">
        <v>17594</v>
      </c>
      <c t="s">
        <v>62405</v>
      </c>
      <c t="s">
        <v>1321</v>
      </c>
      <c t="s">
        <v>40242</v>
      </c>
      <c t="s">
        <v>51443</v>
      </c>
      <c s="3">
        <v>23170</v>
      </c>
      <c s="3">
        <v>23170</v>
      </c>
      <c s="3">
        <v>10914</v>
      </c>
      <c>
        <v>0</v>
      </c>
      <c s="3">
        <v>0</v>
      </c>
      <c s="3">
        <v>731.42</v>
      </c>
      <c s="3">
        <v>23170</v>
      </c>
      <c r="O4628" s="1" t="str">
        <f ca="1">HYPERLINK("https://web.datatree.com/?/property?propertyId=33807497", "https://web.datatree.com/?/property?propertyId=33807497")</f>
        <v>https://web.datatree.com/?/property?propertyId=33807497</v>
      </c>
      <c r="Q4628" t="s">
        <v>316</v>
      </c>
      <c>
        <v>0.361</v>
      </c>
      <c t="s">
        <v>22490</v>
      </c>
      <c t="s">
        <v>9900</v>
      </c>
      <c t="s">
        <v>37717</v>
      </c>
      <c r="X4628" t="s">
        <v>26073</v>
      </c>
      <c t="s">
        <v>61850</v>
      </c>
      <c t="s">
        <v>2517</v>
      </c>
      <c t="s">
        <v>39289</v>
      </c>
      <c>
        <v>33909</v>
      </c>
      <c t="s">
        <v>44591</v>
      </c>
      <c t="s">
        <v>48794</v>
      </c>
      <c t="s">
        <v>17366</v>
      </c>
      <c>
        <v>6900</v>
      </c>
      <c r="AI4628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1195</v>
      </c>
      <c t="s">
        <v>52356</v>
      </c>
      <c t="s">
        <v>54522</v>
      </c>
      <c t="s">
        <v>36501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4629" s="1" t="str">
        <f ca="1">HYPERLINK("https://web.datatree.com/?/property?propertyId=33808278", "https://web.datatree.com/?/property?propertyId=33808278")</f>
        <v>https://web.datatree.com/?/property?propertyId=33808278</v>
      </c>
      <c r="Q4629" t="s">
        <v>316</v>
      </c>
      <c>
        <v>0.23</v>
      </c>
      <c t="s">
        <v>45031</v>
      </c>
      <c t="s">
        <v>15391</v>
      </c>
      <c t="s">
        <v>29243</v>
      </c>
      <c t="s">
        <v>64201</v>
      </c>
      <c t="s">
        <v>34217</v>
      </c>
      <c t="s">
        <v>5371</v>
      </c>
      <c t="s">
        <v>38550</v>
      </c>
      <c t="s">
        <v>2517</v>
      </c>
      <c t="s">
        <v>39289</v>
      </c>
      <c>
        <v>33909</v>
      </c>
      <c t="s">
        <v>34695</v>
      </c>
      <c t="s">
        <v>48794</v>
      </c>
      <c t="s">
        <v>54935</v>
      </c>
      <c>
        <v>8909</v>
      </c>
      <c r="AI4629" t="s">
        <v>50496</v>
      </c>
      <c t="s">
        <v>31192</v>
      </c>
      <c r="AL4629" t="s">
        <v>36080</v>
      </c>
      <c r="AN4629" t="s">
        <v>39289</v>
      </c>
      <c t="s">
        <v>18108</v>
      </c>
      <c t="s">
        <v>26416</v>
      </c>
      <c t="s">
        <v>3093</v>
      </c>
      <c t="s">
        <v>21227</v>
      </c>
    </row>
    <row>
      <c t="s">
        <v>17594</v>
      </c>
      <c t="s">
        <v>15181</v>
      </c>
      <c t="s">
        <v>8261</v>
      </c>
      <c t="s">
        <v>2166</v>
      </c>
      <c t="s">
        <v>58496</v>
      </c>
      <c s="3">
        <v>15152</v>
      </c>
      <c s="3">
        <v>15152</v>
      </c>
      <c s="3">
        <v>10175</v>
      </c>
      <c>
        <v>0</v>
      </c>
      <c s="3">
        <v>0</v>
      </c>
      <c s="3">
        <v>203.8</v>
      </c>
      <c s="3">
        <v>15152</v>
      </c>
      <c r="O4630" s="1" t="str">
        <f ca="1">HYPERLINK("https://web.datatree.com/?/property?propertyId=33808370", "https://web.datatree.com/?/property?propertyId=33808370")</f>
        <v>https://web.datatree.com/?/property?propertyId=33808370</v>
      </c>
      <c r="Q4630" t="s">
        <v>316</v>
      </c>
      <c>
        <v>0.328</v>
      </c>
      <c t="s">
        <v>58519</v>
      </c>
      <c r="U4630" t="s">
        <v>29089</v>
      </c>
      <c r="W4630" t="s">
        <v>47566</v>
      </c>
      <c t="s">
        <v>35463</v>
      </c>
      <c t="s">
        <v>28744</v>
      </c>
      <c t="s">
        <v>65059</v>
      </c>
      <c t="s">
        <v>39289</v>
      </c>
      <c>
        <v>33905</v>
      </c>
      <c t="s">
        <v>51503</v>
      </c>
      <c t="s">
        <v>48794</v>
      </c>
      <c t="s">
        <v>67111</v>
      </c>
      <c>
        <v>27</v>
      </c>
      <c r="AI4630" t="s">
        <v>52942</v>
      </c>
      <c t="s">
        <v>55842</v>
      </c>
      <c r="AL4630" t="s">
        <v>11813</v>
      </c>
      <c t="s">
        <v>11813</v>
      </c>
      <c t="s">
        <v>50917</v>
      </c>
      <c>
        <v>10980</v>
      </c>
      <c r="AQ4630" t="s">
        <v>3093</v>
      </c>
      <c t="s">
        <v>9890</v>
      </c>
    </row>
    <row>
      <c t="s">
        <v>17594</v>
      </c>
      <c t="s">
        <v>16904</v>
      </c>
      <c t="s">
        <v>999</v>
      </c>
      <c t="s">
        <v>32181</v>
      </c>
      <c t="s">
        <v>4005</v>
      </c>
      <c s="3">
        <v>36234</v>
      </c>
      <c s="3">
        <v>35525</v>
      </c>
      <c s="3">
        <v>36234</v>
      </c>
      <c>
        <v>0</v>
      </c>
      <c s="3">
        <v>0</v>
      </c>
      <c s="3">
        <v>627.29</v>
      </c>
      <c s="3">
        <v>36234</v>
      </c>
      <c r="O4631" s="1" t="str">
        <f ca="1">HYPERLINK("https://web.datatree.com/?/property?propertyId=33809086", "https://web.datatree.com/?/property?propertyId=33809086")</f>
        <v>https://web.datatree.com/?/property?propertyId=33809086</v>
      </c>
      <c>
        <v>1404</v>
      </c>
      <c t="s">
        <v>316</v>
      </c>
      <c>
        <v>0.799</v>
      </c>
      <c t="s">
        <v>58770</v>
      </c>
      <c t="s">
        <v>50778</v>
      </c>
      <c t="s">
        <v>24110</v>
      </c>
      <c t="s">
        <v>56444</v>
      </c>
      <c t="s">
        <v>10478</v>
      </c>
      <c t="s">
        <v>31183</v>
      </c>
      <c t="s">
        <v>46065</v>
      </c>
      <c t="s">
        <v>65059</v>
      </c>
      <c t="s">
        <v>39289</v>
      </c>
      <c>
        <v>33901</v>
      </c>
      <c t="s">
        <v>56930</v>
      </c>
      <c t="s">
        <v>48794</v>
      </c>
      <c t="s">
        <v>33174</v>
      </c>
      <c>
        <v>9437</v>
      </c>
      <c r="AI4631" t="s">
        <v>25877</v>
      </c>
      <c t="s">
        <v>55842</v>
      </c>
      <c r="AL4631" t="s">
        <v>17200</v>
      </c>
      <c t="s">
        <v>17200</v>
      </c>
      <c t="s">
        <v>39289</v>
      </c>
      <c t="s">
        <v>58307</v>
      </c>
      <c t="s">
        <v>40645</v>
      </c>
      <c t="s">
        <v>3093</v>
      </c>
      <c t="s">
        <v>13689</v>
      </c>
      <c>
        <v>1925</v>
      </c>
    </row>
    <row>
      <c t="s">
        <v>17594</v>
      </c>
      <c t="s">
        <v>34844</v>
      </c>
      <c t="s">
        <v>10194</v>
      </c>
      <c t="s">
        <v>57716</v>
      </c>
      <c t="s">
        <v>24492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4632" s="1" t="str">
        <f ca="1">HYPERLINK("https://web.datatree.com/?/property?propertyId=33809809", "https://web.datatree.com/?/property?propertyId=33809809")</f>
        <v>https://web.datatree.com/?/property?propertyId=33809809</v>
      </c>
      <c r="Q4632" t="s">
        <v>316</v>
      </c>
      <c>
        <v>0.23</v>
      </c>
      <c t="s">
        <v>6175</v>
      </c>
      <c t="s">
        <v>49272</v>
      </c>
      <c t="s">
        <v>49551</v>
      </c>
      <c r="X4632" t="s">
        <v>22401</v>
      </c>
      <c t="s">
        <v>47150</v>
      </c>
      <c t="s">
        <v>2517</v>
      </c>
      <c t="s">
        <v>39289</v>
      </c>
      <c>
        <v>33909</v>
      </c>
      <c t="s">
        <v>7595</v>
      </c>
      <c t="s">
        <v>48794</v>
      </c>
      <c t="s">
        <v>6706</v>
      </c>
      <c>
        <v>550</v>
      </c>
      <c r="AI4632" t="s">
        <v>51412</v>
      </c>
      <c t="s">
        <v>45620</v>
      </c>
      <c r="AL4632" t="s">
        <v>31275</v>
      </c>
      <c r="AN4632" t="s">
        <v>57326</v>
      </c>
      <c t="s">
        <v>65397</v>
      </c>
      <c r="AQ4632" t="s">
        <v>27814</v>
      </c>
      <c t="s">
        <v>32888</v>
      </c>
    </row>
    <row>
      <c t="s">
        <v>17594</v>
      </c>
      <c t="s">
        <v>5693</v>
      </c>
      <c t="s">
        <v>41690</v>
      </c>
      <c t="s">
        <v>1069</v>
      </c>
      <c t="s">
        <v>55555</v>
      </c>
      <c s="3">
        <v>7600</v>
      </c>
      <c s="3">
        <v>7600</v>
      </c>
      <c s="3">
        <v>7600</v>
      </c>
      <c>
        <v>0</v>
      </c>
      <c s="3">
        <v>0</v>
      </c>
      <c s="3">
        <v>555.27</v>
      </c>
      <c s="3">
        <v>7600</v>
      </c>
      <c r="O4633" s="1" t="str">
        <f ca="1">HYPERLINK("https://web.datatree.com/?/property?propertyId=33810660", "https://web.datatree.com/?/property?propertyId=33810660")</f>
        <v>https://web.datatree.com/?/property?propertyId=33810660</v>
      </c>
      <c r="Q4633" t="s">
        <v>316</v>
      </c>
      <c>
        <v>0.23</v>
      </c>
      <c t="s">
        <v>6175</v>
      </c>
      <c t="s">
        <v>43815</v>
      </c>
      <c t="s">
        <v>62265</v>
      </c>
      <c r="X4633" t="s">
        <v>45913</v>
      </c>
      <c t="s">
        <v>15510</v>
      </c>
      <c t="s">
        <v>2517</v>
      </c>
      <c t="s">
        <v>39289</v>
      </c>
      <c>
        <v>33909</v>
      </c>
      <c t="s">
        <v>15271</v>
      </c>
      <c t="s">
        <v>48794</v>
      </c>
      <c t="s">
        <v>53787</v>
      </c>
      <c>
        <v>29704</v>
      </c>
      <c r="AI4633" t="s">
        <v>9057</v>
      </c>
      <c t="s">
        <v>41372</v>
      </c>
      <c r="AL4633" t="s">
        <v>28288</v>
      </c>
      <c t="s">
        <v>28288</v>
      </c>
      <c t="s">
        <v>65451</v>
      </c>
      <c t="s">
        <v>6018</v>
      </c>
      <c t="s">
        <v>50779</v>
      </c>
      <c t="s">
        <v>3093</v>
      </c>
      <c t="s">
        <v>60388</v>
      </c>
    </row>
    <row>
      <c t="s">
        <v>17594</v>
      </c>
      <c t="s">
        <v>20168</v>
      </c>
      <c t="s">
        <v>1860</v>
      </c>
      <c t="s">
        <v>28225</v>
      </c>
      <c t="s">
        <v>11003</v>
      </c>
      <c s="3">
        <v>73128</v>
      </c>
      <c s="3">
        <v>62040</v>
      </c>
      <c s="3">
        <v>73087</v>
      </c>
      <c>
        <v>0</v>
      </c>
      <c s="3">
        <v>0</v>
      </c>
      <c s="3">
        <v>1107.46</v>
      </c>
      <c s="3">
        <v>73128</v>
      </c>
      <c r="O4634" s="1" t="str">
        <f ca="1">HYPERLINK("https://web.datatree.com/?/property?propertyId=33811093", "https://web.datatree.com/?/property?propertyId=33811093")</f>
        <v>https://web.datatree.com/?/property?propertyId=33811093</v>
      </c>
      <c r="Q4634" t="s">
        <v>316</v>
      </c>
      <c>
        <v>0.105</v>
      </c>
      <c t="s">
        <v>26492</v>
      </c>
      <c t="s">
        <v>34763</v>
      </c>
      <c t="s">
        <v>39482</v>
      </c>
      <c r="X4634" t="s">
        <v>14453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19210</v>
      </c>
      <c>
        <v>180</v>
      </c>
      <c r="AI4634" t="s">
        <v>61866</v>
      </c>
      <c t="s">
        <v>31192</v>
      </c>
      <c>
        <v>8026</v>
      </c>
      <c t="s">
        <v>23703</v>
      </c>
      <c t="s">
        <v>40227</v>
      </c>
      <c t="s">
        <v>18236</v>
      </c>
      <c t="s">
        <v>65211</v>
      </c>
      <c t="s">
        <v>18692</v>
      </c>
      <c t="s">
        <v>3093</v>
      </c>
      <c t="s">
        <v>41852</v>
      </c>
    </row>
    <row>
      <c t="s">
        <v>17594</v>
      </c>
      <c t="s">
        <v>53237</v>
      </c>
      <c t="s">
        <v>24096</v>
      </c>
      <c t="s">
        <v>52280</v>
      </c>
      <c t="s">
        <v>55655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>
        <v>2021</v>
      </c>
      <c>
        <v>539.27</v>
      </c>
      <c s="1" t="str">
        <f ca="1">HYPERLINK("https://web.datatree.com/?/property?propertyId=33812358", "https://web.datatree.com/?/property?propertyId=33812358")</f>
        <v>https://web.datatree.com/?/property?propertyId=33812358</v>
      </c>
      <c r="Q4635" t="s">
        <v>316</v>
      </c>
      <c>
        <v>0.244</v>
      </c>
      <c t="s">
        <v>42044</v>
      </c>
      <c t="s">
        <v>8604</v>
      </c>
      <c t="s">
        <v>34394</v>
      </c>
      <c t="s">
        <v>20020</v>
      </c>
      <c t="s">
        <v>41926</v>
      </c>
      <c t="s">
        <v>13870</v>
      </c>
      <c t="s">
        <v>13478</v>
      </c>
      <c t="s">
        <v>2517</v>
      </c>
      <c t="s">
        <v>39289</v>
      </c>
      <c>
        <v>33909</v>
      </c>
      <c t="s">
        <v>21399</v>
      </c>
      <c t="s">
        <v>48794</v>
      </c>
      <c t="s">
        <v>28247</v>
      </c>
      <c>
        <v>3722</v>
      </c>
      <c r="AI4635" t="s">
        <v>15392</v>
      </c>
      <c t="s">
        <v>45393</v>
      </c>
      <c r="AL4635" t="s">
        <v>23695</v>
      </c>
      <c r="AN4635" t="s">
        <v>39289</v>
      </c>
      <c t="s">
        <v>46827</v>
      </c>
      <c t="s">
        <v>39331</v>
      </c>
      <c t="s">
        <v>3093</v>
      </c>
      <c t="s">
        <v>53034</v>
      </c>
    </row>
    <row>
      <c t="s">
        <v>17594</v>
      </c>
      <c t="s">
        <v>1537</v>
      </c>
      <c t="s">
        <v>25429</v>
      </c>
      <c t="s">
        <v>34465</v>
      </c>
      <c t="s">
        <v>45830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4636" s="1" t="str">
        <f ca="1">HYPERLINK("https://web.datatree.com/?/property?propertyId=33812903", "https://web.datatree.com/?/property?propertyId=33812903")</f>
        <v>https://web.datatree.com/?/property?propertyId=33812903</v>
      </c>
      <c r="Q4636" t="s">
        <v>316</v>
      </c>
      <c>
        <v>0.23</v>
      </c>
      <c t="s">
        <v>22490</v>
      </c>
      <c t="s">
        <v>52880</v>
      </c>
      <c t="s">
        <v>23827</v>
      </c>
      <c t="s">
        <v>52880</v>
      </c>
      <c t="s">
        <v>35558</v>
      </c>
      <c t="s">
        <v>48537</v>
      </c>
      <c t="s">
        <v>23517</v>
      </c>
      <c t="s">
        <v>2517</v>
      </c>
      <c t="s">
        <v>39289</v>
      </c>
      <c>
        <v>33909</v>
      </c>
      <c t="s">
        <v>65568</v>
      </c>
      <c t="s">
        <v>48794</v>
      </c>
      <c t="s">
        <v>50980</v>
      </c>
      <c>
        <v>4694</v>
      </c>
      <c r="AI4636" t="s">
        <v>18019</v>
      </c>
      <c t="s">
        <v>45620</v>
      </c>
      <c>
        <v>282</v>
      </c>
      <c t="s">
        <v>65241</v>
      </c>
      <c t="s">
        <v>65241</v>
      </c>
      <c t="s">
        <v>17134</v>
      </c>
      <c t="s">
        <v>11284</v>
      </c>
      <c t="s">
        <v>49977</v>
      </c>
      <c t="s">
        <v>3093</v>
      </c>
      <c t="s">
        <v>14803</v>
      </c>
    </row>
    <row>
      <c t="s">
        <v>17594</v>
      </c>
      <c t="s">
        <v>57714</v>
      </c>
      <c t="s">
        <v>39701</v>
      </c>
      <c t="s">
        <v>29033</v>
      </c>
      <c t="s">
        <v>7044</v>
      </c>
      <c s="3">
        <v>28860</v>
      </c>
      <c s="3">
        <v>28860</v>
      </c>
      <c s="3">
        <v>28600</v>
      </c>
      <c>
        <v>0</v>
      </c>
      <c s="3">
        <v>0</v>
      </c>
      <c s="3">
        <v>393.89</v>
      </c>
      <c s="3">
        <v>28860</v>
      </c>
      <c r="O4637" s="1" t="str">
        <f ca="1">HYPERLINK("https://web.datatree.com/?/property?propertyId=33813464", "https://web.datatree.com/?/property?propertyId=33813464")</f>
        <v>https://web.datatree.com/?/property?propertyId=33813464</v>
      </c>
      <c r="Q4637" t="s">
        <v>316</v>
      </c>
      <c>
        <v>0.052</v>
      </c>
      <c t="s">
        <v>54329</v>
      </c>
      <c t="s">
        <v>32056</v>
      </c>
      <c t="s">
        <v>57324</v>
      </c>
      <c t="s">
        <v>43240</v>
      </c>
      <c t="s">
        <v>57324</v>
      </c>
      <c t="s">
        <v>30610</v>
      </c>
      <c t="s">
        <v>17602</v>
      </c>
      <c t="s">
        <v>65059</v>
      </c>
      <c t="s">
        <v>39289</v>
      </c>
      <c>
        <v>33908</v>
      </c>
      <c t="s">
        <v>34952</v>
      </c>
      <c t="s">
        <v>48794</v>
      </c>
      <c t="s">
        <v>58157</v>
      </c>
      <c>
        <v>222</v>
      </c>
      <c r="AH4637" t="s">
        <v>57851</v>
      </c>
      <c t="s">
        <v>2044</v>
      </c>
      <c t="s">
        <v>12406</v>
      </c>
      <c r="AL4637" t="s">
        <v>9980</v>
      </c>
      <c t="s">
        <v>9980</v>
      </c>
      <c t="s">
        <v>18236</v>
      </c>
      <c t="s">
        <v>60152</v>
      </c>
      <c t="s">
        <v>53800</v>
      </c>
      <c t="s">
        <v>3093</v>
      </c>
      <c t="s">
        <v>65348</v>
      </c>
    </row>
    <row>
      <c t="s">
        <v>17594</v>
      </c>
      <c t="s">
        <v>6631</v>
      </c>
      <c t="s">
        <v>55285</v>
      </c>
      <c t="s">
        <v>21033</v>
      </c>
      <c t="s">
        <v>62283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638" s="1" t="str">
        <f ca="1">HYPERLINK("https://web.datatree.com/?/property?propertyId=33813637", "https://web.datatree.com/?/property?propertyId=33813637")</f>
        <v>https://web.datatree.com/?/property?propertyId=33813637</v>
      </c>
      <c r="Q4638" t="s">
        <v>316</v>
      </c>
      <c>
        <v>0.23</v>
      </c>
      <c t="s">
        <v>6175</v>
      </c>
      <c r="U4638" t="s">
        <v>7575</v>
      </c>
      <c r="W4638" t="s">
        <v>60889</v>
      </c>
      <c t="s">
        <v>9342</v>
      </c>
      <c t="s">
        <v>30928</v>
      </c>
      <c t="s">
        <v>2517</v>
      </c>
      <c t="s">
        <v>39289</v>
      </c>
      <c>
        <v>33909</v>
      </c>
      <c t="s">
        <v>36343</v>
      </c>
      <c t="s">
        <v>48794</v>
      </c>
      <c t="s">
        <v>19701</v>
      </c>
      <c>
        <v>2842</v>
      </c>
      <c r="AI4638" t="s">
        <v>17151</v>
      </c>
      <c t="s">
        <v>1671</v>
      </c>
      <c r="AL4638" t="s">
        <v>46797</v>
      </c>
      <c t="s">
        <v>29985</v>
      </c>
      <c t="s">
        <v>39289</v>
      </c>
      <c t="s">
        <v>29087</v>
      </c>
      <c t="s">
        <v>61963</v>
      </c>
      <c t="s">
        <v>3093</v>
      </c>
      <c t="s">
        <v>47163</v>
      </c>
    </row>
    <row>
      <c t="s">
        <v>17594</v>
      </c>
      <c t="s">
        <v>54252</v>
      </c>
      <c t="s">
        <v>39652</v>
      </c>
      <c t="s">
        <v>59045</v>
      </c>
      <c t="s">
        <v>18096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4639" s="1" t="str">
        <f ca="1">HYPERLINK("https://web.datatree.com/?/property?propertyId=33814395", "https://web.datatree.com/?/property?propertyId=33814395")</f>
        <v>https://web.datatree.com/?/property?propertyId=33814395</v>
      </c>
      <c r="Q4639" t="s">
        <v>316</v>
      </c>
      <c>
        <v>0.23</v>
      </c>
      <c t="s">
        <v>22490</v>
      </c>
      <c t="s">
        <v>28275</v>
      </c>
      <c t="s">
        <v>62854</v>
      </c>
      <c r="X4639" t="s">
        <v>47867</v>
      </c>
      <c t="s">
        <v>47150</v>
      </c>
      <c t="s">
        <v>2517</v>
      </c>
      <c t="s">
        <v>39289</v>
      </c>
      <c>
        <v>33909</v>
      </c>
      <c t="s">
        <v>64184</v>
      </c>
      <c t="s">
        <v>48794</v>
      </c>
      <c t="s">
        <v>3037</v>
      </c>
      <c>
        <v>6101</v>
      </c>
      <c r="AI4639" t="s">
        <v>21149</v>
      </c>
      <c t="s">
        <v>4985</v>
      </c>
      <c>
        <v>704</v>
      </c>
      <c t="s">
        <v>11713</v>
      </c>
      <c t="s">
        <v>21149</v>
      </c>
      <c t="s">
        <v>39289</v>
      </c>
      <c t="s">
        <v>58781</v>
      </c>
      <c t="s">
        <v>62701</v>
      </c>
      <c t="s">
        <v>3093</v>
      </c>
      <c t="s">
        <v>2562</v>
      </c>
    </row>
    <row>
      <c t="s">
        <v>17594</v>
      </c>
      <c t="s">
        <v>14036</v>
      </c>
      <c t="s">
        <v>67068</v>
      </c>
      <c t="s">
        <v>45742</v>
      </c>
      <c t="s">
        <v>37913</v>
      </c>
      <c s="3">
        <v>248976</v>
      </c>
      <c s="3">
        <v>248976</v>
      </c>
      <c s="3">
        <v>167200</v>
      </c>
      <c>
        <v>0</v>
      </c>
      <c s="3">
        <v>0</v>
      </c>
      <c s="3">
        <v>3058.04</v>
      </c>
      <c s="3">
        <v>248976</v>
      </c>
      <c r="O4640" s="1" t="str">
        <f ca="1">HYPERLINK("https://web.datatree.com/?/property?propertyId=33814400", "https://web.datatree.com/?/property?propertyId=33814400")</f>
        <v>https://web.datatree.com/?/property?propertyId=33814400</v>
      </c>
      <c r="Q4640" t="s">
        <v>316</v>
      </c>
      <c>
        <v>0.285</v>
      </c>
      <c t="s">
        <v>5471</v>
      </c>
      <c r="U4640" t="s">
        <v>14643</v>
      </c>
      <c r="W4640" t="s">
        <v>61381</v>
      </c>
      <c t="s">
        <v>1354</v>
      </c>
      <c t="s">
        <v>35789</v>
      </c>
      <c t="s">
        <v>65059</v>
      </c>
      <c t="s">
        <v>39289</v>
      </c>
      <c>
        <v>33905</v>
      </c>
      <c t="s">
        <v>33580</v>
      </c>
      <c t="s">
        <v>48794</v>
      </c>
      <c t="s">
        <v>8350</v>
      </c>
      <c>
        <v>13410</v>
      </c>
      <c r="AI4640" t="s">
        <v>66056</v>
      </c>
      <c t="s">
        <v>45393</v>
      </c>
      <c r="AL4640" t="s">
        <v>54859</v>
      </c>
      <c r="AN4640" t="s">
        <v>26304</v>
      </c>
      <c t="s">
        <v>50011</v>
      </c>
      <c t="s">
        <v>17093</v>
      </c>
      <c t="s">
        <v>3093</v>
      </c>
      <c t="s">
        <v>37060</v>
      </c>
    </row>
    <row>
      <c t="s">
        <v>42103</v>
      </c>
      <c t="s">
        <v>7037</v>
      </c>
      <c t="s">
        <v>13501</v>
      </c>
      <c t="s">
        <v>60053</v>
      </c>
      <c t="s">
        <v>62815</v>
      </c>
      <c s="3">
        <v>13500</v>
      </c>
      <c s="3">
        <v>13500</v>
      </c>
      <c s="3">
        <v>13500</v>
      </c>
      <c>
        <v>0</v>
      </c>
      <c s="3">
        <v>0</v>
      </c>
      <c r="L4641" s="3">
        <v>13500</v>
      </c>
      <c r="O4641" s="1" t="str">
        <f ca="1">HYPERLINK("https://web.datatree.com/?/property?propertyId=33815014", "https://web.datatree.com/?/property?propertyId=33815014")</f>
        <v>https://web.datatree.com/?/property?propertyId=33815014</v>
      </c>
      <c r="Q4641" t="s">
        <v>316</v>
      </c>
      <c>
        <v>0.05</v>
      </c>
      <c t="s">
        <v>56068</v>
      </c>
      <c t="s">
        <v>10361</v>
      </c>
      <c t="s">
        <v>28089</v>
      </c>
      <c t="s">
        <v>16893</v>
      </c>
      <c t="s">
        <v>28089</v>
      </c>
      <c t="s">
        <v>54801</v>
      </c>
      <c t="s">
        <v>36639</v>
      </c>
      <c t="s">
        <v>2517</v>
      </c>
      <c t="s">
        <v>39289</v>
      </c>
      <c>
        <v>33909</v>
      </c>
      <c t="s">
        <v>10196</v>
      </c>
      <c t="s">
        <v>48794</v>
      </c>
      <c t="s">
        <v>47142</v>
      </c>
      <c r="AI4641" t="s">
        <v>28356</v>
      </c>
      <c r="AK4641">
        <v>300</v>
      </c>
      <c t="s">
        <v>52947</v>
      </c>
      <c t="s">
        <v>49792</v>
      </c>
      <c t="s">
        <v>5982</v>
      </c>
      <c t="s">
        <v>31227</v>
      </c>
      <c t="s">
        <v>31451</v>
      </c>
      <c t="s">
        <v>3093</v>
      </c>
      <c t="s">
        <v>46282</v>
      </c>
    </row>
    <row>
      <c t="s">
        <v>17594</v>
      </c>
      <c t="s">
        <v>22064</v>
      </c>
      <c t="s">
        <v>19766</v>
      </c>
      <c t="s">
        <v>29154</v>
      </c>
      <c t="s">
        <v>31776</v>
      </c>
      <c s="3">
        <v>12743</v>
      </c>
      <c s="3">
        <v>12743</v>
      </c>
      <c s="3">
        <v>3370</v>
      </c>
      <c>
        <v>0</v>
      </c>
      <c s="3">
        <v>0</v>
      </c>
      <c s="3">
        <v>99.95</v>
      </c>
      <c s="3">
        <v>12743</v>
      </c>
      <c r="O4642" s="1" t="str">
        <f ca="1">HYPERLINK("https://web.datatree.com/?/property?propertyId=33815072", "https://web.datatree.com/?/property?propertyId=33815072")</f>
        <v>https://web.datatree.com/?/property?propertyId=33815072</v>
      </c>
      <c r="Q4642" t="s">
        <v>316</v>
      </c>
      <c>
        <v>0.201</v>
      </c>
      <c r="T4642" t="s">
        <v>54449</v>
      </c>
      <c t="s">
        <v>50118</v>
      </c>
      <c r="X4642" t="s">
        <v>21653</v>
      </c>
      <c t="s">
        <v>32992</v>
      </c>
      <c t="s">
        <v>65059</v>
      </c>
      <c t="s">
        <v>39289</v>
      </c>
      <c>
        <v>33907</v>
      </c>
      <c>
        <v>33907</v>
      </c>
      <c t="s">
        <v>48794</v>
      </c>
      <c t="s">
        <v>20025</v>
      </c>
      <c>
        <v>3488</v>
      </c>
      <c r="AI4642" t="s">
        <v>39580</v>
      </c>
      <c t="s">
        <v>31192</v>
      </c>
      <c r="AL4642" t="s">
        <v>38206</v>
      </c>
      <c t="s">
        <v>38206</v>
      </c>
      <c t="s">
        <v>39289</v>
      </c>
      <c t="s">
        <v>17281</v>
      </c>
      <c t="s">
        <v>65529</v>
      </c>
      <c t="s">
        <v>3093</v>
      </c>
      <c t="s">
        <v>60596</v>
      </c>
    </row>
    <row>
      <c t="s">
        <v>17594</v>
      </c>
      <c t="s">
        <v>7169</v>
      </c>
      <c s="4" t="s">
        <v>25430</v>
      </c>
      <c t="s">
        <v>59924</v>
      </c>
      <c t="s">
        <v>14186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643" s="1" t="str">
        <f ca="1">HYPERLINK("https://web.datatree.com/?/property?propertyId=33815473", "https://web.datatree.com/?/property?propertyId=33815473")</f>
        <v>https://web.datatree.com/?/property?propertyId=33815473</v>
      </c>
      <c r="Q4643" t="s">
        <v>316</v>
      </c>
      <c>
        <v>0.241</v>
      </c>
      <c t="s">
        <v>6175</v>
      </c>
      <c t="s">
        <v>58276</v>
      </c>
      <c t="s">
        <v>34421</v>
      </c>
      <c t="s">
        <v>27351</v>
      </c>
      <c t="s">
        <v>34421</v>
      </c>
      <c t="s">
        <v>52293</v>
      </c>
      <c t="s">
        <v>49122</v>
      </c>
      <c t="s">
        <v>2517</v>
      </c>
      <c t="s">
        <v>39289</v>
      </c>
      <c>
        <v>33909</v>
      </c>
      <c t="s">
        <v>3116</v>
      </c>
      <c t="s">
        <v>48794</v>
      </c>
      <c t="s">
        <v>51238</v>
      </c>
      <c>
        <v>5</v>
      </c>
      <c r="AI4643" t="s">
        <v>63596</v>
      </c>
      <c t="s">
        <v>55842</v>
      </c>
      <c r="AL4643" t="s">
        <v>19948</v>
      </c>
      <c r="AN4643" t="s">
        <v>50917</v>
      </c>
      <c t="s">
        <v>4852</v>
      </c>
      <c t="s">
        <v>23744</v>
      </c>
      <c t="s">
        <v>3093</v>
      </c>
      <c s="4" t="s">
        <v>26139</v>
      </c>
    </row>
    <row>
      <c t="s">
        <v>17594</v>
      </c>
      <c t="s">
        <v>7569</v>
      </c>
      <c t="s">
        <v>19448</v>
      </c>
      <c t="s">
        <v>15150</v>
      </c>
      <c t="s">
        <v>24755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4644" s="1" t="str">
        <f ca="1">HYPERLINK("https://web.datatree.com/?/property?propertyId=33815796", "https://web.datatree.com/?/property?propertyId=33815796")</f>
        <v>https://web.datatree.com/?/property?propertyId=33815796</v>
      </c>
      <c r="Q4644" t="s">
        <v>316</v>
      </c>
      <c>
        <v>0.23</v>
      </c>
      <c t="s">
        <v>6175</v>
      </c>
      <c t="s">
        <v>24179</v>
      </c>
      <c t="s">
        <v>61062</v>
      </c>
      <c r="X4644" t="s">
        <v>52511</v>
      </c>
      <c t="s">
        <v>53663</v>
      </c>
      <c t="s">
        <v>2517</v>
      </c>
      <c t="s">
        <v>39289</v>
      </c>
      <c>
        <v>33909</v>
      </c>
      <c t="s">
        <v>24006</v>
      </c>
      <c t="s">
        <v>48794</v>
      </c>
      <c t="s">
        <v>34451</v>
      </c>
      <c>
        <v>3875</v>
      </c>
      <c r="AI4644" t="s">
        <v>24697</v>
      </c>
      <c t="s">
        <v>45393</v>
      </c>
      <c r="AL4644" t="s">
        <v>59391</v>
      </c>
      <c r="AN4644" t="s">
        <v>39289</v>
      </c>
      <c t="s">
        <v>49810</v>
      </c>
      <c t="s">
        <v>4797</v>
      </c>
      <c t="s">
        <v>3093</v>
      </c>
      <c t="s">
        <v>29480</v>
      </c>
    </row>
    <row>
      <c t="s">
        <v>17594</v>
      </c>
      <c t="s">
        <v>29895</v>
      </c>
      <c t="s">
        <v>20849</v>
      </c>
      <c t="s">
        <v>63651</v>
      </c>
      <c t="s">
        <v>24934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4645" s="1" t="str">
        <f ca="1">HYPERLINK("https://web.datatree.com/?/property?propertyId=33817239", "https://web.datatree.com/?/property?propertyId=33817239")</f>
        <v>https://web.datatree.com/?/property?propertyId=33817239</v>
      </c>
      <c r="Q4645" t="s">
        <v>316</v>
      </c>
      <c>
        <v>0.229</v>
      </c>
      <c t="s">
        <v>45031</v>
      </c>
      <c t="s">
        <v>552</v>
      </c>
      <c t="s">
        <v>2177</v>
      </c>
      <c t="s">
        <v>1272</v>
      </c>
      <c t="s">
        <v>2177</v>
      </c>
      <c t="s">
        <v>64973</v>
      </c>
      <c t="s">
        <v>47150</v>
      </c>
      <c t="s">
        <v>2517</v>
      </c>
      <c t="s">
        <v>39289</v>
      </c>
      <c>
        <v>33909</v>
      </c>
      <c t="s">
        <v>19793</v>
      </c>
      <c t="s">
        <v>48794</v>
      </c>
      <c t="s">
        <v>33039</v>
      </c>
      <c>
        <v>9153</v>
      </c>
      <c r="AI4645" t="s">
        <v>22921</v>
      </c>
      <c t="s">
        <v>31192</v>
      </c>
      <c r="AL4645" t="s">
        <v>11713</v>
      </c>
      <c r="AN4645" t="s">
        <v>39289</v>
      </c>
      <c t="s">
        <v>5242</v>
      </c>
      <c t="s">
        <v>35085</v>
      </c>
      <c t="s">
        <v>3093</v>
      </c>
      <c t="s">
        <v>31506</v>
      </c>
    </row>
    <row>
      <c t="s">
        <v>42103</v>
      </c>
      <c t="s">
        <v>4018</v>
      </c>
      <c t="s">
        <v>137</v>
      </c>
      <c t="s">
        <v>56466</v>
      </c>
      <c t="s">
        <v>28686</v>
      </c>
      <c s="3">
        <v>917804</v>
      </c>
      <c s="3">
        <v>901150</v>
      </c>
      <c s="3">
        <v>439575</v>
      </c>
      <c>
        <v>0</v>
      </c>
      <c s="3">
        <v>0</v>
      </c>
      <c s="3">
        <v>7085.8</v>
      </c>
      <c s="3">
        <v>917804</v>
      </c>
      <c r="O4646" s="1" t="str">
        <f ca="1">HYPERLINK("https://web.datatree.com/?/property?propertyId=33817294", "https://web.datatree.com/?/property?propertyId=33817294")</f>
        <v>https://web.datatree.com/?/property?propertyId=33817294</v>
      </c>
      <c r="Q4646" t="s">
        <v>316</v>
      </c>
      <c>
        <v>14.27</v>
      </c>
      <c t="s">
        <v>30497</v>
      </c>
      <c r="U4646" t="s">
        <v>66650</v>
      </c>
      <c r="W4646" t="s">
        <v>6893</v>
      </c>
      <c t="s">
        <v>11137</v>
      </c>
      <c t="s">
        <v>51919</v>
      </c>
      <c t="s">
        <v>65059</v>
      </c>
      <c t="s">
        <v>39289</v>
      </c>
      <c>
        <v>33905</v>
      </c>
      <c t="s">
        <v>31026</v>
      </c>
      <c t="s">
        <v>48794</v>
      </c>
      <c t="s">
        <v>54485</v>
      </c>
      <c r="AI4646" t="s">
        <v>7479</v>
      </c>
      <c r="AL4646" t="s">
        <v>34925</v>
      </c>
      <c t="s">
        <v>34925</v>
      </c>
      <c t="s">
        <v>39289</v>
      </c>
      <c>
        <v>33859</v>
      </c>
      <c t="s">
        <v>23536</v>
      </c>
      <c t="s">
        <v>3093</v>
      </c>
      <c t="s">
        <v>30127</v>
      </c>
    </row>
    <row>
      <c t="s">
        <v>17594</v>
      </c>
      <c t="s">
        <v>59809</v>
      </c>
      <c t="s">
        <v>20246</v>
      </c>
      <c t="s">
        <v>22533</v>
      </c>
      <c t="s">
        <v>61318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647" s="1" t="str">
        <f ca="1">HYPERLINK("https://web.datatree.com/?/property?propertyId=33817990", "https://web.datatree.com/?/property?propertyId=33817990")</f>
        <v>https://web.datatree.com/?/property?propertyId=33817990</v>
      </c>
      <c r="Q4647" t="s">
        <v>316</v>
      </c>
      <c>
        <v>0.23</v>
      </c>
      <c t="s">
        <v>45031</v>
      </c>
      <c t="s">
        <v>25282</v>
      </c>
      <c t="s">
        <v>20248</v>
      </c>
      <c t="s">
        <v>11223</v>
      </c>
      <c t="s">
        <v>20248</v>
      </c>
      <c t="s">
        <v>19460</v>
      </c>
      <c t="s">
        <v>22731</v>
      </c>
      <c t="s">
        <v>2517</v>
      </c>
      <c t="s">
        <v>39289</v>
      </c>
      <c>
        <v>33909</v>
      </c>
      <c t="s">
        <v>57047</v>
      </c>
      <c t="s">
        <v>48794</v>
      </c>
      <c t="s">
        <v>427</v>
      </c>
      <c>
        <v>2470</v>
      </c>
      <c r="AH4647" t="s">
        <v>60953</v>
      </c>
      <c t="s">
        <v>22247</v>
      </c>
      <c t="s">
        <v>53987</v>
      </c>
      <c r="AL4647" t="s">
        <v>7368</v>
      </c>
      <c r="AN4647" t="s">
        <v>66651</v>
      </c>
      <c t="s">
        <v>45815</v>
      </c>
      <c t="s">
        <v>34171</v>
      </c>
      <c t="s">
        <v>3093</v>
      </c>
      <c t="s">
        <v>2417</v>
      </c>
    </row>
    <row>
      <c t="s">
        <v>17594</v>
      </c>
      <c t="s">
        <v>52733</v>
      </c>
      <c t="s">
        <v>21050</v>
      </c>
      <c t="s">
        <v>529</v>
      </c>
      <c t="s">
        <v>51340</v>
      </c>
      <c s="3">
        <v>100185</v>
      </c>
      <c s="3">
        <v>90000</v>
      </c>
      <c s="3">
        <v>100185</v>
      </c>
      <c>
        <v>0</v>
      </c>
      <c s="3">
        <v>0</v>
      </c>
      <c s="3">
        <v>1504.84</v>
      </c>
      <c s="3">
        <v>100185</v>
      </c>
      <c r="O4648" s="1" t="str">
        <f ca="1">HYPERLINK("https://web.datatree.com/?/property?propertyId=33818083", "https://web.datatree.com/?/property?propertyId=33818083")</f>
        <v>https://web.datatree.com/?/property?propertyId=33818083</v>
      </c>
      <c r="Q4648" t="s">
        <v>316</v>
      </c>
      <c>
        <v>0.095</v>
      </c>
      <c t="s">
        <v>26492</v>
      </c>
      <c r="U4648" t="s">
        <v>7977</v>
      </c>
      <c r="W4648" t="s">
        <v>50995</v>
      </c>
      <c t="s">
        <v>10866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34190</v>
      </c>
      <c>
        <v>167</v>
      </c>
      <c r="AI4648" t="s">
        <v>11568</v>
      </c>
      <c t="s">
        <v>31192</v>
      </c>
      <c r="AL4648" t="s">
        <v>4769</v>
      </c>
      <c t="s">
        <v>4769</v>
      </c>
      <c t="s">
        <v>50829</v>
      </c>
      <c t="s">
        <v>22164</v>
      </c>
      <c t="s">
        <v>60160</v>
      </c>
      <c t="s">
        <v>3093</v>
      </c>
      <c t="s">
        <v>30835</v>
      </c>
    </row>
    <row>
      <c t="s">
        <v>17594</v>
      </c>
      <c t="s">
        <v>43051</v>
      </c>
      <c t="s">
        <v>51052</v>
      </c>
      <c t="s">
        <v>51719</v>
      </c>
      <c t="s">
        <v>19396</v>
      </c>
      <c s="3">
        <v>19200</v>
      </c>
      <c s="3">
        <v>19200</v>
      </c>
      <c s="3">
        <v>19200</v>
      </c>
      <c>
        <v>0</v>
      </c>
      <c s="3">
        <v>0</v>
      </c>
      <c s="3">
        <v>679.59</v>
      </c>
      <c s="3">
        <v>19200</v>
      </c>
      <c>
        <v>2021</v>
      </c>
      <c>
        <v>606.31</v>
      </c>
      <c s="1" t="str">
        <f ca="1">HYPERLINK("https://web.datatree.com/?/property?propertyId=33818526", "https://web.datatree.com/?/property?propertyId=33818526")</f>
        <v>https://web.datatree.com/?/property?propertyId=33818526</v>
      </c>
      <c r="Q4649" t="s">
        <v>316</v>
      </c>
      <c>
        <v>0.244</v>
      </c>
      <c t="s">
        <v>28270</v>
      </c>
      <c t="s">
        <v>18479</v>
      </c>
      <c t="s">
        <v>29670</v>
      </c>
      <c r="X4649" t="s">
        <v>4248</v>
      </c>
      <c t="s">
        <v>39082</v>
      </c>
      <c t="s">
        <v>2517</v>
      </c>
      <c t="s">
        <v>39289</v>
      </c>
      <c>
        <v>33909</v>
      </c>
      <c t="s">
        <v>27051</v>
      </c>
      <c t="s">
        <v>48794</v>
      </c>
      <c t="s">
        <v>63864</v>
      </c>
      <c>
        <v>12104</v>
      </c>
      <c r="AI4649" t="s">
        <v>16217</v>
      </c>
      <c t="s">
        <v>31192</v>
      </c>
      <c r="AL4649" t="s">
        <v>32381</v>
      </c>
      <c r="AN4649" t="s">
        <v>39289</v>
      </c>
      <c t="s">
        <v>21522</v>
      </c>
      <c t="s">
        <v>22455</v>
      </c>
      <c t="s">
        <v>3093</v>
      </c>
      <c t="s">
        <v>53775</v>
      </c>
    </row>
    <row>
      <c t="s">
        <v>17594</v>
      </c>
      <c t="s">
        <v>33175</v>
      </c>
      <c t="s">
        <v>32917</v>
      </c>
      <c t="s">
        <v>57025</v>
      </c>
      <c t="s">
        <v>9119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4650" s="1" t="str">
        <f ca="1">HYPERLINK("https://web.datatree.com/?/property?propertyId=33818860", "https://web.datatree.com/?/property?propertyId=33818860")</f>
        <v>https://web.datatree.com/?/property?propertyId=33818860</v>
      </c>
      <c r="Q4650" t="s">
        <v>316</v>
      </c>
      <c>
        <v>0.23</v>
      </c>
      <c t="s">
        <v>6175</v>
      </c>
      <c t="s">
        <v>40553</v>
      </c>
      <c t="s">
        <v>40852</v>
      </c>
      <c r="X4650" t="s">
        <v>13688</v>
      </c>
      <c t="s">
        <v>2619</v>
      </c>
      <c t="s">
        <v>2517</v>
      </c>
      <c t="s">
        <v>39289</v>
      </c>
      <c>
        <v>33909</v>
      </c>
      <c t="s">
        <v>11622</v>
      </c>
      <c t="s">
        <v>48794</v>
      </c>
      <c t="s">
        <v>49811</v>
      </c>
      <c>
        <v>34</v>
      </c>
      <c r="AI4650" t="s">
        <v>37172</v>
      </c>
      <c t="s">
        <v>40123</v>
      </c>
      <c r="AL4650" t="s">
        <v>66317</v>
      </c>
      <c r="AN4650" t="s">
        <v>50917</v>
      </c>
      <c t="s">
        <v>32256</v>
      </c>
      <c t="s">
        <v>31626</v>
      </c>
      <c t="s">
        <v>3093</v>
      </c>
      <c t="s">
        <v>612</v>
      </c>
    </row>
    <row>
      <c t="s">
        <v>17594</v>
      </c>
      <c t="s">
        <v>17996</v>
      </c>
      <c t="s">
        <v>57218</v>
      </c>
      <c t="s">
        <v>38833</v>
      </c>
      <c t="s">
        <v>57795</v>
      </c>
      <c s="3">
        <v>74028</v>
      </c>
      <c s="3">
        <v>63500</v>
      </c>
      <c s="3">
        <v>71303</v>
      </c>
      <c>
        <v>0</v>
      </c>
      <c s="3">
        <v>0</v>
      </c>
      <c s="3">
        <v>1087.55</v>
      </c>
      <c s="3">
        <v>74028</v>
      </c>
      <c r="O4651" s="1" t="str">
        <f ca="1">HYPERLINK("https://web.datatree.com/?/property?propertyId=33818960", "https://web.datatree.com/?/property?propertyId=33818960")</f>
        <v>https://web.datatree.com/?/property?propertyId=33818960</v>
      </c>
      <c r="Q4651" t="s">
        <v>316</v>
      </c>
      <c>
        <v>0.108</v>
      </c>
      <c t="s">
        <v>26492</v>
      </c>
      <c t="s">
        <v>61500</v>
      </c>
      <c t="s">
        <v>32118</v>
      </c>
      <c t="s">
        <v>2140</v>
      </c>
      <c t="s">
        <v>32118</v>
      </c>
      <c t="s">
        <v>32089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4628</v>
      </c>
      <c>
        <v>340</v>
      </c>
      <c r="AI4651" t="s">
        <v>63951</v>
      </c>
      <c t="s">
        <v>64789</v>
      </c>
      <c r="AL4651" t="s">
        <v>28091</v>
      </c>
      <c t="s">
        <v>40227</v>
      </c>
      <c t="s">
        <v>32576</v>
      </c>
      <c t="s">
        <v>66270</v>
      </c>
      <c t="s">
        <v>52247</v>
      </c>
      <c t="s">
        <v>3093</v>
      </c>
      <c t="s">
        <v>35657</v>
      </c>
    </row>
    <row>
      <c t="s">
        <v>17594</v>
      </c>
      <c t="s">
        <v>15160</v>
      </c>
      <c t="s">
        <v>32811</v>
      </c>
      <c t="s">
        <v>13865</v>
      </c>
      <c t="s">
        <v>847</v>
      </c>
      <c s="3">
        <v>20900</v>
      </c>
      <c s="3">
        <v>20900</v>
      </c>
      <c s="3">
        <v>20900</v>
      </c>
      <c>
        <v>0</v>
      </c>
      <c s="3">
        <v>0</v>
      </c>
      <c s="3">
        <v>704.58</v>
      </c>
      <c s="3">
        <v>20900</v>
      </c>
      <c r="O4652" s="1" t="str">
        <f ca="1">HYPERLINK("https://web.datatree.com/?/property?propertyId=33819480", "https://web.datatree.com/?/property?propertyId=33819480")</f>
        <v>https://web.datatree.com/?/property?propertyId=33819480</v>
      </c>
      <c r="Q4652" t="s">
        <v>316</v>
      </c>
      <c>
        <v>0.23</v>
      </c>
      <c t="s">
        <v>22490</v>
      </c>
      <c t="s">
        <v>63106</v>
      </c>
      <c t="s">
        <v>23477</v>
      </c>
      <c r="X4652" t="s">
        <v>51643</v>
      </c>
      <c t="s">
        <v>23050</v>
      </c>
      <c t="s">
        <v>2517</v>
      </c>
      <c t="s">
        <v>39289</v>
      </c>
      <c>
        <v>33909</v>
      </c>
      <c>
        <v>33909</v>
      </c>
      <c t="s">
        <v>48794</v>
      </c>
      <c t="s">
        <v>37993</v>
      </c>
      <c>
        <v>2660</v>
      </c>
      <c r="AI4652" t="s">
        <v>43017</v>
      </c>
      <c t="s">
        <v>45393</v>
      </c>
      <c r="AL4652" t="s">
        <v>18475</v>
      </c>
      <c t="s">
        <v>18475</v>
      </c>
      <c t="s">
        <v>22275</v>
      </c>
      <c t="s">
        <v>9463</v>
      </c>
      <c t="s">
        <v>45980</v>
      </c>
      <c t="s">
        <v>3093</v>
      </c>
      <c t="s">
        <v>2305</v>
      </c>
    </row>
    <row>
      <c t="s">
        <v>42103</v>
      </c>
      <c t="s">
        <v>64197</v>
      </c>
      <c t="s">
        <v>34472</v>
      </c>
      <c t="s">
        <v>46042</v>
      </c>
      <c t="s">
        <v>44053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4653" s="1" t="str">
        <f ca="1">HYPERLINK("https://web.datatree.com/?/property?propertyId=33819589", "https://web.datatree.com/?/property?propertyId=33819589")</f>
        <v>https://web.datatree.com/?/property?propertyId=33819589</v>
      </c>
      <c r="Q4653" t="s">
        <v>316</v>
      </c>
      <c>
        <v>0.23</v>
      </c>
      <c t="s">
        <v>6175</v>
      </c>
      <c t="s">
        <v>19965</v>
      </c>
      <c t="s">
        <v>57654</v>
      </c>
      <c r="X4653" t="s">
        <v>56438</v>
      </c>
      <c t="s">
        <v>14917</v>
      </c>
      <c t="s">
        <v>2517</v>
      </c>
      <c t="s">
        <v>39289</v>
      </c>
      <c>
        <v>33909</v>
      </c>
      <c t="s">
        <v>3053</v>
      </c>
      <c t="s">
        <v>48794</v>
      </c>
      <c t="s">
        <v>40356</v>
      </c>
      <c r="AI4653" t="s">
        <v>17400</v>
      </c>
      <c r="AL4653" t="s">
        <v>11713</v>
      </c>
      <c r="AN4653" t="s">
        <v>39289</v>
      </c>
      <c t="s">
        <v>48655</v>
      </c>
      <c t="s">
        <v>60121</v>
      </c>
      <c t="s">
        <v>3093</v>
      </c>
      <c t="s">
        <v>24702</v>
      </c>
    </row>
    <row>
      <c t="s">
        <v>17594</v>
      </c>
      <c t="s">
        <v>37875</v>
      </c>
      <c t="s">
        <v>58316</v>
      </c>
      <c t="s">
        <v>9340</v>
      </c>
      <c t="s">
        <v>41982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654" s="1" t="str">
        <f ca="1">HYPERLINK("https://web.datatree.com/?/property?propertyId=33820484", "https://web.datatree.com/?/property?propertyId=33820484")</f>
        <v>https://web.datatree.com/?/property?propertyId=33820484</v>
      </c>
      <c r="Q4654" t="s">
        <v>316</v>
      </c>
      <c>
        <v>0.23</v>
      </c>
      <c t="s">
        <v>6175</v>
      </c>
      <c t="s">
        <v>11810</v>
      </c>
      <c t="s">
        <v>2263</v>
      </c>
      <c t="s">
        <v>26023</v>
      </c>
      <c t="s">
        <v>5888</v>
      </c>
      <c t="s">
        <v>28741</v>
      </c>
      <c t="s">
        <v>2626</v>
      </c>
      <c t="s">
        <v>2517</v>
      </c>
      <c t="s">
        <v>39289</v>
      </c>
      <c>
        <v>33909</v>
      </c>
      <c t="s">
        <v>30690</v>
      </c>
      <c t="s">
        <v>48794</v>
      </c>
      <c t="s">
        <v>54112</v>
      </c>
      <c r="AI4654" t="s">
        <v>1614</v>
      </c>
      <c r="AL4654" t="s">
        <v>63745</v>
      </c>
      <c t="s">
        <v>63745</v>
      </c>
      <c t="s">
        <v>9533</v>
      </c>
      <c>
        <v>969</v>
      </c>
      <c r="AQ4654" t="s">
        <v>3093</v>
      </c>
      <c t="s">
        <v>9347</v>
      </c>
    </row>
    <row>
      <c t="s">
        <v>17594</v>
      </c>
      <c t="s">
        <v>66017</v>
      </c>
      <c t="s">
        <v>6023</v>
      </c>
      <c t="s">
        <v>24696</v>
      </c>
      <c t="s">
        <v>50388</v>
      </c>
      <c s="3">
        <v>105542</v>
      </c>
      <c s="3">
        <v>93500</v>
      </c>
      <c s="3">
        <v>105542</v>
      </c>
      <c>
        <v>0</v>
      </c>
      <c s="3">
        <v>0</v>
      </c>
      <c s="3">
        <v>1585.02</v>
      </c>
      <c s="3">
        <v>105542</v>
      </c>
      <c r="O4655" s="1" t="str">
        <f ca="1">HYPERLINK("https://web.datatree.com/?/property?propertyId=33821774", "https://web.datatree.com/?/property?propertyId=33821774")</f>
        <v>https://web.datatree.com/?/property?propertyId=33821774</v>
      </c>
      <c r="Q4655" t="s">
        <v>316</v>
      </c>
      <c>
        <v>0.095</v>
      </c>
      <c t="s">
        <v>26492</v>
      </c>
      <c t="s">
        <v>65572</v>
      </c>
      <c t="s">
        <v>15981</v>
      </c>
      <c r="X4655" t="s">
        <v>35125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18992</v>
      </c>
      <c>
        <v>44</v>
      </c>
      <c r="AI4655" t="s">
        <v>43555</v>
      </c>
      <c t="s">
        <v>31192</v>
      </c>
      <c r="AL4655" t="s">
        <v>40821</v>
      </c>
      <c t="s">
        <v>40227</v>
      </c>
      <c t="s">
        <v>50917</v>
      </c>
      <c t="s">
        <v>42643</v>
      </c>
      <c t="s">
        <v>22152</v>
      </c>
      <c t="s">
        <v>3093</v>
      </c>
      <c t="s">
        <v>33354</v>
      </c>
    </row>
    <row>
      <c t="s">
        <v>17594</v>
      </c>
      <c t="s">
        <v>24158</v>
      </c>
      <c t="s">
        <v>37276</v>
      </c>
      <c t="s">
        <v>60828</v>
      </c>
      <c t="s">
        <v>53442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4656" s="1" t="str">
        <f ca="1">HYPERLINK("https://web.datatree.com/?/property?propertyId=33821960", "https://web.datatree.com/?/property?propertyId=33821960")</f>
        <v>https://web.datatree.com/?/property?propertyId=33821960</v>
      </c>
      <c r="Q4656" t="s">
        <v>316</v>
      </c>
      <c>
        <v>0.23</v>
      </c>
      <c t="s">
        <v>6175</v>
      </c>
      <c t="s">
        <v>4785</v>
      </c>
      <c t="s">
        <v>66364</v>
      </c>
      <c t="s">
        <v>40050</v>
      </c>
      <c t="s">
        <v>37991</v>
      </c>
      <c t="s">
        <v>59766</v>
      </c>
      <c t="s">
        <v>18679</v>
      </c>
      <c t="s">
        <v>2517</v>
      </c>
      <c t="s">
        <v>39289</v>
      </c>
      <c>
        <v>33909</v>
      </c>
      <c t="s">
        <v>4501</v>
      </c>
      <c t="s">
        <v>48794</v>
      </c>
      <c t="s">
        <v>35950</v>
      </c>
      <c>
        <v>4005</v>
      </c>
      <c r="AI4656" t="s">
        <v>18679</v>
      </c>
      <c t="s">
        <v>24900</v>
      </c>
      <c r="AL4656" t="s">
        <v>23311</v>
      </c>
      <c t="s">
        <v>23311</v>
      </c>
      <c t="s">
        <v>56163</v>
      </c>
      <c t="s">
        <v>26703</v>
      </c>
      <c t="s">
        <v>14845</v>
      </c>
      <c t="s">
        <v>3093</v>
      </c>
      <c t="s">
        <v>51470</v>
      </c>
    </row>
    <row>
      <c t="s">
        <v>17594</v>
      </c>
      <c t="s">
        <v>63765</v>
      </c>
      <c t="s">
        <v>5597</v>
      </c>
      <c t="s">
        <v>35454</v>
      </c>
      <c t="s">
        <v>15816</v>
      </c>
      <c s="3">
        <v>74147</v>
      </c>
      <c s="3">
        <v>67250</v>
      </c>
      <c s="3">
        <v>71081</v>
      </c>
      <c>
        <v>0</v>
      </c>
      <c s="3">
        <v>0</v>
      </c>
      <c s="3">
        <v>1086.12</v>
      </c>
      <c s="3">
        <v>74147</v>
      </c>
      <c>
        <v>2021</v>
      </c>
      <c>
        <v>1172.16</v>
      </c>
      <c s="1" t="str">
        <f ca="1">HYPERLINK("https://web.datatree.com/?/property?propertyId=33822223", "https://web.datatree.com/?/property?propertyId=33822223")</f>
        <v>https://web.datatree.com/?/property?propertyId=33822223</v>
      </c>
      <c r="Q4657" t="s">
        <v>316</v>
      </c>
      <c>
        <v>0.118</v>
      </c>
      <c t="s">
        <v>26492</v>
      </c>
      <c t="s">
        <v>44541</v>
      </c>
      <c t="s">
        <v>18314</v>
      </c>
      <c t="s">
        <v>11223</v>
      </c>
      <c t="s">
        <v>18314</v>
      </c>
      <c t="s">
        <v>59753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50122</v>
      </c>
      <c>
        <v>3160</v>
      </c>
      <c r="AI4657" t="s">
        <v>58196</v>
      </c>
      <c r="AL4657" t="s">
        <v>37850</v>
      </c>
      <c t="s">
        <v>40227</v>
      </c>
      <c t="s">
        <v>10909</v>
      </c>
      <c t="s">
        <v>1116</v>
      </c>
      <c r="AQ4657" t="s">
        <v>27814</v>
      </c>
      <c t="s">
        <v>1347</v>
      </c>
    </row>
    <row>
      <c t="s">
        <v>17594</v>
      </c>
      <c t="s">
        <v>41393</v>
      </c>
      <c t="s">
        <v>61293</v>
      </c>
      <c t="s">
        <v>58048</v>
      </c>
      <c t="s">
        <v>31510</v>
      </c>
      <c s="3">
        <v>9504</v>
      </c>
      <c s="3">
        <v>9504</v>
      </c>
      <c s="3">
        <v>9504</v>
      </c>
      <c>
        <v>0</v>
      </c>
      <c s="3">
        <v>0</v>
      </c>
      <c s="3">
        <v>154.24</v>
      </c>
      <c s="3">
        <v>9504</v>
      </c>
      <c r="O4658" s="1" t="str">
        <f ca="1">HYPERLINK("https://web.datatree.com/?/property?propertyId=33822472", "https://web.datatree.com/?/property?propertyId=33822472")</f>
        <v>https://web.datatree.com/?/property?propertyId=33822472</v>
      </c>
      <c r="Q4658" t="s">
        <v>316</v>
      </c>
      <c>
        <v>0.296</v>
      </c>
      <c t="s">
        <v>5471</v>
      </c>
      <c t="s">
        <v>26631</v>
      </c>
      <c t="s">
        <v>41513</v>
      </c>
      <c r="X4658" t="s">
        <v>50347</v>
      </c>
      <c t="s">
        <v>54719</v>
      </c>
      <c t="s">
        <v>54524</v>
      </c>
      <c t="s">
        <v>39289</v>
      </c>
      <c>
        <v>33903</v>
      </c>
      <c t="s">
        <v>5981</v>
      </c>
      <c t="s">
        <v>48794</v>
      </c>
      <c t="s">
        <v>23350</v>
      </c>
      <c>
        <v>1352</v>
      </c>
      <c r="AI4658" t="s">
        <v>51912</v>
      </c>
      <c t="s">
        <v>20615</v>
      </c>
      <c r="AL4658" t="s">
        <v>20040</v>
      </c>
      <c t="s">
        <v>20040</v>
      </c>
      <c t="s">
        <v>26016</v>
      </c>
      <c t="s">
        <v>30555</v>
      </c>
      <c t="s">
        <v>4660</v>
      </c>
      <c t="s">
        <v>3093</v>
      </c>
      <c t="s">
        <v>24590</v>
      </c>
    </row>
    <row>
      <c t="s">
        <v>17594</v>
      </c>
      <c t="s">
        <v>13043</v>
      </c>
      <c t="s">
        <v>7797</v>
      </c>
      <c t="s">
        <v>62180</v>
      </c>
      <c t="s">
        <v>24084</v>
      </c>
      <c s="3">
        <v>28000</v>
      </c>
      <c s="3">
        <v>28000</v>
      </c>
      <c s="3">
        <v>28000</v>
      </c>
      <c>
        <v>0</v>
      </c>
      <c s="3">
        <v>0</v>
      </c>
      <c s="3">
        <v>816.75</v>
      </c>
      <c s="3">
        <v>28000</v>
      </c>
      <c r="O4659" s="1" t="str">
        <f ca="1">HYPERLINK("https://web.datatree.com/?/property?propertyId=33822951", "https://web.datatree.com/?/property?propertyId=33822951")</f>
        <v>https://web.datatree.com/?/property?propertyId=33822951</v>
      </c>
      <c r="Q4659" t="s">
        <v>316</v>
      </c>
      <c>
        <v>0.23</v>
      </c>
      <c t="s">
        <v>22490</v>
      </c>
      <c t="s">
        <v>32044</v>
      </c>
      <c t="s">
        <v>4945</v>
      </c>
      <c t="s">
        <v>60727</v>
      </c>
      <c t="s">
        <v>4945</v>
      </c>
      <c t="s">
        <v>54372</v>
      </c>
      <c t="s">
        <v>2619</v>
      </c>
      <c t="s">
        <v>2517</v>
      </c>
      <c t="s">
        <v>39289</v>
      </c>
      <c>
        <v>33909</v>
      </c>
      <c t="s">
        <v>41040</v>
      </c>
      <c t="s">
        <v>48794</v>
      </c>
      <c t="s">
        <v>63830</v>
      </c>
      <c>
        <v>11928</v>
      </c>
      <c r="AI4659" t="s">
        <v>5633</v>
      </c>
      <c t="s">
        <v>31192</v>
      </c>
      <c r="AL4659" t="s">
        <v>15049</v>
      </c>
      <c t="s">
        <v>15049</v>
      </c>
      <c t="s">
        <v>65451</v>
      </c>
      <c t="s">
        <v>59309</v>
      </c>
      <c t="s">
        <v>34342</v>
      </c>
      <c t="s">
        <v>3093</v>
      </c>
      <c t="s">
        <v>35902</v>
      </c>
    </row>
    <row>
      <c t="s">
        <v>17594</v>
      </c>
      <c t="s">
        <v>56803</v>
      </c>
      <c t="s">
        <v>3692</v>
      </c>
      <c t="s">
        <v>57442</v>
      </c>
      <c t="s">
        <v>58438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4660" s="1" t="str">
        <f ca="1">HYPERLINK("https://web.datatree.com/?/property?propertyId=33823721", "https://web.datatree.com/?/property?propertyId=33823721")</f>
        <v>https://web.datatree.com/?/property?propertyId=33823721</v>
      </c>
      <c r="Q4660" t="s">
        <v>316</v>
      </c>
      <c>
        <v>0.244</v>
      </c>
      <c t="s">
        <v>45031</v>
      </c>
      <c t="s">
        <v>1859</v>
      </c>
      <c t="s">
        <v>1927</v>
      </c>
      <c r="X4660" t="s">
        <v>14593</v>
      </c>
      <c t="s">
        <v>53663</v>
      </c>
      <c t="s">
        <v>2517</v>
      </c>
      <c t="s">
        <v>39289</v>
      </c>
      <c>
        <v>33909</v>
      </c>
      <c t="s">
        <v>33274</v>
      </c>
      <c t="s">
        <v>48794</v>
      </c>
      <c t="s">
        <v>32882</v>
      </c>
      <c>
        <v>30</v>
      </c>
      <c r="AI4660" t="s">
        <v>12765</v>
      </c>
      <c t="s">
        <v>40123</v>
      </c>
      <c r="AL4660" t="s">
        <v>25819</v>
      </c>
      <c r="AN4660" t="s">
        <v>65467</v>
      </c>
      <c t="s">
        <v>67134</v>
      </c>
      <c t="s">
        <v>22455</v>
      </c>
      <c t="s">
        <v>3093</v>
      </c>
      <c t="s">
        <v>2921</v>
      </c>
    </row>
    <row>
      <c t="s">
        <v>17594</v>
      </c>
      <c t="s">
        <v>32546</v>
      </c>
      <c t="s">
        <v>32317</v>
      </c>
      <c t="s">
        <v>32087</v>
      </c>
      <c t="s">
        <v>50916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661" s="1" t="str">
        <f ca="1">HYPERLINK("https://web.datatree.com/?/property?propertyId=33824641", "https://web.datatree.com/?/property?propertyId=33824641")</f>
        <v>https://web.datatree.com/?/property?propertyId=33824641</v>
      </c>
      <c r="Q4661" t="s">
        <v>316</v>
      </c>
      <c>
        <v>0.23</v>
      </c>
      <c t="s">
        <v>6175</v>
      </c>
      <c t="s">
        <v>26386</v>
      </c>
      <c t="s">
        <v>32842</v>
      </c>
      <c t="s">
        <v>16194</v>
      </c>
      <c t="s">
        <v>53539</v>
      </c>
      <c t="s">
        <v>60137</v>
      </c>
      <c t="s">
        <v>34731</v>
      </c>
      <c t="s">
        <v>2517</v>
      </c>
      <c t="s">
        <v>39289</v>
      </c>
      <c>
        <v>33909</v>
      </c>
      <c t="s">
        <v>41553</v>
      </c>
      <c t="s">
        <v>48794</v>
      </c>
      <c t="s">
        <v>55223</v>
      </c>
      <c>
        <v>4374</v>
      </c>
      <c r="AI4661" t="s">
        <v>48496</v>
      </c>
      <c t="s">
        <v>24900</v>
      </c>
      <c r="AL4661" t="s">
        <v>21604</v>
      </c>
      <c t="s">
        <v>39656</v>
      </c>
      <c t="s">
        <v>50829</v>
      </c>
      <c t="s">
        <v>2080</v>
      </c>
      <c t="s">
        <v>42082</v>
      </c>
      <c t="s">
        <v>3093</v>
      </c>
      <c t="s">
        <v>42464</v>
      </c>
    </row>
    <row>
      <c t="s">
        <v>17594</v>
      </c>
      <c t="s">
        <v>15771</v>
      </c>
      <c t="s">
        <v>38670</v>
      </c>
      <c t="s">
        <v>63104</v>
      </c>
      <c t="s">
        <v>15291</v>
      </c>
      <c s="3">
        <v>22182</v>
      </c>
      <c s="3">
        <v>22182</v>
      </c>
      <c s="3">
        <v>22182</v>
      </c>
      <c>
        <v>0</v>
      </c>
      <c s="3">
        <v>0</v>
      </c>
      <c s="3">
        <v>837.08</v>
      </c>
      <c s="3">
        <v>22182</v>
      </c>
      <c r="O4662" s="1" t="str">
        <f ca="1">HYPERLINK("https://web.datatree.com/?/property?propertyId=33825021", "https://web.datatree.com/?/property?propertyId=33825021")</f>
        <v>https://web.datatree.com/?/property?propertyId=33825021</v>
      </c>
      <c r="Q4662" t="s">
        <v>316</v>
      </c>
      <c>
        <v>0.388</v>
      </c>
      <c t="s">
        <v>6175</v>
      </c>
      <c t="s">
        <v>44457</v>
      </c>
      <c t="s">
        <v>41554</v>
      </c>
      <c t="s">
        <v>6153</v>
      </c>
      <c t="s">
        <v>4941</v>
      </c>
      <c t="s">
        <v>12209</v>
      </c>
      <c t="s">
        <v>23517</v>
      </c>
      <c t="s">
        <v>2517</v>
      </c>
      <c t="s">
        <v>39289</v>
      </c>
      <c>
        <v>33909</v>
      </c>
      <c t="s">
        <v>19699</v>
      </c>
      <c t="s">
        <v>48794</v>
      </c>
      <c t="s">
        <v>12550</v>
      </c>
      <c>
        <v>3616</v>
      </c>
      <c r="AI4662" t="s">
        <v>16027</v>
      </c>
      <c t="s">
        <v>20615</v>
      </c>
      <c t="s">
        <v>58139</v>
      </c>
      <c t="s">
        <v>6144</v>
      </c>
      <c t="s">
        <v>13397</v>
      </c>
      <c t="s">
        <v>50917</v>
      </c>
      <c t="s">
        <v>67160</v>
      </c>
      <c t="s">
        <v>22302</v>
      </c>
      <c t="s">
        <v>3093</v>
      </c>
      <c t="s">
        <v>42236</v>
      </c>
    </row>
    <row>
      <c t="s">
        <v>17594</v>
      </c>
      <c t="s">
        <v>23061</v>
      </c>
      <c t="s">
        <v>43346</v>
      </c>
      <c t="s">
        <v>63064</v>
      </c>
      <c t="s">
        <v>66879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4663" s="1" t="str">
        <f ca="1">HYPERLINK("https://web.datatree.com/?/property?propertyId=33825490", "https://web.datatree.com/?/property?propertyId=33825490")</f>
        <v>https://web.datatree.com/?/property?propertyId=33825490</v>
      </c>
      <c r="Q4663" t="s">
        <v>316</v>
      </c>
      <c>
        <v>0.241</v>
      </c>
      <c t="s">
        <v>6175</v>
      </c>
      <c t="s">
        <v>54943</v>
      </c>
      <c t="s">
        <v>51056</v>
      </c>
      <c t="s">
        <v>36047</v>
      </c>
      <c t="s">
        <v>51056</v>
      </c>
      <c t="s">
        <v>23020</v>
      </c>
      <c t="s">
        <v>10653</v>
      </c>
      <c t="s">
        <v>2517</v>
      </c>
      <c t="s">
        <v>39289</v>
      </c>
      <c>
        <v>33909</v>
      </c>
      <c t="s">
        <v>41663</v>
      </c>
      <c t="s">
        <v>48794</v>
      </c>
      <c t="s">
        <v>26110</v>
      </c>
      <c>
        <v>284</v>
      </c>
      <c r="AI4663" t="s">
        <v>30990</v>
      </c>
      <c t="s">
        <v>31192</v>
      </c>
      <c r="AL4663" t="s">
        <v>63097</v>
      </c>
      <c t="s">
        <v>63097</v>
      </c>
      <c t="s">
        <v>14798</v>
      </c>
      <c t="s">
        <v>39539</v>
      </c>
      <c t="s">
        <v>50779</v>
      </c>
      <c t="s">
        <v>3093</v>
      </c>
      <c t="s">
        <v>11721</v>
      </c>
    </row>
    <row>
      <c t="s">
        <v>17594</v>
      </c>
      <c t="s">
        <v>21724</v>
      </c>
      <c t="s">
        <v>3279</v>
      </c>
      <c t="s">
        <v>66445</v>
      </c>
      <c t="s">
        <v>7904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4664" s="1" t="str">
        <f ca="1">HYPERLINK("https://web.datatree.com/?/property?propertyId=33825815", "https://web.datatree.com/?/property?propertyId=33825815")</f>
        <v>https://web.datatree.com/?/property?propertyId=33825815</v>
      </c>
      <c r="Q4664" t="s">
        <v>316</v>
      </c>
      <c>
        <v>0.244</v>
      </c>
      <c t="s">
        <v>6175</v>
      </c>
      <c t="s">
        <v>15107</v>
      </c>
      <c t="s">
        <v>7392</v>
      </c>
      <c r="X4664" t="s">
        <v>16262</v>
      </c>
      <c t="s">
        <v>33335</v>
      </c>
      <c t="s">
        <v>2517</v>
      </c>
      <c t="s">
        <v>39289</v>
      </c>
      <c>
        <v>33909</v>
      </c>
      <c t="s">
        <v>8938</v>
      </c>
      <c t="s">
        <v>48794</v>
      </c>
      <c t="s">
        <v>31188</v>
      </c>
      <c>
        <v>245</v>
      </c>
      <c r="AI4664" t="s">
        <v>60363</v>
      </c>
      <c t="s">
        <v>24900</v>
      </c>
      <c r="AL4664" t="s">
        <v>56302</v>
      </c>
      <c t="s">
        <v>56302</v>
      </c>
      <c t="s">
        <v>39289</v>
      </c>
      <c t="s">
        <v>24958</v>
      </c>
      <c t="s">
        <v>6081</v>
      </c>
      <c t="s">
        <v>3093</v>
      </c>
      <c t="s">
        <v>40187</v>
      </c>
    </row>
    <row>
      <c t="s">
        <v>17594</v>
      </c>
      <c t="s">
        <v>66126</v>
      </c>
      <c t="s">
        <v>26700</v>
      </c>
      <c t="s">
        <v>37976</v>
      </c>
      <c t="s">
        <v>60212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4665" s="1" t="str">
        <f ca="1">HYPERLINK("https://web.datatree.com/?/property?propertyId=33827218", "https://web.datatree.com/?/property?propertyId=33827218")</f>
        <v>https://web.datatree.com/?/property?propertyId=33827218</v>
      </c>
      <c r="Q4665" t="s">
        <v>316</v>
      </c>
      <c>
        <v>0.23</v>
      </c>
      <c t="s">
        <v>22490</v>
      </c>
      <c t="s">
        <v>18881</v>
      </c>
      <c t="s">
        <v>45794</v>
      </c>
      <c t="s">
        <v>32886</v>
      </c>
      <c t="s">
        <v>3535</v>
      </c>
      <c t="s">
        <v>36107</v>
      </c>
      <c t="s">
        <v>30928</v>
      </c>
      <c t="s">
        <v>2517</v>
      </c>
      <c t="s">
        <v>39289</v>
      </c>
      <c>
        <v>33909</v>
      </c>
      <c t="s">
        <v>56213</v>
      </c>
      <c t="s">
        <v>48794</v>
      </c>
      <c t="s">
        <v>47430</v>
      </c>
      <c>
        <v>13432</v>
      </c>
      <c r="AI4665" t="s">
        <v>23968</v>
      </c>
      <c t="s">
        <v>40123</v>
      </c>
      <c r="AL4665" t="s">
        <v>11871</v>
      </c>
      <c t="s">
        <v>64652</v>
      </c>
      <c t="s">
        <v>51087</v>
      </c>
      <c t="s">
        <v>36580</v>
      </c>
      <c t="s">
        <v>52247</v>
      </c>
      <c t="s">
        <v>3093</v>
      </c>
      <c t="s">
        <v>60617</v>
      </c>
    </row>
    <row>
      <c t="s">
        <v>17594</v>
      </c>
      <c t="s">
        <v>2694</v>
      </c>
      <c t="s">
        <v>23414</v>
      </c>
      <c t="s">
        <v>48381</v>
      </c>
      <c t="s">
        <v>52310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666" s="1" t="str">
        <f ca="1">HYPERLINK("https://web.datatree.com/?/property?propertyId=33827219", "https://web.datatree.com/?/property?propertyId=33827219")</f>
        <v>https://web.datatree.com/?/property?propertyId=33827219</v>
      </c>
      <c r="Q4666" t="s">
        <v>316</v>
      </c>
      <c>
        <v>0.23</v>
      </c>
      <c t="s">
        <v>6175</v>
      </c>
      <c t="s">
        <v>19357</v>
      </c>
      <c t="s">
        <v>6386</v>
      </c>
      <c t="s">
        <v>27351</v>
      </c>
      <c t="s">
        <v>6386</v>
      </c>
      <c t="s">
        <v>26083</v>
      </c>
      <c t="s">
        <v>33179</v>
      </c>
      <c t="s">
        <v>2517</v>
      </c>
      <c t="s">
        <v>39289</v>
      </c>
      <c>
        <v>33909</v>
      </c>
      <c t="s">
        <v>14800</v>
      </c>
      <c t="s">
        <v>48794</v>
      </c>
      <c t="s">
        <v>60197</v>
      </c>
      <c>
        <v>250</v>
      </c>
      <c r="AI4666" t="s">
        <v>19965</v>
      </c>
      <c t="s">
        <v>24900</v>
      </c>
      <c r="AL4666" t="s">
        <v>46989</v>
      </c>
      <c r="AN4666" t="s">
        <v>39289</v>
      </c>
      <c t="s">
        <v>18406</v>
      </c>
      <c t="s">
        <v>49977</v>
      </c>
      <c t="s">
        <v>3093</v>
      </c>
      <c t="s">
        <v>64067</v>
      </c>
    </row>
    <row>
      <c t="s">
        <v>17594</v>
      </c>
      <c t="s">
        <v>28571</v>
      </c>
      <c t="s">
        <v>49543</v>
      </c>
      <c t="s">
        <v>63857</v>
      </c>
      <c t="s">
        <v>55360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667" s="1" t="str">
        <f ca="1">HYPERLINK("https://web.datatree.com/?/property?propertyId=33827626", "https://web.datatree.com/?/property?propertyId=33827626")</f>
        <v>https://web.datatree.com/?/property?propertyId=33827626</v>
      </c>
      <c r="Q4667" t="s">
        <v>316</v>
      </c>
      <c>
        <v>0.23</v>
      </c>
      <c t="s">
        <v>22490</v>
      </c>
      <c t="s">
        <v>2044</v>
      </c>
      <c t="s">
        <v>65410</v>
      </c>
      <c r="X4667" t="s">
        <v>58819</v>
      </c>
      <c t="s">
        <v>49674</v>
      </c>
      <c t="s">
        <v>2517</v>
      </c>
      <c t="s">
        <v>39289</v>
      </c>
      <c>
        <v>33909</v>
      </c>
      <c t="s">
        <v>28565</v>
      </c>
      <c t="s">
        <v>48794</v>
      </c>
      <c t="s">
        <v>14319</v>
      </c>
      <c>
        <v>1231</v>
      </c>
      <c r="AH4667" t="s">
        <v>12549</v>
      </c>
      <c>
        <v>12400</v>
      </c>
      <c r="AL4667" t="s">
        <v>23581</v>
      </c>
      <c t="s">
        <v>23581</v>
      </c>
      <c t="s">
        <v>47028</v>
      </c>
      <c t="s">
        <v>24217</v>
      </c>
      <c t="s">
        <v>56198</v>
      </c>
      <c t="s">
        <v>3093</v>
      </c>
      <c t="s">
        <v>39540</v>
      </c>
    </row>
    <row>
      <c t="s">
        <v>17594</v>
      </c>
      <c t="s">
        <v>50628</v>
      </c>
      <c t="s">
        <v>51197</v>
      </c>
      <c t="s">
        <v>28202</v>
      </c>
      <c t="s">
        <v>33818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668" s="1" t="str">
        <f ca="1">HYPERLINK("https://web.datatree.com/?/property?propertyId=33827728", "https://web.datatree.com/?/property?propertyId=33827728")</f>
        <v>https://web.datatree.com/?/property?propertyId=33827728</v>
      </c>
      <c r="Q4668" t="s">
        <v>316</v>
      </c>
      <c>
        <v>0.23</v>
      </c>
      <c t="s">
        <v>6175</v>
      </c>
      <c t="s">
        <v>33213</v>
      </c>
      <c t="s">
        <v>4190</v>
      </c>
      <c t="s">
        <v>12173</v>
      </c>
      <c t="s">
        <v>43613</v>
      </c>
      <c t="s">
        <v>63023</v>
      </c>
      <c t="s">
        <v>66701</v>
      </c>
      <c t="s">
        <v>2517</v>
      </c>
      <c t="s">
        <v>39289</v>
      </c>
      <c>
        <v>33909</v>
      </c>
      <c t="s">
        <v>59682</v>
      </c>
      <c t="s">
        <v>48794</v>
      </c>
      <c t="s">
        <v>63902</v>
      </c>
      <c r="AI4668" t="s">
        <v>27881</v>
      </c>
      <c r="AL4668" t="s">
        <v>8000</v>
      </c>
      <c t="s">
        <v>8000</v>
      </c>
      <c t="s">
        <v>9533</v>
      </c>
      <c>
        <v>976</v>
      </c>
      <c r="AQ4668" t="s">
        <v>3093</v>
      </c>
      <c t="s">
        <v>30278</v>
      </c>
    </row>
    <row>
      <c t="s">
        <v>17594</v>
      </c>
      <c t="s">
        <v>24233</v>
      </c>
      <c t="s">
        <v>44352</v>
      </c>
      <c t="s">
        <v>7831</v>
      </c>
      <c t="s">
        <v>1810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669" s="1" t="str">
        <f ca="1">HYPERLINK("https://web.datatree.com/?/property?propertyId=33828275", "https://web.datatree.com/?/property?propertyId=33828275")</f>
        <v>https://web.datatree.com/?/property?propertyId=33828275</v>
      </c>
      <c r="Q4669" t="s">
        <v>316</v>
      </c>
      <c>
        <v>0.23</v>
      </c>
      <c t="s">
        <v>6175</v>
      </c>
      <c t="s">
        <v>38259</v>
      </c>
      <c t="s">
        <v>28072</v>
      </c>
      <c t="s">
        <v>44150</v>
      </c>
      <c t="s">
        <v>28072</v>
      </c>
      <c t="s">
        <v>194</v>
      </c>
      <c t="s">
        <v>38550</v>
      </c>
      <c t="s">
        <v>2517</v>
      </c>
      <c t="s">
        <v>39289</v>
      </c>
      <c>
        <v>33909</v>
      </c>
      <c t="s">
        <v>25875</v>
      </c>
      <c t="s">
        <v>48794</v>
      </c>
      <c t="s">
        <v>16701</v>
      </c>
      <c>
        <v>5465</v>
      </c>
      <c r="AI4669" t="s">
        <v>776</v>
      </c>
      <c t="s">
        <v>45393</v>
      </c>
      <c r="AL4669" t="s">
        <v>41781</v>
      </c>
      <c r="AN4669" t="s">
        <v>39289</v>
      </c>
      <c t="s">
        <v>52633</v>
      </c>
      <c t="s">
        <v>6081</v>
      </c>
      <c t="s">
        <v>3093</v>
      </c>
      <c t="s">
        <v>45296</v>
      </c>
    </row>
    <row>
      <c t="s">
        <v>17594</v>
      </c>
      <c t="s">
        <v>37271</v>
      </c>
      <c t="s">
        <v>28713</v>
      </c>
      <c t="s">
        <v>62063</v>
      </c>
      <c t="s">
        <v>33259</v>
      </c>
      <c s="3">
        <v>22300</v>
      </c>
      <c s="3">
        <v>22300</v>
      </c>
      <c s="3">
        <v>12884</v>
      </c>
      <c>
        <v>0</v>
      </c>
      <c s="3">
        <v>0</v>
      </c>
      <c s="3">
        <v>228.2</v>
      </c>
      <c s="3">
        <v>22300</v>
      </c>
      <c r="O4670" s="1" t="str">
        <f ca="1">HYPERLINK("https://web.datatree.com/?/property?propertyId=33828285", "https://web.datatree.com/?/property?propertyId=33828285")</f>
        <v>https://web.datatree.com/?/property?propertyId=33828285</v>
      </c>
      <c r="Q4670" t="s">
        <v>316</v>
      </c>
      <c>
        <v>0.208</v>
      </c>
      <c t="s">
        <v>5471</v>
      </c>
      <c t="s">
        <v>27158</v>
      </c>
      <c t="s">
        <v>49097</v>
      </c>
      <c t="s">
        <v>3293</v>
      </c>
      <c t="s">
        <v>19490</v>
      </c>
      <c t="s">
        <v>10348</v>
      </c>
      <c t="s">
        <v>34731</v>
      </c>
      <c t="s">
        <v>65059</v>
      </c>
      <c t="s">
        <v>39289</v>
      </c>
      <c>
        <v>33905</v>
      </c>
      <c t="s">
        <v>1133</v>
      </c>
      <c t="s">
        <v>48794</v>
      </c>
      <c t="s">
        <v>27940</v>
      </c>
      <c>
        <v>1604</v>
      </c>
      <c r="AI4670" t="s">
        <v>40675</v>
      </c>
      <c t="s">
        <v>40123</v>
      </c>
      <c r="AL4670" t="s">
        <v>50860</v>
      </c>
      <c r="AN4670" t="s">
        <v>51087</v>
      </c>
      <c t="s">
        <v>49431</v>
      </c>
      <c t="s">
        <v>14845</v>
      </c>
      <c t="s">
        <v>3093</v>
      </c>
      <c t="s">
        <v>13799</v>
      </c>
    </row>
    <row>
      <c t="s">
        <v>17594</v>
      </c>
      <c t="s">
        <v>62635</v>
      </c>
      <c t="s">
        <v>11635</v>
      </c>
      <c t="s">
        <v>64205</v>
      </c>
      <c t="s">
        <v>57989</v>
      </c>
      <c s="3">
        <v>8895</v>
      </c>
      <c s="3">
        <v>8895</v>
      </c>
      <c s="3">
        <v>4972</v>
      </c>
      <c>
        <v>0</v>
      </c>
      <c s="3">
        <v>0</v>
      </c>
      <c s="3">
        <v>323.16</v>
      </c>
      <c s="3">
        <v>8895</v>
      </c>
      <c r="O4671" s="1" t="str">
        <f ca="1">HYPERLINK("https://web.datatree.com/?/property?propertyId=33828853", "https://web.datatree.com/?/property?propertyId=33828853")</f>
        <v>https://web.datatree.com/?/property?propertyId=33828853</v>
      </c>
      <c r="Q4671" t="s">
        <v>316</v>
      </c>
      <c>
        <v>0.289</v>
      </c>
      <c t="s">
        <v>37489</v>
      </c>
      <c t="s">
        <v>66964</v>
      </c>
      <c t="s">
        <v>57983</v>
      </c>
      <c r="X4671" t="s">
        <v>771</v>
      </c>
      <c t="s">
        <v>10854</v>
      </c>
      <c t="s">
        <v>65059</v>
      </c>
      <c t="s">
        <v>39289</v>
      </c>
      <c>
        <v>33905</v>
      </c>
      <c t="s">
        <v>54070</v>
      </c>
      <c t="s">
        <v>48794</v>
      </c>
      <c t="s">
        <v>61847</v>
      </c>
      <c>
        <v>13921</v>
      </c>
      <c r="AI4671" t="s">
        <v>22731</v>
      </c>
      <c t="s">
        <v>45393</v>
      </c>
      <c r="AL4671" t="s">
        <v>25857</v>
      </c>
      <c r="AN4671" t="s">
        <v>39289</v>
      </c>
      <c t="s">
        <v>21580</v>
      </c>
      <c t="s">
        <v>12241</v>
      </c>
      <c t="s">
        <v>3093</v>
      </c>
      <c t="s">
        <v>10757</v>
      </c>
    </row>
    <row>
      <c t="s">
        <v>17594</v>
      </c>
      <c t="s">
        <v>16457</v>
      </c>
      <c t="s">
        <v>29133</v>
      </c>
      <c t="s">
        <v>26556</v>
      </c>
      <c t="s">
        <v>64267</v>
      </c>
      <c s="3">
        <v>9744</v>
      </c>
      <c s="3">
        <v>9744</v>
      </c>
      <c s="3">
        <v>4972</v>
      </c>
      <c>
        <v>0</v>
      </c>
      <c s="3">
        <v>0</v>
      </c>
      <c s="3">
        <v>325.77</v>
      </c>
      <c s="3">
        <v>9744</v>
      </c>
      <c r="O4672" s="1" t="str">
        <f ca="1">HYPERLINK("https://web.datatree.com/?/property?propertyId=33829195", "https://web.datatree.com/?/property?propertyId=33829195")</f>
        <v>https://web.datatree.com/?/property?propertyId=33829195</v>
      </c>
      <c r="Q4672" t="s">
        <v>316</v>
      </c>
      <c>
        <v>0.311</v>
      </c>
      <c t="s">
        <v>5471</v>
      </c>
      <c t="s">
        <v>10361</v>
      </c>
      <c t="s">
        <v>57258</v>
      </c>
      <c t="s">
        <v>13419</v>
      </c>
      <c t="s">
        <v>57258</v>
      </c>
      <c t="s">
        <v>41962</v>
      </c>
      <c t="s">
        <v>48509</v>
      </c>
      <c t="s">
        <v>65059</v>
      </c>
      <c t="s">
        <v>39289</v>
      </c>
      <c>
        <v>33905</v>
      </c>
      <c t="s">
        <v>34214</v>
      </c>
      <c t="s">
        <v>48794</v>
      </c>
      <c t="s">
        <v>20874</v>
      </c>
      <c>
        <v>51</v>
      </c>
      <c r="AI4672" t="s">
        <v>44541</v>
      </c>
      <c t="s">
        <v>45393</v>
      </c>
      <c r="AL4672" t="s">
        <v>6294</v>
      </c>
      <c r="AN4672" t="s">
        <v>64022</v>
      </c>
      <c t="s">
        <v>52213</v>
      </c>
      <c t="s">
        <v>44428</v>
      </c>
      <c t="s">
        <v>3093</v>
      </c>
      <c t="s">
        <v>33749</v>
      </c>
    </row>
    <row>
      <c t="s">
        <v>17594</v>
      </c>
      <c t="s">
        <v>39662</v>
      </c>
      <c t="s">
        <v>43908</v>
      </c>
      <c t="s">
        <v>17095</v>
      </c>
      <c t="s">
        <v>42291</v>
      </c>
      <c s="3">
        <v>81456</v>
      </c>
      <c s="3">
        <v>67250</v>
      </c>
      <c s="3">
        <v>78510</v>
      </c>
      <c>
        <v>0</v>
      </c>
      <c s="3">
        <v>0</v>
      </c>
      <c s="3">
        <v>1196.69</v>
      </c>
      <c s="3">
        <v>81456</v>
      </c>
      <c r="O4673" s="1" t="str">
        <f ca="1">HYPERLINK("https://web.datatree.com/?/property?propertyId=33829853", "https://web.datatree.com/?/property?propertyId=33829853")</f>
        <v>https://web.datatree.com/?/property?propertyId=33829853</v>
      </c>
      <c r="Q4673" t="s">
        <v>316</v>
      </c>
      <c>
        <v>0.112</v>
      </c>
      <c t="s">
        <v>26492</v>
      </c>
      <c r="U4673" t="s">
        <v>62243</v>
      </c>
      <c r="W4673" t="s">
        <v>25062</v>
      </c>
      <c t="s">
        <v>34312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39979</v>
      </c>
      <c>
        <v>3400</v>
      </c>
      <c r="AI4673" t="s">
        <v>46992</v>
      </c>
      <c t="s">
        <v>31192</v>
      </c>
      <c r="AL4673" t="s">
        <v>1393</v>
      </c>
      <c t="s">
        <v>40227</v>
      </c>
      <c t="s">
        <v>19878</v>
      </c>
      <c t="s">
        <v>42440</v>
      </c>
      <c t="s">
        <v>43294</v>
      </c>
      <c t="s">
        <v>3093</v>
      </c>
      <c t="s">
        <v>62933</v>
      </c>
    </row>
    <row>
      <c t="s">
        <v>42103</v>
      </c>
      <c t="s">
        <v>29008</v>
      </c>
      <c t="s">
        <v>16279</v>
      </c>
      <c t="s">
        <v>26576</v>
      </c>
      <c t="s">
        <v>66426</v>
      </c>
      <c s="3">
        <v>36210</v>
      </c>
      <c s="3">
        <v>36210</v>
      </c>
      <c s="3">
        <v>9339</v>
      </c>
      <c>
        <v>0</v>
      </c>
      <c s="3">
        <v>0</v>
      </c>
      <c s="3">
        <v>700.95</v>
      </c>
      <c s="3">
        <v>36210</v>
      </c>
      <c r="O4674" s="1" t="str">
        <f ca="1">HYPERLINK("https://web.datatree.com/?/property?propertyId=33829985", "https://web.datatree.com/?/property?propertyId=33829985")</f>
        <v>https://web.datatree.com/?/property?propertyId=33829985</v>
      </c>
      <c r="Q4674" t="s">
        <v>316</v>
      </c>
      <c>
        <v>0.276</v>
      </c>
      <c t="s">
        <v>42044</v>
      </c>
      <c t="s">
        <v>54099</v>
      </c>
      <c t="s">
        <v>48755</v>
      </c>
      <c t="s">
        <v>16080</v>
      </c>
      <c t="s">
        <v>49610</v>
      </c>
      <c t="s">
        <v>40771</v>
      </c>
      <c t="s">
        <v>8669</v>
      </c>
      <c t="s">
        <v>2517</v>
      </c>
      <c t="s">
        <v>39289</v>
      </c>
      <c>
        <v>33909</v>
      </c>
      <c t="s">
        <v>65824</v>
      </c>
      <c t="s">
        <v>48794</v>
      </c>
      <c t="s">
        <v>52649</v>
      </c>
      <c r="AI4674" t="s">
        <v>49113</v>
      </c>
      <c r="AL4674" t="s">
        <v>5307</v>
      </c>
      <c t="s">
        <v>8225</v>
      </c>
      <c t="s">
        <v>51087</v>
      </c>
      <c>
        <v>20101</v>
      </c>
      <c r="AR4674" t="s">
        <v>42988</v>
      </c>
    </row>
    <row>
      <c t="s">
        <v>17594</v>
      </c>
      <c t="s">
        <v>32716</v>
      </c>
      <c t="s">
        <v>57873</v>
      </c>
      <c t="s">
        <v>14372</v>
      </c>
      <c t="s">
        <v>12432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4675" s="1" t="str">
        <f ca="1">HYPERLINK("https://web.datatree.com/?/property?propertyId=33830291", "https://web.datatree.com/?/property?propertyId=33830291")</f>
        <v>https://web.datatree.com/?/property?propertyId=33830291</v>
      </c>
      <c r="Q4675" t="s">
        <v>316</v>
      </c>
      <c>
        <v>0.23</v>
      </c>
      <c t="s">
        <v>6175</v>
      </c>
      <c t="s">
        <v>40487</v>
      </c>
      <c t="s">
        <v>27591</v>
      </c>
      <c t="s">
        <v>58876</v>
      </c>
      <c t="s">
        <v>27591</v>
      </c>
      <c t="s">
        <v>21285</v>
      </c>
      <c t="s">
        <v>22731</v>
      </c>
      <c t="s">
        <v>2517</v>
      </c>
      <c t="s">
        <v>39289</v>
      </c>
      <c>
        <v>33909</v>
      </c>
      <c t="s">
        <v>32296</v>
      </c>
      <c t="s">
        <v>48794</v>
      </c>
      <c t="s">
        <v>34383</v>
      </c>
      <c>
        <v>99</v>
      </c>
      <c r="AI4675" t="s">
        <v>26670</v>
      </c>
      <c t="s">
        <v>31192</v>
      </c>
      <c t="s">
        <v>22377</v>
      </c>
      <c t="s">
        <v>24913</v>
      </c>
      <c r="AN4675" t="s">
        <v>50917</v>
      </c>
      <c t="s">
        <v>35224</v>
      </c>
      <c t="s">
        <v>14695</v>
      </c>
      <c t="s">
        <v>3093</v>
      </c>
      <c t="s">
        <v>12689</v>
      </c>
    </row>
    <row>
      <c t="s">
        <v>17594</v>
      </c>
      <c t="s">
        <v>46581</v>
      </c>
      <c t="s">
        <v>50871</v>
      </c>
      <c t="s">
        <v>42253</v>
      </c>
      <c t="s">
        <v>59989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2020</v>
      </c>
      <c>
        <v>1043.01</v>
      </c>
      <c s="1" t="str">
        <f ca="1">HYPERLINK("https://web.datatree.com/?/property?propertyId=33831768", "https://web.datatree.com/?/property?propertyId=33831768")</f>
        <v>https://web.datatree.com/?/property?propertyId=33831768</v>
      </c>
      <c r="Q4676" t="s">
        <v>316</v>
      </c>
      <c>
        <v>0.237</v>
      </c>
      <c t="s">
        <v>5471</v>
      </c>
      <c t="s">
        <v>2140</v>
      </c>
      <c t="s">
        <v>22583</v>
      </c>
      <c t="s">
        <v>52073</v>
      </c>
      <c t="s">
        <v>22583</v>
      </c>
      <c t="s">
        <v>18864</v>
      </c>
      <c t="s">
        <v>48116</v>
      </c>
      <c t="s">
        <v>65059</v>
      </c>
      <c t="s">
        <v>39289</v>
      </c>
      <c>
        <v>33905</v>
      </c>
      <c t="s">
        <v>58591</v>
      </c>
      <c t="s">
        <v>48794</v>
      </c>
      <c t="s">
        <v>2559</v>
      </c>
      <c>
        <v>1000</v>
      </c>
      <c r="AH4676" t="s">
        <v>57851</v>
      </c>
      <c t="s">
        <v>11601</v>
      </c>
      <c t="s">
        <v>45393</v>
      </c>
      <c r="AL4676" t="s">
        <v>40375</v>
      </c>
      <c r="AN4676" t="s">
        <v>10909</v>
      </c>
      <c t="s">
        <v>62599</v>
      </c>
      <c r="AQ4676" t="s">
        <v>27814</v>
      </c>
      <c t="s">
        <v>3147</v>
      </c>
    </row>
    <row>
      <c t="s">
        <v>17594</v>
      </c>
      <c t="s">
        <v>189</v>
      </c>
      <c t="s">
        <v>34642</v>
      </c>
      <c t="s">
        <v>39696</v>
      </c>
      <c t="s">
        <v>37095</v>
      </c>
      <c s="3">
        <v>74232</v>
      </c>
      <c s="3">
        <v>74232</v>
      </c>
      <c s="3">
        <v>14801</v>
      </c>
      <c>
        <v>0</v>
      </c>
      <c s="3">
        <v>0</v>
      </c>
      <c s="3">
        <v>256.92</v>
      </c>
      <c s="3">
        <v>74232</v>
      </c>
      <c r="O4677" s="1" t="str">
        <f ca="1">HYPERLINK("https://web.datatree.com/?/property?propertyId=33831953", "https://web.datatree.com/?/property?propertyId=33831953")</f>
        <v>https://web.datatree.com/?/property?propertyId=33831953</v>
      </c>
      <c r="Q4677" t="s">
        <v>316</v>
      </c>
      <c>
        <v>0.277</v>
      </c>
      <c t="s">
        <v>5471</v>
      </c>
      <c r="U4677" t="s">
        <v>63159</v>
      </c>
      <c t="s">
        <v>39139</v>
      </c>
      <c t="s">
        <v>17221</v>
      </c>
      <c t="s">
        <v>11701</v>
      </c>
      <c t="s">
        <v>31245</v>
      </c>
      <c t="s">
        <v>65059</v>
      </c>
      <c t="s">
        <v>39289</v>
      </c>
      <c>
        <v>33905</v>
      </c>
      <c t="s">
        <v>55137</v>
      </c>
      <c t="s">
        <v>48794</v>
      </c>
      <c t="s">
        <v>15635</v>
      </c>
      <c>
        <v>110</v>
      </c>
      <c r="AI4677" t="s">
        <v>35412</v>
      </c>
      <c t="s">
        <v>31192</v>
      </c>
      <c r="AL4677" t="s">
        <v>46828</v>
      </c>
      <c t="s">
        <v>46828</v>
      </c>
      <c t="s">
        <v>58733</v>
      </c>
      <c t="s">
        <v>34274</v>
      </c>
      <c t="s">
        <v>65529</v>
      </c>
      <c t="s">
        <v>3093</v>
      </c>
      <c t="s">
        <v>48186</v>
      </c>
    </row>
    <row>
      <c t="s">
        <v>17594</v>
      </c>
      <c t="s">
        <v>13111</v>
      </c>
      <c t="s">
        <v>53841</v>
      </c>
      <c t="s">
        <v>22987</v>
      </c>
      <c t="s">
        <v>14127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678" s="1" t="str">
        <f ca="1">HYPERLINK("https://web.datatree.com/?/property?propertyId=33833600", "https://web.datatree.com/?/property?propertyId=33833600")</f>
        <v>https://web.datatree.com/?/property?propertyId=33833600</v>
      </c>
      <c r="Q4678" t="s">
        <v>316</v>
      </c>
      <c>
        <v>0.241</v>
      </c>
      <c t="s">
        <v>6175</v>
      </c>
      <c t="s">
        <v>59107</v>
      </c>
      <c t="s">
        <v>54360</v>
      </c>
      <c r="X4678" t="s">
        <v>21860</v>
      </c>
      <c t="s">
        <v>13829</v>
      </c>
      <c t="s">
        <v>2517</v>
      </c>
      <c t="s">
        <v>39289</v>
      </c>
      <c>
        <v>33909</v>
      </c>
      <c t="s">
        <v>56545</v>
      </c>
      <c t="s">
        <v>48794</v>
      </c>
      <c t="s">
        <v>41515</v>
      </c>
      <c>
        <v>4474</v>
      </c>
      <c r="AI4678" t="s">
        <v>26641</v>
      </c>
      <c t="s">
        <v>45620</v>
      </c>
      <c>
        <v>189</v>
      </c>
      <c t="s">
        <v>18092</v>
      </c>
      <c t="s">
        <v>18092</v>
      </c>
      <c t="s">
        <v>39289</v>
      </c>
      <c t="s">
        <v>39705</v>
      </c>
      <c t="s">
        <v>61719</v>
      </c>
      <c t="s">
        <v>3093</v>
      </c>
      <c t="s">
        <v>21023</v>
      </c>
    </row>
    <row>
      <c t="s">
        <v>17594</v>
      </c>
      <c t="s">
        <v>3192</v>
      </c>
      <c t="s">
        <v>10039</v>
      </c>
      <c t="s">
        <v>23983</v>
      </c>
      <c t="s">
        <v>34644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4679" s="1" t="str">
        <f ca="1">HYPERLINK("https://web.datatree.com/?/property?propertyId=33833959", "https://web.datatree.com/?/property?propertyId=33833959")</f>
        <v>https://web.datatree.com/?/property?propertyId=33833959</v>
      </c>
      <c r="Q4679" t="s">
        <v>316</v>
      </c>
      <c>
        <v>0.227</v>
      </c>
      <c t="s">
        <v>5471</v>
      </c>
      <c t="s">
        <v>6843</v>
      </c>
      <c t="s">
        <v>62558</v>
      </c>
      <c t="s">
        <v>36333</v>
      </c>
      <c t="s">
        <v>62558</v>
      </c>
      <c t="s">
        <v>50092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19257</v>
      </c>
      <c>
        <v>911</v>
      </c>
      <c r="AI4679" t="s">
        <v>17355</v>
      </c>
      <c t="s">
        <v>24900</v>
      </c>
      <c r="AL4679" t="s">
        <v>54122</v>
      </c>
      <c r="AN4679" t="s">
        <v>26443</v>
      </c>
      <c t="s">
        <v>28946</v>
      </c>
      <c t="s">
        <v>32895</v>
      </c>
      <c t="s">
        <v>3093</v>
      </c>
      <c t="s">
        <v>48889</v>
      </c>
    </row>
    <row>
      <c t="s">
        <v>17594</v>
      </c>
      <c t="s">
        <v>31744</v>
      </c>
      <c t="s">
        <v>42063</v>
      </c>
      <c t="s">
        <v>32521</v>
      </c>
      <c t="s">
        <v>21223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4680" s="1" t="str">
        <f ca="1">HYPERLINK("https://web.datatree.com/?/property?propertyId=33834903", "https://web.datatree.com/?/property?propertyId=33834903")</f>
        <v>https://web.datatree.com/?/property?propertyId=33834903</v>
      </c>
      <c r="Q4680" t="s">
        <v>316</v>
      </c>
      <c>
        <v>0.23</v>
      </c>
      <c t="s">
        <v>22490</v>
      </c>
      <c t="s">
        <v>50331</v>
      </c>
      <c t="s">
        <v>8558</v>
      </c>
      <c t="s">
        <v>23379</v>
      </c>
      <c t="s">
        <v>8558</v>
      </c>
      <c t="s">
        <v>57116</v>
      </c>
      <c t="s">
        <v>66701</v>
      </c>
      <c t="s">
        <v>2517</v>
      </c>
      <c t="s">
        <v>39289</v>
      </c>
      <c>
        <v>33909</v>
      </c>
      <c t="s">
        <v>33143</v>
      </c>
      <c t="s">
        <v>48794</v>
      </c>
      <c t="s">
        <v>25590</v>
      </c>
      <c>
        <v>150</v>
      </c>
      <c r="AI4680" t="s">
        <v>55738</v>
      </c>
      <c t="s">
        <v>31192</v>
      </c>
      <c r="AL4680" t="s">
        <v>61952</v>
      </c>
      <c r="AN4680" t="s">
        <v>65451</v>
      </c>
      <c t="s">
        <v>22472</v>
      </c>
      <c t="s">
        <v>31626</v>
      </c>
      <c t="s">
        <v>3093</v>
      </c>
      <c t="s">
        <v>51523</v>
      </c>
    </row>
    <row>
      <c t="s">
        <v>17594</v>
      </c>
      <c t="s">
        <v>44141</v>
      </c>
      <c t="s">
        <v>701</v>
      </c>
      <c t="s">
        <v>61613</v>
      </c>
      <c t="s">
        <v>55183</v>
      </c>
      <c s="3">
        <v>40615</v>
      </c>
      <c s="3">
        <v>40615</v>
      </c>
      <c s="3">
        <v>27953</v>
      </c>
      <c>
        <v>0</v>
      </c>
      <c s="3">
        <v>0</v>
      </c>
      <c s="3">
        <v>486.77</v>
      </c>
      <c s="3">
        <v>40615</v>
      </c>
      <c r="O4681" s="1" t="str">
        <f ca="1">HYPERLINK("https://web.datatree.com/?/property?propertyId=33835143", "https://web.datatree.com/?/property?propertyId=33835143")</f>
        <v>https://web.datatree.com/?/property?propertyId=33835143</v>
      </c>
      <c r="Q4681" t="s">
        <v>316</v>
      </c>
      <c>
        <v>0.049</v>
      </c>
      <c t="s">
        <v>54329</v>
      </c>
      <c t="s">
        <v>50331</v>
      </c>
      <c t="s">
        <v>11586</v>
      </c>
      <c t="s">
        <v>60286</v>
      </c>
      <c t="s">
        <v>46201</v>
      </c>
      <c t="s">
        <v>55757</v>
      </c>
      <c t="s">
        <v>31761</v>
      </c>
      <c t="s">
        <v>54524</v>
      </c>
      <c t="s">
        <v>39289</v>
      </c>
      <c>
        <v>33903</v>
      </c>
      <c t="s">
        <v>57108</v>
      </c>
      <c t="s">
        <v>48794</v>
      </c>
      <c t="s">
        <v>31185</v>
      </c>
      <c>
        <v>1322</v>
      </c>
      <c r="AI4681" t="s">
        <v>22601</v>
      </c>
      <c r="AL4681" t="s">
        <v>5103</v>
      </c>
      <c t="s">
        <v>65059</v>
      </c>
      <c t="s">
        <v>17134</v>
      </c>
      <c t="s">
        <v>40749</v>
      </c>
      <c t="s">
        <v>33029</v>
      </c>
      <c t="s">
        <v>3093</v>
      </c>
      <c t="s">
        <v>54516</v>
      </c>
    </row>
    <row>
      <c t="s">
        <v>17594</v>
      </c>
      <c t="s">
        <v>39948</v>
      </c>
      <c t="s">
        <v>47236</v>
      </c>
      <c t="s">
        <v>62269</v>
      </c>
      <c t="s">
        <v>59233</v>
      </c>
      <c s="3">
        <v>31830</v>
      </c>
      <c s="3">
        <v>31830</v>
      </c>
      <c s="3">
        <v>23108</v>
      </c>
      <c>
        <v>0</v>
      </c>
      <c s="3">
        <v>0</v>
      </c>
      <c s="3">
        <v>826.51</v>
      </c>
      <c s="3">
        <v>31830</v>
      </c>
      <c r="O4682" s="1" t="str">
        <f ca="1">HYPERLINK("https://web.datatree.com/?/property?propertyId=33835700", "https://web.datatree.com/?/property?propertyId=33835700")</f>
        <v>https://web.datatree.com/?/property?propertyId=33835700</v>
      </c>
      <c r="Q4682" t="s">
        <v>316</v>
      </c>
      <c>
        <v>0.23</v>
      </c>
      <c t="s">
        <v>6175</v>
      </c>
      <c t="s">
        <v>50331</v>
      </c>
      <c t="s">
        <v>48918</v>
      </c>
      <c t="s">
        <v>21379</v>
      </c>
      <c t="s">
        <v>48918</v>
      </c>
      <c t="s">
        <v>32308</v>
      </c>
      <c t="s">
        <v>15510</v>
      </c>
      <c t="s">
        <v>2517</v>
      </c>
      <c t="s">
        <v>39289</v>
      </c>
      <c>
        <v>33904</v>
      </c>
      <c t="s">
        <v>25713</v>
      </c>
      <c t="s">
        <v>48794</v>
      </c>
      <c t="s">
        <v>66137</v>
      </c>
      <c>
        <v>26</v>
      </c>
      <c r="AI4682" t="s">
        <v>61460</v>
      </c>
      <c t="s">
        <v>31192</v>
      </c>
      <c r="AL4682" t="s">
        <v>53639</v>
      </c>
      <c r="AN4682" t="s">
        <v>50917</v>
      </c>
      <c t="s">
        <v>63894</v>
      </c>
      <c t="s">
        <v>17380</v>
      </c>
      <c t="s">
        <v>3093</v>
      </c>
      <c t="s">
        <v>1867</v>
      </c>
    </row>
    <row>
      <c t="s">
        <v>17594</v>
      </c>
      <c t="s">
        <v>49786</v>
      </c>
      <c t="s">
        <v>49881</v>
      </c>
      <c t="s">
        <v>42874</v>
      </c>
      <c t="s">
        <v>45845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683" s="1" t="str">
        <f ca="1">HYPERLINK("https://web.datatree.com/?/property?propertyId=33837209", "https://web.datatree.com/?/property?propertyId=33837209")</f>
        <v>https://web.datatree.com/?/property?propertyId=33837209</v>
      </c>
      <c r="Q4683" t="s">
        <v>316</v>
      </c>
      <c>
        <v>0.23</v>
      </c>
      <c t="s">
        <v>45031</v>
      </c>
      <c t="s">
        <v>3293</v>
      </c>
      <c t="s">
        <v>32868</v>
      </c>
      <c r="X4683" t="s">
        <v>37330</v>
      </c>
      <c t="s">
        <v>30928</v>
      </c>
      <c t="s">
        <v>2517</v>
      </c>
      <c t="s">
        <v>39289</v>
      </c>
      <c>
        <v>33909</v>
      </c>
      <c t="s">
        <v>38928</v>
      </c>
      <c t="s">
        <v>48794</v>
      </c>
      <c t="s">
        <v>67083</v>
      </c>
      <c>
        <v>24</v>
      </c>
      <c r="AI4683" t="s">
        <v>32626</v>
      </c>
      <c r="AL4683" t="s">
        <v>23311</v>
      </c>
      <c t="s">
        <v>23311</v>
      </c>
      <c t="s">
        <v>56163</v>
      </c>
      <c>
        <v>97230</v>
      </c>
      <c r="AR4683" t="s">
        <v>48332</v>
      </c>
    </row>
    <row>
      <c t="s">
        <v>17594</v>
      </c>
      <c t="s">
        <v>56</v>
      </c>
      <c t="s">
        <v>15073</v>
      </c>
      <c t="s">
        <v>2461</v>
      </c>
      <c t="s">
        <v>10922</v>
      </c>
      <c s="3">
        <v>39960</v>
      </c>
      <c s="3">
        <v>39960</v>
      </c>
      <c s="3">
        <v>28551</v>
      </c>
      <c>
        <v>0</v>
      </c>
      <c s="3">
        <v>0</v>
      </c>
      <c s="3">
        <v>460.06</v>
      </c>
      <c s="3">
        <v>39960</v>
      </c>
      <c r="O4684" s="1" t="str">
        <f ca="1">HYPERLINK("https://web.datatree.com/?/property?propertyId=33838091", "https://web.datatree.com/?/property?propertyId=33838091")</f>
        <v>https://web.datatree.com/?/property?propertyId=33838091</v>
      </c>
      <c r="Q4684" t="s">
        <v>316</v>
      </c>
      <c>
        <v>0.042</v>
      </c>
      <c t="s">
        <v>45526</v>
      </c>
      <c t="s">
        <v>10361</v>
      </c>
      <c t="s">
        <v>25102</v>
      </c>
      <c t="s">
        <v>50865</v>
      </c>
      <c r="X4684" t="s">
        <v>60745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33134</v>
      </c>
      <c>
        <v>235</v>
      </c>
      <c r="AI4684" t="s">
        <v>24245</v>
      </c>
      <c t="s">
        <v>4985</v>
      </c>
      <c r="AL4684" t="s">
        <v>30451</v>
      </c>
      <c t="s">
        <v>51207</v>
      </c>
      <c t="s">
        <v>10909</v>
      </c>
      <c t="s">
        <v>21487</v>
      </c>
      <c r="AQ4684" t="s">
        <v>3093</v>
      </c>
      <c t="s">
        <v>12988</v>
      </c>
    </row>
    <row>
      <c t="s">
        <v>17594</v>
      </c>
      <c t="s">
        <v>62952</v>
      </c>
      <c t="s">
        <v>9509</v>
      </c>
      <c t="s">
        <v>42850</v>
      </c>
      <c t="s">
        <v>18340</v>
      </c>
      <c s="3">
        <v>8400</v>
      </c>
      <c s="3">
        <v>8400</v>
      </c>
      <c s="3">
        <v>8400</v>
      </c>
      <c>
        <v>0</v>
      </c>
      <c s="3">
        <v>0</v>
      </c>
      <c s="3">
        <v>683.32</v>
      </c>
      <c s="3">
        <v>8400</v>
      </c>
      <c r="O4685" s="1" t="str">
        <f ca="1">HYPERLINK("https://web.datatree.com/?/property?propertyId=33839276", "https://web.datatree.com/?/property?propertyId=33839276")</f>
        <v>https://web.datatree.com/?/property?propertyId=33839276</v>
      </c>
      <c r="Q4685" t="s">
        <v>316</v>
      </c>
      <c>
        <v>0.229</v>
      </c>
      <c t="s">
        <v>42044</v>
      </c>
      <c t="s">
        <v>12549</v>
      </c>
      <c t="s">
        <v>47870</v>
      </c>
      <c t="s">
        <v>55332</v>
      </c>
      <c t="s">
        <v>47870</v>
      </c>
      <c t="s">
        <v>33776</v>
      </c>
      <c t="s">
        <v>61865</v>
      </c>
      <c t="s">
        <v>2517</v>
      </c>
      <c t="s">
        <v>39289</v>
      </c>
      <c>
        <v>33909</v>
      </c>
      <c t="s">
        <v>26095</v>
      </c>
      <c t="s">
        <v>48794</v>
      </c>
      <c t="s">
        <v>33348</v>
      </c>
      <c>
        <v>501</v>
      </c>
      <c r="AH4685" t="s">
        <v>52165</v>
      </c>
      <c t="s">
        <v>58797</v>
      </c>
      <c t="s">
        <v>45393</v>
      </c>
      <c r="AL4685" t="s">
        <v>15558</v>
      </c>
      <c r="AN4685" t="s">
        <v>18594</v>
      </c>
      <c t="s">
        <v>48342</v>
      </c>
      <c t="s">
        <v>22455</v>
      </c>
      <c t="s">
        <v>3093</v>
      </c>
      <c t="s">
        <v>33189</v>
      </c>
    </row>
    <row>
      <c t="s">
        <v>17594</v>
      </c>
      <c t="s">
        <v>31998</v>
      </c>
      <c t="s">
        <v>33777</v>
      </c>
      <c t="s">
        <v>28163</v>
      </c>
      <c t="s">
        <v>40240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686" s="1" t="str">
        <f ca="1">HYPERLINK("https://web.datatree.com/?/property?propertyId=33839594", "https://web.datatree.com/?/property?propertyId=33839594")</f>
        <v>https://web.datatree.com/?/property?propertyId=33839594</v>
      </c>
      <c r="Q4686" t="s">
        <v>316</v>
      </c>
      <c>
        <v>0.239</v>
      </c>
      <c t="s">
        <v>5471</v>
      </c>
      <c t="s">
        <v>1479</v>
      </c>
      <c t="s">
        <v>23753</v>
      </c>
      <c t="s">
        <v>56152</v>
      </c>
      <c t="s">
        <v>23753</v>
      </c>
      <c t="s">
        <v>27022</v>
      </c>
      <c t="s">
        <v>52508</v>
      </c>
      <c t="s">
        <v>65059</v>
      </c>
      <c t="s">
        <v>39289</v>
      </c>
      <c>
        <v>33905</v>
      </c>
      <c t="s">
        <v>50827</v>
      </c>
      <c t="s">
        <v>48794</v>
      </c>
      <c t="s">
        <v>25222</v>
      </c>
      <c>
        <v>1</v>
      </c>
      <c r="AI4686" t="s">
        <v>30618</v>
      </c>
      <c r="AL4686" t="s">
        <v>52183</v>
      </c>
      <c r="AN4686" t="s">
        <v>63985</v>
      </c>
      <c>
        <v>93197</v>
      </c>
      <c r="AR4686" t="s">
        <v>6038</v>
      </c>
    </row>
    <row>
      <c t="s">
        <v>17594</v>
      </c>
      <c t="s">
        <v>39945</v>
      </c>
      <c t="s">
        <v>62449</v>
      </c>
      <c t="s">
        <v>5233</v>
      </c>
      <c t="s">
        <v>55480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>
        <v>2020</v>
      </c>
      <c>
        <v>1724.22</v>
      </c>
      <c s="1" t="str">
        <f ca="1">HYPERLINK("https://web.datatree.com/?/property?propertyId=33840799", "https://web.datatree.com/?/property?propertyId=33840799")</f>
        <v>https://web.datatree.com/?/property?propertyId=33840799</v>
      </c>
      <c r="Q4687" t="s">
        <v>316</v>
      </c>
      <c>
        <v>0.23</v>
      </c>
      <c t="s">
        <v>6175</v>
      </c>
      <c t="s">
        <v>24692</v>
      </c>
      <c t="s">
        <v>22595</v>
      </c>
      <c t="s">
        <v>2798</v>
      </c>
      <c t="s">
        <v>22595</v>
      </c>
      <c t="s">
        <v>48868</v>
      </c>
      <c t="s">
        <v>2619</v>
      </c>
      <c t="s">
        <v>2517</v>
      </c>
      <c t="s">
        <v>39289</v>
      </c>
      <c>
        <v>33909</v>
      </c>
      <c t="s">
        <v>46955</v>
      </c>
      <c t="s">
        <v>48794</v>
      </c>
      <c t="s">
        <v>47505</v>
      </c>
      <c>
        <v>584</v>
      </c>
      <c r="AI4687" t="s">
        <v>25170</v>
      </c>
      <c t="s">
        <v>31192</v>
      </c>
      <c r="AL4687" t="s">
        <v>33841</v>
      </c>
      <c t="s">
        <v>33841</v>
      </c>
      <c t="s">
        <v>64156</v>
      </c>
      <c t="s">
        <v>41564</v>
      </c>
      <c t="s">
        <v>22152</v>
      </c>
      <c t="s">
        <v>3093</v>
      </c>
      <c t="s">
        <v>42393</v>
      </c>
    </row>
    <row>
      <c t="s">
        <v>17594</v>
      </c>
      <c t="s">
        <v>37733</v>
      </c>
      <c t="s">
        <v>11040</v>
      </c>
      <c t="s">
        <v>44448</v>
      </c>
      <c t="s">
        <v>11215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4688" s="1" t="str">
        <f ca="1">HYPERLINK("https://web.datatree.com/?/property?propertyId=33840994", "https://web.datatree.com/?/property?propertyId=33840994")</f>
        <v>https://web.datatree.com/?/property?propertyId=33840994</v>
      </c>
      <c r="Q4688" t="s">
        <v>316</v>
      </c>
      <c>
        <v>0.23</v>
      </c>
      <c t="s">
        <v>5471</v>
      </c>
      <c t="s">
        <v>55572</v>
      </c>
      <c t="s">
        <v>5267</v>
      </c>
      <c t="s">
        <v>48615</v>
      </c>
      <c t="s">
        <v>5267</v>
      </c>
      <c t="s">
        <v>58799</v>
      </c>
      <c t="s">
        <v>40660</v>
      </c>
      <c t="s">
        <v>65059</v>
      </c>
      <c t="s">
        <v>39289</v>
      </c>
      <c>
        <v>33905</v>
      </c>
      <c t="s">
        <v>48595</v>
      </c>
      <c t="s">
        <v>48794</v>
      </c>
      <c t="s">
        <v>30411</v>
      </c>
      <c>
        <v>829</v>
      </c>
      <c r="AI4688" t="s">
        <v>17517</v>
      </c>
      <c t="s">
        <v>55842</v>
      </c>
      <c r="AL4688" t="s">
        <v>28771</v>
      </c>
      <c r="AN4688" t="s">
        <v>32576</v>
      </c>
      <c t="s">
        <v>1003</v>
      </c>
      <c t="s">
        <v>12251</v>
      </c>
      <c t="s">
        <v>3093</v>
      </c>
      <c t="s">
        <v>55460</v>
      </c>
    </row>
    <row>
      <c t="s">
        <v>17594</v>
      </c>
      <c t="s">
        <v>48338</v>
      </c>
      <c t="s">
        <v>60432</v>
      </c>
      <c t="s">
        <v>48185</v>
      </c>
      <c t="s">
        <v>43676</v>
      </c>
      <c s="3">
        <v>103156</v>
      </c>
      <c s="3">
        <v>103156</v>
      </c>
      <c s="3">
        <v>43575</v>
      </c>
      <c>
        <v>0</v>
      </c>
      <c s="3">
        <v>0</v>
      </c>
      <c s="3">
        <v>946.21</v>
      </c>
      <c s="3">
        <v>103156</v>
      </c>
      <c r="O4689" s="1" t="str">
        <f ca="1">HYPERLINK("https://web.datatree.com/?/property?propertyId=33841046", "https://web.datatree.com/?/property?propertyId=33841046")</f>
        <v>https://web.datatree.com/?/property?propertyId=33841046</v>
      </c>
      <c r="Q4689" t="s">
        <v>316</v>
      </c>
      <c>
        <v>0.443</v>
      </c>
      <c t="s">
        <v>5471</v>
      </c>
      <c t="s">
        <v>552</v>
      </c>
      <c t="s">
        <v>41307</v>
      </c>
      <c t="s">
        <v>56577</v>
      </c>
      <c t="s">
        <v>41307</v>
      </c>
      <c t="s">
        <v>2145</v>
      </c>
      <c t="s">
        <v>27965</v>
      </c>
      <c t="s">
        <v>65059</v>
      </c>
      <c t="s">
        <v>39289</v>
      </c>
      <c>
        <v>33908</v>
      </c>
      <c t="s">
        <v>43062</v>
      </c>
      <c t="s">
        <v>48794</v>
      </c>
      <c t="s">
        <v>31312</v>
      </c>
      <c>
        <v>42</v>
      </c>
      <c r="AI4689" t="s">
        <v>52072</v>
      </c>
      <c t="s">
        <v>835</v>
      </c>
      <c r="AL4689" t="s">
        <v>24283</v>
      </c>
      <c r="AN4689" t="s">
        <v>27747</v>
      </c>
      <c t="s">
        <v>56394</v>
      </c>
      <c t="s">
        <v>17380</v>
      </c>
      <c t="s">
        <v>3093</v>
      </c>
      <c t="s">
        <v>66220</v>
      </c>
    </row>
    <row>
      <c t="s">
        <v>17594</v>
      </c>
      <c t="s">
        <v>25681</v>
      </c>
      <c t="s">
        <v>19812</v>
      </c>
      <c t="s">
        <v>16782</v>
      </c>
      <c t="s">
        <v>9216</v>
      </c>
      <c s="3">
        <v>131946</v>
      </c>
      <c s="3">
        <v>131946</v>
      </c>
      <c s="3">
        <v>88000</v>
      </c>
      <c>
        <v>0</v>
      </c>
      <c s="3">
        <v>0</v>
      </c>
      <c s="3">
        <v>2047.44</v>
      </c>
      <c s="3">
        <v>131946</v>
      </c>
      <c r="O4690" s="1" t="str">
        <f ca="1">HYPERLINK("https://web.datatree.com/?/property?propertyId=33841127", "https://web.datatree.com/?/property?propertyId=33841127")</f>
        <v>https://web.datatree.com/?/property?propertyId=33841127</v>
      </c>
      <c r="Q4690" t="s">
        <v>316</v>
      </c>
      <c>
        <v>0.23</v>
      </c>
      <c t="s">
        <v>22490</v>
      </c>
      <c t="s">
        <v>24922</v>
      </c>
      <c t="s">
        <v>33426</v>
      </c>
      <c t="s">
        <v>3612</v>
      </c>
      <c t="s">
        <v>33426</v>
      </c>
      <c t="s">
        <v>62096</v>
      </c>
      <c t="s">
        <v>39832</v>
      </c>
      <c t="s">
        <v>2517</v>
      </c>
      <c t="s">
        <v>39289</v>
      </c>
      <c>
        <v>33904</v>
      </c>
      <c t="s">
        <v>39595</v>
      </c>
      <c t="s">
        <v>48794</v>
      </c>
      <c t="s">
        <v>44312</v>
      </c>
      <c>
        <v>1801</v>
      </c>
      <c r="AI4690" t="s">
        <v>5919</v>
      </c>
      <c t="s">
        <v>40123</v>
      </c>
      <c r="AL4690" t="s">
        <v>26045</v>
      </c>
      <c t="s">
        <v>26045</v>
      </c>
      <c t="s">
        <v>51087</v>
      </c>
      <c t="s">
        <v>49245</v>
      </c>
      <c t="s">
        <v>58683</v>
      </c>
      <c t="s">
        <v>3093</v>
      </c>
      <c t="s">
        <v>28335</v>
      </c>
    </row>
    <row>
      <c t="s">
        <v>17594</v>
      </c>
      <c t="s">
        <v>36731</v>
      </c>
      <c t="s">
        <v>4548</v>
      </c>
      <c t="s">
        <v>64849</v>
      </c>
      <c t="s">
        <v>64100</v>
      </c>
      <c s="3">
        <v>172197</v>
      </c>
      <c s="3">
        <v>172197</v>
      </c>
      <c s="3">
        <v>172197</v>
      </c>
      <c>
        <v>0</v>
      </c>
      <c s="3">
        <v>0</v>
      </c>
      <c s="3">
        <v>2648.08</v>
      </c>
      <c s="3">
        <v>172197</v>
      </c>
      <c r="O4691" s="1" t="str">
        <f ca="1">HYPERLINK("https://web.datatree.com/?/property?propertyId=33841162", "https://web.datatree.com/?/property?propertyId=33841162")</f>
        <v>https://web.datatree.com/?/property?propertyId=33841162</v>
      </c>
      <c r="Q4691" t="s">
        <v>316</v>
      </c>
      <c>
        <v>0.386</v>
      </c>
      <c t="s">
        <v>5471</v>
      </c>
      <c t="s">
        <v>10361</v>
      </c>
      <c t="s">
        <v>33778</v>
      </c>
      <c r="X4691" t="s">
        <v>43403</v>
      </c>
      <c t="s">
        <v>8753</v>
      </c>
      <c t="s">
        <v>65059</v>
      </c>
      <c t="s">
        <v>39289</v>
      </c>
      <c>
        <v>33905</v>
      </c>
      <c t="s">
        <v>39623</v>
      </c>
      <c t="s">
        <v>48794</v>
      </c>
      <c t="s">
        <v>26511</v>
      </c>
      <c>
        <v>417</v>
      </c>
      <c r="AI4691" t="s">
        <v>65015</v>
      </c>
      <c t="s">
        <v>31192</v>
      </c>
      <c r="AL4691" t="s">
        <v>36168</v>
      </c>
      <c r="AN4691" t="s">
        <v>21017</v>
      </c>
      <c t="s">
        <v>44912</v>
      </c>
      <c t="s">
        <v>40645</v>
      </c>
      <c t="s">
        <v>3093</v>
      </c>
      <c t="s">
        <v>64458</v>
      </c>
    </row>
    <row>
      <c t="s">
        <v>17594</v>
      </c>
      <c t="s">
        <v>63693</v>
      </c>
      <c t="s">
        <v>49254</v>
      </c>
      <c t="s">
        <v>45281</v>
      </c>
      <c t="s">
        <v>15370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4692" s="1" t="str">
        <f ca="1">HYPERLINK("https://web.datatree.com/?/property?propertyId=33841285", "https://web.datatree.com/?/property?propertyId=33841285")</f>
        <v>https://web.datatree.com/?/property?propertyId=33841285</v>
      </c>
      <c r="Q4692" t="s">
        <v>316</v>
      </c>
      <c>
        <v>0.23</v>
      </c>
      <c t="s">
        <v>22490</v>
      </c>
      <c t="s">
        <v>60671</v>
      </c>
      <c t="s">
        <v>10702</v>
      </c>
      <c t="s">
        <v>64990</v>
      </c>
      <c t="s">
        <v>10702</v>
      </c>
      <c t="s">
        <v>53286</v>
      </c>
      <c t="s">
        <v>22731</v>
      </c>
      <c t="s">
        <v>2517</v>
      </c>
      <c t="s">
        <v>39289</v>
      </c>
      <c>
        <v>33909</v>
      </c>
      <c t="s">
        <v>56221</v>
      </c>
      <c t="s">
        <v>48794</v>
      </c>
      <c t="s">
        <v>31983</v>
      </c>
      <c>
        <v>7</v>
      </c>
      <c r="AI4692" t="s">
        <v>61628</v>
      </c>
      <c t="s">
        <v>1671</v>
      </c>
      <c r="AL4692" t="s">
        <v>46211</v>
      </c>
      <c r="AN4692" t="s">
        <v>27747</v>
      </c>
      <c t="s">
        <v>48857</v>
      </c>
      <c t="s">
        <v>49977</v>
      </c>
      <c t="s">
        <v>3093</v>
      </c>
      <c t="s">
        <v>21502</v>
      </c>
    </row>
    <row>
      <c t="s">
        <v>17594</v>
      </c>
      <c t="s">
        <v>7761</v>
      </c>
      <c t="s">
        <v>42443</v>
      </c>
      <c t="s">
        <v>54250</v>
      </c>
      <c t="s">
        <v>54761</v>
      </c>
      <c s="3">
        <v>7500</v>
      </c>
      <c s="3">
        <v>7500</v>
      </c>
      <c s="3">
        <v>7500</v>
      </c>
      <c>
        <v>0</v>
      </c>
      <c s="3">
        <v>0</v>
      </c>
      <c s="3">
        <v>543.05</v>
      </c>
      <c s="3">
        <v>7500</v>
      </c>
      <c>
        <v>2021</v>
      </c>
      <c>
        <v>523.58</v>
      </c>
      <c s="1" t="str">
        <f ca="1">HYPERLINK("https://web.datatree.com/?/property?propertyId=33841748", "https://web.datatree.com/?/property?propertyId=33841748")</f>
        <v>https://web.datatree.com/?/property?propertyId=33841748</v>
      </c>
      <c r="Q4693" t="s">
        <v>316</v>
      </c>
      <c>
        <v>0.23</v>
      </c>
      <c t="s">
        <v>6175</v>
      </c>
      <c r="U4693" t="s">
        <v>50949</v>
      </c>
      <c t="s">
        <v>60258</v>
      </c>
      <c t="s">
        <v>45794</v>
      </c>
      <c t="s">
        <v>47189</v>
      </c>
      <c t="s">
        <v>25017</v>
      </c>
      <c t="s">
        <v>2517</v>
      </c>
      <c t="s">
        <v>39289</v>
      </c>
      <c>
        <v>33909</v>
      </c>
      <c t="s">
        <v>55027</v>
      </c>
      <c t="s">
        <v>48794</v>
      </c>
      <c t="s">
        <v>23522</v>
      </c>
      <c>
        <v>6066</v>
      </c>
      <c r="AI4693" t="s">
        <v>61299</v>
      </c>
      <c t="s">
        <v>55842</v>
      </c>
      <c r="AL4693" t="s">
        <v>16800</v>
      </c>
      <c t="s">
        <v>16800</v>
      </c>
      <c t="s">
        <v>65451</v>
      </c>
      <c t="s">
        <v>40999</v>
      </c>
      <c t="s">
        <v>45980</v>
      </c>
      <c t="s">
        <v>3093</v>
      </c>
      <c t="s">
        <v>61507</v>
      </c>
    </row>
    <row>
      <c t="s">
        <v>17594</v>
      </c>
      <c t="s">
        <v>13285</v>
      </c>
      <c t="s">
        <v>32942</v>
      </c>
      <c t="s">
        <v>58041</v>
      </c>
      <c t="s">
        <v>54883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>
        <v>2021</v>
      </c>
      <c>
        <v>312.94</v>
      </c>
      <c s="1" t="str">
        <f ca="1">HYPERLINK("https://web.datatree.com/?/property?propertyId=33842299", "https://web.datatree.com/?/property?propertyId=33842299")</f>
        <v>https://web.datatree.com/?/property?propertyId=33842299</v>
      </c>
      <c r="Q4694" t="s">
        <v>316</v>
      </c>
      <c>
        <v>0.245</v>
      </c>
      <c t="s">
        <v>5471</v>
      </c>
      <c t="s">
        <v>44541</v>
      </c>
      <c t="s">
        <v>51677</v>
      </c>
      <c t="s">
        <v>61259</v>
      </c>
      <c t="s">
        <v>51677</v>
      </c>
      <c t="s">
        <v>28289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17051</v>
      </c>
      <c>
        <v>323</v>
      </c>
      <c r="AI4694" t="s">
        <v>50835</v>
      </c>
      <c t="s">
        <v>31192</v>
      </c>
      <c r="AL4694" t="s">
        <v>43930</v>
      </c>
      <c r="AN4694" t="s">
        <v>10804</v>
      </c>
      <c t="s">
        <v>59874</v>
      </c>
      <c t="s">
        <v>4357</v>
      </c>
      <c t="s">
        <v>3093</v>
      </c>
      <c t="s">
        <v>46895</v>
      </c>
    </row>
    <row>
      <c t="s">
        <v>17594</v>
      </c>
      <c t="s">
        <v>27214</v>
      </c>
      <c t="s">
        <v>17687</v>
      </c>
      <c t="s">
        <v>12217</v>
      </c>
      <c t="s">
        <v>32043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695" s="1" t="str">
        <f ca="1">HYPERLINK("https://web.datatree.com/?/property?propertyId=33842517", "https://web.datatree.com/?/property?propertyId=33842517")</f>
        <v>https://web.datatree.com/?/property?propertyId=33842517</v>
      </c>
      <c r="Q4695" t="s">
        <v>316</v>
      </c>
      <c>
        <v>0.23</v>
      </c>
      <c t="s">
        <v>6175</v>
      </c>
      <c t="s">
        <v>52045</v>
      </c>
      <c t="s">
        <v>15103</v>
      </c>
      <c t="s">
        <v>26502</v>
      </c>
      <c t="s">
        <v>60798</v>
      </c>
      <c t="s">
        <v>54317</v>
      </c>
      <c t="s">
        <v>2626</v>
      </c>
      <c t="s">
        <v>2517</v>
      </c>
      <c t="s">
        <v>39289</v>
      </c>
      <c>
        <v>33909</v>
      </c>
      <c t="s">
        <v>2752</v>
      </c>
      <c t="s">
        <v>48794</v>
      </c>
      <c t="s">
        <v>17318</v>
      </c>
      <c>
        <v>10678</v>
      </c>
      <c r="AI4695" t="s">
        <v>44304</v>
      </c>
      <c t="s">
        <v>31192</v>
      </c>
      <c r="AL4695" t="s">
        <v>52434</v>
      </c>
      <c r="AN4695" t="s">
        <v>39289</v>
      </c>
      <c t="s">
        <v>7156</v>
      </c>
      <c t="s">
        <v>23744</v>
      </c>
      <c t="s">
        <v>3093</v>
      </c>
      <c t="s">
        <v>23727</v>
      </c>
    </row>
    <row>
      <c t="s">
        <v>17594</v>
      </c>
      <c t="s">
        <v>64161</v>
      </c>
      <c t="s">
        <v>29918</v>
      </c>
      <c t="s">
        <v>24769</v>
      </c>
      <c t="s">
        <v>49020</v>
      </c>
      <c s="3">
        <v>9900</v>
      </c>
      <c s="3">
        <v>9900</v>
      </c>
      <c s="3">
        <v>9900</v>
      </c>
      <c>
        <v>0</v>
      </c>
      <c s="3">
        <v>0</v>
      </c>
      <c s="3">
        <v>733.91</v>
      </c>
      <c s="3">
        <v>9900</v>
      </c>
      <c r="O4696" s="1" t="str">
        <f ca="1">HYPERLINK("https://web.datatree.com/?/property?propertyId=33842536", "https://web.datatree.com/?/property?propertyId=33842536")</f>
        <v>https://web.datatree.com/?/property?propertyId=33842536</v>
      </c>
      <c r="Q4696" t="s">
        <v>316</v>
      </c>
      <c>
        <v>0.344</v>
      </c>
      <c t="s">
        <v>6175</v>
      </c>
      <c t="s">
        <v>47754</v>
      </c>
      <c t="s">
        <v>62410</v>
      </c>
      <c t="s">
        <v>47992</v>
      </c>
      <c t="s">
        <v>62410</v>
      </c>
      <c t="s">
        <v>31929</v>
      </c>
      <c t="s">
        <v>2619</v>
      </c>
      <c t="s">
        <v>2517</v>
      </c>
      <c t="s">
        <v>39289</v>
      </c>
      <c>
        <v>33909</v>
      </c>
      <c t="s">
        <v>5304</v>
      </c>
      <c t="s">
        <v>48794</v>
      </c>
      <c t="s">
        <v>53248</v>
      </c>
      <c>
        <v>3630</v>
      </c>
      <c r="AH4696" t="s">
        <v>52165</v>
      </c>
      <c t="s">
        <v>10653</v>
      </c>
      <c t="s">
        <v>24900</v>
      </c>
      <c r="AL4696" t="s">
        <v>11713</v>
      </c>
      <c r="AN4696" t="s">
        <v>39289</v>
      </c>
      <c t="s">
        <v>25305</v>
      </c>
      <c t="s">
        <v>19154</v>
      </c>
      <c t="s">
        <v>3093</v>
      </c>
      <c t="s">
        <v>4513</v>
      </c>
    </row>
    <row>
      <c t="s">
        <v>17594</v>
      </c>
      <c t="s">
        <v>14304</v>
      </c>
      <c t="s">
        <v>33462</v>
      </c>
      <c t="s">
        <v>26836</v>
      </c>
      <c t="s">
        <v>36079</v>
      </c>
      <c s="3">
        <v>96872</v>
      </c>
      <c s="3">
        <v>86250</v>
      </c>
      <c s="3">
        <v>94511</v>
      </c>
      <c>
        <v>0</v>
      </c>
      <c s="3">
        <v>0</v>
      </c>
      <c s="3">
        <v>1433.01</v>
      </c>
      <c s="3">
        <v>96872</v>
      </c>
      <c r="O4697" s="1" t="str">
        <f ca="1">HYPERLINK("https://web.datatree.com/?/property?propertyId=33842812", "https://web.datatree.com/?/property?propertyId=33842812")</f>
        <v>https://web.datatree.com/?/property?propertyId=33842812</v>
      </c>
      <c r="Q4697" t="s">
        <v>316</v>
      </c>
      <c>
        <v>0.095</v>
      </c>
      <c t="s">
        <v>26492</v>
      </c>
      <c t="s">
        <v>20804</v>
      </c>
      <c t="s">
        <v>4053</v>
      </c>
      <c r="X4697" t="s">
        <v>45271</v>
      </c>
      <c t="s">
        <v>43388</v>
      </c>
      <c t="s">
        <v>65059</v>
      </c>
      <c t="s">
        <v>39289</v>
      </c>
      <c>
        <v>33905</v>
      </c>
      <c>
        <v>33905</v>
      </c>
      <c t="s">
        <v>48794</v>
      </c>
      <c t="s">
        <v>19416</v>
      </c>
      <c>
        <v>41</v>
      </c>
      <c r="AI4697" t="s">
        <v>59966</v>
      </c>
      <c t="s">
        <v>4151</v>
      </c>
      <c r="AL4697" t="s">
        <v>55937</v>
      </c>
      <c t="s">
        <v>40227</v>
      </c>
      <c t="s">
        <v>10909</v>
      </c>
      <c t="s">
        <v>43290</v>
      </c>
      <c r="AQ4697" t="s">
        <v>27814</v>
      </c>
      <c t="s">
        <v>58263</v>
      </c>
      <c>
        <v>2005</v>
      </c>
    </row>
    <row>
      <c t="s">
        <v>17594</v>
      </c>
      <c t="s">
        <v>58392</v>
      </c>
      <c t="s">
        <v>28515</v>
      </c>
      <c t="s">
        <v>12363</v>
      </c>
      <c t="s">
        <v>64545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4698" s="1" t="str">
        <f ca="1">HYPERLINK("https://web.datatree.com/?/property?propertyId=33843346", "https://web.datatree.com/?/property?propertyId=33843346")</f>
        <v>https://web.datatree.com/?/property?propertyId=33843346</v>
      </c>
      <c r="Q4698" t="s">
        <v>316</v>
      </c>
      <c>
        <v>0.23</v>
      </c>
      <c t="s">
        <v>58725</v>
      </c>
      <c t="s">
        <v>6294</v>
      </c>
      <c t="s">
        <v>27015</v>
      </c>
      <c r="X4698" t="s">
        <v>35580</v>
      </c>
      <c t="s">
        <v>57064</v>
      </c>
      <c t="s">
        <v>2517</v>
      </c>
      <c t="s">
        <v>39289</v>
      </c>
      <c>
        <v>33909</v>
      </c>
      <c t="s">
        <v>6306</v>
      </c>
      <c t="s">
        <v>48794</v>
      </c>
      <c t="s">
        <v>34593</v>
      </c>
      <c>
        <v>525</v>
      </c>
      <c r="AI4698" t="s">
        <v>20676</v>
      </c>
      <c t="s">
        <v>24900</v>
      </c>
      <c r="AL4698" t="s">
        <v>11150</v>
      </c>
      <c r="AN4698" t="s">
        <v>26016</v>
      </c>
      <c t="s">
        <v>1517</v>
      </c>
      <c t="s">
        <v>25140</v>
      </c>
      <c t="s">
        <v>3093</v>
      </c>
      <c t="s">
        <v>17562</v>
      </c>
    </row>
    <row>
      <c t="s">
        <v>17594</v>
      </c>
      <c t="s">
        <v>42970</v>
      </c>
      <c t="s">
        <v>54633</v>
      </c>
      <c t="s">
        <v>28491</v>
      </c>
      <c t="s">
        <v>57519</v>
      </c>
      <c s="3">
        <v>24937</v>
      </c>
      <c s="3">
        <v>24937</v>
      </c>
      <c s="3">
        <v>9079</v>
      </c>
      <c>
        <v>0</v>
      </c>
      <c s="3">
        <v>0</v>
      </c>
      <c s="3">
        <v>2910.05</v>
      </c>
      <c s="3">
        <v>24937</v>
      </c>
      <c r="O4699" s="1" t="str">
        <f ca="1">HYPERLINK("https://web.datatree.com/?/property?propertyId=33844692", "https://web.datatree.com/?/property?propertyId=33844692")</f>
        <v>https://web.datatree.com/?/property?propertyId=33844692</v>
      </c>
      <c r="Q4699" t="s">
        <v>316</v>
      </c>
      <c>
        <v>0.23</v>
      </c>
      <c t="s">
        <v>6175</v>
      </c>
      <c t="s">
        <v>64030</v>
      </c>
      <c t="s">
        <v>5389</v>
      </c>
      <c t="s">
        <v>44610</v>
      </c>
      <c t="s">
        <v>5389</v>
      </c>
      <c t="s">
        <v>34718</v>
      </c>
      <c t="s">
        <v>58797</v>
      </c>
      <c t="s">
        <v>2517</v>
      </c>
      <c t="s">
        <v>39289</v>
      </c>
      <c>
        <v>33909</v>
      </c>
      <c t="s">
        <v>1758</v>
      </c>
      <c t="s">
        <v>48794</v>
      </c>
      <c t="s">
        <v>24953</v>
      </c>
      <c>
        <v>6640</v>
      </c>
      <c r="AI4699" t="s">
        <v>14771</v>
      </c>
      <c t="s">
        <v>39321</v>
      </c>
      <c r="AL4699" t="s">
        <v>55393</v>
      </c>
      <c t="s">
        <v>21003</v>
      </c>
      <c t="s">
        <v>39289</v>
      </c>
      <c t="s">
        <v>64010</v>
      </c>
      <c t="s">
        <v>35508</v>
      </c>
      <c t="s">
        <v>3093</v>
      </c>
      <c t="s">
        <v>40488</v>
      </c>
    </row>
    <row>
      <c t="s">
        <v>17594</v>
      </c>
      <c t="s">
        <v>30425</v>
      </c>
      <c t="s">
        <v>3874</v>
      </c>
      <c t="s">
        <v>4145</v>
      </c>
      <c t="s">
        <v>8057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4700" s="1" t="str">
        <f ca="1">HYPERLINK("https://web.datatree.com/?/property?propertyId=33844813", "https://web.datatree.com/?/property?propertyId=33844813")</f>
        <v>https://web.datatree.com/?/property?propertyId=33844813</v>
      </c>
      <c r="Q4700" t="s">
        <v>316</v>
      </c>
      <c>
        <v>0.23</v>
      </c>
      <c t="s">
        <v>6175</v>
      </c>
      <c t="s">
        <v>32955</v>
      </c>
      <c t="s">
        <v>18254</v>
      </c>
      <c t="s">
        <v>51812</v>
      </c>
      <c t="s">
        <v>18254</v>
      </c>
      <c t="s">
        <v>1887</v>
      </c>
      <c t="s">
        <v>13829</v>
      </c>
      <c t="s">
        <v>2517</v>
      </c>
      <c t="s">
        <v>39289</v>
      </c>
      <c>
        <v>33909</v>
      </c>
      <c t="s">
        <v>13596</v>
      </c>
      <c t="s">
        <v>48794</v>
      </c>
      <c t="s">
        <v>55066</v>
      </c>
      <c>
        <v>44</v>
      </c>
      <c r="AI4700" t="s">
        <v>9363</v>
      </c>
      <c r="AL4700" t="s">
        <v>9630</v>
      </c>
      <c r="AN4700" t="s">
        <v>21017</v>
      </c>
      <c>
        <v>71063</v>
      </c>
      <c r="AR4700" t="s">
        <v>60906</v>
      </c>
    </row>
    <row>
      <c t="s">
        <v>17594</v>
      </c>
      <c t="s">
        <v>50813</v>
      </c>
      <c t="s">
        <v>19204</v>
      </c>
      <c t="s">
        <v>24450</v>
      </c>
      <c t="s">
        <v>64768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4701" s="1" t="str">
        <f ca="1">HYPERLINK("https://web.datatree.com/?/property?propertyId=33845672", "https://web.datatree.com/?/property?propertyId=33845672")</f>
        <v>https://web.datatree.com/?/property?propertyId=33845672</v>
      </c>
      <c r="Q4701" t="s">
        <v>316</v>
      </c>
      <c>
        <v>0.23</v>
      </c>
      <c t="s">
        <v>22490</v>
      </c>
      <c t="s">
        <v>28233</v>
      </c>
      <c t="s">
        <v>15876</v>
      </c>
      <c r="X4701" t="s">
        <v>49907</v>
      </c>
      <c t="s">
        <v>49674</v>
      </c>
      <c t="s">
        <v>2517</v>
      </c>
      <c t="s">
        <v>39289</v>
      </c>
      <c>
        <v>33909</v>
      </c>
      <c t="s">
        <v>28565</v>
      </c>
      <c t="s">
        <v>48794</v>
      </c>
      <c t="s">
        <v>22362</v>
      </c>
      <c>
        <v>141</v>
      </c>
      <c r="AI4701" t="s">
        <v>54750</v>
      </c>
      <c t="s">
        <v>24900</v>
      </c>
      <c r="AL4701" t="s">
        <v>52103</v>
      </c>
      <c t="s">
        <v>52103</v>
      </c>
      <c t="s">
        <v>65451</v>
      </c>
      <c t="s">
        <v>2371</v>
      </c>
      <c t="s">
        <v>31626</v>
      </c>
      <c t="s">
        <v>3093</v>
      </c>
      <c t="s">
        <v>53492</v>
      </c>
    </row>
    <row>
      <c t="s">
        <v>17594</v>
      </c>
      <c t="s">
        <v>61965</v>
      </c>
      <c t="s">
        <v>6699</v>
      </c>
      <c t="s">
        <v>7898</v>
      </c>
      <c t="s">
        <v>50269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4702" s="1" t="str">
        <f ca="1">HYPERLINK("https://web.datatree.com/?/property?propertyId=33845928", "https://web.datatree.com/?/property?propertyId=33845928")</f>
        <v>https://web.datatree.com/?/property?propertyId=33845928</v>
      </c>
      <c r="Q4702" t="s">
        <v>316</v>
      </c>
      <c>
        <v>0.23</v>
      </c>
      <c t="s">
        <v>58725</v>
      </c>
      <c t="s">
        <v>36999</v>
      </c>
      <c t="s">
        <v>62189</v>
      </c>
      <c r="X4702" t="s">
        <v>28480</v>
      </c>
      <c t="s">
        <v>39082</v>
      </c>
      <c t="s">
        <v>2517</v>
      </c>
      <c t="s">
        <v>39289</v>
      </c>
      <c>
        <v>33909</v>
      </c>
      <c t="s">
        <v>26533</v>
      </c>
      <c t="s">
        <v>48794</v>
      </c>
      <c t="s">
        <v>23290</v>
      </c>
      <c r="AI4702" t="s">
        <v>25460</v>
      </c>
      <c r="AL4702" t="s">
        <v>18140</v>
      </c>
      <c r="AN4702" t="s">
        <v>49730</v>
      </c>
      <c>
        <v>88336</v>
      </c>
      <c r="AR4702" t="s">
        <v>11630</v>
      </c>
    </row>
    <row>
      <c t="s">
        <v>17594</v>
      </c>
      <c t="s">
        <v>10455</v>
      </c>
      <c t="s">
        <v>61151</v>
      </c>
      <c t="s">
        <v>28512</v>
      </c>
      <c t="s">
        <v>31999</v>
      </c>
      <c s="3">
        <v>74985</v>
      </c>
      <c s="3">
        <v>67250</v>
      </c>
      <c s="3">
        <v>71269</v>
      </c>
      <c>
        <v>0</v>
      </c>
      <c s="3">
        <v>0</v>
      </c>
      <c s="3">
        <v>1092.57</v>
      </c>
      <c s="3">
        <v>74985</v>
      </c>
      <c r="O4703" s="1" t="str">
        <f ca="1">HYPERLINK("https://web.datatree.com/?/property?propertyId=33846278", "https://web.datatree.com/?/property?propertyId=33846278")</f>
        <v>https://web.datatree.com/?/property?propertyId=33846278</v>
      </c>
      <c r="Q4703" t="s">
        <v>316</v>
      </c>
      <c>
        <v>0.101</v>
      </c>
      <c t="s">
        <v>26492</v>
      </c>
      <c t="s">
        <v>2140</v>
      </c>
      <c t="s">
        <v>28448</v>
      </c>
      <c t="s">
        <v>26163</v>
      </c>
      <c t="s">
        <v>28448</v>
      </c>
      <c t="s">
        <v>17477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20149</v>
      </c>
      <c>
        <v>8897</v>
      </c>
      <c r="AH4703" t="s">
        <v>6851</v>
      </c>
      <c t="s">
        <v>57222</v>
      </c>
      <c t="s">
        <v>45393</v>
      </c>
      <c r="AL4703" t="s">
        <v>870</v>
      </c>
      <c t="s">
        <v>40227</v>
      </c>
      <c t="s">
        <v>51137</v>
      </c>
      <c t="s">
        <v>62788</v>
      </c>
      <c t="s">
        <v>702</v>
      </c>
      <c t="s">
        <v>3093</v>
      </c>
      <c t="s">
        <v>8944</v>
      </c>
    </row>
    <row>
      <c t="s">
        <v>17594</v>
      </c>
      <c t="s">
        <v>61446</v>
      </c>
      <c t="s">
        <v>51521</v>
      </c>
      <c t="s">
        <v>867</v>
      </c>
      <c t="s">
        <v>46206</v>
      </c>
      <c s="3">
        <v>26290</v>
      </c>
      <c s="3">
        <v>26290</v>
      </c>
      <c s="3">
        <v>26290</v>
      </c>
      <c>
        <v>0</v>
      </c>
      <c s="3">
        <v>0</v>
      </c>
      <c s="3">
        <v>789.75</v>
      </c>
      <c s="3">
        <v>26290</v>
      </c>
      <c r="O4704" s="1" t="str">
        <f ca="1">HYPERLINK("https://web.datatree.com/?/property?propertyId=33846525", "https://web.datatree.com/?/property?propertyId=33846525")</f>
        <v>https://web.datatree.com/?/property?propertyId=33846525</v>
      </c>
      <c r="Q4704" t="s">
        <v>316</v>
      </c>
      <c>
        <v>0.23</v>
      </c>
      <c t="s">
        <v>58725</v>
      </c>
      <c t="s">
        <v>43842</v>
      </c>
      <c t="s">
        <v>65561</v>
      </c>
      <c r="X4704" t="s">
        <v>59005</v>
      </c>
      <c t="s">
        <v>39082</v>
      </c>
      <c t="s">
        <v>2517</v>
      </c>
      <c t="s">
        <v>39289</v>
      </c>
      <c>
        <v>33909</v>
      </c>
      <c t="s">
        <v>7312</v>
      </c>
      <c t="s">
        <v>48794</v>
      </c>
      <c t="s">
        <v>10952</v>
      </c>
      <c>
        <v>1404</v>
      </c>
      <c r="AI4704" t="s">
        <v>37798</v>
      </c>
      <c t="s">
        <v>31192</v>
      </c>
      <c r="AL4704" t="s">
        <v>44151</v>
      </c>
      <c t="s">
        <v>44151</v>
      </c>
      <c t="s">
        <v>19878</v>
      </c>
      <c t="s">
        <v>38264</v>
      </c>
      <c t="s">
        <v>49977</v>
      </c>
      <c t="s">
        <v>3093</v>
      </c>
      <c t="s">
        <v>24510</v>
      </c>
    </row>
    <row>
      <c t="s">
        <v>17594</v>
      </c>
      <c t="s">
        <v>34760</v>
      </c>
      <c t="s">
        <v>18837</v>
      </c>
      <c t="s">
        <v>44734</v>
      </c>
      <c t="s">
        <v>8920</v>
      </c>
      <c s="3">
        <v>131946</v>
      </c>
      <c s="3">
        <v>131946</v>
      </c>
      <c s="3">
        <v>64372</v>
      </c>
      <c>
        <v>0</v>
      </c>
      <c s="3">
        <v>0</v>
      </c>
      <c s="3">
        <v>1836.85</v>
      </c>
      <c s="3">
        <v>131946</v>
      </c>
      <c r="O4705" s="1" t="str">
        <f ca="1">HYPERLINK("https://web.datatree.com/?/property?propertyId=33846608", "https://web.datatree.com/?/property?propertyId=33846608")</f>
        <v>https://web.datatree.com/?/property?propertyId=33846608</v>
      </c>
      <c r="Q4705" t="s">
        <v>316</v>
      </c>
      <c>
        <v>0.266</v>
      </c>
      <c t="s">
        <v>22490</v>
      </c>
      <c r="U4705" t="s">
        <v>27981</v>
      </c>
      <c t="s">
        <v>8292</v>
      </c>
      <c t="s">
        <v>49002</v>
      </c>
      <c t="s">
        <v>41840</v>
      </c>
      <c t="s">
        <v>64331</v>
      </c>
      <c t="s">
        <v>2517</v>
      </c>
      <c t="s">
        <v>39289</v>
      </c>
      <c>
        <v>33904</v>
      </c>
      <c t="s">
        <v>25261</v>
      </c>
      <c t="s">
        <v>48794</v>
      </c>
      <c t="s">
        <v>226</v>
      </c>
      <c>
        <v>3148</v>
      </c>
      <c r="AI4705" t="s">
        <v>60565</v>
      </c>
      <c t="s">
        <v>40123</v>
      </c>
      <c r="AL4705" t="s">
        <v>65170</v>
      </c>
      <c t="s">
        <v>65170</v>
      </c>
      <c t="s">
        <v>65451</v>
      </c>
      <c t="s">
        <v>5667</v>
      </c>
      <c t="s">
        <v>41946</v>
      </c>
      <c t="s">
        <v>3093</v>
      </c>
      <c t="s">
        <v>8720</v>
      </c>
    </row>
    <row>
      <c t="s">
        <v>17594</v>
      </c>
      <c t="s">
        <v>40255</v>
      </c>
      <c t="s">
        <v>42042</v>
      </c>
      <c t="s">
        <v>52787</v>
      </c>
      <c t="s">
        <v>64780</v>
      </c>
      <c s="3">
        <v>8600</v>
      </c>
      <c s="3">
        <v>8600</v>
      </c>
      <c s="3">
        <v>8600</v>
      </c>
      <c>
        <v>0</v>
      </c>
      <c s="3">
        <v>0</v>
      </c>
      <c s="3">
        <v>670.29</v>
      </c>
      <c s="3">
        <v>8600</v>
      </c>
      <c r="O4706" s="1" t="str">
        <f ca="1">HYPERLINK("https://web.datatree.com/?/property?propertyId=33847687", "https://web.datatree.com/?/property?propertyId=33847687")</f>
        <v>https://web.datatree.com/?/property?propertyId=33847687</v>
      </c>
      <c r="Q4706" t="s">
        <v>316</v>
      </c>
      <c>
        <v>0.244</v>
      </c>
      <c t="s">
        <v>6175</v>
      </c>
      <c t="s">
        <v>552</v>
      </c>
      <c t="s">
        <v>33457</v>
      </c>
      <c r="X4706" t="s">
        <v>7230</v>
      </c>
      <c t="s">
        <v>47150</v>
      </c>
      <c t="s">
        <v>2517</v>
      </c>
      <c t="s">
        <v>39289</v>
      </c>
      <c>
        <v>33909</v>
      </c>
      <c t="s">
        <v>52581</v>
      </c>
      <c t="s">
        <v>48794</v>
      </c>
      <c t="s">
        <v>50280</v>
      </c>
      <c>
        <v>4907</v>
      </c>
      <c r="AH4706" t="s">
        <v>57851</v>
      </c>
      <c t="s">
        <v>55376</v>
      </c>
      <c t="s">
        <v>31192</v>
      </c>
      <c r="AL4706" t="s">
        <v>11713</v>
      </c>
      <c t="s">
        <v>49191</v>
      </c>
      <c t="s">
        <v>39289</v>
      </c>
      <c>
        <v>34120</v>
      </c>
      <c r="AQ4706" t="s">
        <v>3093</v>
      </c>
      <c t="s">
        <v>16774</v>
      </c>
    </row>
    <row>
      <c t="s">
        <v>17594</v>
      </c>
      <c t="s">
        <v>30463</v>
      </c>
      <c t="s">
        <v>14390</v>
      </c>
      <c t="s">
        <v>60468</v>
      </c>
      <c t="s">
        <v>52236</v>
      </c>
      <c s="3">
        <v>15788</v>
      </c>
      <c s="3">
        <v>15788</v>
      </c>
      <c s="3">
        <v>8250</v>
      </c>
      <c>
        <v>0</v>
      </c>
      <c s="3">
        <v>0</v>
      </c>
      <c s="3">
        <v>568.23</v>
      </c>
      <c s="3">
        <v>15788</v>
      </c>
      <c r="O4707" s="1" t="str">
        <f ca="1">HYPERLINK("https://web.datatree.com/?/property?propertyId=33848753", "https://web.datatree.com/?/property?propertyId=33848753")</f>
        <v>https://web.datatree.com/?/property?propertyId=33848753</v>
      </c>
      <c r="Q4707" t="s">
        <v>316</v>
      </c>
      <c>
        <v>0.255</v>
      </c>
      <c t="s">
        <v>6175</v>
      </c>
      <c t="s">
        <v>1019</v>
      </c>
      <c t="s">
        <v>65750</v>
      </c>
      <c r="X4707" t="s">
        <v>46151</v>
      </c>
      <c t="s">
        <v>25017</v>
      </c>
      <c t="s">
        <v>2517</v>
      </c>
      <c t="s">
        <v>39289</v>
      </c>
      <c>
        <v>33909</v>
      </c>
      <c t="s">
        <v>63939</v>
      </c>
      <c t="s">
        <v>48794</v>
      </c>
      <c t="s">
        <v>15560</v>
      </c>
      <c>
        <v>8647</v>
      </c>
      <c r="AI4707" t="s">
        <v>39051</v>
      </c>
      <c t="s">
        <v>45393</v>
      </c>
      <c r="AL4707" t="s">
        <v>59701</v>
      </c>
      <c r="AN4707" t="s">
        <v>50917</v>
      </c>
      <c t="s">
        <v>54341</v>
      </c>
      <c t="s">
        <v>54916</v>
      </c>
      <c t="s">
        <v>3093</v>
      </c>
      <c t="s">
        <v>13764</v>
      </c>
    </row>
    <row>
      <c t="s">
        <v>17594</v>
      </c>
      <c t="s">
        <v>39142</v>
      </c>
      <c t="s">
        <v>22111</v>
      </c>
      <c t="s">
        <v>1620</v>
      </c>
      <c t="s">
        <v>20227</v>
      </c>
      <c s="3">
        <v>7200</v>
      </c>
      <c s="3">
        <v>7200</v>
      </c>
      <c s="3">
        <v>7200</v>
      </c>
      <c>
        <v>0</v>
      </c>
      <c s="3">
        <v>0</v>
      </c>
      <c s="3">
        <v>420.88</v>
      </c>
      <c s="3">
        <v>7200</v>
      </c>
      <c r="O4708" s="1" t="str">
        <f ca="1">HYPERLINK("https://web.datatree.com/?/property?propertyId=33848900", "https://web.datatree.com/?/property?propertyId=33848900")</f>
        <v>https://web.datatree.com/?/property?propertyId=33848900</v>
      </c>
      <c r="Q4708" t="s">
        <v>316</v>
      </c>
      <c>
        <v>0.272</v>
      </c>
      <c t="s">
        <v>6175</v>
      </c>
      <c t="s">
        <v>8762</v>
      </c>
      <c t="s">
        <v>54640</v>
      </c>
      <c r="X4708" t="s">
        <v>58305</v>
      </c>
      <c t="s">
        <v>13829</v>
      </c>
      <c t="s">
        <v>2517</v>
      </c>
      <c t="s">
        <v>39289</v>
      </c>
      <c>
        <v>33909</v>
      </c>
      <c t="s">
        <v>32758</v>
      </c>
      <c t="s">
        <v>48794</v>
      </c>
      <c t="s">
        <v>14061</v>
      </c>
      <c>
        <v>625</v>
      </c>
      <c r="AI4708" t="s">
        <v>8558</v>
      </c>
      <c t="s">
        <v>31192</v>
      </c>
      <c r="AL4708" t="s">
        <v>28729</v>
      </c>
      <c t="s">
        <v>11379</v>
      </c>
      <c t="s">
        <v>26016</v>
      </c>
      <c t="s">
        <v>42518</v>
      </c>
      <c t="s">
        <v>62830</v>
      </c>
      <c t="s">
        <v>3093</v>
      </c>
      <c t="s">
        <v>33102</v>
      </c>
    </row>
    <row>
      <c t="s">
        <v>17594</v>
      </c>
      <c t="s">
        <v>43977</v>
      </c>
      <c t="s">
        <v>14569</v>
      </c>
      <c t="s">
        <v>39265</v>
      </c>
      <c t="s">
        <v>41477</v>
      </c>
      <c s="3">
        <v>23310</v>
      </c>
      <c s="3">
        <v>23310</v>
      </c>
      <c s="3">
        <v>23310</v>
      </c>
      <c>
        <v>0</v>
      </c>
      <c s="3">
        <v>0</v>
      </c>
      <c s="3">
        <v>1030.27</v>
      </c>
      <c s="3">
        <v>23310</v>
      </c>
      <c r="O4709" s="1" t="str">
        <f ca="1">HYPERLINK("https://web.datatree.com/?/property?propertyId=33850008", "https://web.datatree.com/?/property?propertyId=33850008")</f>
        <v>https://web.datatree.com/?/property?propertyId=33850008</v>
      </c>
      <c r="Q4709" t="s">
        <v>316</v>
      </c>
      <c>
        <v>0.344</v>
      </c>
      <c t="s">
        <v>6175</v>
      </c>
      <c r="U4709" t="s">
        <v>30255</v>
      </c>
      <c r="W4709" t="s">
        <v>59581</v>
      </c>
      <c t="s">
        <v>62078</v>
      </c>
      <c t="s">
        <v>39777</v>
      </c>
      <c t="s">
        <v>2517</v>
      </c>
      <c t="s">
        <v>39289</v>
      </c>
      <c>
        <v>33909</v>
      </c>
      <c t="s">
        <v>52651</v>
      </c>
      <c t="s">
        <v>48794</v>
      </c>
      <c t="s">
        <v>21654</v>
      </c>
      <c>
        <v>7</v>
      </c>
      <c r="AI4709" t="s">
        <v>42130</v>
      </c>
      <c t="s">
        <v>31192</v>
      </c>
      <c r="AL4709" t="s">
        <v>46158</v>
      </c>
      <c r="AN4709" t="s">
        <v>26016</v>
      </c>
      <c t="s">
        <v>60362</v>
      </c>
      <c t="s">
        <v>67084</v>
      </c>
      <c t="s">
        <v>3093</v>
      </c>
      <c t="s">
        <v>58194</v>
      </c>
    </row>
    <row>
      <c t="s">
        <v>17594</v>
      </c>
      <c t="s">
        <v>35215</v>
      </c>
      <c t="s">
        <v>16923</v>
      </c>
      <c t="s">
        <v>83</v>
      </c>
      <c t="s">
        <v>34283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4710" s="1" t="str">
        <f ca="1">HYPERLINK("https://web.datatree.com/?/property?propertyId=33850536", "https://web.datatree.com/?/property?propertyId=33850536")</f>
        <v>https://web.datatree.com/?/property?propertyId=33850536</v>
      </c>
      <c r="Q4710" t="s">
        <v>316</v>
      </c>
      <c>
        <v>0.244</v>
      </c>
      <c t="s">
        <v>6175</v>
      </c>
      <c t="s">
        <v>44541</v>
      </c>
      <c t="s">
        <v>7311</v>
      </c>
      <c t="s">
        <v>13419</v>
      </c>
      <c t="s">
        <v>7311</v>
      </c>
      <c t="s">
        <v>54759</v>
      </c>
      <c t="s">
        <v>38550</v>
      </c>
      <c t="s">
        <v>2517</v>
      </c>
      <c t="s">
        <v>39289</v>
      </c>
      <c>
        <v>33909</v>
      </c>
      <c t="s">
        <v>2981</v>
      </c>
      <c t="s">
        <v>48794</v>
      </c>
      <c t="s">
        <v>44753</v>
      </c>
      <c>
        <v>46775</v>
      </c>
      <c r="AI4710" t="s">
        <v>56936</v>
      </c>
      <c r="AL4710" t="s">
        <v>51363</v>
      </c>
      <c t="s">
        <v>51363</v>
      </c>
      <c t="s">
        <v>51137</v>
      </c>
      <c>
        <v>48111</v>
      </c>
      <c r="AQ4710" t="s">
        <v>3093</v>
      </c>
      <c t="s">
        <v>46770</v>
      </c>
    </row>
    <row>
      <c t="s">
        <v>17594</v>
      </c>
      <c t="s">
        <v>56944</v>
      </c>
      <c t="s">
        <v>10325</v>
      </c>
      <c t="s">
        <v>30217</v>
      </c>
      <c t="s">
        <v>48367</v>
      </c>
      <c s="3">
        <v>22152</v>
      </c>
      <c s="3">
        <v>22152</v>
      </c>
      <c s="3">
        <v>8800</v>
      </c>
      <c>
        <v>0</v>
      </c>
      <c s="3">
        <v>0</v>
      </c>
      <c s="3">
        <v>605.58</v>
      </c>
      <c s="3">
        <v>22152</v>
      </c>
      <c r="O4711" s="1" t="str">
        <f ca="1">HYPERLINK("https://web.datatree.com/?/property?propertyId=33851037", "https://web.datatree.com/?/property?propertyId=33851037")</f>
        <v>https://web.datatree.com/?/property?propertyId=33851037</v>
      </c>
      <c r="Q4711" t="s">
        <v>316</v>
      </c>
      <c>
        <v>0.256</v>
      </c>
      <c t="s">
        <v>22490</v>
      </c>
      <c t="s">
        <v>44745</v>
      </c>
      <c t="s">
        <v>52242</v>
      </c>
      <c t="s">
        <v>9074</v>
      </c>
      <c t="s">
        <v>52242</v>
      </c>
      <c t="s">
        <v>34876</v>
      </c>
      <c t="s">
        <v>25017</v>
      </c>
      <c t="s">
        <v>2517</v>
      </c>
      <c t="s">
        <v>39289</v>
      </c>
      <c>
        <v>33909</v>
      </c>
      <c t="s">
        <v>26055</v>
      </c>
      <c t="s">
        <v>48794</v>
      </c>
      <c t="s">
        <v>15047</v>
      </c>
      <c>
        <v>725</v>
      </c>
      <c r="AI4711" t="s">
        <v>46266</v>
      </c>
      <c r="AL4711" t="s">
        <v>22344</v>
      </c>
      <c r="AN4711" t="s">
        <v>32840</v>
      </c>
      <c r="AR4711" t="s">
        <v>53269</v>
      </c>
    </row>
    <row>
      <c t="s">
        <v>17594</v>
      </c>
      <c t="s">
        <v>16254</v>
      </c>
      <c t="s">
        <v>40134</v>
      </c>
      <c t="s">
        <v>21080</v>
      </c>
      <c t="s">
        <v>39400</v>
      </c>
      <c s="3">
        <v>28000</v>
      </c>
      <c s="3">
        <v>28000</v>
      </c>
      <c s="3">
        <v>28000</v>
      </c>
      <c>
        <v>0</v>
      </c>
      <c s="3">
        <v>0</v>
      </c>
      <c s="3">
        <v>816.75</v>
      </c>
      <c s="3">
        <v>28000</v>
      </c>
      <c r="O4712" s="1" t="str">
        <f ca="1">HYPERLINK("https://web.datatree.com/?/property?propertyId=33851379", "https://web.datatree.com/?/property?propertyId=33851379")</f>
        <v>https://web.datatree.com/?/property?propertyId=33851379</v>
      </c>
      <c r="Q4712" t="s">
        <v>316</v>
      </c>
      <c>
        <v>0.23</v>
      </c>
      <c t="s">
        <v>45031</v>
      </c>
      <c t="s">
        <v>6209</v>
      </c>
      <c t="s">
        <v>42690</v>
      </c>
      <c r="X4712" t="s">
        <v>41008</v>
      </c>
      <c t="s">
        <v>10653</v>
      </c>
      <c t="s">
        <v>2517</v>
      </c>
      <c t="s">
        <v>39289</v>
      </c>
      <c>
        <v>33909</v>
      </c>
      <c t="s">
        <v>42017</v>
      </c>
      <c t="s">
        <v>48794</v>
      </c>
      <c t="s">
        <v>52991</v>
      </c>
      <c>
        <v>315</v>
      </c>
      <c r="AI4712" t="s">
        <v>60471</v>
      </c>
      <c t="s">
        <v>45393</v>
      </c>
      <c t="s">
        <v>4401</v>
      </c>
      <c t="s">
        <v>13397</v>
      </c>
      <c t="s">
        <v>13397</v>
      </c>
      <c t="s">
        <v>50917</v>
      </c>
      <c t="s">
        <v>30504</v>
      </c>
      <c t="s">
        <v>2477</v>
      </c>
      <c t="s">
        <v>3093</v>
      </c>
      <c t="s">
        <v>25327</v>
      </c>
    </row>
    <row>
      <c t="s">
        <v>17594</v>
      </c>
      <c t="s">
        <v>17108</v>
      </c>
      <c t="s">
        <v>32052</v>
      </c>
      <c t="s">
        <v>42205</v>
      </c>
      <c t="s">
        <v>41181</v>
      </c>
      <c s="3">
        <v>115021</v>
      </c>
      <c s="3">
        <v>115021</v>
      </c>
      <c s="3">
        <v>52838</v>
      </c>
      <c>
        <v>0</v>
      </c>
      <c s="3">
        <v>0</v>
      </c>
      <c s="3">
        <v>1128.39</v>
      </c>
      <c s="3">
        <v>115021</v>
      </c>
      <c r="O4713" s="1" t="str">
        <f ca="1">HYPERLINK("https://web.datatree.com/?/property?propertyId=33851506", "https://web.datatree.com/?/property?propertyId=33851506")</f>
        <v>https://web.datatree.com/?/property?propertyId=33851506</v>
      </c>
      <c r="Q4713" t="s">
        <v>316</v>
      </c>
      <c>
        <v>0.23</v>
      </c>
      <c t="s">
        <v>22490</v>
      </c>
      <c t="s">
        <v>65834</v>
      </c>
      <c t="s">
        <v>64788</v>
      </c>
      <c t="s">
        <v>63047</v>
      </c>
      <c t="s">
        <v>64788</v>
      </c>
      <c t="s">
        <v>44700</v>
      </c>
      <c t="s">
        <v>64273</v>
      </c>
      <c t="s">
        <v>2517</v>
      </c>
      <c t="s">
        <v>39289</v>
      </c>
      <c>
        <v>33904</v>
      </c>
      <c>
        <v>33904</v>
      </c>
      <c t="s">
        <v>48794</v>
      </c>
      <c t="s">
        <v>23003</v>
      </c>
      <c>
        <v>5485</v>
      </c>
      <c r="AI4713" t="s">
        <v>14222</v>
      </c>
      <c t="s">
        <v>31192</v>
      </c>
      <c r="AL4713" t="s">
        <v>54510</v>
      </c>
      <c r="AN4713" t="s">
        <v>51137</v>
      </c>
      <c t="s">
        <v>31592</v>
      </c>
      <c t="s">
        <v>38014</v>
      </c>
      <c t="s">
        <v>3093</v>
      </c>
      <c t="s">
        <v>56825</v>
      </c>
    </row>
    <row>
      <c t="s">
        <v>17594</v>
      </c>
      <c t="s">
        <v>9976</v>
      </c>
      <c t="s">
        <v>46075</v>
      </c>
      <c t="s">
        <v>64830</v>
      </c>
      <c t="s">
        <v>1302</v>
      </c>
      <c s="3">
        <v>24937</v>
      </c>
      <c s="3">
        <v>24937</v>
      </c>
      <c s="3">
        <v>9079</v>
      </c>
      <c>
        <v>0</v>
      </c>
      <c s="3">
        <v>0</v>
      </c>
      <c s="3">
        <v>2910.05</v>
      </c>
      <c s="3">
        <v>24937</v>
      </c>
      <c>
        <v>2018</v>
      </c>
      <c>
        <v>30147.11</v>
      </c>
      <c s="1" t="str">
        <f ca="1">HYPERLINK("https://web.datatree.com/?/property?propertyId=33852264", "https://web.datatree.com/?/property?propertyId=33852264")</f>
        <v>https://web.datatree.com/?/property?propertyId=33852264</v>
      </c>
      <c r="Q4714" t="s">
        <v>316</v>
      </c>
      <c>
        <v>0.23</v>
      </c>
      <c t="s">
        <v>6175</v>
      </c>
      <c t="s">
        <v>37590</v>
      </c>
      <c t="s">
        <v>19249</v>
      </c>
      <c t="s">
        <v>5100</v>
      </c>
      <c t="s">
        <v>35156</v>
      </c>
      <c t="s">
        <v>1798</v>
      </c>
      <c t="s">
        <v>59356</v>
      </c>
      <c t="s">
        <v>2517</v>
      </c>
      <c t="s">
        <v>39289</v>
      </c>
      <c>
        <v>33909</v>
      </c>
      <c t="s">
        <v>29924</v>
      </c>
      <c t="s">
        <v>48794</v>
      </c>
      <c t="s">
        <v>39765</v>
      </c>
      <c>
        <v>409</v>
      </c>
      <c r="AI4714" t="s">
        <v>60563</v>
      </c>
      <c t="s">
        <v>55842</v>
      </c>
      <c r="AL4714" t="s">
        <v>61715</v>
      </c>
      <c r="AN4714" t="s">
        <v>21017</v>
      </c>
      <c t="s">
        <v>30238</v>
      </c>
      <c t="s">
        <v>51100</v>
      </c>
      <c t="s">
        <v>3093</v>
      </c>
      <c t="s">
        <v>13578</v>
      </c>
    </row>
    <row>
      <c t="s">
        <v>17594</v>
      </c>
      <c t="s">
        <v>18419</v>
      </c>
      <c t="s">
        <v>47632</v>
      </c>
      <c t="s">
        <v>5668</v>
      </c>
      <c t="s">
        <v>629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4715" s="1" t="str">
        <f ca="1">HYPERLINK("https://web.datatree.com/?/property?propertyId=33852705", "https://web.datatree.com/?/property?propertyId=33852705")</f>
        <v>https://web.datatree.com/?/property?propertyId=33852705</v>
      </c>
      <c r="Q4715" t="s">
        <v>316</v>
      </c>
      <c>
        <v>0.23</v>
      </c>
      <c t="s">
        <v>6175</v>
      </c>
      <c t="s">
        <v>8416</v>
      </c>
      <c t="s">
        <v>64686</v>
      </c>
      <c r="X4715" t="s">
        <v>6984</v>
      </c>
      <c t="s">
        <v>33179</v>
      </c>
      <c t="s">
        <v>2517</v>
      </c>
      <c t="s">
        <v>39289</v>
      </c>
      <c>
        <v>33909</v>
      </c>
      <c t="s">
        <v>25804</v>
      </c>
      <c t="s">
        <v>48794</v>
      </c>
      <c t="s">
        <v>14216</v>
      </c>
      <c>
        <v>2423</v>
      </c>
      <c r="AI4715" t="s">
        <v>26112</v>
      </c>
      <c t="s">
        <v>41372</v>
      </c>
      <c r="AL4715" t="s">
        <v>55393</v>
      </c>
      <c r="AN4715" t="s">
        <v>39289</v>
      </c>
      <c t="s">
        <v>46855</v>
      </c>
      <c t="s">
        <v>54916</v>
      </c>
      <c t="s">
        <v>3093</v>
      </c>
      <c t="s">
        <v>47612</v>
      </c>
    </row>
    <row>
      <c t="s">
        <v>17594</v>
      </c>
      <c t="s">
        <v>33505</v>
      </c>
      <c t="s">
        <v>29220</v>
      </c>
      <c t="s">
        <v>93</v>
      </c>
      <c t="s">
        <v>37794</v>
      </c>
      <c s="3">
        <v>48521</v>
      </c>
      <c s="3">
        <v>48521</v>
      </c>
      <c s="3">
        <v>17448</v>
      </c>
      <c>
        <v>0</v>
      </c>
      <c s="3">
        <v>0</v>
      </c>
      <c s="3">
        <v>857.63</v>
      </c>
      <c s="3">
        <v>48521</v>
      </c>
      <c r="O4716" s="1" t="str">
        <f ca="1">HYPERLINK("https://web.datatree.com/?/property?propertyId=33852910", "https://web.datatree.com/?/property?propertyId=33852910")</f>
        <v>https://web.datatree.com/?/property?propertyId=33852910</v>
      </c>
      <c r="Q4716" t="s">
        <v>316</v>
      </c>
      <c>
        <v>0.23</v>
      </c>
      <c t="s">
        <v>6175</v>
      </c>
      <c t="s">
        <v>3724</v>
      </c>
      <c t="s">
        <v>16436</v>
      </c>
      <c r="X4716" t="s">
        <v>30862</v>
      </c>
      <c t="s">
        <v>49674</v>
      </c>
      <c t="s">
        <v>2517</v>
      </c>
      <c t="s">
        <v>39289</v>
      </c>
      <c>
        <v>33904</v>
      </c>
      <c t="s">
        <v>27589</v>
      </c>
      <c t="s">
        <v>48794</v>
      </c>
      <c t="s">
        <v>65783</v>
      </c>
      <c>
        <v>12252</v>
      </c>
      <c r="AI4716" t="s">
        <v>43451</v>
      </c>
      <c t="s">
        <v>31192</v>
      </c>
      <c r="AL4716" t="s">
        <v>33692</v>
      </c>
      <c r="AN4716" t="s">
        <v>66651</v>
      </c>
      <c t="s">
        <v>19640</v>
      </c>
      <c t="s">
        <v>22455</v>
      </c>
      <c t="s">
        <v>3093</v>
      </c>
      <c t="s">
        <v>2877</v>
      </c>
    </row>
    <row>
      <c t="s">
        <v>17594</v>
      </c>
      <c t="s">
        <v>18700</v>
      </c>
      <c t="s">
        <v>10138</v>
      </c>
      <c t="s">
        <v>36900</v>
      </c>
      <c t="s">
        <v>41233</v>
      </c>
      <c s="3">
        <v>7500</v>
      </c>
      <c s="3">
        <v>7500</v>
      </c>
      <c s="3">
        <v>7500</v>
      </c>
      <c>
        <v>0</v>
      </c>
      <c s="3">
        <v>0</v>
      </c>
      <c s="3">
        <v>623.83</v>
      </c>
      <c s="3">
        <v>7500</v>
      </c>
      <c r="O4717" s="1" t="str">
        <f ca="1">HYPERLINK("https://web.datatree.com/?/property?propertyId=33853217", "https://web.datatree.com/?/property?propertyId=33853217")</f>
        <v>https://web.datatree.com/?/property?propertyId=33853217</v>
      </c>
      <c r="Q4717" t="s">
        <v>316</v>
      </c>
      <c>
        <v>0.23</v>
      </c>
      <c t="s">
        <v>6175</v>
      </c>
      <c t="s">
        <v>56674</v>
      </c>
      <c t="s">
        <v>54681</v>
      </c>
      <c t="s">
        <v>552</v>
      </c>
      <c t="s">
        <v>4961</v>
      </c>
      <c t="s">
        <v>66711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23019</v>
      </c>
      <c>
        <v>15135</v>
      </c>
      <c r="AI4717" t="s">
        <v>9315</v>
      </c>
      <c t="s">
        <v>45393</v>
      </c>
      <c t="s">
        <v>53402</v>
      </c>
      <c t="s">
        <v>60064</v>
      </c>
      <c t="s">
        <v>13397</v>
      </c>
      <c t="s">
        <v>50917</v>
      </c>
      <c t="s">
        <v>63471</v>
      </c>
      <c t="s">
        <v>32746</v>
      </c>
      <c t="s">
        <v>3093</v>
      </c>
      <c t="s">
        <v>30654</v>
      </c>
    </row>
    <row>
      <c t="s">
        <v>17594</v>
      </c>
      <c t="s">
        <v>54463</v>
      </c>
      <c t="s">
        <v>8576</v>
      </c>
      <c t="s">
        <v>42184</v>
      </c>
      <c t="s">
        <v>5998</v>
      </c>
      <c s="3">
        <v>71124</v>
      </c>
      <c s="3">
        <v>63500</v>
      </c>
      <c s="3">
        <v>71124</v>
      </c>
      <c>
        <v>0</v>
      </c>
      <c s="3">
        <v>0</v>
      </c>
      <c s="3">
        <v>1069.75</v>
      </c>
      <c s="3">
        <v>71124</v>
      </c>
      <c r="O4718" s="1" t="str">
        <f ca="1">HYPERLINK("https://web.datatree.com/?/property?propertyId=33853411", "https://web.datatree.com/?/property?propertyId=33853411")</f>
        <v>https://web.datatree.com/?/property?propertyId=33853411</v>
      </c>
      <c r="Q4718" t="s">
        <v>316</v>
      </c>
      <c>
        <v>0.095</v>
      </c>
      <c t="s">
        <v>26492</v>
      </c>
      <c t="s">
        <v>3293</v>
      </c>
      <c t="s">
        <v>17054</v>
      </c>
      <c t="s">
        <v>11223</v>
      </c>
      <c t="s">
        <v>17054</v>
      </c>
      <c t="s">
        <v>13145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25959</v>
      </c>
      <c>
        <v>1704</v>
      </c>
      <c r="AI4718" t="s">
        <v>53284</v>
      </c>
      <c t="s">
        <v>45393</v>
      </c>
      <c>
        <v>208</v>
      </c>
      <c t="s">
        <v>12652</v>
      </c>
      <c t="s">
        <v>12652</v>
      </c>
      <c t="s">
        <v>26304</v>
      </c>
      <c t="s">
        <v>20166</v>
      </c>
      <c t="s">
        <v>45980</v>
      </c>
      <c t="s">
        <v>3093</v>
      </c>
      <c t="s">
        <v>18462</v>
      </c>
    </row>
    <row>
      <c t="s">
        <v>42103</v>
      </c>
      <c t="s">
        <v>16718</v>
      </c>
      <c t="s">
        <v>55692</v>
      </c>
      <c t="s">
        <v>54308</v>
      </c>
      <c t="s">
        <v>27456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719" s="1" t="str">
        <f ca="1">HYPERLINK("https://web.datatree.com/?/property?propertyId=33853436", "https://web.datatree.com/?/property?propertyId=33853436")</f>
        <v>https://web.datatree.com/?/property?propertyId=33853436</v>
      </c>
      <c r="Q4719" t="s">
        <v>316</v>
      </c>
      <c>
        <v>0.235</v>
      </c>
      <c t="s">
        <v>22490</v>
      </c>
      <c t="s">
        <v>28065</v>
      </c>
      <c t="s">
        <v>61472</v>
      </c>
      <c t="s">
        <v>54943</v>
      </c>
      <c t="s">
        <v>61472</v>
      </c>
      <c t="s">
        <v>46743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32387</v>
      </c>
      <c r="AI4719" t="s">
        <v>10766</v>
      </c>
      <c r="AL4719" t="s">
        <v>29838</v>
      </c>
      <c r="AN4719" t="s">
        <v>32576</v>
      </c>
      <c t="s">
        <v>50230</v>
      </c>
      <c t="s">
        <v>44380</v>
      </c>
      <c t="s">
        <v>3093</v>
      </c>
      <c t="s">
        <v>42345</v>
      </c>
    </row>
    <row>
      <c t="s">
        <v>17594</v>
      </c>
      <c t="s">
        <v>20442</v>
      </c>
      <c t="s">
        <v>36092</v>
      </c>
      <c t="s">
        <v>20509</v>
      </c>
      <c t="s">
        <v>3512</v>
      </c>
      <c s="3">
        <v>21563</v>
      </c>
      <c s="3">
        <v>21563</v>
      </c>
      <c s="3">
        <v>9900</v>
      </c>
      <c>
        <v>0</v>
      </c>
      <c s="3">
        <v>0</v>
      </c>
      <c s="3">
        <v>613.14</v>
      </c>
      <c s="3">
        <v>21563</v>
      </c>
      <c>
        <v>2019</v>
      </c>
      <c>
        <v>2792.62</v>
      </c>
      <c s="1" t="str">
        <f ca="1">HYPERLINK("https://web.datatree.com/?/property?propertyId=33853506", "https://web.datatree.com/?/property?propertyId=33853506")</f>
        <v>https://web.datatree.com/?/property?propertyId=33853506</v>
      </c>
      <c r="Q4720" t="s">
        <v>316</v>
      </c>
      <c>
        <v>0.23</v>
      </c>
      <c t="s">
        <v>22490</v>
      </c>
      <c t="s">
        <v>11769</v>
      </c>
      <c t="s">
        <v>40102</v>
      </c>
      <c r="X4720" t="s">
        <v>23479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15833</v>
      </c>
      <c>
        <v>11407</v>
      </c>
      <c r="AI4720" t="s">
        <v>53354</v>
      </c>
      <c t="s">
        <v>31192</v>
      </c>
      <c r="AL4720" t="s">
        <v>15650</v>
      </c>
      <c t="s">
        <v>15650</v>
      </c>
      <c t="s">
        <v>39289</v>
      </c>
      <c t="s">
        <v>62533</v>
      </c>
      <c t="s">
        <v>27410</v>
      </c>
      <c t="s">
        <v>3093</v>
      </c>
      <c t="s">
        <v>53982</v>
      </c>
    </row>
    <row>
      <c t="s">
        <v>17594</v>
      </c>
      <c t="s">
        <v>61228</v>
      </c>
      <c t="s">
        <v>41592</v>
      </c>
      <c t="s">
        <v>21874</v>
      </c>
      <c t="s">
        <v>54875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4721" s="1" t="str">
        <f ca="1">HYPERLINK("https://web.datatree.com/?/property?propertyId=33854311", "https://web.datatree.com/?/property?propertyId=33854311")</f>
        <v>https://web.datatree.com/?/property?propertyId=33854311</v>
      </c>
      <c r="Q4721" t="s">
        <v>316</v>
      </c>
      <c>
        <v>0.23</v>
      </c>
      <c t="s">
        <v>22490</v>
      </c>
      <c t="s">
        <v>23000</v>
      </c>
      <c t="s">
        <v>63753</v>
      </c>
      <c r="X4721" t="s">
        <v>1936</v>
      </c>
      <c t="s">
        <v>57064</v>
      </c>
      <c t="s">
        <v>2517</v>
      </c>
      <c t="s">
        <v>39289</v>
      </c>
      <c>
        <v>33909</v>
      </c>
      <c t="s">
        <v>33252</v>
      </c>
      <c t="s">
        <v>48794</v>
      </c>
      <c t="s">
        <v>37230</v>
      </c>
      <c>
        <v>7301</v>
      </c>
      <c r="AI4721" t="s">
        <v>60203</v>
      </c>
      <c t="s">
        <v>20615</v>
      </c>
      <c r="AL4721" t="s">
        <v>216</v>
      </c>
      <c t="s">
        <v>31322</v>
      </c>
      <c t="s">
        <v>66651</v>
      </c>
      <c t="s">
        <v>49514</v>
      </c>
      <c t="s">
        <v>65563</v>
      </c>
      <c t="s">
        <v>3093</v>
      </c>
      <c t="s">
        <v>51457</v>
      </c>
    </row>
    <row>
      <c t="s">
        <v>17594</v>
      </c>
      <c t="s">
        <v>30726</v>
      </c>
      <c t="s">
        <v>60776</v>
      </c>
      <c t="s">
        <v>67249</v>
      </c>
      <c t="s">
        <v>64622</v>
      </c>
      <c s="3">
        <v>18676</v>
      </c>
      <c s="3">
        <v>18676</v>
      </c>
      <c s="3">
        <v>7865</v>
      </c>
      <c>
        <v>0</v>
      </c>
      <c s="3">
        <v>0</v>
      </c>
      <c s="3">
        <v>513.78</v>
      </c>
      <c s="3">
        <v>18676</v>
      </c>
      <c r="O4722" s="1" t="str">
        <f ca="1">HYPERLINK("https://web.datatree.com/?/property?propertyId=33854646", "https://web.datatree.com/?/property?propertyId=33854646")</f>
        <v>https://web.datatree.com/?/property?propertyId=33854646</v>
      </c>
      <c r="Q4722" t="s">
        <v>316</v>
      </c>
      <c>
        <v>0.269</v>
      </c>
      <c t="s">
        <v>6175</v>
      </c>
      <c r="U4722" t="s">
        <v>46610</v>
      </c>
      <c r="W4722" t="s">
        <v>19316</v>
      </c>
      <c t="s">
        <v>46610</v>
      </c>
      <c t="s">
        <v>53675</v>
      </c>
      <c t="s">
        <v>2517</v>
      </c>
      <c t="s">
        <v>39289</v>
      </c>
      <c>
        <v>33909</v>
      </c>
      <c t="s">
        <v>45607</v>
      </c>
      <c t="s">
        <v>48794</v>
      </c>
      <c t="s">
        <v>6056</v>
      </c>
      <c>
        <v>12082</v>
      </c>
      <c r="AI4722" t="s">
        <v>13065</v>
      </c>
      <c t="s">
        <v>45393</v>
      </c>
      <c r="AL4722" t="s">
        <v>4859</v>
      </c>
      <c r="AN4722" t="s">
        <v>39289</v>
      </c>
      <c t="s">
        <v>3846</v>
      </c>
      <c t="s">
        <v>15968</v>
      </c>
      <c t="s">
        <v>3093</v>
      </c>
      <c t="s">
        <v>44128</v>
      </c>
    </row>
    <row>
      <c t="s">
        <v>17594</v>
      </c>
      <c t="s">
        <v>34000</v>
      </c>
      <c t="s">
        <v>64472</v>
      </c>
      <c t="s">
        <v>62620</v>
      </c>
      <c t="s">
        <v>65942</v>
      </c>
      <c s="3">
        <v>51680</v>
      </c>
      <c s="3">
        <v>51680</v>
      </c>
      <c s="3">
        <v>30890</v>
      </c>
      <c>
        <v>0</v>
      </c>
      <c s="3">
        <v>0</v>
      </c>
      <c s="3">
        <v>1016.52</v>
      </c>
      <c s="3">
        <v>51680</v>
      </c>
      <c r="O4723" s="1" t="str">
        <f ca="1">HYPERLINK("https://web.datatree.com/?/property?propertyId=33855357", "https://web.datatree.com/?/property?propertyId=33855357")</f>
        <v>https://web.datatree.com/?/property?propertyId=33855357</v>
      </c>
      <c r="Q4723" t="s">
        <v>316</v>
      </c>
      <c>
        <v>0.23</v>
      </c>
      <c t="s">
        <v>6175</v>
      </c>
      <c t="s">
        <v>20069</v>
      </c>
      <c t="s">
        <v>38494</v>
      </c>
      <c r="X4723" t="s">
        <v>17647</v>
      </c>
      <c t="s">
        <v>66300</v>
      </c>
      <c t="s">
        <v>2517</v>
      </c>
      <c t="s">
        <v>39289</v>
      </c>
      <c>
        <v>33904</v>
      </c>
      <c t="s">
        <v>22610</v>
      </c>
      <c t="s">
        <v>48794</v>
      </c>
      <c t="s">
        <v>25940</v>
      </c>
      <c>
        <v>1</v>
      </c>
      <c r="AI4723" t="s">
        <v>62665</v>
      </c>
      <c r="AL4723" t="s">
        <v>40971</v>
      </c>
      <c r="AN4723" t="s">
        <v>63985</v>
      </c>
      <c>
        <v>55218</v>
      </c>
      <c r="AR4723" t="s">
        <v>54973</v>
      </c>
    </row>
    <row>
      <c t="s">
        <v>17594</v>
      </c>
      <c t="s">
        <v>60612</v>
      </c>
      <c t="s">
        <v>33103</v>
      </c>
      <c t="s">
        <v>65789</v>
      </c>
      <c t="s">
        <v>63862</v>
      </c>
      <c s="3">
        <v>42646</v>
      </c>
      <c s="3">
        <v>42646</v>
      </c>
      <c s="3">
        <v>36309</v>
      </c>
      <c>
        <v>0</v>
      </c>
      <c s="3">
        <v>0</v>
      </c>
      <c s="3">
        <v>794.5</v>
      </c>
      <c s="3">
        <v>42646</v>
      </c>
      <c r="O4724" s="1" t="str">
        <f ca="1">HYPERLINK("https://web.datatree.com/?/property?propertyId=33855448", "https://web.datatree.com/?/property?propertyId=33855448")</f>
        <v>https://web.datatree.com/?/property?propertyId=33855448</v>
      </c>
      <c r="Q4724" t="s">
        <v>316</v>
      </c>
      <c>
        <v>0.015</v>
      </c>
      <c t="s">
        <v>22490</v>
      </c>
      <c t="s">
        <v>24962</v>
      </c>
      <c t="s">
        <v>38235</v>
      </c>
      <c r="X4724" t="s">
        <v>65411</v>
      </c>
      <c t="s">
        <v>45355</v>
      </c>
      <c t="s">
        <v>2517</v>
      </c>
      <c t="s">
        <v>39289</v>
      </c>
      <c>
        <v>33904</v>
      </c>
      <c>
        <v>33904</v>
      </c>
      <c t="s">
        <v>48794</v>
      </c>
      <c t="s">
        <v>20830</v>
      </c>
      <c>
        <v>32</v>
      </c>
      <c r="AI4724" t="s">
        <v>12846</v>
      </c>
      <c t="s">
        <v>24900</v>
      </c>
      <c r="AL4724" t="s">
        <v>10968</v>
      </c>
      <c t="s">
        <v>10968</v>
      </c>
      <c t="s">
        <v>26016</v>
      </c>
      <c t="s">
        <v>36338</v>
      </c>
      <c t="s">
        <v>4797</v>
      </c>
      <c t="s">
        <v>3093</v>
      </c>
      <c t="s">
        <v>52127</v>
      </c>
    </row>
    <row>
      <c t="s">
        <v>17594</v>
      </c>
      <c t="s">
        <v>7165</v>
      </c>
      <c t="s">
        <v>10991</v>
      </c>
      <c t="s">
        <v>24174</v>
      </c>
      <c t="s">
        <v>33333</v>
      </c>
      <c s="3">
        <v>8400</v>
      </c>
      <c s="3">
        <v>8400</v>
      </c>
      <c s="3">
        <v>8400</v>
      </c>
      <c>
        <v>0</v>
      </c>
      <c s="3">
        <v>0</v>
      </c>
      <c s="3">
        <v>620.44</v>
      </c>
      <c s="3">
        <v>8400</v>
      </c>
      <c>
        <v>2021</v>
      </c>
      <c>
        <v>597.9</v>
      </c>
      <c s="1" t="str">
        <f ca="1">HYPERLINK("https://web.datatree.com/?/property?propertyId=33856013", "https://web.datatree.com/?/property?propertyId=33856013")</f>
        <v>https://web.datatree.com/?/property?propertyId=33856013</v>
      </c>
      <c r="Q4725" t="s">
        <v>316</v>
      </c>
      <c>
        <v>0.23</v>
      </c>
      <c t="s">
        <v>6175</v>
      </c>
      <c t="s">
        <v>41984</v>
      </c>
      <c t="s">
        <v>16310</v>
      </c>
      <c t="s">
        <v>38445</v>
      </c>
      <c t="s">
        <v>16310</v>
      </c>
      <c t="s">
        <v>25039</v>
      </c>
      <c t="s">
        <v>29190</v>
      </c>
      <c t="s">
        <v>2517</v>
      </c>
      <c t="s">
        <v>39289</v>
      </c>
      <c>
        <v>33909</v>
      </c>
      <c t="s">
        <v>7449</v>
      </c>
      <c t="s">
        <v>48794</v>
      </c>
      <c t="s">
        <v>1903</v>
      </c>
      <c>
        <v>71</v>
      </c>
      <c r="AI4725" t="s">
        <v>9075</v>
      </c>
      <c t="s">
        <v>31192</v>
      </c>
      <c>
        <v>107</v>
      </c>
      <c t="s">
        <v>57222</v>
      </c>
      <c t="s">
        <v>57222</v>
      </c>
      <c t="s">
        <v>460</v>
      </c>
      <c t="s">
        <v>51076</v>
      </c>
      <c t="s">
        <v>52247</v>
      </c>
      <c t="s">
        <v>3093</v>
      </c>
      <c t="s">
        <v>14899</v>
      </c>
    </row>
    <row>
      <c t="s">
        <v>17594</v>
      </c>
      <c t="s">
        <v>39812</v>
      </c>
      <c t="s">
        <v>16708</v>
      </c>
      <c t="s">
        <v>39001</v>
      </c>
      <c t="s">
        <v>45297</v>
      </c>
      <c s="3">
        <v>38750</v>
      </c>
      <c s="3">
        <v>38750</v>
      </c>
      <c s="3">
        <v>17050</v>
      </c>
      <c>
        <v>0</v>
      </c>
      <c s="3">
        <v>0</v>
      </c>
      <c s="3">
        <v>768.4</v>
      </c>
      <c s="3">
        <v>38750</v>
      </c>
      <c r="O4726" s="1" t="str">
        <f ca="1">HYPERLINK("https://web.datatree.com/?/property?propertyId=33856226", "https://web.datatree.com/?/property?propertyId=33856226")</f>
        <v>https://web.datatree.com/?/property?propertyId=33856226</v>
      </c>
      <c r="Q4726" t="s">
        <v>316</v>
      </c>
      <c>
        <v>0.242</v>
      </c>
      <c t="s">
        <v>45031</v>
      </c>
      <c t="s">
        <v>11769</v>
      </c>
      <c t="s">
        <v>45794</v>
      </c>
      <c t="s">
        <v>45640</v>
      </c>
      <c t="s">
        <v>45794</v>
      </c>
      <c t="s">
        <v>42554</v>
      </c>
      <c t="s">
        <v>29190</v>
      </c>
      <c t="s">
        <v>2517</v>
      </c>
      <c t="s">
        <v>39289</v>
      </c>
      <c>
        <v>33909</v>
      </c>
      <c t="s">
        <v>14045</v>
      </c>
      <c t="s">
        <v>48794</v>
      </c>
      <c t="s">
        <v>10384</v>
      </c>
      <c>
        <v>14490</v>
      </c>
      <c r="AI4726" t="s">
        <v>38383</v>
      </c>
      <c t="s">
        <v>55842</v>
      </c>
      <c r="AL4726" t="s">
        <v>23311</v>
      </c>
      <c r="AN4726" t="s">
        <v>56163</v>
      </c>
      <c t="s">
        <v>8426</v>
      </c>
      <c t="s">
        <v>53800</v>
      </c>
      <c t="s">
        <v>3093</v>
      </c>
      <c t="s">
        <v>66014</v>
      </c>
    </row>
    <row>
      <c t="s">
        <v>17594</v>
      </c>
      <c t="s">
        <v>19298</v>
      </c>
      <c t="s">
        <v>23080</v>
      </c>
      <c t="s">
        <v>10195</v>
      </c>
      <c t="s">
        <v>4575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727" s="1" t="str">
        <f ca="1">HYPERLINK("https://web.datatree.com/?/property?propertyId=33856936", "https://web.datatree.com/?/property?propertyId=33856936")</f>
        <v>https://web.datatree.com/?/property?propertyId=33856936</v>
      </c>
      <c r="Q4727" t="s">
        <v>316</v>
      </c>
      <c>
        <v>0.23</v>
      </c>
      <c t="s">
        <v>22490</v>
      </c>
      <c t="s">
        <v>22461</v>
      </c>
      <c t="s">
        <v>14170</v>
      </c>
      <c t="s">
        <v>48320</v>
      </c>
      <c t="s">
        <v>45859</v>
      </c>
      <c t="s">
        <v>63660</v>
      </c>
      <c t="s">
        <v>53663</v>
      </c>
      <c t="s">
        <v>2517</v>
      </c>
      <c t="s">
        <v>39289</v>
      </c>
      <c>
        <v>33909</v>
      </c>
      <c t="s">
        <v>24575</v>
      </c>
      <c t="s">
        <v>48794</v>
      </c>
      <c t="s">
        <v>25416</v>
      </c>
      <c>
        <v>615</v>
      </c>
      <c r="AI4727" t="s">
        <v>14728</v>
      </c>
      <c r="AL4727" t="s">
        <v>10389</v>
      </c>
      <c r="AN4727" t="s">
        <v>32840</v>
      </c>
      <c r="AR4727" t="s">
        <v>33761</v>
      </c>
    </row>
    <row>
      <c t="s">
        <v>17594</v>
      </c>
      <c t="s">
        <v>34950</v>
      </c>
      <c t="s">
        <v>15916</v>
      </c>
      <c t="s">
        <v>51816</v>
      </c>
      <c t="s">
        <v>58360</v>
      </c>
      <c s="3">
        <v>31830</v>
      </c>
      <c s="3">
        <v>31830</v>
      </c>
      <c s="3">
        <v>20986</v>
      </c>
      <c>
        <v>0</v>
      </c>
      <c s="3">
        <v>0</v>
      </c>
      <c s="3">
        <v>804.78</v>
      </c>
      <c s="3">
        <v>31830</v>
      </c>
      <c r="O4728" s="1" t="str">
        <f ca="1">HYPERLINK("https://web.datatree.com/?/property?propertyId=33857012", "https://web.datatree.com/?/property?propertyId=33857012")</f>
        <v>https://web.datatree.com/?/property?propertyId=33857012</v>
      </c>
      <c r="Q4728" t="s">
        <v>316</v>
      </c>
      <c>
        <v>0.23</v>
      </c>
      <c t="s">
        <v>6175</v>
      </c>
      <c t="s">
        <v>21379</v>
      </c>
      <c t="s">
        <v>38984</v>
      </c>
      <c t="s">
        <v>36241</v>
      </c>
      <c t="s">
        <v>38984</v>
      </c>
      <c t="s">
        <v>48321</v>
      </c>
      <c t="s">
        <v>64273</v>
      </c>
      <c t="s">
        <v>2517</v>
      </c>
      <c t="s">
        <v>39289</v>
      </c>
      <c>
        <v>33904</v>
      </c>
      <c t="s">
        <v>37573</v>
      </c>
      <c t="s">
        <v>48794</v>
      </c>
      <c t="s">
        <v>50177</v>
      </c>
      <c>
        <v>3246</v>
      </c>
      <c r="AI4728" t="s">
        <v>14095</v>
      </c>
      <c t="s">
        <v>45620</v>
      </c>
      <c r="AL4728" t="s">
        <v>33855</v>
      </c>
      <c r="AN4728" t="s">
        <v>51087</v>
      </c>
      <c t="s">
        <v>3877</v>
      </c>
      <c t="s">
        <v>34162</v>
      </c>
      <c t="s">
        <v>3093</v>
      </c>
      <c t="s">
        <v>33016</v>
      </c>
    </row>
    <row>
      <c t="s">
        <v>17594</v>
      </c>
      <c t="s">
        <v>26444</v>
      </c>
      <c t="s">
        <v>61404</v>
      </c>
      <c t="s">
        <v>45196</v>
      </c>
      <c t="s">
        <v>19663</v>
      </c>
      <c s="3">
        <v>83618</v>
      </c>
      <c s="3">
        <v>70500</v>
      </c>
      <c s="3">
        <v>80782</v>
      </c>
      <c>
        <v>0</v>
      </c>
      <c s="3">
        <v>0</v>
      </c>
      <c s="3">
        <v>1230.09</v>
      </c>
      <c s="3">
        <v>83618</v>
      </c>
      <c r="O4729" s="1" t="str">
        <f ca="1">HYPERLINK("https://web.datatree.com/?/property?propertyId=33857246", "https://web.datatree.com/?/property?propertyId=33857246")</f>
        <v>https://web.datatree.com/?/property?propertyId=33857246</v>
      </c>
      <c r="Q4729" t="s">
        <v>316</v>
      </c>
      <c>
        <v>0.095</v>
      </c>
      <c t="s">
        <v>26492</v>
      </c>
      <c t="s">
        <v>3293</v>
      </c>
      <c t="s">
        <v>32421</v>
      </c>
      <c t="s">
        <v>56577</v>
      </c>
      <c t="s">
        <v>32421</v>
      </c>
      <c t="s">
        <v>38919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41532</v>
      </c>
      <c>
        <v>14</v>
      </c>
      <c r="AI4729" t="s">
        <v>40941</v>
      </c>
      <c t="s">
        <v>55842</v>
      </c>
      <c r="AL4729" t="s">
        <v>64263</v>
      </c>
      <c t="s">
        <v>40227</v>
      </c>
      <c t="s">
        <v>27747</v>
      </c>
      <c t="s">
        <v>14435</v>
      </c>
      <c t="s">
        <v>52247</v>
      </c>
      <c t="s">
        <v>3093</v>
      </c>
      <c t="s">
        <v>19913</v>
      </c>
    </row>
    <row>
      <c t="s">
        <v>17594</v>
      </c>
      <c t="s">
        <v>32786</v>
      </c>
      <c t="s">
        <v>43804</v>
      </c>
      <c t="s">
        <v>64867</v>
      </c>
      <c t="s">
        <v>65357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4730" s="1" t="str">
        <f ca="1">HYPERLINK("https://web.datatree.com/?/property?propertyId=33857478", "https://web.datatree.com/?/property?propertyId=33857478")</f>
        <v>https://web.datatree.com/?/property?propertyId=33857478</v>
      </c>
      <c r="Q4730" t="s">
        <v>316</v>
      </c>
      <c>
        <v>0.261</v>
      </c>
      <c t="s">
        <v>5471</v>
      </c>
      <c t="s">
        <v>44541</v>
      </c>
      <c t="s">
        <v>8981</v>
      </c>
      <c t="s">
        <v>26163</v>
      </c>
      <c t="s">
        <v>4629</v>
      </c>
      <c t="s">
        <v>26172</v>
      </c>
      <c t="s">
        <v>9755</v>
      </c>
      <c t="s">
        <v>65059</v>
      </c>
      <c t="s">
        <v>39289</v>
      </c>
      <c>
        <v>33905</v>
      </c>
      <c t="s">
        <v>32232</v>
      </c>
      <c t="s">
        <v>48794</v>
      </c>
      <c t="s">
        <v>20415</v>
      </c>
      <c>
        <v>119</v>
      </c>
      <c r="AI4730" t="s">
        <v>21468</v>
      </c>
      <c t="s">
        <v>45393</v>
      </c>
      <c r="AL4730" t="s">
        <v>55392</v>
      </c>
      <c r="AN4730" t="s">
        <v>50917</v>
      </c>
      <c t="s">
        <v>62625</v>
      </c>
      <c t="s">
        <v>19978</v>
      </c>
      <c t="s">
        <v>3093</v>
      </c>
      <c t="s">
        <v>21761</v>
      </c>
    </row>
    <row>
      <c t="s">
        <v>17594</v>
      </c>
      <c t="s">
        <v>22919</v>
      </c>
      <c t="s">
        <v>50254</v>
      </c>
      <c t="s">
        <v>25878</v>
      </c>
      <c t="s">
        <v>43072</v>
      </c>
      <c s="3">
        <v>17125</v>
      </c>
      <c s="3">
        <v>12743</v>
      </c>
      <c s="3">
        <v>12753</v>
      </c>
      <c>
        <v>0</v>
      </c>
      <c s="3">
        <v>0</v>
      </c>
      <c s="3">
        <v>205.35</v>
      </c>
      <c s="3">
        <v>17125</v>
      </c>
      <c r="O4731" s="1" t="str">
        <f ca="1">HYPERLINK("https://web.datatree.com/?/property?propertyId=33857790", "https://web.datatree.com/?/property?propertyId=33857790")</f>
        <v>https://web.datatree.com/?/property?propertyId=33857790</v>
      </c>
      <c>
        <v>2184</v>
      </c>
      <c t="s">
        <v>316</v>
      </c>
      <c>
        <v>0.198</v>
      </c>
      <c r="T4731" t="s">
        <v>20069</v>
      </c>
      <c t="s">
        <v>54367</v>
      </c>
      <c r="X4731" t="s">
        <v>19648</v>
      </c>
      <c t="s">
        <v>37372</v>
      </c>
      <c t="s">
        <v>65059</v>
      </c>
      <c t="s">
        <v>39289</v>
      </c>
      <c>
        <v>33907</v>
      </c>
      <c>
        <v>33907</v>
      </c>
      <c t="s">
        <v>48794</v>
      </c>
      <c t="s">
        <v>1328</v>
      </c>
      <c>
        <v>6130</v>
      </c>
      <c r="AI4731" t="s">
        <v>43921</v>
      </c>
      <c t="s">
        <v>835</v>
      </c>
      <c r="AL4731" t="s">
        <v>59494</v>
      </c>
      <c t="s">
        <v>59494</v>
      </c>
      <c t="s">
        <v>65451</v>
      </c>
      <c t="s">
        <v>50602</v>
      </c>
      <c t="s">
        <v>3364</v>
      </c>
      <c t="s">
        <v>3093</v>
      </c>
      <c t="s">
        <v>39521</v>
      </c>
      <c>
        <v>1962</v>
      </c>
    </row>
    <row>
      <c t="s">
        <v>17594</v>
      </c>
      <c t="s">
        <v>45359</v>
      </c>
      <c t="s">
        <v>64070</v>
      </c>
      <c t="s">
        <v>2835</v>
      </c>
      <c t="s">
        <v>51599</v>
      </c>
      <c s="3">
        <v>10000</v>
      </c>
      <c s="3">
        <v>10000</v>
      </c>
      <c s="3">
        <v>5944</v>
      </c>
      <c>
        <v>0</v>
      </c>
      <c s="3">
        <v>0</v>
      </c>
      <c s="3">
        <v>111.51</v>
      </c>
      <c s="3">
        <v>10000</v>
      </c>
      <c r="O4732" s="1" t="str">
        <f ca="1">HYPERLINK("https://web.datatree.com/?/property?propertyId=33858409", "https://web.datatree.com/?/property?propertyId=33858409")</f>
        <v>https://web.datatree.com/?/property?propertyId=33858409</v>
      </c>
      <c r="Q4732" t="s">
        <v>316</v>
      </c>
      <c>
        <v>0.173</v>
      </c>
      <c t="s">
        <v>5471</v>
      </c>
      <c t="s">
        <v>33245</v>
      </c>
      <c t="s">
        <v>32402</v>
      </c>
      <c r="X4732" t="s">
        <v>20301</v>
      </c>
      <c t="s">
        <v>216</v>
      </c>
      <c t="s">
        <v>65059</v>
      </c>
      <c t="s">
        <v>39289</v>
      </c>
      <c>
        <v>33905</v>
      </c>
      <c t="s">
        <v>18833</v>
      </c>
      <c t="s">
        <v>48794</v>
      </c>
      <c t="s">
        <v>34152</v>
      </c>
      <c>
        <v>6701</v>
      </c>
      <c r="AI4732" t="s">
        <v>18704</v>
      </c>
      <c t="s">
        <v>31192</v>
      </c>
      <c>
        <v>104</v>
      </c>
      <c t="s">
        <v>21003</v>
      </c>
      <c t="s">
        <v>21003</v>
      </c>
      <c t="s">
        <v>39289</v>
      </c>
      <c t="s">
        <v>35793</v>
      </c>
      <c t="s">
        <v>29069</v>
      </c>
      <c t="s">
        <v>3093</v>
      </c>
      <c t="s">
        <v>61707</v>
      </c>
    </row>
    <row>
      <c t="s">
        <v>17594</v>
      </c>
      <c t="s">
        <v>24386</v>
      </c>
      <c t="s">
        <v>30609</v>
      </c>
      <c t="s">
        <v>62240</v>
      </c>
      <c t="s">
        <v>43147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4733" s="1" t="str">
        <f ca="1">HYPERLINK("https://web.datatree.com/?/property?propertyId=33858936", "https://web.datatree.com/?/property?propertyId=33858936")</f>
        <v>https://web.datatree.com/?/property?propertyId=33858936</v>
      </c>
      <c r="Q4733" t="s">
        <v>316</v>
      </c>
      <c>
        <v>0.255</v>
      </c>
      <c t="s">
        <v>6175</v>
      </c>
      <c t="s">
        <v>52587</v>
      </c>
      <c t="s">
        <v>46777</v>
      </c>
      <c t="s">
        <v>22789</v>
      </c>
      <c t="s">
        <v>44838</v>
      </c>
      <c t="s">
        <v>65628</v>
      </c>
      <c t="s">
        <v>25017</v>
      </c>
      <c t="s">
        <v>2517</v>
      </c>
      <c t="s">
        <v>39289</v>
      </c>
      <c>
        <v>33909</v>
      </c>
      <c t="s">
        <v>33598</v>
      </c>
      <c t="s">
        <v>48794</v>
      </c>
      <c t="s">
        <v>22237</v>
      </c>
      <c>
        <v>25853</v>
      </c>
      <c r="AI4733" t="s">
        <v>31678</v>
      </c>
      <c t="s">
        <v>45393</v>
      </c>
      <c>
        <v>196</v>
      </c>
      <c t="s">
        <v>65024</v>
      </c>
      <c t="s">
        <v>65024</v>
      </c>
      <c t="s">
        <v>65451</v>
      </c>
      <c t="s">
        <v>58625</v>
      </c>
      <c t="s">
        <v>33029</v>
      </c>
      <c t="s">
        <v>3093</v>
      </c>
      <c t="s">
        <v>33902</v>
      </c>
    </row>
    <row>
      <c t="s">
        <v>17594</v>
      </c>
      <c t="s">
        <v>34810</v>
      </c>
      <c t="s">
        <v>62662</v>
      </c>
      <c t="s">
        <v>57590</v>
      </c>
      <c t="s">
        <v>24497</v>
      </c>
      <c s="3">
        <v>25672</v>
      </c>
      <c s="3">
        <v>25672</v>
      </c>
      <c s="3">
        <v>11550</v>
      </c>
      <c>
        <v>0</v>
      </c>
      <c s="3">
        <v>0</v>
      </c>
      <c s="3">
        <v>660.98</v>
      </c>
      <c s="3">
        <v>25672</v>
      </c>
      <c r="O4734" s="1" t="str">
        <f ca="1">HYPERLINK("https://web.datatree.com/?/property?propertyId=33859363", "https://web.datatree.com/?/property?propertyId=33859363")</f>
        <v>https://web.datatree.com/?/property?propertyId=33859363</v>
      </c>
      <c r="Q4734" t="s">
        <v>316</v>
      </c>
      <c>
        <v>0.268</v>
      </c>
      <c t="s">
        <v>22490</v>
      </c>
      <c t="s">
        <v>11610</v>
      </c>
      <c t="s">
        <v>23921</v>
      </c>
      <c t="s">
        <v>33832</v>
      </c>
      <c t="s">
        <v>23921</v>
      </c>
      <c t="s">
        <v>13522</v>
      </c>
      <c t="s">
        <v>30928</v>
      </c>
      <c t="s">
        <v>2517</v>
      </c>
      <c t="s">
        <v>39289</v>
      </c>
      <c>
        <v>33909</v>
      </c>
      <c t="s">
        <v>17070</v>
      </c>
      <c t="s">
        <v>48794</v>
      </c>
      <c t="s">
        <v>8998</v>
      </c>
      <c>
        <v>31</v>
      </c>
      <c r="AI4734" t="s">
        <v>26768</v>
      </c>
      <c t="s">
        <v>45620</v>
      </c>
      <c r="AL4734" t="s">
        <v>18217</v>
      </c>
      <c r="AN4734" t="s">
        <v>26016</v>
      </c>
      <c t="s">
        <v>31842</v>
      </c>
      <c t="s">
        <v>22455</v>
      </c>
      <c t="s">
        <v>3093</v>
      </c>
      <c t="s">
        <v>4556</v>
      </c>
    </row>
    <row>
      <c t="s">
        <v>17594</v>
      </c>
      <c t="s">
        <v>6110</v>
      </c>
      <c t="s">
        <v>57761</v>
      </c>
      <c t="s">
        <v>44100</v>
      </c>
      <c t="s">
        <v>4326</v>
      </c>
      <c s="3">
        <v>20580</v>
      </c>
      <c s="3">
        <v>20580</v>
      </c>
      <c s="3">
        <v>9599</v>
      </c>
      <c>
        <v>0</v>
      </c>
      <c s="3">
        <v>0</v>
      </c>
      <c s="3">
        <v>699</v>
      </c>
      <c s="3">
        <v>20580</v>
      </c>
      <c r="O4735" s="1" t="str">
        <f ca="1">HYPERLINK("https://web.datatree.com/?/property?propertyId=33859481", "https://web.datatree.com/?/property?propertyId=33859481")</f>
        <v>https://web.datatree.com/?/property?propertyId=33859481</v>
      </c>
      <c r="Q4735" t="s">
        <v>316</v>
      </c>
      <c>
        <v>0.359</v>
      </c>
      <c t="s">
        <v>6175</v>
      </c>
      <c t="s">
        <v>7704</v>
      </c>
      <c t="s">
        <v>62596</v>
      </c>
      <c t="s">
        <v>1479</v>
      </c>
      <c t="s">
        <v>62596</v>
      </c>
      <c t="s">
        <v>61138</v>
      </c>
      <c t="s">
        <v>24999</v>
      </c>
      <c t="s">
        <v>2517</v>
      </c>
      <c t="s">
        <v>39289</v>
      </c>
      <c>
        <v>33909</v>
      </c>
      <c t="s">
        <v>37876</v>
      </c>
      <c t="s">
        <v>48794</v>
      </c>
      <c t="s">
        <v>18643</v>
      </c>
      <c>
        <v>75</v>
      </c>
      <c r="AI4735" t="s">
        <v>34263</v>
      </c>
      <c t="s">
        <v>45393</v>
      </c>
      <c t="s">
        <v>60084</v>
      </c>
      <c t="s">
        <v>13397</v>
      </c>
      <c r="AN4735" t="s">
        <v>50917</v>
      </c>
      <c t="s">
        <v>40059</v>
      </c>
      <c t="s">
        <v>3364</v>
      </c>
      <c t="s">
        <v>3093</v>
      </c>
      <c t="s">
        <v>61947</v>
      </c>
    </row>
    <row>
      <c t="s">
        <v>42103</v>
      </c>
      <c t="s">
        <v>38526</v>
      </c>
      <c t="s">
        <v>59971</v>
      </c>
      <c t="s">
        <v>62209</v>
      </c>
      <c t="s">
        <v>5317</v>
      </c>
      <c s="3">
        <v>24376</v>
      </c>
      <c s="3">
        <v>24376</v>
      </c>
      <c s="3">
        <v>22344</v>
      </c>
      <c>
        <v>0</v>
      </c>
      <c s="3">
        <v>0</v>
      </c>
      <c s="3">
        <v>345.81</v>
      </c>
      <c s="3">
        <v>24376</v>
      </c>
      <c r="O4736" s="1" t="str">
        <f ca="1">HYPERLINK("https://web.datatree.com/?/property?propertyId=33860050", "https://web.datatree.com/?/property?propertyId=33860050")</f>
        <v>https://web.datatree.com/?/property?propertyId=33860050</v>
      </c>
      <c r="Q4736" t="s">
        <v>316</v>
      </c>
      <c>
        <v>0.153</v>
      </c>
      <c t="s">
        <v>30497</v>
      </c>
      <c t="s">
        <v>32355</v>
      </c>
      <c t="s">
        <v>17886</v>
      </c>
      <c r="X4736" t="s">
        <v>17440</v>
      </c>
      <c t="s">
        <v>26465</v>
      </c>
      <c t="s">
        <v>65059</v>
      </c>
      <c t="s">
        <v>39289</v>
      </c>
      <c>
        <v>33905</v>
      </c>
      <c t="s">
        <v>62071</v>
      </c>
      <c t="s">
        <v>48794</v>
      </c>
      <c t="s">
        <v>22298</v>
      </c>
      <c r="AI4736" t="s">
        <v>60725</v>
      </c>
      <c r="AL4736" t="s">
        <v>6263</v>
      </c>
      <c t="s">
        <v>6263</v>
      </c>
      <c t="s">
        <v>39289</v>
      </c>
      <c>
        <v>34146</v>
      </c>
      <c t="s">
        <v>31451</v>
      </c>
      <c t="s">
        <v>3093</v>
      </c>
      <c t="s">
        <v>18848</v>
      </c>
    </row>
    <row>
      <c t="s">
        <v>17594</v>
      </c>
      <c t="s">
        <v>15279</v>
      </c>
      <c t="s">
        <v>18910</v>
      </c>
      <c t="s">
        <v>48071</v>
      </c>
      <c t="s">
        <v>6571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>
        <v>2021</v>
      </c>
      <c>
        <v>590.56</v>
      </c>
      <c s="1" t="str">
        <f ca="1">HYPERLINK("https://web.datatree.com/?/property?propertyId=33860362", "https://web.datatree.com/?/property?propertyId=33860362")</f>
        <v>https://web.datatree.com/?/property?propertyId=33860362</v>
      </c>
      <c r="Q4737" t="s">
        <v>316</v>
      </c>
      <c>
        <v>0.241</v>
      </c>
      <c t="s">
        <v>6175</v>
      </c>
      <c t="s">
        <v>14819</v>
      </c>
      <c t="s">
        <v>37046</v>
      </c>
      <c r="X4737" t="s">
        <v>46586</v>
      </c>
      <c t="s">
        <v>13065</v>
      </c>
      <c t="s">
        <v>2517</v>
      </c>
      <c t="s">
        <v>39289</v>
      </c>
      <c>
        <v>33909</v>
      </c>
      <c t="s">
        <v>14948</v>
      </c>
      <c t="s">
        <v>48794</v>
      </c>
      <c t="s">
        <v>35464</v>
      </c>
      <c>
        <v>8866</v>
      </c>
      <c r="AI4737" t="s">
        <v>20559</v>
      </c>
      <c t="s">
        <v>45393</v>
      </c>
      <c>
        <v>104</v>
      </c>
      <c t="s">
        <v>55393</v>
      </c>
      <c t="s">
        <v>18365</v>
      </c>
      <c t="s">
        <v>39289</v>
      </c>
      <c t="s">
        <v>54415</v>
      </c>
      <c t="s">
        <v>40826</v>
      </c>
      <c t="s">
        <v>3093</v>
      </c>
      <c t="s">
        <v>31167</v>
      </c>
    </row>
    <row>
      <c t="s">
        <v>17594</v>
      </c>
      <c t="s">
        <v>58411</v>
      </c>
      <c t="s">
        <v>22846</v>
      </c>
      <c t="s">
        <v>35899</v>
      </c>
      <c t="s">
        <v>15921</v>
      </c>
      <c s="3">
        <v>121250</v>
      </c>
      <c s="3">
        <v>121250</v>
      </c>
      <c s="3">
        <v>121250</v>
      </c>
      <c>
        <v>0</v>
      </c>
      <c s="3">
        <v>0</v>
      </c>
      <c s="3">
        <v>3505.75</v>
      </c>
      <c s="3">
        <v>121250</v>
      </c>
      <c r="O4738" s="1" t="str">
        <f ca="1">HYPERLINK("https://web.datatree.com/?/property?propertyId=33860412", "https://web.datatree.com/?/property?propertyId=33860412")</f>
        <v>https://web.datatree.com/?/property?propertyId=33860412</v>
      </c>
      <c r="Q4738" t="s">
        <v>316</v>
      </c>
      <c>
        <v>0.299</v>
      </c>
      <c t="s">
        <v>60849</v>
      </c>
      <c r="U4738" t="s">
        <v>41461</v>
      </c>
      <c r="W4738" t="s">
        <v>51193</v>
      </c>
      <c t="s">
        <v>19353</v>
      </c>
      <c t="s">
        <v>62972</v>
      </c>
      <c t="s">
        <v>65059</v>
      </c>
      <c t="s">
        <v>39289</v>
      </c>
      <c>
        <v>33905</v>
      </c>
      <c t="s">
        <v>24162</v>
      </c>
      <c t="s">
        <v>48794</v>
      </c>
      <c t="s">
        <v>38990</v>
      </c>
      <c>
        <v>130</v>
      </c>
      <c r="AI4738" t="s">
        <v>18902</v>
      </c>
      <c t="s">
        <v>55842</v>
      </c>
      <c r="AL4738" t="s">
        <v>5584</v>
      </c>
      <c t="s">
        <v>5584</v>
      </c>
      <c t="s">
        <v>49572</v>
      </c>
      <c t="s">
        <v>3520</v>
      </c>
      <c t="s">
        <v>3228</v>
      </c>
      <c t="s">
        <v>3093</v>
      </c>
      <c t="s">
        <v>8636</v>
      </c>
    </row>
    <row>
      <c t="s">
        <v>17594</v>
      </c>
      <c t="s">
        <v>19324</v>
      </c>
      <c t="s">
        <v>54347</v>
      </c>
      <c t="s">
        <v>36015</v>
      </c>
      <c t="s">
        <v>59564</v>
      </c>
      <c s="3">
        <v>48521</v>
      </c>
      <c s="3">
        <v>48521</v>
      </c>
      <c s="3">
        <v>34606</v>
      </c>
      <c>
        <v>0</v>
      </c>
      <c s="3">
        <v>0</v>
      </c>
      <c s="3">
        <v>1031.81</v>
      </c>
      <c s="3">
        <v>48521</v>
      </c>
      <c r="O4739" s="1" t="str">
        <f ca="1">HYPERLINK("https://web.datatree.com/?/property?propertyId=33860493", "https://web.datatree.com/?/property?propertyId=33860493")</f>
        <v>https://web.datatree.com/?/property?propertyId=33860493</v>
      </c>
      <c r="Q4739" t="s">
        <v>316</v>
      </c>
      <c>
        <v>0.23</v>
      </c>
      <c t="s">
        <v>6175</v>
      </c>
      <c t="s">
        <v>56577</v>
      </c>
      <c t="s">
        <v>17819</v>
      </c>
      <c r="X4739" t="s">
        <v>66330</v>
      </c>
      <c t="s">
        <v>41506</v>
      </c>
      <c t="s">
        <v>2517</v>
      </c>
      <c t="s">
        <v>39289</v>
      </c>
      <c>
        <v>33904</v>
      </c>
      <c t="s">
        <v>57742</v>
      </c>
      <c t="s">
        <v>48794</v>
      </c>
      <c t="s">
        <v>20444</v>
      </c>
      <c>
        <v>56</v>
      </c>
      <c r="AI4739" t="s">
        <v>53255</v>
      </c>
      <c t="s">
        <v>45620</v>
      </c>
      <c r="AL4739" t="s">
        <v>43889</v>
      </c>
      <c t="s">
        <v>22084</v>
      </c>
      <c t="s">
        <v>27747</v>
      </c>
      <c t="s">
        <v>10149</v>
      </c>
      <c t="s">
        <v>4797</v>
      </c>
      <c t="s">
        <v>3093</v>
      </c>
      <c t="s">
        <v>14410</v>
      </c>
    </row>
    <row>
      <c t="s">
        <v>17594</v>
      </c>
      <c t="s">
        <v>31669</v>
      </c>
      <c t="s">
        <v>4179</v>
      </c>
      <c t="s">
        <v>43123</v>
      </c>
      <c t="s">
        <v>60299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740" s="1" t="str">
        <f ca="1">HYPERLINK("https://web.datatree.com/?/property?propertyId=33861195", "https://web.datatree.com/?/property?propertyId=33861195")</f>
        <v>https://web.datatree.com/?/property?propertyId=33861195</v>
      </c>
      <c r="Q4740" t="s">
        <v>316</v>
      </c>
      <c>
        <v>0.23</v>
      </c>
      <c t="s">
        <v>6175</v>
      </c>
      <c t="s">
        <v>46245</v>
      </c>
      <c t="s">
        <v>63297</v>
      </c>
      <c t="s">
        <v>21379</v>
      </c>
      <c t="s">
        <v>48614</v>
      </c>
      <c t="s">
        <v>50266</v>
      </c>
      <c t="s">
        <v>60363</v>
      </c>
      <c t="s">
        <v>2517</v>
      </c>
      <c t="s">
        <v>39289</v>
      </c>
      <c>
        <v>33909</v>
      </c>
      <c t="s">
        <v>35095</v>
      </c>
      <c t="s">
        <v>48794</v>
      </c>
      <c t="s">
        <v>58884</v>
      </c>
      <c>
        <v>250</v>
      </c>
      <c r="AI4740" t="s">
        <v>18318</v>
      </c>
      <c t="s">
        <v>24900</v>
      </c>
      <c r="AL4740" t="s">
        <v>14961</v>
      </c>
      <c r="AN4740" t="s">
        <v>27747</v>
      </c>
      <c t="s">
        <v>5949</v>
      </c>
      <c t="s">
        <v>19978</v>
      </c>
      <c t="s">
        <v>3093</v>
      </c>
      <c t="s">
        <v>15890</v>
      </c>
    </row>
    <row>
      <c t="s">
        <v>17594</v>
      </c>
      <c t="s">
        <v>36178</v>
      </c>
      <c t="s">
        <v>63610</v>
      </c>
      <c t="s">
        <v>56101</v>
      </c>
      <c t="s">
        <v>49357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4741" s="1" t="str">
        <f ca="1">HYPERLINK("https://web.datatree.com/?/property?propertyId=33861463", "https://web.datatree.com/?/property?propertyId=33861463")</f>
        <v>https://web.datatree.com/?/property?propertyId=33861463</v>
      </c>
      <c r="Q4741" t="s">
        <v>316</v>
      </c>
      <c>
        <v>0.244</v>
      </c>
      <c t="s">
        <v>6175</v>
      </c>
      <c t="s">
        <v>50343</v>
      </c>
      <c t="s">
        <v>14876</v>
      </c>
      <c t="s">
        <v>33621</v>
      </c>
      <c t="s">
        <v>14876</v>
      </c>
      <c t="s">
        <v>62888</v>
      </c>
      <c t="s">
        <v>15510</v>
      </c>
      <c t="s">
        <v>2517</v>
      </c>
      <c t="s">
        <v>39289</v>
      </c>
      <c>
        <v>33909</v>
      </c>
      <c t="s">
        <v>30422</v>
      </c>
      <c t="s">
        <v>48794</v>
      </c>
      <c t="s">
        <v>17536</v>
      </c>
      <c>
        <v>1569</v>
      </c>
      <c r="AI4741" t="s">
        <v>6708</v>
      </c>
      <c t="s">
        <v>45620</v>
      </c>
      <c r="AL4741" t="s">
        <v>46292</v>
      </c>
      <c r="AN4741" t="s">
        <v>65467</v>
      </c>
      <c t="s">
        <v>57692</v>
      </c>
      <c t="s">
        <v>35354</v>
      </c>
      <c t="s">
        <v>3093</v>
      </c>
      <c t="s">
        <v>56514</v>
      </c>
    </row>
    <row>
      <c t="s">
        <v>17594</v>
      </c>
      <c t="s">
        <v>52176</v>
      </c>
      <c t="s">
        <v>42589</v>
      </c>
      <c t="s">
        <v>60458</v>
      </c>
      <c t="s">
        <v>50868</v>
      </c>
      <c s="3">
        <v>34891</v>
      </c>
      <c s="3">
        <v>34891</v>
      </c>
      <c s="3">
        <v>25300</v>
      </c>
      <c>
        <v>0</v>
      </c>
      <c s="3">
        <v>0</v>
      </c>
      <c s="3">
        <v>411.68</v>
      </c>
      <c s="3">
        <v>34891</v>
      </c>
      <c r="O4742" s="1" t="str">
        <f ca="1">HYPERLINK("https://web.datatree.com/?/property?propertyId=33861725", "https://web.datatree.com/?/property?propertyId=33861725")</f>
        <v>https://web.datatree.com/?/property?propertyId=33861725</v>
      </c>
      <c r="Q4742" t="s">
        <v>316</v>
      </c>
      <c>
        <v>0.069</v>
      </c>
      <c t="s">
        <v>54329</v>
      </c>
      <c t="s">
        <v>41812</v>
      </c>
      <c t="s">
        <v>43134</v>
      </c>
      <c t="s">
        <v>1611</v>
      </c>
      <c t="s">
        <v>43134</v>
      </c>
      <c t="s">
        <v>19224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37045</v>
      </c>
      <c>
        <v>965</v>
      </c>
      <c r="AI4742" t="s">
        <v>8143</v>
      </c>
      <c r="AL4742" t="s">
        <v>59325</v>
      </c>
      <c r="AN4742" t="s">
        <v>17134</v>
      </c>
      <c t="s">
        <v>35770</v>
      </c>
      <c t="s">
        <v>17258</v>
      </c>
      <c t="s">
        <v>3093</v>
      </c>
      <c t="s">
        <v>6551</v>
      </c>
    </row>
    <row>
      <c t="s">
        <v>17594</v>
      </c>
      <c t="s">
        <v>32594</v>
      </c>
      <c t="s">
        <v>41483</v>
      </c>
      <c t="s">
        <v>46332</v>
      </c>
      <c t="s">
        <v>61576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4743" s="1" t="str">
        <f ca="1">HYPERLINK("https://web.datatree.com/?/property?propertyId=33862097", "https://web.datatree.com/?/property?propertyId=33862097")</f>
        <v>https://web.datatree.com/?/property?propertyId=33862097</v>
      </c>
      <c r="Q4743" t="s">
        <v>316</v>
      </c>
      <c>
        <v>0.23</v>
      </c>
      <c t="s">
        <v>22490</v>
      </c>
      <c r="U4743" t="s">
        <v>55508</v>
      </c>
      <c t="s">
        <v>4354</v>
      </c>
      <c t="s">
        <v>643</v>
      </c>
      <c t="s">
        <v>38285</v>
      </c>
      <c t="s">
        <v>61850</v>
      </c>
      <c t="s">
        <v>2517</v>
      </c>
      <c t="s">
        <v>39289</v>
      </c>
      <c>
        <v>33909</v>
      </c>
      <c t="s">
        <v>44591</v>
      </c>
      <c t="s">
        <v>48794</v>
      </c>
      <c t="s">
        <v>58786</v>
      </c>
      <c>
        <v>12901</v>
      </c>
      <c r="AI4743" t="s">
        <v>55376</v>
      </c>
      <c t="s">
        <v>40123</v>
      </c>
      <c r="AL4743" t="s">
        <v>11070</v>
      </c>
      <c t="s">
        <v>11070</v>
      </c>
      <c t="s">
        <v>39289</v>
      </c>
      <c t="s">
        <v>18388</v>
      </c>
      <c t="s">
        <v>3228</v>
      </c>
      <c t="s">
        <v>3093</v>
      </c>
      <c t="s">
        <v>23891</v>
      </c>
    </row>
    <row>
      <c t="s">
        <v>42103</v>
      </c>
      <c t="s">
        <v>21613</v>
      </c>
      <c t="s">
        <v>61660</v>
      </c>
      <c t="s">
        <v>11704</v>
      </c>
      <c t="s">
        <v>39918</v>
      </c>
      <c s="3">
        <v>12743</v>
      </c>
      <c s="3">
        <v>12743</v>
      </c>
      <c s="3">
        <v>2593</v>
      </c>
      <c>
        <v>0</v>
      </c>
      <c s="3">
        <v>0</v>
      </c>
      <c s="3">
        <v>93.23</v>
      </c>
      <c s="3">
        <v>12743</v>
      </c>
      <c r="O4744" s="1" t="str">
        <f ca="1">HYPERLINK("https://web.datatree.com/?/property?propertyId=33862133", "https://web.datatree.com/?/property?propertyId=33862133")</f>
        <v>https://web.datatree.com/?/property?propertyId=33862133</v>
      </c>
      <c r="Q4744" t="s">
        <v>316</v>
      </c>
      <c>
        <v>0.123</v>
      </c>
      <c r="T4744" t="s">
        <v>2140</v>
      </c>
      <c t="s">
        <v>10083</v>
      </c>
      <c t="s">
        <v>15051</v>
      </c>
      <c t="s">
        <v>10083</v>
      </c>
      <c t="s">
        <v>55295</v>
      </c>
      <c t="s">
        <v>51810</v>
      </c>
      <c t="s">
        <v>65059</v>
      </c>
      <c t="s">
        <v>39289</v>
      </c>
      <c>
        <v>33907</v>
      </c>
      <c>
        <v>33907</v>
      </c>
      <c t="s">
        <v>48794</v>
      </c>
      <c t="s">
        <v>2426</v>
      </c>
      <c r="AI4744" t="s">
        <v>60161</v>
      </c>
      <c r="AL4744" t="s">
        <v>25529</v>
      </c>
      <c t="s">
        <v>19621</v>
      </c>
      <c t="s">
        <v>50917</v>
      </c>
      <c>
        <v>10956</v>
      </c>
      <c t="s">
        <v>61509</v>
      </c>
      <c t="s">
        <v>3093</v>
      </c>
      <c t="s">
        <v>52878</v>
      </c>
    </row>
    <row>
      <c t="s">
        <v>17594</v>
      </c>
      <c t="s">
        <v>1539</v>
      </c>
      <c t="s">
        <v>55303</v>
      </c>
      <c t="s">
        <v>58579</v>
      </c>
      <c t="s">
        <v>10743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4745" s="1" t="str">
        <f ca="1">HYPERLINK("https://web.datatree.com/?/property?propertyId=33862147", "https://web.datatree.com/?/property?propertyId=33862147")</f>
        <v>https://web.datatree.com/?/property?propertyId=33862147</v>
      </c>
      <c r="Q4745" t="s">
        <v>316</v>
      </c>
      <c>
        <v>0.23</v>
      </c>
      <c t="s">
        <v>6175</v>
      </c>
      <c t="s">
        <v>55216</v>
      </c>
      <c t="s">
        <v>58099</v>
      </c>
      <c r="X4745" t="s">
        <v>31992</v>
      </c>
      <c t="s">
        <v>47150</v>
      </c>
      <c t="s">
        <v>2517</v>
      </c>
      <c t="s">
        <v>39289</v>
      </c>
      <c>
        <v>33909</v>
      </c>
      <c t="s">
        <v>17627</v>
      </c>
      <c t="s">
        <v>48794</v>
      </c>
      <c t="s">
        <v>42157</v>
      </c>
      <c>
        <v>3811</v>
      </c>
      <c r="AH4745" t="s">
        <v>60953</v>
      </c>
      <c t="s">
        <v>52535</v>
      </c>
      <c t="s">
        <v>45393</v>
      </c>
      <c r="AL4745" t="s">
        <v>29275</v>
      </c>
      <c t="s">
        <v>29275</v>
      </c>
      <c t="s">
        <v>34191</v>
      </c>
      <c t="s">
        <v>56659</v>
      </c>
      <c t="s">
        <v>41946</v>
      </c>
      <c t="s">
        <v>3093</v>
      </c>
      <c t="s">
        <v>42471</v>
      </c>
    </row>
    <row>
      <c t="s">
        <v>17594</v>
      </c>
      <c t="s">
        <v>19716</v>
      </c>
      <c t="s">
        <v>6596</v>
      </c>
      <c t="s">
        <v>50314</v>
      </c>
      <c t="s">
        <v>47615</v>
      </c>
      <c s="3">
        <v>25010</v>
      </c>
      <c s="3">
        <v>25010</v>
      </c>
      <c s="3">
        <v>9680</v>
      </c>
      <c>
        <v>0</v>
      </c>
      <c s="3">
        <v>0</v>
      </c>
      <c s="3">
        <v>655.24</v>
      </c>
      <c s="3">
        <v>25010</v>
      </c>
      <c r="O4746" s="1" t="str">
        <f ca="1">HYPERLINK("https://web.datatree.com/?/property?propertyId=33862257", "https://web.datatree.com/?/property?propertyId=33862257")</f>
        <v>https://web.datatree.com/?/property?propertyId=33862257</v>
      </c>
      <c r="Q4746" t="s">
        <v>316</v>
      </c>
      <c>
        <v>0.283</v>
      </c>
      <c t="s">
        <v>22490</v>
      </c>
      <c t="s">
        <v>65461</v>
      </c>
      <c t="s">
        <v>26145</v>
      </c>
      <c r="X4746" t="s">
        <v>30921</v>
      </c>
      <c t="s">
        <v>2626</v>
      </c>
      <c t="s">
        <v>2517</v>
      </c>
      <c t="s">
        <v>39289</v>
      </c>
      <c>
        <v>33909</v>
      </c>
      <c t="s">
        <v>9482</v>
      </c>
      <c t="s">
        <v>48794</v>
      </c>
      <c t="s">
        <v>45268</v>
      </c>
      <c>
        <v>11</v>
      </c>
      <c r="AI4746" t="s">
        <v>61007</v>
      </c>
      <c t="s">
        <v>45393</v>
      </c>
      <c r="AL4746" t="s">
        <v>20632</v>
      </c>
      <c r="AN4746" t="s">
        <v>50917</v>
      </c>
      <c t="s">
        <v>43443</v>
      </c>
      <c t="s">
        <v>32746</v>
      </c>
      <c t="s">
        <v>3093</v>
      </c>
      <c t="s">
        <v>54645</v>
      </c>
    </row>
    <row>
      <c t="s">
        <v>17594</v>
      </c>
      <c t="s">
        <v>45158</v>
      </c>
      <c t="s">
        <v>16306</v>
      </c>
      <c t="s">
        <v>2659</v>
      </c>
      <c t="s">
        <v>46305</v>
      </c>
      <c s="3">
        <v>37248</v>
      </c>
      <c s="3">
        <v>37248</v>
      </c>
      <c s="3">
        <v>25794</v>
      </c>
      <c>
        <v>0</v>
      </c>
      <c s="3">
        <v>0</v>
      </c>
      <c s="3">
        <v>2473.73</v>
      </c>
      <c s="3">
        <v>37248</v>
      </c>
      <c r="O4747" s="1" t="str">
        <f ca="1">HYPERLINK("https://web.datatree.com/?/property?propertyId=33863415", "https://web.datatree.com/?/property?propertyId=33863415")</f>
        <v>https://web.datatree.com/?/property?propertyId=33863415</v>
      </c>
      <c r="Q4747" t="s">
        <v>316</v>
      </c>
      <c>
        <v>0.369</v>
      </c>
      <c t="s">
        <v>6175</v>
      </c>
      <c t="s">
        <v>16200</v>
      </c>
      <c t="s">
        <v>9349</v>
      </c>
      <c r="X4747" t="s">
        <v>30711</v>
      </c>
      <c t="s">
        <v>34731</v>
      </c>
      <c t="s">
        <v>2517</v>
      </c>
      <c t="s">
        <v>39289</v>
      </c>
      <c>
        <v>33909</v>
      </c>
      <c t="s">
        <v>13179</v>
      </c>
      <c t="s">
        <v>48794</v>
      </c>
      <c t="s">
        <v>60763</v>
      </c>
      <c>
        <v>5157</v>
      </c>
      <c r="AI4747" t="s">
        <v>60877</v>
      </c>
      <c r="AL4747" t="s">
        <v>32848</v>
      </c>
      <c r="AN4747" t="s">
        <v>513</v>
      </c>
      <c r="AR4747" t="s">
        <v>20603</v>
      </c>
    </row>
    <row>
      <c t="s">
        <v>17594</v>
      </c>
      <c t="s">
        <v>50303</v>
      </c>
      <c t="s">
        <v>63412</v>
      </c>
      <c t="s">
        <v>6898</v>
      </c>
      <c t="s">
        <v>23110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>
        <v>2019</v>
      </c>
      <c>
        <v>340.17</v>
      </c>
      <c s="1" t="str">
        <f ca="1">HYPERLINK("https://web.datatree.com/?/property?propertyId=33863440", "https://web.datatree.com/?/property?propertyId=33863440")</f>
        <v>https://web.datatree.com/?/property?propertyId=33863440</v>
      </c>
      <c r="Q4748" t="s">
        <v>316</v>
      </c>
      <c>
        <v>0.238</v>
      </c>
      <c t="s">
        <v>5471</v>
      </c>
      <c t="s">
        <v>17086</v>
      </c>
      <c t="s">
        <v>29132</v>
      </c>
      <c t="s">
        <v>34805</v>
      </c>
      <c t="s">
        <v>2816</v>
      </c>
      <c t="s">
        <v>32325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14581</v>
      </c>
      <c>
        <v>12333</v>
      </c>
      <c r="AI4748" t="s">
        <v>28315</v>
      </c>
      <c t="s">
        <v>39321</v>
      </c>
      <c r="AL4748" t="s">
        <v>52883</v>
      </c>
      <c r="AN4748" t="s">
        <v>39289</v>
      </c>
      <c t="s">
        <v>7377</v>
      </c>
      <c t="s">
        <v>38014</v>
      </c>
      <c t="s">
        <v>3093</v>
      </c>
      <c t="s">
        <v>24317</v>
      </c>
    </row>
    <row>
      <c t="s">
        <v>17594</v>
      </c>
      <c t="s">
        <v>9256</v>
      </c>
      <c t="s">
        <v>17866</v>
      </c>
      <c t="s">
        <v>63511</v>
      </c>
      <c t="s">
        <v>51679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4749" s="1" t="str">
        <f ca="1">HYPERLINK("https://web.datatree.com/?/property?propertyId=33863516", "https://web.datatree.com/?/property?propertyId=33863516")</f>
        <v>https://web.datatree.com/?/property?propertyId=33863516</v>
      </c>
      <c r="Q4749" t="s">
        <v>316</v>
      </c>
      <c>
        <v>0.23</v>
      </c>
      <c t="s">
        <v>22490</v>
      </c>
      <c t="s">
        <v>62380</v>
      </c>
      <c t="s">
        <v>20712</v>
      </c>
      <c t="s">
        <v>3965</v>
      </c>
      <c t="s">
        <v>20712</v>
      </c>
      <c t="s">
        <v>17824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64153</v>
      </c>
      <c>
        <v>44</v>
      </c>
      <c r="AI4749" t="s">
        <v>40983</v>
      </c>
      <c t="s">
        <v>45393</v>
      </c>
      <c r="AL4749" t="s">
        <v>13428</v>
      </c>
      <c r="AN4749" t="s">
        <v>10804</v>
      </c>
      <c t="s">
        <v>16627</v>
      </c>
      <c t="s">
        <v>4797</v>
      </c>
      <c t="s">
        <v>3093</v>
      </c>
      <c t="s">
        <v>22416</v>
      </c>
    </row>
    <row>
      <c t="s">
        <v>17594</v>
      </c>
      <c t="s">
        <v>4854</v>
      </c>
      <c t="s">
        <v>19328</v>
      </c>
      <c t="s">
        <v>27732</v>
      </c>
      <c t="s">
        <v>23926</v>
      </c>
      <c s="3">
        <v>8000</v>
      </c>
      <c s="3">
        <v>8000</v>
      </c>
      <c s="3">
        <v>8000</v>
      </c>
      <c>
        <v>0</v>
      </c>
      <c s="3">
        <v>0</v>
      </c>
      <c s="3">
        <v>588.39</v>
      </c>
      <c s="3">
        <v>8000</v>
      </c>
      <c r="O4750" s="1" t="str">
        <f ca="1">HYPERLINK("https://web.datatree.com/?/property?propertyId=33863716", "https://web.datatree.com/?/property?propertyId=33863716")</f>
        <v>https://web.datatree.com/?/property?propertyId=33863716</v>
      </c>
      <c r="Q4750" t="s">
        <v>316</v>
      </c>
      <c>
        <v>0.244</v>
      </c>
      <c t="s">
        <v>22490</v>
      </c>
      <c t="s">
        <v>2140</v>
      </c>
      <c t="s">
        <v>51324</v>
      </c>
      <c r="X4750" t="s">
        <v>58574</v>
      </c>
      <c t="s">
        <v>22731</v>
      </c>
      <c t="s">
        <v>2517</v>
      </c>
      <c t="s">
        <v>39289</v>
      </c>
      <c>
        <v>33909</v>
      </c>
      <c t="s">
        <v>8445</v>
      </c>
      <c t="s">
        <v>48794</v>
      </c>
      <c t="s">
        <v>51819</v>
      </c>
      <c>
        <v>214</v>
      </c>
      <c r="AI4750" t="s">
        <v>25309</v>
      </c>
      <c t="s">
        <v>45393</v>
      </c>
      <c r="AL4750" t="s">
        <v>26225</v>
      </c>
      <c r="AN4750" t="s">
        <v>27747</v>
      </c>
      <c t="s">
        <v>18060</v>
      </c>
      <c t="s">
        <v>52551</v>
      </c>
      <c t="s">
        <v>3093</v>
      </c>
      <c t="s">
        <v>34363</v>
      </c>
    </row>
    <row>
      <c t="s">
        <v>17594</v>
      </c>
      <c t="s">
        <v>55286</v>
      </c>
      <c t="s">
        <v>26911</v>
      </c>
      <c t="s">
        <v>54203</v>
      </c>
      <c t="s">
        <v>9127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751" s="1" t="str">
        <f ca="1">HYPERLINK("https://web.datatree.com/?/property?propertyId=33864072", "https://web.datatree.com/?/property?propertyId=33864072")</f>
        <v>https://web.datatree.com/?/property?propertyId=33864072</v>
      </c>
      <c r="Q4751" t="s">
        <v>316</v>
      </c>
      <c>
        <v>0.23</v>
      </c>
      <c t="s">
        <v>6175</v>
      </c>
      <c t="s">
        <v>56333</v>
      </c>
      <c t="s">
        <v>35571</v>
      </c>
      <c r="X4751" t="s">
        <v>56987</v>
      </c>
      <c t="s">
        <v>61865</v>
      </c>
      <c t="s">
        <v>2517</v>
      </c>
      <c t="s">
        <v>39289</v>
      </c>
      <c>
        <v>33909</v>
      </c>
      <c t="s">
        <v>46189</v>
      </c>
      <c t="s">
        <v>48794</v>
      </c>
      <c t="s">
        <v>8812</v>
      </c>
      <c>
        <v>2011</v>
      </c>
      <c r="AI4751" t="s">
        <v>32351</v>
      </c>
      <c t="s">
        <v>40123</v>
      </c>
      <c r="AL4751" t="s">
        <v>46989</v>
      </c>
      <c r="AN4751" t="s">
        <v>39289</v>
      </c>
      <c t="s">
        <v>45647</v>
      </c>
      <c t="s">
        <v>1951</v>
      </c>
      <c t="s">
        <v>3093</v>
      </c>
      <c t="s">
        <v>17229</v>
      </c>
    </row>
    <row>
      <c t="s">
        <v>17594</v>
      </c>
      <c t="s">
        <v>63091</v>
      </c>
      <c t="s">
        <v>44892</v>
      </c>
      <c t="s">
        <v>8107</v>
      </c>
      <c t="s">
        <v>52329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>
        <v>2021</v>
      </c>
      <c>
        <v>527.13</v>
      </c>
      <c s="1" t="str">
        <f ca="1">HYPERLINK("https://web.datatree.com/?/property?propertyId=33864525", "https://web.datatree.com/?/property?propertyId=33864525")</f>
        <v>https://web.datatree.com/?/property?propertyId=33864525</v>
      </c>
      <c r="Q4752" t="s">
        <v>316</v>
      </c>
      <c>
        <v>0.23</v>
      </c>
      <c t="s">
        <v>6175</v>
      </c>
      <c t="s">
        <v>26023</v>
      </c>
      <c t="s">
        <v>28993</v>
      </c>
      <c r="X4752" t="s">
        <v>53700</v>
      </c>
      <c t="s">
        <v>53663</v>
      </c>
      <c t="s">
        <v>2517</v>
      </c>
      <c t="s">
        <v>39289</v>
      </c>
      <c>
        <v>33909</v>
      </c>
      <c t="s">
        <v>65587</v>
      </c>
      <c t="s">
        <v>48794</v>
      </c>
      <c t="s">
        <v>4676</v>
      </c>
      <c>
        <v>5306</v>
      </c>
      <c r="AI4752" t="s">
        <v>53324</v>
      </c>
      <c t="s">
        <v>41372</v>
      </c>
      <c r="AL4752" t="s">
        <v>55393</v>
      </c>
      <c r="AN4752" t="s">
        <v>39289</v>
      </c>
      <c t="s">
        <v>44086</v>
      </c>
      <c t="s">
        <v>4660</v>
      </c>
      <c t="s">
        <v>3093</v>
      </c>
      <c t="s">
        <v>4133</v>
      </c>
    </row>
    <row>
      <c t="s">
        <v>17594</v>
      </c>
      <c t="s">
        <v>39028</v>
      </c>
      <c t="s">
        <v>24847</v>
      </c>
      <c t="s">
        <v>36608</v>
      </c>
      <c t="s">
        <v>30260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>
        <v>2019</v>
      </c>
      <c>
        <v>2873.03</v>
      </c>
      <c s="1" t="str">
        <f ca="1">HYPERLINK("https://web.datatree.com/?/property?propertyId=33864569", "https://web.datatree.com/?/property?propertyId=33864569")</f>
        <v>https://web.datatree.com/?/property?propertyId=33864569</v>
      </c>
      <c r="Q4753" t="s">
        <v>316</v>
      </c>
      <c>
        <v>0.23</v>
      </c>
      <c t="s">
        <v>6175</v>
      </c>
      <c t="s">
        <v>63047</v>
      </c>
      <c t="s">
        <v>42699</v>
      </c>
      <c t="s">
        <v>1376</v>
      </c>
      <c t="s">
        <v>42699</v>
      </c>
      <c t="s">
        <v>21198</v>
      </c>
      <c t="s">
        <v>30928</v>
      </c>
      <c t="s">
        <v>2517</v>
      </c>
      <c t="s">
        <v>39289</v>
      </c>
      <c>
        <v>33909</v>
      </c>
      <c t="s">
        <v>61562</v>
      </c>
      <c t="s">
        <v>48794</v>
      </c>
      <c t="s">
        <v>615</v>
      </c>
      <c>
        <v>90</v>
      </c>
      <c r="AI4753" t="s">
        <v>24548</v>
      </c>
      <c t="s">
        <v>45620</v>
      </c>
      <c r="AL4753" t="s">
        <v>35152</v>
      </c>
      <c r="AN4753" t="s">
        <v>64022</v>
      </c>
      <c t="s">
        <v>19377</v>
      </c>
      <c t="s">
        <v>52247</v>
      </c>
      <c t="s">
        <v>3093</v>
      </c>
      <c t="s">
        <v>66757</v>
      </c>
    </row>
    <row>
      <c t="s">
        <v>17594</v>
      </c>
      <c t="s">
        <v>49540</v>
      </c>
      <c t="s">
        <v>5110</v>
      </c>
      <c t="s">
        <v>19391</v>
      </c>
      <c t="s">
        <v>23001</v>
      </c>
      <c s="3">
        <v>18082</v>
      </c>
      <c s="3">
        <v>18082</v>
      </c>
      <c s="3">
        <v>7865</v>
      </c>
      <c>
        <v>0</v>
      </c>
      <c s="3">
        <v>0</v>
      </c>
      <c s="3">
        <v>492.2</v>
      </c>
      <c s="3">
        <v>18082</v>
      </c>
      <c r="O4754" s="1" t="str">
        <f ca="1">HYPERLINK("https://web.datatree.com/?/property?propertyId=33865124", "https://web.datatree.com/?/property?propertyId=33865124")</f>
        <v>https://web.datatree.com/?/property?propertyId=33865124</v>
      </c>
      <c r="Q4754" t="s">
        <v>316</v>
      </c>
      <c>
        <v>0.244</v>
      </c>
      <c t="s">
        <v>6175</v>
      </c>
      <c t="s">
        <v>3293</v>
      </c>
      <c t="s">
        <v>31423</v>
      </c>
      <c r="X4754" t="s">
        <v>47102</v>
      </c>
      <c t="s">
        <v>17022</v>
      </c>
      <c t="s">
        <v>2517</v>
      </c>
      <c t="s">
        <v>39289</v>
      </c>
      <c>
        <v>33909</v>
      </c>
      <c t="s">
        <v>31635</v>
      </c>
      <c t="s">
        <v>48794</v>
      </c>
      <c t="s">
        <v>34405</v>
      </c>
      <c>
        <v>387</v>
      </c>
      <c r="AI4754" t="s">
        <v>5105</v>
      </c>
      <c t="s">
        <v>45393</v>
      </c>
      <c r="AL4754" t="s">
        <v>53207</v>
      </c>
      <c r="AN4754" t="s">
        <v>14509</v>
      </c>
      <c t="s">
        <v>23576</v>
      </c>
      <c t="s">
        <v>45980</v>
      </c>
      <c t="s">
        <v>3093</v>
      </c>
      <c t="s">
        <v>42047</v>
      </c>
    </row>
    <row>
      <c t="s">
        <v>17594</v>
      </c>
      <c t="s">
        <v>35868</v>
      </c>
      <c t="s">
        <v>30389</v>
      </c>
      <c t="s">
        <v>53707</v>
      </c>
      <c t="s">
        <v>6031</v>
      </c>
      <c s="3">
        <v>140212</v>
      </c>
      <c s="3">
        <v>140212</v>
      </c>
      <c s="3">
        <v>123983</v>
      </c>
      <c>
        <v>0</v>
      </c>
      <c s="3">
        <v>0</v>
      </c>
      <c s="3">
        <v>2888.66</v>
      </c>
      <c s="3">
        <v>140212</v>
      </c>
      <c r="O4755" s="1" t="str">
        <f ca="1">HYPERLINK("https://web.datatree.com/?/property?propertyId=33865258", "https://web.datatree.com/?/property?propertyId=33865258")</f>
        <v>https://web.datatree.com/?/property?propertyId=33865258</v>
      </c>
      <c r="Q4755" t="s">
        <v>316</v>
      </c>
      <c>
        <v>0.23</v>
      </c>
      <c t="s">
        <v>22490</v>
      </c>
      <c t="s">
        <v>4868</v>
      </c>
      <c t="s">
        <v>44168</v>
      </c>
      <c r="X4755" t="s">
        <v>59473</v>
      </c>
      <c t="s">
        <v>41506</v>
      </c>
      <c t="s">
        <v>2517</v>
      </c>
      <c t="s">
        <v>39289</v>
      </c>
      <c>
        <v>33904</v>
      </c>
      <c>
        <v>33904</v>
      </c>
      <c t="s">
        <v>48794</v>
      </c>
      <c t="s">
        <v>18855</v>
      </c>
      <c>
        <v>2805</v>
      </c>
      <c r="AI4755" t="s">
        <v>35394</v>
      </c>
      <c t="s">
        <v>56275</v>
      </c>
      <c r="AL4755" t="s">
        <v>15285</v>
      </c>
      <c r="AN4755" t="s">
        <v>54650</v>
      </c>
      <c t="s">
        <v>58679</v>
      </c>
      <c t="s">
        <v>13315</v>
      </c>
      <c t="s">
        <v>3093</v>
      </c>
      <c t="s">
        <v>48977</v>
      </c>
    </row>
    <row>
      <c t="s">
        <v>17594</v>
      </c>
      <c t="s">
        <v>27361</v>
      </c>
      <c t="s">
        <v>45234</v>
      </c>
      <c t="s">
        <v>18489</v>
      </c>
      <c t="s">
        <v>66541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4756" s="1" t="str">
        <f ca="1">HYPERLINK("https://web.datatree.com/?/property?propertyId=33865688", "https://web.datatree.com/?/property?propertyId=33865688")</f>
        <v>https://web.datatree.com/?/property?propertyId=33865688</v>
      </c>
      <c r="Q4756" t="s">
        <v>316</v>
      </c>
      <c>
        <v>0.23</v>
      </c>
      <c t="s">
        <v>22490</v>
      </c>
      <c t="s">
        <v>5440</v>
      </c>
      <c t="s">
        <v>34217</v>
      </c>
      <c t="s">
        <v>51248</v>
      </c>
      <c t="s">
        <v>47727</v>
      </c>
      <c t="s">
        <v>5890</v>
      </c>
      <c t="s">
        <v>29190</v>
      </c>
      <c t="s">
        <v>2517</v>
      </c>
      <c t="s">
        <v>39289</v>
      </c>
      <c>
        <v>33909</v>
      </c>
      <c t="s">
        <v>13097</v>
      </c>
      <c t="s">
        <v>48794</v>
      </c>
      <c t="s">
        <v>62694</v>
      </c>
      <c>
        <v>58</v>
      </c>
      <c r="AI4756" t="s">
        <v>40014</v>
      </c>
      <c t="s">
        <v>56275</v>
      </c>
      <c r="AL4756" t="s">
        <v>34873</v>
      </c>
      <c r="AN4756" t="s">
        <v>50917</v>
      </c>
      <c t="s">
        <v>11244</v>
      </c>
      <c t="s">
        <v>11068</v>
      </c>
      <c t="s">
        <v>3093</v>
      </c>
      <c t="s">
        <v>10932</v>
      </c>
    </row>
    <row>
      <c t="s">
        <v>17594</v>
      </c>
      <c t="s">
        <v>33276</v>
      </c>
      <c t="s">
        <v>61783</v>
      </c>
      <c t="s">
        <v>24168</v>
      </c>
      <c t="s">
        <v>40244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757" s="1" t="str">
        <f ca="1">HYPERLINK("https://web.datatree.com/?/property?propertyId=33865724", "https://web.datatree.com/?/property?propertyId=33865724")</f>
        <v>https://web.datatree.com/?/property?propertyId=33865724</v>
      </c>
      <c r="Q4757" t="s">
        <v>316</v>
      </c>
      <c>
        <v>0.23</v>
      </c>
      <c t="s">
        <v>6175</v>
      </c>
      <c t="s">
        <v>64570</v>
      </c>
      <c t="s">
        <v>4828</v>
      </c>
      <c r="X4757" t="s">
        <v>39359</v>
      </c>
      <c t="s">
        <v>23517</v>
      </c>
      <c t="s">
        <v>2517</v>
      </c>
      <c t="s">
        <v>39289</v>
      </c>
      <c>
        <v>33909</v>
      </c>
      <c t="s">
        <v>23648</v>
      </c>
      <c t="s">
        <v>48794</v>
      </c>
      <c t="s">
        <v>47275</v>
      </c>
      <c>
        <v>15512</v>
      </c>
      <c r="AI4757" t="s">
        <v>41195</v>
      </c>
      <c t="s">
        <v>1671</v>
      </c>
      <c r="AL4757" t="s">
        <v>27168</v>
      </c>
      <c r="AN4757" t="s">
        <v>39289</v>
      </c>
      <c t="s">
        <v>25099</v>
      </c>
      <c t="s">
        <v>58683</v>
      </c>
      <c t="s">
        <v>3093</v>
      </c>
      <c t="s">
        <v>36428</v>
      </c>
    </row>
    <row>
      <c t="s">
        <v>17594</v>
      </c>
      <c t="s">
        <v>25731</v>
      </c>
      <c t="s">
        <v>50625</v>
      </c>
      <c t="s">
        <v>6092</v>
      </c>
      <c t="s">
        <v>57334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4758" s="1" t="str">
        <f ca="1">HYPERLINK("https://web.datatree.com/?/property?propertyId=33865781", "https://web.datatree.com/?/property?propertyId=33865781")</f>
        <v>https://web.datatree.com/?/property?propertyId=33865781</v>
      </c>
      <c r="Q4758" t="s">
        <v>316</v>
      </c>
      <c>
        <v>0.23</v>
      </c>
      <c t="s">
        <v>22490</v>
      </c>
      <c t="s">
        <v>57643</v>
      </c>
      <c t="s">
        <v>28670</v>
      </c>
      <c t="s">
        <v>3302</v>
      </c>
      <c t="s">
        <v>34217</v>
      </c>
      <c t="s">
        <v>4522</v>
      </c>
      <c t="s">
        <v>371</v>
      </c>
      <c t="s">
        <v>2517</v>
      </c>
      <c t="s">
        <v>39289</v>
      </c>
      <c>
        <v>33909</v>
      </c>
      <c t="s">
        <v>1610</v>
      </c>
      <c t="s">
        <v>48794</v>
      </c>
      <c t="s">
        <v>24197</v>
      </c>
      <c>
        <v>105</v>
      </c>
      <c r="AI4758" t="s">
        <v>61865</v>
      </c>
      <c t="s">
        <v>45393</v>
      </c>
      <c>
        <v>42</v>
      </c>
      <c t="s">
        <v>1070</v>
      </c>
      <c t="s">
        <v>1070</v>
      </c>
      <c t="s">
        <v>56163</v>
      </c>
      <c t="s">
        <v>38689</v>
      </c>
      <c t="s">
        <v>22455</v>
      </c>
      <c t="s">
        <v>3093</v>
      </c>
      <c t="s">
        <v>24446</v>
      </c>
    </row>
    <row>
      <c t="s">
        <v>17594</v>
      </c>
      <c t="s">
        <v>7148</v>
      </c>
      <c t="s">
        <v>42613</v>
      </c>
      <c t="s">
        <v>18244</v>
      </c>
      <c t="s">
        <v>3667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759" s="1" t="str">
        <f ca="1">HYPERLINK("https://web.datatree.com/?/property?propertyId=33866889", "https://web.datatree.com/?/property?propertyId=33866889")</f>
        <v>https://web.datatree.com/?/property?propertyId=33866889</v>
      </c>
      <c r="Q4759" t="s">
        <v>316</v>
      </c>
      <c>
        <v>0.241</v>
      </c>
      <c t="s">
        <v>5471</v>
      </c>
      <c t="s">
        <v>48631</v>
      </c>
      <c t="s">
        <v>30294</v>
      </c>
      <c r="X4759" t="s">
        <v>20352</v>
      </c>
      <c t="s">
        <v>5280</v>
      </c>
      <c t="s">
        <v>65059</v>
      </c>
      <c t="s">
        <v>39289</v>
      </c>
      <c>
        <v>33905</v>
      </c>
      <c t="s">
        <v>14638</v>
      </c>
      <c t="s">
        <v>48794</v>
      </c>
      <c t="s">
        <v>40296</v>
      </c>
      <c t="s">
        <v>64857</v>
      </c>
      <c r="AI4759" t="s">
        <v>11022</v>
      </c>
      <c r="AL4759" t="s">
        <v>48276</v>
      </c>
      <c r="AN4759" t="s">
        <v>45665</v>
      </c>
      <c r="AR4759" t="s">
        <v>20734</v>
      </c>
    </row>
    <row>
      <c t="s">
        <v>17594</v>
      </c>
      <c t="s">
        <v>1725</v>
      </c>
      <c t="s">
        <v>51353</v>
      </c>
      <c t="s">
        <v>38341</v>
      </c>
      <c t="s">
        <v>39377</v>
      </c>
      <c s="3">
        <v>7300</v>
      </c>
      <c s="3">
        <v>7300</v>
      </c>
      <c s="3">
        <v>7300</v>
      </c>
      <c>
        <v>0</v>
      </c>
      <c s="3">
        <v>0</v>
      </c>
      <c s="3">
        <v>590.65</v>
      </c>
      <c s="3">
        <v>7300</v>
      </c>
      <c r="O4760" s="1" t="str">
        <f ca="1">HYPERLINK("https://web.datatree.com/?/property?propertyId=33867050", "https://web.datatree.com/?/property?propertyId=33867050")</f>
        <v>https://web.datatree.com/?/property?propertyId=33867050</v>
      </c>
      <c r="Q4760" t="s">
        <v>316</v>
      </c>
      <c>
        <v>0.265</v>
      </c>
      <c t="s">
        <v>22490</v>
      </c>
      <c t="s">
        <v>54971</v>
      </c>
      <c t="s">
        <v>15167</v>
      </c>
      <c t="s">
        <v>26163</v>
      </c>
      <c t="s">
        <v>21393</v>
      </c>
      <c t="s">
        <v>47029</v>
      </c>
      <c t="s">
        <v>47150</v>
      </c>
      <c t="s">
        <v>2517</v>
      </c>
      <c t="s">
        <v>39289</v>
      </c>
      <c>
        <v>33909</v>
      </c>
      <c t="s">
        <v>64184</v>
      </c>
      <c t="s">
        <v>48794</v>
      </c>
      <c t="s">
        <v>20810</v>
      </c>
      <c>
        <v>2306</v>
      </c>
      <c r="AI4760" t="s">
        <v>54591</v>
      </c>
      <c t="s">
        <v>55842</v>
      </c>
      <c r="AL4760" t="s">
        <v>36080</v>
      </c>
      <c t="s">
        <v>36080</v>
      </c>
      <c t="s">
        <v>39289</v>
      </c>
      <c t="s">
        <v>36062</v>
      </c>
      <c t="s">
        <v>8434</v>
      </c>
      <c t="s">
        <v>3093</v>
      </c>
      <c t="s">
        <v>424</v>
      </c>
    </row>
    <row>
      <c t="s">
        <v>17594</v>
      </c>
      <c t="s">
        <v>16746</v>
      </c>
      <c t="s">
        <v>55363</v>
      </c>
      <c t="s">
        <v>54020</v>
      </c>
      <c t="s">
        <v>12374</v>
      </c>
      <c s="3">
        <v>8700</v>
      </c>
      <c s="3">
        <v>8700</v>
      </c>
      <c s="3">
        <v>8700</v>
      </c>
      <c>
        <v>0</v>
      </c>
      <c s="3">
        <v>0</v>
      </c>
      <c s="3">
        <v>585.26</v>
      </c>
      <c s="3">
        <v>8700</v>
      </c>
      <c r="O4761" s="1" t="str">
        <f ca="1">HYPERLINK("https://web.datatree.com/?/property?propertyId=33867317", "https://web.datatree.com/?/property?propertyId=33867317")</f>
        <v>https://web.datatree.com/?/property?propertyId=33867317</v>
      </c>
      <c r="Q4761" t="s">
        <v>316</v>
      </c>
      <c>
        <v>0.241</v>
      </c>
      <c t="s">
        <v>6175</v>
      </c>
      <c t="s">
        <v>43712</v>
      </c>
      <c t="s">
        <v>51741</v>
      </c>
      <c t="s">
        <v>2597</v>
      </c>
      <c t="s">
        <v>51741</v>
      </c>
      <c t="s">
        <v>20215</v>
      </c>
      <c t="s">
        <v>22731</v>
      </c>
      <c t="s">
        <v>2517</v>
      </c>
      <c t="s">
        <v>39289</v>
      </c>
      <c>
        <v>33909</v>
      </c>
      <c t="s">
        <v>51318</v>
      </c>
      <c t="s">
        <v>48794</v>
      </c>
      <c t="s">
        <v>50667</v>
      </c>
      <c>
        <v>7320</v>
      </c>
      <c r="AI4761" t="s">
        <v>57064</v>
      </c>
      <c t="s">
        <v>45393</v>
      </c>
      <c r="AL4761" t="s">
        <v>55393</v>
      </c>
      <c t="s">
        <v>13066</v>
      </c>
      <c t="s">
        <v>39289</v>
      </c>
      <c t="s">
        <v>63492</v>
      </c>
      <c t="s">
        <v>25140</v>
      </c>
      <c t="s">
        <v>3093</v>
      </c>
      <c t="s">
        <v>52570</v>
      </c>
    </row>
    <row>
      <c t="s">
        <v>17594</v>
      </c>
      <c t="s">
        <v>42593</v>
      </c>
      <c t="s">
        <v>28384</v>
      </c>
      <c t="s">
        <v>6902</v>
      </c>
      <c t="s">
        <v>12309</v>
      </c>
      <c s="3">
        <v>59163</v>
      </c>
      <c s="3">
        <v>59163</v>
      </c>
      <c s="3">
        <v>59163</v>
      </c>
      <c>
        <v>0</v>
      </c>
      <c s="3">
        <v>0</v>
      </c>
      <c s="3">
        <v>826.62</v>
      </c>
      <c s="3">
        <v>59163</v>
      </c>
      <c r="O4762" s="1" t="str">
        <f ca="1">HYPERLINK("https://web.datatree.com/?/property?propertyId=33867511", "https://web.datatree.com/?/property?propertyId=33867511")</f>
        <v>https://web.datatree.com/?/property?propertyId=33867511</v>
      </c>
      <c r="Q4762" t="s">
        <v>316</v>
      </c>
      <c>
        <v>0.082</v>
      </c>
      <c r="T4762" t="s">
        <v>59344</v>
      </c>
      <c t="s">
        <v>63901</v>
      </c>
      <c t="s">
        <v>4908</v>
      </c>
      <c t="s">
        <v>63901</v>
      </c>
      <c t="s">
        <v>63168</v>
      </c>
      <c t="s">
        <v>64822</v>
      </c>
      <c t="s">
        <v>65059</v>
      </c>
      <c t="s">
        <v>39289</v>
      </c>
      <c>
        <v>33908</v>
      </c>
      <c t="s">
        <v>51950</v>
      </c>
      <c t="s">
        <v>48794</v>
      </c>
      <c t="s">
        <v>57216</v>
      </c>
      <c>
        <v>2698</v>
      </c>
      <c r="AI4762" t="s">
        <v>54795</v>
      </c>
      <c t="s">
        <v>1671</v>
      </c>
      <c>
        <v>103</v>
      </c>
      <c t="s">
        <v>11713</v>
      </c>
      <c r="AN4762" t="s">
        <v>39289</v>
      </c>
      <c t="s">
        <v>12208</v>
      </c>
      <c t="s">
        <v>49195</v>
      </c>
      <c t="s">
        <v>3093</v>
      </c>
      <c t="s">
        <v>33120</v>
      </c>
    </row>
    <row>
      <c t="s">
        <v>17594</v>
      </c>
      <c t="s">
        <v>55277</v>
      </c>
      <c t="s">
        <v>4290</v>
      </c>
      <c t="s">
        <v>20560</v>
      </c>
      <c t="s">
        <v>23252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4763" s="1" t="str">
        <f ca="1">HYPERLINK("https://web.datatree.com/?/property?propertyId=33868027", "https://web.datatree.com/?/property?propertyId=33868027")</f>
        <v>https://web.datatree.com/?/property?propertyId=33868027</v>
      </c>
      <c r="Q4763" t="s">
        <v>316</v>
      </c>
      <c>
        <v>0.23</v>
      </c>
      <c t="s">
        <v>6175</v>
      </c>
      <c t="s">
        <v>11883</v>
      </c>
      <c t="s">
        <v>29276</v>
      </c>
      <c t="s">
        <v>10361</v>
      </c>
      <c t="s">
        <v>9152</v>
      </c>
      <c t="s">
        <v>39628</v>
      </c>
      <c t="s">
        <v>17022</v>
      </c>
      <c t="s">
        <v>2517</v>
      </c>
      <c t="s">
        <v>39289</v>
      </c>
      <c>
        <v>33909</v>
      </c>
      <c t="s">
        <v>41985</v>
      </c>
      <c t="s">
        <v>48794</v>
      </c>
      <c t="s">
        <v>4272</v>
      </c>
      <c>
        <v>23371</v>
      </c>
      <c r="AI4763" t="s">
        <v>54669</v>
      </c>
      <c t="s">
        <v>31192</v>
      </c>
      <c>
        <v>443</v>
      </c>
      <c t="s">
        <v>14725</v>
      </c>
      <c t="s">
        <v>22539</v>
      </c>
      <c t="s">
        <v>65451</v>
      </c>
      <c t="s">
        <v>6827</v>
      </c>
      <c t="s">
        <v>48506</v>
      </c>
      <c t="s">
        <v>3093</v>
      </c>
      <c t="s">
        <v>22598</v>
      </c>
    </row>
    <row>
      <c t="s">
        <v>17594</v>
      </c>
      <c t="s">
        <v>52756</v>
      </c>
      <c s="2" t="s">
        <v>21027</v>
      </c>
      <c t="s">
        <v>48340</v>
      </c>
      <c t="s">
        <v>32682</v>
      </c>
      <c s="3">
        <v>28000</v>
      </c>
      <c s="3">
        <v>28000</v>
      </c>
      <c s="3">
        <v>12100</v>
      </c>
      <c>
        <v>0</v>
      </c>
      <c s="3">
        <v>0</v>
      </c>
      <c s="3">
        <v>2918.19</v>
      </c>
      <c s="3">
        <v>28000</v>
      </c>
      <c r="O4764" s="1" t="str">
        <f ca="1">HYPERLINK("https://web.datatree.com/?/property?propertyId=33868099", "https://web.datatree.com/?/property?propertyId=33868099")</f>
        <v>https://web.datatree.com/?/property?propertyId=33868099</v>
      </c>
      <c r="Q4764" t="s">
        <v>316</v>
      </c>
      <c>
        <v>0.23</v>
      </c>
      <c t="s">
        <v>22490</v>
      </c>
      <c t="s">
        <v>13709</v>
      </c>
      <c t="s">
        <v>52487</v>
      </c>
      <c t="s">
        <v>30586</v>
      </c>
      <c t="s">
        <v>52487</v>
      </c>
      <c t="s">
        <v>55531</v>
      </c>
      <c t="s">
        <v>55273</v>
      </c>
      <c t="s">
        <v>2517</v>
      </c>
      <c t="s">
        <v>39289</v>
      </c>
      <c>
        <v>33909</v>
      </c>
      <c t="s">
        <v>66892</v>
      </c>
      <c t="s">
        <v>48794</v>
      </c>
      <c t="s">
        <v>48560</v>
      </c>
      <c>
        <v>3344</v>
      </c>
      <c r="AI4764" t="s">
        <v>30829</v>
      </c>
      <c t="s">
        <v>4985</v>
      </c>
      <c t="s">
        <v>50782</v>
      </c>
      <c t="s">
        <v>45059</v>
      </c>
      <c r="AN4764" t="s">
        <v>50917</v>
      </c>
      <c t="s">
        <v>15678</v>
      </c>
      <c t="s">
        <v>44843</v>
      </c>
      <c t="s">
        <v>3093</v>
      </c>
      <c s="2" t="s">
        <v>52227</v>
      </c>
    </row>
    <row>
      <c t="s">
        <v>17594</v>
      </c>
      <c t="s">
        <v>3557</v>
      </c>
      <c t="s">
        <v>49737</v>
      </c>
      <c t="s">
        <v>51504</v>
      </c>
      <c t="s">
        <v>53119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4765" s="1" t="str">
        <f ca="1">HYPERLINK("https://web.datatree.com/?/property?propertyId=33868107", "https://web.datatree.com/?/property?propertyId=33868107")</f>
        <v>https://web.datatree.com/?/property?propertyId=33868107</v>
      </c>
      <c r="Q4765" t="s">
        <v>316</v>
      </c>
      <c>
        <v>0.23</v>
      </c>
      <c t="s">
        <v>6175</v>
      </c>
      <c t="s">
        <v>4814</v>
      </c>
      <c t="s">
        <v>14262</v>
      </c>
      <c t="s">
        <v>56577</v>
      </c>
      <c t="s">
        <v>14262</v>
      </c>
      <c t="s">
        <v>7450</v>
      </c>
      <c t="s">
        <v>39082</v>
      </c>
      <c t="s">
        <v>2517</v>
      </c>
      <c t="s">
        <v>39289</v>
      </c>
      <c>
        <v>33909</v>
      </c>
      <c t="s">
        <v>23683</v>
      </c>
      <c t="s">
        <v>48794</v>
      </c>
      <c t="s">
        <v>44092</v>
      </c>
      <c>
        <v>1289</v>
      </c>
      <c r="AI4765" t="s">
        <v>42962</v>
      </c>
      <c t="s">
        <v>1671</v>
      </c>
      <c r="AL4765" t="s">
        <v>17856</v>
      </c>
      <c r="AN4765" t="s">
        <v>50829</v>
      </c>
      <c t="s">
        <v>55702</v>
      </c>
      <c t="s">
        <v>14845</v>
      </c>
      <c t="s">
        <v>3093</v>
      </c>
      <c t="s">
        <v>52321</v>
      </c>
    </row>
    <row>
      <c t="s">
        <v>17594</v>
      </c>
      <c t="s">
        <v>28277</v>
      </c>
      <c t="s">
        <v>45064</v>
      </c>
      <c t="s">
        <v>8855</v>
      </c>
      <c t="s">
        <v>39487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766" s="1" t="str">
        <f ca="1">HYPERLINK("https://web.datatree.com/?/property?propertyId=33869533", "https://web.datatree.com/?/property?propertyId=33869533")</f>
        <v>https://web.datatree.com/?/property?propertyId=33869533</v>
      </c>
      <c r="Q4766" t="s">
        <v>316</v>
      </c>
      <c>
        <v>0.23</v>
      </c>
      <c t="s">
        <v>6175</v>
      </c>
      <c t="s">
        <v>55829</v>
      </c>
      <c t="s">
        <v>4190</v>
      </c>
      <c t="s">
        <v>55572</v>
      </c>
      <c t="s">
        <v>4190</v>
      </c>
      <c t="s">
        <v>30932</v>
      </c>
      <c t="s">
        <v>60363</v>
      </c>
      <c t="s">
        <v>2517</v>
      </c>
      <c t="s">
        <v>39289</v>
      </c>
      <c>
        <v>33909</v>
      </c>
      <c t="s">
        <v>18620</v>
      </c>
      <c t="s">
        <v>48794</v>
      </c>
      <c t="s">
        <v>44287</v>
      </c>
      <c>
        <v>479</v>
      </c>
      <c r="AI4766" t="s">
        <v>45155</v>
      </c>
      <c t="s">
        <v>45620</v>
      </c>
      <c r="AL4766" t="s">
        <v>32962</v>
      </c>
      <c r="AN4766" t="s">
        <v>50917</v>
      </c>
      <c t="s">
        <v>22306</v>
      </c>
      <c t="s">
        <v>54788</v>
      </c>
      <c t="s">
        <v>3093</v>
      </c>
      <c t="s">
        <v>46765</v>
      </c>
    </row>
    <row>
      <c t="s">
        <v>17594</v>
      </c>
      <c t="s">
        <v>54550</v>
      </c>
      <c t="s">
        <v>29225</v>
      </c>
      <c t="s">
        <v>37156</v>
      </c>
      <c t="s">
        <v>64941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4767" s="1" t="str">
        <f ca="1">HYPERLINK("https://web.datatree.com/?/property?propertyId=33869773", "https://web.datatree.com/?/property?propertyId=33869773")</f>
        <v>https://web.datatree.com/?/property?propertyId=33869773</v>
      </c>
      <c r="Q4767" t="s">
        <v>316</v>
      </c>
      <c>
        <v>0.23</v>
      </c>
      <c t="s">
        <v>54449</v>
      </c>
      <c t="s">
        <v>13273</v>
      </c>
      <c t="s">
        <v>66642</v>
      </c>
      <c r="X4767" t="s">
        <v>42526</v>
      </c>
      <c t="s">
        <v>39777</v>
      </c>
      <c t="s">
        <v>2517</v>
      </c>
      <c t="s">
        <v>39289</v>
      </c>
      <c>
        <v>33909</v>
      </c>
      <c t="s">
        <v>31038</v>
      </c>
      <c t="s">
        <v>48794</v>
      </c>
      <c t="s">
        <v>65145</v>
      </c>
      <c>
        <v>14151</v>
      </c>
      <c r="AI4767" t="s">
        <v>26382</v>
      </c>
      <c t="s">
        <v>24900</v>
      </c>
      <c r="AL4767" t="s">
        <v>55393</v>
      </c>
      <c r="AN4767" t="s">
        <v>39289</v>
      </c>
      <c t="s">
        <v>39427</v>
      </c>
      <c t="s">
        <v>4491</v>
      </c>
      <c t="s">
        <v>3093</v>
      </c>
      <c t="s">
        <v>48427</v>
      </c>
    </row>
    <row>
      <c t="s">
        <v>17594</v>
      </c>
      <c t="s">
        <v>55230</v>
      </c>
      <c t="s">
        <v>26529</v>
      </c>
      <c t="s">
        <v>47700</v>
      </c>
      <c t="s">
        <v>17955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4768" s="1" t="str">
        <f ca="1">HYPERLINK("https://web.datatree.com/?/property?propertyId=33869929", "https://web.datatree.com/?/property?propertyId=33869929")</f>
        <v>https://web.datatree.com/?/property?propertyId=33869929</v>
      </c>
      <c r="Q4768" t="s">
        <v>316</v>
      </c>
      <c>
        <v>0.097</v>
      </c>
      <c t="s">
        <v>26492</v>
      </c>
      <c t="s">
        <v>59767</v>
      </c>
      <c t="s">
        <v>60807</v>
      </c>
      <c t="s">
        <v>7133</v>
      </c>
      <c t="s">
        <v>60807</v>
      </c>
      <c t="s">
        <v>19034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52523</v>
      </c>
      <c>
        <v>2580</v>
      </c>
      <c r="AI4768" t="s">
        <v>32670</v>
      </c>
      <c t="s">
        <v>64478</v>
      </c>
      <c r="AL4768" t="s">
        <v>6367</v>
      </c>
      <c t="s">
        <v>40227</v>
      </c>
      <c t="s">
        <v>58811</v>
      </c>
      <c t="s">
        <v>30784</v>
      </c>
      <c r="AQ4768" t="s">
        <v>27814</v>
      </c>
      <c t="s">
        <v>15339</v>
      </c>
    </row>
    <row>
      <c t="s">
        <v>42103</v>
      </c>
      <c t="s">
        <v>4475</v>
      </c>
      <c t="s">
        <v>5189</v>
      </c>
      <c t="s">
        <v>55540</v>
      </c>
      <c t="s">
        <v>31256</v>
      </c>
      <c s="3">
        <v>151311</v>
      </c>
      <c s="3">
        <v>151311</v>
      </c>
      <c s="3">
        <v>122229</v>
      </c>
      <c>
        <v>0</v>
      </c>
      <c s="3">
        <v>0</v>
      </c>
      <c s="3">
        <v>1887.79</v>
      </c>
      <c s="3">
        <v>151311</v>
      </c>
      <c r="O4769" s="1" t="str">
        <f ca="1">HYPERLINK("https://web.datatree.com/?/property?propertyId=33870810", "https://web.datatree.com/?/property?propertyId=33870810")</f>
        <v>https://web.datatree.com/?/property?propertyId=33870810</v>
      </c>
      <c r="Q4769" t="s">
        <v>316</v>
      </c>
      <c>
        <v>9.56</v>
      </c>
      <c t="s">
        <v>30497</v>
      </c>
      <c r="U4769" t="s">
        <v>38057</v>
      </c>
      <c r="W4769" t="s">
        <v>24881</v>
      </c>
      <c t="s">
        <v>48210</v>
      </c>
      <c t="s">
        <v>45355</v>
      </c>
      <c t="s">
        <v>54524</v>
      </c>
      <c t="s">
        <v>39289</v>
      </c>
      <c>
        <v>33903</v>
      </c>
      <c>
        <v>33903</v>
      </c>
      <c t="s">
        <v>48794</v>
      </c>
      <c t="s">
        <v>20830</v>
      </c>
      <c r="AI4769" t="s">
        <v>34924</v>
      </c>
      <c r="AL4769" t="s">
        <v>65037</v>
      </c>
      <c t="s">
        <v>65059</v>
      </c>
      <c t="s">
        <v>65451</v>
      </c>
      <c t="s">
        <v>34526</v>
      </c>
      <c t="s">
        <v>15796</v>
      </c>
      <c t="s">
        <v>3093</v>
      </c>
      <c t="s">
        <v>41031</v>
      </c>
    </row>
    <row>
      <c t="s">
        <v>17594</v>
      </c>
      <c t="s">
        <v>49749</v>
      </c>
      <c t="s">
        <v>42697</v>
      </c>
      <c t="s">
        <v>35940</v>
      </c>
      <c t="s">
        <v>45734</v>
      </c>
      <c s="3">
        <v>77968</v>
      </c>
      <c s="3">
        <v>70500</v>
      </c>
      <c s="3">
        <v>74215</v>
      </c>
      <c>
        <v>0</v>
      </c>
      <c s="3">
        <v>0</v>
      </c>
      <c s="3">
        <v>1136.87</v>
      </c>
      <c s="3">
        <v>77968</v>
      </c>
      <c r="O4770" s="1" t="str">
        <f ca="1">HYPERLINK("https://web.datatree.com/?/property?propertyId=33871360", "https://web.datatree.com/?/property?propertyId=33871360")</f>
        <v>https://web.datatree.com/?/property?propertyId=33871360</v>
      </c>
      <c r="Q4770" t="s">
        <v>316</v>
      </c>
      <c>
        <v>0.095</v>
      </c>
      <c t="s">
        <v>26492</v>
      </c>
      <c t="s">
        <v>5100</v>
      </c>
      <c t="s">
        <v>25274</v>
      </c>
      <c t="s">
        <v>35754</v>
      </c>
      <c t="s">
        <v>51779</v>
      </c>
      <c t="s">
        <v>61064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61794</v>
      </c>
      <c>
        <v>105</v>
      </c>
      <c r="AI4770" t="s">
        <v>7462</v>
      </c>
      <c t="s">
        <v>31192</v>
      </c>
      <c r="AL4770" t="s">
        <v>58604</v>
      </c>
      <c t="s">
        <v>58604</v>
      </c>
      <c t="s">
        <v>32657</v>
      </c>
      <c t="s">
        <v>12675</v>
      </c>
      <c t="s">
        <v>41776</v>
      </c>
      <c t="s">
        <v>3093</v>
      </c>
      <c t="s">
        <v>59967</v>
      </c>
    </row>
    <row>
      <c t="s">
        <v>17594</v>
      </c>
      <c t="s">
        <v>14289</v>
      </c>
      <c t="s">
        <v>1366</v>
      </c>
      <c t="s">
        <v>43358</v>
      </c>
      <c t="s">
        <v>23219</v>
      </c>
      <c s="3">
        <v>8500</v>
      </c>
      <c s="3">
        <v>8500</v>
      </c>
      <c s="3">
        <v>8500</v>
      </c>
      <c>
        <v>0</v>
      </c>
      <c s="3">
        <v>0</v>
      </c>
      <c s="3">
        <v>2898.77</v>
      </c>
      <c s="3">
        <v>8500</v>
      </c>
      <c>
        <v>2021</v>
      </c>
      <c>
        <v>2906.05</v>
      </c>
      <c s="1" t="str">
        <f ca="1">HYPERLINK("https://web.datatree.com/?/property?propertyId=33871569", "https://web.datatree.com/?/property?propertyId=33871569")</f>
        <v>https://web.datatree.com/?/property?propertyId=33871569</v>
      </c>
      <c r="Q4771" t="s">
        <v>316</v>
      </c>
      <c>
        <v>0.244</v>
      </c>
      <c t="s">
        <v>6175</v>
      </c>
      <c t="s">
        <v>39909</v>
      </c>
      <c t="s">
        <v>15274</v>
      </c>
      <c t="s">
        <v>64649</v>
      </c>
      <c t="s">
        <v>15274</v>
      </c>
      <c t="s">
        <v>62642</v>
      </c>
      <c t="s">
        <v>55273</v>
      </c>
      <c t="s">
        <v>2517</v>
      </c>
      <c t="s">
        <v>39289</v>
      </c>
      <c>
        <v>33909</v>
      </c>
      <c t="s">
        <v>5931</v>
      </c>
      <c t="s">
        <v>48794</v>
      </c>
      <c t="s">
        <v>29493</v>
      </c>
      <c>
        <v>1012</v>
      </c>
      <c r="AI4771" t="s">
        <v>32048</v>
      </c>
      <c t="s">
        <v>24900</v>
      </c>
      <c r="AL4771" t="s">
        <v>8109</v>
      </c>
      <c r="AN4771" t="s">
        <v>50917</v>
      </c>
      <c t="s">
        <v>8910</v>
      </c>
      <c t="s">
        <v>32746</v>
      </c>
      <c t="s">
        <v>3093</v>
      </c>
      <c t="s">
        <v>64072</v>
      </c>
    </row>
    <row>
      <c t="s">
        <v>17594</v>
      </c>
      <c t="s">
        <v>12451</v>
      </c>
      <c t="s">
        <v>51670</v>
      </c>
      <c t="s">
        <v>64405</v>
      </c>
      <c t="s">
        <v>30811</v>
      </c>
      <c s="3">
        <v>17859</v>
      </c>
      <c s="3">
        <v>17859</v>
      </c>
      <c s="3">
        <v>8910</v>
      </c>
      <c>
        <v>0</v>
      </c>
      <c s="3">
        <v>0</v>
      </c>
      <c s="3">
        <v>566.28</v>
      </c>
      <c s="3">
        <v>17859</v>
      </c>
      <c r="O4772" s="1" t="str">
        <f ca="1">HYPERLINK("https://web.datatree.com/?/property?propertyId=33872328", "https://web.datatree.com/?/property?propertyId=33872328")</f>
        <v>https://web.datatree.com/?/property?propertyId=33872328</v>
      </c>
      <c r="Q4772" t="s">
        <v>316</v>
      </c>
      <c>
        <v>0.244</v>
      </c>
      <c t="s">
        <v>6175</v>
      </c>
      <c t="s">
        <v>56390</v>
      </c>
      <c t="s">
        <v>6226</v>
      </c>
      <c r="X4772" t="s">
        <v>9784</v>
      </c>
      <c t="s">
        <v>18679</v>
      </c>
      <c t="s">
        <v>2517</v>
      </c>
      <c t="s">
        <v>39289</v>
      </c>
      <c>
        <v>33909</v>
      </c>
      <c t="s">
        <v>22196</v>
      </c>
      <c t="s">
        <v>48794</v>
      </c>
      <c t="s">
        <v>19925</v>
      </c>
      <c>
        <v>1349</v>
      </c>
      <c r="AI4772" t="s">
        <v>60790</v>
      </c>
      <c t="s">
        <v>24900</v>
      </c>
      <c t="s">
        <v>46958</v>
      </c>
      <c t="s">
        <v>13397</v>
      </c>
      <c r="AN4772" t="s">
        <v>50917</v>
      </c>
      <c t="s">
        <v>44944</v>
      </c>
      <c t="s">
        <v>36159</v>
      </c>
      <c t="s">
        <v>3093</v>
      </c>
      <c t="s">
        <v>44199</v>
      </c>
    </row>
    <row>
      <c t="s">
        <v>17594</v>
      </c>
      <c t="s">
        <v>46298</v>
      </c>
      <c t="s">
        <v>34845</v>
      </c>
      <c t="s">
        <v>23299</v>
      </c>
      <c t="s">
        <v>40316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4773" s="1" t="str">
        <f ca="1">HYPERLINK("https://web.datatree.com/?/property?propertyId=33872644", "https://web.datatree.com/?/property?propertyId=33872644")</f>
        <v>https://web.datatree.com/?/property?propertyId=33872644</v>
      </c>
      <c r="Q4773" t="s">
        <v>316</v>
      </c>
      <c>
        <v>0.23</v>
      </c>
      <c t="s">
        <v>22490</v>
      </c>
      <c t="s">
        <v>1599</v>
      </c>
      <c t="s">
        <v>26709</v>
      </c>
      <c r="X4773" t="s">
        <v>51729</v>
      </c>
      <c t="s">
        <v>66701</v>
      </c>
      <c t="s">
        <v>2517</v>
      </c>
      <c t="s">
        <v>39289</v>
      </c>
      <c>
        <v>33909</v>
      </c>
      <c t="s">
        <v>55178</v>
      </c>
      <c t="s">
        <v>48794</v>
      </c>
      <c t="s">
        <v>51139</v>
      </c>
      <c>
        <v>1493</v>
      </c>
      <c r="AI4773" t="s">
        <v>33523</v>
      </c>
      <c t="s">
        <v>31192</v>
      </c>
      <c r="AL4773" t="s">
        <v>24373</v>
      </c>
      <c r="AN4773" t="s">
        <v>22275</v>
      </c>
      <c t="s">
        <v>29779</v>
      </c>
      <c t="s">
        <v>34162</v>
      </c>
      <c t="s">
        <v>3093</v>
      </c>
      <c t="s">
        <v>63735</v>
      </c>
    </row>
    <row>
      <c t="s">
        <v>17594</v>
      </c>
      <c t="s">
        <v>66451</v>
      </c>
      <c t="s">
        <v>39861</v>
      </c>
      <c t="s">
        <v>65527</v>
      </c>
      <c t="s">
        <v>24004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4774" s="1" t="str">
        <f ca="1">HYPERLINK("https://web.datatree.com/?/property?propertyId=33872852", "https://web.datatree.com/?/property?propertyId=33872852")</f>
        <v>https://web.datatree.com/?/property?propertyId=33872852</v>
      </c>
      <c r="Q4774" t="s">
        <v>316</v>
      </c>
      <c>
        <v>0.231</v>
      </c>
      <c t="s">
        <v>5471</v>
      </c>
      <c t="s">
        <v>44541</v>
      </c>
      <c t="s">
        <v>67157</v>
      </c>
      <c t="s">
        <v>22046</v>
      </c>
      <c t="s">
        <v>67157</v>
      </c>
      <c t="s">
        <v>37623</v>
      </c>
      <c t="s">
        <v>18225</v>
      </c>
      <c t="s">
        <v>65059</v>
      </c>
      <c t="s">
        <v>39289</v>
      </c>
      <c>
        <v>33905</v>
      </c>
      <c t="s">
        <v>1710</v>
      </c>
      <c t="s">
        <v>48794</v>
      </c>
      <c t="s">
        <v>8447</v>
      </c>
      <c>
        <v>342</v>
      </c>
      <c r="AI4774" t="s">
        <v>9574</v>
      </c>
      <c t="s">
        <v>24900</v>
      </c>
      <c r="AL4774" t="s">
        <v>62844</v>
      </c>
      <c r="AN4774" t="s">
        <v>26016</v>
      </c>
      <c t="s">
        <v>63538</v>
      </c>
      <c t="s">
        <v>3364</v>
      </c>
      <c t="s">
        <v>3093</v>
      </c>
      <c t="s">
        <v>5035</v>
      </c>
    </row>
    <row>
      <c t="s">
        <v>17594</v>
      </c>
      <c t="s">
        <v>52934</v>
      </c>
      <c t="s">
        <v>26820</v>
      </c>
      <c t="s">
        <v>25223</v>
      </c>
      <c t="s">
        <v>46546</v>
      </c>
      <c s="3">
        <v>7500</v>
      </c>
      <c s="3">
        <v>7500</v>
      </c>
      <c s="3">
        <v>7500</v>
      </c>
      <c>
        <v>0</v>
      </c>
      <c s="3">
        <v>0</v>
      </c>
      <c s="3">
        <v>623.83</v>
      </c>
      <c s="3">
        <v>7500</v>
      </c>
      <c r="O4775" s="1" t="str">
        <f ca="1">HYPERLINK("https://web.datatree.com/?/property?propertyId=33872989", "https://web.datatree.com/?/property?propertyId=33872989")</f>
        <v>https://web.datatree.com/?/property?propertyId=33872989</v>
      </c>
      <c r="Q4775" t="s">
        <v>316</v>
      </c>
      <c>
        <v>0.23</v>
      </c>
      <c t="s">
        <v>6175</v>
      </c>
      <c t="s">
        <v>22078</v>
      </c>
      <c t="s">
        <v>14456</v>
      </c>
      <c t="s">
        <v>33698</v>
      </c>
      <c t="s">
        <v>41454</v>
      </c>
      <c t="s">
        <v>19237</v>
      </c>
      <c t="s">
        <v>33179</v>
      </c>
      <c t="s">
        <v>2517</v>
      </c>
      <c t="s">
        <v>39289</v>
      </c>
      <c>
        <v>33909</v>
      </c>
      <c t="s">
        <v>60011</v>
      </c>
      <c t="s">
        <v>48794</v>
      </c>
      <c t="s">
        <v>9481</v>
      </c>
      <c>
        <v>12422</v>
      </c>
      <c r="AI4775" t="s">
        <v>9974</v>
      </c>
      <c t="s">
        <v>45393</v>
      </c>
      <c r="AL4775" t="s">
        <v>55393</v>
      </c>
      <c t="s">
        <v>31831</v>
      </c>
      <c t="s">
        <v>39289</v>
      </c>
      <c t="s">
        <v>60319</v>
      </c>
      <c t="s">
        <v>23744</v>
      </c>
      <c t="s">
        <v>3093</v>
      </c>
      <c t="s">
        <v>11290</v>
      </c>
    </row>
    <row>
      <c t="s">
        <v>42103</v>
      </c>
      <c t="s">
        <v>8571</v>
      </c>
      <c t="s">
        <v>51218</v>
      </c>
      <c t="s">
        <v>53551</v>
      </c>
      <c t="s">
        <v>42948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776" s="1" t="str">
        <f ca="1">HYPERLINK("https://web.datatree.com/?/property?propertyId=33873048", "https://web.datatree.com/?/property?propertyId=33873048")</f>
        <v>https://web.datatree.com/?/property?propertyId=33873048</v>
      </c>
      <c r="Q4776" t="s">
        <v>316</v>
      </c>
      <c>
        <v>0.23</v>
      </c>
      <c t="s">
        <v>6175</v>
      </c>
      <c t="s">
        <v>47977</v>
      </c>
      <c t="s">
        <v>37717</v>
      </c>
      <c t="s">
        <v>27351</v>
      </c>
      <c t="s">
        <v>37717</v>
      </c>
      <c t="s">
        <v>18279</v>
      </c>
      <c t="s">
        <v>49122</v>
      </c>
      <c t="s">
        <v>2517</v>
      </c>
      <c t="s">
        <v>39289</v>
      </c>
      <c>
        <v>33909</v>
      </c>
      <c t="s">
        <v>8498</v>
      </c>
      <c t="s">
        <v>48794</v>
      </c>
      <c t="s">
        <v>30069</v>
      </c>
      <c r="AI4776" t="s">
        <v>57111</v>
      </c>
      <c r="AL4776" t="s">
        <v>5932</v>
      </c>
      <c r="AN4776" t="s">
        <v>65467</v>
      </c>
      <c>
        <v>20689</v>
      </c>
      <c t="s">
        <v>15796</v>
      </c>
      <c t="s">
        <v>3093</v>
      </c>
      <c t="s">
        <v>33075</v>
      </c>
    </row>
    <row>
      <c t="s">
        <v>17594</v>
      </c>
      <c t="s">
        <v>45024</v>
      </c>
      <c t="s">
        <v>55498</v>
      </c>
      <c t="s">
        <v>56901</v>
      </c>
      <c t="s">
        <v>16307</v>
      </c>
      <c s="3">
        <v>22524</v>
      </c>
      <c s="3">
        <v>22524</v>
      </c>
      <c s="3">
        <v>8778</v>
      </c>
      <c>
        <v>0</v>
      </c>
      <c s="3">
        <v>0</v>
      </c>
      <c s="3">
        <v>660.2</v>
      </c>
      <c s="3">
        <v>22524</v>
      </c>
      <c r="O4777" s="1" t="str">
        <f ca="1">HYPERLINK("https://web.datatree.com/?/property?propertyId=33873148", "https://web.datatree.com/?/property?propertyId=33873148")</f>
        <v>https://web.datatree.com/?/property?propertyId=33873148</v>
      </c>
      <c r="Q4777" t="s">
        <v>316</v>
      </c>
      <c>
        <v>0.332</v>
      </c>
      <c t="s">
        <v>22490</v>
      </c>
      <c t="s">
        <v>60337</v>
      </c>
      <c t="s">
        <v>46978</v>
      </c>
      <c r="X4777" t="s">
        <v>35716</v>
      </c>
      <c t="s">
        <v>52171</v>
      </c>
      <c t="s">
        <v>2517</v>
      </c>
      <c t="s">
        <v>39289</v>
      </c>
      <c>
        <v>33909</v>
      </c>
      <c t="s">
        <v>57427</v>
      </c>
      <c t="s">
        <v>48794</v>
      </c>
      <c t="s">
        <v>53773</v>
      </c>
      <c>
        <v>4774</v>
      </c>
      <c r="AI4777" t="s">
        <v>53596</v>
      </c>
      <c t="s">
        <v>24900</v>
      </c>
      <c r="AL4777" t="s">
        <v>55393</v>
      </c>
      <c t="s">
        <v>24950</v>
      </c>
      <c t="s">
        <v>39289</v>
      </c>
      <c t="s">
        <v>23898</v>
      </c>
      <c t="s">
        <v>6081</v>
      </c>
      <c t="s">
        <v>3093</v>
      </c>
      <c t="s">
        <v>39513</v>
      </c>
    </row>
    <row>
      <c t="s">
        <v>17594</v>
      </c>
      <c t="s">
        <v>53225</v>
      </c>
      <c t="s">
        <v>66288</v>
      </c>
      <c t="s">
        <v>49787</v>
      </c>
      <c t="s">
        <v>46232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778" s="1" t="str">
        <f ca="1">HYPERLINK("https://web.datatree.com/?/property?propertyId=33874014", "https://web.datatree.com/?/property?propertyId=33874014")</f>
        <v>https://web.datatree.com/?/property?propertyId=33874014</v>
      </c>
      <c r="Q4778" t="s">
        <v>316</v>
      </c>
      <c>
        <v>0.23</v>
      </c>
      <c t="s">
        <v>6175</v>
      </c>
      <c t="s">
        <v>6664</v>
      </c>
      <c t="s">
        <v>49159</v>
      </c>
      <c r="X4778" t="s">
        <v>3873</v>
      </c>
      <c t="s">
        <v>23517</v>
      </c>
      <c t="s">
        <v>2517</v>
      </c>
      <c t="s">
        <v>39289</v>
      </c>
      <c>
        <v>33909</v>
      </c>
      <c t="s">
        <v>8198</v>
      </c>
      <c t="s">
        <v>48794</v>
      </c>
      <c t="s">
        <v>50474</v>
      </c>
      <c>
        <v>6622</v>
      </c>
      <c r="AI4778" t="s">
        <v>58797</v>
      </c>
      <c t="s">
        <v>52583</v>
      </c>
      <c r="AL4778" t="s">
        <v>32939</v>
      </c>
      <c r="AN4778" t="s">
        <v>10909</v>
      </c>
      <c t="s">
        <v>63633</v>
      </c>
      <c r="AQ4778" t="s">
        <v>27814</v>
      </c>
      <c t="s">
        <v>397</v>
      </c>
    </row>
    <row>
      <c t="s">
        <v>17594</v>
      </c>
      <c t="s">
        <v>11129</v>
      </c>
      <c t="s">
        <v>20602</v>
      </c>
      <c t="s">
        <v>18734</v>
      </c>
      <c t="s">
        <v>13374</v>
      </c>
      <c s="3">
        <v>7500</v>
      </c>
      <c s="3">
        <v>7500</v>
      </c>
      <c s="3">
        <v>7500</v>
      </c>
      <c>
        <v>0</v>
      </c>
      <c s="3">
        <v>0</v>
      </c>
      <c s="3">
        <v>645.41</v>
      </c>
      <c s="3">
        <v>7500</v>
      </c>
      <c r="O4779" s="1" t="str">
        <f ca="1">HYPERLINK("https://web.datatree.com/?/property?propertyId=33874737", "https://web.datatree.com/?/property?propertyId=33874737")</f>
        <v>https://web.datatree.com/?/property?propertyId=33874737</v>
      </c>
      <c r="Q4779" t="s">
        <v>316</v>
      </c>
      <c>
        <v>0.253</v>
      </c>
      <c t="s">
        <v>6175</v>
      </c>
      <c t="s">
        <v>54971</v>
      </c>
      <c t="s">
        <v>43523</v>
      </c>
      <c t="s">
        <v>42757</v>
      </c>
      <c t="s">
        <v>43523</v>
      </c>
      <c t="s">
        <v>56350</v>
      </c>
      <c t="s">
        <v>61865</v>
      </c>
      <c t="s">
        <v>2517</v>
      </c>
      <c t="s">
        <v>39289</v>
      </c>
      <c>
        <v>33909</v>
      </c>
      <c t="s">
        <v>26501</v>
      </c>
      <c t="s">
        <v>48794</v>
      </c>
      <c t="s">
        <v>55714</v>
      </c>
      <c>
        <v>1141</v>
      </c>
      <c r="AI4779" t="s">
        <v>24502</v>
      </c>
      <c t="s">
        <v>1671</v>
      </c>
      <c r="AL4779" t="s">
        <v>40821</v>
      </c>
      <c r="AN4779" t="s">
        <v>50917</v>
      </c>
      <c t="s">
        <v>20541</v>
      </c>
      <c t="s">
        <v>44428</v>
      </c>
      <c t="s">
        <v>3093</v>
      </c>
      <c t="s">
        <v>40258</v>
      </c>
    </row>
    <row>
      <c t="s">
        <v>17594</v>
      </c>
      <c t="s">
        <v>47676</v>
      </c>
      <c t="s">
        <v>50036</v>
      </c>
      <c t="s">
        <v>54730</v>
      </c>
      <c t="s">
        <v>16085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4780" s="1" t="str">
        <f ca="1">HYPERLINK("https://web.datatree.com/?/property?propertyId=33874781", "https://web.datatree.com/?/property?propertyId=33874781")</f>
        <v>https://web.datatree.com/?/property?propertyId=33874781</v>
      </c>
      <c r="Q4780" t="s">
        <v>316</v>
      </c>
      <c>
        <v>0.241</v>
      </c>
      <c t="s">
        <v>6175</v>
      </c>
      <c r="U4780" t="s">
        <v>56891</v>
      </c>
      <c r="W4780" t="s">
        <v>34294</v>
      </c>
      <c t="s">
        <v>656</v>
      </c>
      <c t="s">
        <v>34136</v>
      </c>
      <c t="s">
        <v>2517</v>
      </c>
      <c t="s">
        <v>39289</v>
      </c>
      <c>
        <v>33909</v>
      </c>
      <c t="s">
        <v>36529</v>
      </c>
      <c t="s">
        <v>48794</v>
      </c>
      <c t="s">
        <v>30755</v>
      </c>
      <c>
        <v>780</v>
      </c>
      <c r="AI4780" t="s">
        <v>62316</v>
      </c>
      <c t="s">
        <v>24900</v>
      </c>
      <c>
        <v>204</v>
      </c>
      <c t="s">
        <v>46797</v>
      </c>
      <c t="s">
        <v>46797</v>
      </c>
      <c t="s">
        <v>39289</v>
      </c>
      <c t="s">
        <v>51339</v>
      </c>
      <c t="s">
        <v>27553</v>
      </c>
      <c t="s">
        <v>3093</v>
      </c>
      <c t="s">
        <v>16039</v>
      </c>
    </row>
    <row>
      <c t="s">
        <v>17594</v>
      </c>
      <c t="s">
        <v>48333</v>
      </c>
      <c t="s">
        <v>27250</v>
      </c>
      <c t="s">
        <v>16808</v>
      </c>
      <c t="s">
        <v>508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 r="O4781" s="1" t="str">
        <f ca="1">HYPERLINK("https://web.datatree.com/?/property?propertyId=33874804", "https://web.datatree.com/?/property?propertyId=33874804")</f>
        <v>https://web.datatree.com/?/property?propertyId=33874804</v>
      </c>
      <c r="Q4781" t="s">
        <v>316</v>
      </c>
      <c>
        <v>0.23</v>
      </c>
      <c t="s">
        <v>5471</v>
      </c>
      <c t="s">
        <v>39139</v>
      </c>
      <c t="s">
        <v>37991</v>
      </c>
      <c t="s">
        <v>39210</v>
      </c>
      <c t="s">
        <v>37991</v>
      </c>
      <c t="s">
        <v>43238</v>
      </c>
      <c t="s">
        <v>2216</v>
      </c>
      <c t="s">
        <v>65059</v>
      </c>
      <c t="s">
        <v>39289</v>
      </c>
      <c>
        <v>33905</v>
      </c>
      <c t="s">
        <v>6761</v>
      </c>
      <c t="s">
        <v>48794</v>
      </c>
      <c t="s">
        <v>47085</v>
      </c>
      <c>
        <v>1136</v>
      </c>
      <c r="AI4781" t="s">
        <v>26678</v>
      </c>
      <c t="s">
        <v>24900</v>
      </c>
      <c r="AL4781" t="s">
        <v>6144</v>
      </c>
      <c r="AN4781" t="s">
        <v>50917</v>
      </c>
      <c t="s">
        <v>6380</v>
      </c>
      <c t="s">
        <v>53800</v>
      </c>
      <c t="s">
        <v>3093</v>
      </c>
      <c t="s">
        <v>27306</v>
      </c>
    </row>
    <row>
      <c t="s">
        <v>42103</v>
      </c>
      <c t="s">
        <v>33924</v>
      </c>
      <c t="s">
        <v>31699</v>
      </c>
      <c t="s">
        <v>30279</v>
      </c>
      <c t="s">
        <v>67008</v>
      </c>
      <c s="3">
        <v>781515</v>
      </c>
      <c s="3">
        <v>770391</v>
      </c>
      <c s="3">
        <v>681036</v>
      </c>
      <c>
        <v>0</v>
      </c>
      <c s="3">
        <v>0</v>
      </c>
      <c s="3">
        <v>11362.3</v>
      </c>
      <c s="3">
        <v>781515</v>
      </c>
      <c r="O4782" s="1" t="str">
        <f ca="1">HYPERLINK("https://web.datatree.com/?/property?propertyId=33874981", "https://web.datatree.com/?/property?propertyId=33874981")</f>
        <v>https://web.datatree.com/?/property?propertyId=33874981</v>
      </c>
      <c r="Q4782" t="s">
        <v>316</v>
      </c>
      <c>
        <v>0.275</v>
      </c>
      <c t="s">
        <v>22490</v>
      </c>
      <c r="U4782" t="s">
        <v>15604</v>
      </c>
      <c t="s">
        <v>36560</v>
      </c>
      <c t="s">
        <v>15430</v>
      </c>
      <c t="s">
        <v>61061</v>
      </c>
      <c t="s">
        <v>64376</v>
      </c>
      <c t="s">
        <v>2517</v>
      </c>
      <c t="s">
        <v>39289</v>
      </c>
      <c>
        <v>33904</v>
      </c>
      <c t="s">
        <v>28081</v>
      </c>
      <c t="s">
        <v>48794</v>
      </c>
      <c t="s">
        <v>54439</v>
      </c>
      <c r="AI4782" t="s">
        <v>46528</v>
      </c>
      <c r="AK4782">
        <v>89</v>
      </c>
      <c t="s">
        <v>42414</v>
      </c>
      <c r="AN4782" t="s">
        <v>63985</v>
      </c>
      <c>
        <v>15526</v>
      </c>
      <c r="AQ4782" t="s">
        <v>3093</v>
      </c>
      <c t="s">
        <v>56539</v>
      </c>
    </row>
    <row>
      <c t="s">
        <v>17594</v>
      </c>
      <c t="s">
        <v>43529</v>
      </c>
      <c t="s">
        <v>46937</v>
      </c>
      <c t="s">
        <v>56703</v>
      </c>
      <c t="s">
        <v>42753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783" s="1" t="str">
        <f ca="1">HYPERLINK("https://web.datatree.com/?/property?propertyId=33875099", "https://web.datatree.com/?/property?propertyId=33875099")</f>
        <v>https://web.datatree.com/?/property?propertyId=33875099</v>
      </c>
      <c r="Q4783" t="s">
        <v>316</v>
      </c>
      <c>
        <v>0.23</v>
      </c>
      <c t="s">
        <v>22490</v>
      </c>
      <c t="s">
        <v>46064</v>
      </c>
      <c t="s">
        <v>64986</v>
      </c>
      <c r="X4783" t="s">
        <v>8658</v>
      </c>
      <c t="s">
        <v>2626</v>
      </c>
      <c t="s">
        <v>2517</v>
      </c>
      <c t="s">
        <v>39289</v>
      </c>
      <c>
        <v>33909</v>
      </c>
      <c t="s">
        <v>13021</v>
      </c>
      <c t="s">
        <v>48794</v>
      </c>
      <c t="s">
        <v>32221</v>
      </c>
      <c>
        <v>1421</v>
      </c>
      <c r="AH4783" t="s">
        <v>52165</v>
      </c>
      <c t="s">
        <v>17022</v>
      </c>
      <c t="s">
        <v>45393</v>
      </c>
      <c t="s">
        <v>884</v>
      </c>
      <c t="s">
        <v>33575</v>
      </c>
      <c t="s">
        <v>33575</v>
      </c>
      <c t="s">
        <v>4477</v>
      </c>
      <c t="s">
        <v>64148</v>
      </c>
      <c t="s">
        <v>1951</v>
      </c>
      <c t="s">
        <v>3093</v>
      </c>
      <c t="s">
        <v>1049</v>
      </c>
    </row>
    <row>
      <c t="s">
        <v>17594</v>
      </c>
      <c t="s">
        <v>44834</v>
      </c>
      <c t="s">
        <v>64739</v>
      </c>
      <c t="s">
        <v>64</v>
      </c>
      <c t="s">
        <v>36382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4784" s="1" t="str">
        <f ca="1">HYPERLINK("https://web.datatree.com/?/property?propertyId=33876076", "https://web.datatree.com/?/property?propertyId=33876076")</f>
        <v>https://web.datatree.com/?/property?propertyId=33876076</v>
      </c>
      <c r="Q4784" t="s">
        <v>316</v>
      </c>
      <c>
        <v>0.23</v>
      </c>
      <c t="s">
        <v>22490</v>
      </c>
      <c t="s">
        <v>18357</v>
      </c>
      <c t="s">
        <v>65111</v>
      </c>
      <c r="X4784" t="s">
        <v>33927</v>
      </c>
      <c t="s">
        <v>38550</v>
      </c>
      <c t="s">
        <v>2517</v>
      </c>
      <c t="s">
        <v>39289</v>
      </c>
      <c>
        <v>33909</v>
      </c>
      <c t="s">
        <v>1086</v>
      </c>
      <c t="s">
        <v>48794</v>
      </c>
      <c t="s">
        <v>49571</v>
      </c>
      <c>
        <v>18401</v>
      </c>
      <c r="AI4784" t="s">
        <v>1527</v>
      </c>
      <c t="s">
        <v>24900</v>
      </c>
      <c r="AL4784" t="s">
        <v>55393</v>
      </c>
      <c t="s">
        <v>31831</v>
      </c>
      <c t="s">
        <v>39289</v>
      </c>
      <c t="s">
        <v>26989</v>
      </c>
      <c t="s">
        <v>49977</v>
      </c>
      <c t="s">
        <v>3093</v>
      </c>
      <c t="s">
        <v>51610</v>
      </c>
    </row>
    <row>
      <c t="s">
        <v>17594</v>
      </c>
      <c t="s">
        <v>17599</v>
      </c>
      <c t="s">
        <v>51985</v>
      </c>
      <c t="s">
        <v>42588</v>
      </c>
      <c t="s">
        <v>54824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4785" s="1" t="str">
        <f ca="1">HYPERLINK("https://web.datatree.com/?/property?propertyId=33876122", "https://web.datatree.com/?/property?propertyId=33876122")</f>
        <v>https://web.datatree.com/?/property?propertyId=33876122</v>
      </c>
      <c r="Q4785" t="s">
        <v>316</v>
      </c>
      <c>
        <v>0.23</v>
      </c>
      <c t="s">
        <v>45031</v>
      </c>
      <c t="s">
        <v>35571</v>
      </c>
      <c t="s">
        <v>45096</v>
      </c>
      <c t="s">
        <v>24328</v>
      </c>
      <c t="s">
        <v>45096</v>
      </c>
      <c t="s">
        <v>24315</v>
      </c>
      <c t="s">
        <v>10653</v>
      </c>
      <c t="s">
        <v>2517</v>
      </c>
      <c t="s">
        <v>39289</v>
      </c>
      <c>
        <v>33909</v>
      </c>
      <c t="s">
        <v>59662</v>
      </c>
      <c t="s">
        <v>48794</v>
      </c>
      <c t="s">
        <v>20295</v>
      </c>
      <c r="AI4785" t="s">
        <v>7752</v>
      </c>
      <c r="AK4785">
        <v>16</v>
      </c>
      <c t="s">
        <v>51756</v>
      </c>
      <c r="AN4785" t="s">
        <v>63985</v>
      </c>
      <c>
        <v>81541</v>
      </c>
      <c r="AR4785" t="s">
        <v>18804</v>
      </c>
    </row>
    <row>
      <c t="s">
        <v>17594</v>
      </c>
      <c t="s">
        <v>42544</v>
      </c>
      <c t="s">
        <v>10626</v>
      </c>
      <c t="s">
        <v>6482</v>
      </c>
      <c t="s">
        <v>50030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>
        <v>2020</v>
      </c>
      <c>
        <v>1715.06</v>
      </c>
      <c s="1" t="str">
        <f ca="1">HYPERLINK("https://web.datatree.com/?/property?propertyId=33876333", "https://web.datatree.com/?/property?propertyId=33876333")</f>
        <v>https://web.datatree.com/?/property?propertyId=33876333</v>
      </c>
      <c r="Q4786" t="s">
        <v>316</v>
      </c>
      <c>
        <v>0.23</v>
      </c>
      <c t="s">
        <v>6175</v>
      </c>
      <c t="s">
        <v>33172</v>
      </c>
      <c t="s">
        <v>22149</v>
      </c>
      <c r="X4786" t="s">
        <v>14423</v>
      </c>
      <c t="s">
        <v>22731</v>
      </c>
      <c t="s">
        <v>2517</v>
      </c>
      <c t="s">
        <v>39289</v>
      </c>
      <c>
        <v>33909</v>
      </c>
      <c t="s">
        <v>6090</v>
      </c>
      <c t="s">
        <v>48794</v>
      </c>
      <c t="s">
        <v>8959</v>
      </c>
      <c r="AI4786" t="s">
        <v>17314</v>
      </c>
      <c r="AK4786" t="s">
        <v>3491</v>
      </c>
      <c t="s">
        <v>23311</v>
      </c>
      <c t="s">
        <v>23311</v>
      </c>
      <c t="s">
        <v>5982</v>
      </c>
      <c>
        <v>4101</v>
      </c>
      <c r="AR4786" t="s">
        <v>61385</v>
      </c>
    </row>
    <row>
      <c t="s">
        <v>17594</v>
      </c>
      <c t="s">
        <v>23089</v>
      </c>
      <c t="s">
        <v>11675</v>
      </c>
      <c t="s">
        <v>60753</v>
      </c>
      <c t="s">
        <v>33382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787" s="1" t="str">
        <f ca="1">HYPERLINK("https://web.datatree.com/?/property?propertyId=33876515", "https://web.datatree.com/?/property?propertyId=33876515")</f>
        <v>https://web.datatree.com/?/property?propertyId=33876515</v>
      </c>
      <c r="Q4787" t="s">
        <v>316</v>
      </c>
      <c>
        <v>0.23</v>
      </c>
      <c t="s">
        <v>6175</v>
      </c>
      <c t="s">
        <v>33321</v>
      </c>
      <c t="s">
        <v>59490</v>
      </c>
      <c t="s">
        <v>58703</v>
      </c>
      <c t="s">
        <v>59490</v>
      </c>
      <c t="s">
        <v>17667</v>
      </c>
      <c t="s">
        <v>53663</v>
      </c>
      <c t="s">
        <v>2517</v>
      </c>
      <c t="s">
        <v>39289</v>
      </c>
      <c>
        <v>33909</v>
      </c>
      <c t="s">
        <v>55153</v>
      </c>
      <c t="s">
        <v>48794</v>
      </c>
      <c t="s">
        <v>38584</v>
      </c>
      <c>
        <v>1946</v>
      </c>
      <c r="AI4787" t="s">
        <v>18702</v>
      </c>
      <c t="s">
        <v>31192</v>
      </c>
      <c r="AL4787" t="s">
        <v>28841</v>
      </c>
      <c r="AN4787" t="s">
        <v>39289</v>
      </c>
      <c t="s">
        <v>34381</v>
      </c>
      <c t="s">
        <v>11138</v>
      </c>
      <c t="s">
        <v>3093</v>
      </c>
      <c t="s">
        <v>37865</v>
      </c>
    </row>
    <row>
      <c t="s">
        <v>17594</v>
      </c>
      <c t="s">
        <v>909</v>
      </c>
      <c t="s">
        <v>3448</v>
      </c>
      <c t="s">
        <v>53488</v>
      </c>
      <c t="s">
        <v>45927</v>
      </c>
      <c s="3">
        <v>29000</v>
      </c>
      <c s="3">
        <v>29000</v>
      </c>
      <c s="3">
        <v>29000</v>
      </c>
      <c>
        <v>0</v>
      </c>
      <c s="3">
        <v>0</v>
      </c>
      <c s="3">
        <v>926.96</v>
      </c>
      <c s="3">
        <v>29000</v>
      </c>
      <c r="O4788" s="1" t="str">
        <f ca="1">HYPERLINK("https://web.datatree.com/?/property?propertyId=33876531", "https://web.datatree.com/?/property?propertyId=33876531")</f>
        <v>https://web.datatree.com/?/property?propertyId=33876531</v>
      </c>
      <c r="Q4788" t="s">
        <v>316</v>
      </c>
      <c>
        <v>0.344</v>
      </c>
      <c t="s">
        <v>6175</v>
      </c>
      <c t="s">
        <v>24692</v>
      </c>
      <c t="s">
        <v>13824</v>
      </c>
      <c r="X4788" t="s">
        <v>26195</v>
      </c>
      <c t="s">
        <v>53675</v>
      </c>
      <c t="s">
        <v>2517</v>
      </c>
      <c t="s">
        <v>39289</v>
      </c>
      <c>
        <v>33909</v>
      </c>
      <c t="s">
        <v>40727</v>
      </c>
      <c t="s">
        <v>48794</v>
      </c>
      <c t="s">
        <v>54862</v>
      </c>
      <c>
        <v>6121</v>
      </c>
      <c r="AI4788" t="s">
        <v>371</v>
      </c>
      <c t="s">
        <v>31192</v>
      </c>
      <c r="AL4788" t="s">
        <v>4859</v>
      </c>
      <c t="s">
        <v>4859</v>
      </c>
      <c t="s">
        <v>39289</v>
      </c>
      <c t="s">
        <v>40877</v>
      </c>
      <c t="s">
        <v>41776</v>
      </c>
      <c t="s">
        <v>3093</v>
      </c>
      <c t="s">
        <v>492</v>
      </c>
    </row>
    <row>
      <c t="s">
        <v>17594</v>
      </c>
      <c t="s">
        <v>26486</v>
      </c>
      <c t="s">
        <v>24532</v>
      </c>
      <c t="s">
        <v>64358</v>
      </c>
      <c t="s">
        <v>31433</v>
      </c>
      <c s="3">
        <v>26250</v>
      </c>
      <c s="3">
        <v>26250</v>
      </c>
      <c s="3">
        <v>18975</v>
      </c>
      <c>
        <v>0</v>
      </c>
      <c s="3">
        <v>0</v>
      </c>
      <c s="3">
        <v>465.83</v>
      </c>
      <c s="3">
        <v>26250</v>
      </c>
      <c r="O4789" s="1" t="str">
        <f ca="1">HYPERLINK("https://web.datatree.com/?/property?propertyId=33876819", "https://web.datatree.com/?/property?propertyId=33876819")</f>
        <v>https://web.datatree.com/?/property?propertyId=33876819</v>
      </c>
      <c r="Q4789" t="s">
        <v>316</v>
      </c>
      <c>
        <v>0.222</v>
      </c>
      <c t="s">
        <v>5471</v>
      </c>
      <c r="U4789" t="s">
        <v>50442</v>
      </c>
      <c r="W4789" t="s">
        <v>24227</v>
      </c>
      <c t="s">
        <v>27751</v>
      </c>
      <c t="s">
        <v>6696</v>
      </c>
      <c t="s">
        <v>65059</v>
      </c>
      <c t="s">
        <v>39289</v>
      </c>
      <c>
        <v>33905</v>
      </c>
      <c t="s">
        <v>16791</v>
      </c>
      <c t="s">
        <v>48794</v>
      </c>
      <c t="s">
        <v>5219</v>
      </c>
      <c>
        <v>1305</v>
      </c>
      <c r="AI4789" t="s">
        <v>52150</v>
      </c>
      <c t="s">
        <v>55842</v>
      </c>
      <c r="AL4789" t="s">
        <v>65052</v>
      </c>
      <c t="s">
        <v>65052</v>
      </c>
      <c t="s">
        <v>39289</v>
      </c>
      <c>
        <v>33935</v>
      </c>
      <c t="s">
        <v>56453</v>
      </c>
      <c t="s">
        <v>3093</v>
      </c>
      <c t="s">
        <v>14459</v>
      </c>
    </row>
    <row>
      <c t="s">
        <v>17594</v>
      </c>
      <c t="s">
        <v>42512</v>
      </c>
      <c t="s">
        <v>1533</v>
      </c>
      <c t="s">
        <v>64416</v>
      </c>
      <c t="s">
        <v>51384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4790" s="1" t="str">
        <f ca="1">HYPERLINK("https://web.datatree.com/?/property?propertyId=33877887", "https://web.datatree.com/?/property?propertyId=33877887")</f>
        <v>https://web.datatree.com/?/property?propertyId=33877887</v>
      </c>
      <c r="Q4790" t="s">
        <v>316</v>
      </c>
      <c>
        <v>0.23</v>
      </c>
      <c t="s">
        <v>6175</v>
      </c>
      <c t="s">
        <v>17594</v>
      </c>
      <c t="s">
        <v>411</v>
      </c>
      <c r="X4790" t="s">
        <v>31569</v>
      </c>
      <c t="s">
        <v>46469</v>
      </c>
      <c t="s">
        <v>2517</v>
      </c>
      <c t="s">
        <v>39289</v>
      </c>
      <c>
        <v>33909</v>
      </c>
      <c t="s">
        <v>35074</v>
      </c>
      <c t="s">
        <v>48794</v>
      </c>
      <c t="s">
        <v>15929</v>
      </c>
      <c>
        <v>778</v>
      </c>
      <c r="AI4790" t="s">
        <v>65944</v>
      </c>
      <c t="s">
        <v>31192</v>
      </c>
      <c r="AL4790" t="s">
        <v>38064</v>
      </c>
      <c r="AN4790" t="s">
        <v>26016</v>
      </c>
      <c t="s">
        <v>2581</v>
      </c>
      <c t="s">
        <v>19978</v>
      </c>
      <c t="s">
        <v>3093</v>
      </c>
      <c t="s">
        <v>58707</v>
      </c>
    </row>
    <row>
      <c t="s">
        <v>17594</v>
      </c>
      <c t="s">
        <v>31113</v>
      </c>
      <c t="s">
        <v>39387</v>
      </c>
      <c t="s">
        <v>46809</v>
      </c>
      <c t="s">
        <v>25596</v>
      </c>
      <c s="3">
        <v>20472</v>
      </c>
      <c s="3">
        <v>20472</v>
      </c>
      <c s="3">
        <v>9130</v>
      </c>
      <c>
        <v>0</v>
      </c>
      <c s="3">
        <v>0</v>
      </c>
      <c s="3">
        <v>3057.2</v>
      </c>
      <c s="3">
        <v>20472</v>
      </c>
      <c r="O4791" s="1" t="str">
        <f ca="1">HYPERLINK("https://web.datatree.com/?/property?propertyId=33878443", "https://web.datatree.com/?/property?propertyId=33878443")</f>
        <v>https://web.datatree.com/?/property?propertyId=33878443</v>
      </c>
      <c r="Q4791" t="s">
        <v>316</v>
      </c>
      <c>
        <v>0.276</v>
      </c>
      <c t="s">
        <v>22490</v>
      </c>
      <c t="s">
        <v>47958</v>
      </c>
      <c t="s">
        <v>32915</v>
      </c>
      <c t="s">
        <v>61311</v>
      </c>
      <c t="s">
        <v>44893</v>
      </c>
      <c t="s">
        <v>61718</v>
      </c>
      <c t="s">
        <v>10653</v>
      </c>
      <c t="s">
        <v>2517</v>
      </c>
      <c t="s">
        <v>39289</v>
      </c>
      <c>
        <v>33909</v>
      </c>
      <c t="s">
        <v>28813</v>
      </c>
      <c t="s">
        <v>48794</v>
      </c>
      <c t="s">
        <v>3065</v>
      </c>
      <c>
        <v>7411</v>
      </c>
      <c r="AI4791" t="s">
        <v>63709</v>
      </c>
      <c t="s">
        <v>45393</v>
      </c>
      <c r="AL4791" t="s">
        <v>18475</v>
      </c>
      <c r="AN4791" t="s">
        <v>22275</v>
      </c>
      <c t="s">
        <v>45310</v>
      </c>
      <c t="s">
        <v>35508</v>
      </c>
      <c t="s">
        <v>3093</v>
      </c>
      <c t="s">
        <v>14972</v>
      </c>
    </row>
    <row>
      <c t="s">
        <v>17594</v>
      </c>
      <c t="s">
        <v>65801</v>
      </c>
      <c t="s">
        <v>17509</v>
      </c>
      <c t="s">
        <v>22777</v>
      </c>
      <c t="s">
        <v>9594</v>
      </c>
      <c s="3">
        <v>42699</v>
      </c>
      <c s="3">
        <v>42507</v>
      </c>
      <c s="3">
        <v>21694</v>
      </c>
      <c>
        <v>0</v>
      </c>
      <c s="3">
        <v>0</v>
      </c>
      <c s="3">
        <v>440.99</v>
      </c>
      <c s="3">
        <v>42699</v>
      </c>
      <c r="O4792" s="1" t="str">
        <f ca="1">HYPERLINK("https://web.datatree.com/?/property?propertyId=33878878", "https://web.datatree.com/?/property?propertyId=33878878")</f>
        <v>https://web.datatree.com/?/property?propertyId=33878878</v>
      </c>
      <c>
        <v>476</v>
      </c>
      <c t="s">
        <v>316</v>
      </c>
      <c>
        <v>0.047</v>
      </c>
      <c t="s">
        <v>54329</v>
      </c>
      <c t="s">
        <v>50331</v>
      </c>
      <c t="s">
        <v>11586</v>
      </c>
      <c r="X4792" t="s">
        <v>45753</v>
      </c>
      <c t="s">
        <v>56810</v>
      </c>
      <c t="s">
        <v>54524</v>
      </c>
      <c t="s">
        <v>39289</v>
      </c>
      <c>
        <v>33903</v>
      </c>
      <c t="s">
        <v>30020</v>
      </c>
      <c t="s">
        <v>48794</v>
      </c>
      <c t="s">
        <v>53955</v>
      </c>
      <c>
        <v>1109</v>
      </c>
      <c r="AI4792" t="s">
        <v>33881</v>
      </c>
      <c t="s">
        <v>31192</v>
      </c>
      <c r="AL4792" t="s">
        <v>45566</v>
      </c>
      <c t="s">
        <v>45566</v>
      </c>
      <c t="s">
        <v>3034</v>
      </c>
      <c t="s">
        <v>60429</v>
      </c>
      <c t="s">
        <v>38085</v>
      </c>
      <c t="s">
        <v>3093</v>
      </c>
      <c t="s">
        <v>36102</v>
      </c>
      <c>
        <v>1989</v>
      </c>
    </row>
    <row>
      <c t="s">
        <v>17594</v>
      </c>
      <c t="s">
        <v>41517</v>
      </c>
      <c t="s">
        <v>58205</v>
      </c>
      <c t="s">
        <v>16505</v>
      </c>
      <c t="s">
        <v>32083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4793" s="1" t="str">
        <f ca="1">HYPERLINK("https://web.datatree.com/?/property?propertyId=33878962", "https://web.datatree.com/?/property?propertyId=33878962")</f>
        <v>https://web.datatree.com/?/property?propertyId=33878962</v>
      </c>
      <c r="Q4793" t="s">
        <v>316</v>
      </c>
      <c>
        <v>0.23</v>
      </c>
      <c t="s">
        <v>22490</v>
      </c>
      <c r="U4793" t="s">
        <v>63496</v>
      </c>
      <c r="W4793" t="s">
        <v>58611</v>
      </c>
      <c t="s">
        <v>54934</v>
      </c>
      <c t="s">
        <v>2626</v>
      </c>
      <c t="s">
        <v>2517</v>
      </c>
      <c t="s">
        <v>39289</v>
      </c>
      <c>
        <v>33909</v>
      </c>
      <c t="s">
        <v>8921</v>
      </c>
      <c t="s">
        <v>48794</v>
      </c>
      <c t="s">
        <v>54602</v>
      </c>
      <c>
        <v>558</v>
      </c>
      <c r="AI4793" t="s">
        <v>37773</v>
      </c>
      <c t="s">
        <v>4985</v>
      </c>
      <c r="AL4793" t="s">
        <v>11428</v>
      </c>
      <c r="AN4793" t="s">
        <v>50917</v>
      </c>
      <c t="s">
        <v>48733</v>
      </c>
      <c t="s">
        <v>54916</v>
      </c>
      <c t="s">
        <v>3093</v>
      </c>
      <c t="s">
        <v>12858</v>
      </c>
    </row>
    <row>
      <c t="s">
        <v>17594</v>
      </c>
      <c t="s">
        <v>29979</v>
      </c>
      <c t="s">
        <v>53014</v>
      </c>
      <c t="s">
        <v>42293</v>
      </c>
      <c t="s">
        <v>54088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>
        <v>2019</v>
      </c>
      <c>
        <v>2758.85</v>
      </c>
      <c s="1" t="str">
        <f ca="1">HYPERLINK("https://web.datatree.com/?/property?propertyId=33878994", "https://web.datatree.com/?/property?propertyId=33878994")</f>
        <v>https://web.datatree.com/?/property?propertyId=33878994</v>
      </c>
      <c r="Q4794" t="s">
        <v>316</v>
      </c>
      <c>
        <v>0.23</v>
      </c>
      <c t="s">
        <v>6175</v>
      </c>
      <c t="s">
        <v>39139</v>
      </c>
      <c t="s">
        <v>60087</v>
      </c>
      <c t="s">
        <v>48649</v>
      </c>
      <c t="s">
        <v>24089</v>
      </c>
      <c t="s">
        <v>35447</v>
      </c>
      <c t="s">
        <v>34136</v>
      </c>
      <c t="s">
        <v>2517</v>
      </c>
      <c t="s">
        <v>39289</v>
      </c>
      <c>
        <v>33909</v>
      </c>
      <c t="s">
        <v>6838</v>
      </c>
      <c t="s">
        <v>48794</v>
      </c>
      <c t="s">
        <v>54539</v>
      </c>
      <c>
        <v>622</v>
      </c>
      <c r="AI4794" t="s">
        <v>40256</v>
      </c>
      <c t="s">
        <v>45393</v>
      </c>
      <c t="s">
        <v>45914</v>
      </c>
      <c t="s">
        <v>13397</v>
      </c>
      <c r="AN4794" t="s">
        <v>50917</v>
      </c>
      <c t="s">
        <v>22537</v>
      </c>
      <c t="s">
        <v>51114</v>
      </c>
      <c t="s">
        <v>3093</v>
      </c>
      <c t="s">
        <v>27627</v>
      </c>
    </row>
    <row>
      <c t="s">
        <v>42103</v>
      </c>
      <c t="s">
        <v>12090</v>
      </c>
      <c t="s">
        <v>60822</v>
      </c>
      <c t="s">
        <v>47564</v>
      </c>
      <c t="s">
        <v>63725</v>
      </c>
      <c s="3">
        <v>215878</v>
      </c>
      <c s="3">
        <v>215878</v>
      </c>
      <c s="3">
        <v>97601</v>
      </c>
      <c>
        <v>0</v>
      </c>
      <c s="3">
        <v>0</v>
      </c>
      <c s="3">
        <v>2241.05</v>
      </c>
      <c s="3">
        <v>215878</v>
      </c>
      <c r="O4795" s="1" t="str">
        <f ca="1">HYPERLINK("https://web.datatree.com/?/property?propertyId=33879086", "https://web.datatree.com/?/property?propertyId=33879086")</f>
        <v>https://web.datatree.com/?/property?propertyId=33879086</v>
      </c>
      <c r="Q4795" t="s">
        <v>316</v>
      </c>
      <c>
        <v>4.77</v>
      </c>
      <c t="s">
        <v>30497</v>
      </c>
      <c r="U4795" t="s">
        <v>21007</v>
      </c>
      <c r="W4795" t="s">
        <v>61295</v>
      </c>
      <c t="s">
        <v>3226</v>
      </c>
      <c t="s">
        <v>48415</v>
      </c>
      <c t="s">
        <v>65059</v>
      </c>
      <c t="s">
        <v>39289</v>
      </c>
      <c>
        <v>33905</v>
      </c>
      <c t="s">
        <v>39445</v>
      </c>
      <c t="s">
        <v>48794</v>
      </c>
      <c t="s">
        <v>59721</v>
      </c>
      <c r="AI4795" t="s">
        <v>62819</v>
      </c>
      <c r="AL4795" t="s">
        <v>60491</v>
      </c>
      <c r="AN4795" t="s">
        <v>17134</v>
      </c>
      <c>
        <v>45673</v>
      </c>
      <c t="s">
        <v>61509</v>
      </c>
      <c t="s">
        <v>3093</v>
      </c>
      <c t="s">
        <v>58731</v>
      </c>
    </row>
    <row>
      <c t="s">
        <v>17594</v>
      </c>
      <c t="s">
        <v>22338</v>
      </c>
      <c t="s">
        <v>65781</v>
      </c>
      <c t="s">
        <v>48081</v>
      </c>
      <c t="s">
        <v>44462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4796" s="1" t="str">
        <f ca="1">HYPERLINK("https://web.datatree.com/?/property?propertyId=33879439", "https://web.datatree.com/?/property?propertyId=33879439")</f>
        <v>https://web.datatree.com/?/property?propertyId=33879439</v>
      </c>
      <c r="Q4796" t="s">
        <v>316</v>
      </c>
      <c>
        <v>0.241</v>
      </c>
      <c t="s">
        <v>6175</v>
      </c>
      <c t="s">
        <v>40553</v>
      </c>
      <c t="s">
        <v>8504</v>
      </c>
      <c r="X4796" t="s">
        <v>65234</v>
      </c>
      <c t="s">
        <v>29190</v>
      </c>
      <c t="s">
        <v>2517</v>
      </c>
      <c t="s">
        <v>39289</v>
      </c>
      <c>
        <v>33909</v>
      </c>
      <c t="s">
        <v>39789</v>
      </c>
      <c t="s">
        <v>48794</v>
      </c>
      <c t="s">
        <v>11776</v>
      </c>
      <c>
        <v>7924</v>
      </c>
      <c r="AI4796" t="s">
        <v>57283</v>
      </c>
      <c t="s">
        <v>1289</v>
      </c>
      <c r="AL4796" t="s">
        <v>6605</v>
      </c>
      <c r="AN4796" t="s">
        <v>51137</v>
      </c>
      <c t="s">
        <v>56594</v>
      </c>
      <c t="s">
        <v>44428</v>
      </c>
      <c t="s">
        <v>3093</v>
      </c>
      <c t="s">
        <v>37923</v>
      </c>
    </row>
    <row>
      <c t="s">
        <v>17594</v>
      </c>
      <c t="s">
        <v>47367</v>
      </c>
      <c t="s">
        <v>64872</v>
      </c>
      <c t="s">
        <v>32774</v>
      </c>
      <c t="s">
        <v>15527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797" s="1" t="str">
        <f ca="1">HYPERLINK("https://web.datatree.com/?/property?propertyId=33879799", "https://web.datatree.com/?/property?propertyId=33879799")</f>
        <v>https://web.datatree.com/?/property?propertyId=33879799</v>
      </c>
      <c r="Q4797" t="s">
        <v>316</v>
      </c>
      <c>
        <v>0.23</v>
      </c>
      <c t="s">
        <v>6175</v>
      </c>
      <c t="s">
        <v>2140</v>
      </c>
      <c t="s">
        <v>43850</v>
      </c>
      <c r="X4797" t="s">
        <v>20084</v>
      </c>
      <c t="s">
        <v>25017</v>
      </c>
      <c t="s">
        <v>2517</v>
      </c>
      <c t="s">
        <v>39289</v>
      </c>
      <c>
        <v>33909</v>
      </c>
      <c t="s">
        <v>55027</v>
      </c>
      <c t="s">
        <v>48794</v>
      </c>
      <c t="s">
        <v>8751</v>
      </c>
      <c>
        <v>240</v>
      </c>
      <c r="AI4797" t="s">
        <v>57278</v>
      </c>
      <c t="s">
        <v>24900</v>
      </c>
      <c r="AL4797" t="s">
        <v>47753</v>
      </c>
      <c r="AN4797" t="s">
        <v>26016</v>
      </c>
      <c t="s">
        <v>11172</v>
      </c>
      <c t="s">
        <v>65563</v>
      </c>
      <c t="s">
        <v>3093</v>
      </c>
      <c t="s">
        <v>51552</v>
      </c>
    </row>
    <row>
      <c t="s">
        <v>17594</v>
      </c>
      <c t="s">
        <v>52797</v>
      </c>
      <c t="s">
        <v>3705</v>
      </c>
      <c t="s">
        <v>21057</v>
      </c>
      <c t="s">
        <v>56026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798" s="1" t="str">
        <f ca="1">HYPERLINK("https://web.datatree.com/?/property?propertyId=33879813", "https://web.datatree.com/?/property?propertyId=33879813")</f>
        <v>https://web.datatree.com/?/property?propertyId=33879813</v>
      </c>
      <c r="Q4798" t="s">
        <v>316</v>
      </c>
      <c>
        <v>0.23</v>
      </c>
      <c t="s">
        <v>6175</v>
      </c>
      <c t="s">
        <v>58380</v>
      </c>
      <c t="s">
        <v>10875</v>
      </c>
      <c t="s">
        <v>54961</v>
      </c>
      <c t="s">
        <v>3597</v>
      </c>
      <c t="s">
        <v>23369</v>
      </c>
      <c t="s">
        <v>49122</v>
      </c>
      <c t="s">
        <v>2517</v>
      </c>
      <c t="s">
        <v>39289</v>
      </c>
      <c>
        <v>33909</v>
      </c>
      <c t="s">
        <v>22369</v>
      </c>
      <c t="s">
        <v>48794</v>
      </c>
      <c t="s">
        <v>51375</v>
      </c>
      <c>
        <v>24</v>
      </c>
      <c r="AI4798" t="s">
        <v>65129</v>
      </c>
      <c t="s">
        <v>45393</v>
      </c>
      <c r="AL4798" t="s">
        <v>60998</v>
      </c>
      <c t="s">
        <v>60998</v>
      </c>
      <c t="s">
        <v>26016</v>
      </c>
      <c t="s">
        <v>11073</v>
      </c>
      <c t="s">
        <v>66620</v>
      </c>
      <c t="s">
        <v>3093</v>
      </c>
      <c t="s">
        <v>25552</v>
      </c>
    </row>
    <row>
      <c t="s">
        <v>17594</v>
      </c>
      <c t="s">
        <v>7046</v>
      </c>
      <c t="s">
        <v>25900</v>
      </c>
      <c t="s">
        <v>48523</v>
      </c>
      <c t="s">
        <v>43901</v>
      </c>
      <c s="3">
        <v>40248</v>
      </c>
      <c s="3">
        <v>40248</v>
      </c>
      <c s="3">
        <v>28551</v>
      </c>
      <c>
        <v>0</v>
      </c>
      <c s="3">
        <v>0</v>
      </c>
      <c s="3">
        <v>460.06</v>
      </c>
      <c s="3">
        <v>40248</v>
      </c>
      <c r="O4799" s="1" t="str">
        <f ca="1">HYPERLINK("https://web.datatree.com/?/property?propertyId=33879900", "https://web.datatree.com/?/property?propertyId=33879900")</f>
        <v>https://web.datatree.com/?/property?propertyId=33879900</v>
      </c>
      <c r="Q4799" t="s">
        <v>316</v>
      </c>
      <c>
        <v>0.043</v>
      </c>
      <c t="s">
        <v>45526</v>
      </c>
      <c t="s">
        <v>49241</v>
      </c>
      <c t="s">
        <v>40400</v>
      </c>
      <c r="X4799" t="s">
        <v>35809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40752</v>
      </c>
      <c>
        <v>3705</v>
      </c>
      <c r="AI4799" t="s">
        <v>12110</v>
      </c>
      <c t="s">
        <v>31192</v>
      </c>
      <c r="AL4799" t="s">
        <v>927</v>
      </c>
      <c t="s">
        <v>927</v>
      </c>
      <c t="s">
        <v>17134</v>
      </c>
      <c t="s">
        <v>67181</v>
      </c>
      <c t="s">
        <v>54916</v>
      </c>
      <c t="s">
        <v>3093</v>
      </c>
      <c t="s">
        <v>57411</v>
      </c>
    </row>
    <row>
      <c t="s">
        <v>17594</v>
      </c>
      <c t="s">
        <v>55015</v>
      </c>
      <c t="s">
        <v>37748</v>
      </c>
      <c t="s">
        <v>48604</v>
      </c>
      <c t="s">
        <v>6097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4800" s="1" t="str">
        <f ca="1">HYPERLINK("https://web.datatree.com/?/property?propertyId=33881023", "https://web.datatree.com/?/property?propertyId=33881023")</f>
        <v>https://web.datatree.com/?/property?propertyId=33881023</v>
      </c>
      <c r="Q4800" t="s">
        <v>316</v>
      </c>
      <c>
        <v>0.23</v>
      </c>
      <c t="s">
        <v>22490</v>
      </c>
      <c t="s">
        <v>1995</v>
      </c>
      <c t="s">
        <v>63546</v>
      </c>
      <c r="X4800" t="s">
        <v>24493</v>
      </c>
      <c t="s">
        <v>22731</v>
      </c>
      <c t="s">
        <v>2517</v>
      </c>
      <c t="s">
        <v>39289</v>
      </c>
      <c>
        <v>33909</v>
      </c>
      <c t="s">
        <v>8605</v>
      </c>
      <c t="s">
        <v>48794</v>
      </c>
      <c t="s">
        <v>66858</v>
      </c>
      <c>
        <v>5035</v>
      </c>
      <c r="AI4800" t="s">
        <v>22787</v>
      </c>
      <c t="s">
        <v>24900</v>
      </c>
      <c r="AL4800" t="s">
        <v>23972</v>
      </c>
      <c r="AN4800" t="s">
        <v>19878</v>
      </c>
      <c t="s">
        <v>8134</v>
      </c>
      <c t="s">
        <v>26416</v>
      </c>
      <c t="s">
        <v>3093</v>
      </c>
      <c t="s">
        <v>53032</v>
      </c>
    </row>
    <row>
      <c t="s">
        <v>17594</v>
      </c>
      <c t="s">
        <v>12995</v>
      </c>
      <c t="s">
        <v>39581</v>
      </c>
      <c t="s">
        <v>22944</v>
      </c>
      <c t="s">
        <v>62947</v>
      </c>
      <c s="3">
        <v>41890</v>
      </c>
      <c s="3">
        <v>41696</v>
      </c>
      <c s="3">
        <v>27698</v>
      </c>
      <c>
        <v>0</v>
      </c>
      <c s="3">
        <v>0</v>
      </c>
      <c s="3">
        <v>491.51</v>
      </c>
      <c s="3">
        <v>41890</v>
      </c>
      <c r="O4801" s="1" t="str">
        <f ca="1">HYPERLINK("https://web.datatree.com/?/property?propertyId=33881538", "https://web.datatree.com/?/property?propertyId=33881538")</f>
        <v>https://web.datatree.com/?/property?propertyId=33881538</v>
      </c>
      <c r="Q4801" t="s">
        <v>316</v>
      </c>
      <c>
        <v>0.047</v>
      </c>
      <c t="s">
        <v>54329</v>
      </c>
      <c t="s">
        <v>32056</v>
      </c>
      <c t="s">
        <v>33651</v>
      </c>
      <c t="s">
        <v>11974</v>
      </c>
      <c t="s">
        <v>33651</v>
      </c>
      <c t="s">
        <v>20178</v>
      </c>
      <c t="s">
        <v>1450</v>
      </c>
      <c t="s">
        <v>54524</v>
      </c>
      <c t="s">
        <v>39289</v>
      </c>
      <c>
        <v>33903</v>
      </c>
      <c t="s">
        <v>53213</v>
      </c>
      <c t="s">
        <v>48794</v>
      </c>
      <c t="s">
        <v>33144</v>
      </c>
      <c>
        <v>1318</v>
      </c>
      <c r="AI4801" t="s">
        <v>34919</v>
      </c>
      <c t="s">
        <v>24900</v>
      </c>
      <c r="AL4801" t="s">
        <v>63634</v>
      </c>
      <c t="s">
        <v>63634</v>
      </c>
      <c t="s">
        <v>51137</v>
      </c>
      <c t="s">
        <v>62492</v>
      </c>
      <c t="s">
        <v>25140</v>
      </c>
      <c t="s">
        <v>3093</v>
      </c>
      <c t="s">
        <v>45169</v>
      </c>
    </row>
    <row>
      <c t="s">
        <v>17594</v>
      </c>
      <c t="s">
        <v>31311</v>
      </c>
      <c t="s">
        <v>20463</v>
      </c>
      <c t="s">
        <v>64045</v>
      </c>
      <c t="s">
        <v>53814</v>
      </c>
      <c s="3">
        <v>7500</v>
      </c>
      <c s="3">
        <v>7500</v>
      </c>
      <c s="3">
        <v>7500</v>
      </c>
      <c>
        <v>0</v>
      </c>
      <c s="3">
        <v>0</v>
      </c>
      <c s="3">
        <v>543.05</v>
      </c>
      <c s="3">
        <v>7500</v>
      </c>
      <c r="O4802" s="1" t="str">
        <f ca="1">HYPERLINK("https://web.datatree.com/?/property?propertyId=33882123", "https://web.datatree.com/?/property?propertyId=33882123")</f>
        <v>https://web.datatree.com/?/property?propertyId=33882123</v>
      </c>
      <c r="Q4802" t="s">
        <v>316</v>
      </c>
      <c>
        <v>0.244</v>
      </c>
      <c t="s">
        <v>6175</v>
      </c>
      <c t="s">
        <v>44319</v>
      </c>
      <c t="s">
        <v>47932</v>
      </c>
      <c t="s">
        <v>56849</v>
      </c>
      <c t="s">
        <v>47932</v>
      </c>
      <c t="s">
        <v>56164</v>
      </c>
      <c t="s">
        <v>33179</v>
      </c>
      <c t="s">
        <v>2517</v>
      </c>
      <c t="s">
        <v>39289</v>
      </c>
      <c>
        <v>33909</v>
      </c>
      <c t="s">
        <v>27349</v>
      </c>
      <c t="s">
        <v>48794</v>
      </c>
      <c t="s">
        <v>35897</v>
      </c>
      <c>
        <v>1300</v>
      </c>
      <c r="AI4802" t="s">
        <v>14771</v>
      </c>
      <c t="s">
        <v>39321</v>
      </c>
      <c r="AL4802" t="s">
        <v>23828</v>
      </c>
      <c t="s">
        <v>23828</v>
      </c>
      <c t="s">
        <v>39289</v>
      </c>
      <c t="s">
        <v>45915</v>
      </c>
      <c t="s">
        <v>26242</v>
      </c>
      <c t="s">
        <v>3093</v>
      </c>
      <c t="s">
        <v>36670</v>
      </c>
    </row>
    <row>
      <c t="s">
        <v>17594</v>
      </c>
      <c t="s">
        <v>27754</v>
      </c>
      <c t="s">
        <v>9647</v>
      </c>
      <c t="s">
        <v>34890</v>
      </c>
      <c t="s">
        <v>27433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517.64</v>
      </c>
      <c s="1" t="str">
        <f ca="1">HYPERLINK("https://web.datatree.com/?/property?propertyId=33882895", "https://web.datatree.com/?/property?propertyId=33882895")</f>
        <v>https://web.datatree.com/?/property?propertyId=33882895</v>
      </c>
      <c r="Q4803" t="s">
        <v>316</v>
      </c>
      <c>
        <v>0.23</v>
      </c>
      <c t="s">
        <v>6175</v>
      </c>
      <c t="s">
        <v>7972</v>
      </c>
      <c t="s">
        <v>2188</v>
      </c>
      <c r="X4803" t="s">
        <v>22854</v>
      </c>
      <c t="s">
        <v>18679</v>
      </c>
      <c t="s">
        <v>2517</v>
      </c>
      <c t="s">
        <v>39289</v>
      </c>
      <c>
        <v>33909</v>
      </c>
      <c t="s">
        <v>43593</v>
      </c>
      <c t="s">
        <v>48794</v>
      </c>
      <c t="s">
        <v>58889</v>
      </c>
      <c>
        <v>39</v>
      </c>
      <c r="AI4803" t="s">
        <v>53871</v>
      </c>
      <c r="AL4803" t="s">
        <v>51623</v>
      </c>
      <c r="AN4803" t="s">
        <v>19878</v>
      </c>
      <c>
        <v>64928</v>
      </c>
      <c r="AR4803" t="s">
        <v>43429</v>
      </c>
    </row>
    <row>
      <c t="s">
        <v>17594</v>
      </c>
      <c t="s">
        <v>61039</v>
      </c>
      <c t="s">
        <v>6949</v>
      </c>
      <c t="s">
        <v>21341</v>
      </c>
      <c t="s">
        <v>40348</v>
      </c>
      <c s="3">
        <v>25200</v>
      </c>
      <c s="3">
        <v>25200</v>
      </c>
      <c s="3">
        <v>25200</v>
      </c>
      <c>
        <v>0</v>
      </c>
      <c s="3">
        <v>0</v>
      </c>
      <c s="3">
        <v>1303.91</v>
      </c>
      <c s="3">
        <v>25200</v>
      </c>
      <c r="O4804" s="1" t="str">
        <f ca="1">HYPERLINK("https://web.datatree.com/?/property?propertyId=33883092", "https://web.datatree.com/?/property?propertyId=33883092")</f>
        <v>https://web.datatree.com/?/property?propertyId=33883092</v>
      </c>
      <c r="Q4804" t="s">
        <v>316</v>
      </c>
      <c>
        <v>0.687</v>
      </c>
      <c t="s">
        <v>42044</v>
      </c>
      <c t="s">
        <v>43190</v>
      </c>
      <c t="s">
        <v>28448</v>
      </c>
      <c r="X4804" t="s">
        <v>58294</v>
      </c>
      <c t="s">
        <v>61865</v>
      </c>
      <c t="s">
        <v>2517</v>
      </c>
      <c t="s">
        <v>39289</v>
      </c>
      <c>
        <v>33909</v>
      </c>
      <c t="s">
        <v>17620</v>
      </c>
      <c t="s">
        <v>48794</v>
      </c>
      <c t="s">
        <v>45329</v>
      </c>
      <c>
        <v>499</v>
      </c>
      <c r="AI4804" t="s">
        <v>48326</v>
      </c>
      <c r="AK4804">
        <v>387</v>
      </c>
      <c t="s">
        <v>63199</v>
      </c>
      <c r="AN4804" t="s">
        <v>5982</v>
      </c>
      <c t="s">
        <v>32551</v>
      </c>
      <c t="s">
        <v>4480</v>
      </c>
      <c t="s">
        <v>3093</v>
      </c>
      <c t="s">
        <v>55431</v>
      </c>
    </row>
    <row>
      <c t="s">
        <v>17594</v>
      </c>
      <c t="s">
        <v>16113</v>
      </c>
      <c t="s">
        <v>52036</v>
      </c>
      <c t="s">
        <v>29996</v>
      </c>
      <c t="s">
        <v>31409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4805" s="1" t="str">
        <f ca="1">HYPERLINK("https://web.datatree.com/?/property?propertyId=33883197", "https://web.datatree.com/?/property?propertyId=33883197")</f>
        <v>https://web.datatree.com/?/property?propertyId=33883197</v>
      </c>
      <c r="Q4805" t="s">
        <v>316</v>
      </c>
      <c>
        <v>0.23</v>
      </c>
      <c t="s">
        <v>22490</v>
      </c>
      <c t="s">
        <v>42163</v>
      </c>
      <c t="s">
        <v>64686</v>
      </c>
      <c t="s">
        <v>51891</v>
      </c>
      <c t="s">
        <v>64686</v>
      </c>
      <c t="s">
        <v>51994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39108</v>
      </c>
      <c>
        <v>3805</v>
      </c>
      <c r="AI4805" t="s">
        <v>30230</v>
      </c>
      <c t="s">
        <v>45393</v>
      </c>
      <c r="AL4805" t="s">
        <v>23828</v>
      </c>
      <c t="s">
        <v>23828</v>
      </c>
      <c t="s">
        <v>39289</v>
      </c>
      <c t="s">
        <v>21447</v>
      </c>
      <c t="s">
        <v>4480</v>
      </c>
      <c t="s">
        <v>3093</v>
      </c>
      <c t="s">
        <v>7239</v>
      </c>
    </row>
    <row>
      <c t="s">
        <v>17594</v>
      </c>
      <c t="s">
        <v>35263</v>
      </c>
      <c t="s">
        <v>1321</v>
      </c>
      <c t="s">
        <v>3109</v>
      </c>
      <c t="s">
        <v>32861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4806" s="1" t="str">
        <f ca="1">HYPERLINK("https://web.datatree.com/?/property?propertyId=33883378", "https://web.datatree.com/?/property?propertyId=33883378")</f>
        <v>https://web.datatree.com/?/property?propertyId=33883378</v>
      </c>
      <c r="Q4806" t="s">
        <v>316</v>
      </c>
      <c>
        <v>0.23</v>
      </c>
      <c t="s">
        <v>6175</v>
      </c>
      <c r="U4806" t="s">
        <v>855</v>
      </c>
      <c t="s">
        <v>1635</v>
      </c>
      <c t="s">
        <v>58099</v>
      </c>
      <c t="s">
        <v>60779</v>
      </c>
      <c t="s">
        <v>30928</v>
      </c>
      <c t="s">
        <v>2517</v>
      </c>
      <c t="s">
        <v>39289</v>
      </c>
      <c>
        <v>33909</v>
      </c>
      <c t="s">
        <v>46890</v>
      </c>
      <c t="s">
        <v>48794</v>
      </c>
      <c t="s">
        <v>59144</v>
      </c>
      <c>
        <v>6900</v>
      </c>
      <c r="AI4806" t="s">
        <v>42233</v>
      </c>
      <c t="s">
        <v>31192</v>
      </c>
      <c>
        <v>603</v>
      </c>
      <c t="s">
        <v>38297</v>
      </c>
      <c r="AN4806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28720</v>
      </c>
      <c t="s">
        <v>27599</v>
      </c>
      <c t="s">
        <v>19864</v>
      </c>
      <c t="s">
        <v>494</v>
      </c>
      <c s="3">
        <v>54000</v>
      </c>
      <c s="3">
        <v>54000</v>
      </c>
      <c s="3">
        <v>9902</v>
      </c>
      <c>
        <v>0</v>
      </c>
      <c s="3">
        <v>0</v>
      </c>
      <c s="3">
        <v>1652.5</v>
      </c>
      <c s="3">
        <v>54000</v>
      </c>
      <c r="O4807" s="1" t="str">
        <f ca="1">HYPERLINK("https://web.datatree.com/?/property?propertyId=33883445", "https://web.datatree.com/?/property?propertyId=33883445")</f>
        <v>https://web.datatree.com/?/property?propertyId=33883445</v>
      </c>
      <c r="Q4807" t="s">
        <v>316</v>
      </c>
      <c>
        <v>0.244</v>
      </c>
      <c t="s">
        <v>6175</v>
      </c>
      <c t="s">
        <v>33698</v>
      </c>
      <c t="s">
        <v>45483</v>
      </c>
      <c r="X4807" t="s">
        <v>245</v>
      </c>
      <c t="s">
        <v>20024</v>
      </c>
      <c t="s">
        <v>2517</v>
      </c>
      <c t="s">
        <v>39289</v>
      </c>
      <c>
        <v>33909</v>
      </c>
      <c t="s">
        <v>10282</v>
      </c>
      <c t="s">
        <v>48794</v>
      </c>
      <c t="s">
        <v>22506</v>
      </c>
      <c>
        <v>103</v>
      </c>
      <c r="AI4807" t="s">
        <v>63058</v>
      </c>
      <c t="s">
        <v>45620</v>
      </c>
      <c>
        <v>2</v>
      </c>
      <c t="s">
        <v>5040</v>
      </c>
      <c r="AN4807" t="s">
        <v>14509</v>
      </c>
      <c t="s">
        <v>26748</v>
      </c>
      <c t="s">
        <v>16126</v>
      </c>
      <c t="s">
        <v>3093</v>
      </c>
      <c t="s">
        <v>37296</v>
      </c>
    </row>
    <row>
      <c t="s">
        <v>17594</v>
      </c>
      <c t="s">
        <v>28144</v>
      </c>
      <c t="s">
        <v>41377</v>
      </c>
      <c t="s">
        <v>19079</v>
      </c>
      <c t="s">
        <v>54619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808" s="1" t="str">
        <f ca="1">HYPERLINK("https://web.datatree.com/?/property?propertyId=33883603", "https://web.datatree.com/?/property?propertyId=33883603")</f>
        <v>https://web.datatree.com/?/property?propertyId=33883603</v>
      </c>
      <c r="Q4808" t="s">
        <v>316</v>
      </c>
      <c>
        <v>0.23</v>
      </c>
      <c t="s">
        <v>22490</v>
      </c>
      <c t="s">
        <v>34956</v>
      </c>
      <c t="s">
        <v>38914</v>
      </c>
      <c r="X4808" t="s">
        <v>53415</v>
      </c>
      <c t="s">
        <v>11985</v>
      </c>
      <c t="s">
        <v>2517</v>
      </c>
      <c t="s">
        <v>39289</v>
      </c>
      <c>
        <v>33909</v>
      </c>
      <c>
        <v>33909</v>
      </c>
      <c t="s">
        <v>48794</v>
      </c>
      <c t="s">
        <v>18301</v>
      </c>
      <c>
        <v>4039</v>
      </c>
      <c r="AI4808" t="s">
        <v>23115</v>
      </c>
      <c t="s">
        <v>45393</v>
      </c>
      <c r="AL4808" t="s">
        <v>34557</v>
      </c>
      <c t="s">
        <v>34557</v>
      </c>
      <c t="s">
        <v>65451</v>
      </c>
      <c t="s">
        <v>64955</v>
      </c>
      <c t="s">
        <v>26416</v>
      </c>
      <c t="s">
        <v>3093</v>
      </c>
      <c t="s">
        <v>60174</v>
      </c>
    </row>
    <row>
      <c t="s">
        <v>17594</v>
      </c>
      <c t="s">
        <v>49445</v>
      </c>
      <c t="s">
        <v>42535</v>
      </c>
      <c t="s">
        <v>52133</v>
      </c>
      <c t="s">
        <v>26958</v>
      </c>
      <c s="3">
        <v>17210</v>
      </c>
      <c s="3">
        <v>17210</v>
      </c>
      <c s="3">
        <v>9075</v>
      </c>
      <c>
        <v>0</v>
      </c>
      <c s="3">
        <v>0</v>
      </c>
      <c s="3">
        <v>557.94</v>
      </c>
      <c s="3">
        <v>17210</v>
      </c>
      <c>
        <v>2019</v>
      </c>
      <c>
        <v>3960.28</v>
      </c>
      <c s="1" t="str">
        <f ca="1">HYPERLINK("https://web.datatree.com/?/property?propertyId=33883729", "https://web.datatree.com/?/property?propertyId=33883729")</f>
        <v>https://web.datatree.com/?/property?propertyId=33883729</v>
      </c>
      <c r="Q4809" t="s">
        <v>316</v>
      </c>
      <c>
        <v>0.244</v>
      </c>
      <c t="s">
        <v>6175</v>
      </c>
      <c t="s">
        <v>48755</v>
      </c>
      <c t="s">
        <v>31611</v>
      </c>
      <c r="X4809" t="s">
        <v>18783</v>
      </c>
      <c t="s">
        <v>2626</v>
      </c>
      <c t="s">
        <v>2517</v>
      </c>
      <c t="s">
        <v>39289</v>
      </c>
      <c>
        <v>33909</v>
      </c>
      <c t="s">
        <v>27140</v>
      </c>
      <c t="s">
        <v>48794</v>
      </c>
      <c t="s">
        <v>36312</v>
      </c>
      <c>
        <v>805</v>
      </c>
      <c r="AI4809" t="s">
        <v>65944</v>
      </c>
      <c t="s">
        <v>45393</v>
      </c>
      <c r="AL4809" t="s">
        <v>1653</v>
      </c>
      <c r="AN4809" t="s">
        <v>22275</v>
      </c>
      <c t="s">
        <v>295</v>
      </c>
      <c t="s">
        <v>34162</v>
      </c>
      <c t="s">
        <v>3093</v>
      </c>
      <c t="s">
        <v>3090</v>
      </c>
    </row>
    <row>
      <c t="s">
        <v>17594</v>
      </c>
      <c t="s">
        <v>29093</v>
      </c>
      <c t="s">
        <v>39537</v>
      </c>
      <c t="s">
        <v>7355</v>
      </c>
      <c t="s">
        <v>32042</v>
      </c>
      <c s="3">
        <v>74574</v>
      </c>
      <c s="3">
        <v>63500</v>
      </c>
      <c s="3">
        <v>73027</v>
      </c>
      <c>
        <v>0</v>
      </c>
      <c s="3">
        <v>0</v>
      </c>
      <c s="3">
        <v>1106.82</v>
      </c>
      <c s="3">
        <v>74574</v>
      </c>
      <c r="O4810" s="1" t="str">
        <f ca="1">HYPERLINK("https://web.datatree.com/?/property?propertyId=33884622", "https://web.datatree.com/?/property?propertyId=33884622")</f>
        <v>https://web.datatree.com/?/property?propertyId=33884622</v>
      </c>
      <c r="Q4810" t="s">
        <v>316</v>
      </c>
      <c>
        <v>0.095</v>
      </c>
      <c t="s">
        <v>26492</v>
      </c>
      <c t="s">
        <v>3293</v>
      </c>
      <c t="s">
        <v>25282</v>
      </c>
      <c t="s">
        <v>43826</v>
      </c>
      <c t="s">
        <v>25282</v>
      </c>
      <c t="s">
        <v>2395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34192</v>
      </c>
      <c>
        <v>9049</v>
      </c>
      <c r="AI4810" t="s">
        <v>50629</v>
      </c>
      <c t="s">
        <v>45620</v>
      </c>
      <c r="AL4810" t="s">
        <v>12170</v>
      </c>
      <c t="s">
        <v>40227</v>
      </c>
      <c t="s">
        <v>51137</v>
      </c>
      <c t="s">
        <v>37459</v>
      </c>
      <c t="s">
        <v>5811</v>
      </c>
      <c t="s">
        <v>3093</v>
      </c>
      <c t="s">
        <v>43602</v>
      </c>
    </row>
    <row>
      <c t="s">
        <v>17594</v>
      </c>
      <c t="s">
        <v>41109</v>
      </c>
      <c t="s">
        <v>43021</v>
      </c>
      <c t="s">
        <v>3951</v>
      </c>
      <c t="s">
        <v>34570</v>
      </c>
      <c s="3">
        <v>7500</v>
      </c>
      <c s="3">
        <v>7500</v>
      </c>
      <c s="3">
        <v>7500</v>
      </c>
      <c>
        <v>0</v>
      </c>
      <c s="3">
        <v>0</v>
      </c>
      <c s="3">
        <v>676.07</v>
      </c>
      <c s="3">
        <v>7500</v>
      </c>
      <c r="O4811" s="1" t="str">
        <f ca="1">HYPERLINK("https://web.datatree.com/?/property?propertyId=33884861", "https://web.datatree.com/?/property?propertyId=33884861")</f>
        <v>https://web.datatree.com/?/property?propertyId=33884861</v>
      </c>
      <c r="Q4811" t="s">
        <v>316</v>
      </c>
      <c>
        <v>0.23</v>
      </c>
      <c t="s">
        <v>6175</v>
      </c>
      <c t="s">
        <v>62098</v>
      </c>
      <c t="s">
        <v>49095</v>
      </c>
      <c t="s">
        <v>60671</v>
      </c>
      <c t="s">
        <v>49095</v>
      </c>
      <c t="s">
        <v>42295</v>
      </c>
      <c t="s">
        <v>39777</v>
      </c>
      <c t="s">
        <v>2517</v>
      </c>
      <c t="s">
        <v>39289</v>
      </c>
      <c>
        <v>33909</v>
      </c>
      <c t="s">
        <v>889</v>
      </c>
      <c t="s">
        <v>48794</v>
      </c>
      <c t="s">
        <v>57371</v>
      </c>
      <c>
        <v>515</v>
      </c>
      <c r="AI4811" t="s">
        <v>9120</v>
      </c>
      <c t="s">
        <v>45620</v>
      </c>
      <c r="AL4811" t="s">
        <v>59059</v>
      </c>
      <c r="AN4811" t="s">
        <v>50917</v>
      </c>
      <c t="s">
        <v>41827</v>
      </c>
      <c t="s">
        <v>38085</v>
      </c>
      <c t="s">
        <v>3093</v>
      </c>
      <c t="s">
        <v>25129</v>
      </c>
    </row>
    <row>
      <c t="s">
        <v>17594</v>
      </c>
      <c t="s">
        <v>20728</v>
      </c>
      <c t="s">
        <v>7885</v>
      </c>
      <c t="s">
        <v>47589</v>
      </c>
      <c t="s">
        <v>51185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812" s="1" t="str">
        <f ca="1">HYPERLINK("https://web.datatree.com/?/property?propertyId=33885651", "https://web.datatree.com/?/property?propertyId=33885651")</f>
        <v>https://web.datatree.com/?/property?propertyId=33885651</v>
      </c>
      <c r="Q4812" t="s">
        <v>316</v>
      </c>
      <c>
        <v>0.232</v>
      </c>
      <c t="s">
        <v>22490</v>
      </c>
      <c t="s">
        <v>981</v>
      </c>
      <c t="s">
        <v>63913</v>
      </c>
      <c r="X4812" t="s">
        <v>41322</v>
      </c>
      <c t="s">
        <v>22731</v>
      </c>
      <c t="s">
        <v>2517</v>
      </c>
      <c t="s">
        <v>39289</v>
      </c>
      <c>
        <v>33909</v>
      </c>
      <c t="s">
        <v>43284</v>
      </c>
      <c t="s">
        <v>48794</v>
      </c>
      <c t="s">
        <v>41378</v>
      </c>
      <c>
        <v>7</v>
      </c>
      <c r="AI4812" t="s">
        <v>17381</v>
      </c>
      <c r="AL4812" t="s">
        <v>27193</v>
      </c>
      <c r="AN4812" t="s">
        <v>32840</v>
      </c>
      <c r="AR4812" t="s">
        <v>11611</v>
      </c>
    </row>
    <row>
      <c t="s">
        <v>17594</v>
      </c>
      <c t="s">
        <v>42359</v>
      </c>
      <c t="s">
        <v>2111</v>
      </c>
      <c t="s">
        <v>63703</v>
      </c>
      <c t="s">
        <v>12278</v>
      </c>
      <c s="3">
        <v>31592</v>
      </c>
      <c s="3">
        <v>31592</v>
      </c>
      <c s="3">
        <v>11858</v>
      </c>
      <c>
        <v>0</v>
      </c>
      <c s="3">
        <v>0</v>
      </c>
      <c s="3">
        <v>2953.84</v>
      </c>
      <c s="3">
        <v>31592</v>
      </c>
      <c r="O4813" s="1" t="str">
        <f ca="1">HYPERLINK("https://web.datatree.com/?/property?propertyId=33885871", "https://web.datatree.com/?/property?propertyId=33885871")</f>
        <v>https://web.datatree.com/?/property?propertyId=33885871</v>
      </c>
      <c r="Q4813" t="s">
        <v>316</v>
      </c>
      <c>
        <v>0.235</v>
      </c>
      <c t="s">
        <v>22490</v>
      </c>
      <c t="s">
        <v>22816</v>
      </c>
      <c t="s">
        <v>25845</v>
      </c>
      <c t="s">
        <v>25845</v>
      </c>
      <c t="s">
        <v>28989</v>
      </c>
      <c t="s">
        <v>66717</v>
      </c>
      <c t="s">
        <v>2626</v>
      </c>
      <c t="s">
        <v>2517</v>
      </c>
      <c t="s">
        <v>39289</v>
      </c>
      <c>
        <v>33909</v>
      </c>
      <c t="s">
        <v>38819</v>
      </c>
      <c t="s">
        <v>48794</v>
      </c>
      <c t="s">
        <v>21759</v>
      </c>
      <c r="AI4813" t="s">
        <v>40486</v>
      </c>
      <c r="AK4813" t="s">
        <v>59976</v>
      </c>
      <c t="s">
        <v>45020</v>
      </c>
      <c r="AN4813" t="s">
        <v>14798</v>
      </c>
      <c r="AR4813" t="s">
        <v>21123</v>
      </c>
    </row>
    <row>
      <c t="s">
        <v>17594</v>
      </c>
      <c t="s">
        <v>36284</v>
      </c>
      <c t="s">
        <v>35382</v>
      </c>
      <c t="s">
        <v>57645</v>
      </c>
      <c t="s">
        <v>33232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>
        <v>2021</v>
      </c>
      <c>
        <v>310.25</v>
      </c>
      <c s="1" t="str">
        <f ca="1">HYPERLINK("https://web.datatree.com/?/property?propertyId=33886100", "https://web.datatree.com/?/property?propertyId=33886100")</f>
        <v>https://web.datatree.com/?/property?propertyId=33886100</v>
      </c>
      <c r="Q4814" t="s">
        <v>316</v>
      </c>
      <c>
        <v>0.231</v>
      </c>
      <c t="s">
        <v>5471</v>
      </c>
      <c t="s">
        <v>552</v>
      </c>
      <c t="s">
        <v>56661</v>
      </c>
      <c t="s">
        <v>54428</v>
      </c>
      <c t="s">
        <v>22203</v>
      </c>
      <c t="s">
        <v>16813</v>
      </c>
      <c t="s">
        <v>58657</v>
      </c>
      <c t="s">
        <v>65059</v>
      </c>
      <c t="s">
        <v>39289</v>
      </c>
      <c>
        <v>33905</v>
      </c>
      <c t="s">
        <v>57179</v>
      </c>
      <c t="s">
        <v>48794</v>
      </c>
      <c t="s">
        <v>12121</v>
      </c>
      <c>
        <v>1192</v>
      </c>
      <c r="AH4814" t="s">
        <v>26580</v>
      </c>
      <c t="s">
        <v>2474</v>
      </c>
      <c t="s">
        <v>45393</v>
      </c>
      <c r="AL4814" t="s">
        <v>30451</v>
      </c>
      <c r="AN4814" t="s">
        <v>10909</v>
      </c>
      <c t="s">
        <v>27715</v>
      </c>
      <c r="AQ4814" t="s">
        <v>27814</v>
      </c>
      <c t="s">
        <v>12838</v>
      </c>
    </row>
    <row>
      <c t="s">
        <v>17594</v>
      </c>
      <c t="s">
        <v>44465</v>
      </c>
      <c t="s">
        <v>65726</v>
      </c>
      <c t="s">
        <v>11687</v>
      </c>
      <c t="s">
        <v>4793</v>
      </c>
      <c s="3">
        <v>49440</v>
      </c>
      <c s="3">
        <v>49440</v>
      </c>
      <c s="3">
        <v>26400</v>
      </c>
      <c>
        <v>0</v>
      </c>
      <c s="3">
        <v>0</v>
      </c>
      <c s="3">
        <v>838.72</v>
      </c>
      <c s="3">
        <v>49440</v>
      </c>
      <c r="O4815" s="1" t="str">
        <f ca="1">HYPERLINK("https://web.datatree.com/?/property?propertyId=33886375", "https://web.datatree.com/?/property?propertyId=33886375")</f>
        <v>https://web.datatree.com/?/property?propertyId=33886375</v>
      </c>
      <c r="Q4815" t="s">
        <v>316</v>
      </c>
      <c>
        <v>0.23</v>
      </c>
      <c t="s">
        <v>6175</v>
      </c>
      <c r="U4815" t="s">
        <v>16016</v>
      </c>
      <c r="W4815" t="s">
        <v>40753</v>
      </c>
      <c t="s">
        <v>54700</v>
      </c>
      <c t="s">
        <v>66701</v>
      </c>
      <c t="s">
        <v>2517</v>
      </c>
      <c t="s">
        <v>39289</v>
      </c>
      <c>
        <v>33904</v>
      </c>
      <c t="s">
        <v>39132</v>
      </c>
      <c t="s">
        <v>48794</v>
      </c>
      <c t="s">
        <v>16325</v>
      </c>
      <c>
        <v>550</v>
      </c>
      <c r="AI4815" t="s">
        <v>43141</v>
      </c>
      <c t="s">
        <v>4985</v>
      </c>
      <c>
        <v>510</v>
      </c>
      <c t="s">
        <v>46797</v>
      </c>
      <c t="s">
        <v>46797</v>
      </c>
      <c t="s">
        <v>39289</v>
      </c>
      <c t="s">
        <v>62889</v>
      </c>
      <c t="s">
        <v>33275</v>
      </c>
      <c t="s">
        <v>3093</v>
      </c>
      <c t="s">
        <v>22580</v>
      </c>
    </row>
    <row>
      <c t="s">
        <v>17594</v>
      </c>
      <c t="s">
        <v>22535</v>
      </c>
      <c t="s">
        <v>46246</v>
      </c>
      <c t="s">
        <v>56569</v>
      </c>
      <c t="s">
        <v>27442</v>
      </c>
      <c s="3">
        <v>54000</v>
      </c>
      <c s="3">
        <v>54000</v>
      </c>
      <c s="3">
        <v>26620</v>
      </c>
      <c>
        <v>0</v>
      </c>
      <c s="3">
        <v>0</v>
      </c>
      <c s="3">
        <v>918.98</v>
      </c>
      <c s="3">
        <v>54000</v>
      </c>
      <c r="O4816" s="1" t="str">
        <f ca="1">HYPERLINK("https://web.datatree.com/?/property?propertyId=33886450", "https://web.datatree.com/?/property?propertyId=33886450")</f>
        <v>https://web.datatree.com/?/property?propertyId=33886450</v>
      </c>
      <c r="Q4816" t="s">
        <v>316</v>
      </c>
      <c>
        <v>0.233</v>
      </c>
      <c t="s">
        <v>6175</v>
      </c>
      <c r="U4816" t="s">
        <v>45489</v>
      </c>
      <c r="W4816" t="s">
        <v>39491</v>
      </c>
      <c t="s">
        <v>41077</v>
      </c>
      <c t="s">
        <v>61865</v>
      </c>
      <c t="s">
        <v>2517</v>
      </c>
      <c t="s">
        <v>39289</v>
      </c>
      <c>
        <v>33909</v>
      </c>
      <c t="s">
        <v>55468</v>
      </c>
      <c t="s">
        <v>48794</v>
      </c>
      <c t="s">
        <v>50423</v>
      </c>
      <c>
        <v>407</v>
      </c>
      <c r="AI4816" t="s">
        <v>8305</v>
      </c>
      <c t="s">
        <v>31192</v>
      </c>
      <c r="AL4816" t="s">
        <v>23116</v>
      </c>
      <c t="s">
        <v>23116</v>
      </c>
      <c t="s">
        <v>50917</v>
      </c>
      <c t="s">
        <v>41633</v>
      </c>
      <c t="s">
        <v>44843</v>
      </c>
      <c t="s">
        <v>3093</v>
      </c>
      <c t="s">
        <v>12139</v>
      </c>
    </row>
    <row>
      <c t="s">
        <v>17594</v>
      </c>
      <c t="s">
        <v>36888</v>
      </c>
      <c t="s">
        <v>63453</v>
      </c>
      <c t="s">
        <v>27063</v>
      </c>
      <c t="s">
        <v>21934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4817" s="1" t="str">
        <f ca="1">HYPERLINK("https://web.datatree.com/?/property?propertyId=33886717", "https://web.datatree.com/?/property?propertyId=33886717")</f>
        <v>https://web.datatree.com/?/property?propertyId=33886717</v>
      </c>
      <c r="Q4817" t="s">
        <v>316</v>
      </c>
      <c>
        <v>0.23</v>
      </c>
      <c t="s">
        <v>6175</v>
      </c>
      <c r="U4817" t="s">
        <v>32931</v>
      </c>
      <c r="W4817" t="s">
        <v>53669</v>
      </c>
      <c t="s">
        <v>39292</v>
      </c>
      <c t="s">
        <v>14917</v>
      </c>
      <c t="s">
        <v>2517</v>
      </c>
      <c t="s">
        <v>39289</v>
      </c>
      <c>
        <v>33909</v>
      </c>
      <c t="s">
        <v>2660</v>
      </c>
      <c t="s">
        <v>48794</v>
      </c>
      <c t="s">
        <v>15086</v>
      </c>
      <c>
        <v>16530</v>
      </c>
      <c r="AI4817" t="s">
        <v>49313</v>
      </c>
      <c t="s">
        <v>45393</v>
      </c>
      <c r="AL4817" t="s">
        <v>59430</v>
      </c>
      <c r="AN4817" t="s">
        <v>65451</v>
      </c>
      <c t="s">
        <v>58243</v>
      </c>
      <c t="s">
        <v>48506</v>
      </c>
      <c t="s">
        <v>3093</v>
      </c>
      <c t="s">
        <v>53645</v>
      </c>
    </row>
    <row>
      <c t="s">
        <v>17594</v>
      </c>
      <c t="s">
        <v>11666</v>
      </c>
      <c t="s">
        <v>49667</v>
      </c>
      <c t="s">
        <v>53855</v>
      </c>
      <c t="s">
        <v>1028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818" s="1" t="str">
        <f ca="1">HYPERLINK("https://web.datatree.com/?/property?propertyId=33886850", "https://web.datatree.com/?/property?propertyId=33886850")</f>
        <v>https://web.datatree.com/?/property?propertyId=33886850</v>
      </c>
      <c r="Q4818" t="s">
        <v>316</v>
      </c>
      <c>
        <v>0.23</v>
      </c>
      <c t="s">
        <v>6175</v>
      </c>
      <c t="s">
        <v>42277</v>
      </c>
      <c t="s">
        <v>15551</v>
      </c>
      <c t="s">
        <v>60671</v>
      </c>
      <c t="s">
        <v>54840</v>
      </c>
      <c t="s">
        <v>5278</v>
      </c>
      <c t="s">
        <v>22731</v>
      </c>
      <c t="s">
        <v>2517</v>
      </c>
      <c t="s">
        <v>39289</v>
      </c>
      <c>
        <v>33909</v>
      </c>
      <c t="s">
        <v>24695</v>
      </c>
      <c t="s">
        <v>48794</v>
      </c>
      <c t="s">
        <v>47051</v>
      </c>
      <c>
        <v>2337</v>
      </c>
      <c r="AI4818" t="s">
        <v>55093</v>
      </c>
      <c t="s">
        <v>39321</v>
      </c>
      <c r="AL4818" t="s">
        <v>25857</v>
      </c>
      <c t="s">
        <v>25857</v>
      </c>
      <c t="s">
        <v>39289</v>
      </c>
      <c t="s">
        <v>4527</v>
      </c>
      <c t="s">
        <v>38085</v>
      </c>
      <c t="s">
        <v>3093</v>
      </c>
      <c t="s">
        <v>3288</v>
      </c>
    </row>
    <row>
      <c t="s">
        <v>17594</v>
      </c>
      <c t="s">
        <v>20684</v>
      </c>
      <c t="s">
        <v>24067</v>
      </c>
      <c t="s">
        <v>46108</v>
      </c>
      <c t="s">
        <v>31845</v>
      </c>
      <c s="3">
        <v>20472</v>
      </c>
      <c s="3">
        <v>20472</v>
      </c>
      <c s="3">
        <v>9130</v>
      </c>
      <c>
        <v>0</v>
      </c>
      <c s="3">
        <v>0</v>
      </c>
      <c s="3">
        <v>581.68</v>
      </c>
      <c s="3">
        <v>20472</v>
      </c>
      <c r="O4819" s="1" t="str">
        <f ca="1">HYPERLINK("https://web.datatree.com/?/property?propertyId=33887086", "https://web.datatree.com/?/property?propertyId=33887086")</f>
        <v>https://web.datatree.com/?/property?propertyId=33887086</v>
      </c>
      <c r="Q4819" t="s">
        <v>316</v>
      </c>
      <c>
        <v>0.229</v>
      </c>
      <c t="s">
        <v>45031</v>
      </c>
      <c r="U4819" t="s">
        <v>25861</v>
      </c>
      <c t="s">
        <v>37194</v>
      </c>
      <c t="s">
        <v>51707</v>
      </c>
      <c t="s">
        <v>57566</v>
      </c>
      <c t="s">
        <v>38550</v>
      </c>
      <c t="s">
        <v>2517</v>
      </c>
      <c t="s">
        <v>39289</v>
      </c>
      <c>
        <v>33909</v>
      </c>
      <c t="s">
        <v>64606</v>
      </c>
      <c t="s">
        <v>48794</v>
      </c>
      <c t="s">
        <v>43646</v>
      </c>
      <c>
        <v>52</v>
      </c>
      <c r="AI4819" t="s">
        <v>34869</v>
      </c>
      <c t="s">
        <v>45620</v>
      </c>
      <c r="AL4819" t="s">
        <v>28240</v>
      </c>
      <c r="AN4819" t="s">
        <v>27747</v>
      </c>
      <c t="s">
        <v>33891</v>
      </c>
      <c t="s">
        <v>3364</v>
      </c>
      <c t="s">
        <v>3093</v>
      </c>
      <c t="s">
        <v>13802</v>
      </c>
    </row>
    <row>
      <c t="s">
        <v>17594</v>
      </c>
      <c t="s">
        <v>18511</v>
      </c>
      <c t="s">
        <v>55207</v>
      </c>
      <c t="s">
        <v>11259</v>
      </c>
      <c t="s">
        <v>39870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4820" s="1" t="str">
        <f ca="1">HYPERLINK("https://web.datatree.com/?/property?propertyId=33887560", "https://web.datatree.com/?/property?propertyId=33887560")</f>
        <v>https://web.datatree.com/?/property?propertyId=33887560</v>
      </c>
      <c r="Q4820" t="s">
        <v>316</v>
      </c>
      <c>
        <v>0.23</v>
      </c>
      <c t="s">
        <v>22490</v>
      </c>
      <c t="s">
        <v>54288</v>
      </c>
      <c t="s">
        <v>40102</v>
      </c>
      <c t="s">
        <v>51680</v>
      </c>
      <c t="s">
        <v>61221</v>
      </c>
      <c t="s">
        <v>30266</v>
      </c>
      <c t="s">
        <v>47150</v>
      </c>
      <c t="s">
        <v>2517</v>
      </c>
      <c t="s">
        <v>39289</v>
      </c>
      <c>
        <v>33909</v>
      </c>
      <c t="s">
        <v>16358</v>
      </c>
      <c t="s">
        <v>48794</v>
      </c>
      <c t="s">
        <v>57966</v>
      </c>
      <c>
        <v>3313</v>
      </c>
      <c r="AI4820" t="s">
        <v>25121</v>
      </c>
      <c t="s">
        <v>45620</v>
      </c>
      <c r="AL4820" t="s">
        <v>29605</v>
      </c>
      <c t="s">
        <v>29605</v>
      </c>
      <c t="s">
        <v>18236</v>
      </c>
      <c t="s">
        <v>15399</v>
      </c>
      <c t="s">
        <v>43114</v>
      </c>
      <c t="s">
        <v>3093</v>
      </c>
      <c t="s">
        <v>47861</v>
      </c>
    </row>
    <row>
      <c t="s">
        <v>17594</v>
      </c>
      <c t="s">
        <v>31832</v>
      </c>
      <c t="s">
        <v>24085</v>
      </c>
      <c t="s">
        <v>46270</v>
      </c>
      <c t="s">
        <v>4975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4821" s="1" t="str">
        <f ca="1">HYPERLINK("https://web.datatree.com/?/property?propertyId=33887735", "https://web.datatree.com/?/property?propertyId=33887735")</f>
        <v>https://web.datatree.com/?/property?propertyId=33887735</v>
      </c>
      <c r="Q4821" t="s">
        <v>316</v>
      </c>
      <c>
        <v>0.23</v>
      </c>
      <c t="s">
        <v>22490</v>
      </c>
      <c t="s">
        <v>8173</v>
      </c>
      <c t="s">
        <v>542</v>
      </c>
      <c r="X4821" t="s">
        <v>4067</v>
      </c>
      <c t="s">
        <v>49122</v>
      </c>
      <c t="s">
        <v>2517</v>
      </c>
      <c t="s">
        <v>39289</v>
      </c>
      <c>
        <v>33909</v>
      </c>
      <c t="s">
        <v>8002</v>
      </c>
      <c t="s">
        <v>48794</v>
      </c>
      <c t="s">
        <v>32023</v>
      </c>
      <c>
        <v>88</v>
      </c>
      <c r="AI4821" t="s">
        <v>25102</v>
      </c>
      <c t="s">
        <v>45393</v>
      </c>
      <c>
        <v>619</v>
      </c>
      <c t="s">
        <v>1153</v>
      </c>
      <c t="s">
        <v>1153</v>
      </c>
      <c t="s">
        <v>65451</v>
      </c>
      <c t="s">
        <v>20271</v>
      </c>
      <c t="s">
        <v>4797</v>
      </c>
      <c t="s">
        <v>3093</v>
      </c>
      <c t="s">
        <v>61686</v>
      </c>
    </row>
    <row>
      <c t="s">
        <v>17594</v>
      </c>
      <c t="s">
        <v>53371</v>
      </c>
      <c t="s">
        <v>49886</v>
      </c>
      <c t="s">
        <v>48417</v>
      </c>
      <c t="s">
        <v>21932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822" s="1" t="str">
        <f ca="1">HYPERLINK("https://web.datatree.com/?/property?propertyId=33888002", "https://web.datatree.com/?/property?propertyId=33888002")</f>
        <v>https://web.datatree.com/?/property?propertyId=33888002</v>
      </c>
      <c r="Q4822" t="s">
        <v>316</v>
      </c>
      <c>
        <v>0.23</v>
      </c>
      <c t="s">
        <v>22490</v>
      </c>
      <c t="s">
        <v>3293</v>
      </c>
      <c t="s">
        <v>42921</v>
      </c>
      <c t="s">
        <v>39781</v>
      </c>
      <c t="s">
        <v>42921</v>
      </c>
      <c t="s">
        <v>49250</v>
      </c>
      <c t="s">
        <v>39082</v>
      </c>
      <c t="s">
        <v>2517</v>
      </c>
      <c t="s">
        <v>39289</v>
      </c>
      <c>
        <v>33909</v>
      </c>
      <c t="s">
        <v>8345</v>
      </c>
      <c t="s">
        <v>48794</v>
      </c>
      <c t="s">
        <v>44599</v>
      </c>
      <c>
        <v>6152</v>
      </c>
      <c r="AI4822" t="s">
        <v>17304</v>
      </c>
      <c t="s">
        <v>40123</v>
      </c>
      <c r="AL4822" t="s">
        <v>31245</v>
      </c>
      <c t="s">
        <v>31245</v>
      </c>
      <c t="s">
        <v>65451</v>
      </c>
      <c t="s">
        <v>17874</v>
      </c>
      <c t="s">
        <v>4797</v>
      </c>
      <c t="s">
        <v>3093</v>
      </c>
      <c t="s">
        <v>56533</v>
      </c>
    </row>
    <row>
      <c t="s">
        <v>17594</v>
      </c>
      <c t="s">
        <v>65335</v>
      </c>
      <c t="s">
        <v>5033</v>
      </c>
      <c t="s">
        <v>10982</v>
      </c>
      <c t="s">
        <v>5395</v>
      </c>
      <c s="3">
        <v>43630</v>
      </c>
      <c s="3">
        <v>42608</v>
      </c>
      <c s="3">
        <v>28664</v>
      </c>
      <c>
        <v>0</v>
      </c>
      <c s="3">
        <v>0</v>
      </c>
      <c s="3">
        <v>510.02</v>
      </c>
      <c s="3">
        <v>43630</v>
      </c>
      <c r="O4823" s="1" t="str">
        <f ca="1">HYPERLINK("https://web.datatree.com/?/property?propertyId=33888081", "https://web.datatree.com/?/property?propertyId=33888081")</f>
        <v>https://web.datatree.com/?/property?propertyId=33888081</v>
      </c>
      <c r="Q4823" t="s">
        <v>316</v>
      </c>
      <c>
        <v>0.049</v>
      </c>
      <c t="s">
        <v>54329</v>
      </c>
      <c t="s">
        <v>63182</v>
      </c>
      <c t="s">
        <v>30712</v>
      </c>
      <c r="X4823" t="s">
        <v>58388</v>
      </c>
      <c t="s">
        <v>41969</v>
      </c>
      <c t="s">
        <v>54524</v>
      </c>
      <c t="s">
        <v>39289</v>
      </c>
      <c>
        <v>33903</v>
      </c>
      <c t="s">
        <v>44327</v>
      </c>
      <c t="s">
        <v>48794</v>
      </c>
      <c t="s">
        <v>4387</v>
      </c>
      <c>
        <v>6827</v>
      </c>
      <c r="AI4823" t="s">
        <v>22394</v>
      </c>
      <c t="s">
        <v>40123</v>
      </c>
      <c r="AL4823" t="s">
        <v>15692</v>
      </c>
      <c t="s">
        <v>15692</v>
      </c>
      <c t="s">
        <v>58733</v>
      </c>
      <c t="s">
        <v>38849</v>
      </c>
      <c t="s">
        <v>30106</v>
      </c>
      <c t="s">
        <v>3093</v>
      </c>
      <c t="s">
        <v>31403</v>
      </c>
    </row>
    <row>
      <c t="s">
        <v>17594</v>
      </c>
      <c t="s">
        <v>45596</v>
      </c>
      <c t="s">
        <v>30183</v>
      </c>
      <c t="s">
        <v>34740</v>
      </c>
      <c t="s">
        <v>42305</v>
      </c>
      <c s="3">
        <v>24937</v>
      </c>
      <c s="3">
        <v>24937</v>
      </c>
      <c s="3">
        <v>24937</v>
      </c>
      <c>
        <v>0</v>
      </c>
      <c s="3">
        <v>0</v>
      </c>
      <c s="3">
        <v>3316.65</v>
      </c>
      <c s="3">
        <v>24937</v>
      </c>
      <c>
        <v>2021</v>
      </c>
      <c>
        <v>3350.86</v>
      </c>
      <c s="1" t="str">
        <f ca="1">HYPERLINK("https://web.datatree.com/?/property?propertyId=33888187", "https://web.datatree.com/?/property?propertyId=33888187")</f>
        <v>https://web.datatree.com/?/property?propertyId=33888187</v>
      </c>
      <c r="Q4824" t="s">
        <v>316</v>
      </c>
      <c>
        <v>0.266</v>
      </c>
      <c t="s">
        <v>37741</v>
      </c>
      <c t="s">
        <v>47992</v>
      </c>
      <c t="s">
        <v>54724</v>
      </c>
      <c t="s">
        <v>50793</v>
      </c>
      <c t="s">
        <v>45794</v>
      </c>
      <c t="s">
        <v>51910</v>
      </c>
      <c t="s">
        <v>61865</v>
      </c>
      <c t="s">
        <v>2517</v>
      </c>
      <c t="s">
        <v>39289</v>
      </c>
      <c>
        <v>33909</v>
      </c>
      <c t="s">
        <v>56892</v>
      </c>
      <c t="s">
        <v>48794</v>
      </c>
      <c t="s">
        <v>28456</v>
      </c>
      <c r="AI4824" t="s">
        <v>5373</v>
      </c>
      <c r="AK4824">
        <v>1826</v>
      </c>
      <c t="s">
        <v>57880</v>
      </c>
      <c t="s">
        <v>22048</v>
      </c>
      <c t="s">
        <v>19878</v>
      </c>
      <c>
        <v>52117</v>
      </c>
      <c t="s">
        <v>26242</v>
      </c>
      <c t="s">
        <v>3093</v>
      </c>
      <c t="s">
        <v>41740</v>
      </c>
    </row>
    <row>
      <c t="s">
        <v>17594</v>
      </c>
      <c t="s">
        <v>15003</v>
      </c>
      <c t="s">
        <v>20196</v>
      </c>
      <c t="s">
        <v>55457</v>
      </c>
      <c t="s">
        <v>3780</v>
      </c>
      <c s="3">
        <v>6739</v>
      </c>
      <c s="3">
        <v>6739</v>
      </c>
      <c s="3">
        <v>1694</v>
      </c>
      <c>
        <v>0</v>
      </c>
      <c s="3">
        <v>0</v>
      </c>
      <c s="3">
        <v>221.43</v>
      </c>
      <c s="3">
        <v>6739</v>
      </c>
      <c>
        <v>2014</v>
      </c>
      <c>
        <v>4629.31</v>
      </c>
      <c s="1" t="str">
        <f ca="1">HYPERLINK("https://web.datatree.com/?/property?propertyId=33888496", "https://web.datatree.com/?/property?propertyId=33888496")</f>
        <v>https://web.datatree.com/?/property?propertyId=33888496</v>
      </c>
      <c r="Q4825" t="s">
        <v>316</v>
      </c>
      <c>
        <v>0.039</v>
      </c>
      <c t="s">
        <v>6175</v>
      </c>
      <c t="s">
        <v>3293</v>
      </c>
      <c t="s">
        <v>24479</v>
      </c>
      <c r="X4825" t="s">
        <v>17009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1308</v>
      </c>
      <c r="AI4825" t="s">
        <v>48148</v>
      </c>
      <c t="s">
        <v>45393</v>
      </c>
      <c r="AL4825" t="s">
        <v>17160</v>
      </c>
      <c r="AN4825" t="s">
        <v>51137</v>
      </c>
      <c t="s">
        <v>20561</v>
      </c>
      <c t="s">
        <v>33029</v>
      </c>
      <c t="s">
        <v>3093</v>
      </c>
      <c t="s">
        <v>45171</v>
      </c>
    </row>
    <row>
      <c t="s">
        <v>17594</v>
      </c>
      <c t="s">
        <v>18025</v>
      </c>
      <c t="s">
        <v>42016</v>
      </c>
      <c t="s">
        <v>3763</v>
      </c>
      <c t="s">
        <v>51154</v>
      </c>
      <c s="3">
        <v>141000</v>
      </c>
      <c s="3">
        <v>141000</v>
      </c>
      <c s="3">
        <v>90750</v>
      </c>
      <c>
        <v>0</v>
      </c>
      <c s="3">
        <v>0</v>
      </c>
      <c s="3">
        <v>2137.85</v>
      </c>
      <c s="3">
        <v>141000</v>
      </c>
      <c>
        <v>2021</v>
      </c>
      <c>
        <v>1984.27</v>
      </c>
      <c s="1" t="str">
        <f ca="1">HYPERLINK("https://web.datatree.com/?/property?propertyId=33888524", "https://web.datatree.com/?/property?propertyId=33888524")</f>
        <v>https://web.datatree.com/?/property?propertyId=33888524</v>
      </c>
      <c r="Q4826" t="s">
        <v>316</v>
      </c>
      <c>
        <v>0.249</v>
      </c>
      <c t="s">
        <v>22490</v>
      </c>
      <c t="s">
        <v>39139</v>
      </c>
      <c t="s">
        <v>11332</v>
      </c>
      <c t="s">
        <v>26903</v>
      </c>
      <c t="s">
        <v>29000</v>
      </c>
      <c t="s">
        <v>47527</v>
      </c>
      <c t="s">
        <v>2626</v>
      </c>
      <c t="s">
        <v>2517</v>
      </c>
      <c t="s">
        <v>39289</v>
      </c>
      <c>
        <v>33904</v>
      </c>
      <c t="s">
        <v>26498</v>
      </c>
      <c t="s">
        <v>48794</v>
      </c>
      <c t="s">
        <v>22142</v>
      </c>
      <c>
        <v>54398</v>
      </c>
      <c r="AI4826" t="s">
        <v>23075</v>
      </c>
      <c t="s">
        <v>55842</v>
      </c>
      <c r="AL4826" t="s">
        <v>23346</v>
      </c>
      <c r="AN4826" t="s">
        <v>51137</v>
      </c>
      <c t="s">
        <v>27891</v>
      </c>
      <c t="s">
        <v>26242</v>
      </c>
      <c t="s">
        <v>3093</v>
      </c>
      <c t="s">
        <v>3163</v>
      </c>
    </row>
    <row>
      <c t="s">
        <v>17594</v>
      </c>
      <c t="s">
        <v>48549</v>
      </c>
      <c t="s">
        <v>38647</v>
      </c>
      <c t="s">
        <v>29989</v>
      </c>
      <c t="s">
        <v>26837</v>
      </c>
      <c s="3">
        <v>101181</v>
      </c>
      <c s="3">
        <v>92425</v>
      </c>
      <c s="3">
        <v>100102</v>
      </c>
      <c>
        <v>0</v>
      </c>
      <c s="3">
        <v>0</v>
      </c>
      <c s="3">
        <v>1509.57</v>
      </c>
      <c s="3">
        <v>101181</v>
      </c>
      <c r="O4827" s="1" t="str">
        <f ca="1">HYPERLINK("https://web.datatree.com/?/property?propertyId=33889226", "https://web.datatree.com/?/property?propertyId=33889226")</f>
        <v>https://web.datatree.com/?/property?propertyId=33889226</v>
      </c>
      <c r="Q4827" t="s">
        <v>316</v>
      </c>
      <c>
        <v>0.105</v>
      </c>
      <c t="s">
        <v>26492</v>
      </c>
      <c t="s">
        <v>41303</v>
      </c>
      <c t="s">
        <v>16724</v>
      </c>
      <c t="s">
        <v>23659</v>
      </c>
      <c t="s">
        <v>16724</v>
      </c>
      <c t="s">
        <v>19782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43770</v>
      </c>
      <c>
        <v>1126</v>
      </c>
      <c r="AI4827" t="s">
        <v>39261</v>
      </c>
      <c t="s">
        <v>45620</v>
      </c>
      <c r="AL4827" t="s">
        <v>26023</v>
      </c>
      <c t="s">
        <v>40227</v>
      </c>
      <c t="s">
        <v>19878</v>
      </c>
      <c t="s">
        <v>46408</v>
      </c>
      <c t="s">
        <v>63972</v>
      </c>
      <c t="s">
        <v>3093</v>
      </c>
      <c t="s">
        <v>34603</v>
      </c>
    </row>
    <row>
      <c t="s">
        <v>17594</v>
      </c>
      <c t="s">
        <v>41913</v>
      </c>
      <c t="s">
        <v>56093</v>
      </c>
      <c t="s">
        <v>64502</v>
      </c>
      <c t="s">
        <v>41639</v>
      </c>
      <c s="3">
        <v>18026</v>
      </c>
      <c s="3">
        <v>18026</v>
      </c>
      <c s="3">
        <v>7865</v>
      </c>
      <c>
        <v>0</v>
      </c>
      <c s="3">
        <v>0</v>
      </c>
      <c s="3">
        <v>492.2</v>
      </c>
      <c s="3">
        <v>18026</v>
      </c>
      <c r="O4828" s="1" t="str">
        <f ca="1">HYPERLINK("https://web.datatree.com/?/property?propertyId=33889545", "https://web.datatree.com/?/property?propertyId=33889545")</f>
        <v>https://web.datatree.com/?/property?propertyId=33889545</v>
      </c>
      <c r="Q4828" t="s">
        <v>316</v>
      </c>
      <c>
        <v>0.241</v>
      </c>
      <c t="s">
        <v>6175</v>
      </c>
      <c t="s">
        <v>111</v>
      </c>
      <c t="s">
        <v>2966</v>
      </c>
      <c r="X4828" t="s">
        <v>33372</v>
      </c>
      <c t="s">
        <v>34136</v>
      </c>
      <c t="s">
        <v>2517</v>
      </c>
      <c t="s">
        <v>39289</v>
      </c>
      <c>
        <v>33909</v>
      </c>
      <c t="s">
        <v>19693</v>
      </c>
      <c t="s">
        <v>48794</v>
      </c>
      <c t="s">
        <v>46087</v>
      </c>
      <c>
        <v>1609</v>
      </c>
      <c r="AI4828" t="s">
        <v>38672</v>
      </c>
      <c t="s">
        <v>24900</v>
      </c>
      <c r="AL4828" t="s">
        <v>60431</v>
      </c>
      <c r="AN4828" t="s">
        <v>50917</v>
      </c>
      <c t="s">
        <v>32223</v>
      </c>
      <c t="s">
        <v>4480</v>
      </c>
      <c t="s">
        <v>3093</v>
      </c>
      <c t="s">
        <v>53283</v>
      </c>
    </row>
    <row>
      <c t="s">
        <v>17594</v>
      </c>
      <c t="s">
        <v>48546</v>
      </c>
      <c t="s">
        <v>8672</v>
      </c>
      <c t="s">
        <v>12720</v>
      </c>
      <c t="s">
        <v>50231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4829" s="1" t="str">
        <f ca="1">HYPERLINK("https://web.datatree.com/?/property?propertyId=33889592", "https://web.datatree.com/?/property?propertyId=33889592")</f>
        <v>https://web.datatree.com/?/property?propertyId=33889592</v>
      </c>
      <c r="Q4829" t="s">
        <v>316</v>
      </c>
      <c>
        <v>0.244</v>
      </c>
      <c t="s">
        <v>6175</v>
      </c>
      <c t="s">
        <v>27351</v>
      </c>
      <c t="s">
        <v>41616</v>
      </c>
      <c t="s">
        <v>10451</v>
      </c>
      <c t="s">
        <v>52908</v>
      </c>
      <c t="s">
        <v>22752</v>
      </c>
      <c t="s">
        <v>58797</v>
      </c>
      <c t="s">
        <v>2517</v>
      </c>
      <c t="s">
        <v>39289</v>
      </c>
      <c>
        <v>33909</v>
      </c>
      <c t="s">
        <v>45616</v>
      </c>
      <c t="s">
        <v>48794</v>
      </c>
      <c t="s">
        <v>41606</v>
      </c>
      <c>
        <v>300</v>
      </c>
      <c r="AI4829" t="s">
        <v>7113</v>
      </c>
      <c t="s">
        <v>20615</v>
      </c>
      <c>
        <v>806</v>
      </c>
      <c t="s">
        <v>33214</v>
      </c>
      <c t="s">
        <v>33214</v>
      </c>
      <c t="s">
        <v>39289</v>
      </c>
      <c t="s">
        <v>21129</v>
      </c>
      <c t="s">
        <v>38085</v>
      </c>
      <c t="s">
        <v>3093</v>
      </c>
      <c t="s">
        <v>52139</v>
      </c>
    </row>
    <row>
      <c t="s">
        <v>17594</v>
      </c>
      <c t="s">
        <v>53144</v>
      </c>
      <c t="s">
        <v>61417</v>
      </c>
      <c t="s">
        <v>26297</v>
      </c>
      <c t="s">
        <v>6433</v>
      </c>
      <c s="3">
        <v>23352</v>
      </c>
      <c s="3">
        <v>23352</v>
      </c>
      <c s="3">
        <v>23352</v>
      </c>
      <c>
        <v>0</v>
      </c>
      <c s="3">
        <v>0</v>
      </c>
      <c s="3">
        <v>786.51</v>
      </c>
      <c s="3">
        <v>23352</v>
      </c>
      <c r="O4830" s="1" t="str">
        <f ca="1">HYPERLINK("https://web.datatree.com/?/property?propertyId=33889608", "https://web.datatree.com/?/property?propertyId=33889608")</f>
        <v>https://web.datatree.com/?/property?propertyId=33889608</v>
      </c>
      <c r="Q4830" t="s">
        <v>316</v>
      </c>
      <c>
        <v>0.28</v>
      </c>
      <c t="s">
        <v>22490</v>
      </c>
      <c t="s">
        <v>9650</v>
      </c>
      <c t="s">
        <v>37991</v>
      </c>
      <c t="s">
        <v>51891</v>
      </c>
      <c t="s">
        <v>37991</v>
      </c>
      <c t="s">
        <v>20680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35928</v>
      </c>
      <c>
        <v>6483</v>
      </c>
      <c r="AI4830" t="s">
        <v>38550</v>
      </c>
      <c t="s">
        <v>45393</v>
      </c>
      <c r="AL4830" t="s">
        <v>54231</v>
      </c>
      <c t="s">
        <v>54231</v>
      </c>
      <c t="s">
        <v>39289</v>
      </c>
      <c t="s">
        <v>59681</v>
      </c>
      <c t="s">
        <v>17380</v>
      </c>
      <c t="s">
        <v>3093</v>
      </c>
      <c t="s">
        <v>44762</v>
      </c>
    </row>
    <row>
      <c t="s">
        <v>17594</v>
      </c>
      <c t="s">
        <v>50894</v>
      </c>
      <c t="s">
        <v>7131</v>
      </c>
      <c t="s">
        <v>30922</v>
      </c>
      <c t="s">
        <v>2154</v>
      </c>
      <c s="3">
        <v>70849</v>
      </c>
      <c s="3">
        <v>63500</v>
      </c>
      <c s="3">
        <v>67484</v>
      </c>
      <c>
        <v>0</v>
      </c>
      <c s="3">
        <v>0</v>
      </c>
      <c s="3">
        <v>1033.95</v>
      </c>
      <c s="3">
        <v>70849</v>
      </c>
      <c r="O4831" s="1" t="str">
        <f ca="1">HYPERLINK("https://web.datatree.com/?/property?propertyId=33890400", "https://web.datatree.com/?/property?propertyId=33890400")</f>
        <v>https://web.datatree.com/?/property?propertyId=33890400</v>
      </c>
      <c r="Q4831" t="s">
        <v>316</v>
      </c>
      <c>
        <v>0.097</v>
      </c>
      <c t="s">
        <v>26492</v>
      </c>
      <c t="s">
        <v>25238</v>
      </c>
      <c t="s">
        <v>29642</v>
      </c>
      <c t="s">
        <v>16893</v>
      </c>
      <c t="s">
        <v>25450</v>
      </c>
      <c t="s">
        <v>29141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13157</v>
      </c>
      <c>
        <v>10979</v>
      </c>
      <c r="AI4831" t="s">
        <v>45904</v>
      </c>
      <c t="s">
        <v>55842</v>
      </c>
      <c r="AL4831" t="s">
        <v>28400</v>
      </c>
      <c t="s">
        <v>28400</v>
      </c>
      <c t="s">
        <v>49572</v>
      </c>
      <c t="s">
        <v>42251</v>
      </c>
      <c t="s">
        <v>22152</v>
      </c>
      <c t="s">
        <v>3093</v>
      </c>
      <c t="s">
        <v>5178</v>
      </c>
    </row>
    <row>
      <c t="s">
        <v>17594</v>
      </c>
      <c t="s">
        <v>46584</v>
      </c>
      <c t="s">
        <v>120</v>
      </c>
      <c t="s">
        <v>28396</v>
      </c>
      <c t="s">
        <v>39148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4832" s="1" t="str">
        <f ca="1">HYPERLINK("https://web.datatree.com/?/property?propertyId=33890442", "https://web.datatree.com/?/property?propertyId=33890442")</f>
        <v>https://web.datatree.com/?/property?propertyId=33890442</v>
      </c>
      <c r="Q4832" t="s">
        <v>316</v>
      </c>
      <c>
        <v>0.244</v>
      </c>
      <c t="s">
        <v>6175</v>
      </c>
      <c t="s">
        <v>3461</v>
      </c>
      <c t="s">
        <v>44376</v>
      </c>
      <c r="X4832" t="s">
        <v>27178</v>
      </c>
      <c t="s">
        <v>30928</v>
      </c>
      <c t="s">
        <v>2517</v>
      </c>
      <c t="s">
        <v>39289</v>
      </c>
      <c>
        <v>33909</v>
      </c>
      <c t="s">
        <v>59797</v>
      </c>
      <c t="s">
        <v>48794</v>
      </c>
      <c t="s">
        <v>33725</v>
      </c>
      <c>
        <v>6635</v>
      </c>
      <c r="AI4832" t="s">
        <v>25017</v>
      </c>
      <c t="s">
        <v>24900</v>
      </c>
      <c r="AL4832" t="s">
        <v>29515</v>
      </c>
      <c r="AN4832" t="s">
        <v>39289</v>
      </c>
      <c t="s">
        <v>1225</v>
      </c>
      <c t="s">
        <v>12241</v>
      </c>
      <c t="s">
        <v>3093</v>
      </c>
      <c t="s">
        <v>47885</v>
      </c>
    </row>
    <row>
      <c t="s">
        <v>17594</v>
      </c>
      <c t="s">
        <v>56884</v>
      </c>
      <c t="s">
        <v>28457</v>
      </c>
      <c t="s">
        <v>44441</v>
      </c>
      <c t="s">
        <v>8490</v>
      </c>
      <c s="3">
        <v>86243</v>
      </c>
      <c s="3">
        <v>86243</v>
      </c>
      <c s="3">
        <v>67650</v>
      </c>
      <c>
        <v>0</v>
      </c>
      <c s="3">
        <v>0</v>
      </c>
      <c s="3">
        <v>914.66</v>
      </c>
      <c s="3">
        <v>86243</v>
      </c>
      <c r="O4833" s="1" t="str">
        <f ca="1">HYPERLINK("https://web.datatree.com/?/property?propertyId=33890993", "https://web.datatree.com/?/property?propertyId=33890993")</f>
        <v>https://web.datatree.com/?/property?propertyId=33890993</v>
      </c>
      <c r="Q4833" t="s">
        <v>316</v>
      </c>
      <c>
        <v>0.193</v>
      </c>
      <c t="s">
        <v>5471</v>
      </c>
      <c t="s">
        <v>23807</v>
      </c>
      <c t="s">
        <v>21188</v>
      </c>
      <c t="s">
        <v>38445</v>
      </c>
      <c t="s">
        <v>28632</v>
      </c>
      <c t="s">
        <v>28016</v>
      </c>
      <c t="s">
        <v>63132</v>
      </c>
      <c t="s">
        <v>65059</v>
      </c>
      <c t="s">
        <v>39289</v>
      </c>
      <c>
        <v>33905</v>
      </c>
      <c t="s">
        <v>37200</v>
      </c>
      <c t="s">
        <v>48794</v>
      </c>
      <c t="s">
        <v>18232</v>
      </c>
      <c>
        <v>8468</v>
      </c>
      <c r="AH4833" t="s">
        <v>26580</v>
      </c>
      <c t="s">
        <v>43807</v>
      </c>
      <c t="s">
        <v>55842</v>
      </c>
      <c r="AL4833" t="s">
        <v>49353</v>
      </c>
      <c t="s">
        <v>49353</v>
      </c>
      <c t="s">
        <v>50829</v>
      </c>
      <c t="s">
        <v>15612</v>
      </c>
      <c t="s">
        <v>63972</v>
      </c>
      <c t="s">
        <v>3093</v>
      </c>
      <c t="s">
        <v>17873</v>
      </c>
    </row>
    <row>
      <c t="s">
        <v>17594</v>
      </c>
      <c t="s">
        <v>28998</v>
      </c>
      <c t="s">
        <v>46002</v>
      </c>
      <c t="s">
        <v>42155</v>
      </c>
      <c t="s">
        <v>29134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>
        <v>2021</v>
      </c>
      <c>
        <v>593.96</v>
      </c>
      <c s="1" t="str">
        <f ca="1">HYPERLINK("https://web.datatree.com/?/property?propertyId=33891553", "https://web.datatree.com/?/property?propertyId=33891553")</f>
        <v>https://web.datatree.com/?/property?propertyId=33891553</v>
      </c>
      <c r="Q4834" t="s">
        <v>316</v>
      </c>
      <c>
        <v>0.23</v>
      </c>
      <c t="s">
        <v>6175</v>
      </c>
      <c t="s">
        <v>39664</v>
      </c>
      <c t="s">
        <v>57720</v>
      </c>
      <c r="X4834" t="s">
        <v>24895</v>
      </c>
      <c t="s">
        <v>13829</v>
      </c>
      <c t="s">
        <v>2517</v>
      </c>
      <c t="s">
        <v>39289</v>
      </c>
      <c>
        <v>33909</v>
      </c>
      <c t="s">
        <v>61859</v>
      </c>
      <c t="s">
        <v>48794</v>
      </c>
      <c t="s">
        <v>21549</v>
      </c>
      <c>
        <v>121</v>
      </c>
      <c r="AI4834" t="s">
        <v>13964</v>
      </c>
      <c t="s">
        <v>45393</v>
      </c>
      <c>
        <v>7</v>
      </c>
      <c t="s">
        <v>55393</v>
      </c>
      <c r="AN4834" t="s">
        <v>39289</v>
      </c>
      <c t="s">
        <v>17595</v>
      </c>
      <c t="s">
        <v>17246</v>
      </c>
      <c t="s">
        <v>3093</v>
      </c>
      <c t="s">
        <v>36869</v>
      </c>
    </row>
    <row>
      <c t="s">
        <v>17594</v>
      </c>
      <c t="s">
        <v>23843</v>
      </c>
      <c t="s">
        <v>36198</v>
      </c>
      <c t="s">
        <v>59527</v>
      </c>
      <c t="s">
        <v>23605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4835" s="1" t="str">
        <f ca="1">HYPERLINK("https://web.datatree.com/?/property?propertyId=33892159", "https://web.datatree.com/?/property?propertyId=33892159")</f>
        <v>https://web.datatree.com/?/property?propertyId=33892159</v>
      </c>
      <c r="Q4835" t="s">
        <v>316</v>
      </c>
      <c>
        <v>0.244</v>
      </c>
      <c t="s">
        <v>6175</v>
      </c>
      <c t="s">
        <v>64470</v>
      </c>
      <c t="s">
        <v>65250</v>
      </c>
      <c t="s">
        <v>33748</v>
      </c>
      <c t="s">
        <v>65250</v>
      </c>
      <c t="s">
        <v>689</v>
      </c>
      <c t="s">
        <v>33179</v>
      </c>
      <c t="s">
        <v>2517</v>
      </c>
      <c t="s">
        <v>39289</v>
      </c>
      <c>
        <v>33909</v>
      </c>
      <c t="s">
        <v>14800</v>
      </c>
      <c t="s">
        <v>48794</v>
      </c>
      <c t="s">
        <v>63170</v>
      </c>
      <c>
        <v>85</v>
      </c>
      <c r="AI4835" t="s">
        <v>30742</v>
      </c>
      <c t="s">
        <v>24900</v>
      </c>
      <c r="AL4835" t="s">
        <v>38261</v>
      </c>
      <c r="AN4835" t="s">
        <v>26016</v>
      </c>
      <c t="s">
        <v>29234</v>
      </c>
      <c t="s">
        <v>40645</v>
      </c>
      <c t="s">
        <v>3093</v>
      </c>
      <c t="s">
        <v>22778</v>
      </c>
    </row>
    <row>
      <c t="s">
        <v>17594</v>
      </c>
      <c t="s">
        <v>2236</v>
      </c>
      <c t="s">
        <v>34537</v>
      </c>
      <c t="s">
        <v>33258</v>
      </c>
      <c t="s">
        <v>4207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4836" s="1" t="str">
        <f ca="1">HYPERLINK("https://web.datatree.com/?/property?propertyId=33892471", "https://web.datatree.com/?/property?propertyId=33892471")</f>
        <v>https://web.datatree.com/?/property?propertyId=33892471</v>
      </c>
      <c r="Q4836" t="s">
        <v>316</v>
      </c>
      <c>
        <v>0.23</v>
      </c>
      <c t="s">
        <v>22490</v>
      </c>
      <c t="s">
        <v>14575</v>
      </c>
      <c t="s">
        <v>45794</v>
      </c>
      <c t="s">
        <v>4642</v>
      </c>
      <c t="s">
        <v>45794</v>
      </c>
      <c t="s">
        <v>12364</v>
      </c>
      <c t="s">
        <v>66701</v>
      </c>
      <c t="s">
        <v>2517</v>
      </c>
      <c t="s">
        <v>39289</v>
      </c>
      <c>
        <v>33909</v>
      </c>
      <c t="s">
        <v>40236</v>
      </c>
      <c t="s">
        <v>48794</v>
      </c>
      <c t="s">
        <v>11083</v>
      </c>
      <c>
        <v>4915</v>
      </c>
      <c r="AI4836" t="s">
        <v>46039</v>
      </c>
      <c t="s">
        <v>39321</v>
      </c>
      <c r="AL4836" t="s">
        <v>16664</v>
      </c>
      <c t="s">
        <v>16664</v>
      </c>
      <c t="s">
        <v>9387</v>
      </c>
      <c t="s">
        <v>40146</v>
      </c>
      <c t="s">
        <v>10847</v>
      </c>
      <c t="s">
        <v>3093</v>
      </c>
      <c t="s">
        <v>11014</v>
      </c>
    </row>
    <row>
      <c t="s">
        <v>17594</v>
      </c>
      <c t="s">
        <v>42885</v>
      </c>
      <c t="s">
        <v>13292</v>
      </c>
      <c t="s">
        <v>33759</v>
      </c>
      <c t="s">
        <v>56060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4837" s="1" t="str">
        <f ca="1">HYPERLINK("https://web.datatree.com/?/property?propertyId=33893006", "https://web.datatree.com/?/property?propertyId=33893006")</f>
        <v>https://web.datatree.com/?/property?propertyId=33893006</v>
      </c>
      <c r="Q4837" t="s">
        <v>316</v>
      </c>
      <c>
        <v>0.23</v>
      </c>
      <c t="s">
        <v>6175</v>
      </c>
      <c t="s">
        <v>65180</v>
      </c>
      <c t="s">
        <v>26738</v>
      </c>
      <c r="X4837" t="s">
        <v>8992</v>
      </c>
      <c t="s">
        <v>10653</v>
      </c>
      <c t="s">
        <v>2517</v>
      </c>
      <c t="s">
        <v>39289</v>
      </c>
      <c>
        <v>33909</v>
      </c>
      <c t="s">
        <v>13386</v>
      </c>
      <c t="s">
        <v>48794</v>
      </c>
      <c t="s">
        <v>24961</v>
      </c>
      <c>
        <v>5</v>
      </c>
      <c r="AI4837" t="s">
        <v>28635</v>
      </c>
      <c t="s">
        <v>55842</v>
      </c>
      <c r="AL4837" t="s">
        <v>55642</v>
      </c>
      <c r="AN4837" t="s">
        <v>26016</v>
      </c>
      <c t="s">
        <v>22540</v>
      </c>
      <c t="s">
        <v>30049</v>
      </c>
      <c t="s">
        <v>3093</v>
      </c>
      <c t="s">
        <v>25296</v>
      </c>
    </row>
    <row>
      <c t="s">
        <v>17594</v>
      </c>
      <c t="s">
        <v>58714</v>
      </c>
      <c t="s">
        <v>55769</v>
      </c>
      <c t="s">
        <v>65044</v>
      </c>
      <c t="s">
        <v>28193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838" s="1" t="str">
        <f ca="1">HYPERLINK("https://web.datatree.com/?/property?propertyId=33893132", "https://web.datatree.com/?/property?propertyId=33893132")</f>
        <v>https://web.datatree.com/?/property?propertyId=33893132</v>
      </c>
      <c r="Q4838" t="s">
        <v>316</v>
      </c>
      <c>
        <v>0.23</v>
      </c>
      <c t="s">
        <v>6175</v>
      </c>
      <c t="s">
        <v>62125</v>
      </c>
      <c t="s">
        <v>22352</v>
      </c>
      <c t="s">
        <v>5789</v>
      </c>
      <c t="s">
        <v>22352</v>
      </c>
      <c t="s">
        <v>52929</v>
      </c>
      <c t="s">
        <v>61865</v>
      </c>
      <c t="s">
        <v>2517</v>
      </c>
      <c t="s">
        <v>39289</v>
      </c>
      <c>
        <v>33909</v>
      </c>
      <c t="s">
        <v>27068</v>
      </c>
      <c t="s">
        <v>48794</v>
      </c>
      <c t="s">
        <v>28316</v>
      </c>
      <c>
        <v>216</v>
      </c>
      <c r="AI4838" t="s">
        <v>32045</v>
      </c>
      <c t="s">
        <v>31192</v>
      </c>
      <c r="AL4838" t="s">
        <v>23024</v>
      </c>
      <c r="AN4838" t="s">
        <v>26016</v>
      </c>
      <c t="s">
        <v>6625</v>
      </c>
      <c t="s">
        <v>33029</v>
      </c>
      <c t="s">
        <v>3093</v>
      </c>
      <c t="s">
        <v>45805</v>
      </c>
    </row>
    <row>
      <c t="s">
        <v>17594</v>
      </c>
      <c t="s">
        <v>16686</v>
      </c>
      <c t="s">
        <v>11273</v>
      </c>
      <c t="s">
        <v>63022</v>
      </c>
      <c t="s">
        <v>6184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839" s="1" t="str">
        <f ca="1">HYPERLINK("https://web.datatree.com/?/property?propertyId=33893317", "https://web.datatree.com/?/property?propertyId=33893317")</f>
        <v>https://web.datatree.com/?/property?propertyId=33893317</v>
      </c>
      <c r="Q4839" t="s">
        <v>316</v>
      </c>
      <c>
        <v>0.229</v>
      </c>
      <c t="s">
        <v>42044</v>
      </c>
      <c t="s">
        <v>32675</v>
      </c>
      <c t="s">
        <v>43112</v>
      </c>
      <c r="X4839" t="s">
        <v>31445</v>
      </c>
      <c t="s">
        <v>61865</v>
      </c>
      <c t="s">
        <v>2517</v>
      </c>
      <c t="s">
        <v>39289</v>
      </c>
      <c>
        <v>33909</v>
      </c>
      <c t="s">
        <v>17333</v>
      </c>
      <c t="s">
        <v>48794</v>
      </c>
      <c t="s">
        <v>2528</v>
      </c>
      <c>
        <v>2270</v>
      </c>
      <c r="AI4839" t="s">
        <v>7594</v>
      </c>
      <c t="s">
        <v>45393</v>
      </c>
      <c r="AL4839" t="s">
        <v>17217</v>
      </c>
      <c r="AN4839" t="s">
        <v>50917</v>
      </c>
      <c t="s">
        <v>2067</v>
      </c>
      <c t="s">
        <v>17380</v>
      </c>
      <c t="s">
        <v>3093</v>
      </c>
      <c t="s">
        <v>57592</v>
      </c>
    </row>
    <row>
      <c t="s">
        <v>17594</v>
      </c>
      <c t="s">
        <v>34990</v>
      </c>
      <c s="2" t="s">
        <v>33840</v>
      </c>
      <c t="s">
        <v>31274</v>
      </c>
      <c t="s">
        <v>18358</v>
      </c>
      <c s="3">
        <v>24937</v>
      </c>
      <c s="3">
        <v>24937</v>
      </c>
      <c s="3">
        <v>24937</v>
      </c>
      <c>
        <v>0</v>
      </c>
      <c s="3">
        <v>0</v>
      </c>
      <c s="3">
        <v>800.74</v>
      </c>
      <c s="3">
        <v>24937</v>
      </c>
      <c r="O4840" s="1" t="str">
        <f ca="1">HYPERLINK("https://web.datatree.com/?/property?propertyId=33893613", "https://web.datatree.com/?/property?propertyId=33893613")</f>
        <v>https://web.datatree.com/?/property?propertyId=33893613</v>
      </c>
      <c r="Q4840" t="s">
        <v>316</v>
      </c>
      <c>
        <v>0.226</v>
      </c>
      <c t="s">
        <v>6175</v>
      </c>
      <c t="s">
        <v>969</v>
      </c>
      <c t="s">
        <v>24040</v>
      </c>
      <c t="s">
        <v>45286</v>
      </c>
      <c t="s">
        <v>24040</v>
      </c>
      <c t="s">
        <v>17744</v>
      </c>
      <c t="s">
        <v>13478</v>
      </c>
      <c t="s">
        <v>2517</v>
      </c>
      <c t="s">
        <v>39289</v>
      </c>
      <c>
        <v>33909</v>
      </c>
      <c t="s">
        <v>61201</v>
      </c>
      <c t="s">
        <v>48794</v>
      </c>
      <c t="s">
        <v>1021</v>
      </c>
      <c>
        <v>9415</v>
      </c>
      <c r="AI4840" t="s">
        <v>57702</v>
      </c>
      <c t="s">
        <v>1671</v>
      </c>
      <c>
        <v>107</v>
      </c>
      <c t="s">
        <v>11713</v>
      </c>
      <c r="AN4840" t="s">
        <v>39289</v>
      </c>
      <c t="s">
        <v>24800</v>
      </c>
      <c t="s">
        <v>33149</v>
      </c>
      <c t="s">
        <v>3093</v>
      </c>
      <c s="2" t="s">
        <v>48612</v>
      </c>
    </row>
    <row>
      <c t="s">
        <v>17594</v>
      </c>
      <c t="s">
        <v>50282</v>
      </c>
      <c t="s">
        <v>47247</v>
      </c>
      <c t="s">
        <v>34431</v>
      </c>
      <c t="s">
        <v>31260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841" s="1" t="str">
        <f ca="1">HYPERLINK("https://web.datatree.com/?/property?propertyId=33894156", "https://web.datatree.com/?/property?propertyId=33894156")</f>
        <v>https://web.datatree.com/?/property?propertyId=33894156</v>
      </c>
      <c r="Q4841" t="s">
        <v>316</v>
      </c>
      <c>
        <v>0.23</v>
      </c>
      <c t="s">
        <v>58725</v>
      </c>
      <c t="s">
        <v>44541</v>
      </c>
      <c t="s">
        <v>56566</v>
      </c>
      <c t="s">
        <v>64378</v>
      </c>
      <c t="s">
        <v>56566</v>
      </c>
      <c t="s">
        <v>49831</v>
      </c>
      <c t="s">
        <v>57064</v>
      </c>
      <c t="s">
        <v>2517</v>
      </c>
      <c t="s">
        <v>39289</v>
      </c>
      <c>
        <v>33909</v>
      </c>
      <c t="s">
        <v>41148</v>
      </c>
      <c t="s">
        <v>48794</v>
      </c>
      <c t="s">
        <v>14554</v>
      </c>
      <c>
        <v>6129</v>
      </c>
      <c r="AI4841" t="s">
        <v>18556</v>
      </c>
      <c t="s">
        <v>40123</v>
      </c>
      <c r="AL4841" t="s">
        <v>20838</v>
      </c>
      <c r="AN4841" t="s">
        <v>32657</v>
      </c>
      <c t="s">
        <v>4366</v>
      </c>
      <c t="s">
        <v>17380</v>
      </c>
      <c t="s">
        <v>3093</v>
      </c>
      <c t="s">
        <v>32459</v>
      </c>
    </row>
    <row>
      <c t="s">
        <v>17594</v>
      </c>
      <c t="s">
        <v>17721</v>
      </c>
      <c t="s">
        <v>26279</v>
      </c>
      <c t="s">
        <v>53360</v>
      </c>
      <c t="s">
        <v>35739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842" s="1" t="str">
        <f ca="1">HYPERLINK("https://web.datatree.com/?/property?propertyId=33894171", "https://web.datatree.com/?/property?propertyId=33894171")</f>
        <v>https://web.datatree.com/?/property?propertyId=33894171</v>
      </c>
      <c r="Q4842" t="s">
        <v>316</v>
      </c>
      <c>
        <v>0.23</v>
      </c>
      <c t="s">
        <v>6175</v>
      </c>
      <c t="s">
        <v>25238</v>
      </c>
      <c t="s">
        <v>18220</v>
      </c>
      <c r="X4842" t="s">
        <v>30838</v>
      </c>
      <c t="s">
        <v>49674</v>
      </c>
      <c t="s">
        <v>2517</v>
      </c>
      <c t="s">
        <v>39289</v>
      </c>
      <c>
        <v>33909</v>
      </c>
      <c t="s">
        <v>40415</v>
      </c>
      <c t="s">
        <v>48794</v>
      </c>
      <c t="s">
        <v>41398</v>
      </c>
      <c>
        <v>2050</v>
      </c>
      <c r="AI4842" t="s">
        <v>42425</v>
      </c>
      <c t="s">
        <v>24900</v>
      </c>
      <c>
        <v>1210</v>
      </c>
      <c t="s">
        <v>50860</v>
      </c>
      <c r="AN4842" t="s">
        <v>51087</v>
      </c>
      <c t="s">
        <v>61813</v>
      </c>
      <c t="s">
        <v>29069</v>
      </c>
      <c t="s">
        <v>3093</v>
      </c>
      <c t="s">
        <v>22641</v>
      </c>
    </row>
    <row>
      <c t="s">
        <v>17594</v>
      </c>
      <c t="s">
        <v>23735</v>
      </c>
      <c t="s">
        <v>5758</v>
      </c>
      <c t="s">
        <v>970</v>
      </c>
      <c t="s">
        <v>46507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843" s="1" t="str">
        <f ca="1">HYPERLINK("https://web.datatree.com/?/property?propertyId=33894245", "https://web.datatree.com/?/property?propertyId=33894245")</f>
        <v>https://web.datatree.com/?/property?propertyId=33894245</v>
      </c>
      <c r="Q4843" t="s">
        <v>316</v>
      </c>
      <c>
        <v>0.23</v>
      </c>
      <c t="s">
        <v>6175</v>
      </c>
      <c t="s">
        <v>66704</v>
      </c>
      <c t="s">
        <v>66580</v>
      </c>
      <c r="X4843" t="s">
        <v>17591</v>
      </c>
      <c t="s">
        <v>49122</v>
      </c>
      <c t="s">
        <v>2517</v>
      </c>
      <c t="s">
        <v>39289</v>
      </c>
      <c>
        <v>33909</v>
      </c>
      <c t="s">
        <v>15476</v>
      </c>
      <c t="s">
        <v>48794</v>
      </c>
      <c t="s">
        <v>45052</v>
      </c>
      <c>
        <v>333</v>
      </c>
      <c r="AI4843" t="s">
        <v>47121</v>
      </c>
      <c t="s">
        <v>45393</v>
      </c>
      <c r="AL4843" t="s">
        <v>51149</v>
      </c>
      <c r="AN4843" t="s">
        <v>22275</v>
      </c>
      <c t="s">
        <v>10319</v>
      </c>
      <c t="s">
        <v>57513</v>
      </c>
      <c t="s">
        <v>3093</v>
      </c>
      <c t="s">
        <v>34063</v>
      </c>
    </row>
    <row>
      <c t="s">
        <v>17594</v>
      </c>
      <c t="s">
        <v>13626</v>
      </c>
      <c t="s">
        <v>64186</v>
      </c>
      <c t="s">
        <v>28019</v>
      </c>
      <c t="s">
        <v>16804</v>
      </c>
      <c s="3">
        <v>7743</v>
      </c>
      <c s="3">
        <v>7743</v>
      </c>
      <c s="3">
        <v>4972</v>
      </c>
      <c>
        <v>0</v>
      </c>
      <c s="3">
        <v>0</v>
      </c>
      <c s="3">
        <v>316.66</v>
      </c>
      <c s="3">
        <v>7743</v>
      </c>
      <c r="O4844" s="1" t="str">
        <f ca="1">HYPERLINK("https://web.datatree.com/?/property?propertyId=33894721", "https://web.datatree.com/?/property?propertyId=33894721")</f>
        <v>https://web.datatree.com/?/property?propertyId=33894721</v>
      </c>
      <c r="Q4844" t="s">
        <v>316</v>
      </c>
      <c>
        <v>0.237</v>
      </c>
      <c t="s">
        <v>5471</v>
      </c>
      <c t="s">
        <v>44541</v>
      </c>
      <c t="s">
        <v>34170</v>
      </c>
      <c r="X4844" t="s">
        <v>41526</v>
      </c>
      <c t="s">
        <v>61415</v>
      </c>
      <c t="s">
        <v>65059</v>
      </c>
      <c t="s">
        <v>39289</v>
      </c>
      <c>
        <v>33905</v>
      </c>
      <c t="s">
        <v>52937</v>
      </c>
      <c t="s">
        <v>48794</v>
      </c>
      <c t="s">
        <v>49526</v>
      </c>
      <c>
        <v>8</v>
      </c>
      <c r="AI4844" t="s">
        <v>52431</v>
      </c>
      <c t="s">
        <v>55842</v>
      </c>
      <c r="AL4844" t="s">
        <v>43162</v>
      </c>
      <c r="AN4844" t="s">
        <v>50917</v>
      </c>
      <c t="s">
        <v>3663</v>
      </c>
      <c t="s">
        <v>12241</v>
      </c>
      <c t="s">
        <v>3093</v>
      </c>
      <c t="s">
        <v>62370</v>
      </c>
    </row>
    <row>
      <c t="s">
        <v>17594</v>
      </c>
      <c t="s">
        <v>33184</v>
      </c>
      <c t="s">
        <v>58072</v>
      </c>
      <c t="s">
        <v>29179</v>
      </c>
      <c t="s">
        <v>51138</v>
      </c>
      <c s="3">
        <v>25947</v>
      </c>
      <c s="3">
        <v>25947</v>
      </c>
      <c s="3">
        <v>10395</v>
      </c>
      <c>
        <v>0</v>
      </c>
      <c s="3">
        <v>0</v>
      </c>
      <c s="3">
        <v>646.64</v>
      </c>
      <c s="3">
        <v>25947</v>
      </c>
      <c r="O4845" s="1" t="str">
        <f ca="1">HYPERLINK("https://web.datatree.com/?/property?propertyId=33894756", "https://web.datatree.com/?/property?propertyId=33894756")</f>
        <v>https://web.datatree.com/?/property?propertyId=33894756</v>
      </c>
      <c r="Q4845" t="s">
        <v>316</v>
      </c>
      <c>
        <v>0.255</v>
      </c>
      <c t="s">
        <v>22490</v>
      </c>
      <c t="s">
        <v>26408</v>
      </c>
      <c t="s">
        <v>32193</v>
      </c>
      <c t="s">
        <v>57302</v>
      </c>
      <c t="s">
        <v>40102</v>
      </c>
      <c t="s">
        <v>1023</v>
      </c>
      <c t="s">
        <v>59763</v>
      </c>
      <c t="s">
        <v>2517</v>
      </c>
      <c t="s">
        <v>39289</v>
      </c>
      <c>
        <v>33909</v>
      </c>
      <c t="s">
        <v>28433</v>
      </c>
      <c t="s">
        <v>48794</v>
      </c>
      <c t="s">
        <v>52392</v>
      </c>
      <c>
        <v>8009</v>
      </c>
      <c r="AI4845" t="s">
        <v>42283</v>
      </c>
      <c r="AL4845" t="s">
        <v>10898</v>
      </c>
      <c t="s">
        <v>61328</v>
      </c>
      <c t="s">
        <v>18236</v>
      </c>
      <c t="s">
        <v>330</v>
      </c>
      <c t="s">
        <v>24707</v>
      </c>
      <c t="s">
        <v>3093</v>
      </c>
      <c t="s">
        <v>3125</v>
      </c>
    </row>
    <row>
      <c t="s">
        <v>17594</v>
      </c>
      <c t="s">
        <v>53264</v>
      </c>
      <c t="s">
        <v>7255</v>
      </c>
      <c t="s">
        <v>4318</v>
      </c>
      <c t="s">
        <v>7530</v>
      </c>
      <c s="3">
        <v>49096</v>
      </c>
      <c s="3">
        <v>49096</v>
      </c>
      <c s="3">
        <v>31702</v>
      </c>
      <c>
        <v>0</v>
      </c>
      <c s="3">
        <v>0</v>
      </c>
      <c s="3">
        <v>1016.44</v>
      </c>
      <c s="3">
        <v>49096</v>
      </c>
      <c r="O4846" s="1" t="str">
        <f ca="1">HYPERLINK("https://web.datatree.com/?/property?propertyId=33895025", "https://web.datatree.com/?/property?propertyId=33895025")</f>
        <v>https://web.datatree.com/?/property?propertyId=33895025</v>
      </c>
      <c r="Q4846" t="s">
        <v>316</v>
      </c>
      <c>
        <v>0.242</v>
      </c>
      <c t="s">
        <v>6175</v>
      </c>
      <c t="s">
        <v>52701</v>
      </c>
      <c t="s">
        <v>52915</v>
      </c>
      <c r="X4846" t="s">
        <v>43447</v>
      </c>
      <c t="s">
        <v>28635</v>
      </c>
      <c t="s">
        <v>2517</v>
      </c>
      <c t="s">
        <v>39289</v>
      </c>
      <c>
        <v>33904</v>
      </c>
      <c t="s">
        <v>53381</v>
      </c>
      <c t="s">
        <v>48794</v>
      </c>
      <c t="s">
        <v>61534</v>
      </c>
      <c>
        <v>752</v>
      </c>
      <c r="AI4846" t="s">
        <v>1247</v>
      </c>
      <c t="s">
        <v>31192</v>
      </c>
      <c r="AL4846" t="s">
        <v>11713</v>
      </c>
      <c r="AN4846" t="s">
        <v>39289</v>
      </c>
      <c t="s">
        <v>57982</v>
      </c>
      <c t="s">
        <v>35679</v>
      </c>
      <c t="s">
        <v>3093</v>
      </c>
      <c t="s">
        <v>55761</v>
      </c>
    </row>
    <row>
      <c t="s">
        <v>17594</v>
      </c>
      <c t="s">
        <v>38384</v>
      </c>
      <c t="s">
        <v>23680</v>
      </c>
      <c t="s">
        <v>24579</v>
      </c>
      <c t="s">
        <v>46850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4847" s="1" t="str">
        <f ca="1">HYPERLINK("https://web.datatree.com/?/property?propertyId=33895183", "https://web.datatree.com/?/property?propertyId=33895183")</f>
        <v>https://web.datatree.com/?/property?propertyId=33895183</v>
      </c>
      <c r="Q4847" t="s">
        <v>316</v>
      </c>
      <c>
        <v>0.23</v>
      </c>
      <c t="s">
        <v>22490</v>
      </c>
      <c t="s">
        <v>63182</v>
      </c>
      <c t="s">
        <v>31693</v>
      </c>
      <c t="s">
        <v>37541</v>
      </c>
      <c t="s">
        <v>7232</v>
      </c>
      <c t="s">
        <v>5755</v>
      </c>
      <c t="s">
        <v>60363</v>
      </c>
      <c t="s">
        <v>2517</v>
      </c>
      <c t="s">
        <v>39289</v>
      </c>
      <c>
        <v>33909</v>
      </c>
      <c t="s">
        <v>62150</v>
      </c>
      <c t="s">
        <v>48794</v>
      </c>
      <c t="s">
        <v>59671</v>
      </c>
      <c>
        <v>59</v>
      </c>
      <c r="AI4847" t="s">
        <v>8279</v>
      </c>
      <c t="s">
        <v>45620</v>
      </c>
      <c r="AL4847" t="s">
        <v>37286</v>
      </c>
      <c r="AN4847" t="s">
        <v>26016</v>
      </c>
      <c t="s">
        <v>60373</v>
      </c>
      <c t="s">
        <v>60160</v>
      </c>
      <c t="s">
        <v>3093</v>
      </c>
      <c t="s">
        <v>33913</v>
      </c>
    </row>
    <row>
      <c t="s">
        <v>17594</v>
      </c>
      <c t="s">
        <v>21970</v>
      </c>
      <c t="s">
        <v>1636</v>
      </c>
      <c t="s">
        <v>36602</v>
      </c>
      <c t="s">
        <v>49750</v>
      </c>
      <c s="3">
        <v>20580</v>
      </c>
      <c s="3">
        <v>20580</v>
      </c>
      <c s="3">
        <v>9599</v>
      </c>
      <c>
        <v>0</v>
      </c>
      <c s="3">
        <v>0</v>
      </c>
      <c s="3">
        <v>681.46</v>
      </c>
      <c s="3">
        <v>20580</v>
      </c>
      <c r="O4848" s="1" t="str">
        <f ca="1">HYPERLINK("https://web.datatree.com/?/property?propertyId=33895453", "https://web.datatree.com/?/property?propertyId=33895453")</f>
        <v>https://web.datatree.com/?/property?propertyId=33895453</v>
      </c>
      <c r="Q4848" t="s">
        <v>316</v>
      </c>
      <c>
        <v>0.344</v>
      </c>
      <c t="s">
        <v>6175</v>
      </c>
      <c t="s">
        <v>39574</v>
      </c>
      <c t="s">
        <v>8147</v>
      </c>
      <c t="s">
        <v>65772</v>
      </c>
      <c t="s">
        <v>8147</v>
      </c>
      <c t="s">
        <v>861</v>
      </c>
      <c t="s">
        <v>14917</v>
      </c>
      <c t="s">
        <v>2517</v>
      </c>
      <c t="s">
        <v>39289</v>
      </c>
      <c>
        <v>33909</v>
      </c>
      <c>
        <v>33909</v>
      </c>
      <c t="s">
        <v>48794</v>
      </c>
      <c t="s">
        <v>39926</v>
      </c>
      <c>
        <v>1701</v>
      </c>
      <c r="AI4848" t="s">
        <v>50849</v>
      </c>
      <c t="s">
        <v>31192</v>
      </c>
      <c r="AL4848" t="s">
        <v>4859</v>
      </c>
      <c r="AN4848" t="s">
        <v>39289</v>
      </c>
      <c t="s">
        <v>44197</v>
      </c>
      <c t="s">
        <v>27780</v>
      </c>
      <c t="s">
        <v>3093</v>
      </c>
      <c t="s">
        <v>55446</v>
      </c>
    </row>
    <row>
      <c t="s">
        <v>17594</v>
      </c>
      <c t="s">
        <v>16736</v>
      </c>
      <c t="s">
        <v>64868</v>
      </c>
      <c t="s">
        <v>6462</v>
      </c>
      <c t="s">
        <v>18076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4849" s="1" t="str">
        <f ca="1">HYPERLINK("https://web.datatree.com/?/property?propertyId=33895552", "https://web.datatree.com/?/property?propertyId=33895552")</f>
        <v>https://web.datatree.com/?/property?propertyId=33895552</v>
      </c>
      <c r="Q4849" t="s">
        <v>316</v>
      </c>
      <c>
        <v>0.235</v>
      </c>
      <c t="s">
        <v>6175</v>
      </c>
      <c t="s">
        <v>58113</v>
      </c>
      <c t="s">
        <v>17869</v>
      </c>
      <c t="s">
        <v>51891</v>
      </c>
      <c t="s">
        <v>17869</v>
      </c>
      <c t="s">
        <v>2454</v>
      </c>
      <c t="s">
        <v>17022</v>
      </c>
      <c t="s">
        <v>2517</v>
      </c>
      <c t="s">
        <v>39289</v>
      </c>
      <c>
        <v>33904</v>
      </c>
      <c t="s">
        <v>52837</v>
      </c>
      <c t="s">
        <v>48794</v>
      </c>
      <c t="s">
        <v>36385</v>
      </c>
      <c>
        <v>1811</v>
      </c>
      <c r="AI4849" t="s">
        <v>33179</v>
      </c>
      <c t="s">
        <v>45393</v>
      </c>
      <c r="AL4849" t="s">
        <v>2517</v>
      </c>
      <c t="s">
        <v>46905</v>
      </c>
      <c t="s">
        <v>39289</v>
      </c>
      <c t="s">
        <v>26383</v>
      </c>
      <c t="s">
        <v>49977</v>
      </c>
      <c t="s">
        <v>3093</v>
      </c>
      <c t="s">
        <v>23209</v>
      </c>
    </row>
    <row>
      <c t="s">
        <v>17594</v>
      </c>
      <c t="s">
        <v>12817</v>
      </c>
      <c t="s">
        <v>13557</v>
      </c>
      <c t="s">
        <v>61760</v>
      </c>
      <c t="s">
        <v>48306</v>
      </c>
      <c s="3">
        <v>56806</v>
      </c>
      <c s="3">
        <v>56806</v>
      </c>
      <c s="3">
        <v>51051</v>
      </c>
      <c>
        <v>0</v>
      </c>
      <c s="3">
        <v>0</v>
      </c>
      <c s="3">
        <v>783.55</v>
      </c>
      <c s="3">
        <v>56806</v>
      </c>
      <c r="O4850" s="1" t="str">
        <f ca="1">HYPERLINK("https://web.datatree.com/?/property?propertyId=33895718", "https://web.datatree.com/?/property?propertyId=33895718")</f>
        <v>https://web.datatree.com/?/property?propertyId=33895718</v>
      </c>
      <c r="Q4850" t="s">
        <v>316</v>
      </c>
      <c>
        <v>2.73</v>
      </c>
      <c t="s">
        <v>30497</v>
      </c>
      <c t="s">
        <v>31525</v>
      </c>
      <c t="s">
        <v>63786</v>
      </c>
      <c t="s">
        <v>24625</v>
      </c>
      <c t="s">
        <v>63786</v>
      </c>
      <c t="s">
        <v>24665</v>
      </c>
      <c t="s">
        <v>51647</v>
      </c>
      <c t="s">
        <v>54524</v>
      </c>
      <c t="s">
        <v>39289</v>
      </c>
      <c>
        <v>33903</v>
      </c>
      <c>
        <v>33903</v>
      </c>
      <c t="s">
        <v>48794</v>
      </c>
      <c t="s">
        <v>57082</v>
      </c>
      <c>
        <v>3970</v>
      </c>
      <c r="AI4850" t="s">
        <v>12375</v>
      </c>
      <c t="s">
        <v>4985</v>
      </c>
      <c r="AL4850" t="s">
        <v>32381</v>
      </c>
      <c t="s">
        <v>16712</v>
      </c>
      <c t="s">
        <v>39289</v>
      </c>
      <c t="s">
        <v>61752</v>
      </c>
      <c t="s">
        <v>37774</v>
      </c>
      <c t="s">
        <v>3093</v>
      </c>
      <c t="s">
        <v>17933</v>
      </c>
    </row>
    <row>
      <c t="s">
        <v>17594</v>
      </c>
      <c t="s">
        <v>18914</v>
      </c>
      <c t="s">
        <v>7482</v>
      </c>
      <c t="s">
        <v>39679</v>
      </c>
      <c t="s">
        <v>19122</v>
      </c>
      <c s="3">
        <v>38750</v>
      </c>
      <c s="3">
        <v>38750</v>
      </c>
      <c s="3">
        <v>17050</v>
      </c>
      <c>
        <v>0</v>
      </c>
      <c s="3">
        <v>0</v>
      </c>
      <c s="3">
        <v>764.36</v>
      </c>
      <c s="3">
        <v>38750</v>
      </c>
      <c r="O4851" s="1" t="str">
        <f ca="1">HYPERLINK("https://web.datatree.com/?/property?propertyId=33895963", "https://web.datatree.com/?/property?propertyId=33895963")</f>
        <v>https://web.datatree.com/?/property?propertyId=33895963</v>
      </c>
      <c r="Q4851" t="s">
        <v>316</v>
      </c>
      <c>
        <v>0.23</v>
      </c>
      <c t="s">
        <v>45031</v>
      </c>
      <c t="s">
        <v>29973</v>
      </c>
      <c t="s">
        <v>39463</v>
      </c>
      <c r="X4851" t="s">
        <v>21228</v>
      </c>
      <c t="s">
        <v>46469</v>
      </c>
      <c t="s">
        <v>2517</v>
      </c>
      <c t="s">
        <v>39289</v>
      </c>
      <c>
        <v>33909</v>
      </c>
      <c t="s">
        <v>18177</v>
      </c>
      <c t="s">
        <v>48794</v>
      </c>
      <c t="s">
        <v>57414</v>
      </c>
      <c r="AL4851" t="s">
        <v>14280</v>
      </c>
      <c r="AN4851" t="s">
        <v>32840</v>
      </c>
    </row>
    <row>
      <c t="s">
        <v>42103</v>
      </c>
      <c t="s">
        <v>59268</v>
      </c>
      <c t="s">
        <v>49508</v>
      </c>
      <c t="s">
        <v>35082</v>
      </c>
      <c t="s">
        <v>48912</v>
      </c>
      <c s="3">
        <v>18246</v>
      </c>
      <c s="3">
        <v>18246</v>
      </c>
      <c s="3">
        <v>8910</v>
      </c>
      <c>
        <v>0</v>
      </c>
      <c s="3">
        <v>0</v>
      </c>
      <c s="3">
        <v>583.82</v>
      </c>
      <c s="3">
        <v>18246</v>
      </c>
      <c r="O4852" s="1" t="str">
        <f ca="1">HYPERLINK("https://web.datatree.com/?/property?propertyId=33896370", "https://web.datatree.com/?/property?propertyId=33896370")</f>
        <v>https://web.datatree.com/?/property?propertyId=33896370</v>
      </c>
      <c r="Q4852" t="s">
        <v>316</v>
      </c>
      <c>
        <v>0.255</v>
      </c>
      <c t="s">
        <v>6175</v>
      </c>
      <c t="s">
        <v>2140</v>
      </c>
      <c t="s">
        <v>1124</v>
      </c>
      <c r="X4852" t="s">
        <v>44755</v>
      </c>
      <c t="s">
        <v>15510</v>
      </c>
      <c t="s">
        <v>2517</v>
      </c>
      <c t="s">
        <v>39289</v>
      </c>
      <c>
        <v>33909</v>
      </c>
      <c t="s">
        <v>5561</v>
      </c>
      <c t="s">
        <v>48794</v>
      </c>
      <c t="s">
        <v>7962</v>
      </c>
      <c r="AI4852" t="s">
        <v>46616</v>
      </c>
      <c r="AL4852" t="s">
        <v>46989</v>
      </c>
      <c r="AN4852" t="s">
        <v>39289</v>
      </c>
      <c t="s">
        <v>5768</v>
      </c>
      <c t="s">
        <v>7011</v>
      </c>
      <c t="s">
        <v>3093</v>
      </c>
      <c t="s">
        <v>20241</v>
      </c>
    </row>
    <row>
      <c t="s">
        <v>17594</v>
      </c>
      <c t="s">
        <v>59253</v>
      </c>
      <c t="s">
        <v>12533</v>
      </c>
      <c t="s">
        <v>7939</v>
      </c>
      <c t="s">
        <v>44975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853" s="1" t="str">
        <f ca="1">HYPERLINK("https://web.datatree.com/?/property?propertyId=33897348", "https://web.datatree.com/?/property?propertyId=33897348")</f>
        <v>https://web.datatree.com/?/property?propertyId=33897348</v>
      </c>
      <c r="Q4853" t="s">
        <v>316</v>
      </c>
      <c>
        <v>0.23</v>
      </c>
      <c t="s">
        <v>6175</v>
      </c>
      <c t="s">
        <v>16387</v>
      </c>
      <c t="s">
        <v>48493</v>
      </c>
      <c r="X4853" t="s">
        <v>55369</v>
      </c>
      <c t="s">
        <v>53663</v>
      </c>
      <c t="s">
        <v>2517</v>
      </c>
      <c t="s">
        <v>39289</v>
      </c>
      <c>
        <v>33909</v>
      </c>
      <c t="s">
        <v>57342</v>
      </c>
      <c t="s">
        <v>48794</v>
      </c>
      <c t="s">
        <v>4819</v>
      </c>
      <c>
        <v>51</v>
      </c>
      <c r="AI4853" t="s">
        <v>66704</v>
      </c>
      <c t="s">
        <v>31192</v>
      </c>
      <c r="AL4853" t="s">
        <v>27854</v>
      </c>
      <c r="AN4853" t="s">
        <v>10909</v>
      </c>
      <c t="s">
        <v>65555</v>
      </c>
      <c r="AQ4853" t="s">
        <v>27814</v>
      </c>
      <c t="s">
        <v>59981</v>
      </c>
    </row>
    <row>
      <c t="s">
        <v>17594</v>
      </c>
      <c t="s">
        <v>32768</v>
      </c>
      <c t="s">
        <v>11044</v>
      </c>
      <c t="s">
        <v>30118</v>
      </c>
      <c t="s">
        <v>35396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4854" s="1" t="str">
        <f ca="1">HYPERLINK("https://web.datatree.com/?/property?propertyId=33897525", "https://web.datatree.com/?/property?propertyId=33897525")</f>
        <v>https://web.datatree.com/?/property?propertyId=33897525</v>
      </c>
      <c r="Q4854" t="s">
        <v>316</v>
      </c>
      <c>
        <v>0.23</v>
      </c>
      <c t="s">
        <v>22490</v>
      </c>
      <c t="s">
        <v>1599</v>
      </c>
      <c t="s">
        <v>6850</v>
      </c>
      <c r="X4854" t="s">
        <v>45493</v>
      </c>
      <c t="s">
        <v>47150</v>
      </c>
      <c t="s">
        <v>2517</v>
      </c>
      <c t="s">
        <v>39289</v>
      </c>
      <c>
        <v>33909</v>
      </c>
      <c t="s">
        <v>12002</v>
      </c>
      <c t="s">
        <v>48794</v>
      </c>
      <c t="s">
        <v>52666</v>
      </c>
      <c>
        <v>1502</v>
      </c>
      <c r="AI4854" t="s">
        <v>45066</v>
      </c>
      <c t="s">
        <v>45620</v>
      </c>
      <c r="AL4854" t="s">
        <v>742</v>
      </c>
      <c r="AN4854" t="s">
        <v>17134</v>
      </c>
      <c t="s">
        <v>9696</v>
      </c>
      <c t="s">
        <v>22455</v>
      </c>
      <c t="s">
        <v>3093</v>
      </c>
      <c t="s">
        <v>62695</v>
      </c>
    </row>
    <row>
      <c t="s">
        <v>17594</v>
      </c>
      <c t="s">
        <v>13946</v>
      </c>
      <c t="s">
        <v>42868</v>
      </c>
      <c t="s">
        <v>37848</v>
      </c>
      <c t="s">
        <v>27199</v>
      </c>
      <c s="3">
        <v>128500</v>
      </c>
      <c s="3">
        <v>128500</v>
      </c>
      <c s="3">
        <v>119878</v>
      </c>
      <c>
        <v>0</v>
      </c>
      <c s="3">
        <v>0</v>
      </c>
      <c s="3">
        <v>5436.13</v>
      </c>
      <c s="3">
        <v>128500</v>
      </c>
      <c r="O4855" s="1" t="str">
        <f ca="1">HYPERLINK("https://web.datatree.com/?/property?propertyId=33897635", "https://web.datatree.com/?/property?propertyId=33897635")</f>
        <v>https://web.datatree.com/?/property?propertyId=33897635</v>
      </c>
      <c r="Q4855" t="s">
        <v>316</v>
      </c>
      <c>
        <v>0.353</v>
      </c>
      <c t="s">
        <v>60849</v>
      </c>
      <c t="s">
        <v>552</v>
      </c>
      <c t="s">
        <v>34948</v>
      </c>
      <c t="s">
        <v>60243</v>
      </c>
      <c t="s">
        <v>34948</v>
      </c>
      <c t="s">
        <v>6836</v>
      </c>
      <c t="s">
        <v>41309</v>
      </c>
      <c t="s">
        <v>65059</v>
      </c>
      <c t="s">
        <v>39289</v>
      </c>
      <c>
        <v>33905</v>
      </c>
      <c t="s">
        <v>65133</v>
      </c>
      <c t="s">
        <v>48794</v>
      </c>
      <c t="s">
        <v>34942</v>
      </c>
      <c>
        <v>12503</v>
      </c>
      <c r="AI4855" t="s">
        <v>44458</v>
      </c>
      <c t="s">
        <v>39321</v>
      </c>
      <c r="AL4855" t="s">
        <v>21484</v>
      </c>
      <c t="s">
        <v>21484</v>
      </c>
      <c t="s">
        <v>14798</v>
      </c>
      <c t="s">
        <v>1274</v>
      </c>
      <c t="s">
        <v>38014</v>
      </c>
      <c t="s">
        <v>3093</v>
      </c>
      <c t="s">
        <v>47771</v>
      </c>
    </row>
    <row>
      <c t="s">
        <v>17594</v>
      </c>
      <c t="s">
        <v>59042</v>
      </c>
      <c t="s">
        <v>1248</v>
      </c>
      <c t="s">
        <v>19982</v>
      </c>
      <c t="s">
        <v>1410</v>
      </c>
      <c s="3">
        <v>19200</v>
      </c>
      <c s="3">
        <v>19200</v>
      </c>
      <c s="3">
        <v>9339</v>
      </c>
      <c>
        <v>0</v>
      </c>
      <c s="3">
        <v>0</v>
      </c>
      <c s="3">
        <v>580.03</v>
      </c>
      <c s="3">
        <v>19200</v>
      </c>
      <c r="O4856" s="1" t="str">
        <f ca="1">HYPERLINK("https://web.datatree.com/?/property?propertyId=33897845", "https://web.datatree.com/?/property?propertyId=33897845")</f>
        <v>https://web.datatree.com/?/property?propertyId=33897845</v>
      </c>
      <c r="Q4856" t="s">
        <v>316</v>
      </c>
      <c>
        <v>0.244</v>
      </c>
      <c t="s">
        <v>6175</v>
      </c>
      <c r="U4856" t="s">
        <v>29379</v>
      </c>
      <c r="W4856" t="s">
        <v>51715</v>
      </c>
      <c t="s">
        <v>11142</v>
      </c>
      <c t="s">
        <v>53663</v>
      </c>
      <c t="s">
        <v>2517</v>
      </c>
      <c t="s">
        <v>39289</v>
      </c>
      <c>
        <v>33909</v>
      </c>
      <c t="s">
        <v>11924</v>
      </c>
      <c t="s">
        <v>48794</v>
      </c>
      <c t="s">
        <v>42749</v>
      </c>
      <c>
        <v>200</v>
      </c>
      <c r="AI4856" t="s">
        <v>59300</v>
      </c>
      <c t="s">
        <v>45393</v>
      </c>
      <c t="s">
        <v>17594</v>
      </c>
      <c t="s">
        <v>37773</v>
      </c>
      <c r="AN4856" t="s">
        <v>49572</v>
      </c>
      <c t="s">
        <v>28492</v>
      </c>
      <c t="s">
        <v>19978</v>
      </c>
      <c t="s">
        <v>3093</v>
      </c>
      <c t="s">
        <v>15225</v>
      </c>
    </row>
    <row>
      <c t="s">
        <v>42103</v>
      </c>
      <c t="s">
        <v>50950</v>
      </c>
      <c t="s">
        <v>22898</v>
      </c>
      <c t="s">
        <v>65584</v>
      </c>
      <c t="s">
        <v>13599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857" s="1" t="str">
        <f ca="1">HYPERLINK("https://web.datatree.com/?/property?propertyId=33897963", "https://web.datatree.com/?/property?propertyId=33897963")</f>
        <v>https://web.datatree.com/?/property?propertyId=33897963</v>
      </c>
      <c r="Q4857" t="s">
        <v>316</v>
      </c>
      <c>
        <v>0.23</v>
      </c>
      <c t="s">
        <v>6175</v>
      </c>
      <c t="s">
        <v>3293</v>
      </c>
      <c t="s">
        <v>52803</v>
      </c>
      <c r="X4857" t="s">
        <v>45298</v>
      </c>
      <c t="s">
        <v>30928</v>
      </c>
      <c t="s">
        <v>2517</v>
      </c>
      <c t="s">
        <v>39289</v>
      </c>
      <c>
        <v>33909</v>
      </c>
      <c t="s">
        <v>23431</v>
      </c>
      <c t="s">
        <v>48794</v>
      </c>
      <c t="s">
        <v>12321</v>
      </c>
      <c r="AI4857" t="s">
        <v>42364</v>
      </c>
      <c r="AL4857" t="s">
        <v>59550</v>
      </c>
      <c t="s">
        <v>59550</v>
      </c>
      <c t="s">
        <v>51087</v>
      </c>
      <c>
        <v>20156</v>
      </c>
      <c t="s">
        <v>23536</v>
      </c>
      <c t="s">
        <v>3093</v>
      </c>
      <c t="s">
        <v>42981</v>
      </c>
    </row>
    <row>
      <c t="s">
        <v>17594</v>
      </c>
      <c t="s">
        <v>28984</v>
      </c>
      <c t="s">
        <v>4862</v>
      </c>
      <c t="s">
        <v>44904</v>
      </c>
      <c t="s">
        <v>43747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4858" s="1" t="str">
        <f ca="1">HYPERLINK("https://web.datatree.com/?/property?propertyId=33898304", "https://web.datatree.com/?/property?propertyId=33898304")</f>
        <v>https://web.datatree.com/?/property?propertyId=33898304</v>
      </c>
      <c r="Q4858" t="s">
        <v>316</v>
      </c>
      <c>
        <v>0.246</v>
      </c>
      <c t="s">
        <v>5471</v>
      </c>
      <c t="s">
        <v>43826</v>
      </c>
      <c t="s">
        <v>35571</v>
      </c>
      <c r="X4858" t="s">
        <v>7154</v>
      </c>
      <c t="s">
        <v>5280</v>
      </c>
      <c t="s">
        <v>65059</v>
      </c>
      <c t="s">
        <v>39289</v>
      </c>
      <c>
        <v>33905</v>
      </c>
      <c t="s">
        <v>14638</v>
      </c>
      <c t="s">
        <v>48794</v>
      </c>
      <c t="s">
        <v>29405</v>
      </c>
      <c>
        <v>160</v>
      </c>
      <c r="AI4858" t="s">
        <v>48021</v>
      </c>
      <c t="s">
        <v>31192</v>
      </c>
      <c r="AL4858" t="s">
        <v>55417</v>
      </c>
      <c r="AN4858" t="s">
        <v>22275</v>
      </c>
      <c t="s">
        <v>64670</v>
      </c>
      <c t="s">
        <v>48506</v>
      </c>
      <c t="s">
        <v>3093</v>
      </c>
      <c t="s">
        <v>1964</v>
      </c>
    </row>
    <row>
      <c t="s">
        <v>17594</v>
      </c>
      <c t="s">
        <v>49106</v>
      </c>
      <c t="s">
        <v>25613</v>
      </c>
      <c t="s">
        <v>7990</v>
      </c>
      <c t="s">
        <v>4226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>
        <v>2021</v>
      </c>
      <c>
        <v>590.56</v>
      </c>
      <c s="1" t="str">
        <f ca="1">HYPERLINK("https://web.datatree.com/?/property?propertyId=33899635", "https://web.datatree.com/?/property?propertyId=33899635")</f>
        <v>https://web.datatree.com/?/property?propertyId=33899635</v>
      </c>
      <c r="Q4859" t="s">
        <v>316</v>
      </c>
      <c>
        <v>0.241</v>
      </c>
      <c t="s">
        <v>6175</v>
      </c>
      <c t="s">
        <v>33193</v>
      </c>
      <c t="s">
        <v>30230</v>
      </c>
      <c r="X4859" t="s">
        <v>31864</v>
      </c>
      <c t="s">
        <v>13065</v>
      </c>
      <c t="s">
        <v>2517</v>
      </c>
      <c t="s">
        <v>39289</v>
      </c>
      <c>
        <v>33909</v>
      </c>
      <c t="s">
        <v>59802</v>
      </c>
      <c t="s">
        <v>48794</v>
      </c>
      <c t="s">
        <v>20562</v>
      </c>
      <c>
        <v>5644</v>
      </c>
      <c r="AI4859" t="s">
        <v>43390</v>
      </c>
      <c t="s">
        <v>55842</v>
      </c>
      <c r="AL4859" t="s">
        <v>17856</v>
      </c>
      <c r="AN4859" t="s">
        <v>50829</v>
      </c>
      <c t="s">
        <v>43933</v>
      </c>
      <c t="s">
        <v>22302</v>
      </c>
      <c t="s">
        <v>3093</v>
      </c>
      <c t="s">
        <v>5659</v>
      </c>
    </row>
    <row>
      <c t="s">
        <v>17594</v>
      </c>
      <c t="s">
        <v>56289</v>
      </c>
      <c t="s">
        <v>36059</v>
      </c>
      <c t="s">
        <v>32759</v>
      </c>
      <c t="s">
        <v>15681</v>
      </c>
      <c s="3">
        <v>135660</v>
      </c>
      <c s="3">
        <v>135660</v>
      </c>
      <c s="3">
        <v>113740</v>
      </c>
      <c>
        <v>0</v>
      </c>
      <c s="3">
        <v>0</v>
      </c>
      <c s="3">
        <v>2331.7</v>
      </c>
      <c s="3">
        <v>135660</v>
      </c>
      <c r="O4860" s="1" t="str">
        <f ca="1">HYPERLINK("https://web.datatree.com/?/property?propertyId=33900114", "https://web.datatree.com/?/property?propertyId=33900114")</f>
        <v>https://web.datatree.com/?/property?propertyId=33900114</v>
      </c>
      <c r="Q4860" t="s">
        <v>316</v>
      </c>
      <c>
        <v>0.23</v>
      </c>
      <c t="s">
        <v>22490</v>
      </c>
      <c t="s">
        <v>38275</v>
      </c>
      <c t="s">
        <v>10072</v>
      </c>
      <c t="s">
        <v>12936</v>
      </c>
      <c t="s">
        <v>10072</v>
      </c>
      <c t="s">
        <v>13132</v>
      </c>
      <c t="s">
        <v>47150</v>
      </c>
      <c t="s">
        <v>2517</v>
      </c>
      <c t="s">
        <v>39289</v>
      </c>
      <c>
        <v>33904</v>
      </c>
      <c t="s">
        <v>56609</v>
      </c>
      <c t="s">
        <v>48794</v>
      </c>
      <c t="s">
        <v>20385</v>
      </c>
      <c>
        <v>3</v>
      </c>
      <c r="AI4860" t="s">
        <v>54284</v>
      </c>
      <c r="AL4860" t="s">
        <v>41806</v>
      </c>
      <c r="AN4860" t="s">
        <v>63985</v>
      </c>
      <c>
        <v>50374</v>
      </c>
      <c r="AR4860" t="s">
        <v>15732</v>
      </c>
    </row>
    <row>
      <c t="s">
        <v>17594</v>
      </c>
      <c t="s">
        <v>54378</v>
      </c>
      <c t="s">
        <v>53462</v>
      </c>
      <c t="s">
        <v>60290</v>
      </c>
      <c t="s">
        <v>33805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4861" s="1" t="str">
        <f ca="1">HYPERLINK("https://web.datatree.com/?/property?propertyId=33900552", "https://web.datatree.com/?/property?propertyId=33900552")</f>
        <v>https://web.datatree.com/?/property?propertyId=33900552</v>
      </c>
      <c r="Q4861" t="s">
        <v>316</v>
      </c>
      <c>
        <v>0.23</v>
      </c>
      <c t="s">
        <v>22490</v>
      </c>
      <c r="U4861" t="s">
        <v>4285</v>
      </c>
      <c r="X4861" t="s">
        <v>39554</v>
      </c>
      <c t="s">
        <v>29190</v>
      </c>
      <c t="s">
        <v>2517</v>
      </c>
      <c t="s">
        <v>39289</v>
      </c>
      <c>
        <v>33909</v>
      </c>
      <c t="s">
        <v>56020</v>
      </c>
      <c t="s">
        <v>48794</v>
      </c>
      <c t="s">
        <v>65355</v>
      </c>
      <c>
        <v>46</v>
      </c>
      <c r="AI4861" t="s">
        <v>63401</v>
      </c>
      <c t="s">
        <v>45620</v>
      </c>
      <c r="AL4861" t="s">
        <v>61317</v>
      </c>
      <c r="AN4861" t="s">
        <v>26016</v>
      </c>
      <c t="s">
        <v>40098</v>
      </c>
      <c t="s">
        <v>13449</v>
      </c>
      <c t="s">
        <v>3093</v>
      </c>
      <c t="s">
        <v>32719</v>
      </c>
    </row>
    <row>
      <c t="s">
        <v>17594</v>
      </c>
      <c t="s">
        <v>57044</v>
      </c>
      <c t="s">
        <v>22867</v>
      </c>
      <c t="s">
        <v>33838</v>
      </c>
      <c t="s">
        <v>236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4862" s="1" t="str">
        <f ca="1">HYPERLINK("https://web.datatree.com/?/property?propertyId=33900961", "https://web.datatree.com/?/property?propertyId=33900961")</f>
        <v>https://web.datatree.com/?/property?propertyId=33900961</v>
      </c>
      <c r="Q4862" t="s">
        <v>316</v>
      </c>
      <c>
        <v>0.23</v>
      </c>
      <c t="s">
        <v>6175</v>
      </c>
      <c t="s">
        <v>26711</v>
      </c>
      <c t="s">
        <v>63013</v>
      </c>
      <c r="X4862" t="s">
        <v>7244</v>
      </c>
      <c t="s">
        <v>46469</v>
      </c>
      <c t="s">
        <v>2517</v>
      </c>
      <c t="s">
        <v>39289</v>
      </c>
      <c>
        <v>33909</v>
      </c>
      <c t="s">
        <v>20202</v>
      </c>
      <c t="s">
        <v>48794</v>
      </c>
      <c t="s">
        <v>66279</v>
      </c>
      <c>
        <v>2445</v>
      </c>
      <c r="AI4862" t="s">
        <v>16447</v>
      </c>
      <c t="s">
        <v>1671</v>
      </c>
      <c r="AL4862" t="s">
        <v>40869</v>
      </c>
      <c r="AN4862" t="s">
        <v>39289</v>
      </c>
      <c t="s">
        <v>49964</v>
      </c>
      <c t="s">
        <v>14845</v>
      </c>
      <c t="s">
        <v>3093</v>
      </c>
      <c t="s">
        <v>39547</v>
      </c>
    </row>
    <row>
      <c t="s">
        <v>17594</v>
      </c>
      <c t="s">
        <v>41335</v>
      </c>
      <c t="s">
        <v>49129</v>
      </c>
      <c t="s">
        <v>49298</v>
      </c>
      <c t="s">
        <v>23133</v>
      </c>
      <c s="3">
        <v>10600</v>
      </c>
      <c s="3">
        <v>10600</v>
      </c>
      <c s="3">
        <v>9680</v>
      </c>
      <c>
        <v>0</v>
      </c>
      <c s="3">
        <v>0</v>
      </c>
      <c s="3">
        <v>623.47</v>
      </c>
      <c s="3">
        <v>10600</v>
      </c>
      <c r="O4863" s="1" t="str">
        <f ca="1">HYPERLINK("https://web.datatree.com/?/property?propertyId=33901039", "https://web.datatree.com/?/property?propertyId=33901039")</f>
        <v>https://web.datatree.com/?/property?propertyId=33901039</v>
      </c>
      <c r="Q4863" t="s">
        <v>316</v>
      </c>
      <c>
        <v>0.241</v>
      </c>
      <c t="s">
        <v>6175</v>
      </c>
      <c t="s">
        <v>64581</v>
      </c>
      <c t="s">
        <v>37991</v>
      </c>
      <c r="X4863" t="s">
        <v>32234</v>
      </c>
      <c t="s">
        <v>47150</v>
      </c>
      <c t="s">
        <v>2517</v>
      </c>
      <c t="s">
        <v>39289</v>
      </c>
      <c>
        <v>33909</v>
      </c>
      <c t="s">
        <v>33300</v>
      </c>
      <c t="s">
        <v>48794</v>
      </c>
      <c t="s">
        <v>11038</v>
      </c>
      <c>
        <v>5301</v>
      </c>
      <c r="AI4863" t="s">
        <v>2626</v>
      </c>
      <c t="s">
        <v>24900</v>
      </c>
      <c r="AL4863" t="s">
        <v>29515</v>
      </c>
      <c t="s">
        <v>29515</v>
      </c>
      <c t="s">
        <v>39289</v>
      </c>
      <c t="s">
        <v>23271</v>
      </c>
      <c t="s">
        <v>32746</v>
      </c>
      <c t="s">
        <v>3093</v>
      </c>
      <c t="s">
        <v>24190</v>
      </c>
    </row>
    <row>
      <c t="s">
        <v>17594</v>
      </c>
      <c t="s">
        <v>48637</v>
      </c>
      <c t="s">
        <v>33229</v>
      </c>
      <c t="s">
        <v>2179</v>
      </c>
      <c t="s">
        <v>45533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864" s="1" t="str">
        <f ca="1">HYPERLINK("https://web.datatree.com/?/property?propertyId=33901100", "https://web.datatree.com/?/property?propertyId=33901100")</f>
        <v>https://web.datatree.com/?/property?propertyId=33901100</v>
      </c>
      <c r="Q4864" t="s">
        <v>316</v>
      </c>
      <c>
        <v>0.233</v>
      </c>
      <c t="s">
        <v>22490</v>
      </c>
      <c t="s">
        <v>34324</v>
      </c>
      <c t="s">
        <v>48196</v>
      </c>
      <c r="X4864" t="s">
        <v>14286</v>
      </c>
      <c t="s">
        <v>61850</v>
      </c>
      <c t="s">
        <v>2517</v>
      </c>
      <c t="s">
        <v>39289</v>
      </c>
      <c>
        <v>33909</v>
      </c>
      <c t="s">
        <v>55313</v>
      </c>
      <c t="s">
        <v>48794</v>
      </c>
      <c t="s">
        <v>4536</v>
      </c>
      <c>
        <v>7169</v>
      </c>
      <c r="AI4864" t="s">
        <v>59659</v>
      </c>
      <c t="s">
        <v>45393</v>
      </c>
      <c r="AL4864" t="s">
        <v>34557</v>
      </c>
      <c t="s">
        <v>34557</v>
      </c>
      <c t="s">
        <v>65451</v>
      </c>
      <c t="s">
        <v>60189</v>
      </c>
      <c t="s">
        <v>44573</v>
      </c>
      <c t="s">
        <v>3093</v>
      </c>
      <c t="s">
        <v>44153</v>
      </c>
    </row>
    <row>
      <c t="s">
        <v>17594</v>
      </c>
      <c t="s">
        <v>63514</v>
      </c>
      <c t="s">
        <v>50264</v>
      </c>
      <c t="s">
        <v>47477</v>
      </c>
      <c t="s">
        <v>1844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865" s="1" t="str">
        <f ca="1">HYPERLINK("https://web.datatree.com/?/property?propertyId=33902084", "https://web.datatree.com/?/property?propertyId=33902084")</f>
        <v>https://web.datatree.com/?/property?propertyId=33902084</v>
      </c>
      <c r="Q4865" t="s">
        <v>316</v>
      </c>
      <c>
        <v>0.23</v>
      </c>
      <c t="s">
        <v>6175</v>
      </c>
      <c t="s">
        <v>43224</v>
      </c>
      <c t="s">
        <v>5509</v>
      </c>
      <c r="X4865" t="s">
        <v>63265</v>
      </c>
      <c t="s">
        <v>49122</v>
      </c>
      <c t="s">
        <v>2517</v>
      </c>
      <c t="s">
        <v>39289</v>
      </c>
      <c>
        <v>33909</v>
      </c>
      <c t="s">
        <v>9249</v>
      </c>
      <c t="s">
        <v>48794</v>
      </c>
      <c t="s">
        <v>51277</v>
      </c>
      <c r="AI4865" t="s">
        <v>23673</v>
      </c>
      <c r="AL4865" t="s">
        <v>53927</v>
      </c>
      <c t="s">
        <v>53927</v>
      </c>
      <c t="s">
        <v>32576</v>
      </c>
      <c>
        <v>29250</v>
      </c>
      <c r="AR4865" t="s">
        <v>13854</v>
      </c>
    </row>
    <row>
      <c t="s">
        <v>17594</v>
      </c>
      <c t="s">
        <v>28140</v>
      </c>
      <c t="s">
        <v>11509</v>
      </c>
      <c t="s">
        <v>1413</v>
      </c>
      <c t="s">
        <v>65799</v>
      </c>
      <c s="3">
        <v>28960</v>
      </c>
      <c s="3">
        <v>28960</v>
      </c>
      <c s="3">
        <v>9079</v>
      </c>
      <c>
        <v>0</v>
      </c>
      <c s="3">
        <v>0</v>
      </c>
      <c s="3">
        <v>2959.48</v>
      </c>
      <c s="3">
        <v>28960</v>
      </c>
      <c r="O4866" s="1" t="str">
        <f ca="1">HYPERLINK("https://web.datatree.com/?/property?propertyId=33903496", "https://web.datatree.com/?/property?propertyId=33903496")</f>
        <v>https://web.datatree.com/?/property?propertyId=33903496</v>
      </c>
      <c r="Q4866" t="s">
        <v>316</v>
      </c>
      <c>
        <v>0.241</v>
      </c>
      <c t="s">
        <v>6175</v>
      </c>
      <c t="s">
        <v>45245</v>
      </c>
      <c t="s">
        <v>60829</v>
      </c>
      <c r="X4866" t="s">
        <v>56995</v>
      </c>
      <c t="s">
        <v>58797</v>
      </c>
      <c t="s">
        <v>2517</v>
      </c>
      <c t="s">
        <v>39289</v>
      </c>
      <c>
        <v>33909</v>
      </c>
      <c t="s">
        <v>1758</v>
      </c>
      <c t="s">
        <v>48794</v>
      </c>
      <c t="s">
        <v>20867</v>
      </c>
      <c>
        <v>6698</v>
      </c>
      <c r="AH4866" t="s">
        <v>26580</v>
      </c>
      <c t="s">
        <v>18679</v>
      </c>
      <c t="s">
        <v>24900</v>
      </c>
      <c>
        <v>222</v>
      </c>
      <c t="s">
        <v>15179</v>
      </c>
      <c r="AN4866" t="s">
        <v>39289</v>
      </c>
      <c t="s">
        <v>21305</v>
      </c>
      <c t="s">
        <v>16126</v>
      </c>
      <c t="s">
        <v>3093</v>
      </c>
      <c t="s">
        <v>22348</v>
      </c>
    </row>
    <row>
      <c t="s">
        <v>17594</v>
      </c>
      <c t="s">
        <v>31066</v>
      </c>
      <c t="s">
        <v>49548</v>
      </c>
      <c t="s">
        <v>13941</v>
      </c>
      <c t="s">
        <v>10464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867" s="1" t="str">
        <f ca="1">HYPERLINK("https://web.datatree.com/?/property?propertyId=33903766", "https://web.datatree.com/?/property?propertyId=33903766")</f>
        <v>https://web.datatree.com/?/property?propertyId=33903766</v>
      </c>
      <c r="Q4867" t="s">
        <v>316</v>
      </c>
      <c>
        <v>0.23</v>
      </c>
      <c t="s">
        <v>6175</v>
      </c>
      <c t="s">
        <v>54943</v>
      </c>
      <c t="s">
        <v>13824</v>
      </c>
      <c r="X4867" t="s">
        <v>14939</v>
      </c>
      <c t="s">
        <v>2619</v>
      </c>
      <c t="s">
        <v>2517</v>
      </c>
      <c t="s">
        <v>39289</v>
      </c>
      <c>
        <v>33909</v>
      </c>
      <c t="s">
        <v>60510</v>
      </c>
      <c t="s">
        <v>48794</v>
      </c>
      <c t="s">
        <v>20303</v>
      </c>
      <c>
        <v>3430</v>
      </c>
      <c r="AI4867" t="s">
        <v>19180</v>
      </c>
      <c t="s">
        <v>24900</v>
      </c>
      <c r="AL4867" t="s">
        <v>55393</v>
      </c>
      <c r="AN4867" t="s">
        <v>39289</v>
      </c>
      <c t="s">
        <v>49538</v>
      </c>
      <c t="s">
        <v>36638</v>
      </c>
      <c t="s">
        <v>3093</v>
      </c>
      <c t="s">
        <v>130</v>
      </c>
    </row>
    <row>
      <c t="s">
        <v>17594</v>
      </c>
      <c t="s">
        <v>21278</v>
      </c>
      <c t="s">
        <v>38365</v>
      </c>
      <c t="s">
        <v>8963</v>
      </c>
      <c t="s">
        <v>49568</v>
      </c>
      <c s="3">
        <v>26400</v>
      </c>
      <c s="3">
        <v>26400</v>
      </c>
      <c s="3">
        <v>20293</v>
      </c>
      <c>
        <v>0</v>
      </c>
      <c s="3">
        <v>0</v>
      </c>
      <c s="3">
        <v>365.56</v>
      </c>
      <c s="3">
        <v>26400</v>
      </c>
      <c r="O4868" s="1" t="str">
        <f ca="1">HYPERLINK("https://web.datatree.com/?/property?propertyId=33905821", "https://web.datatree.com/?/property?propertyId=33905821")</f>
        <v>https://web.datatree.com/?/property?propertyId=33905821</v>
      </c>
      <c r="Q4868" t="s">
        <v>316</v>
      </c>
      <c>
        <v>1.1</v>
      </c>
      <c t="s">
        <v>30497</v>
      </c>
      <c t="s">
        <v>552</v>
      </c>
      <c t="s">
        <v>36902</v>
      </c>
      <c r="X4868" t="s">
        <v>47928</v>
      </c>
      <c t="s">
        <v>24611</v>
      </c>
      <c t="s">
        <v>54524</v>
      </c>
      <c t="s">
        <v>39289</v>
      </c>
      <c>
        <v>33903</v>
      </c>
      <c t="s">
        <v>62789</v>
      </c>
      <c t="s">
        <v>48794</v>
      </c>
      <c t="s">
        <v>32777</v>
      </c>
      <c>
        <v>112</v>
      </c>
      <c r="AI4868" t="s">
        <v>56697</v>
      </c>
      <c t="s">
        <v>37870</v>
      </c>
      <c r="AL4868" t="s">
        <v>18756</v>
      </c>
      <c r="AN4868" t="s">
        <v>45851</v>
      </c>
      <c t="s">
        <v>5510</v>
      </c>
      <c r="AQ4868" t="s">
        <v>27814</v>
      </c>
      <c t="s">
        <v>39221</v>
      </c>
    </row>
    <row>
      <c t="s">
        <v>17594</v>
      </c>
      <c t="s">
        <v>37118</v>
      </c>
      <c t="s">
        <v>26004</v>
      </c>
      <c t="s">
        <v>48507</v>
      </c>
      <c t="s">
        <v>37179</v>
      </c>
      <c s="3">
        <v>74375</v>
      </c>
      <c s="3">
        <v>63500</v>
      </c>
      <c s="3">
        <v>72799</v>
      </c>
      <c>
        <v>0</v>
      </c>
      <c s="3">
        <v>0</v>
      </c>
      <c s="3">
        <v>1103.58</v>
      </c>
      <c s="3">
        <v>74375</v>
      </c>
      <c r="O4869" s="1" t="str">
        <f ca="1">HYPERLINK("https://web.datatree.com/?/property?propertyId=33906521", "https://web.datatree.com/?/property?propertyId=33906521")</f>
        <v>https://web.datatree.com/?/property?propertyId=33906521</v>
      </c>
      <c r="Q4869" t="s">
        <v>316</v>
      </c>
      <c>
        <v>0.095</v>
      </c>
      <c t="s">
        <v>26492</v>
      </c>
      <c t="s">
        <v>2140</v>
      </c>
      <c t="s">
        <v>21104</v>
      </c>
      <c t="s">
        <v>28873</v>
      </c>
      <c t="s">
        <v>21104</v>
      </c>
      <c t="s">
        <v>29501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62498</v>
      </c>
      <c>
        <v>2425</v>
      </c>
      <c r="AI4869" t="s">
        <v>10541</v>
      </c>
      <c t="s">
        <v>45620</v>
      </c>
      <c r="AL4869" t="s">
        <v>1393</v>
      </c>
      <c t="s">
        <v>40227</v>
      </c>
      <c t="s">
        <v>19878</v>
      </c>
      <c t="s">
        <v>63522</v>
      </c>
      <c t="s">
        <v>48506</v>
      </c>
      <c t="s">
        <v>3093</v>
      </c>
      <c t="s">
        <v>10767</v>
      </c>
    </row>
    <row>
      <c t="s">
        <v>17594</v>
      </c>
      <c t="s">
        <v>32646</v>
      </c>
      <c t="s">
        <v>32679</v>
      </c>
      <c t="s">
        <v>49492</v>
      </c>
      <c t="s">
        <v>24314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870" s="1" t="str">
        <f ca="1">HYPERLINK("https://web.datatree.com/?/property?propertyId=33906588", "https://web.datatree.com/?/property?propertyId=33906588")</f>
        <v>https://web.datatree.com/?/property?propertyId=33906588</v>
      </c>
      <c r="Q4870" t="s">
        <v>316</v>
      </c>
      <c>
        <v>0.23</v>
      </c>
      <c t="s">
        <v>6175</v>
      </c>
      <c t="s">
        <v>35754</v>
      </c>
      <c t="s">
        <v>18685</v>
      </c>
      <c t="s">
        <v>25273</v>
      </c>
      <c t="s">
        <v>12202</v>
      </c>
      <c t="s">
        <v>61265</v>
      </c>
      <c t="s">
        <v>61865</v>
      </c>
      <c t="s">
        <v>2517</v>
      </c>
      <c t="s">
        <v>39289</v>
      </c>
      <c>
        <v>33909</v>
      </c>
      <c t="s">
        <v>56434</v>
      </c>
      <c t="s">
        <v>48794</v>
      </c>
      <c t="s">
        <v>7083</v>
      </c>
      <c>
        <v>154</v>
      </c>
      <c r="AI4870" t="s">
        <v>63411</v>
      </c>
      <c t="s">
        <v>55842</v>
      </c>
      <c r="AL4870" t="s">
        <v>58833</v>
      </c>
      <c t="s">
        <v>58833</v>
      </c>
      <c t="s">
        <v>65467</v>
      </c>
      <c t="s">
        <v>2182</v>
      </c>
      <c t="s">
        <v>57110</v>
      </c>
      <c t="s">
        <v>3093</v>
      </c>
      <c t="s">
        <v>44636</v>
      </c>
    </row>
    <row>
      <c t="s">
        <v>17594</v>
      </c>
      <c t="s">
        <v>32973</v>
      </c>
      <c t="s">
        <v>2843</v>
      </c>
      <c t="s">
        <v>920</v>
      </c>
      <c t="s">
        <v>61643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4871" s="1" t="str">
        <f ca="1">HYPERLINK("https://web.datatree.com/?/property?propertyId=33907018", "https://web.datatree.com/?/property?propertyId=33907018")</f>
        <v>https://web.datatree.com/?/property?propertyId=33907018</v>
      </c>
      <c r="Q4871" t="s">
        <v>316</v>
      </c>
      <c>
        <v>0.23</v>
      </c>
      <c t="s">
        <v>22490</v>
      </c>
      <c t="s">
        <v>43826</v>
      </c>
      <c t="s">
        <v>46129</v>
      </c>
      <c r="X4871" t="s">
        <v>54137</v>
      </c>
      <c t="s">
        <v>60363</v>
      </c>
      <c t="s">
        <v>2517</v>
      </c>
      <c t="s">
        <v>39289</v>
      </c>
      <c>
        <v>33909</v>
      </c>
      <c t="s">
        <v>38867</v>
      </c>
      <c t="s">
        <v>48794</v>
      </c>
      <c t="s">
        <v>24706</v>
      </c>
      <c>
        <v>11856</v>
      </c>
      <c r="AI4871" t="s">
        <v>31199</v>
      </c>
      <c r="AL4871" t="s">
        <v>31199</v>
      </c>
      <c t="s">
        <v>51574</v>
      </c>
      <c t="s">
        <v>66651</v>
      </c>
      <c t="s">
        <v>65632</v>
      </c>
      <c t="s">
        <v>5652</v>
      </c>
      <c t="s">
        <v>3093</v>
      </c>
      <c t="s">
        <v>7509</v>
      </c>
    </row>
    <row>
      <c t="s">
        <v>17594</v>
      </c>
      <c t="s">
        <v>17929</v>
      </c>
      <c t="s">
        <v>22678</v>
      </c>
      <c t="s">
        <v>9133</v>
      </c>
      <c t="s">
        <v>44082</v>
      </c>
      <c s="3">
        <v>8837</v>
      </c>
      <c s="3">
        <v>8837</v>
      </c>
      <c s="3">
        <v>8837</v>
      </c>
      <c>
        <v>0</v>
      </c>
      <c s="3">
        <v>0</v>
      </c>
      <c s="3">
        <v>137.58</v>
      </c>
      <c s="3">
        <v>8837</v>
      </c>
      <c r="O4872" s="1" t="str">
        <f ca="1">HYPERLINK("https://web.datatree.com/?/property?propertyId=33908108", "https://web.datatree.com/?/property?propertyId=33908108")</f>
        <v>https://web.datatree.com/?/property?propertyId=33908108</v>
      </c>
      <c r="Q4872" t="s">
        <v>316</v>
      </c>
      <c>
        <v>0.332</v>
      </c>
      <c t="s">
        <v>5471</v>
      </c>
      <c t="s">
        <v>43979</v>
      </c>
      <c t="s">
        <v>40700</v>
      </c>
      <c t="s">
        <v>40397</v>
      </c>
      <c t="s">
        <v>40700</v>
      </c>
      <c t="s">
        <v>49206</v>
      </c>
      <c t="s">
        <v>50281</v>
      </c>
      <c t="s">
        <v>65059</v>
      </c>
      <c t="s">
        <v>39289</v>
      </c>
      <c>
        <v>33905</v>
      </c>
      <c t="s">
        <v>13841</v>
      </c>
      <c t="s">
        <v>48794</v>
      </c>
      <c t="s">
        <v>37213</v>
      </c>
      <c>
        <v>2621</v>
      </c>
      <c r="AI4872" t="s">
        <v>64546</v>
      </c>
      <c t="s">
        <v>1289</v>
      </c>
      <c r="AL4872" t="s">
        <v>66458</v>
      </c>
      <c r="AN4872" t="s">
        <v>39289</v>
      </c>
      <c t="s">
        <v>19639</v>
      </c>
      <c t="s">
        <v>7207</v>
      </c>
      <c t="s">
        <v>3093</v>
      </c>
      <c t="s">
        <v>52759</v>
      </c>
    </row>
    <row>
      <c t="s">
        <v>17594</v>
      </c>
      <c t="s">
        <v>41695</v>
      </c>
      <c t="s">
        <v>52063</v>
      </c>
      <c t="s">
        <v>52427</v>
      </c>
      <c t="s">
        <v>67165</v>
      </c>
      <c s="3">
        <v>6935</v>
      </c>
      <c s="3">
        <v>6935</v>
      </c>
      <c s="3">
        <v>6935</v>
      </c>
      <c>
        <v>0</v>
      </c>
      <c s="3">
        <v>0</v>
      </c>
      <c s="3">
        <v>645.82</v>
      </c>
      <c s="3">
        <v>6935</v>
      </c>
      <c r="O4873" s="1" t="str">
        <f ca="1">HYPERLINK("https://web.datatree.com/?/property?propertyId=33908489", "https://web.datatree.com/?/property?propertyId=33908489")</f>
        <v>https://web.datatree.com/?/property?propertyId=33908489</v>
      </c>
      <c r="Q4873" t="s">
        <v>316</v>
      </c>
      <c>
        <v>0.335</v>
      </c>
      <c t="s">
        <v>22490</v>
      </c>
      <c r="U4873" t="s">
        <v>13493</v>
      </c>
      <c t="s">
        <v>22078</v>
      </c>
      <c t="s">
        <v>9592</v>
      </c>
      <c t="s">
        <v>28953</v>
      </c>
      <c t="s">
        <v>8669</v>
      </c>
      <c t="s">
        <v>2517</v>
      </c>
      <c t="s">
        <v>39289</v>
      </c>
      <c>
        <v>33909</v>
      </c>
      <c t="s">
        <v>24905</v>
      </c>
      <c t="s">
        <v>48794</v>
      </c>
      <c t="s">
        <v>37658</v>
      </c>
      <c>
        <v>2704</v>
      </c>
      <c r="AI4873" t="s">
        <v>20973</v>
      </c>
      <c t="s">
        <v>40123</v>
      </c>
      <c r="AL4873" t="s">
        <v>52220</v>
      </c>
      <c t="s">
        <v>52220</v>
      </c>
      <c t="s">
        <v>19878</v>
      </c>
      <c t="s">
        <v>39553</v>
      </c>
      <c t="s">
        <v>4175</v>
      </c>
      <c t="s">
        <v>3093</v>
      </c>
      <c t="s">
        <v>5127</v>
      </c>
    </row>
    <row>
      <c t="s">
        <v>17594</v>
      </c>
      <c t="s">
        <v>41733</v>
      </c>
      <c t="s">
        <v>40639</v>
      </c>
      <c t="s">
        <v>48300</v>
      </c>
      <c t="s">
        <v>2434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4874" s="1" t="str">
        <f ca="1">HYPERLINK("https://web.datatree.com/?/property?propertyId=33908607", "https://web.datatree.com/?/property?propertyId=33908607")</f>
        <v>https://web.datatree.com/?/property?propertyId=33908607</v>
      </c>
      <c r="Q4874" t="s">
        <v>316</v>
      </c>
      <c>
        <v>0.23</v>
      </c>
      <c t="s">
        <v>22490</v>
      </c>
      <c t="s">
        <v>3626</v>
      </c>
      <c t="s">
        <v>47727</v>
      </c>
      <c r="X4874" t="s">
        <v>3021</v>
      </c>
      <c t="s">
        <v>53675</v>
      </c>
      <c t="s">
        <v>2517</v>
      </c>
      <c t="s">
        <v>39289</v>
      </c>
      <c>
        <v>33909</v>
      </c>
      <c t="s">
        <v>262</v>
      </c>
      <c t="s">
        <v>48794</v>
      </c>
      <c t="s">
        <v>56436</v>
      </c>
      <c>
        <v>3504</v>
      </c>
      <c r="AI4874" t="s">
        <v>3979</v>
      </c>
      <c t="s">
        <v>31192</v>
      </c>
      <c r="AL4874" t="s">
        <v>62028</v>
      </c>
      <c t="s">
        <v>62028</v>
      </c>
      <c t="s">
        <v>18236</v>
      </c>
      <c t="s">
        <v>2985</v>
      </c>
      <c t="s">
        <v>12251</v>
      </c>
      <c t="s">
        <v>3093</v>
      </c>
      <c t="s">
        <v>17388</v>
      </c>
    </row>
    <row>
      <c t="s">
        <v>17594</v>
      </c>
      <c t="s">
        <v>55569</v>
      </c>
      <c t="s">
        <v>45412</v>
      </c>
      <c t="s">
        <v>64176</v>
      </c>
      <c t="s">
        <v>34310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4875" s="1" t="str">
        <f ca="1">HYPERLINK("https://web.datatree.com/?/property?propertyId=33908805", "https://web.datatree.com/?/property?propertyId=33908805")</f>
        <v>https://web.datatree.com/?/property?propertyId=33908805</v>
      </c>
      <c r="Q4875" t="s">
        <v>316</v>
      </c>
      <c>
        <v>0.23</v>
      </c>
      <c t="s">
        <v>6175</v>
      </c>
      <c t="s">
        <v>34179</v>
      </c>
      <c t="s">
        <v>44678</v>
      </c>
      <c t="s">
        <v>64736</v>
      </c>
      <c t="s">
        <v>44678</v>
      </c>
      <c t="s">
        <v>23594</v>
      </c>
      <c t="s">
        <v>2626</v>
      </c>
      <c t="s">
        <v>2517</v>
      </c>
      <c t="s">
        <v>39289</v>
      </c>
      <c>
        <v>33909</v>
      </c>
      <c t="s">
        <v>62816</v>
      </c>
      <c t="s">
        <v>48794</v>
      </c>
      <c t="s">
        <v>20298</v>
      </c>
      <c>
        <v>47</v>
      </c>
      <c r="AI4875" t="s">
        <v>11927</v>
      </c>
      <c t="s">
        <v>55842</v>
      </c>
      <c r="AL4875" t="s">
        <v>22964</v>
      </c>
      <c r="AN4875" t="s">
        <v>50917</v>
      </c>
      <c t="s">
        <v>39808</v>
      </c>
      <c t="s">
        <v>11138</v>
      </c>
      <c t="s">
        <v>3093</v>
      </c>
      <c t="s">
        <v>24044</v>
      </c>
    </row>
    <row>
      <c t="s">
        <v>17594</v>
      </c>
      <c t="s">
        <v>15509</v>
      </c>
      <c t="s">
        <v>45654</v>
      </c>
      <c t="s">
        <v>8258</v>
      </c>
      <c t="s">
        <v>36603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4876" s="1" t="str">
        <f ca="1">HYPERLINK("https://web.datatree.com/?/property?propertyId=33910570", "https://web.datatree.com/?/property?propertyId=33910570")</f>
        <v>https://web.datatree.com/?/property?propertyId=33910570</v>
      </c>
      <c r="Q4876" t="s">
        <v>316</v>
      </c>
      <c>
        <v>0.247</v>
      </c>
      <c t="s">
        <v>5471</v>
      </c>
      <c t="s">
        <v>30490</v>
      </c>
      <c t="s">
        <v>5664</v>
      </c>
      <c t="s">
        <v>4047</v>
      </c>
      <c t="s">
        <v>5664</v>
      </c>
      <c t="s">
        <v>37516</v>
      </c>
      <c t="s">
        <v>54532</v>
      </c>
      <c t="s">
        <v>65059</v>
      </c>
      <c t="s">
        <v>39289</v>
      </c>
      <c>
        <v>33905</v>
      </c>
      <c t="s">
        <v>26993</v>
      </c>
      <c t="s">
        <v>48794</v>
      </c>
      <c t="s">
        <v>32843</v>
      </c>
      <c>
        <v>106</v>
      </c>
      <c r="AI4876" t="s">
        <v>205</v>
      </c>
      <c t="s">
        <v>55842</v>
      </c>
      <c r="AL4876" t="s">
        <v>47361</v>
      </c>
      <c r="AN4876" t="s">
        <v>10804</v>
      </c>
      <c t="s">
        <v>5985</v>
      </c>
      <c t="s">
        <v>6928</v>
      </c>
      <c t="s">
        <v>3093</v>
      </c>
      <c t="s">
        <v>62765</v>
      </c>
    </row>
    <row>
      <c t="s">
        <v>17594</v>
      </c>
      <c t="s">
        <v>26701</v>
      </c>
      <c t="s">
        <v>30774</v>
      </c>
      <c t="s">
        <v>61463</v>
      </c>
      <c t="s">
        <v>41392</v>
      </c>
      <c s="3">
        <v>10600</v>
      </c>
      <c s="3">
        <v>10600</v>
      </c>
      <c s="3">
        <v>9339</v>
      </c>
      <c>
        <v>0</v>
      </c>
      <c s="3">
        <v>0</v>
      </c>
      <c s="3">
        <v>641.56</v>
      </c>
      <c s="3">
        <v>10600</v>
      </c>
      <c r="O4877" s="1" t="str">
        <f ca="1">HYPERLINK("https://web.datatree.com/?/property?propertyId=33911765", "https://web.datatree.com/?/property?propertyId=33911765")</f>
        <v>https://web.datatree.com/?/property?propertyId=33911765</v>
      </c>
      <c r="Q4877" t="s">
        <v>316</v>
      </c>
      <c>
        <v>0.267</v>
      </c>
      <c t="s">
        <v>6175</v>
      </c>
      <c t="s">
        <v>36241</v>
      </c>
      <c t="s">
        <v>38729</v>
      </c>
      <c r="X4877" t="s">
        <v>6609</v>
      </c>
      <c t="s">
        <v>55273</v>
      </c>
      <c t="s">
        <v>2517</v>
      </c>
      <c t="s">
        <v>39289</v>
      </c>
      <c>
        <v>33909</v>
      </c>
      <c t="s">
        <v>15128</v>
      </c>
      <c t="s">
        <v>48794</v>
      </c>
      <c t="s">
        <v>59589</v>
      </c>
      <c>
        <v>2413</v>
      </c>
      <c r="AI4877" t="s">
        <v>46710</v>
      </c>
      <c t="s">
        <v>40123</v>
      </c>
      <c r="AL4877" t="s">
        <v>17200</v>
      </c>
      <c t="s">
        <v>17200</v>
      </c>
      <c t="s">
        <v>24792</v>
      </c>
      <c t="s">
        <v>40170</v>
      </c>
      <c t="s">
        <v>11138</v>
      </c>
      <c t="s">
        <v>3093</v>
      </c>
      <c t="s">
        <v>36643</v>
      </c>
    </row>
    <row>
      <c t="s">
        <v>42103</v>
      </c>
      <c t="s">
        <v>58528</v>
      </c>
      <c t="s">
        <v>41258</v>
      </c>
      <c t="s">
        <v>8595</v>
      </c>
      <c t="s">
        <v>53732</v>
      </c>
      <c s="3">
        <v>8400</v>
      </c>
      <c s="3">
        <v>8400</v>
      </c>
      <c s="3">
        <v>8400</v>
      </c>
      <c>
        <v>0</v>
      </c>
      <c s="3">
        <v>0</v>
      </c>
      <c s="3">
        <v>642.02</v>
      </c>
      <c s="3">
        <v>8400</v>
      </c>
      <c r="O4878" s="1" t="str">
        <f ca="1">HYPERLINK("https://web.datatree.com/?/property?propertyId=33912312", "https://web.datatree.com/?/property?propertyId=33912312")</f>
        <v>https://web.datatree.com/?/property?propertyId=33912312</v>
      </c>
      <c r="Q4878" t="s">
        <v>316</v>
      </c>
      <c>
        <v>0.255</v>
      </c>
      <c t="s">
        <v>6175</v>
      </c>
      <c t="s">
        <v>56498</v>
      </c>
      <c t="s">
        <v>54785</v>
      </c>
      <c t="s">
        <v>49682</v>
      </c>
      <c t="s">
        <v>66171</v>
      </c>
      <c t="s">
        <v>37758</v>
      </c>
      <c t="s">
        <v>66701</v>
      </c>
      <c t="s">
        <v>2517</v>
      </c>
      <c t="s">
        <v>39289</v>
      </c>
      <c>
        <v>33909</v>
      </c>
      <c t="s">
        <v>61029</v>
      </c>
      <c t="s">
        <v>48794</v>
      </c>
      <c t="s">
        <v>30889</v>
      </c>
      <c t="str">
        <f>"60-07"</f>
        <v>60-07</v>
      </c>
      <c r="AI4878" t="s">
        <v>16540</v>
      </c>
      <c r="AK4878">
        <v>8</v>
      </c>
      <c t="s">
        <v>60998</v>
      </c>
      <c r="AN4878" t="s">
        <v>14798</v>
      </c>
      <c r="AQ4878" t="s">
        <v>3093</v>
      </c>
      <c t="s">
        <v>50676</v>
      </c>
    </row>
    <row>
      <c t="s">
        <v>17594</v>
      </c>
      <c t="s">
        <v>11411</v>
      </c>
      <c t="s">
        <v>2770</v>
      </c>
      <c t="s">
        <v>16593</v>
      </c>
      <c t="s">
        <v>24065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4879" s="1" t="str">
        <f ca="1">HYPERLINK("https://web.datatree.com/?/property?propertyId=33913804", "https://web.datatree.com/?/property?propertyId=33913804")</f>
        <v>https://web.datatree.com/?/property?propertyId=33913804</v>
      </c>
      <c r="Q4879" t="s">
        <v>316</v>
      </c>
      <c>
        <v>0.23</v>
      </c>
      <c t="s">
        <v>6175</v>
      </c>
      <c t="s">
        <v>65985</v>
      </c>
      <c t="s">
        <v>17319</v>
      </c>
      <c t="s">
        <v>33832</v>
      </c>
      <c t="s">
        <v>18136</v>
      </c>
      <c t="s">
        <v>47855</v>
      </c>
      <c t="s">
        <v>53663</v>
      </c>
      <c t="s">
        <v>2517</v>
      </c>
      <c t="s">
        <v>39289</v>
      </c>
      <c>
        <v>33909</v>
      </c>
      <c t="s">
        <v>62234</v>
      </c>
      <c t="s">
        <v>48794</v>
      </c>
      <c t="s">
        <v>31380</v>
      </c>
      <c>
        <v>12442</v>
      </c>
      <c r="AI4879" t="s">
        <v>15623</v>
      </c>
      <c t="s">
        <v>56275</v>
      </c>
      <c r="AL4879" t="s">
        <v>17200</v>
      </c>
      <c r="AN4879" t="s">
        <v>39289</v>
      </c>
      <c t="s">
        <v>19710</v>
      </c>
      <c t="s">
        <v>17093</v>
      </c>
      <c t="s">
        <v>3093</v>
      </c>
      <c t="s">
        <v>3102</v>
      </c>
    </row>
    <row>
      <c t="s">
        <v>17594</v>
      </c>
      <c t="s">
        <v>12873</v>
      </c>
      <c t="s">
        <v>45806</v>
      </c>
      <c t="s">
        <v>17089</v>
      </c>
      <c t="s">
        <v>50996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880" s="1" t="str">
        <f ca="1">HYPERLINK("https://web.datatree.com/?/property?propertyId=33914087", "https://web.datatree.com/?/property?propertyId=33914087")</f>
        <v>https://web.datatree.com/?/property?propertyId=33914087</v>
      </c>
      <c r="Q4880" t="s">
        <v>316</v>
      </c>
      <c>
        <v>0.23</v>
      </c>
      <c t="s">
        <v>6175</v>
      </c>
      <c t="s">
        <v>66812</v>
      </c>
      <c t="s">
        <v>4190</v>
      </c>
      <c t="s">
        <v>4963</v>
      </c>
      <c t="s">
        <v>4190</v>
      </c>
      <c t="s">
        <v>50172</v>
      </c>
      <c t="s">
        <v>2626</v>
      </c>
      <c t="s">
        <v>2517</v>
      </c>
      <c t="s">
        <v>39289</v>
      </c>
      <c>
        <v>33909</v>
      </c>
      <c t="s">
        <v>13021</v>
      </c>
      <c t="s">
        <v>48794</v>
      </c>
      <c t="s">
        <v>4070</v>
      </c>
      <c>
        <v>11380</v>
      </c>
      <c r="AI4880" t="s">
        <v>47912</v>
      </c>
      <c t="s">
        <v>4985</v>
      </c>
      <c>
        <v>146</v>
      </c>
      <c t="s">
        <v>55393</v>
      </c>
      <c r="AN4880" t="s">
        <v>39289</v>
      </c>
      <c t="s">
        <v>14300</v>
      </c>
      <c t="s">
        <v>39331</v>
      </c>
      <c t="s">
        <v>3093</v>
      </c>
      <c t="s">
        <v>66457</v>
      </c>
    </row>
    <row>
      <c t="s">
        <v>17594</v>
      </c>
      <c t="s">
        <v>35311</v>
      </c>
      <c t="s">
        <v>16314</v>
      </c>
      <c t="s">
        <v>28179</v>
      </c>
      <c t="s">
        <v>2868</v>
      </c>
      <c s="3">
        <v>8400</v>
      </c>
      <c s="3">
        <v>8400</v>
      </c>
      <c s="3">
        <v>8400</v>
      </c>
      <c>
        <v>0</v>
      </c>
      <c s="3">
        <v>0</v>
      </c>
      <c s="3">
        <v>584.18</v>
      </c>
      <c s="3">
        <v>8400</v>
      </c>
      <c r="O4881" s="1" t="str">
        <f ca="1">HYPERLINK("https://web.datatree.com/?/property?propertyId=33914498", "https://web.datatree.com/?/property?propertyId=33914498")</f>
        <v>https://web.datatree.com/?/property?propertyId=33914498</v>
      </c>
      <c r="Q4881" t="s">
        <v>316</v>
      </c>
      <c>
        <v>0.237</v>
      </c>
      <c t="s">
        <v>22490</v>
      </c>
      <c t="s">
        <v>58113</v>
      </c>
      <c t="s">
        <v>55080</v>
      </c>
      <c r="X4881" t="s">
        <v>2330</v>
      </c>
      <c t="s">
        <v>33893</v>
      </c>
      <c t="s">
        <v>2517</v>
      </c>
      <c t="s">
        <v>39289</v>
      </c>
      <c>
        <v>33909</v>
      </c>
      <c t="s">
        <v>9318</v>
      </c>
      <c t="s">
        <v>48794</v>
      </c>
      <c t="s">
        <v>56947</v>
      </c>
      <c>
        <v>20803</v>
      </c>
      <c r="AI4881" t="s">
        <v>53200</v>
      </c>
      <c t="s">
        <v>31192</v>
      </c>
      <c>
        <v>2</v>
      </c>
      <c t="s">
        <v>20423</v>
      </c>
      <c t="s">
        <v>13397</v>
      </c>
      <c t="s">
        <v>50917</v>
      </c>
      <c t="s">
        <v>25851</v>
      </c>
      <c t="s">
        <v>864</v>
      </c>
      <c t="s">
        <v>3093</v>
      </c>
      <c t="s">
        <v>29445</v>
      </c>
    </row>
    <row>
      <c t="s">
        <v>17594</v>
      </c>
      <c t="s">
        <v>67257</v>
      </c>
      <c t="s">
        <v>48224</v>
      </c>
      <c t="s">
        <v>41801</v>
      </c>
      <c t="s">
        <v>44769</v>
      </c>
      <c s="3">
        <v>93570</v>
      </c>
      <c s="3">
        <v>93570</v>
      </c>
      <c s="3">
        <v>75020</v>
      </c>
      <c>
        <v>0</v>
      </c>
      <c s="3">
        <v>0</v>
      </c>
      <c s="3">
        <v>1945.9</v>
      </c>
      <c s="3">
        <v>93570</v>
      </c>
      <c r="O4882" s="1" t="str">
        <f ca="1">HYPERLINK("https://web.datatree.com/?/property?propertyId=33914571", "https://web.datatree.com/?/property?propertyId=33914571")</f>
        <v>https://web.datatree.com/?/property?propertyId=33914571</v>
      </c>
      <c r="Q4882" t="s">
        <v>316</v>
      </c>
      <c>
        <v>0.266</v>
      </c>
      <c t="s">
        <v>22490</v>
      </c>
      <c t="s">
        <v>25238</v>
      </c>
      <c t="s">
        <v>58599</v>
      </c>
      <c r="X4882" t="s">
        <v>7446</v>
      </c>
      <c t="s">
        <v>57064</v>
      </c>
      <c t="s">
        <v>2517</v>
      </c>
      <c t="s">
        <v>39289</v>
      </c>
      <c>
        <v>33904</v>
      </c>
      <c t="s">
        <v>60368</v>
      </c>
      <c t="s">
        <v>48794</v>
      </c>
      <c t="s">
        <v>60052</v>
      </c>
      <c>
        <v>11080</v>
      </c>
      <c r="AI4882" t="s">
        <v>33772</v>
      </c>
      <c t="s">
        <v>31192</v>
      </c>
      <c r="AL4882" t="s">
        <v>29086</v>
      </c>
      <c r="AN4882" t="s">
        <v>17134</v>
      </c>
      <c t="s">
        <v>31168</v>
      </c>
      <c t="s">
        <v>27780</v>
      </c>
      <c t="s">
        <v>3093</v>
      </c>
      <c t="s">
        <v>2385</v>
      </c>
    </row>
    <row>
      <c t="s">
        <v>17594</v>
      </c>
      <c t="s">
        <v>50086</v>
      </c>
      <c t="s">
        <v>53317</v>
      </c>
      <c t="s">
        <v>38561</v>
      </c>
      <c t="s">
        <v>30390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4883" s="1" t="str">
        <f ca="1">HYPERLINK("https://web.datatree.com/?/property?propertyId=33915172", "https://web.datatree.com/?/property?propertyId=33915172")</f>
        <v>https://web.datatree.com/?/property?propertyId=33915172</v>
      </c>
      <c r="Q4883" t="s">
        <v>316</v>
      </c>
      <c>
        <v>0.23</v>
      </c>
      <c t="s">
        <v>22490</v>
      </c>
      <c t="s">
        <v>49286</v>
      </c>
      <c t="s">
        <v>48390</v>
      </c>
      <c t="s">
        <v>50360</v>
      </c>
      <c t="s">
        <v>48390</v>
      </c>
      <c t="s">
        <v>27784</v>
      </c>
      <c t="s">
        <v>25017</v>
      </c>
      <c t="s">
        <v>2517</v>
      </c>
      <c t="s">
        <v>39289</v>
      </c>
      <c>
        <v>33909</v>
      </c>
      <c t="s">
        <v>47694</v>
      </c>
      <c t="s">
        <v>48794</v>
      </c>
      <c t="s">
        <v>31093</v>
      </c>
      <c>
        <v>3415</v>
      </c>
      <c r="AI4883" t="s">
        <v>47003</v>
      </c>
      <c t="s">
        <v>31192</v>
      </c>
      <c r="AL4883" t="s">
        <v>45338</v>
      </c>
      <c r="AN4883" t="s">
        <v>18236</v>
      </c>
      <c t="s">
        <v>16119</v>
      </c>
      <c t="s">
        <v>1951</v>
      </c>
      <c t="s">
        <v>3093</v>
      </c>
      <c t="s">
        <v>49989</v>
      </c>
    </row>
    <row>
      <c t="s">
        <v>17594</v>
      </c>
      <c t="s">
        <v>54102</v>
      </c>
      <c t="s">
        <v>5689</v>
      </c>
      <c t="s">
        <v>14103</v>
      </c>
      <c t="s">
        <v>17476</v>
      </c>
      <c s="3">
        <v>41248</v>
      </c>
      <c s="3">
        <v>41248</v>
      </c>
      <c s="3">
        <v>31126</v>
      </c>
      <c>
        <v>0</v>
      </c>
      <c s="3">
        <v>0</v>
      </c>
      <c s="3">
        <v>988.91</v>
      </c>
      <c s="3">
        <v>41248</v>
      </c>
      <c r="O4884" s="1" t="str">
        <f ca="1">HYPERLINK("https://web.datatree.com/?/property?propertyId=33915278", "https://web.datatree.com/?/property?propertyId=33915278")</f>
        <v>https://web.datatree.com/?/property?propertyId=33915278</v>
      </c>
      <c r="Q4884" t="s">
        <v>316</v>
      </c>
      <c>
        <v>0.241</v>
      </c>
      <c t="s">
        <v>22490</v>
      </c>
      <c t="s">
        <v>552</v>
      </c>
      <c t="s">
        <v>2675</v>
      </c>
      <c t="s">
        <v>10045</v>
      </c>
      <c t="s">
        <v>2675</v>
      </c>
      <c t="s">
        <v>45578</v>
      </c>
      <c t="s">
        <v>46469</v>
      </c>
      <c t="s">
        <v>2517</v>
      </c>
      <c t="s">
        <v>39289</v>
      </c>
      <c>
        <v>33909</v>
      </c>
      <c t="s">
        <v>2814</v>
      </c>
      <c t="s">
        <v>48794</v>
      </c>
      <c t="s">
        <v>66822</v>
      </c>
      <c r="AI4884" t="s">
        <v>3245</v>
      </c>
      <c r="AK4884" t="s">
        <v>17594</v>
      </c>
      <c t="s">
        <v>441</v>
      </c>
      <c t="s">
        <v>42852</v>
      </c>
      <c t="s">
        <v>44551</v>
      </c>
      <c>
        <v>59872</v>
      </c>
      <c r="AR4884" t="s">
        <v>12610</v>
      </c>
    </row>
    <row>
      <c t="s">
        <v>17594</v>
      </c>
      <c t="s">
        <v>22862</v>
      </c>
      <c t="s">
        <v>58286</v>
      </c>
      <c t="s">
        <v>19057</v>
      </c>
      <c t="s">
        <v>5701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885" s="1" t="str">
        <f ca="1">HYPERLINK("https://web.datatree.com/?/property?propertyId=33915326", "https://web.datatree.com/?/property?propertyId=33915326")</f>
        <v>https://web.datatree.com/?/property?propertyId=33915326</v>
      </c>
      <c r="Q4885" t="s">
        <v>316</v>
      </c>
      <c>
        <v>0.23</v>
      </c>
      <c t="s">
        <v>22490</v>
      </c>
      <c t="s">
        <v>51891</v>
      </c>
      <c t="s">
        <v>55443</v>
      </c>
      <c t="s">
        <v>47754</v>
      </c>
      <c t="s">
        <v>66624</v>
      </c>
      <c t="s">
        <v>9179</v>
      </c>
      <c t="s">
        <v>49674</v>
      </c>
      <c t="s">
        <v>2517</v>
      </c>
      <c t="s">
        <v>39289</v>
      </c>
      <c>
        <v>33909</v>
      </c>
      <c t="s">
        <v>28565</v>
      </c>
      <c t="s">
        <v>48794</v>
      </c>
      <c t="s">
        <v>29576</v>
      </c>
      <c>
        <v>6303</v>
      </c>
      <c r="AI4885" t="s">
        <v>26976</v>
      </c>
      <c t="s">
        <v>31192</v>
      </c>
      <c>
        <v>400</v>
      </c>
      <c t="s">
        <v>55393</v>
      </c>
      <c r="AN4885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39258</v>
      </c>
      <c t="s">
        <v>27527</v>
      </c>
      <c t="s">
        <v>56730</v>
      </c>
      <c t="s">
        <v>5785</v>
      </c>
      <c s="3">
        <v>17097</v>
      </c>
      <c s="3">
        <v>17097</v>
      </c>
      <c s="3">
        <v>8470</v>
      </c>
      <c>
        <v>0</v>
      </c>
      <c s="3">
        <v>0</v>
      </c>
      <c s="3">
        <v>557.43</v>
      </c>
      <c s="3">
        <v>17097</v>
      </c>
      <c r="O4886" s="1" t="str">
        <f ca="1">HYPERLINK("https://web.datatree.com/?/property?propertyId=33915382", "https://web.datatree.com/?/property?propertyId=33915382")</f>
        <v>https://web.datatree.com/?/property?propertyId=33915382</v>
      </c>
      <c r="Q4886" t="s">
        <v>316</v>
      </c>
      <c>
        <v>0.244</v>
      </c>
      <c t="s">
        <v>6175</v>
      </c>
      <c t="s">
        <v>32587</v>
      </c>
      <c t="s">
        <v>24419</v>
      </c>
      <c r="X4886" t="s">
        <v>4544</v>
      </c>
      <c t="s">
        <v>13065</v>
      </c>
      <c t="s">
        <v>2517</v>
      </c>
      <c t="s">
        <v>39289</v>
      </c>
      <c>
        <v>33909</v>
      </c>
      <c t="s">
        <v>31894</v>
      </c>
      <c t="s">
        <v>48794</v>
      </c>
      <c t="s">
        <v>50686</v>
      </c>
      <c>
        <v>12008</v>
      </c>
      <c r="AI4886" t="s">
        <v>64331</v>
      </c>
      <c t="s">
        <v>45393</v>
      </c>
      <c>
        <v>402</v>
      </c>
      <c t="s">
        <v>21676</v>
      </c>
      <c r="AN4886" t="s">
        <v>39289</v>
      </c>
      <c>
        <v>33025</v>
      </c>
      <c t="s">
        <v>864</v>
      </c>
      <c t="s">
        <v>3093</v>
      </c>
      <c t="s">
        <v>45372</v>
      </c>
    </row>
    <row>
      <c t="s">
        <v>17594</v>
      </c>
      <c t="s">
        <v>10973</v>
      </c>
      <c t="s">
        <v>59292</v>
      </c>
      <c t="s">
        <v>66835</v>
      </c>
      <c t="s">
        <v>3380</v>
      </c>
      <c s="3">
        <v>17382</v>
      </c>
      <c s="3">
        <v>17382</v>
      </c>
      <c s="3">
        <v>8910</v>
      </c>
      <c>
        <v>0</v>
      </c>
      <c s="3">
        <v>0</v>
      </c>
      <c s="3">
        <v>481.46</v>
      </c>
      <c s="3">
        <v>17382</v>
      </c>
      <c r="O4887" s="1" t="str">
        <f ca="1">HYPERLINK("https://web.datatree.com/?/property?propertyId=33915551", "https://web.datatree.com/?/property?propertyId=33915551")</f>
        <v>https://web.datatree.com/?/property?propertyId=33915551</v>
      </c>
      <c r="Q4887" t="s">
        <v>316</v>
      </c>
      <c>
        <v>0.23</v>
      </c>
      <c t="s">
        <v>6175</v>
      </c>
      <c t="s">
        <v>44037</v>
      </c>
      <c t="s">
        <v>7748</v>
      </c>
      <c r="X4887" t="s">
        <v>2854</v>
      </c>
      <c t="s">
        <v>49122</v>
      </c>
      <c t="s">
        <v>2517</v>
      </c>
      <c t="s">
        <v>39289</v>
      </c>
      <c>
        <v>33909</v>
      </c>
      <c t="s">
        <v>515</v>
      </c>
      <c t="s">
        <v>48794</v>
      </c>
      <c t="s">
        <v>6030</v>
      </c>
      <c>
        <v>3902</v>
      </c>
      <c r="AI4887" t="s">
        <v>64051</v>
      </c>
      <c t="s">
        <v>45393</v>
      </c>
      <c r="AL4887" t="s">
        <v>5138</v>
      </c>
      <c r="AN4887" t="s">
        <v>39289</v>
      </c>
      <c t="s">
        <v>25505</v>
      </c>
      <c t="s">
        <v>53660</v>
      </c>
      <c t="s">
        <v>3093</v>
      </c>
      <c t="s">
        <v>22182</v>
      </c>
    </row>
    <row>
      <c t="s">
        <v>17594</v>
      </c>
      <c t="s">
        <v>65156</v>
      </c>
      <c t="s">
        <v>57168</v>
      </c>
      <c t="s">
        <v>21995</v>
      </c>
      <c t="s">
        <v>62099</v>
      </c>
      <c s="3">
        <v>10600</v>
      </c>
      <c s="3">
        <v>10600</v>
      </c>
      <c s="3">
        <v>9680</v>
      </c>
      <c>
        <v>0</v>
      </c>
      <c s="3">
        <v>0</v>
      </c>
      <c s="3">
        <v>2883.7</v>
      </c>
      <c s="3">
        <v>10600</v>
      </c>
      <c r="O4888" s="1" t="str">
        <f ca="1">HYPERLINK("https://web.datatree.com/?/property?propertyId=33915579", "https://web.datatree.com/?/property?propertyId=33915579")</f>
        <v>https://web.datatree.com/?/property?propertyId=33915579</v>
      </c>
      <c r="Q4888" t="s">
        <v>316</v>
      </c>
      <c>
        <v>0.23</v>
      </c>
      <c t="s">
        <v>6175</v>
      </c>
      <c t="s">
        <v>42532</v>
      </c>
      <c t="s">
        <v>48918</v>
      </c>
      <c r="X4888" t="s">
        <v>13676</v>
      </c>
      <c t="s">
        <v>18679</v>
      </c>
      <c t="s">
        <v>2517</v>
      </c>
      <c t="s">
        <v>39289</v>
      </c>
      <c>
        <v>33909</v>
      </c>
      <c t="s">
        <v>20138</v>
      </c>
      <c t="s">
        <v>48794</v>
      </c>
      <c t="s">
        <v>54735</v>
      </c>
      <c>
        <v>1129</v>
      </c>
      <c r="AI4888" t="s">
        <v>48518</v>
      </c>
      <c t="s">
        <v>45393</v>
      </c>
      <c r="AL4888" t="s">
        <v>37512</v>
      </c>
      <c r="AN4888" t="s">
        <v>19878</v>
      </c>
      <c t="s">
        <v>41499</v>
      </c>
      <c t="s">
        <v>42082</v>
      </c>
      <c t="s">
        <v>3093</v>
      </c>
      <c t="s">
        <v>32599</v>
      </c>
    </row>
    <row>
      <c t="s">
        <v>42103</v>
      </c>
      <c t="s">
        <v>28084</v>
      </c>
      <c t="s">
        <v>64269</v>
      </c>
      <c t="s">
        <v>65020</v>
      </c>
      <c t="s">
        <v>61124</v>
      </c>
      <c s="3">
        <v>17276</v>
      </c>
      <c s="3">
        <v>17276</v>
      </c>
      <c s="3">
        <v>8470</v>
      </c>
      <c>
        <v>0</v>
      </c>
      <c s="3">
        <v>0</v>
      </c>
      <c s="3">
        <v>576.29</v>
      </c>
      <c s="3">
        <v>17276</v>
      </c>
      <c>
        <v>2015</v>
      </c>
      <c>
        <v>10024.29</v>
      </c>
      <c s="1" t="str">
        <f ca="1">HYPERLINK("https://web.datatree.com/?/property?propertyId=33915876", "https://web.datatree.com/?/property?propertyId=33915876")</f>
        <v>https://web.datatree.com/?/property?propertyId=33915876</v>
      </c>
      <c r="Q4889" t="s">
        <v>316</v>
      </c>
      <c>
        <v>0.241</v>
      </c>
      <c t="s">
        <v>6175</v>
      </c>
      <c t="s">
        <v>65183</v>
      </c>
      <c t="s">
        <v>12568</v>
      </c>
      <c r="X4889" t="s">
        <v>12849</v>
      </c>
      <c t="s">
        <v>46469</v>
      </c>
      <c t="s">
        <v>2517</v>
      </c>
      <c t="s">
        <v>39289</v>
      </c>
      <c>
        <v>33909</v>
      </c>
      <c t="s">
        <v>25542</v>
      </c>
      <c t="s">
        <v>48794</v>
      </c>
      <c t="s">
        <v>9510</v>
      </c>
      <c r="AI4889" t="s">
        <v>56257</v>
      </c>
      <c r="AL4889" t="s">
        <v>29515</v>
      </c>
      <c r="AN4889" t="s">
        <v>39289</v>
      </c>
      <c>
        <v>33016</v>
      </c>
      <c t="s">
        <v>665</v>
      </c>
      <c t="s">
        <v>3093</v>
      </c>
      <c t="s">
        <v>61695</v>
      </c>
    </row>
    <row>
      <c t="s">
        <v>17594</v>
      </c>
      <c t="s">
        <v>45750</v>
      </c>
      <c t="s">
        <v>51366</v>
      </c>
      <c t="s">
        <v>37504</v>
      </c>
      <c t="s">
        <v>37998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890" s="1" t="str">
        <f ca="1">HYPERLINK("https://web.datatree.com/?/property?propertyId=33916636", "https://web.datatree.com/?/property?propertyId=33916636")</f>
        <v>https://web.datatree.com/?/property?propertyId=33916636</v>
      </c>
      <c r="Q4890" t="s">
        <v>316</v>
      </c>
      <c>
        <v>0.235</v>
      </c>
      <c r="T4890" t="s">
        <v>8713</v>
      </c>
      <c t="s">
        <v>26578</v>
      </c>
      <c r="X4890" t="s">
        <v>58402</v>
      </c>
      <c t="s">
        <v>7871</v>
      </c>
      <c t="s">
        <v>65059</v>
      </c>
      <c t="s">
        <v>39289</v>
      </c>
      <c>
        <v>33905</v>
      </c>
      <c t="s">
        <v>15421</v>
      </c>
      <c t="s">
        <v>48794</v>
      </c>
      <c t="s">
        <v>8469</v>
      </c>
      <c>
        <v>74</v>
      </c>
      <c r="AI4890" t="s">
        <v>47110</v>
      </c>
      <c t="s">
        <v>31192</v>
      </c>
      <c r="AL4890" t="s">
        <v>51319</v>
      </c>
      <c t="s">
        <v>51319</v>
      </c>
      <c t="s">
        <v>50917</v>
      </c>
      <c t="s">
        <v>17514</v>
      </c>
      <c t="s">
        <v>11138</v>
      </c>
      <c t="s">
        <v>3093</v>
      </c>
      <c t="s">
        <v>9682</v>
      </c>
    </row>
    <row>
      <c t="s">
        <v>17594</v>
      </c>
      <c t="s">
        <v>44908</v>
      </c>
      <c t="s">
        <v>50709</v>
      </c>
      <c t="s">
        <v>60090</v>
      </c>
      <c t="s">
        <v>26371</v>
      </c>
      <c s="3">
        <v>38098</v>
      </c>
      <c s="3">
        <v>36900</v>
      </c>
      <c s="3">
        <v>28818</v>
      </c>
      <c>
        <v>0</v>
      </c>
      <c s="3">
        <v>0</v>
      </c>
      <c s="3">
        <v>464.79</v>
      </c>
      <c s="3">
        <v>38098</v>
      </c>
      <c r="O4891" s="1" t="str">
        <f ca="1">HYPERLINK("https://web.datatree.com/?/property?propertyId=33916796", "https://web.datatree.com/?/property?propertyId=33916796")</f>
        <v>https://web.datatree.com/?/property?propertyId=33916796</v>
      </c>
      <c r="Q4891" t="s">
        <v>316</v>
      </c>
      <c>
        <v>0.044</v>
      </c>
      <c t="s">
        <v>54329</v>
      </c>
      <c t="s">
        <v>45883</v>
      </c>
      <c t="s">
        <v>10269</v>
      </c>
      <c t="s">
        <v>21379</v>
      </c>
      <c t="s">
        <v>10269</v>
      </c>
      <c t="s">
        <v>3646</v>
      </c>
      <c t="s">
        <v>5284</v>
      </c>
      <c t="s">
        <v>65059</v>
      </c>
      <c t="s">
        <v>39289</v>
      </c>
      <c>
        <v>33908</v>
      </c>
      <c>
        <v>33908</v>
      </c>
      <c t="s">
        <v>48794</v>
      </c>
      <c t="s">
        <v>32513</v>
      </c>
      <c>
        <v>725</v>
      </c>
      <c r="AI4891" t="s">
        <v>57921</v>
      </c>
      <c t="s">
        <v>45393</v>
      </c>
      <c r="AL4891" t="s">
        <v>30334</v>
      </c>
      <c t="s">
        <v>30334</v>
      </c>
      <c t="s">
        <v>3034</v>
      </c>
      <c t="s">
        <v>16043</v>
      </c>
      <c t="s">
        <v>3364</v>
      </c>
      <c t="s">
        <v>3093</v>
      </c>
      <c t="s">
        <v>37525</v>
      </c>
    </row>
    <row>
      <c t="s">
        <v>17594</v>
      </c>
      <c t="s">
        <v>10362</v>
      </c>
      <c t="s">
        <v>22868</v>
      </c>
      <c t="s">
        <v>56793</v>
      </c>
      <c t="s">
        <v>49165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>
        <v>2018</v>
      </c>
      <c>
        <v>5320.98</v>
      </c>
      <c s="1" t="str">
        <f ca="1">HYPERLINK("https://web.datatree.com/?/property?propertyId=33917081", "https://web.datatree.com/?/property?propertyId=33917081")</f>
        <v>https://web.datatree.com/?/property?propertyId=33917081</v>
      </c>
      <c r="Q4892" t="s">
        <v>316</v>
      </c>
      <c>
        <v>0.255</v>
      </c>
      <c t="s">
        <v>6175</v>
      </c>
      <c r="U4892" t="s">
        <v>28472</v>
      </c>
      <c r="W4892" t="s">
        <v>64431</v>
      </c>
      <c t="s">
        <v>64536</v>
      </c>
      <c t="s">
        <v>49674</v>
      </c>
      <c t="s">
        <v>2517</v>
      </c>
      <c t="s">
        <v>39289</v>
      </c>
      <c>
        <v>33909</v>
      </c>
      <c t="s">
        <v>40415</v>
      </c>
      <c t="s">
        <v>48794</v>
      </c>
      <c t="s">
        <v>36297</v>
      </c>
      <c>
        <v>248</v>
      </c>
      <c r="AI4892" t="s">
        <v>3177</v>
      </c>
      <c t="s">
        <v>45393</v>
      </c>
      <c r="AL4892" t="s">
        <v>13767</v>
      </c>
      <c r="AN4892" t="s">
        <v>65451</v>
      </c>
      <c t="s">
        <v>33085</v>
      </c>
      <c t="s">
        <v>11138</v>
      </c>
      <c t="s">
        <v>3093</v>
      </c>
      <c t="s">
        <v>27525</v>
      </c>
    </row>
    <row>
      <c t="s">
        <v>17594</v>
      </c>
      <c t="s">
        <v>56282</v>
      </c>
      <c t="s">
        <v>54169</v>
      </c>
      <c t="s">
        <v>7396</v>
      </c>
      <c t="s">
        <v>5171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4893" s="1" t="str">
        <f ca="1">HYPERLINK("https://web.datatree.com/?/property?propertyId=33917258", "https://web.datatree.com/?/property?propertyId=33917258")</f>
        <v>https://web.datatree.com/?/property?propertyId=33917258</v>
      </c>
      <c r="Q4893" t="s">
        <v>316</v>
      </c>
      <c>
        <v>0.23</v>
      </c>
      <c t="s">
        <v>22490</v>
      </c>
      <c t="s">
        <v>10451</v>
      </c>
      <c t="s">
        <v>65965</v>
      </c>
      <c r="X4893" t="s">
        <v>28451</v>
      </c>
      <c t="s">
        <v>53675</v>
      </c>
      <c t="s">
        <v>2517</v>
      </c>
      <c t="s">
        <v>39289</v>
      </c>
      <c>
        <v>33909</v>
      </c>
      <c t="s">
        <v>60473</v>
      </c>
      <c t="s">
        <v>48794</v>
      </c>
      <c t="s">
        <v>9174</v>
      </c>
      <c>
        <v>192</v>
      </c>
      <c r="AI4893" t="s">
        <v>56025</v>
      </c>
      <c t="s">
        <v>31192</v>
      </c>
      <c r="AL4893" t="s">
        <v>17525</v>
      </c>
      <c r="AN4893" t="s">
        <v>10804</v>
      </c>
      <c>
        <v>28746</v>
      </c>
      <c r="AQ4893" t="s">
        <v>3093</v>
      </c>
      <c t="s">
        <v>47531</v>
      </c>
    </row>
    <row>
      <c t="s">
        <v>17594</v>
      </c>
      <c t="s">
        <v>49361</v>
      </c>
      <c s="2" t="s">
        <v>48605</v>
      </c>
      <c t="s">
        <v>51015</v>
      </c>
      <c t="s">
        <v>49764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4894" s="1" t="str">
        <f ca="1">HYPERLINK("https://web.datatree.com/?/property?propertyId=33917846", "https://web.datatree.com/?/property?propertyId=33917846")</f>
        <v>https://web.datatree.com/?/property?propertyId=33917846</v>
      </c>
      <c r="Q4894" t="s">
        <v>316</v>
      </c>
      <c>
        <v>0.23</v>
      </c>
      <c t="s">
        <v>6175</v>
      </c>
      <c t="s">
        <v>552</v>
      </c>
      <c t="s">
        <v>20051</v>
      </c>
      <c r="X4894" t="s">
        <v>31023</v>
      </c>
      <c t="s">
        <v>2619</v>
      </c>
      <c t="s">
        <v>2517</v>
      </c>
      <c t="s">
        <v>39289</v>
      </c>
      <c>
        <v>33909</v>
      </c>
      <c t="s">
        <v>5304</v>
      </c>
      <c t="s">
        <v>48794</v>
      </c>
      <c t="s">
        <v>35199</v>
      </c>
      <c>
        <v>3803</v>
      </c>
      <c r="AI4894" t="s">
        <v>26637</v>
      </c>
      <c t="s">
        <v>40123</v>
      </c>
      <c r="AL4894" t="s">
        <v>50860</v>
      </c>
      <c r="AN4894" t="s">
        <v>51087</v>
      </c>
      <c t="s">
        <v>29094</v>
      </c>
      <c t="s">
        <v>4480</v>
      </c>
      <c t="s">
        <v>3093</v>
      </c>
      <c s="2" t="s">
        <v>38557</v>
      </c>
    </row>
    <row>
      <c t="s">
        <v>17594</v>
      </c>
      <c t="s">
        <v>21117</v>
      </c>
      <c t="s">
        <v>57257</v>
      </c>
      <c t="s">
        <v>56589</v>
      </c>
      <c t="s">
        <v>21692</v>
      </c>
      <c s="3">
        <v>8400</v>
      </c>
      <c s="3">
        <v>8400</v>
      </c>
      <c s="3">
        <v>8400</v>
      </c>
      <c>
        <v>0</v>
      </c>
      <c s="3">
        <v>0</v>
      </c>
      <c s="3">
        <v>473.12</v>
      </c>
      <c s="3">
        <v>8400</v>
      </c>
      <c r="O4895" s="1" t="str">
        <f ca="1">HYPERLINK("https://web.datatree.com/?/property?propertyId=33917855", "https://web.datatree.com/?/property?propertyId=33917855")</f>
        <v>https://web.datatree.com/?/property?propertyId=33917855</v>
      </c>
      <c r="Q4895" t="s">
        <v>316</v>
      </c>
      <c>
        <v>0.244</v>
      </c>
      <c t="s">
        <v>6175</v>
      </c>
      <c t="s">
        <v>2140</v>
      </c>
      <c t="s">
        <v>40366</v>
      </c>
      <c r="X4895" t="s">
        <v>41099</v>
      </c>
      <c t="s">
        <v>61865</v>
      </c>
      <c t="s">
        <v>2517</v>
      </c>
      <c t="s">
        <v>39289</v>
      </c>
      <c>
        <v>33909</v>
      </c>
      <c t="s">
        <v>35335</v>
      </c>
      <c t="s">
        <v>48794</v>
      </c>
      <c t="s">
        <v>30732</v>
      </c>
      <c>
        <v>23708</v>
      </c>
      <c r="AI4895" t="s">
        <v>66803</v>
      </c>
      <c t="s">
        <v>45393</v>
      </c>
      <c r="AL4895" t="s">
        <v>63517</v>
      </c>
      <c t="s">
        <v>10014</v>
      </c>
      <c t="s">
        <v>51137</v>
      </c>
      <c t="s">
        <v>22889</v>
      </c>
      <c t="s">
        <v>38085</v>
      </c>
      <c t="s">
        <v>3093</v>
      </c>
      <c t="s">
        <v>12167</v>
      </c>
    </row>
    <row>
      <c t="s">
        <v>17594</v>
      </c>
      <c t="s">
        <v>26999</v>
      </c>
      <c t="s">
        <v>22034</v>
      </c>
      <c t="s">
        <v>31533</v>
      </c>
      <c t="s">
        <v>6388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>
        <v>2021</v>
      </c>
      <c>
        <v>544.98</v>
      </c>
      <c s="1" t="str">
        <f ca="1">HYPERLINK("https://web.datatree.com/?/property?propertyId=33918088", "https://web.datatree.com/?/property?propertyId=33918088")</f>
        <v>https://web.datatree.com/?/property?propertyId=33918088</v>
      </c>
      <c r="Q4896" t="s">
        <v>316</v>
      </c>
      <c>
        <v>0.23</v>
      </c>
      <c t="s">
        <v>6175</v>
      </c>
      <c t="s">
        <v>47124</v>
      </c>
      <c t="s">
        <v>20597</v>
      </c>
      <c r="X4896" t="s">
        <v>13422</v>
      </c>
      <c t="s">
        <v>22731</v>
      </c>
      <c t="s">
        <v>2517</v>
      </c>
      <c t="s">
        <v>39289</v>
      </c>
      <c>
        <v>33909</v>
      </c>
      <c t="s">
        <v>59240</v>
      </c>
      <c t="s">
        <v>48794</v>
      </c>
      <c t="s">
        <v>31020</v>
      </c>
      <c>
        <v>1820</v>
      </c>
      <c r="AI4896" t="s">
        <v>3764</v>
      </c>
      <c t="s">
        <v>31192</v>
      </c>
      <c r="AL4896" t="s">
        <v>28490</v>
      </c>
      <c t="s">
        <v>28490</v>
      </c>
      <c t="s">
        <v>39289</v>
      </c>
      <c t="s">
        <v>33040</v>
      </c>
      <c t="s">
        <v>40826</v>
      </c>
      <c t="s">
        <v>3093</v>
      </c>
      <c t="s">
        <v>36077</v>
      </c>
    </row>
    <row>
      <c t="s">
        <v>17594</v>
      </c>
      <c t="s">
        <v>39186</v>
      </c>
      <c t="s">
        <v>34040</v>
      </c>
      <c t="s">
        <v>58225</v>
      </c>
      <c t="s">
        <v>3169</v>
      </c>
      <c s="3">
        <v>10600</v>
      </c>
      <c s="3">
        <v>10600</v>
      </c>
      <c s="3">
        <v>10600</v>
      </c>
      <c>
        <v>0</v>
      </c>
      <c s="3">
        <v>0</v>
      </c>
      <c s="3">
        <v>789.11</v>
      </c>
      <c s="3">
        <v>10600</v>
      </c>
      <c r="O4897" s="1" t="str">
        <f ca="1">HYPERLINK("https://web.datatree.com/?/property?propertyId=33919261", "https://web.datatree.com/?/property?propertyId=33919261")</f>
        <v>https://web.datatree.com/?/property?propertyId=33919261</v>
      </c>
      <c r="Q4897" t="s">
        <v>316</v>
      </c>
      <c>
        <v>0.23</v>
      </c>
      <c t="s">
        <v>6175</v>
      </c>
      <c t="s">
        <v>53194</v>
      </c>
      <c t="s">
        <v>52299</v>
      </c>
      <c t="s">
        <v>26952</v>
      </c>
      <c t="s">
        <v>52299</v>
      </c>
      <c t="s">
        <v>41934</v>
      </c>
      <c t="s">
        <v>47150</v>
      </c>
      <c t="s">
        <v>2517</v>
      </c>
      <c t="s">
        <v>39289</v>
      </c>
      <c>
        <v>33909</v>
      </c>
      <c t="s">
        <v>55432</v>
      </c>
      <c t="s">
        <v>48794</v>
      </c>
      <c t="s">
        <v>27650</v>
      </c>
      <c>
        <v>39</v>
      </c>
      <c r="AI4897" t="s">
        <v>41810</v>
      </c>
      <c t="s">
        <v>45393</v>
      </c>
      <c r="AL4897" t="s">
        <v>59701</v>
      </c>
      <c t="s">
        <v>51766</v>
      </c>
      <c t="s">
        <v>50917</v>
      </c>
      <c t="s">
        <v>33015</v>
      </c>
      <c t="s">
        <v>49977</v>
      </c>
      <c t="s">
        <v>3093</v>
      </c>
      <c t="s">
        <v>4134</v>
      </c>
    </row>
    <row>
      <c t="s">
        <v>17594</v>
      </c>
      <c t="s">
        <v>21204</v>
      </c>
      <c t="s">
        <v>60894</v>
      </c>
      <c t="s">
        <v>42084</v>
      </c>
      <c t="s">
        <v>6346</v>
      </c>
      <c s="3">
        <v>54688</v>
      </c>
      <c s="3">
        <v>54688</v>
      </c>
      <c s="3">
        <v>23108</v>
      </c>
      <c>
        <v>0</v>
      </c>
      <c s="3">
        <v>0</v>
      </c>
      <c s="3">
        <v>832.48</v>
      </c>
      <c s="3">
        <v>54688</v>
      </c>
      <c r="O4898" s="1" t="str">
        <f ca="1">HYPERLINK("https://web.datatree.com/?/property?propertyId=33919757", "https://web.datatree.com/?/property?propertyId=33919757")</f>
        <v>https://web.datatree.com/?/property?propertyId=33919757</v>
      </c>
      <c r="Q4898" t="s">
        <v>316</v>
      </c>
      <c>
        <v>0.241</v>
      </c>
      <c t="s">
        <v>6175</v>
      </c>
      <c t="s">
        <v>3724</v>
      </c>
      <c t="s">
        <v>48779</v>
      </c>
      <c r="X4898" t="s">
        <v>9858</v>
      </c>
      <c t="s">
        <v>5115</v>
      </c>
      <c t="s">
        <v>2517</v>
      </c>
      <c t="s">
        <v>39289</v>
      </c>
      <c>
        <v>33904</v>
      </c>
      <c t="s">
        <v>14173</v>
      </c>
      <c t="s">
        <v>48794</v>
      </c>
      <c t="s">
        <v>64449</v>
      </c>
      <c>
        <v>24</v>
      </c>
      <c r="AI4898" t="s">
        <v>1830</v>
      </c>
      <c t="s">
        <v>4151</v>
      </c>
      <c r="AL4898" t="s">
        <v>46008</v>
      </c>
      <c r="AN4898" t="s">
        <v>10909</v>
      </c>
      <c t="s">
        <v>15331</v>
      </c>
      <c r="AQ4898" t="s">
        <v>27814</v>
      </c>
      <c t="s">
        <v>1660</v>
      </c>
    </row>
    <row>
      <c t="s">
        <v>17594</v>
      </c>
      <c t="s">
        <v>63697</v>
      </c>
      <c t="s">
        <v>2933</v>
      </c>
      <c t="s">
        <v>44959</v>
      </c>
      <c t="s">
        <v>7813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4899" s="1" t="str">
        <f ca="1">HYPERLINK("https://web.datatree.com/?/property?propertyId=33919968", "https://web.datatree.com/?/property?propertyId=33919968")</f>
        <v>https://web.datatree.com/?/property?propertyId=33919968</v>
      </c>
      <c r="Q4899" t="s">
        <v>316</v>
      </c>
      <c>
        <v>0.251</v>
      </c>
      <c t="s">
        <v>6175</v>
      </c>
      <c t="s">
        <v>62125</v>
      </c>
      <c t="s">
        <v>46007</v>
      </c>
      <c t="s">
        <v>50865</v>
      </c>
      <c t="s">
        <v>46007</v>
      </c>
      <c t="s">
        <v>37374</v>
      </c>
      <c t="s">
        <v>25017</v>
      </c>
      <c t="s">
        <v>2517</v>
      </c>
      <c t="s">
        <v>39289</v>
      </c>
      <c>
        <v>33909</v>
      </c>
      <c t="s">
        <v>14438</v>
      </c>
      <c t="s">
        <v>48794</v>
      </c>
      <c t="s">
        <v>1470</v>
      </c>
      <c>
        <v>2505</v>
      </c>
      <c r="AI4899" t="s">
        <v>40312</v>
      </c>
      <c t="s">
        <v>45393</v>
      </c>
      <c r="AL4899" t="s">
        <v>53411</v>
      </c>
      <c r="AN4899" t="s">
        <v>50917</v>
      </c>
      <c t="s">
        <v>49756</v>
      </c>
      <c t="s">
        <v>49977</v>
      </c>
      <c t="s">
        <v>3093</v>
      </c>
      <c t="s">
        <v>48087</v>
      </c>
    </row>
    <row>
      <c t="s">
        <v>17594</v>
      </c>
      <c t="s">
        <v>62795</v>
      </c>
      <c t="s">
        <v>17170</v>
      </c>
      <c t="s">
        <v>48516</v>
      </c>
      <c t="s">
        <v>2531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4900" s="1" t="str">
        <f ca="1">HYPERLINK("https://web.datatree.com/?/property?propertyId=33920362", "https://web.datatree.com/?/property?propertyId=33920362")</f>
        <v>https://web.datatree.com/?/property?propertyId=33920362</v>
      </c>
      <c r="Q4900" t="s">
        <v>316</v>
      </c>
      <c>
        <v>0.23</v>
      </c>
      <c t="s">
        <v>6175</v>
      </c>
      <c t="s">
        <v>7346</v>
      </c>
      <c t="s">
        <v>24432</v>
      </c>
      <c r="X4900" t="s">
        <v>7660</v>
      </c>
      <c t="s">
        <v>53675</v>
      </c>
      <c t="s">
        <v>2517</v>
      </c>
      <c t="s">
        <v>39289</v>
      </c>
      <c>
        <v>33909</v>
      </c>
      <c t="s">
        <v>56911</v>
      </c>
      <c t="s">
        <v>48794</v>
      </c>
      <c t="s">
        <v>30135</v>
      </c>
      <c>
        <v>7864</v>
      </c>
      <c r="AI4900" t="s">
        <v>55155</v>
      </c>
      <c t="s">
        <v>45393</v>
      </c>
      <c r="AL4900" t="s">
        <v>29515</v>
      </c>
      <c r="AN4900" t="s">
        <v>39289</v>
      </c>
      <c t="s">
        <v>44958</v>
      </c>
      <c t="s">
        <v>7207</v>
      </c>
      <c t="s">
        <v>3093</v>
      </c>
      <c t="s">
        <v>2908</v>
      </c>
    </row>
    <row>
      <c t="s">
        <v>17594</v>
      </c>
      <c t="s">
        <v>6339</v>
      </c>
      <c t="s">
        <v>38754</v>
      </c>
      <c t="s">
        <v>4478</v>
      </c>
      <c t="s">
        <v>7409</v>
      </c>
      <c s="3">
        <v>70849</v>
      </c>
      <c s="3">
        <v>63500</v>
      </c>
      <c s="3">
        <v>70849</v>
      </c>
      <c>
        <v>0</v>
      </c>
      <c s="3">
        <v>0</v>
      </c>
      <c s="3">
        <v>1065.63</v>
      </c>
      <c s="3">
        <v>70849</v>
      </c>
      <c r="O4901" s="1" t="str">
        <f ca="1">HYPERLINK("https://web.datatree.com/?/property?propertyId=33920730", "https://web.datatree.com/?/property?propertyId=33920730")</f>
        <v>https://web.datatree.com/?/property?propertyId=33920730</v>
      </c>
      <c r="Q4901" t="s">
        <v>316</v>
      </c>
      <c>
        <v>0.096</v>
      </c>
      <c t="s">
        <v>26492</v>
      </c>
      <c t="s">
        <v>40487</v>
      </c>
      <c t="s">
        <v>16401</v>
      </c>
      <c t="s">
        <v>26023</v>
      </c>
      <c t="s">
        <v>16401</v>
      </c>
      <c t="s">
        <v>5174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49760</v>
      </c>
      <c>
        <v>47</v>
      </c>
      <c r="AI4901" t="s">
        <v>44606</v>
      </c>
      <c t="s">
        <v>45620</v>
      </c>
      <c r="AL4901" t="s">
        <v>30525</v>
      </c>
      <c t="s">
        <v>40227</v>
      </c>
      <c t="s">
        <v>64022</v>
      </c>
      <c t="s">
        <v>16905</v>
      </c>
      <c t="s">
        <v>14695</v>
      </c>
      <c t="s">
        <v>3093</v>
      </c>
      <c t="s">
        <v>18001</v>
      </c>
    </row>
    <row>
      <c t="s">
        <v>17594</v>
      </c>
      <c t="s">
        <v>19860</v>
      </c>
      <c t="s">
        <v>4364</v>
      </c>
      <c t="s">
        <v>34937</v>
      </c>
      <c t="s">
        <v>48824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902" s="1" t="str">
        <f ca="1">HYPERLINK("https://web.datatree.com/?/property?propertyId=33920731", "https://web.datatree.com/?/property?propertyId=33920731")</f>
        <v>https://web.datatree.com/?/property?propertyId=33920731</v>
      </c>
      <c r="Q4902" t="s">
        <v>316</v>
      </c>
      <c>
        <v>0.23</v>
      </c>
      <c t="s">
        <v>6175</v>
      </c>
      <c t="s">
        <v>46006</v>
      </c>
      <c t="s">
        <v>13483</v>
      </c>
      <c t="s">
        <v>5941</v>
      </c>
      <c t="s">
        <v>13483</v>
      </c>
      <c t="s">
        <v>12908</v>
      </c>
      <c t="s">
        <v>22731</v>
      </c>
      <c t="s">
        <v>2517</v>
      </c>
      <c t="s">
        <v>39289</v>
      </c>
      <c>
        <v>33909</v>
      </c>
      <c t="s">
        <v>6090</v>
      </c>
      <c t="s">
        <v>48794</v>
      </c>
      <c t="s">
        <v>39650</v>
      </c>
      <c r="AI4902" t="s">
        <v>1011</v>
      </c>
      <c r="AK4902">
        <v>265</v>
      </c>
      <c t="s">
        <v>45340</v>
      </c>
      <c r="AN4902" t="s">
        <v>58705</v>
      </c>
      <c>
        <v>83200</v>
      </c>
      <c r="AR4902" t="s">
        <v>9214</v>
      </c>
    </row>
    <row>
      <c t="s">
        <v>17594</v>
      </c>
      <c t="s">
        <v>2054</v>
      </c>
      <c t="s">
        <v>42650</v>
      </c>
      <c t="s">
        <v>12347</v>
      </c>
      <c t="s">
        <v>29869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903" s="1" t="str">
        <f ca="1">HYPERLINK("https://web.datatree.com/?/property?propertyId=33921171", "https://web.datatree.com/?/property?propertyId=33921171")</f>
        <v>https://web.datatree.com/?/property?propertyId=33921171</v>
      </c>
      <c r="Q4903" t="s">
        <v>316</v>
      </c>
      <c>
        <v>0.23</v>
      </c>
      <c t="s">
        <v>22490</v>
      </c>
      <c t="s">
        <v>3617</v>
      </c>
      <c t="s">
        <v>39164</v>
      </c>
      <c t="s">
        <v>63411</v>
      </c>
      <c t="s">
        <v>39164</v>
      </c>
      <c t="s">
        <v>65383</v>
      </c>
      <c t="s">
        <v>38550</v>
      </c>
      <c t="s">
        <v>2517</v>
      </c>
      <c t="s">
        <v>39289</v>
      </c>
      <c>
        <v>33909</v>
      </c>
      <c t="s">
        <v>28350</v>
      </c>
      <c t="s">
        <v>48794</v>
      </c>
      <c t="s">
        <v>49233</v>
      </c>
      <c>
        <v>343</v>
      </c>
      <c r="AI4903" t="s">
        <v>66861</v>
      </c>
      <c t="s">
        <v>45393</v>
      </c>
      <c r="AL4903" t="s">
        <v>58935</v>
      </c>
      <c r="AN4903" t="s">
        <v>50917</v>
      </c>
      <c t="s">
        <v>7747</v>
      </c>
      <c t="s">
        <v>34162</v>
      </c>
      <c t="s">
        <v>3093</v>
      </c>
      <c t="s">
        <v>64560</v>
      </c>
    </row>
    <row>
      <c t="s">
        <v>17594</v>
      </c>
      <c t="s">
        <v>29144</v>
      </c>
      <c t="s">
        <v>47749</v>
      </c>
      <c t="s">
        <v>64457</v>
      </c>
      <c t="s">
        <v>38775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4904" s="1" t="str">
        <f ca="1">HYPERLINK("https://web.datatree.com/?/property?propertyId=33921203", "https://web.datatree.com/?/property?propertyId=33921203")</f>
        <v>https://web.datatree.com/?/property?propertyId=33921203</v>
      </c>
      <c r="Q4904" t="s">
        <v>316</v>
      </c>
      <c>
        <v>0.251</v>
      </c>
      <c t="s">
        <v>5471</v>
      </c>
      <c t="s">
        <v>56684</v>
      </c>
      <c t="s">
        <v>33489</v>
      </c>
      <c t="s">
        <v>21379</v>
      </c>
      <c t="s">
        <v>33489</v>
      </c>
      <c t="s">
        <v>48171</v>
      </c>
      <c t="s">
        <v>19611</v>
      </c>
      <c t="s">
        <v>65059</v>
      </c>
      <c t="s">
        <v>39289</v>
      </c>
      <c>
        <v>33905</v>
      </c>
      <c t="s">
        <v>61387</v>
      </c>
      <c t="s">
        <v>48794</v>
      </c>
      <c t="s">
        <v>44489</v>
      </c>
      <c>
        <v>27</v>
      </c>
      <c r="AI4904" t="s">
        <v>39171</v>
      </c>
      <c t="s">
        <v>45393</v>
      </c>
      <c r="AL4904" t="s">
        <v>63181</v>
      </c>
      <c r="AN4904" t="s">
        <v>26016</v>
      </c>
      <c t="s">
        <v>19305</v>
      </c>
      <c t="s">
        <v>26242</v>
      </c>
      <c t="s">
        <v>3093</v>
      </c>
      <c t="s">
        <v>8365</v>
      </c>
    </row>
    <row>
      <c t="s">
        <v>17594</v>
      </c>
      <c t="s">
        <v>13468</v>
      </c>
      <c t="s">
        <v>40507</v>
      </c>
      <c t="s">
        <v>21352</v>
      </c>
      <c t="s">
        <v>58143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4905" s="1" t="str">
        <f ca="1">HYPERLINK("https://web.datatree.com/?/property?propertyId=33921797", "https://web.datatree.com/?/property?propertyId=33921797")</f>
        <v>https://web.datatree.com/?/property?propertyId=33921797</v>
      </c>
      <c r="Q4905" t="s">
        <v>316</v>
      </c>
      <c>
        <v>0.23</v>
      </c>
      <c t="s">
        <v>6175</v>
      </c>
      <c t="s">
        <v>31950</v>
      </c>
      <c t="s">
        <v>13692</v>
      </c>
      <c r="X4905" t="s">
        <v>12945</v>
      </c>
      <c t="s">
        <v>34136</v>
      </c>
      <c t="s">
        <v>2517</v>
      </c>
      <c t="s">
        <v>39289</v>
      </c>
      <c>
        <v>33909</v>
      </c>
      <c t="s">
        <v>26174</v>
      </c>
      <c t="s">
        <v>48794</v>
      </c>
      <c t="s">
        <v>24375</v>
      </c>
      <c>
        <v>6216</v>
      </c>
      <c r="AI4905" t="s">
        <v>46384</v>
      </c>
      <c t="s">
        <v>45393</v>
      </c>
      <c r="AL4905" t="s">
        <v>1661</v>
      </c>
      <c r="AN4905" t="s">
        <v>51137</v>
      </c>
      <c t="s">
        <v>22329</v>
      </c>
      <c t="s">
        <v>22613</v>
      </c>
      <c t="s">
        <v>3093</v>
      </c>
      <c t="s">
        <v>15749</v>
      </c>
    </row>
    <row>
      <c t="s">
        <v>17594</v>
      </c>
      <c t="s">
        <v>3485</v>
      </c>
      <c t="s">
        <v>24261</v>
      </c>
      <c t="s">
        <v>29323</v>
      </c>
      <c t="s">
        <v>48270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4906" s="1" t="str">
        <f ca="1">HYPERLINK("https://web.datatree.com/?/property?propertyId=33924117", "https://web.datatree.com/?/property?propertyId=33924117")</f>
        <v>https://web.datatree.com/?/property?propertyId=33924117</v>
      </c>
      <c r="Q4906" t="s">
        <v>316</v>
      </c>
      <c>
        <v>0.258</v>
      </c>
      <c t="s">
        <v>5471</v>
      </c>
      <c r="U4906" t="s">
        <v>46285</v>
      </c>
      <c r="W4906" t="s">
        <v>53558</v>
      </c>
      <c t="s">
        <v>66883</v>
      </c>
      <c t="s">
        <v>52508</v>
      </c>
      <c t="s">
        <v>65059</v>
      </c>
      <c t="s">
        <v>39289</v>
      </c>
      <c>
        <v>33905</v>
      </c>
      <c t="s">
        <v>20796</v>
      </c>
      <c t="s">
        <v>48794</v>
      </c>
      <c t="s">
        <v>21310</v>
      </c>
      <c>
        <v>12703</v>
      </c>
      <c r="AI4906" t="s">
        <v>3400</v>
      </c>
      <c t="s">
        <v>55842</v>
      </c>
      <c r="AL4906" t="s">
        <v>51967</v>
      </c>
      <c t="s">
        <v>42362</v>
      </c>
      <c t="s">
        <v>65467</v>
      </c>
      <c t="s">
        <v>34921</v>
      </c>
      <c t="s">
        <v>33856</v>
      </c>
      <c t="s">
        <v>3093</v>
      </c>
      <c t="s">
        <v>42876</v>
      </c>
    </row>
    <row>
      <c t="s">
        <v>17594</v>
      </c>
      <c t="s">
        <v>32182</v>
      </c>
      <c t="s">
        <v>65898</v>
      </c>
      <c t="s">
        <v>8539</v>
      </c>
      <c t="s">
        <v>27461</v>
      </c>
      <c s="3">
        <v>8000</v>
      </c>
      <c s="3">
        <v>8000</v>
      </c>
      <c s="3">
        <v>8000</v>
      </c>
      <c>
        <v>0</v>
      </c>
      <c s="3">
        <v>0</v>
      </c>
      <c s="3">
        <v>558.11</v>
      </c>
      <c s="3">
        <v>8000</v>
      </c>
      <c r="O4907" s="1" t="str">
        <f ca="1">HYPERLINK("https://web.datatree.com/?/property?propertyId=33924318", "https://web.datatree.com/?/property?propertyId=33924318")</f>
        <v>https://web.datatree.com/?/property?propertyId=33924318</v>
      </c>
      <c r="Q4907" t="s">
        <v>316</v>
      </c>
      <c>
        <v>0.23</v>
      </c>
      <c t="s">
        <v>33269</v>
      </c>
      <c t="s">
        <v>2266</v>
      </c>
      <c t="s">
        <v>36179</v>
      </c>
      <c t="s">
        <v>63047</v>
      </c>
      <c r="X4907" t="s">
        <v>56919</v>
      </c>
      <c t="s">
        <v>13478</v>
      </c>
      <c t="s">
        <v>2517</v>
      </c>
      <c t="s">
        <v>39289</v>
      </c>
      <c>
        <v>33909</v>
      </c>
      <c t="s">
        <v>31216</v>
      </c>
      <c t="s">
        <v>48794</v>
      </c>
      <c t="s">
        <v>34157</v>
      </c>
      <c>
        <v>1906</v>
      </c>
      <c r="AI4907" t="s">
        <v>21480</v>
      </c>
      <c t="s">
        <v>1671</v>
      </c>
      <c r="AL4907" t="s">
        <v>46797</v>
      </c>
      <c t="s">
        <v>46797</v>
      </c>
      <c t="s">
        <v>39289</v>
      </c>
      <c t="s">
        <v>23910</v>
      </c>
      <c t="s">
        <v>45980</v>
      </c>
      <c t="s">
        <v>3093</v>
      </c>
      <c t="s">
        <v>22485</v>
      </c>
    </row>
    <row>
      <c t="s">
        <v>17594</v>
      </c>
      <c t="s">
        <v>51004</v>
      </c>
      <c t="s">
        <v>38713</v>
      </c>
      <c t="s">
        <v>38595</v>
      </c>
      <c t="s">
        <v>34428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>
        <v>2021</v>
      </c>
      <c>
        <v>584.1</v>
      </c>
      <c s="1" t="str">
        <f ca="1">HYPERLINK("https://web.datatree.com/?/property?propertyId=33924439", "https://web.datatree.com/?/property?propertyId=33924439")</f>
        <v>https://web.datatree.com/?/property?propertyId=33924439</v>
      </c>
      <c r="Q4908" t="s">
        <v>316</v>
      </c>
      <c>
        <v>0.23</v>
      </c>
      <c t="s">
        <v>6175</v>
      </c>
      <c t="s">
        <v>34344</v>
      </c>
      <c t="s">
        <v>52386</v>
      </c>
      <c t="s">
        <v>21379</v>
      </c>
      <c t="s">
        <v>9733</v>
      </c>
      <c t="s">
        <v>31094</v>
      </c>
      <c t="s">
        <v>53663</v>
      </c>
      <c t="s">
        <v>2517</v>
      </c>
      <c t="s">
        <v>39289</v>
      </c>
      <c>
        <v>33909</v>
      </c>
      <c t="s">
        <v>57342</v>
      </c>
      <c t="s">
        <v>48794</v>
      </c>
      <c t="s">
        <v>3433</v>
      </c>
      <c>
        <v>920</v>
      </c>
      <c r="AI4908" t="s">
        <v>9566</v>
      </c>
      <c t="s">
        <v>31192</v>
      </c>
      <c t="s">
        <v>27330</v>
      </c>
      <c t="s">
        <v>37473</v>
      </c>
      <c r="AN4908" t="s">
        <v>19878</v>
      </c>
      <c t="s">
        <v>51386</v>
      </c>
      <c t="s">
        <v>27553</v>
      </c>
      <c t="s">
        <v>3093</v>
      </c>
      <c t="s">
        <v>11760</v>
      </c>
    </row>
    <row>
      <c t="s">
        <v>17594</v>
      </c>
      <c t="s">
        <v>25314</v>
      </c>
      <c t="s">
        <v>54775</v>
      </c>
      <c t="s">
        <v>17645</v>
      </c>
      <c t="s">
        <v>35539</v>
      </c>
      <c s="3">
        <v>7600</v>
      </c>
      <c s="3">
        <v>7600</v>
      </c>
      <c s="3">
        <v>7600</v>
      </c>
      <c>
        <v>0</v>
      </c>
      <c s="3">
        <v>0</v>
      </c>
      <c s="3">
        <v>664.2</v>
      </c>
      <c s="3">
        <v>7600</v>
      </c>
      <c r="O4909" s="1" t="str">
        <f ca="1">HYPERLINK("https://web.datatree.com/?/property?propertyId=33925420", "https://web.datatree.com/?/property?propertyId=33925420")</f>
        <v>https://web.datatree.com/?/property?propertyId=33925420</v>
      </c>
      <c r="Q4909" t="s">
        <v>316</v>
      </c>
      <c>
        <v>0.332</v>
      </c>
      <c t="s">
        <v>22490</v>
      </c>
      <c t="s">
        <v>61517</v>
      </c>
      <c t="s">
        <v>57625</v>
      </c>
      <c t="s">
        <v>21384</v>
      </c>
      <c t="s">
        <v>59640</v>
      </c>
      <c t="s">
        <v>35728</v>
      </c>
      <c t="s">
        <v>7594</v>
      </c>
      <c t="s">
        <v>2517</v>
      </c>
      <c t="s">
        <v>39289</v>
      </c>
      <c>
        <v>33909</v>
      </c>
      <c>
        <v>33909</v>
      </c>
      <c t="s">
        <v>48794</v>
      </c>
      <c t="s">
        <v>16108</v>
      </c>
      <c>
        <v>15749</v>
      </c>
      <c r="AI4909" t="s">
        <v>13433</v>
      </c>
      <c t="s">
        <v>41372</v>
      </c>
      <c r="AL4909" t="s">
        <v>2407</v>
      </c>
      <c r="AN4909" t="s">
        <v>14798</v>
      </c>
      <c t="s">
        <v>8021</v>
      </c>
      <c t="s">
        <v>31626</v>
      </c>
      <c t="s">
        <v>3093</v>
      </c>
      <c t="s">
        <v>30064</v>
      </c>
    </row>
    <row>
      <c t="s">
        <v>17594</v>
      </c>
      <c t="s">
        <v>18787</v>
      </c>
      <c t="s">
        <v>65124</v>
      </c>
      <c t="s">
        <v>58761</v>
      </c>
      <c t="s">
        <v>44739</v>
      </c>
      <c s="3">
        <v>77259</v>
      </c>
      <c s="3">
        <v>70685</v>
      </c>
      <c s="3">
        <v>74869</v>
      </c>
      <c>
        <v>0</v>
      </c>
      <c s="3">
        <v>0</v>
      </c>
      <c s="3">
        <v>1139.08</v>
      </c>
      <c s="3">
        <v>77259</v>
      </c>
      <c r="O4910" s="1" t="str">
        <f ca="1">HYPERLINK("https://web.datatree.com/?/property?propertyId=33925517", "https://web.datatree.com/?/property?propertyId=33925517")</f>
        <v>https://web.datatree.com/?/property?propertyId=33925517</v>
      </c>
      <c r="Q4910" t="s">
        <v>316</v>
      </c>
      <c>
        <v>0.108</v>
      </c>
      <c t="s">
        <v>26492</v>
      </c>
      <c t="s">
        <v>58276</v>
      </c>
      <c t="s">
        <v>31859</v>
      </c>
      <c t="s">
        <v>9877</v>
      </c>
      <c t="s">
        <v>31859</v>
      </c>
      <c t="s">
        <v>33965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2586</v>
      </c>
      <c>
        <v>94</v>
      </c>
      <c r="AI4910" t="s">
        <v>66690</v>
      </c>
      <c t="s">
        <v>835</v>
      </c>
      <c r="AL4910" t="s">
        <v>47197</v>
      </c>
      <c t="s">
        <v>59780</v>
      </c>
      <c t="s">
        <v>10909</v>
      </c>
      <c t="s">
        <v>14462</v>
      </c>
      <c t="s">
        <v>60160</v>
      </c>
      <c t="s">
        <v>3093</v>
      </c>
      <c t="s">
        <v>22553</v>
      </c>
    </row>
    <row>
      <c t="s">
        <v>17594</v>
      </c>
      <c t="s">
        <v>53160</v>
      </c>
      <c t="s">
        <v>47093</v>
      </c>
      <c t="s">
        <v>10253</v>
      </c>
      <c t="s">
        <v>46274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911" s="1" t="str">
        <f ca="1">HYPERLINK("https://web.datatree.com/?/property?propertyId=33925612", "https://web.datatree.com/?/property?propertyId=33925612")</f>
        <v>https://web.datatree.com/?/property?propertyId=33925612</v>
      </c>
      <c r="Q4911" t="s">
        <v>316</v>
      </c>
      <c>
        <v>0.23</v>
      </c>
      <c t="s">
        <v>6175</v>
      </c>
      <c t="s">
        <v>44541</v>
      </c>
      <c t="s">
        <v>17167</v>
      </c>
      <c r="X4911" t="s">
        <v>45738</v>
      </c>
      <c t="s">
        <v>61865</v>
      </c>
      <c t="s">
        <v>2517</v>
      </c>
      <c t="s">
        <v>39289</v>
      </c>
      <c>
        <v>33909</v>
      </c>
      <c t="s">
        <v>45967</v>
      </c>
      <c t="s">
        <v>48794</v>
      </c>
      <c t="s">
        <v>44395</v>
      </c>
      <c>
        <v>466</v>
      </c>
      <c r="AI4911" t="s">
        <v>28635</v>
      </c>
      <c t="s">
        <v>31192</v>
      </c>
      <c r="AL4911" t="s">
        <v>8890</v>
      </c>
      <c r="AN4911" t="s">
        <v>51087</v>
      </c>
      <c t="s">
        <v>28416</v>
      </c>
      <c t="s">
        <v>61719</v>
      </c>
      <c t="s">
        <v>3093</v>
      </c>
      <c t="s">
        <v>18188</v>
      </c>
    </row>
    <row>
      <c t="s">
        <v>17594</v>
      </c>
      <c t="s">
        <v>19718</v>
      </c>
      <c t="s">
        <v>47216</v>
      </c>
      <c t="s">
        <v>57925</v>
      </c>
      <c t="s">
        <v>10174</v>
      </c>
      <c s="3">
        <v>9200</v>
      </c>
      <c s="3">
        <v>9200</v>
      </c>
      <c s="3">
        <v>9200</v>
      </c>
      <c>
        <v>0</v>
      </c>
      <c s="3">
        <v>0</v>
      </c>
      <c s="3">
        <v>860.55</v>
      </c>
      <c s="3">
        <v>9200</v>
      </c>
      <c r="O4912" s="1" t="str">
        <f ca="1">HYPERLINK("https://web.datatree.com/?/property?propertyId=33926371", "https://web.datatree.com/?/property?propertyId=33926371")</f>
        <v>https://web.datatree.com/?/property?propertyId=33926371</v>
      </c>
      <c r="Q4912" t="s">
        <v>316</v>
      </c>
      <c>
        <v>0.344</v>
      </c>
      <c t="s">
        <v>22490</v>
      </c>
      <c t="s">
        <v>64119</v>
      </c>
      <c t="s">
        <v>4848</v>
      </c>
      <c t="s">
        <v>12915</v>
      </c>
      <c t="s">
        <v>4848</v>
      </c>
      <c t="s">
        <v>60150</v>
      </c>
      <c t="s">
        <v>44061</v>
      </c>
      <c t="s">
        <v>2517</v>
      </c>
      <c t="s">
        <v>39289</v>
      </c>
      <c>
        <v>33909</v>
      </c>
      <c t="s">
        <v>877</v>
      </c>
      <c t="s">
        <v>48794</v>
      </c>
      <c t="s">
        <v>10139</v>
      </c>
      <c>
        <v>13101</v>
      </c>
      <c r="AI4912" t="s">
        <v>59389</v>
      </c>
      <c t="s">
        <v>45393</v>
      </c>
      <c r="AL4912" t="s">
        <v>55393</v>
      </c>
      <c r="AN4912" t="s">
        <v>39289</v>
      </c>
      <c t="s">
        <v>54279</v>
      </c>
      <c t="s">
        <v>17380</v>
      </c>
      <c t="s">
        <v>3093</v>
      </c>
      <c t="s">
        <v>6425</v>
      </c>
    </row>
    <row>
      <c t="s">
        <v>17594</v>
      </c>
      <c t="s">
        <v>59868</v>
      </c>
      <c t="s">
        <v>56915</v>
      </c>
      <c t="s">
        <v>18109</v>
      </c>
      <c t="s">
        <v>65864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4913" s="1" t="str">
        <f ca="1">HYPERLINK("https://web.datatree.com/?/property?propertyId=33926768", "https://web.datatree.com/?/property?propertyId=33926768")</f>
        <v>https://web.datatree.com/?/property?propertyId=33926768</v>
      </c>
      <c r="Q4913" t="s">
        <v>316</v>
      </c>
      <c>
        <v>0.23</v>
      </c>
      <c t="s">
        <v>22490</v>
      </c>
      <c t="s">
        <v>35571</v>
      </c>
      <c t="s">
        <v>53897</v>
      </c>
      <c r="X4913" t="s">
        <v>25025</v>
      </c>
      <c t="s">
        <v>53675</v>
      </c>
      <c t="s">
        <v>2517</v>
      </c>
      <c t="s">
        <v>39289</v>
      </c>
      <c>
        <v>33909</v>
      </c>
      <c t="s">
        <v>26012</v>
      </c>
      <c t="s">
        <v>48794</v>
      </c>
      <c t="s">
        <v>17183</v>
      </c>
      <c>
        <v>119</v>
      </c>
      <c r="AI4913" t="s">
        <v>50653</v>
      </c>
      <c r="AL4913" t="s">
        <v>26964</v>
      </c>
      <c r="AN4913" t="s">
        <v>63985</v>
      </c>
      <c t="s">
        <v>24587</v>
      </c>
      <c t="s">
        <v>27410</v>
      </c>
      <c t="s">
        <v>3093</v>
      </c>
      <c t="s">
        <v>28553</v>
      </c>
    </row>
    <row>
      <c t="s">
        <v>17594</v>
      </c>
      <c t="s">
        <v>65140</v>
      </c>
      <c t="s">
        <v>27050</v>
      </c>
      <c t="s">
        <v>54418</v>
      </c>
      <c t="s">
        <v>54555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>
        <v>2020</v>
      </c>
      <c>
        <v>1664.84</v>
      </c>
      <c s="1" t="str">
        <f ca="1">HYPERLINK("https://web.datatree.com/?/property?propertyId=33926976", "https://web.datatree.com/?/property?propertyId=33926976")</f>
        <v>https://web.datatree.com/?/property?propertyId=33926976</v>
      </c>
      <c r="Q4914" t="s">
        <v>316</v>
      </c>
      <c>
        <v>0.244</v>
      </c>
      <c t="s">
        <v>6175</v>
      </c>
      <c t="s">
        <v>62245</v>
      </c>
      <c t="s">
        <v>928</v>
      </c>
      <c t="s">
        <v>12933</v>
      </c>
      <c t="s">
        <v>44942</v>
      </c>
      <c t="s">
        <v>61733</v>
      </c>
      <c t="s">
        <v>17022</v>
      </c>
      <c t="s">
        <v>2517</v>
      </c>
      <c t="s">
        <v>39289</v>
      </c>
      <c>
        <v>33909</v>
      </c>
      <c t="s">
        <v>14862</v>
      </c>
      <c t="s">
        <v>48794</v>
      </c>
      <c t="s">
        <v>58132</v>
      </c>
      <c>
        <v>701</v>
      </c>
      <c r="AI4914" t="s">
        <v>6073</v>
      </c>
      <c t="s">
        <v>24900</v>
      </c>
      <c>
        <v>220</v>
      </c>
      <c t="s">
        <v>55393</v>
      </c>
      <c t="s">
        <v>55393</v>
      </c>
      <c t="s">
        <v>39289</v>
      </c>
      <c t="s">
        <v>59730</v>
      </c>
      <c t="s">
        <v>66620</v>
      </c>
      <c t="s">
        <v>3093</v>
      </c>
      <c t="s">
        <v>54838</v>
      </c>
    </row>
    <row>
      <c t="s">
        <v>17594</v>
      </c>
      <c t="s">
        <v>35551</v>
      </c>
      <c t="s">
        <v>4752</v>
      </c>
      <c t="s">
        <v>20512</v>
      </c>
      <c t="s">
        <v>58691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4915" s="1" t="str">
        <f ca="1">HYPERLINK("https://web.datatree.com/?/property?propertyId=33927232", "https://web.datatree.com/?/property?propertyId=33927232")</f>
        <v>https://web.datatree.com/?/property?propertyId=33927232</v>
      </c>
      <c r="Q4915" t="s">
        <v>316</v>
      </c>
      <c>
        <v>0.236</v>
      </c>
      <c t="s">
        <v>6175</v>
      </c>
      <c t="s">
        <v>55109</v>
      </c>
      <c t="s">
        <v>8077</v>
      </c>
      <c t="s">
        <v>25518</v>
      </c>
      <c t="s">
        <v>8077</v>
      </c>
      <c t="s">
        <v>26695</v>
      </c>
      <c t="s">
        <v>39082</v>
      </c>
      <c t="s">
        <v>2517</v>
      </c>
      <c t="s">
        <v>39289</v>
      </c>
      <c>
        <v>33909</v>
      </c>
      <c t="s">
        <v>14613</v>
      </c>
      <c t="s">
        <v>48794</v>
      </c>
      <c t="s">
        <v>16541</v>
      </c>
      <c>
        <v>4552</v>
      </c>
      <c r="AH4915" t="s">
        <v>57851</v>
      </c>
      <c>
        <v>800</v>
      </c>
      <c r="AL4915" t="s">
        <v>32445</v>
      </c>
      <c r="AN4915" t="s">
        <v>49572</v>
      </c>
      <c t="s">
        <v>16377</v>
      </c>
      <c t="s">
        <v>27410</v>
      </c>
      <c t="s">
        <v>3093</v>
      </c>
      <c t="s">
        <v>31122</v>
      </c>
    </row>
    <row>
      <c t="s">
        <v>17594</v>
      </c>
      <c t="s">
        <v>29663</v>
      </c>
      <c t="s">
        <v>28824</v>
      </c>
      <c t="s">
        <v>43643</v>
      </c>
      <c t="s">
        <v>17222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4916" s="1" t="str">
        <f ca="1">HYPERLINK("https://web.datatree.com/?/property?propertyId=33927595", "https://web.datatree.com/?/property?propertyId=33927595")</f>
        <v>https://web.datatree.com/?/property?propertyId=33927595</v>
      </c>
      <c r="Q4916" t="s">
        <v>316</v>
      </c>
      <c>
        <v>0.263</v>
      </c>
      <c t="s">
        <v>5471</v>
      </c>
      <c t="s">
        <v>49272</v>
      </c>
      <c t="s">
        <v>60882</v>
      </c>
      <c t="s">
        <v>33621</v>
      </c>
      <c t="s">
        <v>60882</v>
      </c>
      <c t="s">
        <v>58019</v>
      </c>
      <c t="s">
        <v>5280</v>
      </c>
      <c t="s">
        <v>65059</v>
      </c>
      <c t="s">
        <v>39289</v>
      </c>
      <c>
        <v>33905</v>
      </c>
      <c t="s">
        <v>14638</v>
      </c>
      <c t="s">
        <v>48794</v>
      </c>
      <c t="s">
        <v>58643</v>
      </c>
      <c>
        <v>293</v>
      </c>
      <c r="AI4916" t="s">
        <v>48476</v>
      </c>
      <c t="s">
        <v>31192</v>
      </c>
      <c r="AL4916" t="s">
        <v>47361</v>
      </c>
      <c r="AN4916" t="s">
        <v>10804</v>
      </c>
      <c t="s">
        <v>21499</v>
      </c>
      <c t="s">
        <v>14695</v>
      </c>
      <c t="s">
        <v>3093</v>
      </c>
      <c t="s">
        <v>31618</v>
      </c>
    </row>
    <row>
      <c t="s">
        <v>17594</v>
      </c>
      <c t="s">
        <v>60042</v>
      </c>
      <c t="s">
        <v>23461</v>
      </c>
      <c t="s">
        <v>55210</v>
      </c>
      <c t="s">
        <v>36313</v>
      </c>
      <c s="3">
        <v>41000</v>
      </c>
      <c s="3">
        <v>41000</v>
      </c>
      <c s="3">
        <v>41000</v>
      </c>
      <c>
        <v>0</v>
      </c>
      <c s="3">
        <v>0</v>
      </c>
      <c s="3">
        <v>1022.16</v>
      </c>
      <c s="3">
        <v>41000</v>
      </c>
      <c r="O4917" s="1" t="str">
        <f ca="1">HYPERLINK("https://web.datatree.com/?/property?propertyId=33928487", "https://web.datatree.com/?/property?propertyId=33928487")</f>
        <v>https://web.datatree.com/?/property?propertyId=33928487</v>
      </c>
      <c r="Q4917" t="s">
        <v>316</v>
      </c>
      <c>
        <v>0.23</v>
      </c>
      <c t="s">
        <v>14479</v>
      </c>
      <c t="s">
        <v>47843</v>
      </c>
      <c t="s">
        <v>27594</v>
      </c>
      <c t="s">
        <v>2864</v>
      </c>
      <c t="s">
        <v>34315</v>
      </c>
      <c t="s">
        <v>43878</v>
      </c>
      <c t="s">
        <v>39082</v>
      </c>
      <c t="s">
        <v>2517</v>
      </c>
      <c t="s">
        <v>39289</v>
      </c>
      <c>
        <v>33909</v>
      </c>
      <c t="s">
        <v>64059</v>
      </c>
      <c t="s">
        <v>48794</v>
      </c>
      <c t="s">
        <v>37381</v>
      </c>
      <c>
        <v>9643</v>
      </c>
      <c r="AI4917" t="s">
        <v>19014</v>
      </c>
      <c t="s">
        <v>31192</v>
      </c>
      <c r="AL4917" t="s">
        <v>51808</v>
      </c>
      <c t="s">
        <v>53514</v>
      </c>
      <c t="s">
        <v>3034</v>
      </c>
      <c t="s">
        <v>59142</v>
      </c>
      <c t="s">
        <v>47183</v>
      </c>
      <c t="s">
        <v>3093</v>
      </c>
      <c t="s">
        <v>3708</v>
      </c>
    </row>
    <row>
      <c t="s">
        <v>17594</v>
      </c>
      <c t="s">
        <v>53377</v>
      </c>
      <c t="s">
        <v>15627</v>
      </c>
      <c t="s">
        <v>62690</v>
      </c>
      <c t="s">
        <v>13978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918" s="1" t="str">
        <f ca="1">HYPERLINK("https://web.datatree.com/?/property?propertyId=33928723", "https://web.datatree.com/?/property?propertyId=33928723")</f>
        <v>https://web.datatree.com/?/property?propertyId=33928723</v>
      </c>
      <c r="Q4918" t="s">
        <v>316</v>
      </c>
      <c>
        <v>0.23</v>
      </c>
      <c t="s">
        <v>6175</v>
      </c>
      <c t="s">
        <v>40579</v>
      </c>
      <c t="s">
        <v>10269</v>
      </c>
      <c t="s">
        <v>65412</v>
      </c>
      <c t="s">
        <v>10269</v>
      </c>
      <c t="s">
        <v>34249</v>
      </c>
      <c t="s">
        <v>38550</v>
      </c>
      <c t="s">
        <v>2517</v>
      </c>
      <c t="s">
        <v>39289</v>
      </c>
      <c>
        <v>33909</v>
      </c>
      <c t="s">
        <v>12629</v>
      </c>
      <c t="s">
        <v>48794</v>
      </c>
      <c t="s">
        <v>46556</v>
      </c>
      <c>
        <v>12636</v>
      </c>
      <c r="AI4918" t="s">
        <v>60419</v>
      </c>
      <c t="s">
        <v>40123</v>
      </c>
      <c r="AL4918" t="s">
        <v>11121</v>
      </c>
      <c t="s">
        <v>45881</v>
      </c>
      <c t="s">
        <v>58733</v>
      </c>
      <c t="s">
        <v>20517</v>
      </c>
      <c t="s">
        <v>49977</v>
      </c>
      <c t="s">
        <v>3093</v>
      </c>
      <c t="s">
        <v>31810</v>
      </c>
    </row>
    <row>
      <c t="s">
        <v>17594</v>
      </c>
      <c t="s">
        <v>33637</v>
      </c>
      <c t="s">
        <v>2349</v>
      </c>
      <c t="s">
        <v>16936</v>
      </c>
      <c t="s">
        <v>39470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4919" s="1" t="str">
        <f ca="1">HYPERLINK("https://web.datatree.com/?/property?propertyId=33928873", "https://web.datatree.com/?/property?propertyId=33928873")</f>
        <v>https://web.datatree.com/?/property?propertyId=33928873</v>
      </c>
      <c r="Q4919" t="s">
        <v>316</v>
      </c>
      <c>
        <v>0.244</v>
      </c>
      <c t="s">
        <v>6175</v>
      </c>
      <c t="s">
        <v>22466</v>
      </c>
      <c t="s">
        <v>51650</v>
      </c>
      <c t="s">
        <v>552</v>
      </c>
      <c t="s">
        <v>3431</v>
      </c>
      <c t="s">
        <v>35757</v>
      </c>
      <c t="s">
        <v>38550</v>
      </c>
      <c t="s">
        <v>2517</v>
      </c>
      <c t="s">
        <v>39289</v>
      </c>
      <c>
        <v>33909</v>
      </c>
      <c t="s">
        <v>2353</v>
      </c>
      <c t="s">
        <v>48794</v>
      </c>
      <c t="s">
        <v>18613</v>
      </c>
      <c>
        <v>20</v>
      </c>
      <c r="AI4919" t="s">
        <v>26311</v>
      </c>
      <c t="s">
        <v>55842</v>
      </c>
      <c r="AL4919" t="s">
        <v>66454</v>
      </c>
      <c r="AN4919" t="s">
        <v>10804</v>
      </c>
      <c t="s">
        <v>54890</v>
      </c>
      <c t="s">
        <v>14695</v>
      </c>
      <c t="s">
        <v>3093</v>
      </c>
      <c t="s">
        <v>19358</v>
      </c>
    </row>
    <row>
      <c t="s">
        <v>17594</v>
      </c>
      <c t="s">
        <v>577</v>
      </c>
      <c t="s">
        <v>45711</v>
      </c>
      <c t="s">
        <v>50719</v>
      </c>
      <c t="s">
        <v>953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920" s="1" t="str">
        <f ca="1">HYPERLINK("https://web.datatree.com/?/property?propertyId=33929157", "https://web.datatree.com/?/property?propertyId=33929157")</f>
        <v>https://web.datatree.com/?/property?propertyId=33929157</v>
      </c>
      <c r="Q4920" t="s">
        <v>316</v>
      </c>
      <c>
        <v>0.23</v>
      </c>
      <c t="s">
        <v>14479</v>
      </c>
      <c t="s">
        <v>10410</v>
      </c>
      <c t="s">
        <v>39890</v>
      </c>
      <c t="s">
        <v>41965</v>
      </c>
      <c t="s">
        <v>39890</v>
      </c>
      <c t="s">
        <v>50891</v>
      </c>
      <c t="s">
        <v>30928</v>
      </c>
      <c t="s">
        <v>2517</v>
      </c>
      <c t="s">
        <v>39289</v>
      </c>
      <c>
        <v>33909</v>
      </c>
      <c t="s">
        <v>49403</v>
      </c>
      <c t="s">
        <v>48794</v>
      </c>
      <c t="s">
        <v>38412</v>
      </c>
      <c>
        <v>8603</v>
      </c>
      <c r="AI4920" t="s">
        <v>29618</v>
      </c>
      <c t="s">
        <v>45393</v>
      </c>
      <c r="AL4920" t="s">
        <v>4554</v>
      </c>
      <c r="AN4920" t="s">
        <v>50917</v>
      </c>
      <c t="s">
        <v>65521</v>
      </c>
      <c t="s">
        <v>34162</v>
      </c>
      <c t="s">
        <v>3093</v>
      </c>
      <c t="s">
        <v>9942</v>
      </c>
    </row>
    <row>
      <c t="s">
        <v>17594</v>
      </c>
      <c t="s">
        <v>4730</v>
      </c>
      <c t="s">
        <v>30955</v>
      </c>
      <c t="s">
        <v>44120</v>
      </c>
      <c t="s">
        <v>58497</v>
      </c>
      <c s="3">
        <v>12544</v>
      </c>
      <c s="3">
        <v>12544</v>
      </c>
      <c s="3">
        <v>6389</v>
      </c>
      <c>
        <v>0</v>
      </c>
      <c s="3">
        <v>0</v>
      </c>
      <c s="3">
        <v>334.87</v>
      </c>
      <c s="3">
        <v>12544</v>
      </c>
      <c r="O4921" s="1" t="str">
        <f ca="1">HYPERLINK("https://web.datatree.com/?/property?propertyId=33929367", "https://web.datatree.com/?/property?propertyId=33929367")</f>
        <v>https://web.datatree.com/?/property?propertyId=33929367</v>
      </c>
      <c r="Q4921" t="s">
        <v>316</v>
      </c>
      <c>
        <v>0.314</v>
      </c>
      <c t="s">
        <v>5471</v>
      </c>
      <c r="U4921" t="s">
        <v>16731</v>
      </c>
      <c r="X4921" t="s">
        <v>23920</v>
      </c>
      <c t="s">
        <v>17915</v>
      </c>
      <c t="s">
        <v>65059</v>
      </c>
      <c t="s">
        <v>39289</v>
      </c>
      <c>
        <v>33905</v>
      </c>
      <c t="s">
        <v>55312</v>
      </c>
      <c t="s">
        <v>48794</v>
      </c>
      <c t="s">
        <v>63352</v>
      </c>
      <c>
        <v>5089</v>
      </c>
      <c r="AI4921" t="s">
        <v>23463</v>
      </c>
      <c t="s">
        <v>55842</v>
      </c>
      <c r="AL4921" t="s">
        <v>34557</v>
      </c>
      <c t="s">
        <v>34557</v>
      </c>
      <c t="s">
        <v>65451</v>
      </c>
      <c t="s">
        <v>40230</v>
      </c>
      <c t="s">
        <v>702</v>
      </c>
      <c t="s">
        <v>3093</v>
      </c>
      <c t="s">
        <v>53612</v>
      </c>
    </row>
    <row>
      <c t="s">
        <v>17594</v>
      </c>
      <c t="s">
        <v>14370</v>
      </c>
      <c t="s">
        <v>42503</v>
      </c>
      <c t="s">
        <v>36034</v>
      </c>
      <c t="s">
        <v>55045</v>
      </c>
      <c s="3">
        <v>12544</v>
      </c>
      <c s="3">
        <v>12544</v>
      </c>
      <c s="3">
        <v>4972</v>
      </c>
      <c>
        <v>0</v>
      </c>
      <c s="3">
        <v>0</v>
      </c>
      <c s="3">
        <v>332.27</v>
      </c>
      <c s="3">
        <v>12544</v>
      </c>
      <c r="O4922" s="1" t="str">
        <f ca="1">HYPERLINK("https://web.datatree.com/?/property?propertyId=33929596", "https://web.datatree.com/?/property?propertyId=33929596")</f>
        <v>https://web.datatree.com/?/property?propertyId=33929596</v>
      </c>
      <c r="Q4922" t="s">
        <v>316</v>
      </c>
      <c>
        <v>0.364</v>
      </c>
      <c t="s">
        <v>5471</v>
      </c>
      <c t="s">
        <v>64119</v>
      </c>
      <c t="s">
        <v>53908</v>
      </c>
      <c t="s">
        <v>20440</v>
      </c>
      <c t="s">
        <v>53908</v>
      </c>
      <c t="s">
        <v>890</v>
      </c>
      <c t="s">
        <v>39098</v>
      </c>
      <c t="s">
        <v>65059</v>
      </c>
      <c t="s">
        <v>39289</v>
      </c>
      <c>
        <v>33905</v>
      </c>
      <c>
        <v>33905</v>
      </c>
      <c t="s">
        <v>48794</v>
      </c>
      <c t="s">
        <v>7555</v>
      </c>
      <c>
        <v>8</v>
      </c>
      <c r="AI4922" t="s">
        <v>8034</v>
      </c>
      <c t="s">
        <v>835</v>
      </c>
      <c r="AL4922" t="s">
        <v>12532</v>
      </c>
      <c t="s">
        <v>40227</v>
      </c>
      <c t="s">
        <v>26016</v>
      </c>
      <c t="s">
        <v>23885</v>
      </c>
      <c t="s">
        <v>27410</v>
      </c>
      <c t="s">
        <v>3093</v>
      </c>
      <c t="s">
        <v>65542</v>
      </c>
    </row>
    <row>
      <c t="s">
        <v>17594</v>
      </c>
      <c t="s">
        <v>8608</v>
      </c>
      <c t="s">
        <v>52277</v>
      </c>
      <c t="s">
        <v>35611</v>
      </c>
      <c t="s">
        <v>36104</v>
      </c>
      <c s="3">
        <v>50677</v>
      </c>
      <c s="3">
        <v>50677</v>
      </c>
      <c s="3">
        <v>50677</v>
      </c>
      <c>
        <v>0</v>
      </c>
      <c s="3">
        <v>0</v>
      </c>
      <c s="3">
        <v>788.88</v>
      </c>
      <c s="3">
        <v>50677</v>
      </c>
      <c r="O4923" s="1" t="str">
        <f ca="1">HYPERLINK("https://web.datatree.com/?/property?propertyId=33929906", "https://web.datatree.com/?/property?propertyId=33929906")</f>
        <v>https://web.datatree.com/?/property?propertyId=33929906</v>
      </c>
      <c r="Q4923" t="s">
        <v>316</v>
      </c>
      <c>
        <v>0.351</v>
      </c>
      <c t="s">
        <v>5471</v>
      </c>
      <c t="s">
        <v>51187</v>
      </c>
      <c t="s">
        <v>45794</v>
      </c>
      <c t="s">
        <v>26000</v>
      </c>
      <c t="s">
        <v>45794</v>
      </c>
      <c t="s">
        <v>940</v>
      </c>
      <c t="s">
        <v>35789</v>
      </c>
      <c t="s">
        <v>65059</v>
      </c>
      <c t="s">
        <v>39289</v>
      </c>
      <c>
        <v>33905</v>
      </c>
      <c>
        <v>33905</v>
      </c>
      <c t="s">
        <v>48794</v>
      </c>
      <c t="s">
        <v>42029</v>
      </c>
      <c>
        <v>5620</v>
      </c>
      <c r="AI4923" t="s">
        <v>20716</v>
      </c>
      <c t="s">
        <v>55842</v>
      </c>
      <c r="AL4923" t="s">
        <v>27095</v>
      </c>
      <c t="s">
        <v>20588</v>
      </c>
      <c t="s">
        <v>66651</v>
      </c>
      <c t="s">
        <v>33949</v>
      </c>
      <c t="s">
        <v>32752</v>
      </c>
      <c t="s">
        <v>3093</v>
      </c>
      <c t="s">
        <v>39488</v>
      </c>
    </row>
    <row>
      <c t="s">
        <v>17594</v>
      </c>
      <c t="s">
        <v>56274</v>
      </c>
      <c t="s">
        <v>276</v>
      </c>
      <c t="s">
        <v>14085</v>
      </c>
      <c t="s">
        <v>37699</v>
      </c>
      <c s="3">
        <v>52640</v>
      </c>
      <c s="3">
        <v>52640</v>
      </c>
      <c s="3">
        <v>12100</v>
      </c>
      <c>
        <v>0</v>
      </c>
      <c s="3">
        <v>0</v>
      </c>
      <c s="3">
        <v>820.51</v>
      </c>
      <c s="3">
        <v>52640</v>
      </c>
      <c r="O4924" s="1" t="str">
        <f ca="1">HYPERLINK("https://web.datatree.com/?/property?propertyId=33930009", "https://web.datatree.com/?/property?propertyId=33930009")</f>
        <v>https://web.datatree.com/?/property?propertyId=33930009</v>
      </c>
      <c r="Q4924" t="s">
        <v>316</v>
      </c>
      <c>
        <v>0.273</v>
      </c>
      <c t="s">
        <v>22490</v>
      </c>
      <c t="s">
        <v>24727</v>
      </c>
      <c t="s">
        <v>45794</v>
      </c>
      <c r="X4924" t="s">
        <v>55664</v>
      </c>
      <c t="s">
        <v>53663</v>
      </c>
      <c t="s">
        <v>2517</v>
      </c>
      <c t="s">
        <v>39289</v>
      </c>
      <c>
        <v>33909</v>
      </c>
      <c>
        <v>33909</v>
      </c>
      <c t="s">
        <v>48794</v>
      </c>
      <c t="s">
        <v>64630</v>
      </c>
      <c>
        <v>1806</v>
      </c>
      <c r="AI4924" t="s">
        <v>16266</v>
      </c>
      <c t="s">
        <v>45393</v>
      </c>
      <c>
        <v>42</v>
      </c>
      <c t="s">
        <v>29470</v>
      </c>
      <c t="s">
        <v>29470</v>
      </c>
      <c t="s">
        <v>9387</v>
      </c>
      <c t="s">
        <v>39712</v>
      </c>
      <c t="s">
        <v>25140</v>
      </c>
      <c t="s">
        <v>3093</v>
      </c>
      <c t="s">
        <v>56708</v>
      </c>
    </row>
    <row>
      <c t="s">
        <v>17594</v>
      </c>
      <c t="s">
        <v>51144</v>
      </c>
      <c t="s">
        <v>41531</v>
      </c>
      <c t="s">
        <v>48855</v>
      </c>
      <c t="s">
        <v>53999</v>
      </c>
      <c s="3">
        <v>30340</v>
      </c>
      <c s="3">
        <v>30340</v>
      </c>
      <c s="3">
        <v>22000</v>
      </c>
      <c>
        <v>0</v>
      </c>
      <c s="3">
        <v>0</v>
      </c>
      <c s="3">
        <v>358.62</v>
      </c>
      <c s="3">
        <v>30340</v>
      </c>
      <c r="O4925" s="1" t="str">
        <f ca="1">HYPERLINK("https://web.datatree.com/?/property?propertyId=33930269", "https://web.datatree.com/?/property?propertyId=33930269")</f>
        <v>https://web.datatree.com/?/property?propertyId=33930269</v>
      </c>
      <c r="Q4925" t="s">
        <v>316</v>
      </c>
      <c>
        <v>0.046</v>
      </c>
      <c t="s">
        <v>54329</v>
      </c>
      <c t="s">
        <v>46872</v>
      </c>
      <c t="s">
        <v>53465</v>
      </c>
      <c t="s">
        <v>27351</v>
      </c>
      <c t="s">
        <v>53465</v>
      </c>
      <c t="s">
        <v>43080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57615</v>
      </c>
      <c>
        <v>50380</v>
      </c>
      <c r="AI4925" t="s">
        <v>6011</v>
      </c>
      <c r="AL4925" t="s">
        <v>44873</v>
      </c>
      <c r="AN4925" t="s">
        <v>50829</v>
      </c>
      <c t="s">
        <v>1146</v>
      </c>
      <c t="s">
        <v>22455</v>
      </c>
      <c t="s">
        <v>3093</v>
      </c>
      <c t="s">
        <v>54005</v>
      </c>
    </row>
    <row>
      <c t="s">
        <v>17594</v>
      </c>
      <c t="s">
        <v>10288</v>
      </c>
      <c t="s">
        <v>49273</v>
      </c>
      <c t="s">
        <v>44881</v>
      </c>
      <c t="s">
        <v>24737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926" s="1" t="str">
        <f ca="1">HYPERLINK("https://web.datatree.com/?/property?propertyId=33930290", "https://web.datatree.com/?/property?propertyId=33930290")</f>
        <v>https://web.datatree.com/?/property?propertyId=33930290</v>
      </c>
      <c r="Q4926" t="s">
        <v>316</v>
      </c>
      <c>
        <v>0.231</v>
      </c>
      <c t="s">
        <v>22490</v>
      </c>
      <c t="s">
        <v>8033</v>
      </c>
      <c t="s">
        <v>38463</v>
      </c>
      <c t="s">
        <v>45000</v>
      </c>
      <c t="s">
        <v>38463</v>
      </c>
      <c t="s">
        <v>54726</v>
      </c>
      <c t="s">
        <v>25017</v>
      </c>
      <c t="s">
        <v>2517</v>
      </c>
      <c t="s">
        <v>39289</v>
      </c>
      <c>
        <v>33909</v>
      </c>
      <c t="s">
        <v>45067</v>
      </c>
      <c t="s">
        <v>48794</v>
      </c>
      <c t="s">
        <v>37735</v>
      </c>
      <c>
        <v>1519</v>
      </c>
      <c r="AI4926" t="s">
        <v>1871</v>
      </c>
      <c t="s">
        <v>24900</v>
      </c>
      <c r="AL4926" t="s">
        <v>29670</v>
      </c>
      <c r="AN4926" t="s">
        <v>50829</v>
      </c>
      <c t="s">
        <v>35302</v>
      </c>
      <c t="s">
        <v>52247</v>
      </c>
      <c t="s">
        <v>3093</v>
      </c>
      <c t="s">
        <v>54597</v>
      </c>
    </row>
    <row>
      <c t="s">
        <v>17594</v>
      </c>
      <c t="s">
        <v>13120</v>
      </c>
      <c t="s">
        <v>10975</v>
      </c>
      <c t="s">
        <v>43277</v>
      </c>
      <c t="s">
        <v>43662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4927" s="1" t="str">
        <f ca="1">HYPERLINK("https://web.datatree.com/?/property?propertyId=33931262", "https://web.datatree.com/?/property?propertyId=33931262")</f>
        <v>https://web.datatree.com/?/property?propertyId=33931262</v>
      </c>
      <c r="Q4927" t="s">
        <v>316</v>
      </c>
      <c>
        <v>0.23</v>
      </c>
      <c t="s">
        <v>6175</v>
      </c>
      <c t="s">
        <v>20032</v>
      </c>
      <c t="s">
        <v>61068</v>
      </c>
      <c r="X4927" t="s">
        <v>64485</v>
      </c>
      <c t="s">
        <v>44061</v>
      </c>
      <c t="s">
        <v>2517</v>
      </c>
      <c t="s">
        <v>39289</v>
      </c>
      <c>
        <v>33909</v>
      </c>
      <c t="s">
        <v>52539</v>
      </c>
      <c t="s">
        <v>48794</v>
      </c>
      <c t="s">
        <v>21712</v>
      </c>
      <c>
        <v>8115</v>
      </c>
      <c r="AI4927" t="s">
        <v>47150</v>
      </c>
      <c t="s">
        <v>39321</v>
      </c>
      <c r="AL4927" t="s">
        <v>55393</v>
      </c>
      <c t="s">
        <v>523</v>
      </c>
      <c t="s">
        <v>39289</v>
      </c>
      <c t="s">
        <v>16179</v>
      </c>
      <c t="s">
        <v>21201</v>
      </c>
      <c t="s">
        <v>3093</v>
      </c>
      <c t="s">
        <v>59869</v>
      </c>
    </row>
    <row>
      <c t="s">
        <v>17594</v>
      </c>
      <c t="s">
        <v>65743</v>
      </c>
      <c t="s">
        <v>6934</v>
      </c>
      <c t="s">
        <v>8123</v>
      </c>
      <c t="s">
        <v>117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4928" s="1" t="str">
        <f ca="1">HYPERLINK("https://web.datatree.com/?/property?propertyId=33931553", "https://web.datatree.com/?/property?propertyId=33931553")</f>
        <v>https://web.datatree.com/?/property?propertyId=33931553</v>
      </c>
      <c r="Q4928" t="s">
        <v>316</v>
      </c>
      <c>
        <v>0.23</v>
      </c>
      <c t="s">
        <v>6175</v>
      </c>
      <c t="s">
        <v>52701</v>
      </c>
      <c t="s">
        <v>3480</v>
      </c>
      <c t="s">
        <v>47656</v>
      </c>
      <c t="s">
        <v>46136</v>
      </c>
      <c t="s">
        <v>2728</v>
      </c>
      <c t="s">
        <v>18679</v>
      </c>
      <c t="s">
        <v>2517</v>
      </c>
      <c t="s">
        <v>39289</v>
      </c>
      <c>
        <v>33909</v>
      </c>
      <c t="s">
        <v>4501</v>
      </c>
      <c t="s">
        <v>48794</v>
      </c>
      <c t="s">
        <v>32690</v>
      </c>
      <c>
        <v>24</v>
      </c>
      <c r="AI4928" t="s">
        <v>38567</v>
      </c>
      <c t="s">
        <v>55842</v>
      </c>
      <c r="AL4928" t="s">
        <v>3859</v>
      </c>
      <c t="s">
        <v>3859</v>
      </c>
      <c t="s">
        <v>50917</v>
      </c>
      <c t="s">
        <v>36979</v>
      </c>
      <c t="s">
        <v>11138</v>
      </c>
      <c t="s">
        <v>3093</v>
      </c>
      <c t="s">
        <v>54564</v>
      </c>
    </row>
    <row>
      <c t="s">
        <v>17594</v>
      </c>
      <c t="s">
        <v>33406</v>
      </c>
      <c t="s">
        <v>65197</v>
      </c>
      <c t="s">
        <v>65053</v>
      </c>
      <c t="s">
        <v>55905</v>
      </c>
      <c s="3">
        <v>58000</v>
      </c>
      <c s="3">
        <v>58000</v>
      </c>
      <c s="3">
        <v>58000</v>
      </c>
      <c>
        <v>0</v>
      </c>
      <c s="3">
        <v>0</v>
      </c>
      <c s="3">
        <v>1448.93</v>
      </c>
      <c s="3">
        <v>58000</v>
      </c>
      <c r="O4929" s="1" t="str">
        <f ca="1">HYPERLINK("https://web.datatree.com/?/property?propertyId=33932029", "https://web.datatree.com/?/property?propertyId=33932029")</f>
        <v>https://web.datatree.com/?/property?propertyId=33932029</v>
      </c>
      <c r="Q4929" t="s">
        <v>316</v>
      </c>
      <c>
        <v>0.351</v>
      </c>
      <c t="s">
        <v>6175</v>
      </c>
      <c t="s">
        <v>38535</v>
      </c>
      <c t="s">
        <v>48576</v>
      </c>
      <c t="s">
        <v>8762</v>
      </c>
      <c t="s">
        <v>48576</v>
      </c>
      <c t="s">
        <v>16768</v>
      </c>
      <c t="s">
        <v>33179</v>
      </c>
      <c t="s">
        <v>2517</v>
      </c>
      <c t="s">
        <v>39289</v>
      </c>
      <c>
        <v>33904</v>
      </c>
      <c t="s">
        <v>23596</v>
      </c>
      <c t="s">
        <v>48794</v>
      </c>
      <c t="s">
        <v>9879</v>
      </c>
      <c>
        <v>60</v>
      </c>
      <c r="AI4929" t="s">
        <v>8400</v>
      </c>
      <c t="s">
        <v>24900</v>
      </c>
      <c r="AL4929" t="s">
        <v>66317</v>
      </c>
      <c t="s">
        <v>13397</v>
      </c>
      <c t="s">
        <v>50917</v>
      </c>
      <c t="s">
        <v>65567</v>
      </c>
      <c t="s">
        <v>1951</v>
      </c>
      <c t="s">
        <v>3093</v>
      </c>
      <c t="s">
        <v>57858</v>
      </c>
    </row>
    <row>
      <c t="s">
        <v>17594</v>
      </c>
      <c t="s">
        <v>25626</v>
      </c>
      <c t="s">
        <v>47274</v>
      </c>
      <c t="s">
        <v>14192</v>
      </c>
      <c t="s">
        <v>21014</v>
      </c>
      <c s="3">
        <v>31592</v>
      </c>
      <c s="3">
        <v>31592</v>
      </c>
      <c s="3">
        <v>11858</v>
      </c>
      <c>
        <v>0</v>
      </c>
      <c s="3">
        <v>0</v>
      </c>
      <c s="3">
        <v>2994.2</v>
      </c>
      <c s="3">
        <v>31592</v>
      </c>
      <c r="O4930" s="1" t="str">
        <f ca="1">HYPERLINK("https://web.datatree.com/?/property?propertyId=33932635", "https://web.datatree.com/?/property?propertyId=33932635")</f>
        <v>https://web.datatree.com/?/property?propertyId=33932635</v>
      </c>
      <c r="Q4930" t="s">
        <v>316</v>
      </c>
      <c>
        <v>0.244</v>
      </c>
      <c t="s">
        <v>22490</v>
      </c>
      <c r="U4930" t="s">
        <v>12893</v>
      </c>
      <c r="X4930" t="s">
        <v>20595</v>
      </c>
      <c t="s">
        <v>2626</v>
      </c>
      <c t="s">
        <v>2517</v>
      </c>
      <c t="s">
        <v>39289</v>
      </c>
      <c>
        <v>33909</v>
      </c>
      <c t="s">
        <v>10432</v>
      </c>
      <c t="s">
        <v>48794</v>
      </c>
      <c t="s">
        <v>31903</v>
      </c>
      <c>
        <v>1004</v>
      </c>
      <c r="AI4930" t="s">
        <v>25365</v>
      </c>
      <c t="s">
        <v>24900</v>
      </c>
      <c r="AL4930" t="s">
        <v>35964</v>
      </c>
      <c t="s">
        <v>35964</v>
      </c>
      <c t="s">
        <v>54650</v>
      </c>
      <c t="s">
        <v>40463</v>
      </c>
      <c t="s">
        <v>14695</v>
      </c>
      <c t="s">
        <v>3093</v>
      </c>
      <c t="s">
        <v>47402</v>
      </c>
    </row>
    <row>
      <c t="s">
        <v>17594</v>
      </c>
      <c t="s">
        <v>28029</v>
      </c>
      <c t="s">
        <v>58286</v>
      </c>
      <c t="s">
        <v>15372</v>
      </c>
      <c t="s">
        <v>43191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>
        <v>2021</v>
      </c>
      <c>
        <v>591.97</v>
      </c>
      <c s="1" t="str">
        <f ca="1">HYPERLINK("https://web.datatree.com/?/property?propertyId=33933444", "https://web.datatree.com/?/property?propertyId=33933444")</f>
        <v>https://web.datatree.com/?/property?propertyId=33933444</v>
      </c>
      <c r="Q4931" t="s">
        <v>316</v>
      </c>
      <c>
        <v>0.23</v>
      </c>
      <c t="s">
        <v>22490</v>
      </c>
      <c t="s">
        <v>51166</v>
      </c>
      <c t="s">
        <v>50065</v>
      </c>
      <c t="s">
        <v>44610</v>
      </c>
      <c t="s">
        <v>24205</v>
      </c>
      <c t="s">
        <v>8743</v>
      </c>
      <c t="s">
        <v>2626</v>
      </c>
      <c t="s">
        <v>2517</v>
      </c>
      <c t="s">
        <v>39289</v>
      </c>
      <c>
        <v>33909</v>
      </c>
      <c t="s">
        <v>13021</v>
      </c>
      <c t="s">
        <v>48794</v>
      </c>
      <c t="s">
        <v>63728</v>
      </c>
      <c>
        <v>6303</v>
      </c>
      <c r="AI4931" t="s">
        <v>26976</v>
      </c>
      <c t="s">
        <v>31192</v>
      </c>
      <c>
        <v>400</v>
      </c>
      <c t="s">
        <v>55393</v>
      </c>
      <c r="AN4931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24947</v>
      </c>
      <c t="s">
        <v>9247</v>
      </c>
      <c t="s">
        <v>14196</v>
      </c>
      <c t="s">
        <v>60892</v>
      </c>
      <c s="3">
        <v>26158</v>
      </c>
      <c s="3">
        <v>26158</v>
      </c>
      <c s="3">
        <v>9433</v>
      </c>
      <c>
        <v>0</v>
      </c>
      <c s="3">
        <v>0</v>
      </c>
      <c s="3">
        <v>415.68</v>
      </c>
      <c s="3">
        <v>26158</v>
      </c>
      <c r="O4932" s="1" t="str">
        <f ca="1">HYPERLINK("https://web.datatree.com/?/property?propertyId=33934851", "https://web.datatree.com/?/property?propertyId=33934851")</f>
        <v>https://web.datatree.com/?/property?propertyId=33934851</v>
      </c>
      <c r="Q4932" t="s">
        <v>316</v>
      </c>
      <c>
        <v>0.254</v>
      </c>
      <c t="s">
        <v>5471</v>
      </c>
      <c t="s">
        <v>30591</v>
      </c>
      <c t="s">
        <v>46265</v>
      </c>
      <c r="X4932" t="s">
        <v>13261</v>
      </c>
      <c t="s">
        <v>22254</v>
      </c>
      <c t="s">
        <v>65059</v>
      </c>
      <c t="s">
        <v>39289</v>
      </c>
      <c>
        <v>33905</v>
      </c>
      <c t="s">
        <v>15528</v>
      </c>
      <c t="s">
        <v>48794</v>
      </c>
      <c t="s">
        <v>65986</v>
      </c>
      <c>
        <v>119</v>
      </c>
      <c r="AI4932" t="s">
        <v>29805</v>
      </c>
      <c t="s">
        <v>24900</v>
      </c>
      <c r="AL4932" t="s">
        <v>31664</v>
      </c>
      <c r="AN4932" t="s">
        <v>50917</v>
      </c>
      <c t="s">
        <v>55491</v>
      </c>
      <c t="s">
        <v>66620</v>
      </c>
      <c t="s">
        <v>3093</v>
      </c>
      <c t="s">
        <v>63965</v>
      </c>
    </row>
    <row>
      <c t="s">
        <v>17594</v>
      </c>
      <c t="s">
        <v>18954</v>
      </c>
      <c t="s">
        <v>16837</v>
      </c>
      <c t="s">
        <v>63502</v>
      </c>
      <c t="s">
        <v>13334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4933" s="1" t="str">
        <f ca="1">HYPERLINK("https://web.datatree.com/?/property?propertyId=33935225", "https://web.datatree.com/?/property?propertyId=33935225")</f>
        <v>https://web.datatree.com/?/property?propertyId=33935225</v>
      </c>
      <c r="Q4933" t="s">
        <v>316</v>
      </c>
      <c>
        <v>0.245</v>
      </c>
      <c t="s">
        <v>5471</v>
      </c>
      <c t="s">
        <v>1370</v>
      </c>
      <c t="s">
        <v>16087</v>
      </c>
      <c t="s">
        <v>53608</v>
      </c>
      <c t="s">
        <v>16087</v>
      </c>
      <c t="s">
        <v>41652</v>
      </c>
      <c t="s">
        <v>55413</v>
      </c>
      <c t="s">
        <v>65059</v>
      </c>
      <c t="s">
        <v>39289</v>
      </c>
      <c>
        <v>33905</v>
      </c>
      <c t="s">
        <v>30155</v>
      </c>
      <c t="s">
        <v>48794</v>
      </c>
      <c t="s">
        <v>10590</v>
      </c>
      <c>
        <v>40</v>
      </c>
      <c r="AI4933" t="s">
        <v>12376</v>
      </c>
      <c t="s">
        <v>31192</v>
      </c>
      <c r="AL4933" t="s">
        <v>57134</v>
      </c>
      <c r="AN4933" t="s">
        <v>26016</v>
      </c>
      <c t="s">
        <v>2777</v>
      </c>
      <c t="s">
        <v>27410</v>
      </c>
      <c t="s">
        <v>3093</v>
      </c>
      <c t="s">
        <v>8480</v>
      </c>
    </row>
    <row>
      <c t="s">
        <v>17594</v>
      </c>
      <c t="s">
        <v>36027</v>
      </c>
      <c t="s">
        <v>35259</v>
      </c>
      <c t="s">
        <v>6095</v>
      </c>
      <c t="s">
        <v>45575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4934" s="1" t="str">
        <f ca="1">HYPERLINK("https://web.datatree.com/?/property?propertyId=33935524", "https://web.datatree.com/?/property?propertyId=33935524")</f>
        <v>https://web.datatree.com/?/property?propertyId=33935524</v>
      </c>
      <c r="Q4934" t="s">
        <v>316</v>
      </c>
      <c>
        <v>0.256</v>
      </c>
      <c t="s">
        <v>5471</v>
      </c>
      <c t="s">
        <v>27921</v>
      </c>
      <c t="s">
        <v>26755</v>
      </c>
      <c t="s">
        <v>5950</v>
      </c>
      <c t="s">
        <v>48112</v>
      </c>
      <c t="s">
        <v>18064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39754</v>
      </c>
      <c>
        <v>3738</v>
      </c>
      <c r="AI4934" t="s">
        <v>63423</v>
      </c>
      <c t="s">
        <v>55842</v>
      </c>
      <c r="AL4934" t="s">
        <v>55987</v>
      </c>
      <c r="AN4934" t="s">
        <v>22275</v>
      </c>
      <c t="s">
        <v>61355</v>
      </c>
      <c t="s">
        <v>48506</v>
      </c>
      <c t="s">
        <v>3093</v>
      </c>
      <c t="s">
        <v>65982</v>
      </c>
    </row>
    <row>
      <c t="s">
        <v>17594</v>
      </c>
      <c t="s">
        <v>60442</v>
      </c>
      <c t="s">
        <v>28207</v>
      </c>
      <c t="s">
        <v>14616</v>
      </c>
      <c t="s">
        <v>65889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4935" s="1" t="str">
        <f ca="1">HYPERLINK("https://web.datatree.com/?/property?propertyId=33935542", "https://web.datatree.com/?/property?propertyId=33935542")</f>
        <v>https://web.datatree.com/?/property?propertyId=33935542</v>
      </c>
      <c r="Q4935" t="s">
        <v>316</v>
      </c>
      <c>
        <v>0.243</v>
      </c>
      <c t="s">
        <v>5471</v>
      </c>
      <c t="s">
        <v>53790</v>
      </c>
      <c t="s">
        <v>25686</v>
      </c>
      <c t="s">
        <v>11223</v>
      </c>
      <c t="s">
        <v>25686</v>
      </c>
      <c t="s">
        <v>49702</v>
      </c>
      <c t="s">
        <v>55413</v>
      </c>
      <c t="s">
        <v>65059</v>
      </c>
      <c t="s">
        <v>39289</v>
      </c>
      <c>
        <v>33905</v>
      </c>
      <c t="s">
        <v>30155</v>
      </c>
      <c t="s">
        <v>48794</v>
      </c>
      <c t="s">
        <v>7513</v>
      </c>
      <c>
        <v>473</v>
      </c>
      <c r="AH4935" t="s">
        <v>52165</v>
      </c>
      <c t="s">
        <v>46153</v>
      </c>
      <c t="s">
        <v>45393</v>
      </c>
      <c r="AL4935" t="s">
        <v>16806</v>
      </c>
      <c r="AN4935" t="s">
        <v>39289</v>
      </c>
      <c t="s">
        <v>62334</v>
      </c>
      <c t="s">
        <v>63972</v>
      </c>
      <c t="s">
        <v>3093</v>
      </c>
      <c t="s">
        <v>1113</v>
      </c>
    </row>
    <row>
      <c t="s">
        <v>17594</v>
      </c>
      <c t="s">
        <v>12473</v>
      </c>
      <c t="s">
        <v>9786</v>
      </c>
      <c t="s">
        <v>23854</v>
      </c>
      <c t="s">
        <v>10037</v>
      </c>
      <c s="3">
        <v>97071</v>
      </c>
      <c s="3">
        <v>86250</v>
      </c>
      <c s="3">
        <v>83450</v>
      </c>
      <c>
        <v>0</v>
      </c>
      <c s="3">
        <v>0</v>
      </c>
      <c s="3">
        <v>1329.97</v>
      </c>
      <c s="3">
        <v>97071</v>
      </c>
      <c r="O4936" s="1" t="str">
        <f ca="1">HYPERLINK("https://web.datatree.com/?/property?propertyId=33935660", "https://web.datatree.com/?/property?propertyId=33935660")</f>
        <v>https://web.datatree.com/?/property?propertyId=33935660</v>
      </c>
      <c r="Q4936" t="s">
        <v>316</v>
      </c>
      <c>
        <v>0.112</v>
      </c>
      <c t="s">
        <v>26492</v>
      </c>
      <c r="U4936" t="s">
        <v>61335</v>
      </c>
      <c r="W4936" t="s">
        <v>59663</v>
      </c>
      <c t="s">
        <v>53692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8038</v>
      </c>
      <c>
        <v>2834</v>
      </c>
      <c r="AI4936" t="s">
        <v>55406</v>
      </c>
      <c t="s">
        <v>31192</v>
      </c>
      <c r="AL4936" t="s">
        <v>34272</v>
      </c>
      <c t="s">
        <v>40227</v>
      </c>
      <c t="s">
        <v>17134</v>
      </c>
      <c t="s">
        <v>24998</v>
      </c>
      <c t="s">
        <v>27780</v>
      </c>
      <c t="s">
        <v>3093</v>
      </c>
      <c t="s">
        <v>60447</v>
      </c>
    </row>
    <row>
      <c t="s">
        <v>17594</v>
      </c>
      <c t="s">
        <v>3818</v>
      </c>
      <c t="s">
        <v>39806</v>
      </c>
      <c t="s">
        <v>4127</v>
      </c>
      <c t="s">
        <v>32669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4937" s="1" t="str">
        <f ca="1">HYPERLINK("https://web.datatree.com/?/property?propertyId=33936754", "https://web.datatree.com/?/property?propertyId=33936754")</f>
        <v>https://web.datatree.com/?/property?propertyId=33936754</v>
      </c>
      <c r="Q4937" t="s">
        <v>316</v>
      </c>
      <c>
        <v>0.23</v>
      </c>
      <c t="s">
        <v>6175</v>
      </c>
      <c t="s">
        <v>1859</v>
      </c>
      <c t="s">
        <v>62890</v>
      </c>
      <c r="X4937" t="s">
        <v>66054</v>
      </c>
      <c t="s">
        <v>39832</v>
      </c>
      <c t="s">
        <v>2517</v>
      </c>
      <c t="s">
        <v>39289</v>
      </c>
      <c>
        <v>33904</v>
      </c>
      <c t="s">
        <v>53747</v>
      </c>
      <c t="s">
        <v>48794</v>
      </c>
      <c t="s">
        <v>9948</v>
      </c>
      <c>
        <v>1360</v>
      </c>
      <c r="AI4937" t="s">
        <v>42607</v>
      </c>
      <c t="s">
        <v>31192</v>
      </c>
      <c r="AL4937" t="s">
        <v>17711</v>
      </c>
      <c t="s">
        <v>11362</v>
      </c>
      <c t="s">
        <v>17134</v>
      </c>
      <c t="s">
        <v>36182</v>
      </c>
      <c t="s">
        <v>702</v>
      </c>
      <c t="s">
        <v>3093</v>
      </c>
      <c t="s">
        <v>50811</v>
      </c>
    </row>
    <row>
      <c t="s">
        <v>17594</v>
      </c>
      <c t="s">
        <v>41096</v>
      </c>
      <c t="s">
        <v>44685</v>
      </c>
      <c t="s">
        <v>24141</v>
      </c>
      <c t="s">
        <v>28853</v>
      </c>
      <c s="3">
        <v>16425</v>
      </c>
      <c s="3">
        <v>16425</v>
      </c>
      <c s="3">
        <v>12755</v>
      </c>
      <c>
        <v>0</v>
      </c>
      <c s="3">
        <v>0</v>
      </c>
      <c s="3">
        <v>215.48</v>
      </c>
      <c s="3">
        <v>16425</v>
      </c>
      <c>
        <v>2021</v>
      </c>
      <c>
        <v>263.47</v>
      </c>
      <c s="1" t="str">
        <f ca="1">HYPERLINK("https://web.datatree.com/?/property?propertyId=33937052", "https://web.datatree.com/?/property?propertyId=33937052")</f>
        <v>https://web.datatree.com/?/property?propertyId=33937052</v>
      </c>
      <c r="Q4938" t="s">
        <v>316</v>
      </c>
      <c>
        <v>0.245</v>
      </c>
      <c t="s">
        <v>5471</v>
      </c>
      <c t="s">
        <v>64439</v>
      </c>
      <c t="s">
        <v>13711</v>
      </c>
      <c t="s">
        <v>52701</v>
      </c>
      <c t="s">
        <v>13711</v>
      </c>
      <c t="s">
        <v>22873</v>
      </c>
      <c t="s">
        <v>6787</v>
      </c>
      <c t="s">
        <v>65059</v>
      </c>
      <c t="s">
        <v>39289</v>
      </c>
      <c>
        <v>33905</v>
      </c>
      <c t="s">
        <v>27147</v>
      </c>
      <c t="s">
        <v>48794</v>
      </c>
      <c t="s">
        <v>7873</v>
      </c>
      <c>
        <v>656</v>
      </c>
      <c r="AI4938" t="s">
        <v>48886</v>
      </c>
      <c t="s">
        <v>31192</v>
      </c>
      <c r="AL4938" t="s">
        <v>8418</v>
      </c>
      <c r="AN4938" t="s">
        <v>17134</v>
      </c>
      <c t="s">
        <v>10321</v>
      </c>
      <c t="s">
        <v>3364</v>
      </c>
      <c t="s">
        <v>3093</v>
      </c>
      <c t="s">
        <v>62876</v>
      </c>
    </row>
    <row>
      <c t="s">
        <v>17594</v>
      </c>
      <c t="s">
        <v>39866</v>
      </c>
      <c t="s">
        <v>50324</v>
      </c>
      <c t="s">
        <v>66678</v>
      </c>
      <c t="s">
        <v>7385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4939" s="1" t="str">
        <f ca="1">HYPERLINK("https://web.datatree.com/?/property?propertyId=33937324", "https://web.datatree.com/?/property?propertyId=33937324")</f>
        <v>https://web.datatree.com/?/property?propertyId=33937324</v>
      </c>
      <c r="Q4939" t="s">
        <v>316</v>
      </c>
      <c>
        <v>0.23</v>
      </c>
      <c t="s">
        <v>22490</v>
      </c>
      <c t="s">
        <v>4076</v>
      </c>
      <c t="s">
        <v>39646</v>
      </c>
      <c r="X4939" t="s">
        <v>66925</v>
      </c>
      <c t="s">
        <v>41506</v>
      </c>
      <c t="s">
        <v>2517</v>
      </c>
      <c t="s">
        <v>39289</v>
      </c>
      <c>
        <v>33909</v>
      </c>
      <c t="s">
        <v>19783</v>
      </c>
      <c t="s">
        <v>48794</v>
      </c>
      <c t="s">
        <v>43748</v>
      </c>
      <c>
        <v>269</v>
      </c>
      <c r="AI4939" t="s">
        <v>55900</v>
      </c>
      <c t="s">
        <v>45620</v>
      </c>
      <c r="AL4939" t="s">
        <v>19595</v>
      </c>
      <c t="s">
        <v>19595</v>
      </c>
      <c t="s">
        <v>22275</v>
      </c>
      <c t="s">
        <v>45063</v>
      </c>
      <c t="s">
        <v>44428</v>
      </c>
      <c t="s">
        <v>3093</v>
      </c>
      <c t="s">
        <v>41669</v>
      </c>
    </row>
    <row>
      <c t="s">
        <v>17594</v>
      </c>
      <c t="s">
        <v>60858</v>
      </c>
      <c t="s">
        <v>36035</v>
      </c>
      <c t="s">
        <v>26099</v>
      </c>
      <c t="s">
        <v>9869</v>
      </c>
      <c s="3">
        <v>7600</v>
      </c>
      <c s="3">
        <v>7600</v>
      </c>
      <c s="3">
        <v>7600</v>
      </c>
      <c>
        <v>0</v>
      </c>
      <c s="3">
        <v>0</v>
      </c>
      <c s="3">
        <v>636.05</v>
      </c>
      <c s="3">
        <v>7600</v>
      </c>
      <c r="O4940" s="1" t="str">
        <f ca="1">HYPERLINK("https://web.datatree.com/?/property?propertyId=33937541", "https://web.datatree.com/?/property?propertyId=33937541")</f>
        <v>https://web.datatree.com/?/property?propertyId=33937541</v>
      </c>
      <c r="Q4940" t="s">
        <v>316</v>
      </c>
      <c>
        <v>0.23</v>
      </c>
      <c t="s">
        <v>6175</v>
      </c>
      <c t="s">
        <v>1658</v>
      </c>
      <c t="s">
        <v>56600</v>
      </c>
      <c r="X4940" t="s">
        <v>50209</v>
      </c>
      <c t="s">
        <v>13829</v>
      </c>
      <c t="s">
        <v>2517</v>
      </c>
      <c t="s">
        <v>39289</v>
      </c>
      <c>
        <v>33909</v>
      </c>
      <c t="s">
        <v>1736</v>
      </c>
      <c t="s">
        <v>48794</v>
      </c>
      <c t="s">
        <v>17659</v>
      </c>
      <c>
        <v>1800</v>
      </c>
      <c r="AI4940" t="s">
        <v>41142</v>
      </c>
      <c t="s">
        <v>31192</v>
      </c>
      <c>
        <v>2305</v>
      </c>
      <c t="s">
        <v>33214</v>
      </c>
      <c t="s">
        <v>33214</v>
      </c>
      <c t="s">
        <v>39289</v>
      </c>
      <c t="s">
        <v>60004</v>
      </c>
      <c t="s">
        <v>45980</v>
      </c>
      <c t="s">
        <v>3093</v>
      </c>
      <c t="s">
        <v>2403</v>
      </c>
    </row>
    <row>
      <c t="s">
        <v>17594</v>
      </c>
      <c t="s">
        <v>8472</v>
      </c>
      <c t="s">
        <v>1457</v>
      </c>
      <c t="s">
        <v>60816</v>
      </c>
      <c t="s">
        <v>52000</v>
      </c>
      <c s="3">
        <v>31830</v>
      </c>
      <c s="3">
        <v>31830</v>
      </c>
      <c s="3">
        <v>23108</v>
      </c>
      <c>
        <v>0</v>
      </c>
      <c s="3">
        <v>0</v>
      </c>
      <c s="3">
        <v>832.48</v>
      </c>
      <c s="3">
        <v>31830</v>
      </c>
      <c r="O4941" s="1" t="str">
        <f ca="1">HYPERLINK("https://web.datatree.com/?/property?propertyId=33938085", "https://web.datatree.com/?/property?propertyId=33938085")</f>
        <v>https://web.datatree.com/?/property?propertyId=33938085</v>
      </c>
      <c r="Q4941" t="s">
        <v>316</v>
      </c>
      <c>
        <v>0.241</v>
      </c>
      <c t="s">
        <v>6175</v>
      </c>
      <c t="s">
        <v>35571</v>
      </c>
      <c t="s">
        <v>66037</v>
      </c>
      <c t="s">
        <v>1599</v>
      </c>
      <c t="s">
        <v>66037</v>
      </c>
      <c t="s">
        <v>57641</v>
      </c>
      <c t="s">
        <v>57064</v>
      </c>
      <c t="s">
        <v>2517</v>
      </c>
      <c t="s">
        <v>39289</v>
      </c>
      <c>
        <v>33904</v>
      </c>
      <c t="s">
        <v>19910</v>
      </c>
      <c t="s">
        <v>48794</v>
      </c>
      <c t="s">
        <v>42972</v>
      </c>
      <c>
        <v>179</v>
      </c>
      <c r="AI4941" t="s">
        <v>36599</v>
      </c>
      <c t="s">
        <v>24900</v>
      </c>
      <c r="AL4941" t="s">
        <v>30836</v>
      </c>
      <c r="AN4941" t="s">
        <v>50917</v>
      </c>
      <c t="s">
        <v>46409</v>
      </c>
      <c t="s">
        <v>47183</v>
      </c>
      <c t="s">
        <v>3093</v>
      </c>
      <c t="s">
        <v>46886</v>
      </c>
    </row>
    <row>
      <c t="s">
        <v>17594</v>
      </c>
      <c t="s">
        <v>41063</v>
      </c>
      <c t="s">
        <v>46249</v>
      </c>
      <c t="s">
        <v>45151</v>
      </c>
      <c t="s">
        <v>18781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517.64</v>
      </c>
      <c s="1" t="str">
        <f ca="1">HYPERLINK("https://web.datatree.com/?/property?propertyId=33939042", "https://web.datatree.com/?/property?propertyId=33939042")</f>
        <v>https://web.datatree.com/?/property?propertyId=33939042</v>
      </c>
      <c r="Q4942" t="s">
        <v>316</v>
      </c>
      <c>
        <v>0.23</v>
      </c>
      <c t="s">
        <v>6175</v>
      </c>
      <c t="s">
        <v>2140</v>
      </c>
      <c t="s">
        <v>32018</v>
      </c>
      <c t="s">
        <v>10361</v>
      </c>
      <c t="s">
        <v>32018</v>
      </c>
      <c t="s">
        <v>64717</v>
      </c>
      <c t="s">
        <v>7273</v>
      </c>
      <c t="s">
        <v>2517</v>
      </c>
      <c t="s">
        <v>39289</v>
      </c>
      <c>
        <v>33909</v>
      </c>
      <c t="s">
        <v>5041</v>
      </c>
      <c t="s">
        <v>48794</v>
      </c>
      <c t="s">
        <v>1716</v>
      </c>
      <c>
        <v>3960</v>
      </c>
      <c r="AI4942" t="s">
        <v>2916</v>
      </c>
      <c t="s">
        <v>45620</v>
      </c>
      <c r="AL4942" t="s">
        <v>60879</v>
      </c>
      <c r="AN4942" t="s">
        <v>51137</v>
      </c>
      <c t="s">
        <v>23165</v>
      </c>
      <c t="s">
        <v>23888</v>
      </c>
      <c t="s">
        <v>3093</v>
      </c>
      <c t="s">
        <v>59933</v>
      </c>
    </row>
    <row>
      <c t="s">
        <v>17594</v>
      </c>
      <c t="s">
        <v>61778</v>
      </c>
      <c t="s">
        <v>35606</v>
      </c>
      <c t="s">
        <v>46940</v>
      </c>
      <c t="s">
        <v>56959</v>
      </c>
      <c s="3">
        <v>9120</v>
      </c>
      <c s="3">
        <v>9120</v>
      </c>
      <c s="3">
        <v>4972</v>
      </c>
      <c>
        <v>0</v>
      </c>
      <c s="3">
        <v>0</v>
      </c>
      <c s="3">
        <v>317.96</v>
      </c>
      <c s="3">
        <v>9120</v>
      </c>
      <c>
        <v>2021</v>
      </c>
      <c>
        <v>348.45</v>
      </c>
      <c s="1" t="str">
        <f ca="1">HYPERLINK("https://web.datatree.com/?/property?propertyId=33939095", "https://web.datatree.com/?/property?propertyId=33939095")</f>
        <v>https://web.datatree.com/?/property?propertyId=33939095</v>
      </c>
      <c r="Q4943" t="s">
        <v>316</v>
      </c>
      <c>
        <v>0.246</v>
      </c>
      <c t="s">
        <v>5471</v>
      </c>
      <c t="s">
        <v>39574</v>
      </c>
      <c t="s">
        <v>37973</v>
      </c>
      <c r="X4943" t="s">
        <v>50534</v>
      </c>
      <c t="s">
        <v>61272</v>
      </c>
      <c t="s">
        <v>65059</v>
      </c>
      <c t="s">
        <v>39289</v>
      </c>
      <c>
        <v>33905</v>
      </c>
      <c t="s">
        <v>59883</v>
      </c>
      <c t="s">
        <v>48794</v>
      </c>
      <c t="s">
        <v>63587</v>
      </c>
      <c>
        <v>4000</v>
      </c>
      <c r="AI4943" t="s">
        <v>64355</v>
      </c>
      <c t="s">
        <v>45620</v>
      </c>
      <c>
        <v>505</v>
      </c>
      <c t="s">
        <v>51776</v>
      </c>
      <c r="AN4943" t="s">
        <v>39289</v>
      </c>
      <c t="s">
        <v>5506</v>
      </c>
      <c t="s">
        <v>19978</v>
      </c>
      <c t="s">
        <v>3093</v>
      </c>
      <c t="s">
        <v>19356</v>
      </c>
    </row>
    <row>
      <c t="s">
        <v>17594</v>
      </c>
      <c t="s">
        <v>27705</v>
      </c>
      <c t="s">
        <v>34726</v>
      </c>
      <c t="s">
        <v>6382</v>
      </c>
      <c t="s">
        <v>59755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4944" s="1" t="str">
        <f ca="1">HYPERLINK("https://web.datatree.com/?/property?propertyId=33939155", "https://web.datatree.com/?/property?propertyId=33939155")</f>
        <v>https://web.datatree.com/?/property?propertyId=33939155</v>
      </c>
      <c r="Q4944" t="s">
        <v>316</v>
      </c>
      <c>
        <v>0.23</v>
      </c>
      <c t="s">
        <v>22490</v>
      </c>
      <c r="U4944" t="s">
        <v>61219</v>
      </c>
      <c r="W4944" t="s">
        <v>56401</v>
      </c>
      <c t="s">
        <v>12255</v>
      </c>
      <c t="s">
        <v>52171</v>
      </c>
      <c t="s">
        <v>2517</v>
      </c>
      <c t="s">
        <v>39289</v>
      </c>
      <c>
        <v>33909</v>
      </c>
      <c t="s">
        <v>24609</v>
      </c>
      <c t="s">
        <v>48794</v>
      </c>
      <c t="s">
        <v>35914</v>
      </c>
      <c>
        <v>2</v>
      </c>
      <c r="AI4944" t="s">
        <v>44101</v>
      </c>
      <c r="AL4944" t="s">
        <v>3664</v>
      </c>
      <c r="AN4944" t="s">
        <v>63985</v>
      </c>
      <c>
        <v>4827</v>
      </c>
      <c r="AR4944" t="s">
        <v>13645</v>
      </c>
    </row>
    <row>
      <c t="s">
        <v>17594</v>
      </c>
      <c t="s">
        <v>39250</v>
      </c>
      <c t="s">
        <v>41245</v>
      </c>
      <c t="s">
        <v>25100</v>
      </c>
      <c t="s">
        <v>29658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4945" s="1" t="str">
        <f ca="1">HYPERLINK("https://web.datatree.com/?/property?propertyId=33939450", "https://web.datatree.com/?/property?propertyId=33939450")</f>
        <v>https://web.datatree.com/?/property?propertyId=33939450</v>
      </c>
      <c r="Q4945" t="s">
        <v>316</v>
      </c>
      <c>
        <v>0.244</v>
      </c>
      <c t="s">
        <v>22490</v>
      </c>
      <c r="U4945" t="s">
        <v>21356</v>
      </c>
      <c r="W4945" t="s">
        <v>39446</v>
      </c>
      <c t="s">
        <v>21356</v>
      </c>
      <c t="s">
        <v>66701</v>
      </c>
      <c t="s">
        <v>2517</v>
      </c>
      <c t="s">
        <v>39289</v>
      </c>
      <c>
        <v>33909</v>
      </c>
      <c t="s">
        <v>66342</v>
      </c>
      <c t="s">
        <v>48794</v>
      </c>
      <c t="s">
        <v>9452</v>
      </c>
      <c>
        <v>4</v>
      </c>
      <c r="AI4945" t="s">
        <v>7183</v>
      </c>
      <c t="s">
        <v>1671</v>
      </c>
      <c r="AL4945" t="s">
        <v>56716</v>
      </c>
      <c r="AN4945" t="s">
        <v>27747</v>
      </c>
      <c t="s">
        <v>38790</v>
      </c>
      <c t="s">
        <v>52247</v>
      </c>
      <c t="s">
        <v>3093</v>
      </c>
      <c t="s">
        <v>2819</v>
      </c>
    </row>
    <row>
      <c t="s">
        <v>17594</v>
      </c>
      <c t="s">
        <v>54831</v>
      </c>
      <c t="s">
        <v>36835</v>
      </c>
      <c t="s">
        <v>55108</v>
      </c>
      <c t="s">
        <v>4001</v>
      </c>
      <c s="3">
        <v>511085</v>
      </c>
      <c s="3">
        <v>511085</v>
      </c>
      <c s="3">
        <v>426113</v>
      </c>
      <c>
        <v>0</v>
      </c>
      <c s="3">
        <v>0</v>
      </c>
      <c s="3">
        <v>7705.35</v>
      </c>
      <c s="3">
        <v>511085</v>
      </c>
      <c r="O4946" s="1" t="str">
        <f ca="1">HYPERLINK("https://web.datatree.com/?/property?propertyId=33939578", "https://web.datatree.com/?/property?propertyId=33939578")</f>
        <v>https://web.datatree.com/?/property?propertyId=33939578</v>
      </c>
      <c r="Q4946" t="s">
        <v>316</v>
      </c>
      <c>
        <v>0.318</v>
      </c>
      <c t="s">
        <v>22490</v>
      </c>
      <c t="s">
        <v>12799</v>
      </c>
      <c t="s">
        <v>26772</v>
      </c>
      <c r="X4946" t="s">
        <v>50431</v>
      </c>
      <c t="s">
        <v>44061</v>
      </c>
      <c t="s">
        <v>2517</v>
      </c>
      <c t="s">
        <v>39289</v>
      </c>
      <c>
        <v>33904</v>
      </c>
      <c t="s">
        <v>21150</v>
      </c>
      <c t="s">
        <v>48794</v>
      </c>
      <c t="s">
        <v>430</v>
      </c>
      <c>
        <v>411</v>
      </c>
      <c r="AH4946" t="s">
        <v>57851</v>
      </c>
      <c t="s">
        <v>7415</v>
      </c>
      <c t="s">
        <v>45393</v>
      </c>
      <c r="AL4946" t="s">
        <v>32709</v>
      </c>
      <c t="s">
        <v>32709</v>
      </c>
      <c t="s">
        <v>50829</v>
      </c>
      <c t="s">
        <v>23723</v>
      </c>
      <c t="s">
        <v>52247</v>
      </c>
      <c t="s">
        <v>3093</v>
      </c>
      <c t="s">
        <v>4533</v>
      </c>
    </row>
    <row>
      <c t="s">
        <v>17594</v>
      </c>
      <c t="s">
        <v>28114</v>
      </c>
      <c t="s">
        <v>59741</v>
      </c>
      <c t="s">
        <v>28701</v>
      </c>
      <c t="s">
        <v>40072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4947" s="1" t="str">
        <f ca="1">HYPERLINK("https://web.datatree.com/?/property?propertyId=33940311", "https://web.datatree.com/?/property?propertyId=33940311")</f>
        <v>https://web.datatree.com/?/property?propertyId=33940311</v>
      </c>
      <c r="Q4947" t="s">
        <v>316</v>
      </c>
      <c>
        <v>0.23</v>
      </c>
      <c t="s">
        <v>22490</v>
      </c>
      <c t="s">
        <v>53932</v>
      </c>
      <c t="s">
        <v>17886</v>
      </c>
      <c t="s">
        <v>14620</v>
      </c>
      <c t="s">
        <v>17886</v>
      </c>
      <c t="s">
        <v>42791</v>
      </c>
      <c t="s">
        <v>38550</v>
      </c>
      <c t="s">
        <v>2517</v>
      </c>
      <c t="s">
        <v>39289</v>
      </c>
      <c>
        <v>33909</v>
      </c>
      <c t="s">
        <v>32369</v>
      </c>
      <c t="s">
        <v>48794</v>
      </c>
      <c t="s">
        <v>45697</v>
      </c>
      <c>
        <v>1213</v>
      </c>
      <c r="AI4947" t="s">
        <v>9057</v>
      </c>
      <c t="s">
        <v>24900</v>
      </c>
      <c r="AL4947" t="s">
        <v>51555</v>
      </c>
      <c r="AN4947" t="s">
        <v>19878</v>
      </c>
      <c t="s">
        <v>2402</v>
      </c>
      <c t="s">
        <v>25140</v>
      </c>
      <c t="s">
        <v>3093</v>
      </c>
      <c t="s">
        <v>56665</v>
      </c>
    </row>
    <row>
      <c t="s">
        <v>17594</v>
      </c>
      <c t="s">
        <v>64482</v>
      </c>
      <c t="s">
        <v>6157</v>
      </c>
      <c t="s">
        <v>53435</v>
      </c>
      <c t="s">
        <v>31073</v>
      </c>
      <c s="3">
        <v>9086</v>
      </c>
      <c s="3">
        <v>9086</v>
      </c>
      <c s="3">
        <v>4972</v>
      </c>
      <c>
        <v>0</v>
      </c>
      <c s="3">
        <v>0</v>
      </c>
      <c s="3">
        <v>320.56</v>
      </c>
      <c s="3">
        <v>9086</v>
      </c>
      <c r="O4948" s="1" t="str">
        <f ca="1">HYPERLINK("https://web.datatree.com/?/property?propertyId=33940551", "https://web.datatree.com/?/property?propertyId=33940551")</f>
        <v>https://web.datatree.com/?/property?propertyId=33940551</v>
      </c>
      <c r="Q4948" t="s">
        <v>316</v>
      </c>
      <c>
        <v>0.266</v>
      </c>
      <c t="s">
        <v>5471</v>
      </c>
      <c t="s">
        <v>52880</v>
      </c>
      <c t="s">
        <v>40088</v>
      </c>
      <c r="X4948" t="s">
        <v>15789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61137</v>
      </c>
      <c>
        <v>112</v>
      </c>
      <c r="AI4948" t="s">
        <v>51233</v>
      </c>
      <c t="s">
        <v>31192</v>
      </c>
      <c r="AL4948" t="s">
        <v>29865</v>
      </c>
      <c r="AN4948" t="s">
        <v>22275</v>
      </c>
      <c t="s">
        <v>289</v>
      </c>
      <c t="s">
        <v>22455</v>
      </c>
      <c t="s">
        <v>3093</v>
      </c>
      <c t="s">
        <v>17330</v>
      </c>
    </row>
    <row>
      <c t="s">
        <v>17594</v>
      </c>
      <c t="s">
        <v>59258</v>
      </c>
      <c t="s">
        <v>1551</v>
      </c>
      <c t="s">
        <v>159</v>
      </c>
      <c t="s">
        <v>48096</v>
      </c>
      <c s="3">
        <v>17781</v>
      </c>
      <c s="3">
        <v>17781</v>
      </c>
      <c s="3">
        <v>8910</v>
      </c>
      <c>
        <v>0</v>
      </c>
      <c s="3">
        <v>0</v>
      </c>
      <c s="3">
        <v>566.28</v>
      </c>
      <c s="3">
        <v>17781</v>
      </c>
      <c r="O4949" s="1" t="str">
        <f ca="1">HYPERLINK("https://web.datatree.com/?/property?propertyId=33940776", "https://web.datatree.com/?/property?propertyId=33940776")</f>
        <v>https://web.datatree.com/?/property?propertyId=33940776</v>
      </c>
      <c r="Q4949" t="s">
        <v>316</v>
      </c>
      <c>
        <v>0.241</v>
      </c>
      <c t="s">
        <v>6175</v>
      </c>
      <c t="s">
        <v>29462</v>
      </c>
      <c t="s">
        <v>14099</v>
      </c>
      <c r="X4949" t="s">
        <v>784</v>
      </c>
      <c t="s">
        <v>10653</v>
      </c>
      <c t="s">
        <v>2517</v>
      </c>
      <c t="s">
        <v>39289</v>
      </c>
      <c>
        <v>33909</v>
      </c>
      <c t="s">
        <v>35677</v>
      </c>
      <c t="s">
        <v>48794</v>
      </c>
      <c t="s">
        <v>35674</v>
      </c>
      <c>
        <v>475</v>
      </c>
      <c r="AI4949" t="s">
        <v>25123</v>
      </c>
      <c t="s">
        <v>29535</v>
      </c>
      <c t="s">
        <v>63106</v>
      </c>
      <c t="s">
        <v>25991</v>
      </c>
      <c r="AN4949" t="s">
        <v>58811</v>
      </c>
      <c t="s">
        <v>13375</v>
      </c>
      <c r="AQ4949" t="s">
        <v>27814</v>
      </c>
      <c t="s">
        <v>47130</v>
      </c>
    </row>
    <row>
      <c t="s">
        <v>17594</v>
      </c>
      <c t="s">
        <v>24837</v>
      </c>
      <c t="s">
        <v>332</v>
      </c>
      <c t="s">
        <v>13399</v>
      </c>
      <c t="s">
        <v>62924</v>
      </c>
      <c s="3">
        <v>213934</v>
      </c>
      <c s="3">
        <v>213934</v>
      </c>
      <c s="3">
        <v>182972</v>
      </c>
      <c>
        <v>0</v>
      </c>
      <c s="3">
        <v>0</v>
      </c>
      <c s="3">
        <v>3369.87</v>
      </c>
      <c s="3">
        <v>213934</v>
      </c>
      <c r="O4950" s="1" t="str">
        <f ca="1">HYPERLINK("https://web.datatree.com/?/property?propertyId=33941379", "https://web.datatree.com/?/property?propertyId=33941379")</f>
        <v>https://web.datatree.com/?/property?propertyId=33941379</v>
      </c>
      <c r="Q4950" t="s">
        <v>316</v>
      </c>
      <c>
        <v>0.275</v>
      </c>
      <c t="s">
        <v>22490</v>
      </c>
      <c t="s">
        <v>49971</v>
      </c>
      <c t="s">
        <v>10758</v>
      </c>
      <c t="s">
        <v>15051</v>
      </c>
      <c t="s">
        <v>10758</v>
      </c>
      <c t="s">
        <v>9735</v>
      </c>
      <c t="s">
        <v>59763</v>
      </c>
      <c t="s">
        <v>2517</v>
      </c>
      <c t="s">
        <v>39289</v>
      </c>
      <c>
        <v>33904</v>
      </c>
      <c>
        <v>33904</v>
      </c>
      <c t="s">
        <v>48794</v>
      </c>
      <c t="s">
        <v>29920</v>
      </c>
      <c>
        <v>35</v>
      </c>
      <c r="AI4950" t="s">
        <v>51529</v>
      </c>
      <c t="s">
        <v>31192</v>
      </c>
      <c r="AL4950" t="s">
        <v>10946</v>
      </c>
      <c r="AN4950" t="s">
        <v>51087</v>
      </c>
      <c t="s">
        <v>20287</v>
      </c>
      <c t="s">
        <v>60017</v>
      </c>
      <c t="s">
        <v>3093</v>
      </c>
      <c t="s">
        <v>27626</v>
      </c>
    </row>
    <row>
      <c t="s">
        <v>17594</v>
      </c>
      <c t="s">
        <v>25000</v>
      </c>
      <c t="s">
        <v>36915</v>
      </c>
      <c t="s">
        <v>44015</v>
      </c>
      <c t="s">
        <v>39975</v>
      </c>
      <c s="3">
        <v>17766</v>
      </c>
      <c s="3">
        <v>17766</v>
      </c>
      <c s="3">
        <v>8820</v>
      </c>
      <c>
        <v>0</v>
      </c>
      <c s="3">
        <v>0</v>
      </c>
      <c s="3">
        <v>660.69</v>
      </c>
      <c s="3">
        <v>17766</v>
      </c>
      <c r="O4951" s="1" t="str">
        <f ca="1">HYPERLINK("https://web.datatree.com/?/property?propertyId=33941397", "https://web.datatree.com/?/property?propertyId=33941397")</f>
        <v>https://web.datatree.com/?/property?propertyId=33941397</v>
      </c>
      <c r="Q4951" t="s">
        <v>316</v>
      </c>
      <c>
        <v>0.344</v>
      </c>
      <c t="s">
        <v>40768</v>
      </c>
      <c t="s">
        <v>33044</v>
      </c>
      <c t="s">
        <v>53056</v>
      </c>
      <c t="s">
        <v>26349</v>
      </c>
      <c t="s">
        <v>37991</v>
      </c>
      <c t="s">
        <v>49282</v>
      </c>
      <c t="s">
        <v>39777</v>
      </c>
      <c t="s">
        <v>2517</v>
      </c>
      <c t="s">
        <v>39289</v>
      </c>
      <c>
        <v>33909</v>
      </c>
      <c t="s">
        <v>24591</v>
      </c>
      <c t="s">
        <v>48794</v>
      </c>
      <c t="s">
        <v>56405</v>
      </c>
      <c>
        <v>5</v>
      </c>
      <c r="AI4951" t="s">
        <v>34843</v>
      </c>
      <c t="s">
        <v>31192</v>
      </c>
      <c>
        <v>3</v>
      </c>
      <c t="s">
        <v>29515</v>
      </c>
      <c r="AN4951" t="s">
        <v>39289</v>
      </c>
      <c t="s">
        <v>49146</v>
      </c>
      <c t="s">
        <v>61719</v>
      </c>
      <c t="s">
        <v>3093</v>
      </c>
      <c t="s">
        <v>3765</v>
      </c>
    </row>
    <row>
      <c t="s">
        <v>17594</v>
      </c>
      <c t="s">
        <v>39607</v>
      </c>
      <c t="s">
        <v>27982</v>
      </c>
      <c t="s">
        <v>20164</v>
      </c>
      <c t="s">
        <v>32353</v>
      </c>
      <c s="3">
        <v>52000</v>
      </c>
      <c s="3">
        <v>52000</v>
      </c>
      <c s="3">
        <v>24522</v>
      </c>
      <c>
        <v>0</v>
      </c>
      <c s="3">
        <v>0</v>
      </c>
      <c s="3">
        <v>953.08</v>
      </c>
      <c s="3">
        <v>52000</v>
      </c>
      <c r="O4952" s="1" t="str">
        <f ca="1">HYPERLINK("https://web.datatree.com/?/property?propertyId=33942319", "https://web.datatree.com/?/property?propertyId=33942319")</f>
        <v>https://web.datatree.com/?/property?propertyId=33942319</v>
      </c>
      <c r="Q4952" t="s">
        <v>316</v>
      </c>
      <c>
        <v>0.23</v>
      </c>
      <c t="s">
        <v>22490</v>
      </c>
      <c t="s">
        <v>50331</v>
      </c>
      <c t="s">
        <v>30230</v>
      </c>
      <c t="s">
        <v>23659</v>
      </c>
      <c t="s">
        <v>30230</v>
      </c>
      <c t="s">
        <v>65766</v>
      </c>
      <c t="s">
        <v>10653</v>
      </c>
      <c t="s">
        <v>2517</v>
      </c>
      <c t="s">
        <v>39289</v>
      </c>
      <c>
        <v>33909</v>
      </c>
      <c t="s">
        <v>7074</v>
      </c>
      <c t="s">
        <v>48794</v>
      </c>
      <c t="s">
        <v>21286</v>
      </c>
      <c>
        <v>710</v>
      </c>
      <c r="AI4952" t="s">
        <v>49511</v>
      </c>
      <c t="s">
        <v>31192</v>
      </c>
      <c r="AL4952" t="s">
        <v>9748</v>
      </c>
      <c r="AN4952" t="s">
        <v>27481</v>
      </c>
      <c t="s">
        <v>6746</v>
      </c>
      <c t="s">
        <v>33029</v>
      </c>
      <c t="s">
        <v>3093</v>
      </c>
      <c t="s">
        <v>43796</v>
      </c>
    </row>
    <row>
      <c t="s">
        <v>17594</v>
      </c>
      <c t="s">
        <v>21106</v>
      </c>
      <c t="s">
        <v>20317</v>
      </c>
      <c t="s">
        <v>7505</v>
      </c>
      <c t="s">
        <v>3819</v>
      </c>
      <c s="3">
        <v>8400</v>
      </c>
      <c s="3">
        <v>8400</v>
      </c>
      <c s="3">
        <v>8400</v>
      </c>
      <c>
        <v>0</v>
      </c>
      <c s="3">
        <v>0</v>
      </c>
      <c s="3">
        <v>605.76</v>
      </c>
      <c s="3">
        <v>8400</v>
      </c>
      <c r="O4953" s="1" t="str">
        <f ca="1">HYPERLINK("https://web.datatree.com/?/property?propertyId=33942919", "https://web.datatree.com/?/property?propertyId=33942919")</f>
        <v>https://web.datatree.com/?/property?propertyId=33942919</v>
      </c>
      <c r="Q4953" t="s">
        <v>316</v>
      </c>
      <c>
        <v>0.263</v>
      </c>
      <c t="s">
        <v>22490</v>
      </c>
      <c t="s">
        <v>11199</v>
      </c>
      <c t="s">
        <v>50351</v>
      </c>
      <c t="s">
        <v>54926</v>
      </c>
      <c t="s">
        <v>50351</v>
      </c>
      <c t="s">
        <v>43672</v>
      </c>
      <c t="s">
        <v>61850</v>
      </c>
      <c t="s">
        <v>2517</v>
      </c>
      <c t="s">
        <v>39289</v>
      </c>
      <c>
        <v>33909</v>
      </c>
      <c t="s">
        <v>44591</v>
      </c>
      <c t="s">
        <v>48794</v>
      </c>
      <c t="s">
        <v>8154</v>
      </c>
      <c>
        <v>8101</v>
      </c>
      <c r="AI4953" t="s">
        <v>54556</v>
      </c>
      <c t="s">
        <v>33360</v>
      </c>
      <c r="AL4953" t="s">
        <v>7812</v>
      </c>
      <c r="AN4953" t="s">
        <v>49572</v>
      </c>
      <c t="s">
        <v>15918</v>
      </c>
      <c t="s">
        <v>12241</v>
      </c>
      <c t="s">
        <v>3093</v>
      </c>
      <c t="s">
        <v>14820</v>
      </c>
    </row>
    <row>
      <c t="s">
        <v>17594</v>
      </c>
      <c t="s">
        <v>12085</v>
      </c>
      <c t="s">
        <v>52035</v>
      </c>
      <c t="s">
        <v>12102</v>
      </c>
      <c t="s">
        <v>4296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4954" s="1" t="str">
        <f ca="1">HYPERLINK("https://web.datatree.com/?/property?propertyId=33943272", "https://web.datatree.com/?/property?propertyId=33943272")</f>
        <v>https://web.datatree.com/?/property?propertyId=33943272</v>
      </c>
      <c r="Q4954" t="s">
        <v>316</v>
      </c>
      <c>
        <v>0.23</v>
      </c>
      <c t="s">
        <v>6175</v>
      </c>
      <c t="s">
        <v>58276</v>
      </c>
      <c t="s">
        <v>41013</v>
      </c>
      <c t="s">
        <v>36138</v>
      </c>
      <c t="s">
        <v>16822</v>
      </c>
      <c t="s">
        <v>16666</v>
      </c>
      <c t="s">
        <v>61865</v>
      </c>
      <c t="s">
        <v>2517</v>
      </c>
      <c t="s">
        <v>39289</v>
      </c>
      <c>
        <v>33909</v>
      </c>
      <c t="s">
        <v>58155</v>
      </c>
      <c t="s">
        <v>48794</v>
      </c>
      <c t="s">
        <v>7683</v>
      </c>
      <c>
        <v>6279</v>
      </c>
      <c r="AI4954" t="s">
        <v>4790</v>
      </c>
      <c t="s">
        <v>24900</v>
      </c>
      <c r="AL4954" t="s">
        <v>11713</v>
      </c>
      <c r="AN4954" t="s">
        <v>39289</v>
      </c>
      <c t="s">
        <v>13218</v>
      </c>
      <c t="s">
        <v>2198</v>
      </c>
      <c t="s">
        <v>3093</v>
      </c>
      <c t="s">
        <v>36969</v>
      </c>
    </row>
    <row>
      <c t="s">
        <v>17594</v>
      </c>
      <c t="s">
        <v>63041</v>
      </c>
      <c t="s">
        <v>51282</v>
      </c>
      <c t="s">
        <v>22115</v>
      </c>
      <c t="s">
        <v>66923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4955" s="1" t="str">
        <f ca="1">HYPERLINK("https://web.datatree.com/?/property?propertyId=33945020", "https://web.datatree.com/?/property?propertyId=33945020")</f>
        <v>https://web.datatree.com/?/property?propertyId=33945020</v>
      </c>
      <c r="Q4955" t="s">
        <v>316</v>
      </c>
      <c>
        <v>0.23</v>
      </c>
      <c t="s">
        <v>6175</v>
      </c>
      <c t="s">
        <v>15187</v>
      </c>
      <c t="s">
        <v>49731</v>
      </c>
      <c t="s">
        <v>7189</v>
      </c>
      <c t="s">
        <v>49731</v>
      </c>
      <c t="s">
        <v>50278</v>
      </c>
      <c t="s">
        <v>13065</v>
      </c>
      <c t="s">
        <v>2517</v>
      </c>
      <c t="s">
        <v>39289</v>
      </c>
      <c>
        <v>33909</v>
      </c>
      <c t="s">
        <v>16203</v>
      </c>
      <c t="s">
        <v>48794</v>
      </c>
      <c t="s">
        <v>53782</v>
      </c>
      <c>
        <v>15</v>
      </c>
      <c r="AI4955" t="s">
        <v>18830</v>
      </c>
      <c t="s">
        <v>4985</v>
      </c>
      <c>
        <v>4</v>
      </c>
      <c t="s">
        <v>9913</v>
      </c>
      <c r="AN4955" t="s">
        <v>65451</v>
      </c>
      <c t="s">
        <v>7390</v>
      </c>
      <c t="s">
        <v>66620</v>
      </c>
      <c t="s">
        <v>3093</v>
      </c>
      <c t="s">
        <v>51718</v>
      </c>
    </row>
    <row>
      <c t="s">
        <v>17594</v>
      </c>
      <c t="s">
        <v>38119</v>
      </c>
      <c t="s">
        <v>6504</v>
      </c>
      <c t="s">
        <v>16434</v>
      </c>
      <c t="s">
        <v>60911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4956" s="1" t="str">
        <f ca="1">HYPERLINK("https://web.datatree.com/?/property?propertyId=33945086", "https://web.datatree.com/?/property?propertyId=33945086")</f>
        <v>https://web.datatree.com/?/property?propertyId=33945086</v>
      </c>
      <c r="Q4956" t="s">
        <v>316</v>
      </c>
      <c>
        <v>0.23</v>
      </c>
      <c t="s">
        <v>6175</v>
      </c>
      <c t="s">
        <v>51891</v>
      </c>
      <c t="s">
        <v>8526</v>
      </c>
      <c r="X4956" t="s">
        <v>19807</v>
      </c>
      <c t="s">
        <v>49122</v>
      </c>
      <c t="s">
        <v>2517</v>
      </c>
      <c t="s">
        <v>39289</v>
      </c>
      <c>
        <v>33909</v>
      </c>
      <c t="s">
        <v>8498</v>
      </c>
      <c t="s">
        <v>48794</v>
      </c>
      <c t="s">
        <v>64064</v>
      </c>
      <c>
        <v>8027</v>
      </c>
      <c r="AI4956" t="s">
        <v>58045</v>
      </c>
      <c t="s">
        <v>31192</v>
      </c>
      <c>
        <v>204</v>
      </c>
      <c t="s">
        <v>46703</v>
      </c>
      <c r="AN4956" t="s">
        <v>39289</v>
      </c>
      <c t="s">
        <v>26050</v>
      </c>
      <c t="s">
        <v>15968</v>
      </c>
      <c t="s">
        <v>3093</v>
      </c>
      <c t="s">
        <v>8719</v>
      </c>
    </row>
    <row>
      <c t="s">
        <v>17594</v>
      </c>
      <c t="s">
        <v>1172</v>
      </c>
      <c t="s">
        <v>40905</v>
      </c>
      <c t="s">
        <v>2919</v>
      </c>
      <c t="s">
        <v>25092</v>
      </c>
      <c s="3">
        <v>11250</v>
      </c>
      <c s="3">
        <v>11250</v>
      </c>
      <c s="3">
        <v>5312</v>
      </c>
      <c>
        <v>0</v>
      </c>
      <c s="3">
        <v>0</v>
      </c>
      <c s="3">
        <v>118.01</v>
      </c>
      <c s="3">
        <v>11250</v>
      </c>
      <c r="O4957" s="1" t="str">
        <f ca="1">HYPERLINK("https://web.datatree.com/?/property?propertyId=33945879", "https://web.datatree.com/?/property?propertyId=33945879")</f>
        <v>https://web.datatree.com/?/property?propertyId=33945879</v>
      </c>
      <c r="Q4957" t="s">
        <v>316</v>
      </c>
      <c>
        <v>0.181</v>
      </c>
      <c t="s">
        <v>66399</v>
      </c>
      <c t="s">
        <v>3701</v>
      </c>
      <c t="s">
        <v>40744</v>
      </c>
      <c r="X4957" t="s">
        <v>36815</v>
      </c>
      <c t="s">
        <v>13397</v>
      </c>
      <c t="s">
        <v>65059</v>
      </c>
      <c t="s">
        <v>39289</v>
      </c>
      <c>
        <v>33905</v>
      </c>
      <c t="s">
        <v>13228</v>
      </c>
      <c t="s">
        <v>48794</v>
      </c>
      <c t="s">
        <v>35434</v>
      </c>
      <c>
        <v>2448</v>
      </c>
      <c r="AI4957" t="s">
        <v>8443</v>
      </c>
      <c t="s">
        <v>45393</v>
      </c>
      <c r="AL4957" t="s">
        <v>23828</v>
      </c>
      <c r="AN4957" t="s">
        <v>39289</v>
      </c>
      <c t="s">
        <v>38813</v>
      </c>
      <c t="s">
        <v>22302</v>
      </c>
      <c t="s">
        <v>3093</v>
      </c>
      <c t="s">
        <v>27336</v>
      </c>
    </row>
    <row>
      <c t="s">
        <v>17594</v>
      </c>
      <c t="s">
        <v>2923</v>
      </c>
      <c t="s">
        <v>16073</v>
      </c>
      <c t="s">
        <v>2270</v>
      </c>
      <c t="s">
        <v>33225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4958" s="1" t="str">
        <f ca="1">HYPERLINK("https://web.datatree.com/?/property?propertyId=33946208", "https://web.datatree.com/?/property?propertyId=33946208")</f>
        <v>https://web.datatree.com/?/property?propertyId=33946208</v>
      </c>
      <c r="Q4958" t="s">
        <v>316</v>
      </c>
      <c>
        <v>0.23</v>
      </c>
      <c t="s">
        <v>6175</v>
      </c>
      <c t="s">
        <v>12044</v>
      </c>
      <c t="s">
        <v>17495</v>
      </c>
      <c t="s">
        <v>9476</v>
      </c>
      <c t="s">
        <v>6971</v>
      </c>
      <c t="s">
        <v>26743</v>
      </c>
      <c t="s">
        <v>49122</v>
      </c>
      <c t="s">
        <v>2517</v>
      </c>
      <c t="s">
        <v>39289</v>
      </c>
      <c>
        <v>33909</v>
      </c>
      <c t="s">
        <v>23418</v>
      </c>
      <c t="s">
        <v>48794</v>
      </c>
      <c t="s">
        <v>29026</v>
      </c>
      <c>
        <v>12235</v>
      </c>
      <c r="AI4958" t="s">
        <v>17519</v>
      </c>
      <c t="s">
        <v>39321</v>
      </c>
      <c r="AL4958" t="s">
        <v>55393</v>
      </c>
      <c r="AN4958" t="s">
        <v>39289</v>
      </c>
      <c t="s">
        <v>62377</v>
      </c>
      <c t="s">
        <v>49977</v>
      </c>
      <c t="s">
        <v>3093</v>
      </c>
      <c t="s">
        <v>21028</v>
      </c>
    </row>
    <row>
      <c t="s">
        <v>17594</v>
      </c>
      <c t="s">
        <v>6737</v>
      </c>
      <c t="s">
        <v>33810</v>
      </c>
      <c t="s">
        <v>54227</v>
      </c>
      <c t="s">
        <v>43126</v>
      </c>
      <c s="3">
        <v>7700</v>
      </c>
      <c s="3">
        <v>7700</v>
      </c>
      <c s="3">
        <v>7700</v>
      </c>
      <c>
        <v>0</v>
      </c>
      <c s="3">
        <v>0</v>
      </c>
      <c s="3">
        <v>555.82</v>
      </c>
      <c s="3">
        <v>7700</v>
      </c>
      <c r="O4959" s="1" t="str">
        <f ca="1">HYPERLINK("https://web.datatree.com/?/property?propertyId=33946547", "https://web.datatree.com/?/property?propertyId=33946547")</f>
        <v>https://web.datatree.com/?/property?propertyId=33946547</v>
      </c>
      <c r="Q4959" t="s">
        <v>316</v>
      </c>
      <c>
        <v>0.23</v>
      </c>
      <c t="s">
        <v>6175</v>
      </c>
      <c t="s">
        <v>44541</v>
      </c>
      <c t="s">
        <v>8661</v>
      </c>
      <c r="X4959" t="s">
        <v>2093</v>
      </c>
      <c t="s">
        <v>38550</v>
      </c>
      <c t="s">
        <v>2517</v>
      </c>
      <c t="s">
        <v>39289</v>
      </c>
      <c>
        <v>33909</v>
      </c>
      <c t="s">
        <v>40132</v>
      </c>
      <c t="s">
        <v>48794</v>
      </c>
      <c t="s">
        <v>56183</v>
      </c>
      <c>
        <v>206</v>
      </c>
      <c r="AI4959" t="s">
        <v>39082</v>
      </c>
      <c t="s">
        <v>24900</v>
      </c>
      <c>
        <v>4</v>
      </c>
      <c t="s">
        <v>44528</v>
      </c>
      <c t="s">
        <v>44528</v>
      </c>
      <c t="s">
        <v>26016</v>
      </c>
      <c t="s">
        <v>23151</v>
      </c>
      <c t="s">
        <v>11138</v>
      </c>
      <c t="s">
        <v>3093</v>
      </c>
      <c t="s">
        <v>863</v>
      </c>
    </row>
    <row>
      <c t="s">
        <v>17594</v>
      </c>
      <c t="s">
        <v>61893</v>
      </c>
      <c t="s">
        <v>36692</v>
      </c>
      <c t="s">
        <v>31738</v>
      </c>
      <c t="s">
        <v>62775</v>
      </c>
      <c s="3">
        <v>17015</v>
      </c>
      <c s="3">
        <v>17015</v>
      </c>
      <c s="3">
        <v>8470</v>
      </c>
      <c>
        <v>0</v>
      </c>
      <c s="3">
        <v>0</v>
      </c>
      <c s="3">
        <v>557.43</v>
      </c>
      <c s="3">
        <v>17015</v>
      </c>
      <c r="O4960" s="1" t="str">
        <f ca="1">HYPERLINK("https://web.datatree.com/?/property?propertyId=33947492", "https://web.datatree.com/?/property?propertyId=33947492")</f>
        <v>https://web.datatree.com/?/property?propertyId=33947492</v>
      </c>
      <c r="Q4960" t="s">
        <v>316</v>
      </c>
      <c>
        <v>0.242</v>
      </c>
      <c t="s">
        <v>6175</v>
      </c>
      <c t="s">
        <v>27351</v>
      </c>
      <c t="s">
        <v>30230</v>
      </c>
      <c r="X4960" t="s">
        <v>13962</v>
      </c>
      <c t="s">
        <v>29190</v>
      </c>
      <c t="s">
        <v>2517</v>
      </c>
      <c t="s">
        <v>39289</v>
      </c>
      <c>
        <v>33909</v>
      </c>
      <c t="s">
        <v>36167</v>
      </c>
      <c t="s">
        <v>48794</v>
      </c>
      <c t="s">
        <v>26275</v>
      </c>
      <c>
        <v>2783</v>
      </c>
      <c r="AI4960" t="s">
        <v>1339</v>
      </c>
      <c t="s">
        <v>31192</v>
      </c>
      <c r="AL4960" t="s">
        <v>62769</v>
      </c>
      <c r="AN4960" t="s">
        <v>39289</v>
      </c>
      <c t="s">
        <v>8656</v>
      </c>
      <c t="s">
        <v>37774</v>
      </c>
      <c t="s">
        <v>3093</v>
      </c>
      <c t="s">
        <v>17480</v>
      </c>
    </row>
    <row>
      <c t="s">
        <v>17594</v>
      </c>
      <c t="s">
        <v>25989</v>
      </c>
      <c t="s">
        <v>57597</v>
      </c>
      <c t="s">
        <v>59264</v>
      </c>
      <c t="s">
        <v>22213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4961" s="1" t="str">
        <f ca="1">HYPERLINK("https://web.datatree.com/?/property?propertyId=33948364", "https://web.datatree.com/?/property?propertyId=33948364")</f>
        <v>https://web.datatree.com/?/property?propertyId=33948364</v>
      </c>
      <c r="Q4961" t="s">
        <v>316</v>
      </c>
      <c>
        <v>0.23</v>
      </c>
      <c t="s">
        <v>22490</v>
      </c>
      <c t="s">
        <v>8574</v>
      </c>
      <c t="s">
        <v>43850</v>
      </c>
      <c r="X4961" t="s">
        <v>29668</v>
      </c>
      <c t="s">
        <v>46469</v>
      </c>
      <c t="s">
        <v>2517</v>
      </c>
      <c t="s">
        <v>39289</v>
      </c>
      <c>
        <v>33909</v>
      </c>
      <c t="s">
        <v>40091</v>
      </c>
      <c t="s">
        <v>48794</v>
      </c>
      <c t="s">
        <v>33454</v>
      </c>
      <c>
        <v>1040</v>
      </c>
      <c r="AI4961" t="s">
        <v>50710</v>
      </c>
      <c t="s">
        <v>24900</v>
      </c>
      <c r="AL4961" t="s">
        <v>34557</v>
      </c>
      <c t="s">
        <v>34557</v>
      </c>
      <c t="s">
        <v>65451</v>
      </c>
      <c t="s">
        <v>10925</v>
      </c>
      <c t="s">
        <v>35508</v>
      </c>
      <c t="s">
        <v>3093</v>
      </c>
      <c t="s">
        <v>16353</v>
      </c>
    </row>
    <row>
      <c t="s">
        <v>17594</v>
      </c>
      <c t="s">
        <v>67054</v>
      </c>
      <c t="s">
        <v>25480</v>
      </c>
      <c t="s">
        <v>45658</v>
      </c>
      <c t="s">
        <v>62285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962" s="1" t="str">
        <f ca="1">HYPERLINK("https://web.datatree.com/?/property?propertyId=33948964", "https://web.datatree.com/?/property?propertyId=33948964")</f>
        <v>https://web.datatree.com/?/property?propertyId=33948964</v>
      </c>
      <c r="Q4962" t="s">
        <v>316</v>
      </c>
      <c>
        <v>0.23</v>
      </c>
      <c t="s">
        <v>22490</v>
      </c>
      <c t="s">
        <v>49272</v>
      </c>
      <c t="s">
        <v>36424</v>
      </c>
      <c t="s">
        <v>1995</v>
      </c>
      <c t="s">
        <v>21178</v>
      </c>
      <c t="s">
        <v>62389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28876</v>
      </c>
      <c>
        <v>10145</v>
      </c>
      <c r="AI4962" t="s">
        <v>6342</v>
      </c>
      <c t="s">
        <v>45620</v>
      </c>
      <c r="AL4962" t="s">
        <v>4552</v>
      </c>
      <c r="AN4962" t="s">
        <v>51137</v>
      </c>
      <c t="s">
        <v>57859</v>
      </c>
      <c t="s">
        <v>44428</v>
      </c>
      <c t="s">
        <v>3093</v>
      </c>
      <c t="s">
        <v>44463</v>
      </c>
    </row>
    <row>
      <c t="s">
        <v>17594</v>
      </c>
      <c t="s">
        <v>711</v>
      </c>
      <c t="s">
        <v>40456</v>
      </c>
      <c t="s">
        <v>46837</v>
      </c>
      <c t="s">
        <v>51464</v>
      </c>
      <c s="3">
        <v>361166</v>
      </c>
      <c s="3">
        <v>361166</v>
      </c>
      <c s="3">
        <v>361166</v>
      </c>
      <c>
        <v>0</v>
      </c>
      <c s="3">
        <v>0</v>
      </c>
      <c s="3">
        <v>12052.32</v>
      </c>
      <c s="3">
        <v>361166</v>
      </c>
      <c r="O4963" s="1" t="str">
        <f ca="1">HYPERLINK("https://web.datatree.com/?/property?propertyId=33949271", "https://web.datatree.com/?/property?propertyId=33949271")</f>
        <v>https://web.datatree.com/?/property?propertyId=33949271</v>
      </c>
      <c r="Q4963" t="s">
        <v>316</v>
      </c>
      <c>
        <v>9.08</v>
      </c>
      <c t="s">
        <v>54449</v>
      </c>
      <c r="U4963" t="s">
        <v>51391</v>
      </c>
      <c r="W4963" t="s">
        <v>12947</v>
      </c>
      <c t="s">
        <v>47269</v>
      </c>
      <c t="s">
        <v>59763</v>
      </c>
      <c t="s">
        <v>2517</v>
      </c>
      <c t="s">
        <v>39289</v>
      </c>
      <c>
        <v>33909</v>
      </c>
      <c>
        <v>33909</v>
      </c>
      <c t="s">
        <v>48794</v>
      </c>
      <c t="s">
        <v>19065</v>
      </c>
      <c>
        <v>1932</v>
      </c>
      <c r="AI4963" t="s">
        <v>17750</v>
      </c>
      <c t="s">
        <v>41372</v>
      </c>
      <c r="AL4963" t="s">
        <v>51808</v>
      </c>
      <c t="s">
        <v>48938</v>
      </c>
      <c t="s">
        <v>3034</v>
      </c>
      <c t="s">
        <v>8342</v>
      </c>
      <c t="s">
        <v>10847</v>
      </c>
      <c t="s">
        <v>3093</v>
      </c>
      <c t="s">
        <v>33719</v>
      </c>
    </row>
    <row>
      <c t="s">
        <v>17594</v>
      </c>
      <c t="s">
        <v>23979</v>
      </c>
      <c t="s">
        <v>35874</v>
      </c>
      <c t="s">
        <v>3335</v>
      </c>
      <c t="s">
        <v>4728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964" s="1" t="str">
        <f ca="1">HYPERLINK("https://web.datatree.com/?/property?propertyId=33949579", "https://web.datatree.com/?/property?propertyId=33949579")</f>
        <v>https://web.datatree.com/?/property?propertyId=33949579</v>
      </c>
      <c r="Q4964" t="s">
        <v>316</v>
      </c>
      <c>
        <v>0.23</v>
      </c>
      <c t="s">
        <v>22490</v>
      </c>
      <c t="s">
        <v>32056</v>
      </c>
      <c t="s">
        <v>30230</v>
      </c>
      <c t="s">
        <v>33614</v>
      </c>
      <c t="s">
        <v>30230</v>
      </c>
      <c t="s">
        <v>33710</v>
      </c>
      <c t="s">
        <v>66701</v>
      </c>
      <c t="s">
        <v>2517</v>
      </c>
      <c t="s">
        <v>39289</v>
      </c>
      <c>
        <v>33909</v>
      </c>
      <c t="s">
        <v>7931</v>
      </c>
      <c t="s">
        <v>48794</v>
      </c>
      <c t="s">
        <v>55126</v>
      </c>
      <c>
        <v>34624</v>
      </c>
      <c r="AI4964" t="s">
        <v>30958</v>
      </c>
      <c t="s">
        <v>45393</v>
      </c>
      <c r="AL4964" t="s">
        <v>62939</v>
      </c>
      <c r="AN4964" t="s">
        <v>51137</v>
      </c>
      <c t="s">
        <v>64448</v>
      </c>
      <c t="s">
        <v>8434</v>
      </c>
      <c t="s">
        <v>3093</v>
      </c>
      <c t="s">
        <v>47466</v>
      </c>
    </row>
    <row>
      <c t="s">
        <v>17594</v>
      </c>
      <c t="s">
        <v>36779</v>
      </c>
      <c t="s">
        <v>12344</v>
      </c>
      <c t="s">
        <v>42012</v>
      </c>
      <c t="s">
        <v>25492</v>
      </c>
      <c s="3">
        <v>12544</v>
      </c>
      <c s="3">
        <v>12544</v>
      </c>
      <c s="3">
        <v>12544</v>
      </c>
      <c>
        <v>0</v>
      </c>
      <c s="3">
        <v>0</v>
      </c>
      <c s="3">
        <v>367.8</v>
      </c>
      <c s="3">
        <v>12544</v>
      </c>
      <c r="O4965" s="1" t="str">
        <f ca="1">HYPERLINK("https://web.datatree.com/?/property?propertyId=33949862", "https://web.datatree.com/?/property?propertyId=33949862")</f>
        <v>https://web.datatree.com/?/property?propertyId=33949862</v>
      </c>
      <c r="Q4965" t="s">
        <v>316</v>
      </c>
      <c>
        <v>0.256</v>
      </c>
      <c t="s">
        <v>5471</v>
      </c>
      <c t="s">
        <v>24409</v>
      </c>
      <c t="s">
        <v>11286</v>
      </c>
      <c r="X4965" t="s">
        <v>35251</v>
      </c>
      <c t="s">
        <v>9755</v>
      </c>
      <c t="s">
        <v>65059</v>
      </c>
      <c t="s">
        <v>39289</v>
      </c>
      <c>
        <v>33905</v>
      </c>
      <c t="s">
        <v>1194</v>
      </c>
      <c t="s">
        <v>48794</v>
      </c>
      <c t="s">
        <v>48457</v>
      </c>
      <c>
        <v>761</v>
      </c>
      <c r="AH4965" t="s">
        <v>60953</v>
      </c>
      <c t="s">
        <v>22731</v>
      </c>
      <c t="s">
        <v>45393</v>
      </c>
      <c r="AL4965" t="s">
        <v>11713</v>
      </c>
      <c r="AN4965" t="s">
        <v>39289</v>
      </c>
      <c t="s">
        <v>5979</v>
      </c>
      <c t="s">
        <v>49695</v>
      </c>
      <c t="s">
        <v>3093</v>
      </c>
      <c t="s">
        <v>26781</v>
      </c>
    </row>
    <row>
      <c t="s">
        <v>17594</v>
      </c>
      <c t="s">
        <v>38747</v>
      </c>
      <c t="s">
        <v>14064</v>
      </c>
      <c t="s">
        <v>10610</v>
      </c>
      <c t="s">
        <v>55260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4966" s="1" t="str">
        <f ca="1">HYPERLINK("https://web.datatree.com/?/property?propertyId=33949916", "https://web.datatree.com/?/property?propertyId=33949916")</f>
        <v>https://web.datatree.com/?/property?propertyId=33949916</v>
      </c>
      <c r="Q4966" t="s">
        <v>316</v>
      </c>
      <c>
        <v>0.23</v>
      </c>
      <c t="s">
        <v>6175</v>
      </c>
      <c t="s">
        <v>47656</v>
      </c>
      <c t="s">
        <v>31480</v>
      </c>
      <c r="W4966" t="s">
        <v>21555</v>
      </c>
      <c t="s">
        <v>46442</v>
      </c>
      <c t="s">
        <v>29190</v>
      </c>
      <c t="s">
        <v>2517</v>
      </c>
      <c t="s">
        <v>39289</v>
      </c>
      <c>
        <v>33909</v>
      </c>
      <c t="s">
        <v>63572</v>
      </c>
      <c t="s">
        <v>48794</v>
      </c>
      <c t="s">
        <v>16074</v>
      </c>
      <c>
        <v>1105</v>
      </c>
      <c r="AH4966" t="s">
        <v>26580</v>
      </c>
      <c t="s">
        <v>56489</v>
      </c>
      <c r="AK4966" t="s">
        <v>25384</v>
      </c>
      <c t="s">
        <v>17648</v>
      </c>
      <c r="AN4966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23065</v>
      </c>
      <c t="s">
        <v>36335</v>
      </c>
      <c t="s">
        <v>36274</v>
      </c>
      <c t="s">
        <v>20013</v>
      </c>
      <c s="3">
        <v>304945</v>
      </c>
      <c s="3">
        <v>304945</v>
      </c>
      <c s="3">
        <v>304945</v>
      </c>
      <c>
        <v>0</v>
      </c>
      <c s="3">
        <v>0</v>
      </c>
      <c s="3">
        <v>5407.18</v>
      </c>
      <c s="3">
        <v>304945</v>
      </c>
      <c>
        <v>2021</v>
      </c>
      <c>
        <v>4332.57</v>
      </c>
      <c s="1" t="str">
        <f ca="1">HYPERLINK("https://web.datatree.com/?/property?propertyId=33950822", "https://web.datatree.com/?/property?propertyId=33950822")</f>
        <v>https://web.datatree.com/?/property?propertyId=33950822</v>
      </c>
      <c r="Q4967" t="s">
        <v>316</v>
      </c>
      <c>
        <v>0.23</v>
      </c>
      <c t="s">
        <v>22490</v>
      </c>
      <c t="s">
        <v>49506</v>
      </c>
      <c t="s">
        <v>37918</v>
      </c>
      <c t="s">
        <v>7205</v>
      </c>
      <c t="s">
        <v>28429</v>
      </c>
      <c t="s">
        <v>46261</v>
      </c>
      <c t="s">
        <v>50120</v>
      </c>
      <c t="s">
        <v>2517</v>
      </c>
      <c t="s">
        <v>39289</v>
      </c>
      <c>
        <v>33904</v>
      </c>
      <c t="s">
        <v>5850</v>
      </c>
      <c t="s">
        <v>48794</v>
      </c>
      <c t="s">
        <v>38646</v>
      </c>
      <c>
        <v>13881</v>
      </c>
      <c r="AH4967" t="s">
        <v>52165</v>
      </c>
      <c t="s">
        <v>3567</v>
      </c>
      <c t="s">
        <v>55842</v>
      </c>
      <c r="AL4967" t="s">
        <v>38694</v>
      </c>
      <c t="s">
        <v>66150</v>
      </c>
      <c t="s">
        <v>50829</v>
      </c>
      <c t="s">
        <v>17504</v>
      </c>
      <c t="s">
        <v>22455</v>
      </c>
      <c t="s">
        <v>3093</v>
      </c>
      <c t="s">
        <v>60244</v>
      </c>
    </row>
    <row>
      <c t="s">
        <v>17594</v>
      </c>
      <c t="s">
        <v>16992</v>
      </c>
      <c t="s">
        <v>39578</v>
      </c>
      <c t="s">
        <v>46756</v>
      </c>
      <c t="s">
        <v>28304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4968" s="1" t="str">
        <f ca="1">HYPERLINK("https://web.datatree.com/?/property?propertyId=33950976", "https://web.datatree.com/?/property?propertyId=33950976")</f>
        <v>https://web.datatree.com/?/property?propertyId=33950976</v>
      </c>
      <c r="Q4968" t="s">
        <v>316</v>
      </c>
      <c>
        <v>0.23</v>
      </c>
      <c t="s">
        <v>22490</v>
      </c>
      <c r="U4968" t="s">
        <v>14913</v>
      </c>
      <c r="W4968" t="s">
        <v>63355</v>
      </c>
      <c t="s">
        <v>8393</v>
      </c>
      <c t="s">
        <v>25017</v>
      </c>
      <c t="s">
        <v>2517</v>
      </c>
      <c t="s">
        <v>39289</v>
      </c>
      <c>
        <v>33909</v>
      </c>
      <c t="s">
        <v>59207</v>
      </c>
      <c t="s">
        <v>48794</v>
      </c>
      <c t="s">
        <v>36527</v>
      </c>
      <c>
        <v>3490</v>
      </c>
      <c r="AI4968" t="s">
        <v>12459</v>
      </c>
      <c t="s">
        <v>31192</v>
      </c>
      <c>
        <v>245</v>
      </c>
      <c t="s">
        <v>11713</v>
      </c>
      <c r="AN4968" t="s">
        <v>39289</v>
      </c>
      <c t="s">
        <v>36348</v>
      </c>
      <c t="s">
        <v>33275</v>
      </c>
      <c t="s">
        <v>3093</v>
      </c>
      <c t="s">
        <v>37023</v>
      </c>
    </row>
    <row>
      <c t="s">
        <v>17594</v>
      </c>
      <c t="s">
        <v>43014</v>
      </c>
      <c t="s">
        <v>37999</v>
      </c>
      <c t="s">
        <v>1423</v>
      </c>
      <c t="s">
        <v>42145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4969" s="1" t="str">
        <f ca="1">HYPERLINK("https://web.datatree.com/?/property?propertyId=33951297", "https://web.datatree.com/?/property?propertyId=33951297")</f>
        <v>https://web.datatree.com/?/property?propertyId=33951297</v>
      </c>
      <c r="Q4969" t="s">
        <v>316</v>
      </c>
      <c>
        <v>0.23</v>
      </c>
      <c t="s">
        <v>6175</v>
      </c>
      <c t="s">
        <v>42212</v>
      </c>
      <c t="s">
        <v>61267</v>
      </c>
      <c t="s">
        <v>15051</v>
      </c>
      <c t="s">
        <v>61267</v>
      </c>
      <c t="s">
        <v>9577</v>
      </c>
      <c t="s">
        <v>39082</v>
      </c>
      <c t="s">
        <v>2517</v>
      </c>
      <c t="s">
        <v>39289</v>
      </c>
      <c>
        <v>33909</v>
      </c>
      <c t="s">
        <v>52311</v>
      </c>
      <c t="s">
        <v>48794</v>
      </c>
      <c t="s">
        <v>29584</v>
      </c>
      <c>
        <v>33289</v>
      </c>
      <c r="AI4969" t="s">
        <v>35096</v>
      </c>
      <c t="s">
        <v>31192</v>
      </c>
      <c r="AL4969" t="s">
        <v>347</v>
      </c>
      <c t="s">
        <v>347</v>
      </c>
      <c t="s">
        <v>17134</v>
      </c>
      <c>
        <v>44139</v>
      </c>
      <c r="AQ4969" t="s">
        <v>3093</v>
      </c>
      <c t="s">
        <v>65158</v>
      </c>
    </row>
    <row>
      <c t="s">
        <v>17594</v>
      </c>
      <c t="s">
        <v>44048</v>
      </c>
      <c t="s">
        <v>37256</v>
      </c>
      <c t="s">
        <v>6892</v>
      </c>
      <c t="s">
        <v>31414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4970" s="1" t="str">
        <f ca="1">HYPERLINK("https://web.datatree.com/?/property?propertyId=33951499", "https://web.datatree.com/?/property?propertyId=33951499")</f>
        <v>https://web.datatree.com/?/property?propertyId=33951499</v>
      </c>
      <c r="Q4970" t="s">
        <v>316</v>
      </c>
      <c>
        <v>0.234</v>
      </c>
      <c t="s">
        <v>5471</v>
      </c>
      <c t="s">
        <v>35571</v>
      </c>
      <c t="s">
        <v>42761</v>
      </c>
      <c t="s">
        <v>11916</v>
      </c>
      <c t="s">
        <v>42761</v>
      </c>
      <c t="s">
        <v>12703</v>
      </c>
      <c t="s">
        <v>61415</v>
      </c>
      <c t="s">
        <v>65059</v>
      </c>
      <c t="s">
        <v>39289</v>
      </c>
      <c>
        <v>33905</v>
      </c>
      <c t="s">
        <v>52937</v>
      </c>
      <c t="s">
        <v>48794</v>
      </c>
      <c t="s">
        <v>13837</v>
      </c>
      <c>
        <v>70</v>
      </c>
      <c r="AI4970" t="s">
        <v>34210</v>
      </c>
      <c t="s">
        <v>55842</v>
      </c>
      <c r="AL4970" t="s">
        <v>22964</v>
      </c>
      <c r="AN4970" t="s">
        <v>50917</v>
      </c>
      <c t="s">
        <v>22850</v>
      </c>
      <c t="s">
        <v>31626</v>
      </c>
      <c t="s">
        <v>3093</v>
      </c>
      <c t="s">
        <v>57093</v>
      </c>
    </row>
    <row>
      <c t="s">
        <v>17594</v>
      </c>
      <c t="s">
        <v>8177</v>
      </c>
      <c t="s">
        <v>2055</v>
      </c>
      <c t="s">
        <v>1179</v>
      </c>
      <c t="s">
        <v>62529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>
        <v>2021</v>
      </c>
      <c>
        <v>520</v>
      </c>
      <c s="1" t="str">
        <f ca="1">HYPERLINK("https://web.datatree.com/?/property?propertyId=33951634", "https://web.datatree.com/?/property?propertyId=33951634")</f>
        <v>https://web.datatree.com/?/property?propertyId=33951634</v>
      </c>
      <c r="Q4971" t="s">
        <v>316</v>
      </c>
      <c>
        <v>0.23</v>
      </c>
      <c t="s">
        <v>22490</v>
      </c>
      <c t="s">
        <v>19357</v>
      </c>
      <c t="s">
        <v>61926</v>
      </c>
      <c t="s">
        <v>26502</v>
      </c>
      <c t="s">
        <v>61926</v>
      </c>
      <c t="s">
        <v>21303</v>
      </c>
      <c t="s">
        <v>53675</v>
      </c>
      <c t="s">
        <v>2517</v>
      </c>
      <c t="s">
        <v>39289</v>
      </c>
      <c>
        <v>33909</v>
      </c>
      <c t="s">
        <v>15795</v>
      </c>
      <c t="s">
        <v>48794</v>
      </c>
      <c t="s">
        <v>5900</v>
      </c>
      <c r="AL4971" t="s">
        <v>60247</v>
      </c>
      <c r="AN4971" t="s">
        <v>7234</v>
      </c>
      <c>
        <v>0</v>
      </c>
    </row>
    <row>
      <c t="s">
        <v>17594</v>
      </c>
      <c t="s">
        <v>23751</v>
      </c>
      <c t="s">
        <v>35696</v>
      </c>
      <c t="s">
        <v>12762</v>
      </c>
      <c t="s">
        <v>26328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4972" s="1" t="str">
        <f ca="1">HYPERLINK("https://web.datatree.com/?/property?propertyId=33952832", "https://web.datatree.com/?/property?propertyId=33952832")</f>
        <v>https://web.datatree.com/?/property?propertyId=33952832</v>
      </c>
      <c r="Q4972" t="s">
        <v>316</v>
      </c>
      <c>
        <v>0.23</v>
      </c>
      <c t="s">
        <v>22490</v>
      </c>
      <c t="s">
        <v>552</v>
      </c>
      <c t="s">
        <v>61364</v>
      </c>
      <c t="s">
        <v>61028</v>
      </c>
      <c t="s">
        <v>61364</v>
      </c>
      <c t="s">
        <v>8008</v>
      </c>
      <c t="s">
        <v>39082</v>
      </c>
      <c t="s">
        <v>2517</v>
      </c>
      <c t="s">
        <v>39289</v>
      </c>
      <c>
        <v>33909</v>
      </c>
      <c t="s">
        <v>8914</v>
      </c>
      <c t="s">
        <v>48794</v>
      </c>
      <c t="s">
        <v>9601</v>
      </c>
      <c>
        <v>171</v>
      </c>
      <c r="AI4972" t="s">
        <v>1170</v>
      </c>
      <c t="s">
        <v>45620</v>
      </c>
      <c r="AL4972" t="s">
        <v>51145</v>
      </c>
      <c r="AN4972" t="s">
        <v>22275</v>
      </c>
      <c t="s">
        <v>41693</v>
      </c>
      <c t="s">
        <v>702</v>
      </c>
      <c t="s">
        <v>3093</v>
      </c>
      <c t="s">
        <v>8260</v>
      </c>
    </row>
    <row>
      <c t="s">
        <v>17594</v>
      </c>
      <c t="s">
        <v>53920</v>
      </c>
      <c t="s">
        <v>6957</v>
      </c>
      <c t="s">
        <v>1027</v>
      </c>
      <c t="s">
        <v>53326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4973" s="1" t="str">
        <f ca="1">HYPERLINK("https://web.datatree.com/?/property?propertyId=33953887", "https://web.datatree.com/?/property?propertyId=33953887")</f>
        <v>https://web.datatree.com/?/property?propertyId=33953887</v>
      </c>
      <c r="Q4973" t="s">
        <v>316</v>
      </c>
      <c>
        <v>0.23</v>
      </c>
      <c t="s">
        <v>6175</v>
      </c>
      <c t="s">
        <v>44457</v>
      </c>
      <c t="s">
        <v>8384</v>
      </c>
      <c t="s">
        <v>12536</v>
      </c>
      <c t="s">
        <v>8384</v>
      </c>
      <c t="s">
        <v>31653</v>
      </c>
      <c t="s">
        <v>2626</v>
      </c>
      <c t="s">
        <v>2517</v>
      </c>
      <c t="s">
        <v>39289</v>
      </c>
      <c>
        <v>33909</v>
      </c>
      <c t="s">
        <v>164</v>
      </c>
      <c t="s">
        <v>48794</v>
      </c>
      <c t="s">
        <v>3549</v>
      </c>
      <c>
        <v>18321</v>
      </c>
      <c r="AI4973" t="s">
        <v>24697</v>
      </c>
      <c t="s">
        <v>24900</v>
      </c>
      <c r="AL4973" t="s">
        <v>55393</v>
      </c>
      <c r="AN4973" t="s">
        <v>39289</v>
      </c>
      <c t="s">
        <v>4199</v>
      </c>
      <c t="s">
        <v>48506</v>
      </c>
      <c t="s">
        <v>3093</v>
      </c>
      <c t="s">
        <v>56244</v>
      </c>
    </row>
    <row>
      <c t="s">
        <v>17594</v>
      </c>
      <c t="s">
        <v>1715</v>
      </c>
      <c t="s">
        <v>14246</v>
      </c>
      <c t="s">
        <v>12935</v>
      </c>
      <c t="s">
        <v>9331</v>
      </c>
      <c s="3">
        <v>26158</v>
      </c>
      <c s="3">
        <v>26158</v>
      </c>
      <c s="3">
        <v>9433</v>
      </c>
      <c>
        <v>0</v>
      </c>
      <c s="3">
        <v>0</v>
      </c>
      <c s="3">
        <v>413.07</v>
      </c>
      <c s="3">
        <v>26158</v>
      </c>
      <c>
        <v>2020</v>
      </c>
      <c>
        <v>1315.43</v>
      </c>
      <c s="1" t="str">
        <f ca="1">HYPERLINK("https://web.datatree.com/?/property?propertyId=33953942", "https://web.datatree.com/?/property?propertyId=33953942")</f>
        <v>https://web.datatree.com/?/property?propertyId=33953942</v>
      </c>
      <c r="Q4974" t="s">
        <v>316</v>
      </c>
      <c>
        <v>0.228</v>
      </c>
      <c t="s">
        <v>5471</v>
      </c>
      <c t="s">
        <v>5759</v>
      </c>
      <c t="s">
        <v>51665</v>
      </c>
      <c r="X4974" t="s">
        <v>13258</v>
      </c>
      <c t="s">
        <v>42879</v>
      </c>
      <c t="s">
        <v>65059</v>
      </c>
      <c t="s">
        <v>39289</v>
      </c>
      <c>
        <v>33905</v>
      </c>
      <c t="s">
        <v>44096</v>
      </c>
      <c t="s">
        <v>48794</v>
      </c>
      <c t="s">
        <v>16364</v>
      </c>
      <c>
        <v>16411</v>
      </c>
      <c r="AI4974" t="s">
        <v>52171</v>
      </c>
      <c t="s">
        <v>40123</v>
      </c>
      <c r="AL4974" t="s">
        <v>59391</v>
      </c>
      <c r="AN4974" t="s">
        <v>39289</v>
      </c>
      <c t="s">
        <v>3434</v>
      </c>
      <c t="s">
        <v>27780</v>
      </c>
      <c t="s">
        <v>3093</v>
      </c>
      <c t="s">
        <v>15775</v>
      </c>
    </row>
    <row>
      <c t="s">
        <v>17594</v>
      </c>
      <c t="s">
        <v>21843</v>
      </c>
      <c t="s">
        <v>66684</v>
      </c>
      <c t="s">
        <v>6131</v>
      </c>
      <c t="s">
        <v>55451</v>
      </c>
      <c s="3">
        <v>83547</v>
      </c>
      <c s="3">
        <v>74250</v>
      </c>
      <c s="3">
        <v>83547</v>
      </c>
      <c>
        <v>0</v>
      </c>
      <c s="3">
        <v>0</v>
      </c>
      <c s="3">
        <v>1255.72</v>
      </c>
      <c s="3">
        <v>83547</v>
      </c>
      <c r="O4975" s="1" t="str">
        <f ca="1">HYPERLINK("https://web.datatree.com/?/property?propertyId=33954364", "https://web.datatree.com/?/property?propertyId=33954364")</f>
        <v>https://web.datatree.com/?/property?propertyId=33954364</v>
      </c>
      <c r="Q4975" t="s">
        <v>316</v>
      </c>
      <c>
        <v>0.103</v>
      </c>
      <c t="s">
        <v>26492</v>
      </c>
      <c t="s">
        <v>54943</v>
      </c>
      <c t="s">
        <v>22125</v>
      </c>
      <c t="s">
        <v>48526</v>
      </c>
      <c t="s">
        <v>22125</v>
      </c>
      <c t="s">
        <v>17037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7474</v>
      </c>
      <c>
        <v>5</v>
      </c>
      <c r="AI4975" t="s">
        <v>25238</v>
      </c>
      <c t="s">
        <v>45620</v>
      </c>
      <c r="AL4975" t="s">
        <v>46577</v>
      </c>
      <c t="s">
        <v>18312</v>
      </c>
      <c t="s">
        <v>27747</v>
      </c>
      <c t="s">
        <v>43298</v>
      </c>
      <c t="s">
        <v>4175</v>
      </c>
      <c t="s">
        <v>3093</v>
      </c>
      <c t="s">
        <v>42006</v>
      </c>
    </row>
    <row>
      <c t="s">
        <v>17594</v>
      </c>
      <c t="s">
        <v>14950</v>
      </c>
      <c t="s">
        <v>36291</v>
      </c>
      <c t="s">
        <v>36671</v>
      </c>
      <c t="s">
        <v>49144</v>
      </c>
      <c s="3">
        <v>131946</v>
      </c>
      <c s="3">
        <v>131946</v>
      </c>
      <c s="3">
        <v>131946</v>
      </c>
      <c>
        <v>0</v>
      </c>
      <c s="3">
        <v>0</v>
      </c>
      <c s="3">
        <v>2528.91</v>
      </c>
      <c s="3">
        <v>131946</v>
      </c>
      <c r="O4976" s="1" t="str">
        <f ca="1">HYPERLINK("https://web.datatree.com/?/property?propertyId=33954468", "https://web.datatree.com/?/property?propertyId=33954468")</f>
        <v>https://web.datatree.com/?/property?propertyId=33954468</v>
      </c>
      <c r="Q4976" t="s">
        <v>316</v>
      </c>
      <c>
        <v>0.266</v>
      </c>
      <c t="s">
        <v>22490</v>
      </c>
      <c t="s">
        <v>63066</v>
      </c>
      <c t="s">
        <v>9163</v>
      </c>
      <c r="X4976" t="s">
        <v>44492</v>
      </c>
      <c t="s">
        <v>57064</v>
      </c>
      <c t="s">
        <v>2517</v>
      </c>
      <c t="s">
        <v>39289</v>
      </c>
      <c>
        <v>33904</v>
      </c>
      <c t="s">
        <v>12263</v>
      </c>
      <c t="s">
        <v>48794</v>
      </c>
      <c t="s">
        <v>31541</v>
      </c>
      <c r="AI4976" t="s">
        <v>53763</v>
      </c>
      <c r="AK4976">
        <v>2</v>
      </c>
      <c t="s">
        <v>18581</v>
      </c>
      <c r="AN4976" t="s">
        <v>63985</v>
      </c>
      <c>
        <v>85134</v>
      </c>
      <c r="AQ4976" t="s">
        <v>3093</v>
      </c>
      <c t="s">
        <v>1424</v>
      </c>
    </row>
    <row>
      <c t="s">
        <v>17594</v>
      </c>
      <c t="s">
        <v>20778</v>
      </c>
      <c t="s">
        <v>53433</v>
      </c>
      <c t="s">
        <v>59363</v>
      </c>
      <c t="s">
        <v>9041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4977" s="1" t="str">
        <f ca="1">HYPERLINK("https://web.datatree.com/?/property?propertyId=33955014", "https://web.datatree.com/?/property?propertyId=33955014")</f>
        <v>https://web.datatree.com/?/property?propertyId=33955014</v>
      </c>
      <c r="Q4977" t="s">
        <v>316</v>
      </c>
      <c>
        <v>0.23</v>
      </c>
      <c t="s">
        <v>6175</v>
      </c>
      <c t="s">
        <v>32056</v>
      </c>
      <c t="s">
        <v>61618</v>
      </c>
      <c r="X4977" t="s">
        <v>6322</v>
      </c>
      <c t="s">
        <v>38550</v>
      </c>
      <c t="s">
        <v>2517</v>
      </c>
      <c t="s">
        <v>39289</v>
      </c>
      <c>
        <v>33909</v>
      </c>
      <c t="s">
        <v>12629</v>
      </c>
      <c t="s">
        <v>48794</v>
      </c>
      <c t="s">
        <v>39894</v>
      </c>
      <c>
        <v>9526</v>
      </c>
      <c r="AI4977" t="s">
        <v>49527</v>
      </c>
      <c t="s">
        <v>835</v>
      </c>
      <c r="AL4977" t="s">
        <v>63982</v>
      </c>
      <c t="s">
        <v>63982</v>
      </c>
      <c t="s">
        <v>65451</v>
      </c>
      <c t="s">
        <v>34933</v>
      </c>
      <c t="s">
        <v>66341</v>
      </c>
      <c t="s">
        <v>3093</v>
      </c>
      <c t="s">
        <v>43482</v>
      </c>
    </row>
    <row>
      <c t="s">
        <v>17594</v>
      </c>
      <c t="s">
        <v>63493</v>
      </c>
      <c t="s">
        <v>42286</v>
      </c>
      <c t="s">
        <v>42227</v>
      </c>
      <c t="s">
        <v>21298</v>
      </c>
      <c s="3">
        <v>96778</v>
      </c>
      <c s="3">
        <v>86250</v>
      </c>
      <c s="3">
        <v>96778</v>
      </c>
      <c>
        <v>0</v>
      </c>
      <c s="3">
        <v>0</v>
      </c>
      <c s="3">
        <v>1453.82</v>
      </c>
      <c s="3">
        <v>96778</v>
      </c>
      <c r="O4978" s="1" t="str">
        <f ca="1">HYPERLINK("https://web.datatree.com/?/property?propertyId=33955828", "https://web.datatree.com/?/property?propertyId=33955828")</f>
        <v>https://web.datatree.com/?/property?propertyId=33955828</v>
      </c>
      <c r="Q4978" t="s">
        <v>316</v>
      </c>
      <c>
        <v>0.109</v>
      </c>
      <c t="s">
        <v>26492</v>
      </c>
      <c t="s">
        <v>51210</v>
      </c>
      <c t="s">
        <v>38328</v>
      </c>
      <c t="s">
        <v>42388</v>
      </c>
      <c t="s">
        <v>38328</v>
      </c>
      <c t="s">
        <v>10163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27151</v>
      </c>
      <c>
        <v>1711</v>
      </c>
      <c r="AH4978" t="s">
        <v>63047</v>
      </c>
      <c t="s">
        <v>63876</v>
      </c>
      <c t="s">
        <v>24900</v>
      </c>
      <c r="AL4978" t="s">
        <v>32053</v>
      </c>
      <c t="s">
        <v>32053</v>
      </c>
      <c t="s">
        <v>26443</v>
      </c>
      <c t="s">
        <v>66269</v>
      </c>
      <c t="s">
        <v>44428</v>
      </c>
      <c t="s">
        <v>3093</v>
      </c>
      <c t="s">
        <v>10227</v>
      </c>
    </row>
    <row>
      <c t="s">
        <v>17594</v>
      </c>
      <c t="s">
        <v>9986</v>
      </c>
      <c t="s">
        <v>51667</v>
      </c>
      <c t="s">
        <v>29227</v>
      </c>
      <c t="s">
        <v>35013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979" s="1" t="str">
        <f ca="1">HYPERLINK("https://web.datatree.com/?/property?propertyId=33956492", "https://web.datatree.com/?/property?propertyId=33956492")</f>
        <v>https://web.datatree.com/?/property?propertyId=33956492</v>
      </c>
      <c r="Q4979" t="s">
        <v>316</v>
      </c>
      <c>
        <v>0.23</v>
      </c>
      <c t="s">
        <v>6175</v>
      </c>
      <c t="s">
        <v>41416</v>
      </c>
      <c t="s">
        <v>1486</v>
      </c>
      <c r="X4979" t="s">
        <v>64977</v>
      </c>
      <c t="s">
        <v>58797</v>
      </c>
      <c t="s">
        <v>2517</v>
      </c>
      <c t="s">
        <v>39289</v>
      </c>
      <c>
        <v>33909</v>
      </c>
      <c t="s">
        <v>39112</v>
      </c>
      <c t="s">
        <v>48794</v>
      </c>
      <c t="s">
        <v>19588</v>
      </c>
      <c>
        <v>102</v>
      </c>
      <c r="AI4979" t="s">
        <v>47935</v>
      </c>
      <c t="s">
        <v>31192</v>
      </c>
      <c r="AL4979" t="s">
        <v>6350</v>
      </c>
      <c r="AN4979" t="s">
        <v>39289</v>
      </c>
      <c t="s">
        <v>19418</v>
      </c>
      <c t="s">
        <v>33029</v>
      </c>
      <c t="s">
        <v>3093</v>
      </c>
      <c t="s">
        <v>17233</v>
      </c>
    </row>
    <row>
      <c t="s">
        <v>17594</v>
      </c>
      <c t="s">
        <v>33622</v>
      </c>
      <c t="s">
        <v>17158</v>
      </c>
      <c t="s">
        <v>49018</v>
      </c>
      <c t="s">
        <v>63602</v>
      </c>
      <c s="3">
        <v>7981</v>
      </c>
      <c s="3">
        <v>7981</v>
      </c>
      <c s="3">
        <v>4972</v>
      </c>
      <c>
        <v>0</v>
      </c>
      <c s="3">
        <v>0</v>
      </c>
      <c s="3">
        <v>315.35</v>
      </c>
      <c s="3">
        <v>7981</v>
      </c>
      <c r="O4980" s="1" t="str">
        <f ca="1">HYPERLINK("https://web.datatree.com/?/property?propertyId=33956707", "https://web.datatree.com/?/property?propertyId=33956707")</f>
        <v>https://web.datatree.com/?/property?propertyId=33956707</v>
      </c>
      <c r="Q4980" t="s">
        <v>316</v>
      </c>
      <c>
        <v>0.228</v>
      </c>
      <c t="s">
        <v>5471</v>
      </c>
      <c t="s">
        <v>53608</v>
      </c>
      <c t="s">
        <v>53864</v>
      </c>
      <c r="X4980" t="s">
        <v>42516</v>
      </c>
      <c t="s">
        <v>64631</v>
      </c>
      <c t="s">
        <v>65059</v>
      </c>
      <c t="s">
        <v>39289</v>
      </c>
      <c>
        <v>33905</v>
      </c>
      <c t="s">
        <v>58732</v>
      </c>
      <c t="s">
        <v>48794</v>
      </c>
      <c t="s">
        <v>60656</v>
      </c>
      <c>
        <v>16</v>
      </c>
      <c r="AI4980" t="s">
        <v>7273</v>
      </c>
      <c t="s">
        <v>45620</v>
      </c>
      <c r="AL4980" t="s">
        <v>26964</v>
      </c>
      <c r="AN4980" t="s">
        <v>26016</v>
      </c>
      <c t="s">
        <v>32111</v>
      </c>
      <c t="s">
        <v>62830</v>
      </c>
      <c t="s">
        <v>3093</v>
      </c>
      <c t="s">
        <v>16709</v>
      </c>
    </row>
    <row>
      <c t="s">
        <v>17594</v>
      </c>
      <c t="s">
        <v>10852</v>
      </c>
      <c t="s">
        <v>45440</v>
      </c>
      <c t="s">
        <v>23058</v>
      </c>
      <c t="s">
        <v>2317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981" s="1" t="str">
        <f ca="1">HYPERLINK("https://web.datatree.com/?/property?propertyId=33956848", "https://web.datatree.com/?/property?propertyId=33956848")</f>
        <v>https://web.datatree.com/?/property?propertyId=33956848</v>
      </c>
      <c r="Q4981" t="s">
        <v>316</v>
      </c>
      <c>
        <v>0.23</v>
      </c>
      <c t="s">
        <v>6175</v>
      </c>
      <c t="s">
        <v>62380</v>
      </c>
      <c t="s">
        <v>5690</v>
      </c>
      <c t="s">
        <v>21379</v>
      </c>
      <c t="s">
        <v>5690</v>
      </c>
      <c t="s">
        <v>4427</v>
      </c>
      <c t="s">
        <v>24999</v>
      </c>
      <c t="s">
        <v>2517</v>
      </c>
      <c t="s">
        <v>39289</v>
      </c>
      <c>
        <v>33909</v>
      </c>
      <c t="s">
        <v>27037</v>
      </c>
      <c t="s">
        <v>48794</v>
      </c>
      <c t="s">
        <v>27152</v>
      </c>
      <c>
        <v>7215</v>
      </c>
      <c r="AI4981" t="s">
        <v>66542</v>
      </c>
      <c t="s">
        <v>31192</v>
      </c>
      <c r="AL4981" t="s">
        <v>569</v>
      </c>
      <c r="AN4981" t="s">
        <v>17134</v>
      </c>
      <c t="s">
        <v>47939</v>
      </c>
      <c t="s">
        <v>22455</v>
      </c>
      <c t="s">
        <v>3093</v>
      </c>
      <c t="s">
        <v>53764</v>
      </c>
    </row>
    <row>
      <c t="s">
        <v>17594</v>
      </c>
      <c t="s">
        <v>34510</v>
      </c>
      <c t="s">
        <v>20095</v>
      </c>
      <c t="s">
        <v>66238</v>
      </c>
      <c t="s">
        <v>14784</v>
      </c>
      <c s="3">
        <v>23673</v>
      </c>
      <c s="3">
        <v>23673</v>
      </c>
      <c s="3">
        <v>23673</v>
      </c>
      <c>
        <v>0</v>
      </c>
      <c s="3">
        <v>0</v>
      </c>
      <c s="3">
        <v>748.38</v>
      </c>
      <c s="3">
        <v>23673</v>
      </c>
      <c r="O4982" s="1" t="str">
        <f ca="1">HYPERLINK("https://web.datatree.com/?/property?propertyId=33956922", "https://web.datatree.com/?/property?propertyId=33956922")</f>
        <v>https://web.datatree.com/?/property?propertyId=33956922</v>
      </c>
      <c r="Q4982" t="s">
        <v>316</v>
      </c>
      <c>
        <v>0.23</v>
      </c>
      <c t="s">
        <v>14479</v>
      </c>
      <c t="s">
        <v>54943</v>
      </c>
      <c t="s">
        <v>50511</v>
      </c>
      <c t="s">
        <v>39103</v>
      </c>
      <c t="s">
        <v>4421</v>
      </c>
      <c t="s">
        <v>43848</v>
      </c>
      <c t="s">
        <v>30928</v>
      </c>
      <c t="s">
        <v>2517</v>
      </c>
      <c t="s">
        <v>39289</v>
      </c>
      <c>
        <v>33909</v>
      </c>
      <c t="s">
        <v>7766</v>
      </c>
      <c t="s">
        <v>48794</v>
      </c>
      <c t="s">
        <v>7303</v>
      </c>
      <c>
        <v>1701</v>
      </c>
      <c r="AI4982" t="s">
        <v>13876</v>
      </c>
      <c t="s">
        <v>24900</v>
      </c>
      <c r="AL4982" t="s">
        <v>37512</v>
      </c>
      <c t="s">
        <v>37512</v>
      </c>
      <c t="s">
        <v>19878</v>
      </c>
      <c t="s">
        <v>34151</v>
      </c>
      <c t="s">
        <v>40826</v>
      </c>
      <c t="s">
        <v>3093</v>
      </c>
      <c t="s">
        <v>16482</v>
      </c>
    </row>
    <row>
      <c t="s">
        <v>17594</v>
      </c>
      <c t="s">
        <v>48153</v>
      </c>
      <c t="s">
        <v>24838</v>
      </c>
      <c t="s">
        <v>22192</v>
      </c>
      <c t="s">
        <v>16660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983" s="1" t="str">
        <f ca="1">HYPERLINK("https://web.datatree.com/?/property?propertyId=33956932", "https://web.datatree.com/?/property?propertyId=33956932")</f>
        <v>https://web.datatree.com/?/property?propertyId=33956932</v>
      </c>
      <c r="Q4983" t="s">
        <v>316</v>
      </c>
      <c>
        <v>0.23</v>
      </c>
      <c t="s">
        <v>6175</v>
      </c>
      <c t="s">
        <v>50331</v>
      </c>
      <c t="s">
        <v>27128</v>
      </c>
      <c t="s">
        <v>21670</v>
      </c>
      <c t="s">
        <v>27128</v>
      </c>
      <c t="s">
        <v>60013</v>
      </c>
      <c t="s">
        <v>2619</v>
      </c>
      <c t="s">
        <v>2517</v>
      </c>
      <c t="s">
        <v>39289</v>
      </c>
      <c>
        <v>33909</v>
      </c>
      <c t="s">
        <v>24020</v>
      </c>
      <c t="s">
        <v>48794</v>
      </c>
      <c t="s">
        <v>43788</v>
      </c>
      <c>
        <v>267</v>
      </c>
      <c r="AI4983" t="s">
        <v>30742</v>
      </c>
      <c t="s">
        <v>45393</v>
      </c>
      <c r="AL4983" t="s">
        <v>64745</v>
      </c>
      <c r="AN4983" t="s">
        <v>26016</v>
      </c>
      <c t="s">
        <v>36364</v>
      </c>
      <c t="s">
        <v>19978</v>
      </c>
      <c t="s">
        <v>3093</v>
      </c>
      <c t="s">
        <v>10708</v>
      </c>
    </row>
    <row>
      <c t="s">
        <v>17594</v>
      </c>
      <c t="s">
        <v>12248</v>
      </c>
      <c t="s">
        <v>63986</v>
      </c>
      <c t="s">
        <v>29628</v>
      </c>
      <c t="s">
        <v>13253</v>
      </c>
      <c s="3">
        <v>19478</v>
      </c>
      <c s="3">
        <v>19478</v>
      </c>
      <c s="3">
        <v>9350</v>
      </c>
      <c>
        <v>0</v>
      </c>
      <c s="3">
        <v>0</v>
      </c>
      <c s="3">
        <v>584.18</v>
      </c>
      <c s="3">
        <v>19478</v>
      </c>
      <c r="O4984" s="1" t="str">
        <f ca="1">HYPERLINK("https://web.datatree.com/?/property?propertyId=33957595", "https://web.datatree.com/?/property?propertyId=33957595")</f>
        <v>https://web.datatree.com/?/property?propertyId=33957595</v>
      </c>
      <c r="Q4984" t="s">
        <v>316</v>
      </c>
      <c>
        <v>0.247</v>
      </c>
      <c t="s">
        <v>6175</v>
      </c>
      <c t="s">
        <v>54953</v>
      </c>
      <c t="s">
        <v>43986</v>
      </c>
      <c r="X4984" t="s">
        <v>38872</v>
      </c>
      <c t="s">
        <v>39082</v>
      </c>
      <c t="s">
        <v>2517</v>
      </c>
      <c t="s">
        <v>39289</v>
      </c>
      <c>
        <v>33909</v>
      </c>
      <c t="s">
        <v>23098</v>
      </c>
      <c t="s">
        <v>48794</v>
      </c>
      <c t="s">
        <v>19499</v>
      </c>
      <c>
        <v>12110</v>
      </c>
      <c r="AI4984" t="s">
        <v>27618</v>
      </c>
      <c t="s">
        <v>835</v>
      </c>
      <c r="AL4984" t="s">
        <v>48286</v>
      </c>
      <c r="AN4984" t="s">
        <v>17134</v>
      </c>
      <c t="s">
        <v>43714</v>
      </c>
      <c t="s">
        <v>60160</v>
      </c>
      <c t="s">
        <v>3093</v>
      </c>
      <c t="s">
        <v>37185</v>
      </c>
    </row>
    <row>
      <c t="s">
        <v>17594</v>
      </c>
      <c t="s">
        <v>24250</v>
      </c>
      <c t="s">
        <v>21169</v>
      </c>
      <c t="s">
        <v>61167</v>
      </c>
      <c t="s">
        <v>43561</v>
      </c>
      <c s="3">
        <v>8400</v>
      </c>
      <c s="3">
        <v>8400</v>
      </c>
      <c s="3">
        <v>8400</v>
      </c>
      <c>
        <v>0</v>
      </c>
      <c s="3">
        <v>0</v>
      </c>
      <c s="3">
        <v>620.44</v>
      </c>
      <c s="3">
        <v>8400</v>
      </c>
      <c r="O4985" s="1" t="str">
        <f ca="1">HYPERLINK("https://web.datatree.com/?/property?propertyId=33957826", "https://web.datatree.com/?/property?propertyId=33957826")</f>
        <v>https://web.datatree.com/?/property?propertyId=33957826</v>
      </c>
      <c r="Q4985" t="s">
        <v>316</v>
      </c>
      <c>
        <v>0.23</v>
      </c>
      <c t="s">
        <v>42044</v>
      </c>
      <c t="s">
        <v>38006</v>
      </c>
      <c t="s">
        <v>54236</v>
      </c>
      <c t="s">
        <v>33321</v>
      </c>
      <c t="s">
        <v>13824</v>
      </c>
      <c t="s">
        <v>20052</v>
      </c>
      <c t="s">
        <v>61850</v>
      </c>
      <c t="s">
        <v>2517</v>
      </c>
      <c t="s">
        <v>39289</v>
      </c>
      <c>
        <v>33909</v>
      </c>
      <c t="s">
        <v>63940</v>
      </c>
      <c t="s">
        <v>48794</v>
      </c>
      <c t="s">
        <v>50736</v>
      </c>
      <c>
        <v>5521</v>
      </c>
      <c r="AI4985" t="s">
        <v>4065</v>
      </c>
      <c t="s">
        <v>39321</v>
      </c>
      <c r="AL4985" t="s">
        <v>41781</v>
      </c>
      <c r="AN4985" t="s">
        <v>39289</v>
      </c>
      <c t="s">
        <v>15548</v>
      </c>
      <c t="s">
        <v>26416</v>
      </c>
      <c t="s">
        <v>3093</v>
      </c>
      <c t="s">
        <v>8064</v>
      </c>
    </row>
    <row>
      <c t="s">
        <v>17594</v>
      </c>
      <c t="s">
        <v>46310</v>
      </c>
      <c t="s">
        <v>22443</v>
      </c>
      <c t="s">
        <v>8113</v>
      </c>
      <c t="s">
        <v>18065</v>
      </c>
      <c s="3">
        <v>17100</v>
      </c>
      <c s="3">
        <v>17100</v>
      </c>
      <c s="3">
        <v>9599</v>
      </c>
      <c>
        <v>0</v>
      </c>
      <c s="3">
        <v>0</v>
      </c>
      <c s="3">
        <v>662.12</v>
      </c>
      <c s="3">
        <v>17100</v>
      </c>
      <c r="O4986" s="1" t="str">
        <f ca="1">HYPERLINK("https://web.datatree.com/?/property?propertyId=33957961", "https://web.datatree.com/?/property?propertyId=33957961")</f>
        <v>https://web.datatree.com/?/property?propertyId=33957961</v>
      </c>
      <c r="Q4986" t="s">
        <v>316</v>
      </c>
      <c>
        <v>0.344</v>
      </c>
      <c t="s">
        <v>6175</v>
      </c>
      <c t="s">
        <v>6974</v>
      </c>
      <c t="s">
        <v>24714</v>
      </c>
      <c t="s">
        <v>64030</v>
      </c>
      <c t="s">
        <v>24432</v>
      </c>
      <c t="s">
        <v>17838</v>
      </c>
      <c t="s">
        <v>22731</v>
      </c>
      <c t="s">
        <v>2517</v>
      </c>
      <c t="s">
        <v>39289</v>
      </c>
      <c>
        <v>33909</v>
      </c>
      <c t="s">
        <v>25394</v>
      </c>
      <c t="s">
        <v>48794</v>
      </c>
      <c t="s">
        <v>5727</v>
      </c>
      <c>
        <v>4422</v>
      </c>
      <c r="AI4986" t="s">
        <v>65540</v>
      </c>
      <c t="s">
        <v>24900</v>
      </c>
      <c r="AL4986" t="s">
        <v>55393</v>
      </c>
      <c t="s">
        <v>16890</v>
      </c>
      <c t="s">
        <v>39289</v>
      </c>
      <c t="s">
        <v>56523</v>
      </c>
      <c t="s">
        <v>26416</v>
      </c>
      <c t="s">
        <v>3093</v>
      </c>
      <c t="s">
        <v>63530</v>
      </c>
    </row>
    <row>
      <c t="s">
        <v>17594</v>
      </c>
      <c t="s">
        <v>6195</v>
      </c>
      <c t="s">
        <v>9396</v>
      </c>
      <c t="s">
        <v>13646</v>
      </c>
      <c t="s">
        <v>8189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4987" s="1" t="str">
        <f ca="1">HYPERLINK("https://web.datatree.com/?/property?propertyId=33958042", "https://web.datatree.com/?/property?propertyId=33958042")</f>
        <v>https://web.datatree.com/?/property?propertyId=33958042</v>
      </c>
      <c r="Q4987" t="s">
        <v>316</v>
      </c>
      <c>
        <v>0.23</v>
      </c>
      <c t="s">
        <v>22490</v>
      </c>
      <c t="s">
        <v>2937</v>
      </c>
      <c t="s">
        <v>65770</v>
      </c>
      <c t="s">
        <v>66704</v>
      </c>
      <c t="s">
        <v>65770</v>
      </c>
      <c t="s">
        <v>63955</v>
      </c>
      <c t="s">
        <v>49674</v>
      </c>
      <c t="s">
        <v>2517</v>
      </c>
      <c t="s">
        <v>39289</v>
      </c>
      <c>
        <v>33909</v>
      </c>
      <c>
        <v>33909</v>
      </c>
      <c t="s">
        <v>48794</v>
      </c>
      <c t="s">
        <v>3437</v>
      </c>
      <c>
        <v>112</v>
      </c>
      <c r="AI4987" t="s">
        <v>927</v>
      </c>
      <c t="s">
        <v>45393</v>
      </c>
      <c r="AL4987" t="s">
        <v>63445</v>
      </c>
      <c r="AN4987" t="s">
        <v>14509</v>
      </c>
      <c t="s">
        <v>57638</v>
      </c>
      <c t="s">
        <v>61410</v>
      </c>
      <c t="s">
        <v>3093</v>
      </c>
      <c t="s">
        <v>53384</v>
      </c>
    </row>
    <row>
      <c t="s">
        <v>17594</v>
      </c>
      <c t="s">
        <v>33884</v>
      </c>
      <c t="s">
        <v>56558</v>
      </c>
      <c t="s">
        <v>21639</v>
      </c>
      <c t="s">
        <v>60923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4988" s="1" t="str">
        <f ca="1">HYPERLINK("https://web.datatree.com/?/property?propertyId=33958097", "https://web.datatree.com/?/property?propertyId=33958097")</f>
        <v>https://web.datatree.com/?/property?propertyId=33958097</v>
      </c>
      <c r="Q4988" t="s">
        <v>316</v>
      </c>
      <c>
        <v>0.232</v>
      </c>
      <c t="s">
        <v>45031</v>
      </c>
      <c t="s">
        <v>2873</v>
      </c>
      <c t="s">
        <v>54474</v>
      </c>
      <c t="s">
        <v>9055</v>
      </c>
      <c t="s">
        <v>2816</v>
      </c>
      <c t="s">
        <v>25289</v>
      </c>
      <c t="s">
        <v>29190</v>
      </c>
      <c t="s">
        <v>2517</v>
      </c>
      <c t="s">
        <v>39289</v>
      </c>
      <c>
        <v>33909</v>
      </c>
      <c t="s">
        <v>5008</v>
      </c>
      <c t="s">
        <v>48794</v>
      </c>
      <c t="s">
        <v>64701</v>
      </c>
      <c>
        <v>5241</v>
      </c>
      <c r="AI4988" t="s">
        <v>60471</v>
      </c>
      <c t="s">
        <v>39321</v>
      </c>
      <c r="AL4988" t="s">
        <v>54251</v>
      </c>
      <c t="s">
        <v>54251</v>
      </c>
      <c t="s">
        <v>39289</v>
      </c>
      <c t="s">
        <v>23610</v>
      </c>
      <c t="s">
        <v>4480</v>
      </c>
      <c t="s">
        <v>3093</v>
      </c>
      <c t="s">
        <v>33419</v>
      </c>
    </row>
    <row>
      <c t="s">
        <v>17594</v>
      </c>
      <c t="s">
        <v>51128</v>
      </c>
      <c t="s">
        <v>35145</v>
      </c>
      <c t="s">
        <v>64533</v>
      </c>
      <c t="s">
        <v>57746</v>
      </c>
      <c s="3">
        <v>20580</v>
      </c>
      <c s="3">
        <v>20580</v>
      </c>
      <c s="3">
        <v>10890</v>
      </c>
      <c>
        <v>0</v>
      </c>
      <c s="3">
        <v>0</v>
      </c>
      <c s="3">
        <v>869.4</v>
      </c>
      <c s="3">
        <v>20580</v>
      </c>
      <c r="O4989" s="1" t="str">
        <f ca="1">HYPERLINK("https://web.datatree.com/?/property?propertyId=33958286", "https://web.datatree.com/?/property?propertyId=33958286")</f>
        <v>https://web.datatree.com/?/property?propertyId=33958286</v>
      </c>
      <c r="Q4989" t="s">
        <v>316</v>
      </c>
      <c>
        <v>0.344</v>
      </c>
      <c t="s">
        <v>6175</v>
      </c>
      <c t="s">
        <v>24028</v>
      </c>
      <c t="s">
        <v>57911</v>
      </c>
      <c r="X4989" t="s">
        <v>47089</v>
      </c>
      <c t="s">
        <v>23517</v>
      </c>
      <c t="s">
        <v>2517</v>
      </c>
      <c t="s">
        <v>39289</v>
      </c>
      <c>
        <v>33909</v>
      </c>
      <c t="s">
        <v>63868</v>
      </c>
      <c t="s">
        <v>48794</v>
      </c>
      <c t="s">
        <v>54073</v>
      </c>
      <c>
        <v>9339</v>
      </c>
      <c r="AI4989" t="s">
        <v>66704</v>
      </c>
      <c t="s">
        <v>56275</v>
      </c>
      <c r="AL4989" t="s">
        <v>33415</v>
      </c>
      <c r="AN4989" t="s">
        <v>17134</v>
      </c>
      <c t="s">
        <v>30308</v>
      </c>
      <c t="s">
        <v>60160</v>
      </c>
      <c t="s">
        <v>3093</v>
      </c>
      <c t="s">
        <v>5300</v>
      </c>
    </row>
    <row>
      <c t="s">
        <v>17594</v>
      </c>
      <c t="s">
        <v>47103</v>
      </c>
      <c t="s">
        <v>4885</v>
      </c>
      <c t="s">
        <v>51525</v>
      </c>
      <c t="s">
        <v>14572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4990" s="1" t="str">
        <f ca="1">HYPERLINK("https://web.datatree.com/?/property?propertyId=33961061", "https://web.datatree.com/?/property?propertyId=33961061")</f>
        <v>https://web.datatree.com/?/property?propertyId=33961061</v>
      </c>
      <c r="Q4990" t="s">
        <v>316</v>
      </c>
      <c>
        <v>0.23</v>
      </c>
      <c t="s">
        <v>6175</v>
      </c>
      <c t="s">
        <v>44541</v>
      </c>
      <c t="s">
        <v>9875</v>
      </c>
      <c r="X4990" t="s">
        <v>24161</v>
      </c>
      <c t="s">
        <v>34731</v>
      </c>
      <c t="s">
        <v>2517</v>
      </c>
      <c t="s">
        <v>39289</v>
      </c>
      <c>
        <v>33909</v>
      </c>
      <c t="s">
        <v>43622</v>
      </c>
      <c t="s">
        <v>48794</v>
      </c>
      <c t="s">
        <v>49221</v>
      </c>
      <c>
        <v>6</v>
      </c>
      <c r="AI4990" t="s">
        <v>16537</v>
      </c>
      <c t="s">
        <v>31192</v>
      </c>
      <c r="AL4990" t="s">
        <v>47966</v>
      </c>
      <c r="AN4990" t="s">
        <v>10909</v>
      </c>
      <c t="s">
        <v>16267</v>
      </c>
      <c r="AQ4990" t="s">
        <v>27814</v>
      </c>
      <c t="s">
        <v>53789</v>
      </c>
    </row>
    <row>
      <c t="s">
        <v>17594</v>
      </c>
      <c t="s">
        <v>30469</v>
      </c>
      <c t="s">
        <v>7767</v>
      </c>
      <c t="s">
        <v>12478</v>
      </c>
      <c t="s">
        <v>43226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4991" s="1" t="str">
        <f ca="1">HYPERLINK("https://web.datatree.com/?/property?propertyId=33962328", "https://web.datatree.com/?/property?propertyId=33962328")</f>
        <v>https://web.datatree.com/?/property?propertyId=33962328</v>
      </c>
      <c r="Q4991" t="s">
        <v>316</v>
      </c>
      <c>
        <v>0.244</v>
      </c>
      <c t="s">
        <v>6175</v>
      </c>
      <c t="s">
        <v>59344</v>
      </c>
      <c t="s">
        <v>46118</v>
      </c>
      <c t="s">
        <v>47754</v>
      </c>
      <c t="s">
        <v>46118</v>
      </c>
      <c t="s">
        <v>4321</v>
      </c>
      <c t="s">
        <v>2626</v>
      </c>
      <c t="s">
        <v>2517</v>
      </c>
      <c t="s">
        <v>39289</v>
      </c>
      <c>
        <v>33909</v>
      </c>
      <c t="s">
        <v>9482</v>
      </c>
      <c t="s">
        <v>48794</v>
      </c>
      <c t="s">
        <v>13663</v>
      </c>
      <c r="AI4991" t="s">
        <v>20642</v>
      </c>
      <c r="AK4991">
        <v>3114</v>
      </c>
      <c t="s">
        <v>65696</v>
      </c>
      <c t="s">
        <v>65696</v>
      </c>
      <c t="s">
        <v>17134</v>
      </c>
      <c>
        <v>44630</v>
      </c>
      <c r="AR4991" t="s">
        <v>29767</v>
      </c>
    </row>
    <row>
      <c t="s">
        <v>17594</v>
      </c>
      <c t="s">
        <v>19337</v>
      </c>
      <c t="s">
        <v>36358</v>
      </c>
      <c t="s">
        <v>50850</v>
      </c>
      <c t="s">
        <v>8102</v>
      </c>
      <c s="3">
        <v>28022</v>
      </c>
      <c s="3">
        <v>28022</v>
      </c>
      <c s="3">
        <v>10560</v>
      </c>
      <c>
        <v>0</v>
      </c>
      <c s="3">
        <v>0</v>
      </c>
      <c s="3">
        <v>732.67</v>
      </c>
      <c s="3">
        <v>28022</v>
      </c>
      <c r="O4992" s="1" t="str">
        <f ca="1">HYPERLINK("https://web.datatree.com/?/property?propertyId=33962579", "https://web.datatree.com/?/property?propertyId=33962579")</f>
        <v>https://web.datatree.com/?/property?propertyId=33962579</v>
      </c>
      <c r="Q4992" t="s">
        <v>316</v>
      </c>
      <c>
        <v>0.344</v>
      </c>
      <c t="s">
        <v>22490</v>
      </c>
      <c t="s">
        <v>36738</v>
      </c>
      <c t="s">
        <v>16926</v>
      </c>
      <c t="s">
        <v>39994</v>
      </c>
      <c t="s">
        <v>16926</v>
      </c>
      <c t="s">
        <v>39214</v>
      </c>
      <c t="s">
        <v>60363</v>
      </c>
      <c t="s">
        <v>2517</v>
      </c>
      <c t="s">
        <v>39289</v>
      </c>
      <c>
        <v>33909</v>
      </c>
      <c t="s">
        <v>64046</v>
      </c>
      <c t="s">
        <v>48794</v>
      </c>
      <c t="s">
        <v>60768</v>
      </c>
      <c>
        <v>1201</v>
      </c>
      <c r="AI4992" t="s">
        <v>13085</v>
      </c>
      <c t="s">
        <v>45393</v>
      </c>
      <c r="AL4992" t="s">
        <v>28499</v>
      </c>
      <c r="AN4992" t="s">
        <v>26016</v>
      </c>
      <c t="s">
        <v>1447</v>
      </c>
      <c t="s">
        <v>45980</v>
      </c>
      <c t="s">
        <v>3093</v>
      </c>
      <c t="s">
        <v>23495</v>
      </c>
    </row>
    <row>
      <c t="s">
        <v>17594</v>
      </c>
      <c t="s">
        <v>52437</v>
      </c>
      <c t="s">
        <v>13867</v>
      </c>
      <c t="s">
        <v>43510</v>
      </c>
      <c t="s">
        <v>31224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>
        <v>2021</v>
      </c>
      <c>
        <v>439.89</v>
      </c>
      <c s="1" t="str">
        <f ca="1">HYPERLINK("https://web.datatree.com/?/property?propertyId=33963135", "https://web.datatree.com/?/property?propertyId=33963135")</f>
        <v>https://web.datatree.com/?/property?propertyId=33963135</v>
      </c>
      <c r="Q4993" t="s">
        <v>316</v>
      </c>
      <c>
        <v>0.231</v>
      </c>
      <c t="s">
        <v>5471</v>
      </c>
      <c t="s">
        <v>20693</v>
      </c>
      <c t="s">
        <v>56762</v>
      </c>
      <c t="s">
        <v>15051</v>
      </c>
      <c t="s">
        <v>56762</v>
      </c>
      <c t="s">
        <v>11515</v>
      </c>
      <c t="s">
        <v>43940</v>
      </c>
      <c t="s">
        <v>65059</v>
      </c>
      <c t="s">
        <v>39289</v>
      </c>
      <c>
        <v>33905</v>
      </c>
      <c t="s">
        <v>50453</v>
      </c>
      <c t="s">
        <v>48794</v>
      </c>
      <c t="s">
        <v>31997</v>
      </c>
      <c>
        <v>115</v>
      </c>
      <c r="AI4993" t="s">
        <v>60790</v>
      </c>
      <c t="s">
        <v>24900</v>
      </c>
      <c r="AL4993" t="s">
        <v>43624</v>
      </c>
      <c r="AN4993" t="s">
        <v>50917</v>
      </c>
      <c t="s">
        <v>11667</v>
      </c>
      <c t="s">
        <v>4797</v>
      </c>
      <c t="s">
        <v>3093</v>
      </c>
      <c t="s">
        <v>11139</v>
      </c>
    </row>
    <row>
      <c t="s">
        <v>17594</v>
      </c>
      <c t="s">
        <v>35422</v>
      </c>
      <c t="s">
        <v>15869</v>
      </c>
      <c t="s">
        <v>15405</v>
      </c>
      <c t="s">
        <v>12907</v>
      </c>
      <c s="3">
        <v>24300</v>
      </c>
      <c s="3">
        <v>24300</v>
      </c>
      <c s="3">
        <v>24300</v>
      </c>
      <c>
        <v>0</v>
      </c>
      <c s="3">
        <v>0</v>
      </c>
      <c s="3">
        <v>1509.68</v>
      </c>
      <c s="3">
        <v>24300</v>
      </c>
      <c r="O4994" s="1" t="str">
        <f ca="1">HYPERLINK("https://web.datatree.com/?/property?propertyId=33963763", "https://web.datatree.com/?/property?propertyId=33963763")</f>
        <v>https://web.datatree.com/?/property?propertyId=33963763</v>
      </c>
      <c r="Q4994" t="s">
        <v>316</v>
      </c>
      <c>
        <v>0.903</v>
      </c>
      <c t="s">
        <v>6175</v>
      </c>
      <c t="s">
        <v>44541</v>
      </c>
      <c t="s">
        <v>26428</v>
      </c>
      <c t="s">
        <v>43240</v>
      </c>
      <c t="s">
        <v>26428</v>
      </c>
      <c t="s">
        <v>27344</v>
      </c>
      <c t="s">
        <v>60363</v>
      </c>
      <c t="s">
        <v>2517</v>
      </c>
      <c t="s">
        <v>39289</v>
      </c>
      <c>
        <v>33909</v>
      </c>
      <c t="s">
        <v>17144</v>
      </c>
      <c t="s">
        <v>48794</v>
      </c>
      <c t="s">
        <v>51481</v>
      </c>
      <c>
        <v>1</v>
      </c>
      <c r="AI4994" t="s">
        <v>30269</v>
      </c>
      <c t="s">
        <v>1671</v>
      </c>
      <c r="AL4994" t="s">
        <v>33692</v>
      </c>
      <c t="s">
        <v>33692</v>
      </c>
      <c t="s">
        <v>51087</v>
      </c>
      <c t="s">
        <v>7286</v>
      </c>
      <c t="s">
        <v>60333</v>
      </c>
      <c t="s">
        <v>3093</v>
      </c>
      <c t="s">
        <v>10024</v>
      </c>
    </row>
    <row>
      <c t="s">
        <v>17594</v>
      </c>
      <c t="s">
        <v>65881</v>
      </c>
      <c t="s">
        <v>54114</v>
      </c>
      <c t="s">
        <v>25063</v>
      </c>
      <c t="s">
        <v>49606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4995" s="1" t="str">
        <f ca="1">HYPERLINK("https://web.datatree.com/?/property?propertyId=33964676", "https://web.datatree.com/?/property?propertyId=33964676")</f>
        <v>https://web.datatree.com/?/property?propertyId=33964676</v>
      </c>
      <c r="Q4995" t="s">
        <v>316</v>
      </c>
      <c>
        <v>0.23</v>
      </c>
      <c t="s">
        <v>22490</v>
      </c>
      <c t="s">
        <v>53572</v>
      </c>
      <c t="s">
        <v>48097</v>
      </c>
      <c r="X4995" t="s">
        <v>10643</v>
      </c>
      <c t="s">
        <v>22731</v>
      </c>
      <c t="s">
        <v>2517</v>
      </c>
      <c t="s">
        <v>39289</v>
      </c>
      <c>
        <v>33909</v>
      </c>
      <c t="s">
        <v>45803</v>
      </c>
      <c t="s">
        <v>48794</v>
      </c>
      <c t="s">
        <v>54644</v>
      </c>
      <c r="AL4995" t="s">
        <v>52609</v>
      </c>
      <c r="AN4995" t="s">
        <v>7234</v>
      </c>
      <c>
        <v>0</v>
      </c>
    </row>
    <row>
      <c t="s">
        <v>17594</v>
      </c>
      <c t="s">
        <v>41101</v>
      </c>
      <c t="s">
        <v>1321</v>
      </c>
      <c t="s">
        <v>32</v>
      </c>
      <c t="s">
        <v>10323</v>
      </c>
      <c s="3">
        <v>10600</v>
      </c>
      <c s="3">
        <v>10600</v>
      </c>
      <c s="3">
        <v>9680</v>
      </c>
      <c>
        <v>0</v>
      </c>
      <c s="3">
        <v>0</v>
      </c>
      <c s="3">
        <v>2883.7</v>
      </c>
      <c s="3">
        <v>10600</v>
      </c>
      <c>
        <v>2021</v>
      </c>
      <c>
        <v>3162.16</v>
      </c>
      <c s="1" t="str">
        <f ca="1">HYPERLINK("https://web.datatree.com/?/property?propertyId=33966859", "https://web.datatree.com/?/property?propertyId=33966859")</f>
        <v>https://web.datatree.com/?/property?propertyId=33966859</v>
      </c>
      <c r="Q4996" t="s">
        <v>316</v>
      </c>
      <c>
        <v>0.23</v>
      </c>
      <c t="s">
        <v>6175</v>
      </c>
      <c t="s">
        <v>35355</v>
      </c>
      <c t="s">
        <v>2691</v>
      </c>
      <c r="X4996" t="s">
        <v>11688</v>
      </c>
      <c t="s">
        <v>18679</v>
      </c>
      <c t="s">
        <v>2517</v>
      </c>
      <c t="s">
        <v>39289</v>
      </c>
      <c>
        <v>33909</v>
      </c>
      <c t="s">
        <v>35266</v>
      </c>
      <c t="s">
        <v>48794</v>
      </c>
      <c t="s">
        <v>33601</v>
      </c>
      <c>
        <v>6900</v>
      </c>
      <c r="AI4996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53145</v>
      </c>
      <c t="s">
        <v>47413</v>
      </c>
      <c t="s">
        <v>9538</v>
      </c>
      <c t="s">
        <v>41359</v>
      </c>
      <c s="3">
        <v>26249</v>
      </c>
      <c s="3">
        <v>26249</v>
      </c>
      <c s="3">
        <v>9339</v>
      </c>
      <c>
        <v>0</v>
      </c>
      <c s="3">
        <v>0</v>
      </c>
      <c s="3">
        <v>2880.21</v>
      </c>
      <c s="3">
        <v>26249</v>
      </c>
      <c r="O4997" s="1" t="str">
        <f ca="1">HYPERLINK("https://web.datatree.com/?/property?propertyId=33967387", "https://web.datatree.com/?/property?propertyId=33967387")</f>
        <v>https://web.datatree.com/?/property?propertyId=33967387</v>
      </c>
      <c r="Q4997" t="s">
        <v>316</v>
      </c>
      <c>
        <v>0.23</v>
      </c>
      <c t="s">
        <v>6175</v>
      </c>
      <c t="s">
        <v>39210</v>
      </c>
      <c t="s">
        <v>25083</v>
      </c>
      <c r="X4997" t="s">
        <v>27385</v>
      </c>
      <c t="s">
        <v>53675</v>
      </c>
      <c t="s">
        <v>2517</v>
      </c>
      <c t="s">
        <v>39289</v>
      </c>
      <c>
        <v>33909</v>
      </c>
      <c t="s">
        <v>14492</v>
      </c>
      <c t="s">
        <v>48794</v>
      </c>
      <c t="s">
        <v>51832</v>
      </c>
      <c>
        <v>7740</v>
      </c>
      <c r="AH4997" t="s">
        <v>12549</v>
      </c>
      <c t="s">
        <v>33179</v>
      </c>
      <c t="s">
        <v>24900</v>
      </c>
      <c>
        <v>305</v>
      </c>
      <c t="s">
        <v>21604</v>
      </c>
      <c t="s">
        <v>64666</v>
      </c>
      <c t="s">
        <v>50829</v>
      </c>
      <c t="s">
        <v>5792</v>
      </c>
      <c t="s">
        <v>33029</v>
      </c>
      <c t="s">
        <v>3093</v>
      </c>
      <c t="s">
        <v>33060</v>
      </c>
    </row>
    <row>
      <c t="s">
        <v>17594</v>
      </c>
      <c t="s">
        <v>1695</v>
      </c>
      <c t="s">
        <v>53309</v>
      </c>
      <c t="s">
        <v>62311</v>
      </c>
      <c t="s">
        <v>9156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4998" s="1" t="str">
        <f ca="1">HYPERLINK("https://web.datatree.com/?/property?propertyId=33967764", "https://web.datatree.com/?/property?propertyId=33967764")</f>
        <v>https://web.datatree.com/?/property?propertyId=33967764</v>
      </c>
      <c r="Q4998" t="s">
        <v>316</v>
      </c>
      <c>
        <v>0.23</v>
      </c>
      <c t="s">
        <v>6175</v>
      </c>
      <c t="s">
        <v>42987</v>
      </c>
      <c t="s">
        <v>23850</v>
      </c>
      <c t="s">
        <v>43190</v>
      </c>
      <c t="s">
        <v>23850</v>
      </c>
      <c t="s">
        <v>14537</v>
      </c>
      <c t="s">
        <v>49122</v>
      </c>
      <c t="s">
        <v>2517</v>
      </c>
      <c t="s">
        <v>39289</v>
      </c>
      <c>
        <v>33909</v>
      </c>
      <c t="s">
        <v>15476</v>
      </c>
      <c t="s">
        <v>48794</v>
      </c>
      <c t="s">
        <v>13458</v>
      </c>
      <c>
        <v>55</v>
      </c>
      <c r="AI4998" t="s">
        <v>1385</v>
      </c>
      <c t="s">
        <v>45393</v>
      </c>
      <c r="AL4998" t="s">
        <v>66548</v>
      </c>
      <c r="AN4998" t="s">
        <v>27747</v>
      </c>
      <c t="s">
        <v>24654</v>
      </c>
      <c t="s">
        <v>45980</v>
      </c>
      <c t="s">
        <v>3093</v>
      </c>
      <c t="s">
        <v>31707</v>
      </c>
    </row>
    <row>
      <c t="s">
        <v>17594</v>
      </c>
      <c t="s">
        <v>7616</v>
      </c>
      <c t="s">
        <v>48831</v>
      </c>
      <c t="s">
        <v>63036</v>
      </c>
      <c t="s">
        <v>43009</v>
      </c>
      <c s="3">
        <v>28210</v>
      </c>
      <c s="3">
        <v>28210</v>
      </c>
      <c s="3">
        <v>8712</v>
      </c>
      <c>
        <v>0</v>
      </c>
      <c s="3">
        <v>0</v>
      </c>
      <c s="3">
        <v>2830.55</v>
      </c>
      <c s="3">
        <v>28210</v>
      </c>
      <c r="O4999" s="1" t="str">
        <f ca="1">HYPERLINK("https://web.datatree.com/?/property?propertyId=33967837", "https://web.datatree.com/?/property?propertyId=33967837")</f>
        <v>https://web.datatree.com/?/property?propertyId=33967837</v>
      </c>
      <c r="Q4999" t="s">
        <v>316</v>
      </c>
      <c>
        <v>0.23</v>
      </c>
      <c t="s">
        <v>6175</v>
      </c>
      <c t="s">
        <v>58703</v>
      </c>
      <c t="s">
        <v>28501</v>
      </c>
      <c r="X4999" t="s">
        <v>14543</v>
      </c>
      <c t="s">
        <v>17022</v>
      </c>
      <c t="s">
        <v>2517</v>
      </c>
      <c t="s">
        <v>39289</v>
      </c>
      <c>
        <v>33909</v>
      </c>
      <c t="s">
        <v>48169</v>
      </c>
      <c t="s">
        <v>48794</v>
      </c>
      <c t="s">
        <v>29846</v>
      </c>
      <c>
        <v>5804</v>
      </c>
      <c r="AI4999" t="s">
        <v>31801</v>
      </c>
      <c t="s">
        <v>24900</v>
      </c>
      <c r="AL4999" t="s">
        <v>62149</v>
      </c>
      <c r="AN4999" t="s">
        <v>39289</v>
      </c>
      <c t="s">
        <v>29508</v>
      </c>
      <c t="s">
        <v>48506</v>
      </c>
      <c t="s">
        <v>3093</v>
      </c>
      <c t="s">
        <v>27238</v>
      </c>
    </row>
    <row>
      <c t="s">
        <v>17594</v>
      </c>
      <c t="s">
        <v>23458</v>
      </c>
      <c t="s">
        <v>13025</v>
      </c>
      <c t="s">
        <v>21255</v>
      </c>
      <c t="s">
        <v>733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5000" s="1" t="str">
        <f ca="1">HYPERLINK("https://web.datatree.com/?/property?propertyId=33968446", "https://web.datatree.com/?/property?propertyId=33968446")</f>
        <v>https://web.datatree.com/?/property?propertyId=33968446</v>
      </c>
      <c r="Q5000" t="s">
        <v>316</v>
      </c>
      <c>
        <v>0.23</v>
      </c>
      <c t="s">
        <v>22490</v>
      </c>
      <c t="s">
        <v>36941</v>
      </c>
      <c t="s">
        <v>58184</v>
      </c>
      <c t="s">
        <v>58184</v>
      </c>
      <c t="s">
        <v>5935</v>
      </c>
      <c t="s">
        <v>66669</v>
      </c>
      <c t="s">
        <v>2626</v>
      </c>
      <c t="s">
        <v>2517</v>
      </c>
      <c t="s">
        <v>39289</v>
      </c>
      <c>
        <v>33909</v>
      </c>
      <c t="s">
        <v>13021</v>
      </c>
      <c t="s">
        <v>48794</v>
      </c>
      <c t="s">
        <v>39758</v>
      </c>
      <c>
        <v>114</v>
      </c>
      <c r="AI5000" t="s">
        <v>2906</v>
      </c>
      <c r="AL5000" t="s">
        <v>4061</v>
      </c>
      <c r="AN5000" t="s">
        <v>32840</v>
      </c>
      <c r="AR5000" t="s">
        <v>30293</v>
      </c>
    </row>
    <row>
      <c t="s">
        <v>17594</v>
      </c>
      <c t="s">
        <v>7580</v>
      </c>
      <c t="s">
        <v>39238</v>
      </c>
      <c t="s">
        <v>19183</v>
      </c>
      <c t="s">
        <v>1623</v>
      </c>
      <c s="3">
        <v>54688</v>
      </c>
      <c s="3">
        <v>54688</v>
      </c>
      <c s="3">
        <v>25466</v>
      </c>
      <c>
        <v>0</v>
      </c>
      <c s="3">
        <v>0</v>
      </c>
      <c s="3">
        <v>990.84</v>
      </c>
      <c s="3">
        <v>54688</v>
      </c>
      <c r="O5001" s="1" t="str">
        <f ca="1">HYPERLINK("https://web.datatree.com/?/property?propertyId=33969052", "https://web.datatree.com/?/property?propertyId=33969052")</f>
        <v>https://web.datatree.com/?/property?propertyId=33969052</v>
      </c>
      <c r="Q5001" t="s">
        <v>316</v>
      </c>
      <c>
        <v>0.344</v>
      </c>
      <c t="s">
        <v>6175</v>
      </c>
      <c t="s">
        <v>24692</v>
      </c>
      <c t="s">
        <v>32656</v>
      </c>
      <c r="X5001" t="s">
        <v>55781</v>
      </c>
      <c t="s">
        <v>57064</v>
      </c>
      <c t="s">
        <v>2517</v>
      </c>
      <c t="s">
        <v>39289</v>
      </c>
      <c>
        <v>33904</v>
      </c>
      <c t="s">
        <v>44708</v>
      </c>
      <c t="s">
        <v>48794</v>
      </c>
      <c t="s">
        <v>62391</v>
      </c>
      <c>
        <v>4575</v>
      </c>
      <c r="AI5001" t="s">
        <v>59390</v>
      </c>
      <c t="s">
        <v>45620</v>
      </c>
      <c r="AL5001" t="s">
        <v>36113</v>
      </c>
      <c r="AN5001" t="s">
        <v>50917</v>
      </c>
      <c t="s">
        <v>53253</v>
      </c>
      <c t="s">
        <v>61719</v>
      </c>
      <c t="s">
        <v>3093</v>
      </c>
      <c t="s">
        <v>47593</v>
      </c>
    </row>
    <row>
      <c t="s">
        <v>17594</v>
      </c>
      <c t="s">
        <v>25197</v>
      </c>
      <c t="s">
        <v>38947</v>
      </c>
      <c t="s">
        <v>58550</v>
      </c>
      <c t="s">
        <v>54060</v>
      </c>
      <c s="3">
        <v>27907</v>
      </c>
      <c s="3">
        <v>27907</v>
      </c>
      <c s="3">
        <v>18863</v>
      </c>
      <c>
        <v>0</v>
      </c>
      <c s="3">
        <v>0</v>
      </c>
      <c s="3">
        <v>325</v>
      </c>
      <c s="3">
        <v>27907</v>
      </c>
      <c r="O5002" s="1" t="str">
        <f ca="1">HYPERLINK("https://web.datatree.com/?/property?propertyId=33969445", "https://web.datatree.com/?/property?propertyId=33969445")</f>
        <v>https://web.datatree.com/?/property?propertyId=33969445</v>
      </c>
      <c r="Q5002" t="s">
        <v>316</v>
      </c>
      <c>
        <v>0.248</v>
      </c>
      <c t="s">
        <v>36917</v>
      </c>
      <c t="s">
        <v>14424</v>
      </c>
      <c t="s">
        <v>60377</v>
      </c>
      <c r="X5002" t="s">
        <v>19825</v>
      </c>
      <c t="s">
        <v>21897</v>
      </c>
      <c t="s">
        <v>65059</v>
      </c>
      <c t="s">
        <v>39289</v>
      </c>
      <c>
        <v>33908</v>
      </c>
      <c t="s">
        <v>44626</v>
      </c>
      <c t="s">
        <v>48794</v>
      </c>
      <c t="s">
        <v>66108</v>
      </c>
      <c>
        <v>37</v>
      </c>
      <c r="AI5002" t="s">
        <v>25517</v>
      </c>
      <c r="AL5002" t="s">
        <v>41365</v>
      </c>
      <c r="AN5002" t="s">
        <v>22478</v>
      </c>
      <c r="AR5002" t="s">
        <v>34814</v>
      </c>
    </row>
    <row>
      <c t="s">
        <v>17594</v>
      </c>
      <c t="s">
        <v>6422</v>
      </c>
      <c t="s">
        <v>3154</v>
      </c>
      <c t="s">
        <v>13746</v>
      </c>
      <c t="s">
        <v>4344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>
        <v>2021</v>
      </c>
      <c>
        <v>584.1</v>
      </c>
      <c s="1" t="str">
        <f ca="1">HYPERLINK("https://web.datatree.com/?/property?propertyId=33969720", "https://web.datatree.com/?/property?propertyId=33969720")</f>
        <v>https://web.datatree.com/?/property?propertyId=33969720</v>
      </c>
      <c r="Q5003" t="s">
        <v>316</v>
      </c>
      <c>
        <v>0.23</v>
      </c>
      <c t="s">
        <v>6175</v>
      </c>
      <c t="s">
        <v>44037</v>
      </c>
      <c t="s">
        <v>26601</v>
      </c>
      <c r="X5003" t="s">
        <v>21708</v>
      </c>
      <c t="s">
        <v>53663</v>
      </c>
      <c t="s">
        <v>2517</v>
      </c>
      <c t="s">
        <v>39289</v>
      </c>
      <c>
        <v>33909</v>
      </c>
      <c t="s">
        <v>57342</v>
      </c>
      <c t="s">
        <v>48794</v>
      </c>
      <c t="s">
        <v>25842</v>
      </c>
      <c>
        <v>13440</v>
      </c>
      <c r="AI5003" t="s">
        <v>39949</v>
      </c>
      <c t="s">
        <v>4985</v>
      </c>
      <c r="AL5003" t="s">
        <v>46797</v>
      </c>
      <c r="AN5003" t="s">
        <v>39289</v>
      </c>
      <c t="s">
        <v>47580</v>
      </c>
      <c t="s">
        <v>8434</v>
      </c>
      <c t="s">
        <v>3093</v>
      </c>
      <c t="s">
        <v>45868</v>
      </c>
    </row>
    <row>
      <c t="s">
        <v>17594</v>
      </c>
      <c t="s">
        <v>36073</v>
      </c>
      <c t="s">
        <v>28520</v>
      </c>
      <c t="s">
        <v>29803</v>
      </c>
      <c t="s">
        <v>10576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004" s="1" t="str">
        <f ca="1">HYPERLINK("https://web.datatree.com/?/property?propertyId=33969804", "https://web.datatree.com/?/property?propertyId=33969804")</f>
        <v>https://web.datatree.com/?/property?propertyId=33969804</v>
      </c>
      <c r="Q5004" t="s">
        <v>316</v>
      </c>
      <c>
        <v>0.23</v>
      </c>
      <c t="s">
        <v>6175</v>
      </c>
      <c t="s">
        <v>54926</v>
      </c>
      <c t="s">
        <v>52924</v>
      </c>
      <c r="X5004" t="s">
        <v>40030</v>
      </c>
      <c t="s">
        <v>18679</v>
      </c>
      <c t="s">
        <v>2517</v>
      </c>
      <c t="s">
        <v>39289</v>
      </c>
      <c>
        <v>33909</v>
      </c>
      <c t="s">
        <v>33741</v>
      </c>
      <c t="s">
        <v>48794</v>
      </c>
      <c t="s">
        <v>11825</v>
      </c>
      <c>
        <v>7</v>
      </c>
      <c r="AI5004" t="s">
        <v>12687</v>
      </c>
      <c r="AL5004" t="s">
        <v>9407</v>
      </c>
      <c t="s">
        <v>9407</v>
      </c>
      <c t="s">
        <v>50829</v>
      </c>
      <c>
        <v>56288</v>
      </c>
      <c r="AR5004" t="s">
        <v>9668</v>
      </c>
    </row>
    <row>
      <c t="s">
        <v>17594</v>
      </c>
      <c t="s">
        <v>36682</v>
      </c>
      <c t="s">
        <v>10710</v>
      </c>
      <c t="s">
        <v>11125</v>
      </c>
      <c t="s">
        <v>22255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005" s="1" t="str">
        <f ca="1">HYPERLINK("https://web.datatree.com/?/property?propertyId=33969822", "https://web.datatree.com/?/property?propertyId=33969822")</f>
        <v>https://web.datatree.com/?/property?propertyId=33969822</v>
      </c>
      <c r="Q5005" t="s">
        <v>316</v>
      </c>
      <c>
        <v>0.23</v>
      </c>
      <c t="s">
        <v>6175</v>
      </c>
      <c t="s">
        <v>34513</v>
      </c>
      <c t="s">
        <v>23037</v>
      </c>
      <c t="s">
        <v>15214</v>
      </c>
      <c t="s">
        <v>23037</v>
      </c>
      <c t="s">
        <v>15793</v>
      </c>
      <c t="s">
        <v>39832</v>
      </c>
      <c t="s">
        <v>2517</v>
      </c>
      <c t="s">
        <v>39289</v>
      </c>
      <c>
        <v>33909</v>
      </c>
      <c t="s">
        <v>46338</v>
      </c>
      <c t="s">
        <v>48794</v>
      </c>
      <c t="s">
        <v>7781</v>
      </c>
      <c>
        <v>15217</v>
      </c>
      <c r="AI5005" t="s">
        <v>60327</v>
      </c>
      <c t="s">
        <v>31192</v>
      </c>
      <c r="AL5005" t="s">
        <v>36080</v>
      </c>
      <c r="AN5005" t="s">
        <v>39289</v>
      </c>
      <c t="s">
        <v>28542</v>
      </c>
      <c t="s">
        <v>33856</v>
      </c>
      <c t="s">
        <v>3093</v>
      </c>
      <c t="s">
        <v>4219</v>
      </c>
    </row>
    <row>
      <c t="s">
        <v>17594</v>
      </c>
      <c t="s">
        <v>12719</v>
      </c>
      <c t="s">
        <v>35110</v>
      </c>
      <c t="s">
        <v>20382</v>
      </c>
      <c t="s">
        <v>22126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5006" s="1" t="str">
        <f ca="1">HYPERLINK("https://web.datatree.com/?/property?propertyId=33969829", "https://web.datatree.com/?/property?propertyId=33969829")</f>
        <v>https://web.datatree.com/?/property?propertyId=33969829</v>
      </c>
      <c r="Q5006" t="s">
        <v>316</v>
      </c>
      <c>
        <v>0.23</v>
      </c>
      <c t="s">
        <v>6175</v>
      </c>
      <c t="s">
        <v>14138</v>
      </c>
      <c t="s">
        <v>6416</v>
      </c>
      <c r="X5006" t="s">
        <v>42825</v>
      </c>
      <c t="s">
        <v>22731</v>
      </c>
      <c t="s">
        <v>2517</v>
      </c>
      <c t="s">
        <v>39289</v>
      </c>
      <c>
        <v>33909</v>
      </c>
      <c t="s">
        <v>61220</v>
      </c>
      <c t="s">
        <v>48794</v>
      </c>
      <c t="s">
        <v>11822</v>
      </c>
      <c>
        <v>227</v>
      </c>
      <c r="AI5006" t="s">
        <v>9453</v>
      </c>
      <c t="s">
        <v>24900</v>
      </c>
      <c r="AL5006" t="s">
        <v>61009</v>
      </c>
      <c r="AN5006" t="s">
        <v>26016</v>
      </c>
      <c t="s">
        <v>62601</v>
      </c>
      <c t="s">
        <v>5800</v>
      </c>
      <c t="s">
        <v>3093</v>
      </c>
      <c t="s">
        <v>15227</v>
      </c>
    </row>
    <row>
      <c t="s">
        <v>17594</v>
      </c>
      <c t="s">
        <v>46410</v>
      </c>
      <c t="s">
        <v>29269</v>
      </c>
      <c t="s">
        <v>40371</v>
      </c>
      <c t="s">
        <v>51234</v>
      </c>
      <c s="3">
        <v>17969</v>
      </c>
      <c s="3">
        <v>17969</v>
      </c>
      <c s="3">
        <v>7865</v>
      </c>
      <c>
        <v>0</v>
      </c>
      <c s="3">
        <v>0</v>
      </c>
      <c s="3">
        <v>492.2</v>
      </c>
      <c s="3">
        <v>17969</v>
      </c>
      <c r="O5007" s="1" t="str">
        <f ca="1">HYPERLINK("https://web.datatree.com/?/property?propertyId=33969947", "https://web.datatree.com/?/property?propertyId=33969947")</f>
        <v>https://web.datatree.com/?/property?propertyId=33969947</v>
      </c>
      <c r="Q5007" t="s">
        <v>316</v>
      </c>
      <c>
        <v>0.239</v>
      </c>
      <c t="s">
        <v>6175</v>
      </c>
      <c t="s">
        <v>30996</v>
      </c>
      <c t="s">
        <v>44063</v>
      </c>
      <c r="X5007" t="s">
        <v>47346</v>
      </c>
      <c t="s">
        <v>18679</v>
      </c>
      <c t="s">
        <v>2517</v>
      </c>
      <c t="s">
        <v>39289</v>
      </c>
      <c>
        <v>33909</v>
      </c>
      <c t="s">
        <v>40656</v>
      </c>
      <c t="s">
        <v>48794</v>
      </c>
      <c t="s">
        <v>38278</v>
      </c>
      <c>
        <v>16</v>
      </c>
      <c r="AI5007" t="s">
        <v>40180</v>
      </c>
      <c t="s">
        <v>45393</v>
      </c>
      <c r="AL5007" t="s">
        <v>35875</v>
      </c>
      <c r="AN5007" t="s">
        <v>63985</v>
      </c>
      <c>
        <v>36433</v>
      </c>
      <c r="AQ5007" t="s">
        <v>3093</v>
      </c>
      <c t="s">
        <v>63146</v>
      </c>
    </row>
    <row>
      <c t="s">
        <v>17594</v>
      </c>
      <c t="s">
        <v>45210</v>
      </c>
      <c t="s">
        <v>32377</v>
      </c>
      <c t="s">
        <v>17213</v>
      </c>
      <c t="s">
        <v>64154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008" s="1" t="str">
        <f ca="1">HYPERLINK("https://web.datatree.com/?/property?propertyId=33970163", "https://web.datatree.com/?/property?propertyId=33970163")</f>
        <v>https://web.datatree.com/?/property?propertyId=33970163</v>
      </c>
      <c r="Q5008" t="s">
        <v>316</v>
      </c>
      <c>
        <v>0.23</v>
      </c>
      <c t="s">
        <v>22490</v>
      </c>
      <c t="s">
        <v>44541</v>
      </c>
      <c t="s">
        <v>901</v>
      </c>
      <c r="X5008" t="s">
        <v>57555</v>
      </c>
      <c t="s">
        <v>38550</v>
      </c>
      <c t="s">
        <v>2517</v>
      </c>
      <c t="s">
        <v>39289</v>
      </c>
      <c>
        <v>33909</v>
      </c>
      <c t="s">
        <v>30977</v>
      </c>
      <c t="s">
        <v>48794</v>
      </c>
      <c t="s">
        <v>66804</v>
      </c>
      <c>
        <v>87</v>
      </c>
      <c r="AI5008" t="s">
        <v>57183</v>
      </c>
      <c t="s">
        <v>55842</v>
      </c>
      <c r="AL5008" t="s">
        <v>11327</v>
      </c>
      <c r="AN5008" t="s">
        <v>3034</v>
      </c>
      <c t="s">
        <v>25406</v>
      </c>
      <c t="s">
        <v>22455</v>
      </c>
      <c t="s">
        <v>3093</v>
      </c>
      <c t="s">
        <v>32784</v>
      </c>
    </row>
    <row>
      <c t="s">
        <v>17594</v>
      </c>
      <c t="s">
        <v>35131</v>
      </c>
      <c t="s">
        <v>3956</v>
      </c>
      <c t="s">
        <v>42539</v>
      </c>
      <c t="s">
        <v>52757</v>
      </c>
      <c s="3">
        <v>7700</v>
      </c>
      <c s="3">
        <v>7700</v>
      </c>
      <c s="3">
        <v>7700</v>
      </c>
      <c>
        <v>0</v>
      </c>
      <c s="3">
        <v>0</v>
      </c>
      <c s="3">
        <v>574.97</v>
      </c>
      <c s="3">
        <v>7700</v>
      </c>
      <c r="O5009" s="1" t="str">
        <f ca="1">HYPERLINK("https://web.datatree.com/?/property?propertyId=33970494", "https://web.datatree.com/?/property?propertyId=33970494")</f>
        <v>https://web.datatree.com/?/property?propertyId=33970494</v>
      </c>
      <c r="Q5009" t="s">
        <v>316</v>
      </c>
      <c>
        <v>0.257</v>
      </c>
      <c t="s">
        <v>6175</v>
      </c>
      <c t="s">
        <v>8762</v>
      </c>
      <c t="s">
        <v>39207</v>
      </c>
      <c t="s">
        <v>41917</v>
      </c>
      <c t="s">
        <v>39207</v>
      </c>
      <c t="s">
        <v>16703</v>
      </c>
      <c t="s">
        <v>29190</v>
      </c>
      <c t="s">
        <v>2517</v>
      </c>
      <c t="s">
        <v>39289</v>
      </c>
      <c>
        <v>33909</v>
      </c>
      <c t="s">
        <v>57233</v>
      </c>
      <c t="s">
        <v>48794</v>
      </c>
      <c t="s">
        <v>20711</v>
      </c>
      <c>
        <v>97</v>
      </c>
      <c r="AI5009" t="s">
        <v>62125</v>
      </c>
      <c t="s">
        <v>45620</v>
      </c>
      <c r="AL5009" t="s">
        <v>16338</v>
      </c>
      <c r="AN5009" t="s">
        <v>26016</v>
      </c>
      <c t="s">
        <v>41878</v>
      </c>
      <c t="s">
        <v>26242</v>
      </c>
      <c t="s">
        <v>3093</v>
      </c>
      <c t="s">
        <v>25150</v>
      </c>
    </row>
    <row>
      <c t="s">
        <v>17594</v>
      </c>
      <c t="s">
        <v>49324</v>
      </c>
      <c t="s">
        <v>62792</v>
      </c>
      <c t="s">
        <v>65623</v>
      </c>
      <c t="s">
        <v>37552</v>
      </c>
      <c s="3">
        <v>52640</v>
      </c>
      <c s="3">
        <v>52640</v>
      </c>
      <c s="3">
        <v>12100</v>
      </c>
      <c>
        <v>0</v>
      </c>
      <c s="3">
        <v>0</v>
      </c>
      <c s="3">
        <v>790.85</v>
      </c>
      <c s="3">
        <v>52640</v>
      </c>
      <c r="O5010" s="1" t="str">
        <f ca="1">HYPERLINK("https://web.datatree.com/?/property?propertyId=33971006", "https://web.datatree.com/?/property?propertyId=33971006")</f>
        <v>https://web.datatree.com/?/property?propertyId=33971006</v>
      </c>
      <c r="Q5010" t="s">
        <v>316</v>
      </c>
      <c>
        <v>0.23</v>
      </c>
      <c t="s">
        <v>22490</v>
      </c>
      <c t="s">
        <v>20150</v>
      </c>
      <c t="s">
        <v>55246</v>
      </c>
      <c t="s">
        <v>31139</v>
      </c>
      <c t="s">
        <v>55246</v>
      </c>
      <c t="s">
        <v>28427</v>
      </c>
      <c t="s">
        <v>49122</v>
      </c>
      <c t="s">
        <v>2517</v>
      </c>
      <c t="s">
        <v>39289</v>
      </c>
      <c>
        <v>33909</v>
      </c>
      <c t="s">
        <v>62323</v>
      </c>
      <c t="s">
        <v>48794</v>
      </c>
      <c t="s">
        <v>29001</v>
      </c>
      <c>
        <v>741</v>
      </c>
      <c r="AI5010" t="s">
        <v>65650</v>
      </c>
      <c t="s">
        <v>24900</v>
      </c>
      <c r="AL5010" t="s">
        <v>17921</v>
      </c>
      <c r="AN5010" t="s">
        <v>26016</v>
      </c>
      <c t="s">
        <v>35000</v>
      </c>
      <c t="s">
        <v>45980</v>
      </c>
      <c t="s">
        <v>3093</v>
      </c>
      <c t="s">
        <v>18474</v>
      </c>
    </row>
    <row>
      <c t="s">
        <v>17594</v>
      </c>
      <c t="s">
        <v>7025</v>
      </c>
      <c t="s">
        <v>1034</v>
      </c>
      <c t="s">
        <v>33176</v>
      </c>
      <c t="s">
        <v>65146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011" s="1" t="str">
        <f ca="1">HYPERLINK("https://web.datatree.com/?/property?propertyId=33971997", "https://web.datatree.com/?/property?propertyId=33971997")</f>
        <v>https://web.datatree.com/?/property?propertyId=33971997</v>
      </c>
      <c r="Q5011" t="s">
        <v>316</v>
      </c>
      <c>
        <v>0.23</v>
      </c>
      <c t="s">
        <v>6175</v>
      </c>
      <c t="s">
        <v>2565</v>
      </c>
      <c t="s">
        <v>31683</v>
      </c>
      <c r="X5011" t="s">
        <v>45496</v>
      </c>
      <c t="s">
        <v>61850</v>
      </c>
      <c t="s">
        <v>2517</v>
      </c>
      <c t="s">
        <v>39289</v>
      </c>
      <c>
        <v>33909</v>
      </c>
      <c t="s">
        <v>63940</v>
      </c>
      <c t="s">
        <v>48794</v>
      </c>
      <c t="s">
        <v>37173</v>
      </c>
      <c>
        <v>524</v>
      </c>
      <c r="AI5011" t="s">
        <v>59572</v>
      </c>
      <c t="s">
        <v>45620</v>
      </c>
      <c r="AL5011" t="s">
        <v>38714</v>
      </c>
      <c r="AN5011" t="s">
        <v>26016</v>
      </c>
      <c t="s">
        <v>23234</v>
      </c>
      <c t="s">
        <v>17380</v>
      </c>
      <c t="s">
        <v>3093</v>
      </c>
      <c t="s">
        <v>23548</v>
      </c>
    </row>
    <row>
      <c t="s">
        <v>17594</v>
      </c>
      <c t="s">
        <v>26682</v>
      </c>
      <c t="s">
        <v>60677</v>
      </c>
      <c t="s">
        <v>50937</v>
      </c>
      <c t="s">
        <v>34602</v>
      </c>
      <c s="3">
        <v>113939</v>
      </c>
      <c s="3">
        <v>93500</v>
      </c>
      <c s="3">
        <v>113939</v>
      </c>
      <c>
        <v>0</v>
      </c>
      <c s="3">
        <v>0</v>
      </c>
      <c s="3">
        <v>1710.75</v>
      </c>
      <c s="3">
        <v>113939</v>
      </c>
      <c r="O5012" s="1" t="str">
        <f ca="1">HYPERLINK("https://web.datatree.com/?/property?propertyId=33972255", "https://web.datatree.com/?/property?propertyId=33972255")</f>
        <v>https://web.datatree.com/?/property?propertyId=33972255</v>
      </c>
      <c r="Q5012" t="s">
        <v>316</v>
      </c>
      <c>
        <v>0.095</v>
      </c>
      <c t="s">
        <v>26492</v>
      </c>
      <c t="s">
        <v>50331</v>
      </c>
      <c t="s">
        <v>5100</v>
      </c>
      <c t="s">
        <v>2873</v>
      </c>
      <c t="s">
        <v>49903</v>
      </c>
      <c t="s">
        <v>65336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22412</v>
      </c>
      <c>
        <v>238</v>
      </c>
      <c r="AI5012" t="s">
        <v>46547</v>
      </c>
      <c t="s">
        <v>1671</v>
      </c>
      <c r="AL5012" t="s">
        <v>12111</v>
      </c>
      <c t="s">
        <v>40227</v>
      </c>
      <c t="s">
        <v>22275</v>
      </c>
      <c t="s">
        <v>204</v>
      </c>
      <c t="s">
        <v>57614</v>
      </c>
      <c t="s">
        <v>3093</v>
      </c>
      <c t="s">
        <v>28672</v>
      </c>
    </row>
    <row>
      <c t="s">
        <v>17594</v>
      </c>
      <c t="s">
        <v>47831</v>
      </c>
      <c t="s">
        <v>31160</v>
      </c>
      <c t="s">
        <v>59956</v>
      </c>
      <c t="s">
        <v>47948</v>
      </c>
      <c s="3">
        <v>7600</v>
      </c>
      <c s="3">
        <v>7600</v>
      </c>
      <c s="3">
        <v>7600</v>
      </c>
      <c>
        <v>0</v>
      </c>
      <c s="3">
        <v>0</v>
      </c>
      <c s="3">
        <v>555.27</v>
      </c>
      <c s="3">
        <v>7600</v>
      </c>
      <c r="O5013" s="1" t="str">
        <f ca="1">HYPERLINK("https://web.datatree.com/?/property?propertyId=33973640", "https://web.datatree.com/?/property?propertyId=33973640")</f>
        <v>https://web.datatree.com/?/property?propertyId=33973640</v>
      </c>
      <c r="Q5013" t="s">
        <v>316</v>
      </c>
      <c>
        <v>0.231</v>
      </c>
      <c t="s">
        <v>6175</v>
      </c>
      <c t="s">
        <v>24179</v>
      </c>
      <c t="s">
        <v>24350</v>
      </c>
      <c t="s">
        <v>34344</v>
      </c>
      <c t="s">
        <v>60234</v>
      </c>
      <c t="s">
        <v>22456</v>
      </c>
      <c t="s">
        <v>23517</v>
      </c>
      <c t="s">
        <v>2517</v>
      </c>
      <c t="s">
        <v>39289</v>
      </c>
      <c>
        <v>33909</v>
      </c>
      <c t="s">
        <v>44251</v>
      </c>
      <c t="s">
        <v>48794</v>
      </c>
      <c t="s">
        <v>40006</v>
      </c>
      <c>
        <v>3000</v>
      </c>
      <c r="AI5013" t="s">
        <v>8619</v>
      </c>
      <c t="s">
        <v>20615</v>
      </c>
      <c>
        <v>2</v>
      </c>
      <c t="s">
        <v>8619</v>
      </c>
      <c t="s">
        <v>21676</v>
      </c>
      <c t="s">
        <v>39289</v>
      </c>
      <c t="s">
        <v>4541</v>
      </c>
      <c t="s">
        <v>52393</v>
      </c>
      <c t="s">
        <v>3093</v>
      </c>
      <c t="s">
        <v>56094</v>
      </c>
    </row>
    <row>
      <c t="s">
        <v>17594</v>
      </c>
      <c t="s">
        <v>485</v>
      </c>
      <c t="s">
        <v>2683</v>
      </c>
      <c t="s">
        <v>5224</v>
      </c>
      <c t="s">
        <v>38844</v>
      </c>
      <c s="3">
        <v>20472</v>
      </c>
      <c s="3">
        <v>20472</v>
      </c>
      <c s="3">
        <v>20472</v>
      </c>
      <c>
        <v>0</v>
      </c>
      <c s="3">
        <v>0</v>
      </c>
      <c s="3">
        <v>701.87</v>
      </c>
      <c s="3">
        <v>20472</v>
      </c>
      <c r="O5014" s="1" t="str">
        <f ca="1">HYPERLINK("https://web.datatree.com/?/property?propertyId=33973870", "https://web.datatree.com/?/property?propertyId=33973870")</f>
        <v>https://web.datatree.com/?/property?propertyId=33973870</v>
      </c>
      <c r="Q5014" t="s">
        <v>316</v>
      </c>
      <c>
        <v>0.243</v>
      </c>
      <c t="s">
        <v>45031</v>
      </c>
      <c t="s">
        <v>67023</v>
      </c>
      <c t="s">
        <v>17250</v>
      </c>
      <c r="X5014" t="s">
        <v>11043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7260</v>
      </c>
      <c>
        <v>64</v>
      </c>
      <c r="AI5014" t="s">
        <v>4645</v>
      </c>
      <c t="s">
        <v>45620</v>
      </c>
      <c r="AL5014" t="s">
        <v>17711</v>
      </c>
      <c r="AN5014" t="s">
        <v>10909</v>
      </c>
      <c t="s">
        <v>25581</v>
      </c>
      <c r="AQ5014" t="s">
        <v>27814</v>
      </c>
      <c t="s">
        <v>61260</v>
      </c>
    </row>
    <row>
      <c t="s">
        <v>17594</v>
      </c>
      <c t="s">
        <v>15471</v>
      </c>
      <c t="s">
        <v>17809</v>
      </c>
      <c t="s">
        <v>38667</v>
      </c>
      <c t="s">
        <v>47239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015" s="1" t="str">
        <f ca="1">HYPERLINK("https://web.datatree.com/?/property?propertyId=33975302", "https://web.datatree.com/?/property?propertyId=33975302")</f>
        <v>https://web.datatree.com/?/property?propertyId=33975302</v>
      </c>
      <c r="Q5015" t="s">
        <v>316</v>
      </c>
      <c>
        <v>0.23</v>
      </c>
      <c t="s">
        <v>6175</v>
      </c>
      <c t="s">
        <v>64030</v>
      </c>
      <c t="s">
        <v>17068</v>
      </c>
      <c t="s">
        <v>15138</v>
      </c>
      <c t="s">
        <v>63608</v>
      </c>
      <c t="s">
        <v>5886</v>
      </c>
      <c t="s">
        <v>55273</v>
      </c>
      <c t="s">
        <v>2517</v>
      </c>
      <c t="s">
        <v>39289</v>
      </c>
      <c>
        <v>33909</v>
      </c>
      <c t="s">
        <v>26051</v>
      </c>
      <c t="s">
        <v>48794</v>
      </c>
      <c t="s">
        <v>28579</v>
      </c>
      <c>
        <v>1370</v>
      </c>
      <c r="AI5015" t="s">
        <v>27377</v>
      </c>
      <c t="s">
        <v>1671</v>
      </c>
      <c>
        <v>106</v>
      </c>
      <c t="s">
        <v>11713</v>
      </c>
      <c r="AN5015" t="s">
        <v>39289</v>
      </c>
      <c t="s">
        <v>30179</v>
      </c>
      <c t="s">
        <v>7207</v>
      </c>
      <c t="s">
        <v>3093</v>
      </c>
      <c t="s">
        <v>17127</v>
      </c>
    </row>
    <row>
      <c t="s">
        <v>17594</v>
      </c>
      <c t="s">
        <v>26930</v>
      </c>
      <c t="s">
        <v>21342</v>
      </c>
      <c t="s">
        <v>22094</v>
      </c>
      <c t="s">
        <v>37051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016" s="1" t="str">
        <f ca="1">HYPERLINK("https://web.datatree.com/?/property?propertyId=33975385", "https://web.datatree.com/?/property?propertyId=33975385")</f>
        <v>https://web.datatree.com/?/property?propertyId=33975385</v>
      </c>
      <c r="Q5016" t="s">
        <v>316</v>
      </c>
      <c>
        <v>0.23</v>
      </c>
      <c t="s">
        <v>22490</v>
      </c>
      <c t="s">
        <v>25695</v>
      </c>
      <c t="s">
        <v>5256</v>
      </c>
      <c r="X5016" t="s">
        <v>44316</v>
      </c>
      <c t="s">
        <v>53675</v>
      </c>
      <c t="s">
        <v>2517</v>
      </c>
      <c t="s">
        <v>39289</v>
      </c>
      <c>
        <v>33909</v>
      </c>
      <c t="s">
        <v>262</v>
      </c>
      <c t="s">
        <v>48794</v>
      </c>
      <c t="s">
        <v>38426</v>
      </c>
      <c>
        <v>8</v>
      </c>
      <c r="AI5016" t="s">
        <v>55622</v>
      </c>
      <c t="s">
        <v>45393</v>
      </c>
      <c r="AL5016" t="s">
        <v>10961</v>
      </c>
      <c r="AN5016" t="s">
        <v>63985</v>
      </c>
      <c>
        <v>89269</v>
      </c>
      <c r="AR5016" t="s">
        <v>13454</v>
      </c>
    </row>
    <row>
      <c t="s">
        <v>17594</v>
      </c>
      <c t="s">
        <v>2058</v>
      </c>
      <c t="s">
        <v>65377</v>
      </c>
      <c t="s">
        <v>33821</v>
      </c>
      <c t="s">
        <v>11979</v>
      </c>
      <c s="3">
        <v>21600</v>
      </c>
      <c s="3">
        <v>21600</v>
      </c>
      <c s="3">
        <v>9599</v>
      </c>
      <c>
        <v>0</v>
      </c>
      <c s="3">
        <v>0</v>
      </c>
      <c s="3">
        <v>687.13</v>
      </c>
      <c s="3">
        <v>21600</v>
      </c>
      <c r="O5017" s="1" t="str">
        <f ca="1">HYPERLINK("https://web.datatree.com/?/property?propertyId=33975391", "https://web.datatree.com/?/property?propertyId=33975391")</f>
        <v>https://web.datatree.com/?/property?propertyId=33975391</v>
      </c>
      <c r="Q5017" t="s">
        <v>316</v>
      </c>
      <c>
        <v>0.344</v>
      </c>
      <c t="s">
        <v>6175</v>
      </c>
      <c t="s">
        <v>60972</v>
      </c>
      <c t="s">
        <v>57654</v>
      </c>
      <c t="s">
        <v>50022</v>
      </c>
      <c t="s">
        <v>57654</v>
      </c>
      <c t="s">
        <v>24530</v>
      </c>
      <c t="s">
        <v>66701</v>
      </c>
      <c t="s">
        <v>2517</v>
      </c>
      <c t="s">
        <v>39289</v>
      </c>
      <c>
        <v>33909</v>
      </c>
      <c t="s">
        <v>8676</v>
      </c>
      <c t="s">
        <v>48794</v>
      </c>
      <c t="s">
        <v>5852</v>
      </c>
      <c>
        <v>13614</v>
      </c>
      <c r="AI5017" t="s">
        <v>18679</v>
      </c>
      <c t="s">
        <v>45393</v>
      </c>
      <c r="AL5017" t="s">
        <v>55393</v>
      </c>
      <c r="AN5017" t="s">
        <v>39289</v>
      </c>
      <c t="s">
        <v>64060</v>
      </c>
      <c t="s">
        <v>7361</v>
      </c>
      <c t="s">
        <v>3093</v>
      </c>
      <c t="s">
        <v>36954</v>
      </c>
    </row>
    <row>
      <c t="s">
        <v>17594</v>
      </c>
      <c t="s">
        <v>56573</v>
      </c>
      <c t="s">
        <v>47628</v>
      </c>
      <c t="s">
        <v>44051</v>
      </c>
      <c t="s">
        <v>48818</v>
      </c>
      <c s="3">
        <v>12544</v>
      </c>
      <c s="3">
        <v>12544</v>
      </c>
      <c s="3">
        <v>12544</v>
      </c>
      <c>
        <v>0</v>
      </c>
      <c s="3">
        <v>0</v>
      </c>
      <c s="3">
        <v>363.89</v>
      </c>
      <c s="3">
        <v>12544</v>
      </c>
      <c r="O5018" s="1" t="str">
        <f ca="1">HYPERLINK("https://web.datatree.com/?/property?propertyId=33975840", "https://web.datatree.com/?/property?propertyId=33975840")</f>
        <v>https://web.datatree.com/?/property?propertyId=33975840</v>
      </c>
      <c r="Q5018" t="s">
        <v>316</v>
      </c>
      <c>
        <v>0.227</v>
      </c>
      <c t="s">
        <v>5471</v>
      </c>
      <c t="s">
        <v>32396</v>
      </c>
      <c t="s">
        <v>52336</v>
      </c>
      <c t="s">
        <v>4545</v>
      </c>
      <c t="s">
        <v>52336</v>
      </c>
      <c t="s">
        <v>45962</v>
      </c>
      <c t="s">
        <v>18225</v>
      </c>
      <c t="s">
        <v>65059</v>
      </c>
      <c t="s">
        <v>39289</v>
      </c>
      <c>
        <v>33905</v>
      </c>
      <c t="s">
        <v>1710</v>
      </c>
      <c t="s">
        <v>48794</v>
      </c>
      <c t="s">
        <v>36674</v>
      </c>
      <c>
        <v>584</v>
      </c>
      <c r="AI5018" t="s">
        <v>9410</v>
      </c>
      <c t="s">
        <v>45620</v>
      </c>
      <c r="AL5018" t="s">
        <v>42302</v>
      </c>
      <c t="s">
        <v>42302</v>
      </c>
      <c t="s">
        <v>39289</v>
      </c>
      <c t="s">
        <v>39174</v>
      </c>
      <c t="s">
        <v>6081</v>
      </c>
      <c t="s">
        <v>3093</v>
      </c>
      <c t="s">
        <v>41203</v>
      </c>
    </row>
    <row>
      <c t="s">
        <v>17594</v>
      </c>
      <c t="s">
        <v>34852</v>
      </c>
      <c t="s">
        <v>2979</v>
      </c>
      <c t="s">
        <v>32148</v>
      </c>
      <c t="s">
        <v>66472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019" s="1" t="str">
        <f ca="1">HYPERLINK("https://web.datatree.com/?/property?propertyId=33976153", "https://web.datatree.com/?/property?propertyId=33976153")</f>
        <v>https://web.datatree.com/?/property?propertyId=33976153</v>
      </c>
      <c r="Q5019" t="s">
        <v>316</v>
      </c>
      <c>
        <v>0.23</v>
      </c>
      <c t="s">
        <v>22490</v>
      </c>
      <c t="s">
        <v>33213</v>
      </c>
      <c t="s">
        <v>13824</v>
      </c>
      <c t="s">
        <v>19572</v>
      </c>
      <c t="s">
        <v>13824</v>
      </c>
      <c t="s">
        <v>2163</v>
      </c>
      <c t="s">
        <v>49674</v>
      </c>
      <c t="s">
        <v>2517</v>
      </c>
      <c t="s">
        <v>39289</v>
      </c>
      <c>
        <v>33909</v>
      </c>
      <c t="s">
        <v>49443</v>
      </c>
      <c t="s">
        <v>48794</v>
      </c>
      <c t="s">
        <v>57961</v>
      </c>
      <c>
        <v>2</v>
      </c>
      <c r="AI5019" t="s">
        <v>52758</v>
      </c>
      <c r="AL5019" t="s">
        <v>31439</v>
      </c>
      <c r="AN5019" t="s">
        <v>32840</v>
      </c>
      <c r="AR5019" t="s">
        <v>41909</v>
      </c>
    </row>
    <row>
      <c t="s">
        <v>17594</v>
      </c>
      <c t="s">
        <v>22408</v>
      </c>
      <c t="s">
        <v>25288</v>
      </c>
      <c t="s">
        <v>16930</v>
      </c>
      <c t="s">
        <v>29607</v>
      </c>
      <c s="3">
        <v>55793</v>
      </c>
      <c s="3">
        <v>55793</v>
      </c>
      <c s="3">
        <v>20986</v>
      </c>
      <c>
        <v>0</v>
      </c>
      <c s="3">
        <v>0</v>
      </c>
      <c s="3">
        <v>892.33</v>
      </c>
      <c s="3">
        <v>55793</v>
      </c>
      <c r="O5020" s="1" t="str">
        <f ca="1">HYPERLINK("https://web.datatree.com/?/property?propertyId=33976568", "https://web.datatree.com/?/property?propertyId=33976568")</f>
        <v>https://web.datatree.com/?/property?propertyId=33976568</v>
      </c>
      <c r="Q5020" t="s">
        <v>316</v>
      </c>
      <c>
        <v>0.226</v>
      </c>
      <c t="s">
        <v>6175</v>
      </c>
      <c t="s">
        <v>44457</v>
      </c>
      <c t="s">
        <v>21026</v>
      </c>
      <c r="X5020" t="s">
        <v>27071</v>
      </c>
      <c t="s">
        <v>25854</v>
      </c>
      <c t="s">
        <v>2517</v>
      </c>
      <c t="s">
        <v>39289</v>
      </c>
      <c>
        <v>33904</v>
      </c>
      <c>
        <v>33904</v>
      </c>
      <c t="s">
        <v>48794</v>
      </c>
      <c t="s">
        <v>27511</v>
      </c>
      <c>
        <v>510</v>
      </c>
      <c r="AI5020" t="s">
        <v>63913</v>
      </c>
      <c t="s">
        <v>24900</v>
      </c>
      <c t="s">
        <v>46958</v>
      </c>
      <c t="s">
        <v>44071</v>
      </c>
      <c r="AN5020" t="s">
        <v>50917</v>
      </c>
      <c t="s">
        <v>60597</v>
      </c>
      <c t="s">
        <v>49842</v>
      </c>
      <c t="s">
        <v>3093</v>
      </c>
      <c t="s">
        <v>11631</v>
      </c>
    </row>
    <row>
      <c t="s">
        <v>17594</v>
      </c>
      <c t="s">
        <v>8326</v>
      </c>
      <c t="s">
        <v>32590</v>
      </c>
      <c t="s">
        <v>18854</v>
      </c>
      <c t="s">
        <v>63524</v>
      </c>
      <c s="3">
        <v>117890</v>
      </c>
      <c s="3">
        <v>100000</v>
      </c>
      <c s="3">
        <v>117890</v>
      </c>
      <c>
        <v>0</v>
      </c>
      <c s="3">
        <v>0</v>
      </c>
      <c s="3">
        <v>1769.91</v>
      </c>
      <c s="3">
        <v>117890</v>
      </c>
      <c r="O5021" s="1" t="str">
        <f ca="1">HYPERLINK("https://web.datatree.com/?/property?propertyId=33976790", "https://web.datatree.com/?/property?propertyId=33976790")</f>
        <v>https://web.datatree.com/?/property?propertyId=33976790</v>
      </c>
      <c r="Q5021" t="s">
        <v>316</v>
      </c>
      <c>
        <v>0.114</v>
      </c>
      <c t="s">
        <v>26492</v>
      </c>
      <c r="U5021" t="s">
        <v>52862</v>
      </c>
      <c t="s">
        <v>10419</v>
      </c>
      <c t="s">
        <v>19394</v>
      </c>
      <c t="s">
        <v>25922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19073</v>
      </c>
      <c>
        <v>37922</v>
      </c>
      <c r="AI5021" t="s">
        <v>26710</v>
      </c>
      <c t="s">
        <v>45620</v>
      </c>
      <c>
        <v>73</v>
      </c>
      <c t="s">
        <v>46821</v>
      </c>
      <c t="s">
        <v>40227</v>
      </c>
      <c t="s">
        <v>63985</v>
      </c>
      <c t="s">
        <v>15785</v>
      </c>
      <c t="s">
        <v>62713</v>
      </c>
      <c t="s">
        <v>3093</v>
      </c>
      <c t="s">
        <v>52921</v>
      </c>
      <c>
        <v>2005</v>
      </c>
    </row>
    <row>
      <c t="s">
        <v>17594</v>
      </c>
      <c t="s">
        <v>16684</v>
      </c>
      <c t="s">
        <v>34958</v>
      </c>
      <c t="s">
        <v>14091</v>
      </c>
      <c t="s">
        <v>22566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022" s="1" t="str">
        <f ca="1">HYPERLINK("https://web.datatree.com/?/property?propertyId=33977129", "https://web.datatree.com/?/property?propertyId=33977129")</f>
        <v>https://web.datatree.com/?/property?propertyId=33977129</v>
      </c>
      <c r="Q5022" t="s">
        <v>316</v>
      </c>
      <c>
        <v>0.23</v>
      </c>
      <c t="s">
        <v>22490</v>
      </c>
      <c t="s">
        <v>2140</v>
      </c>
      <c t="s">
        <v>62273</v>
      </c>
      <c t="s">
        <v>64649</v>
      </c>
      <c t="s">
        <v>62273</v>
      </c>
      <c t="s">
        <v>12548</v>
      </c>
      <c t="s">
        <v>38550</v>
      </c>
      <c t="s">
        <v>2517</v>
      </c>
      <c t="s">
        <v>39289</v>
      </c>
      <c>
        <v>33909</v>
      </c>
      <c t="s">
        <v>32369</v>
      </c>
      <c t="s">
        <v>48794</v>
      </c>
      <c t="s">
        <v>4327</v>
      </c>
      <c>
        <v>11610</v>
      </c>
      <c r="AH5022" t="s">
        <v>26580</v>
      </c>
      <c t="s">
        <v>58797</v>
      </c>
      <c t="s">
        <v>24900</v>
      </c>
      <c r="AL5022" t="s">
        <v>21604</v>
      </c>
      <c t="s">
        <v>33911</v>
      </c>
      <c t="s">
        <v>50829</v>
      </c>
      <c t="s">
        <v>20550</v>
      </c>
      <c t="s">
        <v>33029</v>
      </c>
      <c t="s">
        <v>3093</v>
      </c>
      <c t="s">
        <v>45373</v>
      </c>
    </row>
    <row>
      <c t="s">
        <v>17594</v>
      </c>
      <c t="s">
        <v>60579</v>
      </c>
      <c t="s">
        <v>29997</v>
      </c>
      <c t="s">
        <v>54635</v>
      </c>
      <c t="s">
        <v>2621</v>
      </c>
      <c s="3">
        <v>12544</v>
      </c>
      <c s="3">
        <v>12544</v>
      </c>
      <c s="3">
        <v>4972</v>
      </c>
      <c>
        <v>0</v>
      </c>
      <c s="3">
        <v>0</v>
      </c>
      <c s="3">
        <v>332.27</v>
      </c>
      <c s="3">
        <v>12544</v>
      </c>
      <c r="O5023" s="1" t="str">
        <f ca="1">HYPERLINK("https://web.datatree.com/?/property?propertyId=33977196", "https://web.datatree.com/?/property?propertyId=33977196")</f>
        <v>https://web.datatree.com/?/property?propertyId=33977196</v>
      </c>
      <c r="Q5023" t="s">
        <v>316</v>
      </c>
      <c>
        <v>0.362</v>
      </c>
      <c t="s">
        <v>5471</v>
      </c>
      <c r="U5023" t="s">
        <v>19898</v>
      </c>
      <c r="W5023" t="s">
        <v>20324</v>
      </c>
      <c t="s">
        <v>66623</v>
      </c>
      <c t="s">
        <v>65695</v>
      </c>
      <c t="s">
        <v>65059</v>
      </c>
      <c t="s">
        <v>39289</v>
      </c>
      <c>
        <v>33905</v>
      </c>
      <c t="s">
        <v>27220</v>
      </c>
      <c t="s">
        <v>48794</v>
      </c>
      <c t="s">
        <v>51987</v>
      </c>
      <c>
        <v>1359</v>
      </c>
      <c r="AH5023" t="s">
        <v>57851</v>
      </c>
      <c t="s">
        <v>39082</v>
      </c>
      <c t="s">
        <v>45393</v>
      </c>
      <c r="AL5023" t="s">
        <v>977</v>
      </c>
      <c t="s">
        <v>977</v>
      </c>
      <c t="s">
        <v>50829</v>
      </c>
      <c t="s">
        <v>21866</v>
      </c>
      <c t="s">
        <v>12241</v>
      </c>
      <c t="s">
        <v>3093</v>
      </c>
      <c t="s">
        <v>59485</v>
      </c>
    </row>
    <row>
      <c t="s">
        <v>17594</v>
      </c>
      <c t="s">
        <v>21240</v>
      </c>
      <c t="s">
        <v>14770</v>
      </c>
      <c t="s">
        <v>29202</v>
      </c>
      <c t="s">
        <v>47154</v>
      </c>
      <c s="3">
        <v>12544</v>
      </c>
      <c s="3">
        <v>12544</v>
      </c>
      <c s="3">
        <v>4972</v>
      </c>
      <c>
        <v>0</v>
      </c>
      <c s="3">
        <v>0</v>
      </c>
      <c s="3">
        <v>328.37</v>
      </c>
      <c s="3">
        <v>12544</v>
      </c>
      <c r="O5024" s="1" t="str">
        <f ca="1">HYPERLINK("https://web.datatree.com/?/property?propertyId=33977400", "https://web.datatree.com/?/property?propertyId=33977400")</f>
        <v>https://web.datatree.com/?/property?propertyId=33977400</v>
      </c>
      <c r="Q5024" t="s">
        <v>316</v>
      </c>
      <c>
        <v>0.334</v>
      </c>
      <c t="s">
        <v>5471</v>
      </c>
      <c t="s">
        <v>16100</v>
      </c>
      <c t="s">
        <v>31768</v>
      </c>
      <c r="W5024" t="s">
        <v>53439</v>
      </c>
      <c t="s">
        <v>32764</v>
      </c>
      <c t="s">
        <v>39098</v>
      </c>
      <c t="s">
        <v>65059</v>
      </c>
      <c t="s">
        <v>39289</v>
      </c>
      <c>
        <v>33905</v>
      </c>
      <c>
        <v>33905</v>
      </c>
      <c t="s">
        <v>48794</v>
      </c>
      <c t="s">
        <v>1729</v>
      </c>
      <c>
        <v>26</v>
      </c>
      <c r="AI5024" t="s">
        <v>764</v>
      </c>
      <c t="s">
        <v>45393</v>
      </c>
      <c r="AL5024" t="s">
        <v>59701</v>
      </c>
      <c t="s">
        <v>59701</v>
      </c>
      <c t="s">
        <v>50917</v>
      </c>
      <c t="s">
        <v>29824</v>
      </c>
      <c t="s">
        <v>61719</v>
      </c>
      <c t="s">
        <v>3093</v>
      </c>
      <c t="s">
        <v>36478</v>
      </c>
    </row>
    <row>
      <c t="s">
        <v>17594</v>
      </c>
      <c t="s">
        <v>3444</v>
      </c>
      <c t="s">
        <v>56868</v>
      </c>
      <c t="s">
        <v>16359</v>
      </c>
      <c t="s">
        <v>49935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5025" s="1" t="str">
        <f ca="1">HYPERLINK("https://web.datatree.com/?/property?propertyId=33977515", "https://web.datatree.com/?/property?propertyId=33977515")</f>
        <v>https://web.datatree.com/?/property?propertyId=33977515</v>
      </c>
      <c r="Q5025" t="s">
        <v>316</v>
      </c>
      <c>
        <v>0.23</v>
      </c>
      <c t="s">
        <v>22490</v>
      </c>
      <c t="s">
        <v>5345</v>
      </c>
      <c t="s">
        <v>50666</v>
      </c>
      <c r="X5025" t="s">
        <v>4770</v>
      </c>
      <c t="s">
        <v>29190</v>
      </c>
      <c t="s">
        <v>2517</v>
      </c>
      <c t="s">
        <v>39289</v>
      </c>
      <c>
        <v>33909</v>
      </c>
      <c t="s">
        <v>57204</v>
      </c>
      <c t="s">
        <v>48794</v>
      </c>
      <c t="s">
        <v>60430</v>
      </c>
      <c>
        <v>17618</v>
      </c>
      <c r="AI5025" t="s">
        <v>47715</v>
      </c>
      <c t="s">
        <v>24900</v>
      </c>
      <c r="AL5025" t="s">
        <v>56013</v>
      </c>
      <c t="s">
        <v>56013</v>
      </c>
      <c t="s">
        <v>65451</v>
      </c>
      <c t="s">
        <v>23126</v>
      </c>
      <c t="s">
        <v>51249</v>
      </c>
      <c t="s">
        <v>3093</v>
      </c>
      <c t="s">
        <v>54718</v>
      </c>
    </row>
    <row>
      <c t="s">
        <v>17594</v>
      </c>
      <c t="s">
        <v>64134</v>
      </c>
      <c t="s">
        <v>40105</v>
      </c>
      <c t="s">
        <v>49330</v>
      </c>
      <c t="s">
        <v>30128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026" s="1" t="str">
        <f ca="1">HYPERLINK("https://web.datatree.com/?/property?propertyId=33977593", "https://web.datatree.com/?/property?propertyId=33977593")</f>
        <v>https://web.datatree.com/?/property?propertyId=33977593</v>
      </c>
      <c r="Q5026" t="s">
        <v>316</v>
      </c>
      <c>
        <v>0.23</v>
      </c>
      <c t="s">
        <v>22490</v>
      </c>
      <c t="s">
        <v>26624</v>
      </c>
      <c t="s">
        <v>12369</v>
      </c>
      <c r="X5026" t="s">
        <v>47049</v>
      </c>
      <c t="s">
        <v>18679</v>
      </c>
      <c t="s">
        <v>2517</v>
      </c>
      <c t="s">
        <v>39289</v>
      </c>
      <c>
        <v>33909</v>
      </c>
      <c t="s">
        <v>20302</v>
      </c>
      <c t="s">
        <v>48794</v>
      </c>
      <c t="s">
        <v>9609</v>
      </c>
      <c>
        <v>1656</v>
      </c>
      <c r="AI5026" t="s">
        <v>38452</v>
      </c>
      <c r="AL5026" t="s">
        <v>46558</v>
      </c>
      <c r="AN5026" t="s">
        <v>32840</v>
      </c>
      <c r="AR5026" t="s">
        <v>54013</v>
      </c>
    </row>
    <row>
      <c t="s">
        <v>17594</v>
      </c>
      <c t="s">
        <v>18583</v>
      </c>
      <c t="s">
        <v>48845</v>
      </c>
      <c t="s">
        <v>48040</v>
      </c>
      <c t="s">
        <v>59972</v>
      </c>
      <c s="3">
        <v>47435</v>
      </c>
      <c s="3">
        <v>47435</v>
      </c>
      <c s="3">
        <v>47435</v>
      </c>
      <c>
        <v>0</v>
      </c>
      <c s="3">
        <v>0</v>
      </c>
      <c s="3">
        <v>1373.27</v>
      </c>
      <c s="3">
        <v>47435</v>
      </c>
      <c r="O5027" s="1" t="str">
        <f ca="1">HYPERLINK("https://web.datatree.com/?/property?propertyId=33977646", "https://web.datatree.com/?/property?propertyId=33977646")</f>
        <v>https://web.datatree.com/?/property?propertyId=33977646</v>
      </c>
      <c r="Q5027" t="s">
        <v>316</v>
      </c>
      <c>
        <v>0.362</v>
      </c>
      <c t="s">
        <v>22490</v>
      </c>
      <c t="s">
        <v>26200</v>
      </c>
      <c t="s">
        <v>32949</v>
      </c>
      <c t="s">
        <v>7110</v>
      </c>
      <c t="s">
        <v>32949</v>
      </c>
      <c t="s">
        <v>23174</v>
      </c>
      <c t="s">
        <v>33179</v>
      </c>
      <c t="s">
        <v>2517</v>
      </c>
      <c t="s">
        <v>39289</v>
      </c>
      <c>
        <v>33909</v>
      </c>
      <c t="s">
        <v>65023</v>
      </c>
      <c t="s">
        <v>48794</v>
      </c>
      <c t="s">
        <v>17377</v>
      </c>
      <c>
        <v>4546</v>
      </c>
      <c r="AI5027" t="s">
        <v>437</v>
      </c>
      <c t="s">
        <v>55842</v>
      </c>
      <c r="AL5027" t="s">
        <v>42704</v>
      </c>
      <c t="s">
        <v>42704</v>
      </c>
      <c t="s">
        <v>47028</v>
      </c>
      <c t="s">
        <v>59164</v>
      </c>
      <c t="s">
        <v>38085</v>
      </c>
      <c t="s">
        <v>3093</v>
      </c>
      <c t="s">
        <v>22339</v>
      </c>
    </row>
    <row>
      <c t="s">
        <v>17594</v>
      </c>
      <c t="s">
        <v>21609</v>
      </c>
      <c t="s">
        <v>42390</v>
      </c>
      <c t="s">
        <v>6758</v>
      </c>
      <c t="s">
        <v>49073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028" s="1" t="str">
        <f ca="1">HYPERLINK("https://web.datatree.com/?/property?propertyId=33977804", "https://web.datatree.com/?/property?propertyId=33977804")</f>
        <v>https://web.datatree.com/?/property?propertyId=33977804</v>
      </c>
      <c r="Q5028" t="s">
        <v>316</v>
      </c>
      <c>
        <v>0.23</v>
      </c>
      <c t="s">
        <v>6175</v>
      </c>
      <c t="s">
        <v>43773</v>
      </c>
      <c t="s">
        <v>12245</v>
      </c>
      <c t="s">
        <v>5527</v>
      </c>
      <c t="s">
        <v>12245</v>
      </c>
      <c t="s">
        <v>30624</v>
      </c>
      <c t="s">
        <v>25017</v>
      </c>
      <c t="s">
        <v>2517</v>
      </c>
      <c t="s">
        <v>39289</v>
      </c>
      <c>
        <v>33909</v>
      </c>
      <c t="s">
        <v>4057</v>
      </c>
      <c t="s">
        <v>48794</v>
      </c>
      <c t="s">
        <v>42068</v>
      </c>
      <c>
        <v>1140</v>
      </c>
      <c r="AH5028" t="s">
        <v>57851</v>
      </c>
      <c t="s">
        <v>61294</v>
      </c>
      <c t="s">
        <v>45620</v>
      </c>
      <c r="AL5028" t="s">
        <v>59060</v>
      </c>
      <c r="AN5028" t="s">
        <v>10909</v>
      </c>
      <c t="s">
        <v>38038</v>
      </c>
      <c r="AQ5028" t="s">
        <v>27814</v>
      </c>
      <c t="s">
        <v>43674</v>
      </c>
    </row>
    <row>
      <c t="s">
        <v>17594</v>
      </c>
      <c t="s">
        <v>47898</v>
      </c>
      <c t="s">
        <v>27575</v>
      </c>
      <c t="s">
        <v>60730</v>
      </c>
      <c t="s">
        <v>59580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5029" s="1" t="str">
        <f ca="1">HYPERLINK("https://web.datatree.com/?/property?propertyId=33979132", "https://web.datatree.com/?/property?propertyId=33979132")</f>
        <v>https://web.datatree.com/?/property?propertyId=33979132</v>
      </c>
      <c r="Q5029" t="s">
        <v>316</v>
      </c>
      <c>
        <v>0.23</v>
      </c>
      <c t="s">
        <v>6175</v>
      </c>
      <c t="s">
        <v>47754</v>
      </c>
      <c t="s">
        <v>34665</v>
      </c>
      <c t="s">
        <v>51891</v>
      </c>
      <c t="s">
        <v>24112</v>
      </c>
      <c t="s">
        <v>64179</v>
      </c>
      <c t="s">
        <v>50440</v>
      </c>
      <c t="s">
        <v>2517</v>
      </c>
      <c t="s">
        <v>39289</v>
      </c>
      <c>
        <v>33909</v>
      </c>
      <c t="s">
        <v>4817</v>
      </c>
      <c t="s">
        <v>48794</v>
      </c>
      <c t="s">
        <v>52630</v>
      </c>
      <c>
        <v>92</v>
      </c>
      <c r="AI5029" t="s">
        <v>59060</v>
      </c>
      <c t="s">
        <v>45393</v>
      </c>
      <c r="AL5029" t="s">
        <v>22662</v>
      </c>
      <c r="AN5029" t="s">
        <v>26016</v>
      </c>
      <c t="s">
        <v>7366</v>
      </c>
      <c t="s">
        <v>27780</v>
      </c>
      <c t="s">
        <v>3093</v>
      </c>
      <c t="s">
        <v>24672</v>
      </c>
    </row>
    <row>
      <c t="s">
        <v>17594</v>
      </c>
      <c t="s">
        <v>33973</v>
      </c>
      <c t="s">
        <v>42171</v>
      </c>
      <c t="s">
        <v>47201</v>
      </c>
      <c t="s">
        <v>60177</v>
      </c>
      <c s="3">
        <v>25947</v>
      </c>
      <c s="3">
        <v>25947</v>
      </c>
      <c s="3">
        <v>25947</v>
      </c>
      <c>
        <v>0</v>
      </c>
      <c s="3">
        <v>0</v>
      </c>
      <c s="3">
        <v>809.95</v>
      </c>
      <c s="3">
        <v>25947</v>
      </c>
      <c r="O5030" s="1" t="str">
        <f ca="1">HYPERLINK("https://web.datatree.com/?/property?propertyId=33979173", "https://web.datatree.com/?/property?propertyId=33979173")</f>
        <v>https://web.datatree.com/?/property?propertyId=33979173</v>
      </c>
      <c r="Q5030" t="s">
        <v>316</v>
      </c>
      <c>
        <v>0.266</v>
      </c>
      <c t="s">
        <v>22490</v>
      </c>
      <c t="s">
        <v>31497</v>
      </c>
      <c t="s">
        <v>40088</v>
      </c>
      <c r="X5030" t="s">
        <v>11432</v>
      </c>
      <c t="s">
        <v>371</v>
      </c>
      <c t="s">
        <v>2517</v>
      </c>
      <c t="s">
        <v>39289</v>
      </c>
      <c>
        <v>33909</v>
      </c>
      <c t="s">
        <v>1610</v>
      </c>
      <c t="s">
        <v>48794</v>
      </c>
      <c t="s">
        <v>67006</v>
      </c>
      <c>
        <v>2313</v>
      </c>
      <c r="AI5030" t="s">
        <v>45204</v>
      </c>
      <c t="s">
        <v>835</v>
      </c>
      <c r="AL5030" t="s">
        <v>45994</v>
      </c>
      <c t="s">
        <v>45994</v>
      </c>
      <c t="s">
        <v>51087</v>
      </c>
      <c t="s">
        <v>2810</v>
      </c>
      <c t="s">
        <v>35508</v>
      </c>
      <c t="s">
        <v>3093</v>
      </c>
      <c t="s">
        <v>38375</v>
      </c>
    </row>
    <row>
      <c t="s">
        <v>17594</v>
      </c>
      <c t="s">
        <v>39817</v>
      </c>
      <c t="s">
        <v>10088</v>
      </c>
      <c t="s">
        <v>55904</v>
      </c>
      <c t="s">
        <v>63236</v>
      </c>
      <c s="3">
        <v>7965</v>
      </c>
      <c s="3">
        <v>7965</v>
      </c>
      <c s="3">
        <v>7700</v>
      </c>
      <c>
        <v>0</v>
      </c>
      <c s="3">
        <v>0</v>
      </c>
      <c s="3">
        <v>124.46</v>
      </c>
      <c s="3">
        <v>7965</v>
      </c>
      <c r="O5031" s="1" t="str">
        <f ca="1">HYPERLINK("https://web.datatree.com/?/property?propertyId=33979178", "https://web.datatree.com/?/property?propertyId=33979178")</f>
        <v>https://web.datatree.com/?/property?propertyId=33979178</v>
      </c>
      <c r="Q5031" t="s">
        <v>316</v>
      </c>
      <c>
        <v>0.113</v>
      </c>
      <c t="s">
        <v>5471</v>
      </c>
      <c t="s">
        <v>11199</v>
      </c>
      <c t="s">
        <v>64859</v>
      </c>
      <c r="X5031" t="s">
        <v>54312</v>
      </c>
      <c t="s">
        <v>55279</v>
      </c>
      <c t="s">
        <v>54524</v>
      </c>
      <c t="s">
        <v>39289</v>
      </c>
      <c>
        <v>33903</v>
      </c>
      <c t="s">
        <v>1492</v>
      </c>
      <c t="s">
        <v>48794</v>
      </c>
      <c t="s">
        <v>9904</v>
      </c>
      <c>
        <v>1431</v>
      </c>
      <c r="AI5031" t="s">
        <v>48242</v>
      </c>
      <c t="s">
        <v>45620</v>
      </c>
      <c>
        <v>924</v>
      </c>
      <c t="s">
        <v>30745</v>
      </c>
      <c t="s">
        <v>30745</v>
      </c>
      <c t="s">
        <v>39289</v>
      </c>
      <c t="s">
        <v>32288</v>
      </c>
      <c t="s">
        <v>58410</v>
      </c>
      <c t="s">
        <v>3093</v>
      </c>
      <c t="s">
        <v>65337</v>
      </c>
    </row>
    <row>
      <c t="s">
        <v>17594</v>
      </c>
      <c t="s">
        <v>43723</v>
      </c>
      <c t="s">
        <v>6448</v>
      </c>
      <c t="s">
        <v>6066</v>
      </c>
      <c t="s">
        <v>25180</v>
      </c>
      <c s="3">
        <v>96485</v>
      </c>
      <c s="3">
        <v>86250</v>
      </c>
      <c s="3">
        <v>82672</v>
      </c>
      <c>
        <v>0</v>
      </c>
      <c s="3">
        <v>0</v>
      </c>
      <c s="3">
        <v>1319.39</v>
      </c>
      <c s="3">
        <v>96485</v>
      </c>
      <c r="O5032" s="1" t="str">
        <f ca="1">HYPERLINK("https://web.datatree.com/?/property?propertyId=33979707", "https://web.datatree.com/?/property?propertyId=33979707")</f>
        <v>https://web.datatree.com/?/property?propertyId=33979707</v>
      </c>
      <c r="Q5032" t="s">
        <v>316</v>
      </c>
      <c>
        <v>0.111</v>
      </c>
      <c t="s">
        <v>26492</v>
      </c>
      <c t="s">
        <v>44541</v>
      </c>
      <c t="s">
        <v>27628</v>
      </c>
      <c t="s">
        <v>1904</v>
      </c>
      <c t="s">
        <v>27628</v>
      </c>
      <c t="s">
        <v>60310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38625</v>
      </c>
      <c>
        <v>7</v>
      </c>
      <c r="AI5032" t="s">
        <v>43983</v>
      </c>
      <c t="s">
        <v>835</v>
      </c>
      <c r="AL5032" t="s">
        <v>49624</v>
      </c>
      <c t="s">
        <v>40227</v>
      </c>
      <c t="s">
        <v>27747</v>
      </c>
      <c t="s">
        <v>62882</v>
      </c>
      <c t="s">
        <v>22152</v>
      </c>
      <c t="s">
        <v>3093</v>
      </c>
      <c t="s">
        <v>46188</v>
      </c>
    </row>
    <row>
      <c t="s">
        <v>17594</v>
      </c>
      <c t="s">
        <v>12566</v>
      </c>
      <c t="s">
        <v>50903</v>
      </c>
      <c t="s">
        <v>2437</v>
      </c>
      <c t="s">
        <v>17822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5033" s="1" t="str">
        <f ca="1">HYPERLINK("https://web.datatree.com/?/property?propertyId=33979855", "https://web.datatree.com/?/property?propertyId=33979855")</f>
        <v>https://web.datatree.com/?/property?propertyId=33979855</v>
      </c>
      <c r="Q5033" t="s">
        <v>316</v>
      </c>
      <c>
        <v>0.23</v>
      </c>
      <c t="s">
        <v>22490</v>
      </c>
      <c t="s">
        <v>11805</v>
      </c>
      <c t="s">
        <v>47170</v>
      </c>
      <c r="X5033" t="s">
        <v>21462</v>
      </c>
      <c t="s">
        <v>66701</v>
      </c>
      <c t="s">
        <v>2517</v>
      </c>
      <c t="s">
        <v>39289</v>
      </c>
      <c>
        <v>33909</v>
      </c>
      <c t="s">
        <v>3538</v>
      </c>
      <c t="s">
        <v>48794</v>
      </c>
      <c t="s">
        <v>20622</v>
      </c>
      <c r="AI5033" t="s">
        <v>8213</v>
      </c>
      <c r="AL5033" t="s">
        <v>62902</v>
      </c>
      <c r="AN5033" t="s">
        <v>63985</v>
      </c>
      <c>
        <v>40549</v>
      </c>
      <c r="AR5033" t="s">
        <v>22920</v>
      </c>
    </row>
    <row>
      <c t="s">
        <v>17594</v>
      </c>
      <c t="s">
        <v>36932</v>
      </c>
      <c t="s">
        <v>39215</v>
      </c>
      <c t="s">
        <v>15632</v>
      </c>
      <c t="s">
        <v>10224</v>
      </c>
      <c s="3">
        <v>21045</v>
      </c>
      <c s="3">
        <v>21045</v>
      </c>
      <c s="3">
        <v>8800</v>
      </c>
      <c>
        <v>0</v>
      </c>
      <c s="3">
        <v>0</v>
      </c>
      <c s="3">
        <v>598.34</v>
      </c>
      <c s="3">
        <v>21045</v>
      </c>
      <c r="O5034" s="1" t="str">
        <f ca="1">HYPERLINK("https://web.datatree.com/?/property?propertyId=33979927", "https://web.datatree.com/?/property?propertyId=33979927")</f>
        <v>https://web.datatree.com/?/property?propertyId=33979927</v>
      </c>
      <c r="Q5034" t="s">
        <v>316</v>
      </c>
      <c>
        <v>0.244</v>
      </c>
      <c t="s">
        <v>22490</v>
      </c>
      <c t="s">
        <v>46578</v>
      </c>
      <c t="s">
        <v>56113</v>
      </c>
      <c r="X5034" t="s">
        <v>64648</v>
      </c>
      <c t="s">
        <v>49122</v>
      </c>
      <c t="s">
        <v>2517</v>
      </c>
      <c t="s">
        <v>39289</v>
      </c>
      <c>
        <v>33909</v>
      </c>
      <c t="s">
        <v>56107</v>
      </c>
      <c t="s">
        <v>48794</v>
      </c>
      <c t="s">
        <v>1047</v>
      </c>
      <c>
        <v>552</v>
      </c>
      <c r="AI5034" t="s">
        <v>59060</v>
      </c>
      <c t="s">
        <v>31192</v>
      </c>
      <c r="AL5034" t="s">
        <v>3560</v>
      </c>
      <c r="AN5034" t="s">
        <v>26016</v>
      </c>
      <c t="s">
        <v>36848</v>
      </c>
      <c t="s">
        <v>49977</v>
      </c>
      <c t="s">
        <v>3093</v>
      </c>
      <c t="s">
        <v>34666</v>
      </c>
    </row>
    <row>
      <c t="s">
        <v>17594</v>
      </c>
      <c t="s">
        <v>42769</v>
      </c>
      <c t="s">
        <v>39648</v>
      </c>
      <c t="s">
        <v>27993</v>
      </c>
      <c t="s">
        <v>38354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5035" s="1" t="str">
        <f ca="1">HYPERLINK("https://web.datatree.com/?/property?propertyId=33979942", "https://web.datatree.com/?/property?propertyId=33979942")</f>
        <v>https://web.datatree.com/?/property?propertyId=33979942</v>
      </c>
      <c r="Q5035" t="s">
        <v>316</v>
      </c>
      <c>
        <v>0.241</v>
      </c>
      <c t="s">
        <v>6175</v>
      </c>
      <c t="s">
        <v>24032</v>
      </c>
      <c t="s">
        <v>22309</v>
      </c>
      <c r="X5035" t="s">
        <v>28808</v>
      </c>
      <c t="s">
        <v>14534</v>
      </c>
      <c t="s">
        <v>2517</v>
      </c>
      <c t="s">
        <v>39289</v>
      </c>
      <c>
        <v>33909</v>
      </c>
      <c t="s">
        <v>277</v>
      </c>
      <c t="s">
        <v>48794</v>
      </c>
      <c t="s">
        <v>27077</v>
      </c>
      <c>
        <v>26</v>
      </c>
      <c r="AI5035" t="s">
        <v>54921</v>
      </c>
      <c t="s">
        <v>45393</v>
      </c>
      <c r="AL5035" t="s">
        <v>6231</v>
      </c>
      <c r="AN5035" t="s">
        <v>19878</v>
      </c>
      <c>
        <v>42823</v>
      </c>
      <c r="AR5035" t="s">
        <v>38267</v>
      </c>
    </row>
    <row>
      <c t="s">
        <v>17594</v>
      </c>
      <c t="s">
        <v>13193</v>
      </c>
      <c t="s">
        <v>40924</v>
      </c>
      <c t="s">
        <v>66725</v>
      </c>
      <c t="s">
        <v>61990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036" s="1" t="str">
        <f ca="1">HYPERLINK("https://web.datatree.com/?/property?propertyId=33980264", "https://web.datatree.com/?/property?propertyId=33980264")</f>
        <v>https://web.datatree.com/?/property?propertyId=33980264</v>
      </c>
      <c r="Q5036" t="s">
        <v>316</v>
      </c>
      <c>
        <v>0.23</v>
      </c>
      <c t="s">
        <v>6175</v>
      </c>
      <c t="s">
        <v>40487</v>
      </c>
      <c t="s">
        <v>30569</v>
      </c>
      <c t="s">
        <v>60671</v>
      </c>
      <c t="s">
        <v>13126</v>
      </c>
      <c t="s">
        <v>23653</v>
      </c>
      <c t="s">
        <v>23517</v>
      </c>
      <c t="s">
        <v>2517</v>
      </c>
      <c t="s">
        <v>39289</v>
      </c>
      <c>
        <v>33909</v>
      </c>
      <c t="s">
        <v>1293</v>
      </c>
      <c t="s">
        <v>48794</v>
      </c>
      <c t="s">
        <v>34955</v>
      </c>
      <c>
        <v>17</v>
      </c>
      <c r="AI5036" t="s">
        <v>40934</v>
      </c>
      <c t="s">
        <v>45620</v>
      </c>
      <c r="AL5036" t="s">
        <v>46985</v>
      </c>
      <c r="AN5036" t="s">
        <v>50917</v>
      </c>
      <c t="s">
        <v>1588</v>
      </c>
      <c t="s">
        <v>48506</v>
      </c>
      <c t="s">
        <v>3093</v>
      </c>
      <c t="s">
        <v>24783</v>
      </c>
    </row>
    <row>
      <c t="s">
        <v>42103</v>
      </c>
      <c t="s">
        <v>42647</v>
      </c>
      <c t="s">
        <v>45051</v>
      </c>
      <c t="s">
        <v>15275</v>
      </c>
      <c t="s">
        <v>55087</v>
      </c>
      <c s="3">
        <v>8089</v>
      </c>
      <c s="3">
        <v>8089</v>
      </c>
      <c s="3">
        <v>7700</v>
      </c>
      <c>
        <v>0</v>
      </c>
      <c s="3">
        <v>0</v>
      </c>
      <c s="3">
        <v>125.14</v>
      </c>
      <c s="3">
        <v>8089</v>
      </c>
      <c r="O5037" s="1" t="str">
        <f ca="1">HYPERLINK("https://web.datatree.com/?/property?propertyId=33980355", "https://web.datatree.com/?/property?propertyId=33980355")</f>
        <v>https://web.datatree.com/?/property?propertyId=33980355</v>
      </c>
      <c r="Q5037" t="s">
        <v>316</v>
      </c>
      <c>
        <v>0.115</v>
      </c>
      <c t="s">
        <v>5471</v>
      </c>
      <c t="s">
        <v>48742</v>
      </c>
      <c t="s">
        <v>32018</v>
      </c>
      <c r="X5037" t="s">
        <v>1332</v>
      </c>
      <c t="s">
        <v>60074</v>
      </c>
      <c t="s">
        <v>54524</v>
      </c>
      <c t="s">
        <v>39289</v>
      </c>
      <c>
        <v>33903</v>
      </c>
      <c t="s">
        <v>40776</v>
      </c>
      <c t="s">
        <v>48794</v>
      </c>
      <c t="s">
        <v>8594</v>
      </c>
      <c r="AI5037" t="s">
        <v>47179</v>
      </c>
      <c r="AL5037" t="s">
        <v>4997</v>
      </c>
      <c t="s">
        <v>4997</v>
      </c>
      <c t="s">
        <v>44551</v>
      </c>
      <c>
        <v>59806</v>
      </c>
      <c t="s">
        <v>23536</v>
      </c>
      <c t="s">
        <v>3093</v>
      </c>
      <c t="s">
        <v>58482</v>
      </c>
    </row>
    <row>
      <c t="s">
        <v>17594</v>
      </c>
      <c t="s">
        <v>28718</v>
      </c>
      <c t="s">
        <v>53983</v>
      </c>
      <c t="s">
        <v>52261</v>
      </c>
      <c t="s">
        <v>36963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038" s="1" t="str">
        <f ca="1">HYPERLINK("https://web.datatree.com/?/property?propertyId=33980435", "https://web.datatree.com/?/property?propertyId=33980435")</f>
        <v>https://web.datatree.com/?/property?propertyId=33980435</v>
      </c>
      <c r="Q5038" t="s">
        <v>316</v>
      </c>
      <c>
        <v>0.23</v>
      </c>
      <c t="s">
        <v>22490</v>
      </c>
      <c t="s">
        <v>33427</v>
      </c>
      <c t="s">
        <v>25357</v>
      </c>
      <c t="s">
        <v>15770</v>
      </c>
      <c t="s">
        <v>25357</v>
      </c>
      <c t="s">
        <v>34254</v>
      </c>
      <c t="s">
        <v>41506</v>
      </c>
      <c t="s">
        <v>2517</v>
      </c>
      <c t="s">
        <v>39289</v>
      </c>
      <c>
        <v>33909</v>
      </c>
      <c t="s">
        <v>5577</v>
      </c>
      <c t="s">
        <v>48794</v>
      </c>
      <c t="s">
        <v>60292</v>
      </c>
      <c>
        <v>1494</v>
      </c>
      <c r="AI5038" t="s">
        <v>39768</v>
      </c>
      <c t="s">
        <v>45393</v>
      </c>
      <c r="AL5038" t="s">
        <v>56530</v>
      </c>
      <c r="AN5038" t="s">
        <v>10909</v>
      </c>
      <c t="s">
        <v>19292</v>
      </c>
      <c r="AQ5038" t="s">
        <v>27814</v>
      </c>
      <c t="s">
        <v>59280</v>
      </c>
    </row>
    <row>
      <c t="s">
        <v>17594</v>
      </c>
      <c t="s">
        <v>59958</v>
      </c>
      <c t="s">
        <v>712</v>
      </c>
      <c t="s">
        <v>38422</v>
      </c>
      <c t="s">
        <v>33306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5039" s="1" t="str">
        <f ca="1">HYPERLINK("https://web.datatree.com/?/property?propertyId=33980464", "https://web.datatree.com/?/property?propertyId=33980464")</f>
        <v>https://web.datatree.com/?/property?propertyId=33980464</v>
      </c>
      <c r="Q5039" t="s">
        <v>316</v>
      </c>
      <c>
        <v>0.23</v>
      </c>
      <c t="s">
        <v>22490</v>
      </c>
      <c t="s">
        <v>44368</v>
      </c>
      <c t="s">
        <v>45340</v>
      </c>
      <c r="X5039" t="s">
        <v>28792</v>
      </c>
      <c t="s">
        <v>49122</v>
      </c>
      <c t="s">
        <v>2517</v>
      </c>
      <c t="s">
        <v>39289</v>
      </c>
      <c>
        <v>33909</v>
      </c>
      <c t="s">
        <v>51981</v>
      </c>
      <c t="s">
        <v>48794</v>
      </c>
      <c t="s">
        <v>56902</v>
      </c>
      <c>
        <v>5612</v>
      </c>
      <c r="AI5039" t="s">
        <v>61461</v>
      </c>
      <c t="s">
        <v>24900</v>
      </c>
      <c r="AL5039" t="s">
        <v>52636</v>
      </c>
      <c r="AN5039" t="s">
        <v>58811</v>
      </c>
      <c t="s">
        <v>55728</v>
      </c>
      <c r="AQ5039" t="s">
        <v>27814</v>
      </c>
      <c t="s">
        <v>50507</v>
      </c>
    </row>
    <row>
      <c t="s">
        <v>17594</v>
      </c>
      <c t="s">
        <v>26638</v>
      </c>
      <c t="s">
        <v>50551</v>
      </c>
      <c t="s">
        <v>45984</v>
      </c>
      <c t="s">
        <v>23667</v>
      </c>
      <c s="3">
        <v>247817</v>
      </c>
      <c s="3">
        <v>247817</v>
      </c>
      <c s="3">
        <v>200032</v>
      </c>
      <c>
        <v>0</v>
      </c>
      <c s="3">
        <v>0</v>
      </c>
      <c s="3">
        <v>3838.71</v>
      </c>
      <c s="3">
        <v>247817</v>
      </c>
      <c r="O5040" s="1" t="str">
        <f ca="1">HYPERLINK("https://web.datatree.com/?/property?propertyId=33981319", "https://web.datatree.com/?/property?propertyId=33981319")</f>
        <v>https://web.datatree.com/?/property?propertyId=33981319</v>
      </c>
      <c r="Q5040" t="s">
        <v>316</v>
      </c>
      <c>
        <v>0.23</v>
      </c>
      <c t="s">
        <v>22490</v>
      </c>
      <c t="s">
        <v>11923</v>
      </c>
      <c t="s">
        <v>20108</v>
      </c>
      <c t="s">
        <v>3293</v>
      </c>
      <c t="s">
        <v>20108</v>
      </c>
      <c t="s">
        <v>31896</v>
      </c>
      <c t="s">
        <v>33984</v>
      </c>
      <c t="s">
        <v>2517</v>
      </c>
      <c t="s">
        <v>39289</v>
      </c>
      <c>
        <v>33904</v>
      </c>
      <c>
        <v>33904</v>
      </c>
      <c t="s">
        <v>48794</v>
      </c>
      <c t="s">
        <v>25242</v>
      </c>
      <c>
        <v>124</v>
      </c>
      <c r="AI5040" t="s">
        <v>258</v>
      </c>
      <c t="s">
        <v>24900</v>
      </c>
      <c r="AL5040" t="s">
        <v>7890</v>
      </c>
      <c r="AN5040" t="s">
        <v>26016</v>
      </c>
      <c t="s">
        <v>46674</v>
      </c>
      <c t="s">
        <v>12241</v>
      </c>
      <c t="s">
        <v>3093</v>
      </c>
      <c t="s">
        <v>2668</v>
      </c>
    </row>
    <row>
      <c t="s">
        <v>17594</v>
      </c>
      <c t="s">
        <v>3555</v>
      </c>
      <c t="s">
        <v>60885</v>
      </c>
      <c t="s">
        <v>14326</v>
      </c>
      <c t="s">
        <v>38991</v>
      </c>
      <c s="3">
        <v>26250</v>
      </c>
      <c s="3">
        <v>26250</v>
      </c>
      <c s="3">
        <v>9433</v>
      </c>
      <c>
        <v>0</v>
      </c>
      <c s="3">
        <v>0</v>
      </c>
      <c s="3">
        <v>413.07</v>
      </c>
      <c s="3">
        <v>26250</v>
      </c>
      <c r="O5041" s="1" t="str">
        <f ca="1">HYPERLINK("https://web.datatree.com/?/property?propertyId=33981837", "https://web.datatree.com/?/property?propertyId=33981837")</f>
        <v>https://web.datatree.com/?/property?propertyId=33981837</v>
      </c>
      <c r="Q5041" t="s">
        <v>316</v>
      </c>
      <c>
        <v>0.225</v>
      </c>
      <c t="s">
        <v>5471</v>
      </c>
      <c t="s">
        <v>34344</v>
      </c>
      <c t="s">
        <v>38440</v>
      </c>
      <c t="s">
        <v>23136</v>
      </c>
      <c t="s">
        <v>40690</v>
      </c>
      <c t="s">
        <v>12871</v>
      </c>
      <c t="s">
        <v>17750</v>
      </c>
      <c t="s">
        <v>65059</v>
      </c>
      <c t="s">
        <v>39289</v>
      </c>
      <c>
        <v>33905</v>
      </c>
      <c t="s">
        <v>54289</v>
      </c>
      <c t="s">
        <v>48794</v>
      </c>
      <c t="s">
        <v>25803</v>
      </c>
      <c>
        <v>29</v>
      </c>
      <c r="AI5041" t="s">
        <v>34344</v>
      </c>
      <c t="s">
        <v>31192</v>
      </c>
      <c r="AL5041" t="s">
        <v>54758</v>
      </c>
      <c r="AN5041" t="s">
        <v>22275</v>
      </c>
      <c t="s">
        <v>39208</v>
      </c>
      <c t="s">
        <v>51214</v>
      </c>
      <c t="s">
        <v>3093</v>
      </c>
      <c t="s">
        <v>34223</v>
      </c>
    </row>
    <row>
      <c t="s">
        <v>17594</v>
      </c>
      <c t="s">
        <v>19452</v>
      </c>
      <c t="s">
        <v>40155</v>
      </c>
      <c t="s">
        <v>26979</v>
      </c>
      <c t="s">
        <v>19022</v>
      </c>
      <c s="3">
        <v>26290</v>
      </c>
      <c s="3">
        <v>26290</v>
      </c>
      <c s="3">
        <v>12650</v>
      </c>
      <c>
        <v>0</v>
      </c>
      <c s="3">
        <v>0</v>
      </c>
      <c s="3">
        <v>654.09</v>
      </c>
      <c s="3">
        <v>26290</v>
      </c>
      <c r="O5042" s="1" t="str">
        <f ca="1">HYPERLINK("https://web.datatree.com/?/property?propertyId=33982802", "https://web.datatree.com/?/property?propertyId=33982802")</f>
        <v>https://web.datatree.com/?/property?propertyId=33982802</v>
      </c>
      <c r="Q5042" t="s">
        <v>316</v>
      </c>
      <c>
        <v>0.244</v>
      </c>
      <c t="s">
        <v>22490</v>
      </c>
      <c t="s">
        <v>36884</v>
      </c>
      <c t="s">
        <v>49532</v>
      </c>
      <c r="X5042" t="s">
        <v>42640</v>
      </c>
      <c t="s">
        <v>66701</v>
      </c>
      <c t="s">
        <v>2517</v>
      </c>
      <c t="s">
        <v>39289</v>
      </c>
      <c>
        <v>33909</v>
      </c>
      <c t="s">
        <v>16369</v>
      </c>
      <c t="s">
        <v>48794</v>
      </c>
      <c t="s">
        <v>20525</v>
      </c>
      <c r="AI5042" t="s">
        <v>18101</v>
      </c>
      <c r="AL5042" t="s">
        <v>67100</v>
      </c>
      <c t="s">
        <v>9241</v>
      </c>
      <c t="s">
        <v>15745</v>
      </c>
      <c>
        <v>80</v>
      </c>
      <c r="AR5042" t="s">
        <v>35559</v>
      </c>
    </row>
    <row>
      <c t="s">
        <v>17594</v>
      </c>
      <c t="s">
        <v>59379</v>
      </c>
      <c t="s">
        <v>15665</v>
      </c>
      <c t="s">
        <v>57567</v>
      </c>
      <c t="s">
        <v>57457</v>
      </c>
      <c s="3">
        <v>61842</v>
      </c>
      <c s="3">
        <v>61842</v>
      </c>
      <c s="3">
        <v>23108</v>
      </c>
      <c>
        <v>0</v>
      </c>
      <c s="3">
        <v>0</v>
      </c>
      <c s="3">
        <v>826.51</v>
      </c>
      <c s="3">
        <v>61842</v>
      </c>
      <c r="O5043" s="1" t="str">
        <f ca="1">HYPERLINK("https://web.datatree.com/?/property?propertyId=33983212", "https://web.datatree.com/?/property?propertyId=33983212")</f>
        <v>https://web.datatree.com/?/property?propertyId=33983212</v>
      </c>
      <c r="Q5043" t="s">
        <v>316</v>
      </c>
      <c>
        <v>0.23</v>
      </c>
      <c t="s">
        <v>6175</v>
      </c>
      <c t="s">
        <v>3293</v>
      </c>
      <c t="s">
        <v>4288</v>
      </c>
      <c r="X5043" t="s">
        <v>64063</v>
      </c>
      <c t="s">
        <v>60363</v>
      </c>
      <c t="s">
        <v>2517</v>
      </c>
      <c t="s">
        <v>39289</v>
      </c>
      <c>
        <v>33904</v>
      </c>
      <c t="s">
        <v>9279</v>
      </c>
      <c t="s">
        <v>48794</v>
      </c>
      <c t="s">
        <v>31897</v>
      </c>
      <c>
        <v>555</v>
      </c>
      <c r="AI5043" t="s">
        <v>14540</v>
      </c>
      <c t="s">
        <v>24900</v>
      </c>
      <c>
        <v>1024</v>
      </c>
      <c t="s">
        <v>33937</v>
      </c>
      <c r="AN5043" t="s">
        <v>49658</v>
      </c>
      <c t="s">
        <v>62159</v>
      </c>
      <c r="AQ5043" t="s">
        <v>27814</v>
      </c>
      <c t="s">
        <v>61766</v>
      </c>
    </row>
    <row>
      <c t="s">
        <v>17594</v>
      </c>
      <c t="s">
        <v>30729</v>
      </c>
      <c t="s">
        <v>32453</v>
      </c>
      <c t="s">
        <v>46815</v>
      </c>
      <c t="s">
        <v>45529</v>
      </c>
      <c s="3">
        <v>8867</v>
      </c>
      <c s="3">
        <v>8867</v>
      </c>
      <c s="3">
        <v>4972</v>
      </c>
      <c>
        <v>0</v>
      </c>
      <c s="3">
        <v>0</v>
      </c>
      <c s="3">
        <v>323.16</v>
      </c>
      <c s="3">
        <v>8867</v>
      </c>
      <c r="O5044" s="1" t="str">
        <f ca="1">HYPERLINK("https://web.datatree.com/?/property?propertyId=33983740", "https://web.datatree.com/?/property?propertyId=33983740")</f>
        <v>https://web.datatree.com/?/property?propertyId=33983740</v>
      </c>
      <c r="Q5044" t="s">
        <v>316</v>
      </c>
      <c>
        <v>0.29</v>
      </c>
      <c t="s">
        <v>37489</v>
      </c>
      <c t="s">
        <v>38760</v>
      </c>
      <c t="s">
        <v>51288</v>
      </c>
      <c r="X5044" t="s">
        <v>42863</v>
      </c>
      <c t="s">
        <v>20650</v>
      </c>
      <c t="s">
        <v>65059</v>
      </c>
      <c t="s">
        <v>39289</v>
      </c>
      <c>
        <v>33905</v>
      </c>
      <c>
        <v>33905</v>
      </c>
      <c t="s">
        <v>48794</v>
      </c>
      <c t="s">
        <v>38857</v>
      </c>
      <c>
        <v>17681</v>
      </c>
      <c r="AI5044" t="s">
        <v>60471</v>
      </c>
      <c t="s">
        <v>24900</v>
      </c>
      <c r="AL5044" t="s">
        <v>29515</v>
      </c>
      <c t="s">
        <v>40227</v>
      </c>
      <c t="s">
        <v>39289</v>
      </c>
      <c t="s">
        <v>16912</v>
      </c>
      <c t="s">
        <v>34171</v>
      </c>
      <c t="s">
        <v>3093</v>
      </c>
      <c t="s">
        <v>57084</v>
      </c>
    </row>
    <row>
      <c t="s">
        <v>17594</v>
      </c>
      <c s="2" t="s">
        <v>45911</v>
      </c>
      <c t="s">
        <v>715</v>
      </c>
      <c t="s">
        <v>42955</v>
      </c>
      <c t="s">
        <v>55436</v>
      </c>
      <c s="3">
        <v>26250</v>
      </c>
      <c s="3">
        <v>26250</v>
      </c>
      <c s="3">
        <v>9433</v>
      </c>
      <c>
        <v>0</v>
      </c>
      <c s="3">
        <v>0</v>
      </c>
      <c s="3">
        <v>411.77</v>
      </c>
      <c s="3">
        <v>26250</v>
      </c>
      <c r="O5045" s="1" t="str">
        <f ca="1">HYPERLINK("https://web.datatree.com/?/property?propertyId=33983930", "https://web.datatree.com/?/property?propertyId=33983930")</f>
        <v>https://web.datatree.com/?/property?propertyId=33983930</v>
      </c>
      <c r="Q5045" t="s">
        <v>316</v>
      </c>
      <c>
        <v>0.221</v>
      </c>
      <c t="s">
        <v>5471</v>
      </c>
      <c t="s">
        <v>55139</v>
      </c>
      <c t="s">
        <v>17314</v>
      </c>
      <c t="s">
        <v>18479</v>
      </c>
      <c t="s">
        <v>28782</v>
      </c>
      <c t="s">
        <v>45916</v>
      </c>
      <c t="s">
        <v>10601</v>
      </c>
      <c t="s">
        <v>65059</v>
      </c>
      <c t="s">
        <v>39289</v>
      </c>
      <c>
        <v>33905</v>
      </c>
      <c t="s">
        <v>4030</v>
      </c>
      <c t="s">
        <v>48794</v>
      </c>
      <c s="2" t="s">
        <v>23866</v>
      </c>
      <c>
        <v>22416</v>
      </c>
      <c r="AI5045" t="s">
        <v>16704</v>
      </c>
      <c t="s">
        <v>24900</v>
      </c>
      <c r="AL5045" t="s">
        <v>53270</v>
      </c>
      <c r="AN5045" t="s">
        <v>50917</v>
      </c>
      <c t="s">
        <v>48805</v>
      </c>
      <c t="s">
        <v>45980</v>
      </c>
      <c t="s">
        <v>3093</v>
      </c>
      <c t="s">
        <v>8832</v>
      </c>
    </row>
    <row>
      <c t="s">
        <v>17594</v>
      </c>
      <c t="s">
        <v>33862</v>
      </c>
      <c t="s">
        <v>26088</v>
      </c>
      <c t="s">
        <v>55941</v>
      </c>
      <c t="s">
        <v>21454</v>
      </c>
      <c s="3">
        <v>25104</v>
      </c>
      <c s="3">
        <v>25104</v>
      </c>
      <c s="3">
        <v>10892</v>
      </c>
      <c>
        <v>0</v>
      </c>
      <c s="3">
        <v>0</v>
      </c>
      <c s="3">
        <v>668.27</v>
      </c>
      <c s="3">
        <v>25104</v>
      </c>
      <c r="O5046" s="1" t="str">
        <f ca="1">HYPERLINK("https://web.datatree.com/?/property?propertyId=33984685", "https://web.datatree.com/?/property?propertyId=33984685")</f>
        <v>https://web.datatree.com/?/property?propertyId=33984685</v>
      </c>
      <c r="Q5046" t="s">
        <v>316</v>
      </c>
      <c>
        <v>0.269</v>
      </c>
      <c t="s">
        <v>42044</v>
      </c>
      <c r="U5046" t="s">
        <v>19544</v>
      </c>
      <c r="W5046" t="s">
        <v>38039</v>
      </c>
      <c t="s">
        <v>47986</v>
      </c>
      <c t="s">
        <v>15510</v>
      </c>
      <c t="s">
        <v>2517</v>
      </c>
      <c t="s">
        <v>39289</v>
      </c>
      <c>
        <v>33904</v>
      </c>
      <c t="s">
        <v>28830</v>
      </c>
      <c t="s">
        <v>48794</v>
      </c>
      <c t="s">
        <v>6716</v>
      </c>
      <c>
        <v>9616</v>
      </c>
      <c r="AI5046" t="s">
        <v>16313</v>
      </c>
      <c t="s">
        <v>835</v>
      </c>
      <c r="AL5046" t="s">
        <v>34420</v>
      </c>
      <c r="AN5046" t="s">
        <v>51087</v>
      </c>
      <c t="s">
        <v>25338</v>
      </c>
      <c t="s">
        <v>62713</v>
      </c>
      <c t="s">
        <v>3093</v>
      </c>
      <c t="s">
        <v>46486</v>
      </c>
    </row>
    <row>
      <c t="s">
        <v>17594</v>
      </c>
      <c t="s">
        <v>15158</v>
      </c>
      <c t="s">
        <v>54637</v>
      </c>
      <c t="s">
        <v>30931</v>
      </c>
      <c t="s">
        <v>21010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047" s="1" t="str">
        <f ca="1">HYPERLINK("https://web.datatree.com/?/property?propertyId=33984734", "https://web.datatree.com/?/property?propertyId=33984734")</f>
        <v>https://web.datatree.com/?/property?propertyId=33984734</v>
      </c>
      <c r="Q5047" t="s">
        <v>316</v>
      </c>
      <c>
        <v>0.23</v>
      </c>
      <c t="s">
        <v>6175</v>
      </c>
      <c t="s">
        <v>54428</v>
      </c>
      <c t="s">
        <v>10361</v>
      </c>
      <c r="X5047" t="s">
        <v>17312</v>
      </c>
      <c t="s">
        <v>34731</v>
      </c>
      <c t="s">
        <v>2517</v>
      </c>
      <c t="s">
        <v>39289</v>
      </c>
      <c>
        <v>33909</v>
      </c>
      <c t="s">
        <v>20905</v>
      </c>
      <c t="s">
        <v>48794</v>
      </c>
      <c t="s">
        <v>5825</v>
      </c>
      <c>
        <v>9111</v>
      </c>
      <c r="AH5047" t="s">
        <v>52165</v>
      </c>
      <c t="s">
        <v>18408</v>
      </c>
      <c t="s">
        <v>835</v>
      </c>
      <c r="AL5047" t="s">
        <v>8879</v>
      </c>
      <c r="AN5047" t="s">
        <v>49730</v>
      </c>
      <c t="s">
        <v>5532</v>
      </c>
      <c t="s">
        <v>15968</v>
      </c>
      <c t="s">
        <v>3093</v>
      </c>
      <c t="s">
        <v>64586</v>
      </c>
    </row>
    <row>
      <c t="s">
        <v>17594</v>
      </c>
      <c t="s">
        <v>21082</v>
      </c>
      <c t="s">
        <v>37143</v>
      </c>
      <c t="s">
        <v>35357</v>
      </c>
      <c t="s">
        <v>63827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5048" s="1" t="str">
        <f ca="1">HYPERLINK("https://web.datatree.com/?/property?propertyId=33986284", "https://web.datatree.com/?/property?propertyId=33986284")</f>
        <v>https://web.datatree.com/?/property?propertyId=33986284</v>
      </c>
      <c r="Q5048" t="s">
        <v>316</v>
      </c>
      <c>
        <v>0.23</v>
      </c>
      <c t="s">
        <v>14479</v>
      </c>
      <c t="s">
        <v>65351</v>
      </c>
      <c t="s">
        <v>18314</v>
      </c>
      <c r="X5048" t="s">
        <v>2099</v>
      </c>
      <c t="s">
        <v>30928</v>
      </c>
      <c t="s">
        <v>2517</v>
      </c>
      <c t="s">
        <v>39289</v>
      </c>
      <c>
        <v>33909</v>
      </c>
      <c t="s">
        <v>25701</v>
      </c>
      <c t="s">
        <v>48794</v>
      </c>
      <c t="s">
        <v>54038</v>
      </c>
      <c>
        <v>384</v>
      </c>
      <c r="AI5048" t="s">
        <v>53337</v>
      </c>
      <c r="AL5048" t="s">
        <v>22788</v>
      </c>
      <c r="AN5048" t="s">
        <v>17331</v>
      </c>
      <c t="s">
        <v>62178</v>
      </c>
      <c t="s">
        <v>35354</v>
      </c>
      <c t="s">
        <v>3093</v>
      </c>
      <c t="s">
        <v>66927</v>
      </c>
    </row>
    <row>
      <c t="s">
        <v>17594</v>
      </c>
      <c t="s">
        <v>27155</v>
      </c>
      <c t="s">
        <v>19417</v>
      </c>
      <c t="s">
        <v>12753</v>
      </c>
      <c t="s">
        <v>26415</v>
      </c>
      <c s="3">
        <v>10600</v>
      </c>
      <c s="3">
        <v>10600</v>
      </c>
      <c s="3">
        <v>9339</v>
      </c>
      <c>
        <v>0</v>
      </c>
      <c s="3">
        <v>0</v>
      </c>
      <c s="3">
        <v>1967.61</v>
      </c>
      <c s="3">
        <v>10600</v>
      </c>
      <c r="O5049" s="1" t="str">
        <f ca="1">HYPERLINK("https://web.datatree.com/?/property?propertyId=33986613", "https://web.datatree.com/?/property?propertyId=33986613")</f>
        <v>https://web.datatree.com/?/property?propertyId=33986613</v>
      </c>
      <c r="Q5049" t="s">
        <v>316</v>
      </c>
      <c>
        <v>0.23</v>
      </c>
      <c t="s">
        <v>6175</v>
      </c>
      <c r="U5049" t="s">
        <v>921</v>
      </c>
      <c r="W5049" t="s">
        <v>55404</v>
      </c>
      <c t="s">
        <v>7420</v>
      </c>
      <c t="s">
        <v>47150</v>
      </c>
      <c t="s">
        <v>2517</v>
      </c>
      <c t="s">
        <v>39289</v>
      </c>
      <c>
        <v>33909</v>
      </c>
      <c t="s">
        <v>65640</v>
      </c>
      <c t="s">
        <v>48794</v>
      </c>
      <c t="s">
        <v>20103</v>
      </c>
      <c>
        <v>320</v>
      </c>
      <c r="AI5049" t="s">
        <v>17165</v>
      </c>
      <c t="s">
        <v>24900</v>
      </c>
      <c r="AL5049" t="s">
        <v>42655</v>
      </c>
      <c r="AN5049" t="s">
        <v>19878</v>
      </c>
      <c t="s">
        <v>14507</v>
      </c>
      <c t="s">
        <v>38085</v>
      </c>
      <c t="s">
        <v>3093</v>
      </c>
      <c t="s">
        <v>46063</v>
      </c>
    </row>
    <row>
      <c t="s">
        <v>17594</v>
      </c>
      <c t="s">
        <v>20971</v>
      </c>
      <c t="s">
        <v>4449</v>
      </c>
      <c t="s">
        <v>1989</v>
      </c>
      <c t="s">
        <v>25342</v>
      </c>
      <c s="3">
        <v>7500</v>
      </c>
      <c s="3">
        <v>7500</v>
      </c>
      <c s="3">
        <v>7500</v>
      </c>
      <c>
        <v>0</v>
      </c>
      <c s="3">
        <v>0</v>
      </c>
      <c s="3">
        <v>645.41</v>
      </c>
      <c s="3">
        <v>7500</v>
      </c>
      <c r="O5050" s="1" t="str">
        <f ca="1">HYPERLINK("https://web.datatree.com/?/property?propertyId=33986652", "https://web.datatree.com/?/property?propertyId=33986652")</f>
        <v>https://web.datatree.com/?/property?propertyId=33986652</v>
      </c>
      <c r="Q5050" t="s">
        <v>316</v>
      </c>
      <c>
        <v>0.255</v>
      </c>
      <c t="s">
        <v>6175</v>
      </c>
      <c t="s">
        <v>58412</v>
      </c>
      <c t="s">
        <v>14383</v>
      </c>
      <c r="X5050" t="s">
        <v>29290</v>
      </c>
      <c t="s">
        <v>34731</v>
      </c>
      <c t="s">
        <v>2517</v>
      </c>
      <c t="s">
        <v>39289</v>
      </c>
      <c>
        <v>33909</v>
      </c>
      <c t="s">
        <v>10444</v>
      </c>
      <c t="s">
        <v>48794</v>
      </c>
      <c t="s">
        <v>60414</v>
      </c>
      <c>
        <v>345</v>
      </c>
      <c r="AI5050" t="s">
        <v>44061</v>
      </c>
      <c t="s">
        <v>41372</v>
      </c>
      <c r="AL5050" t="s">
        <v>29515</v>
      </c>
      <c t="s">
        <v>29515</v>
      </c>
      <c t="s">
        <v>39289</v>
      </c>
      <c t="s">
        <v>59448</v>
      </c>
      <c t="s">
        <v>7207</v>
      </c>
      <c t="s">
        <v>3093</v>
      </c>
      <c t="s">
        <v>31049</v>
      </c>
    </row>
    <row>
      <c t="s">
        <v>17594</v>
      </c>
      <c t="s">
        <v>2246</v>
      </c>
      <c t="s">
        <v>31791</v>
      </c>
      <c t="s">
        <v>51074</v>
      </c>
      <c t="s">
        <v>45494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5051" s="1" t="str">
        <f ca="1">HYPERLINK("https://web.datatree.com/?/property?propertyId=33986983", "https://web.datatree.com/?/property?propertyId=33986983")</f>
        <v>https://web.datatree.com/?/property?propertyId=33986983</v>
      </c>
      <c r="Q5051" t="s">
        <v>316</v>
      </c>
      <c>
        <v>0.23</v>
      </c>
      <c t="s">
        <v>6175</v>
      </c>
      <c t="s">
        <v>7869</v>
      </c>
      <c t="s">
        <v>38915</v>
      </c>
      <c r="X5051" t="s">
        <v>23223</v>
      </c>
      <c t="s">
        <v>7273</v>
      </c>
      <c t="s">
        <v>2517</v>
      </c>
      <c t="s">
        <v>39289</v>
      </c>
      <c>
        <v>33909</v>
      </c>
      <c t="s">
        <v>5041</v>
      </c>
      <c t="s">
        <v>48794</v>
      </c>
      <c t="s">
        <v>22747</v>
      </c>
      <c>
        <v>2017</v>
      </c>
      <c r="AI5051" t="s">
        <v>41142</v>
      </c>
      <c t="s">
        <v>31192</v>
      </c>
      <c t="s">
        <v>3945</v>
      </c>
      <c t="s">
        <v>33214</v>
      </c>
      <c r="AN5051" t="s">
        <v>39289</v>
      </c>
      <c t="s">
        <v>45101</v>
      </c>
      <c t="s">
        <v>19978</v>
      </c>
      <c t="s">
        <v>3093</v>
      </c>
      <c t="s">
        <v>13659</v>
      </c>
    </row>
    <row>
      <c t="s">
        <v>17594</v>
      </c>
      <c t="s">
        <v>18672</v>
      </c>
      <c t="s">
        <v>54381</v>
      </c>
      <c t="s">
        <v>12194</v>
      </c>
      <c t="s">
        <v>6958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052" s="1" t="str">
        <f ca="1">HYPERLINK("https://web.datatree.com/?/property?propertyId=33987135", "https://web.datatree.com/?/property?propertyId=33987135")</f>
        <v>https://web.datatree.com/?/property?propertyId=33987135</v>
      </c>
      <c r="Q5052" t="s">
        <v>316</v>
      </c>
      <c>
        <v>0.23</v>
      </c>
      <c t="s">
        <v>6175</v>
      </c>
      <c t="s">
        <v>25273</v>
      </c>
      <c t="s">
        <v>5464</v>
      </c>
      <c t="s">
        <v>1995</v>
      </c>
      <c t="s">
        <v>2398</v>
      </c>
      <c t="s">
        <v>30022</v>
      </c>
      <c t="s">
        <v>60363</v>
      </c>
      <c t="s">
        <v>2517</v>
      </c>
      <c t="s">
        <v>39289</v>
      </c>
      <c>
        <v>33909</v>
      </c>
      <c t="s">
        <v>11939</v>
      </c>
      <c t="s">
        <v>48794</v>
      </c>
      <c t="s">
        <v>54957</v>
      </c>
      <c>
        <v>335</v>
      </c>
      <c r="AI5052" t="s">
        <v>46349</v>
      </c>
      <c t="s">
        <v>45393</v>
      </c>
      <c r="AL5052" t="s">
        <v>60431</v>
      </c>
      <c r="AN5052" t="s">
        <v>50917</v>
      </c>
      <c t="s">
        <v>5641</v>
      </c>
      <c t="s">
        <v>31626</v>
      </c>
      <c t="s">
        <v>3093</v>
      </c>
      <c t="s">
        <v>45661</v>
      </c>
    </row>
    <row>
      <c t="s">
        <v>42103</v>
      </c>
      <c t="s">
        <v>15848</v>
      </c>
      <c t="s">
        <v>38589</v>
      </c>
      <c t="s">
        <v>63520</v>
      </c>
      <c t="s">
        <v>34105</v>
      </c>
      <c s="3">
        <v>26249</v>
      </c>
      <c s="3">
        <v>26249</v>
      </c>
      <c s="3">
        <v>9599</v>
      </c>
      <c>
        <v>0</v>
      </c>
      <c s="3">
        <v>0</v>
      </c>
      <c s="3">
        <v>1021.49</v>
      </c>
      <c s="3">
        <v>26249</v>
      </c>
      <c r="O5053" s="1" t="str">
        <f ca="1">HYPERLINK("https://web.datatree.com/?/property?propertyId=33987881", "https://web.datatree.com/?/property?propertyId=33987881")</f>
        <v>https://web.datatree.com/?/property?propertyId=33987881</v>
      </c>
      <c r="Q5053" t="s">
        <v>316</v>
      </c>
      <c>
        <v>0.344</v>
      </c>
      <c t="s">
        <v>65422</v>
      </c>
      <c t="s">
        <v>26710</v>
      </c>
      <c t="s">
        <v>13824</v>
      </c>
      <c r="X5053" t="s">
        <v>58130</v>
      </c>
      <c t="s">
        <v>17022</v>
      </c>
      <c t="s">
        <v>2517</v>
      </c>
      <c t="s">
        <v>39289</v>
      </c>
      <c>
        <v>33909</v>
      </c>
      <c t="s">
        <v>43382</v>
      </c>
      <c t="s">
        <v>48794</v>
      </c>
      <c t="s">
        <v>57705</v>
      </c>
      <c r="AI5053" t="s">
        <v>49932</v>
      </c>
      <c r="AL5053" t="s">
        <v>23788</v>
      </c>
      <c r="AN5053" t="s">
        <v>50917</v>
      </c>
      <c>
        <v>11373</v>
      </c>
      <c t="s">
        <v>61207</v>
      </c>
      <c t="s">
        <v>3093</v>
      </c>
      <c t="s">
        <v>18071</v>
      </c>
    </row>
    <row>
      <c t="s">
        <v>17594</v>
      </c>
      <c t="s">
        <v>25344</v>
      </c>
      <c t="s">
        <v>1321</v>
      </c>
      <c t="s">
        <v>33691</v>
      </c>
      <c t="s">
        <v>19453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5054" s="1" t="str">
        <f ca="1">HYPERLINK("https://web.datatree.com/?/property?propertyId=33987903", "https://web.datatree.com/?/property?propertyId=33987903")</f>
        <v>https://web.datatree.com/?/property?propertyId=33987903</v>
      </c>
      <c r="Q5054" t="s">
        <v>316</v>
      </c>
      <c>
        <v>0.23</v>
      </c>
      <c t="s">
        <v>6175</v>
      </c>
      <c r="U5054" t="s">
        <v>855</v>
      </c>
      <c t="s">
        <v>47703</v>
      </c>
      <c t="s">
        <v>46201</v>
      </c>
      <c t="s">
        <v>54627</v>
      </c>
      <c t="s">
        <v>11985</v>
      </c>
      <c t="s">
        <v>2517</v>
      </c>
      <c t="s">
        <v>39289</v>
      </c>
      <c>
        <v>33909</v>
      </c>
      <c t="s">
        <v>43164</v>
      </c>
      <c t="s">
        <v>48794</v>
      </c>
      <c t="s">
        <v>57340</v>
      </c>
      <c>
        <v>6900</v>
      </c>
      <c r="AI5054" t="s">
        <v>42233</v>
      </c>
      <c t="s">
        <v>31192</v>
      </c>
      <c>
        <v>603</v>
      </c>
      <c t="s">
        <v>38297</v>
      </c>
      <c r="AN5054"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27244</v>
      </c>
      <c t="s">
        <v>31977</v>
      </c>
      <c t="s">
        <v>24482</v>
      </c>
      <c t="s">
        <v>21353</v>
      </c>
      <c s="3">
        <v>702083</v>
      </c>
      <c s="3">
        <v>702083</v>
      </c>
      <c s="3">
        <v>702083</v>
      </c>
      <c>
        <v>0</v>
      </c>
      <c s="3">
        <v>0</v>
      </c>
      <c s="3">
        <v>11398.98</v>
      </c>
      <c s="3">
        <v>702083</v>
      </c>
      <c r="O5055" s="1" t="str">
        <f ca="1">HYPERLINK("https://web.datatree.com/?/property?propertyId=33988022", "https://web.datatree.com/?/property?propertyId=33988022")</f>
        <v>https://web.datatree.com/?/property?propertyId=33988022</v>
      </c>
      <c r="Q5055" t="s">
        <v>316</v>
      </c>
      <c>
        <v>0.275</v>
      </c>
      <c t="s">
        <v>22490</v>
      </c>
      <c t="s">
        <v>58703</v>
      </c>
      <c t="s">
        <v>16897</v>
      </c>
      <c r="X5055" t="s">
        <v>3007</v>
      </c>
      <c t="s">
        <v>45617</v>
      </c>
      <c t="s">
        <v>2517</v>
      </c>
      <c t="s">
        <v>39289</v>
      </c>
      <c>
        <v>33904</v>
      </c>
      <c t="s">
        <v>16472</v>
      </c>
      <c t="s">
        <v>48794</v>
      </c>
      <c t="s">
        <v>9350</v>
      </c>
      <c>
        <v>81</v>
      </c>
      <c r="AI5055" t="s">
        <v>27679</v>
      </c>
      <c t="s">
        <v>31192</v>
      </c>
      <c r="AL5055" t="s">
        <v>64737</v>
      </c>
      <c r="AN5055" t="s">
        <v>10909</v>
      </c>
      <c t="s">
        <v>4146</v>
      </c>
      <c r="AQ5055" t="s">
        <v>27814</v>
      </c>
      <c t="s">
        <v>63903</v>
      </c>
    </row>
    <row>
      <c t="s">
        <v>17594</v>
      </c>
      <c t="s">
        <v>23305</v>
      </c>
      <c t="s">
        <v>49861</v>
      </c>
      <c t="s">
        <v>67235</v>
      </c>
      <c t="s">
        <v>9725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056" s="1" t="str">
        <f ca="1">HYPERLINK("https://web.datatree.com/?/property?propertyId=33988393", "https://web.datatree.com/?/property?propertyId=33988393")</f>
        <v>https://web.datatree.com/?/property?propertyId=33988393</v>
      </c>
      <c r="Q5056" t="s">
        <v>316</v>
      </c>
      <c>
        <v>0.23</v>
      </c>
      <c t="s">
        <v>6175</v>
      </c>
      <c r="U5056" t="s">
        <v>30706</v>
      </c>
      <c r="W5056" t="s">
        <v>6232</v>
      </c>
      <c t="s">
        <v>6397</v>
      </c>
      <c t="s">
        <v>29190</v>
      </c>
      <c t="s">
        <v>2517</v>
      </c>
      <c t="s">
        <v>39289</v>
      </c>
      <c>
        <v>33909</v>
      </c>
      <c t="s">
        <v>32541</v>
      </c>
      <c t="s">
        <v>48794</v>
      </c>
      <c t="s">
        <v>14922</v>
      </c>
      <c>
        <v>41</v>
      </c>
      <c r="AI5056" t="s">
        <v>66435</v>
      </c>
      <c t="s">
        <v>31192</v>
      </c>
      <c r="AL5056" t="s">
        <v>23703</v>
      </c>
      <c r="AN5056" t="s">
        <v>26016</v>
      </c>
      <c t="s">
        <v>37108</v>
      </c>
      <c t="s">
        <v>1951</v>
      </c>
      <c t="s">
        <v>3093</v>
      </c>
      <c t="s">
        <v>34546</v>
      </c>
    </row>
    <row>
      <c t="s">
        <v>42103</v>
      </c>
      <c t="s">
        <v>44430</v>
      </c>
      <c t="s">
        <v>57270</v>
      </c>
      <c t="s">
        <v>14887</v>
      </c>
      <c t="s">
        <v>40593</v>
      </c>
      <c s="3">
        <v>17210</v>
      </c>
      <c s="3">
        <v>17210</v>
      </c>
      <c s="3">
        <v>9075</v>
      </c>
      <c>
        <v>0</v>
      </c>
      <c s="3">
        <v>0</v>
      </c>
      <c s="3">
        <v>557.94</v>
      </c>
      <c s="3">
        <v>17210</v>
      </c>
      <c r="O5057" s="1" t="str">
        <f ca="1">HYPERLINK("https://web.datatree.com/?/property?propertyId=33988421", "https://web.datatree.com/?/property?propertyId=33988421")</f>
        <v>https://web.datatree.com/?/property?propertyId=33988421</v>
      </c>
      <c r="Q5057" t="s">
        <v>316</v>
      </c>
      <c>
        <v>0.243</v>
      </c>
      <c t="s">
        <v>42044</v>
      </c>
      <c t="s">
        <v>3293</v>
      </c>
      <c t="s">
        <v>5217</v>
      </c>
      <c r="X5057" t="s">
        <v>16670</v>
      </c>
      <c t="s">
        <v>7113</v>
      </c>
      <c t="s">
        <v>2517</v>
      </c>
      <c t="s">
        <v>39289</v>
      </c>
      <c>
        <v>33909</v>
      </c>
      <c t="s">
        <v>22428</v>
      </c>
      <c t="s">
        <v>48794</v>
      </c>
      <c t="s">
        <v>33865</v>
      </c>
      <c r="AI5057" t="s">
        <v>64125</v>
      </c>
      <c r="AL5057" t="s">
        <v>57463</v>
      </c>
      <c r="AN5057" t="s">
        <v>26016</v>
      </c>
      <c>
        <v>8247</v>
      </c>
      <c t="s">
        <v>23536</v>
      </c>
      <c t="s">
        <v>3093</v>
      </c>
      <c t="s">
        <v>16346</v>
      </c>
    </row>
    <row>
      <c t="s">
        <v>17594</v>
      </c>
      <c t="s">
        <v>34075</v>
      </c>
      <c t="s">
        <v>60823</v>
      </c>
      <c t="s">
        <v>47336</v>
      </c>
      <c t="s">
        <v>60070</v>
      </c>
      <c s="3">
        <v>26290</v>
      </c>
      <c s="3">
        <v>26290</v>
      </c>
      <c s="3">
        <v>26290</v>
      </c>
      <c>
        <v>0</v>
      </c>
      <c s="3">
        <v>0</v>
      </c>
      <c s="3">
        <v>789.75</v>
      </c>
      <c s="3">
        <v>26290</v>
      </c>
      <c r="O5058" s="1" t="str">
        <f ca="1">HYPERLINK("https://web.datatree.com/?/property?propertyId=33988788", "https://web.datatree.com/?/property?propertyId=33988788")</f>
        <v>https://web.datatree.com/?/property?propertyId=33988788</v>
      </c>
      <c r="Q5058" t="s">
        <v>316</v>
      </c>
      <c>
        <v>0.23</v>
      </c>
      <c t="s">
        <v>22490</v>
      </c>
      <c t="s">
        <v>14629</v>
      </c>
      <c t="s">
        <v>11491</v>
      </c>
      <c r="X5058" t="s">
        <v>53484</v>
      </c>
      <c t="s">
        <v>39082</v>
      </c>
      <c t="s">
        <v>2517</v>
      </c>
      <c t="s">
        <v>39289</v>
      </c>
      <c>
        <v>33909</v>
      </c>
      <c t="s">
        <v>46050</v>
      </c>
      <c t="s">
        <v>48794</v>
      </c>
      <c t="s">
        <v>26329</v>
      </c>
      <c>
        <v>15120</v>
      </c>
      <c r="AI5058" t="s">
        <v>43745</v>
      </c>
      <c t="s">
        <v>45393</v>
      </c>
      <c r="AL5058" t="s">
        <v>26303</v>
      </c>
      <c t="s">
        <v>26303</v>
      </c>
      <c t="s">
        <v>65451</v>
      </c>
      <c t="s">
        <v>2081</v>
      </c>
      <c t="s">
        <v>46114</v>
      </c>
      <c t="s">
        <v>3093</v>
      </c>
      <c t="s">
        <v>25735</v>
      </c>
    </row>
    <row>
      <c t="s">
        <v>17594</v>
      </c>
      <c t="s">
        <v>37094</v>
      </c>
      <c t="s">
        <v>63716</v>
      </c>
      <c t="s">
        <v>62452</v>
      </c>
      <c t="s">
        <v>9817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5059" s="1" t="str">
        <f ca="1">HYPERLINK("https://web.datatree.com/?/property?propertyId=33989414", "https://web.datatree.com/?/property?propertyId=33989414")</f>
        <v>https://web.datatree.com/?/property?propertyId=33989414</v>
      </c>
      <c r="Q5059" t="s">
        <v>316</v>
      </c>
      <c>
        <v>0.23</v>
      </c>
      <c t="s">
        <v>6175</v>
      </c>
      <c t="s">
        <v>15039</v>
      </c>
      <c t="s">
        <v>11787</v>
      </c>
      <c t="s">
        <v>5745</v>
      </c>
      <c t="s">
        <v>11787</v>
      </c>
      <c t="s">
        <v>33509</v>
      </c>
      <c t="s">
        <v>53663</v>
      </c>
      <c t="s">
        <v>2517</v>
      </c>
      <c t="s">
        <v>39289</v>
      </c>
      <c>
        <v>33909</v>
      </c>
      <c t="s">
        <v>60714</v>
      </c>
      <c t="s">
        <v>48794</v>
      </c>
      <c t="s">
        <v>1659</v>
      </c>
      <c>
        <v>59</v>
      </c>
      <c r="AI5059" t="s">
        <v>54029</v>
      </c>
      <c t="s">
        <v>45393</v>
      </c>
      <c r="AL5059" t="s">
        <v>56449</v>
      </c>
      <c r="AN5059" t="s">
        <v>63985</v>
      </c>
      <c>
        <v>64560</v>
      </c>
      <c r="AR5059" t="s">
        <v>50650</v>
      </c>
    </row>
    <row>
      <c t="s">
        <v>17594</v>
      </c>
      <c t="s">
        <v>28317</v>
      </c>
      <c t="s">
        <v>47009</v>
      </c>
      <c t="s">
        <v>34965</v>
      </c>
      <c t="s">
        <v>13110</v>
      </c>
      <c s="3">
        <v>192500</v>
      </c>
      <c s="3">
        <v>192500</v>
      </c>
      <c s="3">
        <v>192500</v>
      </c>
      <c>
        <v>0</v>
      </c>
      <c s="3">
        <v>0</v>
      </c>
      <c s="3">
        <v>5297.9</v>
      </c>
      <c s="3">
        <v>192500</v>
      </c>
      <c r="O5060" s="1" t="str">
        <f ca="1">HYPERLINK("https://web.datatree.com/?/property?propertyId=33989531", "https://web.datatree.com/?/property?propertyId=33989531")</f>
        <v>https://web.datatree.com/?/property?propertyId=33989531</v>
      </c>
      <c r="Q5060" t="s">
        <v>316</v>
      </c>
      <c>
        <v>0.375</v>
      </c>
      <c t="s">
        <v>22490</v>
      </c>
      <c t="s">
        <v>58113</v>
      </c>
      <c t="s">
        <v>30230</v>
      </c>
      <c t="s">
        <v>39210</v>
      </c>
      <c t="s">
        <v>30230</v>
      </c>
      <c t="s">
        <v>35093</v>
      </c>
      <c t="s">
        <v>13065</v>
      </c>
      <c t="s">
        <v>2517</v>
      </c>
      <c t="s">
        <v>39289</v>
      </c>
      <c>
        <v>33904</v>
      </c>
      <c t="s">
        <v>32661</v>
      </c>
      <c t="s">
        <v>48794</v>
      </c>
      <c t="s">
        <v>19599</v>
      </c>
      <c>
        <v>11075</v>
      </c>
      <c r="AI5060" t="s">
        <v>44829</v>
      </c>
      <c t="s">
        <v>45620</v>
      </c>
      <c r="AL5060" t="s">
        <v>33056</v>
      </c>
      <c t="s">
        <v>33056</v>
      </c>
      <c t="s">
        <v>50829</v>
      </c>
      <c t="s">
        <v>50222</v>
      </c>
      <c t="s">
        <v>22455</v>
      </c>
      <c t="s">
        <v>3093</v>
      </c>
      <c t="s">
        <v>45703</v>
      </c>
    </row>
    <row>
      <c t="s">
        <v>17594</v>
      </c>
      <c t="s">
        <v>7709</v>
      </c>
      <c t="s">
        <v>6180</v>
      </c>
      <c t="s">
        <v>34761</v>
      </c>
      <c t="s">
        <v>27347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5061" s="1" t="str">
        <f ca="1">HYPERLINK("https://web.datatree.com/?/property?propertyId=33990211", "https://web.datatree.com/?/property?propertyId=33990211")</f>
        <v>https://web.datatree.com/?/property?propertyId=33990211</v>
      </c>
      <c r="Q5061" t="s">
        <v>316</v>
      </c>
      <c>
        <v>0.23</v>
      </c>
      <c t="s">
        <v>6175</v>
      </c>
      <c t="s">
        <v>44541</v>
      </c>
      <c t="s">
        <v>50002</v>
      </c>
      <c r="X5061" t="s">
        <v>19067</v>
      </c>
      <c t="s">
        <v>60363</v>
      </c>
      <c t="s">
        <v>2517</v>
      </c>
      <c t="s">
        <v>39289</v>
      </c>
      <c>
        <v>33909</v>
      </c>
      <c t="s">
        <v>19303</v>
      </c>
      <c t="s">
        <v>48794</v>
      </c>
      <c t="s">
        <v>3460</v>
      </c>
      <c>
        <v>415</v>
      </c>
      <c r="AI5061" t="s">
        <v>23632</v>
      </c>
      <c t="s">
        <v>24900</v>
      </c>
      <c r="AL5061" t="s">
        <v>63879</v>
      </c>
      <c r="AN5061" t="s">
        <v>22275</v>
      </c>
      <c t="s">
        <v>2064</v>
      </c>
      <c t="s">
        <v>26242</v>
      </c>
      <c t="s">
        <v>3093</v>
      </c>
      <c t="s">
        <v>40326</v>
      </c>
    </row>
    <row>
      <c t="s">
        <v>17594</v>
      </c>
      <c t="s">
        <v>13183</v>
      </c>
      <c t="s">
        <v>29285</v>
      </c>
      <c t="s">
        <v>40750</v>
      </c>
      <c t="s">
        <v>27862</v>
      </c>
      <c s="3">
        <v>8400</v>
      </c>
      <c s="3">
        <v>8400</v>
      </c>
      <c s="3">
        <v>8400</v>
      </c>
      <c>
        <v>0</v>
      </c>
      <c s="3">
        <v>0</v>
      </c>
      <c s="3">
        <v>553.16</v>
      </c>
      <c s="3">
        <v>8400</v>
      </c>
      <c r="O5062" s="1" t="str">
        <f ca="1">HYPERLINK("https://web.datatree.com/?/property?propertyId=33990409", "https://web.datatree.com/?/property?propertyId=33990409")</f>
        <v>https://web.datatree.com/?/property?propertyId=33990409</v>
      </c>
      <c r="Q5062" t="s">
        <v>316</v>
      </c>
      <c>
        <v>0.255</v>
      </c>
      <c t="s">
        <v>6175</v>
      </c>
      <c t="s">
        <v>60671</v>
      </c>
      <c t="s">
        <v>47304</v>
      </c>
      <c r="X5062" t="s">
        <v>49878</v>
      </c>
      <c t="s">
        <v>33179</v>
      </c>
      <c t="s">
        <v>2517</v>
      </c>
      <c t="s">
        <v>39289</v>
      </c>
      <c>
        <v>33909</v>
      </c>
      <c t="s">
        <v>37535</v>
      </c>
      <c t="s">
        <v>48794</v>
      </c>
      <c t="s">
        <v>7461</v>
      </c>
      <c>
        <v>49</v>
      </c>
      <c r="AI5062" t="s">
        <v>51539</v>
      </c>
      <c t="s">
        <v>55842</v>
      </c>
      <c r="AL5062" t="s">
        <v>34437</v>
      </c>
      <c t="s">
        <v>34437</v>
      </c>
      <c t="s">
        <v>51137</v>
      </c>
      <c t="s">
        <v>56392</v>
      </c>
      <c t="s">
        <v>4480</v>
      </c>
      <c t="s">
        <v>3093</v>
      </c>
      <c t="s">
        <v>32253</v>
      </c>
    </row>
    <row>
      <c t="s">
        <v>17594</v>
      </c>
      <c t="s">
        <v>47487</v>
      </c>
      <c t="s">
        <v>33019</v>
      </c>
      <c t="s">
        <v>8913</v>
      </c>
      <c t="s">
        <v>29939</v>
      </c>
      <c s="3">
        <v>427157</v>
      </c>
      <c s="3">
        <v>427157</v>
      </c>
      <c s="3">
        <v>427157</v>
      </c>
      <c>
        <v>0</v>
      </c>
      <c s="3">
        <v>0</v>
      </c>
      <c s="3">
        <v>5720.53</v>
      </c>
      <c s="3">
        <v>427157</v>
      </c>
      <c r="O5063" s="1" t="str">
        <f ca="1">HYPERLINK("https://web.datatree.com/?/property?propertyId=33990596", "https://web.datatree.com/?/property?propertyId=33990596")</f>
        <v>https://web.datatree.com/?/property?propertyId=33990596</v>
      </c>
      <c r="Q5063" t="s">
        <v>316</v>
      </c>
      <c>
        <v>0.38</v>
      </c>
      <c t="s">
        <v>22490</v>
      </c>
      <c t="s">
        <v>40759</v>
      </c>
      <c t="s">
        <v>35035</v>
      </c>
      <c t="s">
        <v>16893</v>
      </c>
      <c t="s">
        <v>35035</v>
      </c>
      <c t="s">
        <v>54082</v>
      </c>
      <c t="s">
        <v>21676</v>
      </c>
      <c t="s">
        <v>2517</v>
      </c>
      <c t="s">
        <v>39289</v>
      </c>
      <c>
        <v>33904</v>
      </c>
      <c t="s">
        <v>8645</v>
      </c>
      <c t="s">
        <v>48794</v>
      </c>
      <c t="s">
        <v>35879</v>
      </c>
      <c>
        <v>1955</v>
      </c>
      <c r="AI5063" t="s">
        <v>45236</v>
      </c>
      <c t="s">
        <v>40123</v>
      </c>
      <c r="AL5063" t="s">
        <v>19425</v>
      </c>
      <c r="AN5063" t="s">
        <v>66651</v>
      </c>
      <c t="s">
        <v>47902</v>
      </c>
      <c t="s">
        <v>56641</v>
      </c>
      <c t="s">
        <v>3093</v>
      </c>
      <c t="s">
        <v>8117</v>
      </c>
    </row>
    <row>
      <c t="s">
        <v>17594</v>
      </c>
      <c t="s">
        <v>35451</v>
      </c>
      <c t="s">
        <v>12059</v>
      </c>
      <c t="s">
        <v>50589</v>
      </c>
      <c t="s">
        <v>59139</v>
      </c>
      <c s="3">
        <v>138000</v>
      </c>
      <c s="3">
        <v>138000</v>
      </c>
      <c s="3">
        <v>77000</v>
      </c>
      <c>
        <v>0</v>
      </c>
      <c s="3">
        <v>0</v>
      </c>
      <c s="3">
        <v>1968.43</v>
      </c>
      <c s="3">
        <v>138000</v>
      </c>
      <c r="O5064" s="1" t="str">
        <f ca="1">HYPERLINK("https://web.datatree.com/?/property?propertyId=33990618", "https://web.datatree.com/?/property?propertyId=33990618")</f>
        <v>https://web.datatree.com/?/property?propertyId=33990618</v>
      </c>
      <c r="Q5064" t="s">
        <v>316</v>
      </c>
      <c>
        <v>0.23</v>
      </c>
      <c t="s">
        <v>22490</v>
      </c>
      <c t="s">
        <v>50331</v>
      </c>
      <c t="s">
        <v>36676</v>
      </c>
      <c t="s">
        <v>52535</v>
      </c>
      <c t="s">
        <v>36676</v>
      </c>
      <c t="s">
        <v>46394</v>
      </c>
      <c t="s">
        <v>66701</v>
      </c>
      <c t="s">
        <v>2517</v>
      </c>
      <c t="s">
        <v>39289</v>
      </c>
      <c>
        <v>33904</v>
      </c>
      <c t="s">
        <v>60535</v>
      </c>
      <c t="s">
        <v>48794</v>
      </c>
      <c t="s">
        <v>67176</v>
      </c>
      <c>
        <v>14910</v>
      </c>
      <c r="AI5064" t="s">
        <v>18314</v>
      </c>
      <c t="s">
        <v>45393</v>
      </c>
      <c r="AL5064" t="s">
        <v>16712</v>
      </c>
      <c t="s">
        <v>16712</v>
      </c>
      <c t="s">
        <v>14798</v>
      </c>
      <c t="s">
        <v>62462</v>
      </c>
      <c t="s">
        <v>56028</v>
      </c>
      <c t="s">
        <v>3093</v>
      </c>
      <c t="s">
        <v>48229</v>
      </c>
    </row>
    <row>
      <c t="s">
        <v>17594</v>
      </c>
      <c t="s">
        <v>42722</v>
      </c>
      <c t="s">
        <v>59852</v>
      </c>
      <c t="s">
        <v>4816</v>
      </c>
      <c t="s">
        <v>36525</v>
      </c>
      <c s="3">
        <v>28210</v>
      </c>
      <c s="3">
        <v>28210</v>
      </c>
      <c s="3">
        <v>8712</v>
      </c>
      <c>
        <v>0</v>
      </c>
      <c s="3">
        <v>0</v>
      </c>
      <c s="3">
        <v>2830.55</v>
      </c>
      <c s="3">
        <v>28210</v>
      </c>
      <c r="O5065" s="1" t="str">
        <f ca="1">HYPERLINK("https://web.datatree.com/?/property?propertyId=33990658", "https://web.datatree.com/?/property?propertyId=33990658")</f>
        <v>https://web.datatree.com/?/property?propertyId=33990658</v>
      </c>
      <c r="Q5065" t="s">
        <v>316</v>
      </c>
      <c>
        <v>0.23</v>
      </c>
      <c t="s">
        <v>6175</v>
      </c>
      <c t="s">
        <v>1376</v>
      </c>
      <c t="s">
        <v>36068</v>
      </c>
      <c r="X5065" t="s">
        <v>56403</v>
      </c>
      <c t="s">
        <v>59356</v>
      </c>
      <c t="s">
        <v>2517</v>
      </c>
      <c t="s">
        <v>39289</v>
      </c>
      <c>
        <v>33909</v>
      </c>
      <c t="s">
        <v>59973</v>
      </c>
      <c t="s">
        <v>48794</v>
      </c>
      <c t="s">
        <v>28703</v>
      </c>
      <c>
        <v>18103</v>
      </c>
      <c r="AI5065" t="s">
        <v>4373</v>
      </c>
      <c t="s">
        <v>40123</v>
      </c>
      <c r="AL5065" t="s">
        <v>29515</v>
      </c>
      <c r="AN5065" t="s">
        <v>39289</v>
      </c>
      <c t="s">
        <v>60548</v>
      </c>
      <c t="s">
        <v>27780</v>
      </c>
      <c t="s">
        <v>3093</v>
      </c>
      <c t="s">
        <v>9861</v>
      </c>
    </row>
    <row>
      <c t="s">
        <v>17594</v>
      </c>
      <c t="s">
        <v>62347</v>
      </c>
      <c t="s">
        <v>10166</v>
      </c>
      <c t="s">
        <v>29092</v>
      </c>
      <c t="s">
        <v>36688</v>
      </c>
      <c s="3">
        <v>434711</v>
      </c>
      <c s="3">
        <v>434711</v>
      </c>
      <c s="3">
        <v>434711</v>
      </c>
      <c>
        <v>0</v>
      </c>
      <c s="3">
        <v>0</v>
      </c>
      <c s="3">
        <v>7161.41</v>
      </c>
      <c s="3">
        <v>434711</v>
      </c>
      <c r="O5066" s="1" t="str">
        <f ca="1">HYPERLINK("https://web.datatree.com/?/property?propertyId=33991216", "https://web.datatree.com/?/property?propertyId=33991216")</f>
        <v>https://web.datatree.com/?/property?propertyId=33991216</v>
      </c>
      <c r="Q5066" t="s">
        <v>316</v>
      </c>
      <c>
        <v>0.23</v>
      </c>
      <c t="s">
        <v>22490</v>
      </c>
      <c t="s">
        <v>19107</v>
      </c>
      <c t="s">
        <v>45241</v>
      </c>
      <c r="X5066" t="s">
        <v>11310</v>
      </c>
      <c t="s">
        <v>64331</v>
      </c>
      <c t="s">
        <v>2517</v>
      </c>
      <c t="s">
        <v>39289</v>
      </c>
      <c>
        <v>33904</v>
      </c>
      <c>
        <v>33904</v>
      </c>
      <c t="s">
        <v>48794</v>
      </c>
      <c t="s">
        <v>27766</v>
      </c>
      <c>
        <v>7</v>
      </c>
      <c r="AI5066" t="s">
        <v>275</v>
      </c>
      <c t="s">
        <v>24900</v>
      </c>
      <c r="AL5066" t="s">
        <v>59806</v>
      </c>
      <c t="s">
        <v>59806</v>
      </c>
      <c t="s">
        <v>26016</v>
      </c>
      <c t="s">
        <v>46659</v>
      </c>
      <c t="s">
        <v>34162</v>
      </c>
      <c t="s">
        <v>3093</v>
      </c>
      <c t="s">
        <v>24618</v>
      </c>
    </row>
    <row>
      <c t="s">
        <v>17594</v>
      </c>
      <c t="s">
        <v>47824</v>
      </c>
      <c t="s">
        <v>5976</v>
      </c>
      <c t="s">
        <v>27272</v>
      </c>
      <c t="s">
        <v>55331</v>
      </c>
      <c s="3">
        <v>21949</v>
      </c>
      <c s="3">
        <v>21949</v>
      </c>
      <c s="3">
        <v>9235</v>
      </c>
      <c>
        <v>0</v>
      </c>
      <c s="3">
        <v>0</v>
      </c>
      <c s="3">
        <v>644.82</v>
      </c>
      <c s="3">
        <v>21949</v>
      </c>
      <c r="O5067" s="1" t="str">
        <f ca="1">HYPERLINK("https://web.datatree.com/?/property?propertyId=33991332", "https://web.datatree.com/?/property?propertyId=33991332")</f>
        <v>https://web.datatree.com/?/property?propertyId=33991332</v>
      </c>
      <c r="Q5067" t="s">
        <v>316</v>
      </c>
      <c>
        <v>0.296</v>
      </c>
      <c t="s">
        <v>22490</v>
      </c>
      <c r="U5067" t="s">
        <v>21131</v>
      </c>
      <c r="W5067" t="s">
        <v>28423</v>
      </c>
      <c t="s">
        <v>2512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36369</v>
      </c>
      <c>
        <v>10</v>
      </c>
      <c r="AI5067" t="s">
        <v>34597</v>
      </c>
      <c t="s">
        <v>1671</v>
      </c>
      <c r="AL5067" t="s">
        <v>66562</v>
      </c>
      <c r="AN5067" t="s">
        <v>66651</v>
      </c>
      <c t="s">
        <v>33578</v>
      </c>
      <c t="s">
        <v>15968</v>
      </c>
      <c t="s">
        <v>3093</v>
      </c>
      <c t="s">
        <v>20800</v>
      </c>
    </row>
    <row>
      <c t="s">
        <v>42103</v>
      </c>
      <c t="s">
        <v>14360</v>
      </c>
      <c t="s">
        <v>690</v>
      </c>
      <c t="s">
        <v>58119</v>
      </c>
      <c t="s">
        <v>26838</v>
      </c>
      <c s="3">
        <v>11455</v>
      </c>
      <c s="3">
        <v>11455</v>
      </c>
      <c s="3">
        <v>4972</v>
      </c>
      <c>
        <v>0</v>
      </c>
      <c s="3">
        <v>0</v>
      </c>
      <c s="3">
        <v>349.19</v>
      </c>
      <c s="3">
        <v>11455</v>
      </c>
      <c>
        <v>2021</v>
      </c>
      <c>
        <v>349.13</v>
      </c>
      <c s="1" t="str">
        <f ca="1">HYPERLINK("https://web.datatree.com/?/property?propertyId=33991807", "https://web.datatree.com/?/property?propertyId=33991807")</f>
        <v>https://web.datatree.com/?/property?propertyId=33991807</v>
      </c>
      <c r="Q5068" t="s">
        <v>316</v>
      </c>
      <c>
        <v>0.491</v>
      </c>
      <c t="s">
        <v>5471</v>
      </c>
      <c t="s">
        <v>11199</v>
      </c>
      <c t="s">
        <v>29214</v>
      </c>
      <c r="X5068" t="s">
        <v>63713</v>
      </c>
      <c t="s">
        <v>10081</v>
      </c>
      <c t="s">
        <v>65059</v>
      </c>
      <c t="s">
        <v>39289</v>
      </c>
      <c>
        <v>33905</v>
      </c>
      <c t="s">
        <v>37915</v>
      </c>
      <c t="s">
        <v>48794</v>
      </c>
      <c t="s">
        <v>8108</v>
      </c>
      <c r="AI5068" t="s">
        <v>14176</v>
      </c>
      <c r="AL5068" t="s">
        <v>64262</v>
      </c>
      <c r="AN5068" t="s">
        <v>19878</v>
      </c>
      <c t="s">
        <v>13407</v>
      </c>
      <c t="s">
        <v>33811</v>
      </c>
      <c t="s">
        <v>3093</v>
      </c>
      <c t="s">
        <v>43607</v>
      </c>
    </row>
    <row>
      <c t="s">
        <v>17594</v>
      </c>
      <c t="s">
        <v>15321</v>
      </c>
      <c t="s">
        <v>38148</v>
      </c>
      <c t="s">
        <v>14015</v>
      </c>
      <c t="s">
        <v>19553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5069" s="1" t="str">
        <f ca="1">HYPERLINK("https://web.datatree.com/?/property?propertyId=33992583", "https://web.datatree.com/?/property?propertyId=33992583")</f>
        <v>https://web.datatree.com/?/property?propertyId=33992583</v>
      </c>
      <c r="Q5069" t="s">
        <v>316</v>
      </c>
      <c>
        <v>0.285</v>
      </c>
      <c t="s">
        <v>5471</v>
      </c>
      <c t="s">
        <v>33269</v>
      </c>
      <c t="s">
        <v>17989</v>
      </c>
      <c t="s">
        <v>19912</v>
      </c>
      <c t="s">
        <v>17989</v>
      </c>
      <c t="s">
        <v>61674</v>
      </c>
      <c t="s">
        <v>53074</v>
      </c>
      <c t="s">
        <v>65059</v>
      </c>
      <c t="s">
        <v>39289</v>
      </c>
      <c>
        <v>33905</v>
      </c>
      <c t="s">
        <v>39335</v>
      </c>
      <c t="s">
        <v>48794</v>
      </c>
      <c t="s">
        <v>6098</v>
      </c>
      <c>
        <v>524</v>
      </c>
      <c r="AI5069" t="s">
        <v>65936</v>
      </c>
      <c t="s">
        <v>45620</v>
      </c>
      <c r="AL5069" t="s">
        <v>40949</v>
      </c>
      <c r="AN5069" t="s">
        <v>22275</v>
      </c>
      <c t="s">
        <v>20924</v>
      </c>
      <c t="s">
        <v>34342</v>
      </c>
      <c t="s">
        <v>3093</v>
      </c>
      <c t="s">
        <v>60755</v>
      </c>
    </row>
    <row>
      <c t="s">
        <v>17594</v>
      </c>
      <c t="s">
        <v>55803</v>
      </c>
      <c t="s">
        <v>17883</v>
      </c>
      <c t="s">
        <v>32891</v>
      </c>
      <c t="s">
        <v>5252</v>
      </c>
      <c s="3">
        <v>26290</v>
      </c>
      <c s="3">
        <v>26290</v>
      </c>
      <c s="3">
        <v>26290</v>
      </c>
      <c>
        <v>0</v>
      </c>
      <c s="3">
        <v>0</v>
      </c>
      <c s="3">
        <v>2973.24</v>
      </c>
      <c s="3">
        <v>26290</v>
      </c>
      <c r="O5070" s="1" t="str">
        <f ca="1">HYPERLINK("https://web.datatree.com/?/property?propertyId=33993135", "https://web.datatree.com/?/property?propertyId=33993135")</f>
        <v>https://web.datatree.com/?/property?propertyId=33993135</v>
      </c>
      <c r="Q5070" t="s">
        <v>316</v>
      </c>
      <c>
        <v>0.23</v>
      </c>
      <c t="s">
        <v>22490</v>
      </c>
      <c t="s">
        <v>37244</v>
      </c>
      <c t="s">
        <v>17538</v>
      </c>
      <c t="s">
        <v>38760</v>
      </c>
      <c t="s">
        <v>17538</v>
      </c>
      <c t="s">
        <v>3399</v>
      </c>
      <c t="s">
        <v>17022</v>
      </c>
      <c t="s">
        <v>2517</v>
      </c>
      <c t="s">
        <v>39289</v>
      </c>
      <c>
        <v>33909</v>
      </c>
      <c t="s">
        <v>48169</v>
      </c>
      <c t="s">
        <v>48794</v>
      </c>
      <c t="s">
        <v>64675</v>
      </c>
      <c>
        <v>2711</v>
      </c>
      <c r="AI5070" t="s">
        <v>27223</v>
      </c>
      <c t="s">
        <v>40123</v>
      </c>
      <c r="AL5070" t="s">
        <v>19225</v>
      </c>
      <c t="s">
        <v>19225</v>
      </c>
      <c t="s">
        <v>19878</v>
      </c>
      <c t="s">
        <v>39801</v>
      </c>
      <c t="s">
        <v>54925</v>
      </c>
      <c t="s">
        <v>3093</v>
      </c>
      <c t="s">
        <v>66799</v>
      </c>
    </row>
    <row>
      <c t="s">
        <v>17594</v>
      </c>
      <c t="s">
        <v>23868</v>
      </c>
      <c t="s">
        <v>66199</v>
      </c>
      <c t="s">
        <v>26160</v>
      </c>
      <c t="s">
        <v>62249</v>
      </c>
      <c s="3">
        <v>26290</v>
      </c>
      <c s="3">
        <v>26290</v>
      </c>
      <c s="3">
        <v>12650</v>
      </c>
      <c>
        <v>0</v>
      </c>
      <c s="3">
        <v>0</v>
      </c>
      <c s="3">
        <v>654.09</v>
      </c>
      <c s="3">
        <v>26290</v>
      </c>
      <c r="O5071" s="1" t="str">
        <f ca="1">HYPERLINK("https://web.datatree.com/?/property?propertyId=33994592", "https://web.datatree.com/?/property?propertyId=33994592")</f>
        <v>https://web.datatree.com/?/property?propertyId=33994592</v>
      </c>
      <c r="Q5071" t="s">
        <v>316</v>
      </c>
      <c>
        <v>0.244</v>
      </c>
      <c t="s">
        <v>22490</v>
      </c>
      <c t="s">
        <v>55321</v>
      </c>
      <c t="s">
        <v>15083</v>
      </c>
      <c t="s">
        <v>37194</v>
      </c>
      <c t="s">
        <v>15083</v>
      </c>
      <c t="s">
        <v>65984</v>
      </c>
      <c t="s">
        <v>66701</v>
      </c>
      <c t="s">
        <v>2517</v>
      </c>
      <c t="s">
        <v>39289</v>
      </c>
      <c>
        <v>33909</v>
      </c>
      <c t="s">
        <v>24626</v>
      </c>
      <c t="s">
        <v>48794</v>
      </c>
      <c t="s">
        <v>24078</v>
      </c>
      <c>
        <v>285</v>
      </c>
      <c r="AI5071" t="s">
        <v>2452</v>
      </c>
      <c t="s">
        <v>31192</v>
      </c>
      <c r="AL5071" t="s">
        <v>12829</v>
      </c>
      <c t="s">
        <v>49085</v>
      </c>
      <c t="s">
        <v>50917</v>
      </c>
      <c t="s">
        <v>32528</v>
      </c>
      <c t="s">
        <v>33029</v>
      </c>
      <c t="s">
        <v>3093</v>
      </c>
      <c t="s">
        <v>13114</v>
      </c>
    </row>
    <row>
      <c t="s">
        <v>17594</v>
      </c>
      <c t="s">
        <v>49065</v>
      </c>
      <c t="s">
        <v>3665</v>
      </c>
      <c t="s">
        <v>24064</v>
      </c>
      <c t="s">
        <v>47020</v>
      </c>
      <c s="3">
        <v>8903</v>
      </c>
      <c s="3">
        <v>8903</v>
      </c>
      <c s="3">
        <v>5985</v>
      </c>
      <c>
        <v>0</v>
      </c>
      <c s="3">
        <v>0</v>
      </c>
      <c s="3">
        <v>323.16</v>
      </c>
      <c s="3">
        <v>8903</v>
      </c>
      <c r="O5072" s="1" t="str">
        <f ca="1">HYPERLINK("https://web.datatree.com/?/property?propertyId=33994693", "https://web.datatree.com/?/property?propertyId=33994693")</f>
        <v>https://web.datatree.com/?/property?propertyId=33994693</v>
      </c>
      <c r="Q5072" t="s">
        <v>316</v>
      </c>
      <c>
        <v>0.235</v>
      </c>
      <c t="s">
        <v>5471</v>
      </c>
      <c t="s">
        <v>41794</v>
      </c>
      <c t="s">
        <v>34034</v>
      </c>
      <c r="X5072" t="s">
        <v>9467</v>
      </c>
      <c t="s">
        <v>40660</v>
      </c>
      <c t="s">
        <v>65059</v>
      </c>
      <c t="s">
        <v>39289</v>
      </c>
      <c>
        <v>33905</v>
      </c>
      <c t="s">
        <v>26421</v>
      </c>
      <c t="s">
        <v>48794</v>
      </c>
      <c t="s">
        <v>29389</v>
      </c>
      <c>
        <v>612</v>
      </c>
      <c r="AI5072" t="s">
        <v>47419</v>
      </c>
      <c t="s">
        <v>45393</v>
      </c>
      <c r="AL5072" t="s">
        <v>11767</v>
      </c>
      <c r="AN5072" t="s">
        <v>49572</v>
      </c>
      <c t="s">
        <v>63541</v>
      </c>
      <c t="s">
        <v>26242</v>
      </c>
      <c t="s">
        <v>3093</v>
      </c>
      <c t="s">
        <v>53239</v>
      </c>
    </row>
    <row>
      <c t="s">
        <v>17594</v>
      </c>
      <c t="s">
        <v>63729</v>
      </c>
      <c t="s">
        <v>65165</v>
      </c>
      <c t="s">
        <v>10867</v>
      </c>
      <c t="s">
        <v>3292</v>
      </c>
      <c s="3">
        <v>23100</v>
      </c>
      <c s="3">
        <v>23100</v>
      </c>
      <c s="3">
        <v>23100</v>
      </c>
      <c>
        <v>0</v>
      </c>
      <c s="3">
        <v>0</v>
      </c>
      <c s="3">
        <v>315.37</v>
      </c>
      <c s="3">
        <v>23100</v>
      </c>
      <c r="O5073" s="1" t="str">
        <f ca="1">HYPERLINK("https://web.datatree.com/?/property?propertyId=33994923", "https://web.datatree.com/?/property?propertyId=33994923")</f>
        <v>https://web.datatree.com/?/property?propertyId=33994923</v>
      </c>
      <c r="Q5073" t="s">
        <v>316</v>
      </c>
      <c>
        <v>0.22</v>
      </c>
      <c t="s">
        <v>5471</v>
      </c>
      <c t="s">
        <v>30490</v>
      </c>
      <c t="s">
        <v>50051</v>
      </c>
      <c r="X5073" t="s">
        <v>28407</v>
      </c>
      <c t="s">
        <v>19191</v>
      </c>
      <c t="s">
        <v>65059</v>
      </c>
      <c t="s">
        <v>39289</v>
      </c>
      <c>
        <v>33905</v>
      </c>
      <c t="s">
        <v>85</v>
      </c>
      <c t="s">
        <v>48794</v>
      </c>
      <c t="s">
        <v>26963</v>
      </c>
      <c>
        <v>690</v>
      </c>
      <c r="AI5073" t="s">
        <v>4335</v>
      </c>
      <c t="s">
        <v>1671</v>
      </c>
      <c r="AL5073" t="s">
        <v>22531</v>
      </c>
      <c t="s">
        <v>22531</v>
      </c>
      <c t="s">
        <v>39289</v>
      </c>
      <c t="s">
        <v>54540</v>
      </c>
      <c t="s">
        <v>34162</v>
      </c>
      <c t="s">
        <v>3093</v>
      </c>
      <c t="s">
        <v>25456</v>
      </c>
    </row>
    <row>
      <c t="s">
        <v>17594</v>
      </c>
      <c t="s">
        <v>16671</v>
      </c>
      <c t="s">
        <v>59615</v>
      </c>
      <c t="s">
        <v>32634</v>
      </c>
      <c t="s">
        <v>24395</v>
      </c>
      <c s="3">
        <v>697376</v>
      </c>
      <c s="3">
        <v>697376</v>
      </c>
      <c s="3">
        <v>668800</v>
      </c>
      <c>
        <v>0</v>
      </c>
      <c s="3">
        <v>0</v>
      </c>
      <c s="3">
        <v>11245.5</v>
      </c>
      <c s="3">
        <v>697376</v>
      </c>
      <c r="O5074" s="1" t="str">
        <f ca="1">HYPERLINK("https://web.datatree.com/?/property?propertyId=33995192", "https://web.datatree.com/?/property?propertyId=33995192")</f>
        <v>https://web.datatree.com/?/property?propertyId=33995192</v>
      </c>
      <c r="Q5074" t="s">
        <v>316</v>
      </c>
      <c>
        <v>0.333</v>
      </c>
      <c t="s">
        <v>22490</v>
      </c>
      <c t="s">
        <v>19876</v>
      </c>
      <c t="s">
        <v>60639</v>
      </c>
      <c r="X5074" t="s">
        <v>31471</v>
      </c>
      <c t="s">
        <v>45617</v>
      </c>
      <c t="s">
        <v>2517</v>
      </c>
      <c t="s">
        <v>39289</v>
      </c>
      <c>
        <v>33904</v>
      </c>
      <c t="s">
        <v>32176</v>
      </c>
      <c t="s">
        <v>48794</v>
      </c>
      <c t="s">
        <v>62464</v>
      </c>
      <c r="AI5074" t="s">
        <v>12130</v>
      </c>
      <c r="AK5074">
        <v>39</v>
      </c>
      <c t="s">
        <v>23746</v>
      </c>
      <c t="s">
        <v>23746</v>
      </c>
      <c t="s">
        <v>54650</v>
      </c>
      <c>
        <v>73119</v>
      </c>
      <c r="AR5074" t="s">
        <v>57471</v>
      </c>
    </row>
    <row>
      <c t="s">
        <v>17594</v>
      </c>
      <c t="s">
        <v>52326</v>
      </c>
      <c t="s">
        <v>48138</v>
      </c>
      <c t="s">
        <v>52066</v>
      </c>
      <c t="s">
        <v>57124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5075" s="1" t="str">
        <f ca="1">HYPERLINK("https://web.datatree.com/?/property?propertyId=33995318", "https://web.datatree.com/?/property?propertyId=33995318")</f>
        <v>https://web.datatree.com/?/property?propertyId=33995318</v>
      </c>
      <c r="Q5075" t="s">
        <v>316</v>
      </c>
      <c>
        <v>0.241</v>
      </c>
      <c t="s">
        <v>5471</v>
      </c>
      <c t="s">
        <v>38239</v>
      </c>
      <c t="s">
        <v>53465</v>
      </c>
      <c t="s">
        <v>47977</v>
      </c>
      <c t="s">
        <v>22097</v>
      </c>
      <c t="s">
        <v>7911</v>
      </c>
      <c t="s">
        <v>39583</v>
      </c>
      <c t="s">
        <v>65059</v>
      </c>
      <c t="s">
        <v>39289</v>
      </c>
      <c>
        <v>33905</v>
      </c>
      <c t="s">
        <v>45122</v>
      </c>
      <c t="s">
        <v>48794</v>
      </c>
      <c t="s">
        <v>63214</v>
      </c>
      <c>
        <v>11116</v>
      </c>
      <c r="AI5075" t="s">
        <v>441</v>
      </c>
      <c t="s">
        <v>12406</v>
      </c>
      <c r="AL5075" t="s">
        <v>51967</v>
      </c>
      <c r="AN5075" t="s">
        <v>65467</v>
      </c>
      <c t="s">
        <v>47961</v>
      </c>
      <c t="s">
        <v>15968</v>
      </c>
      <c t="s">
        <v>3093</v>
      </c>
      <c t="s">
        <v>57327</v>
      </c>
    </row>
    <row>
      <c t="s">
        <v>17594</v>
      </c>
      <c t="s">
        <v>41527</v>
      </c>
      <c t="s">
        <v>44494</v>
      </c>
      <c t="s">
        <v>5987</v>
      </c>
      <c t="s">
        <v>46269</v>
      </c>
      <c s="3">
        <v>7700</v>
      </c>
      <c s="3">
        <v>7700</v>
      </c>
      <c s="3">
        <v>7700</v>
      </c>
      <c>
        <v>0</v>
      </c>
      <c s="3">
        <v>0</v>
      </c>
      <c s="3">
        <v>694.27</v>
      </c>
      <c s="3">
        <v>7700</v>
      </c>
      <c r="O5076" s="1" t="str">
        <f ca="1">HYPERLINK("https://web.datatree.com/?/property?propertyId=33996112", "https://web.datatree.com/?/property?propertyId=33996112")</f>
        <v>https://web.datatree.com/?/property?propertyId=33996112</v>
      </c>
      <c r="Q5076" t="s">
        <v>316</v>
      </c>
      <c>
        <v>0.242</v>
      </c>
      <c t="s">
        <v>6175</v>
      </c>
      <c t="s">
        <v>31064</v>
      </c>
      <c t="s">
        <v>13029</v>
      </c>
      <c t="s">
        <v>11077</v>
      </c>
      <c t="s">
        <v>13029</v>
      </c>
      <c t="s">
        <v>17049</v>
      </c>
      <c t="s">
        <v>13829</v>
      </c>
      <c t="s">
        <v>2517</v>
      </c>
      <c t="s">
        <v>39289</v>
      </c>
      <c>
        <v>33909</v>
      </c>
      <c t="s">
        <v>62856</v>
      </c>
      <c t="s">
        <v>48794</v>
      </c>
      <c t="s">
        <v>29169</v>
      </c>
      <c>
        <v>20040</v>
      </c>
      <c r="AI5076" t="s">
        <v>33395</v>
      </c>
      <c t="s">
        <v>1671</v>
      </c>
      <c r="AL5076" t="s">
        <v>29515</v>
      </c>
      <c t="s">
        <v>28635</v>
      </c>
      <c t="s">
        <v>39289</v>
      </c>
      <c t="s">
        <v>38596</v>
      </c>
      <c t="s">
        <v>45980</v>
      </c>
      <c t="s">
        <v>3093</v>
      </c>
      <c t="s">
        <v>8886</v>
      </c>
    </row>
    <row>
      <c t="s">
        <v>17594</v>
      </c>
      <c t="s">
        <v>45522</v>
      </c>
      <c t="s">
        <v>44614</v>
      </c>
      <c t="s">
        <v>29467</v>
      </c>
      <c t="s">
        <v>20022</v>
      </c>
      <c s="3">
        <v>7700</v>
      </c>
      <c s="3">
        <v>7700</v>
      </c>
      <c s="3">
        <v>7700</v>
      </c>
      <c>
        <v>0</v>
      </c>
      <c s="3">
        <v>0</v>
      </c>
      <c s="3">
        <v>561.47</v>
      </c>
      <c s="3">
        <v>7700</v>
      </c>
      <c r="O5077" s="1" t="str">
        <f ca="1">HYPERLINK("https://web.datatree.com/?/property?propertyId=33996229", "https://web.datatree.com/?/property?propertyId=33996229")</f>
        <v>https://web.datatree.com/?/property?propertyId=33996229</v>
      </c>
      <c r="Q5077" t="s">
        <v>316</v>
      </c>
      <c>
        <v>0.249</v>
      </c>
      <c t="s">
        <v>6175</v>
      </c>
      <c t="s">
        <v>54345</v>
      </c>
      <c t="s">
        <v>11733</v>
      </c>
      <c r="W5077" t="s">
        <v>855</v>
      </c>
      <c t="s">
        <v>1391</v>
      </c>
      <c t="s">
        <v>14534</v>
      </c>
      <c t="s">
        <v>2517</v>
      </c>
      <c t="s">
        <v>39289</v>
      </c>
      <c>
        <v>33909</v>
      </c>
      <c t="s">
        <v>40405</v>
      </c>
      <c t="s">
        <v>48794</v>
      </c>
      <c t="s">
        <v>30401</v>
      </c>
      <c>
        <v>1906</v>
      </c>
      <c r="AI5077" t="s">
        <v>4438</v>
      </c>
      <c t="s">
        <v>45393</v>
      </c>
      <c r="AL5077" t="s">
        <v>29470</v>
      </c>
      <c r="AN5077" t="s">
        <v>9387</v>
      </c>
      <c t="s">
        <v>43275</v>
      </c>
      <c t="s">
        <v>4480</v>
      </c>
      <c t="s">
        <v>3093</v>
      </c>
      <c t="s">
        <v>23416</v>
      </c>
    </row>
    <row>
      <c t="s">
        <v>17594</v>
      </c>
      <c t="s">
        <v>16185</v>
      </c>
      <c t="s">
        <v>62433</v>
      </c>
      <c t="s">
        <v>31861</v>
      </c>
      <c t="s">
        <v>29414</v>
      </c>
      <c s="3">
        <v>172485</v>
      </c>
      <c s="3">
        <v>140977</v>
      </c>
      <c s="3">
        <v>145546</v>
      </c>
      <c>
        <v>0</v>
      </c>
      <c s="3">
        <v>0</v>
      </c>
      <c s="3">
        <v>2551.44</v>
      </c>
      <c s="3">
        <v>172485</v>
      </c>
      <c r="O5078" s="1" t="str">
        <f ca="1">HYPERLINK("https://web.datatree.com/?/property?propertyId=33996768", "https://web.datatree.com/?/property?propertyId=33996768")</f>
        <v>https://web.datatree.com/?/property?propertyId=33996768</v>
      </c>
      <c r="Q5078" t="s">
        <v>316</v>
      </c>
      <c>
        <v>0.23</v>
      </c>
      <c t="s">
        <v>22490</v>
      </c>
      <c t="s">
        <v>32056</v>
      </c>
      <c t="s">
        <v>57969</v>
      </c>
      <c t="s">
        <v>10061</v>
      </c>
      <c t="s">
        <v>57969</v>
      </c>
      <c t="s">
        <v>67170</v>
      </c>
      <c t="s">
        <v>18679</v>
      </c>
      <c t="s">
        <v>2517</v>
      </c>
      <c t="s">
        <v>39289</v>
      </c>
      <c>
        <v>33904</v>
      </c>
      <c>
        <v>33904</v>
      </c>
      <c t="s">
        <v>48794</v>
      </c>
      <c t="s">
        <v>31536</v>
      </c>
      <c>
        <v>61</v>
      </c>
      <c r="AI5078" t="s">
        <v>62868</v>
      </c>
      <c t="s">
        <v>31192</v>
      </c>
      <c r="AL5078" t="s">
        <v>38064</v>
      </c>
      <c r="AN5078" t="s">
        <v>26016</v>
      </c>
      <c t="s">
        <v>50999</v>
      </c>
      <c t="s">
        <v>45980</v>
      </c>
      <c t="s">
        <v>3093</v>
      </c>
      <c t="s">
        <v>36305</v>
      </c>
    </row>
    <row>
      <c t="s">
        <v>17594</v>
      </c>
      <c t="s">
        <v>50825</v>
      </c>
      <c t="s">
        <v>53545</v>
      </c>
      <c t="s">
        <v>2027</v>
      </c>
      <c t="s">
        <v>41397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>
        <v>2018</v>
      </c>
      <c>
        <v>4228.26</v>
      </c>
      <c s="1" t="str">
        <f ca="1">HYPERLINK("https://web.datatree.com/?/property?propertyId=33997912", "https://web.datatree.com/?/property?propertyId=33997912")</f>
        <v>https://web.datatree.com/?/property?propertyId=33997912</v>
      </c>
      <c r="Q5079" t="s">
        <v>316</v>
      </c>
      <c>
        <v>0.23</v>
      </c>
      <c t="s">
        <v>22490</v>
      </c>
      <c t="s">
        <v>33254</v>
      </c>
      <c t="s">
        <v>6072</v>
      </c>
      <c r="X5079" t="s">
        <v>66251</v>
      </c>
      <c t="s">
        <v>61850</v>
      </c>
      <c t="s">
        <v>2517</v>
      </c>
      <c t="s">
        <v>39289</v>
      </c>
      <c>
        <v>33909</v>
      </c>
      <c t="s">
        <v>44591</v>
      </c>
      <c t="s">
        <v>48794</v>
      </c>
      <c t="s">
        <v>33953</v>
      </c>
      <c>
        <v>2436</v>
      </c>
      <c r="AI5079" t="s">
        <v>29342</v>
      </c>
      <c t="s">
        <v>24900</v>
      </c>
      <c>
        <v>1</v>
      </c>
      <c t="s">
        <v>6144</v>
      </c>
      <c r="AN5079" t="s">
        <v>50917</v>
      </c>
      <c t="s">
        <v>42409</v>
      </c>
      <c t="s">
        <v>34162</v>
      </c>
      <c t="s">
        <v>3093</v>
      </c>
      <c t="s">
        <v>9356</v>
      </c>
    </row>
    <row>
      <c t="s">
        <v>17594</v>
      </c>
      <c t="s">
        <v>63549</v>
      </c>
      <c t="s">
        <v>13582</v>
      </c>
      <c t="s">
        <v>38170</v>
      </c>
      <c t="s">
        <v>65990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080" s="1" t="str">
        <f ca="1">HYPERLINK("https://web.datatree.com/?/property?propertyId=33998351", "https://web.datatree.com/?/property?propertyId=33998351")</f>
        <v>https://web.datatree.com/?/property?propertyId=33998351</v>
      </c>
      <c r="Q5080" t="s">
        <v>316</v>
      </c>
      <c>
        <v>0.23</v>
      </c>
      <c t="s">
        <v>6175</v>
      </c>
      <c t="s">
        <v>1611</v>
      </c>
      <c t="s">
        <v>11424</v>
      </c>
      <c r="W5080" t="s">
        <v>855</v>
      </c>
      <c t="s">
        <v>50539</v>
      </c>
      <c t="s">
        <v>34731</v>
      </c>
      <c t="s">
        <v>2517</v>
      </c>
      <c t="s">
        <v>39289</v>
      </c>
      <c>
        <v>33909</v>
      </c>
      <c t="s">
        <v>47439</v>
      </c>
      <c t="s">
        <v>48794</v>
      </c>
      <c t="s">
        <v>46724</v>
      </c>
      <c>
        <v>5770</v>
      </c>
      <c r="AI5080" t="s">
        <v>45283</v>
      </c>
      <c t="s">
        <v>31192</v>
      </c>
      <c r="AL5080" t="s">
        <v>27095</v>
      </c>
      <c t="s">
        <v>20588</v>
      </c>
      <c t="s">
        <v>66651</v>
      </c>
      <c t="s">
        <v>18342</v>
      </c>
      <c t="s">
        <v>32752</v>
      </c>
      <c t="s">
        <v>3093</v>
      </c>
      <c t="s">
        <v>55041</v>
      </c>
    </row>
    <row>
      <c t="s">
        <v>42103</v>
      </c>
      <c t="s">
        <v>35312</v>
      </c>
      <c t="s">
        <v>23702</v>
      </c>
      <c t="s">
        <v>61944</v>
      </c>
      <c t="s">
        <v>25622</v>
      </c>
      <c s="3">
        <v>18361</v>
      </c>
      <c s="3">
        <v>18361</v>
      </c>
      <c s="3">
        <v>9339</v>
      </c>
      <c>
        <v>0</v>
      </c>
      <c s="3">
        <v>0</v>
      </c>
      <c s="3">
        <v>575.99</v>
      </c>
      <c s="3">
        <v>18361</v>
      </c>
      <c>
        <v>2015</v>
      </c>
      <c>
        <v>8829.56</v>
      </c>
      <c s="1" t="str">
        <f ca="1">HYPERLINK("https://web.datatree.com/?/property?propertyId=33998407", "https://web.datatree.com/?/property?propertyId=33998407")</f>
        <v>https://web.datatree.com/?/property?propertyId=33998407</v>
      </c>
      <c r="Q5081" t="s">
        <v>316</v>
      </c>
      <c>
        <v>0.23</v>
      </c>
      <c t="s">
        <v>6175</v>
      </c>
      <c t="s">
        <v>16200</v>
      </c>
      <c t="s">
        <v>17990</v>
      </c>
      <c r="X5081" t="s">
        <v>2644</v>
      </c>
      <c t="s">
        <v>30928</v>
      </c>
      <c t="s">
        <v>2517</v>
      </c>
      <c t="s">
        <v>39289</v>
      </c>
      <c>
        <v>33909</v>
      </c>
      <c t="s">
        <v>11788</v>
      </c>
      <c t="s">
        <v>48794</v>
      </c>
      <c t="s">
        <v>33086</v>
      </c>
      <c r="AI5081" t="s">
        <v>10457</v>
      </c>
      <c r="AL5081" t="s">
        <v>20957</v>
      </c>
      <c r="AN5081" t="s">
        <v>50917</v>
      </c>
      <c>
        <v>11957</v>
      </c>
      <c t="s">
        <v>1762</v>
      </c>
      <c t="s">
        <v>3093</v>
      </c>
      <c t="s">
        <v>22134</v>
      </c>
    </row>
    <row>
      <c t="s">
        <v>17594</v>
      </c>
      <c t="s">
        <v>10058</v>
      </c>
      <c t="s">
        <v>58406</v>
      </c>
      <c t="s">
        <v>67113</v>
      </c>
      <c t="s">
        <v>38330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082" s="1" t="str">
        <f ca="1">HYPERLINK("https://web.datatree.com/?/property?propertyId=33998501", "https://web.datatree.com/?/property?propertyId=33998501")</f>
        <v>https://web.datatree.com/?/property?propertyId=33998501</v>
      </c>
      <c r="Q5082" t="s">
        <v>316</v>
      </c>
      <c>
        <v>0.23</v>
      </c>
      <c t="s">
        <v>22490</v>
      </c>
      <c t="s">
        <v>30886</v>
      </c>
      <c t="s">
        <v>63573</v>
      </c>
      <c t="s">
        <v>44918</v>
      </c>
      <c t="s">
        <v>63573</v>
      </c>
      <c t="s">
        <v>52382</v>
      </c>
      <c t="s">
        <v>55273</v>
      </c>
      <c t="s">
        <v>2517</v>
      </c>
      <c t="s">
        <v>39289</v>
      </c>
      <c>
        <v>33909</v>
      </c>
      <c>
        <v>33909</v>
      </c>
      <c t="s">
        <v>48794</v>
      </c>
      <c t="s">
        <v>56796</v>
      </c>
      <c>
        <v>10782</v>
      </c>
      <c r="AI5082" t="s">
        <v>35122</v>
      </c>
      <c t="s">
        <v>45393</v>
      </c>
      <c r="AL5082" t="s">
        <v>20406</v>
      </c>
      <c r="AN5082" t="s">
        <v>26443</v>
      </c>
      <c t="s">
        <v>31621</v>
      </c>
      <c t="s">
        <v>21054</v>
      </c>
      <c t="s">
        <v>3093</v>
      </c>
      <c t="s">
        <v>50806</v>
      </c>
    </row>
    <row>
      <c t="s">
        <v>17594</v>
      </c>
      <c t="s">
        <v>64167</v>
      </c>
      <c t="s">
        <v>1321</v>
      </c>
      <c t="s">
        <v>8546</v>
      </c>
      <c t="s">
        <v>42198</v>
      </c>
      <c s="3">
        <v>17260</v>
      </c>
      <c s="3">
        <v>17260</v>
      </c>
      <c s="3">
        <v>8470</v>
      </c>
      <c>
        <v>0</v>
      </c>
      <c s="3">
        <v>0</v>
      </c>
      <c s="3">
        <v>561.47</v>
      </c>
      <c s="3">
        <v>17260</v>
      </c>
      <c r="O5083" s="1" t="str">
        <f ca="1">HYPERLINK("https://web.datatree.com/?/property?propertyId=33999491", "https://web.datatree.com/?/property?propertyId=33999491")</f>
        <v>https://web.datatree.com/?/property?propertyId=33999491</v>
      </c>
      <c r="Q5083" t="s">
        <v>316</v>
      </c>
      <c>
        <v>0.248</v>
      </c>
      <c t="s">
        <v>6175</v>
      </c>
      <c t="s">
        <v>21670</v>
      </c>
      <c t="s">
        <v>33470</v>
      </c>
      <c r="X5083" t="s">
        <v>17467</v>
      </c>
      <c t="s">
        <v>22731</v>
      </c>
      <c t="s">
        <v>2517</v>
      </c>
      <c t="s">
        <v>39289</v>
      </c>
      <c>
        <v>33909</v>
      </c>
      <c t="s">
        <v>42328</v>
      </c>
      <c t="s">
        <v>48794</v>
      </c>
      <c t="s">
        <v>53113</v>
      </c>
      <c>
        <v>6900</v>
      </c>
      <c r="AI5083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55666</v>
      </c>
      <c t="s">
        <v>51414</v>
      </c>
      <c t="s">
        <v>65951</v>
      </c>
      <c t="s">
        <v>7498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084" s="1" t="str">
        <f ca="1">HYPERLINK("https://web.datatree.com/?/property?propertyId=34000643", "https://web.datatree.com/?/property?propertyId=34000643")</f>
        <v>https://web.datatree.com/?/property?propertyId=34000643</v>
      </c>
      <c r="Q5084" t="s">
        <v>316</v>
      </c>
      <c>
        <v>0.23</v>
      </c>
      <c t="s">
        <v>6175</v>
      </c>
      <c t="s">
        <v>33523</v>
      </c>
      <c t="s">
        <v>67029</v>
      </c>
      <c t="s">
        <v>36241</v>
      </c>
      <c t="s">
        <v>2427</v>
      </c>
      <c t="s">
        <v>47113</v>
      </c>
      <c t="s">
        <v>25017</v>
      </c>
      <c t="s">
        <v>2517</v>
      </c>
      <c t="s">
        <v>39289</v>
      </c>
      <c>
        <v>33909</v>
      </c>
      <c t="s">
        <v>47131</v>
      </c>
      <c t="s">
        <v>48794</v>
      </c>
      <c t="s">
        <v>5671</v>
      </c>
      <c>
        <v>620</v>
      </c>
      <c r="AI5084" t="s">
        <v>48518</v>
      </c>
      <c t="s">
        <v>45393</v>
      </c>
      <c r="AL5084" t="s">
        <v>12532</v>
      </c>
      <c r="AN5084" t="s">
        <v>26016</v>
      </c>
      <c t="s">
        <v>22096</v>
      </c>
      <c t="s">
        <v>50779</v>
      </c>
      <c t="s">
        <v>3093</v>
      </c>
      <c t="s">
        <v>15887</v>
      </c>
    </row>
    <row>
      <c t="s">
        <v>17594</v>
      </c>
      <c t="s">
        <v>31636</v>
      </c>
      <c t="s">
        <v>34398</v>
      </c>
      <c t="s">
        <v>21089</v>
      </c>
      <c t="s">
        <v>9844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5085" s="1" t="str">
        <f ca="1">HYPERLINK("https://web.datatree.com/?/property?propertyId=34001161", "https://web.datatree.com/?/property?propertyId=34001161")</f>
        <v>https://web.datatree.com/?/property?propertyId=34001161</v>
      </c>
      <c r="Q5085" t="s">
        <v>316</v>
      </c>
      <c>
        <v>0.23</v>
      </c>
      <c t="s">
        <v>6175</v>
      </c>
      <c r="U5085" t="s">
        <v>1322</v>
      </c>
      <c r="W5085" t="s">
        <v>39471</v>
      </c>
      <c t="s">
        <v>16676</v>
      </c>
      <c t="s">
        <v>29190</v>
      </c>
      <c t="s">
        <v>2517</v>
      </c>
      <c t="s">
        <v>39289</v>
      </c>
      <c>
        <v>33909</v>
      </c>
      <c t="s">
        <v>124</v>
      </c>
      <c t="s">
        <v>48794</v>
      </c>
      <c t="s">
        <v>34095</v>
      </c>
      <c>
        <v>2925</v>
      </c>
      <c r="AI5085" t="s">
        <v>2916</v>
      </c>
      <c t="s">
        <v>31192</v>
      </c>
      <c>
        <v>403</v>
      </c>
      <c t="s">
        <v>17856</v>
      </c>
      <c t="s">
        <v>60619</v>
      </c>
      <c t="s">
        <v>50829</v>
      </c>
      <c t="s">
        <v>27673</v>
      </c>
      <c t="s">
        <v>19978</v>
      </c>
      <c t="s">
        <v>3093</v>
      </c>
      <c t="s">
        <v>64231</v>
      </c>
    </row>
    <row>
      <c t="s">
        <v>17594</v>
      </c>
      <c t="s">
        <v>50518</v>
      </c>
      <c t="s">
        <v>34592</v>
      </c>
      <c t="s">
        <v>36497</v>
      </c>
      <c t="s">
        <v>14401</v>
      </c>
      <c s="3">
        <v>21600</v>
      </c>
      <c s="3">
        <v>21600</v>
      </c>
      <c s="3">
        <v>9599</v>
      </c>
      <c>
        <v>0</v>
      </c>
      <c s="3">
        <v>0</v>
      </c>
      <c s="3">
        <v>712.75</v>
      </c>
      <c s="3">
        <v>21600</v>
      </c>
      <c r="O5086" s="1" t="str">
        <f ca="1">HYPERLINK("https://web.datatree.com/?/property?propertyId=34001168", "https://web.datatree.com/?/property?propertyId=34001168")</f>
        <v>https://web.datatree.com/?/property?propertyId=34001168</v>
      </c>
      <c r="Q5086" t="s">
        <v>316</v>
      </c>
      <c>
        <v>0.382</v>
      </c>
      <c t="s">
        <v>6175</v>
      </c>
      <c t="s">
        <v>55174</v>
      </c>
      <c t="s">
        <v>19928</v>
      </c>
      <c t="s">
        <v>23659</v>
      </c>
      <c t="s">
        <v>19928</v>
      </c>
      <c t="s">
        <v>23282</v>
      </c>
      <c t="s">
        <v>59356</v>
      </c>
      <c t="s">
        <v>2517</v>
      </c>
      <c t="s">
        <v>39289</v>
      </c>
      <c>
        <v>33909</v>
      </c>
      <c t="s">
        <v>9460</v>
      </c>
      <c t="s">
        <v>48794</v>
      </c>
      <c t="s">
        <v>9595</v>
      </c>
      <c>
        <v>528</v>
      </c>
      <c r="AI5086" t="s">
        <v>62357</v>
      </c>
      <c t="s">
        <v>835</v>
      </c>
      <c r="AL5086" t="s">
        <v>8127</v>
      </c>
      <c r="AN5086" t="s">
        <v>39289</v>
      </c>
      <c t="s">
        <v>34046</v>
      </c>
      <c t="s">
        <v>44428</v>
      </c>
      <c t="s">
        <v>3093</v>
      </c>
      <c t="s">
        <v>3092</v>
      </c>
    </row>
    <row>
      <c t="s">
        <v>17594</v>
      </c>
      <c t="s">
        <v>54392</v>
      </c>
      <c t="s">
        <v>54149</v>
      </c>
      <c t="s">
        <v>31349</v>
      </c>
      <c t="s">
        <v>33132</v>
      </c>
      <c s="3">
        <v>93570</v>
      </c>
      <c s="3">
        <v>93570</v>
      </c>
      <c s="3">
        <v>67673</v>
      </c>
      <c>
        <v>0</v>
      </c>
      <c s="3">
        <v>0</v>
      </c>
      <c s="3">
        <v>1870.66</v>
      </c>
      <c s="3">
        <v>93570</v>
      </c>
      <c r="O5087" s="1" t="str">
        <f ca="1">HYPERLINK("https://web.datatree.com/?/property?propertyId=34003089", "https://web.datatree.com/?/property?propertyId=34003089")</f>
        <v>https://web.datatree.com/?/property?propertyId=34003089</v>
      </c>
      <c r="Q5087" t="s">
        <v>316</v>
      </c>
      <c>
        <v>0.266</v>
      </c>
      <c t="s">
        <v>22490</v>
      </c>
      <c t="s">
        <v>41556</v>
      </c>
      <c t="s">
        <v>58506</v>
      </c>
      <c r="X5087" t="s">
        <v>24302</v>
      </c>
      <c t="s">
        <v>33335</v>
      </c>
      <c t="s">
        <v>2517</v>
      </c>
      <c t="s">
        <v>39289</v>
      </c>
      <c>
        <v>33904</v>
      </c>
      <c t="s">
        <v>22473</v>
      </c>
      <c t="s">
        <v>48794</v>
      </c>
      <c t="s">
        <v>33190</v>
      </c>
      <c>
        <v>427</v>
      </c>
      <c r="AI5087" t="s">
        <v>5941</v>
      </c>
      <c t="s">
        <v>24900</v>
      </c>
      <c>
        <v>1</v>
      </c>
      <c t="s">
        <v>63932</v>
      </c>
      <c r="AN5087" t="s">
        <v>65451</v>
      </c>
      <c t="s">
        <v>28613</v>
      </c>
      <c t="s">
        <v>26416</v>
      </c>
      <c t="s">
        <v>3093</v>
      </c>
      <c t="s">
        <v>22390</v>
      </c>
    </row>
    <row>
      <c t="s">
        <v>17594</v>
      </c>
      <c t="s">
        <v>67230</v>
      </c>
      <c t="s">
        <v>1321</v>
      </c>
      <c t="s">
        <v>10228</v>
      </c>
      <c t="s">
        <v>66565</v>
      </c>
      <c s="3">
        <v>17354</v>
      </c>
      <c s="3">
        <v>17354</v>
      </c>
      <c s="3">
        <v>8360</v>
      </c>
      <c>
        <v>0</v>
      </c>
      <c s="3">
        <v>0</v>
      </c>
      <c s="3">
        <v>471.27</v>
      </c>
      <c s="3">
        <v>17354</v>
      </c>
      <c r="O5088" s="1" t="str">
        <f ca="1">HYPERLINK("https://web.datatree.com/?/property?propertyId=34003335", "https://web.datatree.com/?/property?propertyId=34003335")</f>
        <v>https://web.datatree.com/?/property?propertyId=34003335</v>
      </c>
      <c r="Q5088" t="s">
        <v>316</v>
      </c>
      <c>
        <v>0.247</v>
      </c>
      <c t="s">
        <v>6175</v>
      </c>
      <c t="s">
        <v>64322</v>
      </c>
      <c t="s">
        <v>46057</v>
      </c>
      <c r="X5088" t="s">
        <v>5989</v>
      </c>
      <c t="s">
        <v>23517</v>
      </c>
      <c t="s">
        <v>2517</v>
      </c>
      <c t="s">
        <v>39289</v>
      </c>
      <c>
        <v>33909</v>
      </c>
      <c t="s">
        <v>24764</v>
      </c>
      <c t="s">
        <v>48794</v>
      </c>
      <c t="s">
        <v>3831</v>
      </c>
      <c>
        <v>6900</v>
      </c>
      <c r="AI5088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13730</v>
      </c>
      <c t="s">
        <v>43401</v>
      </c>
      <c t="s">
        <v>9488</v>
      </c>
      <c t="s">
        <v>55667</v>
      </c>
      <c s="3">
        <v>8395</v>
      </c>
      <c s="3">
        <v>8395</v>
      </c>
      <c s="3">
        <v>8395</v>
      </c>
      <c>
        <v>0</v>
      </c>
      <c s="3">
        <v>0</v>
      </c>
      <c s="3">
        <v>619.21</v>
      </c>
      <c s="3">
        <v>8395</v>
      </c>
      <c r="O5089" s="1" t="str">
        <f ca="1">HYPERLINK("https://web.datatree.com/?/property?propertyId=34004227", "https://web.datatree.com/?/property?propertyId=34004227")</f>
        <v>https://web.datatree.com/?/property?propertyId=34004227</v>
      </c>
      <c r="Q5089" t="s">
        <v>316</v>
      </c>
      <c>
        <v>0.265</v>
      </c>
      <c t="s">
        <v>22490</v>
      </c>
      <c t="s">
        <v>29973</v>
      </c>
      <c t="s">
        <v>8817</v>
      </c>
      <c t="s">
        <v>22074</v>
      </c>
      <c t="s">
        <v>8817</v>
      </c>
      <c t="s">
        <v>26693</v>
      </c>
      <c t="s">
        <v>24999</v>
      </c>
      <c t="s">
        <v>2517</v>
      </c>
      <c t="s">
        <v>39289</v>
      </c>
      <c>
        <v>33904</v>
      </c>
      <c t="s">
        <v>19366</v>
      </c>
      <c t="s">
        <v>48794</v>
      </c>
      <c t="s">
        <v>23542</v>
      </c>
      <c>
        <v>20</v>
      </c>
      <c r="AI5089" t="s">
        <v>30953</v>
      </c>
      <c r="AL5089" t="s">
        <v>40285</v>
      </c>
      <c r="AN5089" t="s">
        <v>9387</v>
      </c>
      <c>
        <v>66620</v>
      </c>
      <c r="AR5089" t="s">
        <v>13373</v>
      </c>
    </row>
    <row>
      <c t="s">
        <v>17594</v>
      </c>
      <c t="s">
        <v>54086</v>
      </c>
      <c t="s">
        <v>26332</v>
      </c>
      <c t="s">
        <v>53943</v>
      </c>
      <c t="s">
        <v>11966</v>
      </c>
      <c s="3">
        <v>138000</v>
      </c>
      <c s="3">
        <v>138000</v>
      </c>
      <c s="3">
        <v>138000</v>
      </c>
      <c>
        <v>0</v>
      </c>
      <c s="3">
        <v>0</v>
      </c>
      <c s="3">
        <v>2593.16</v>
      </c>
      <c s="3">
        <v>138000</v>
      </c>
      <c r="O5090" s="1" t="str">
        <f ca="1">HYPERLINK("https://web.datatree.com/?/property?propertyId=34004372", "https://web.datatree.com/?/property?propertyId=34004372")</f>
        <v>https://web.datatree.com/?/property?propertyId=34004372</v>
      </c>
      <c r="Q5090" t="s">
        <v>316</v>
      </c>
      <c>
        <v>0.23</v>
      </c>
      <c t="s">
        <v>22490</v>
      </c>
      <c t="s">
        <v>57693</v>
      </c>
      <c t="s">
        <v>38798</v>
      </c>
      <c t="s">
        <v>57693</v>
      </c>
      <c r="X5090" t="s">
        <v>24915</v>
      </c>
      <c t="s">
        <v>25017</v>
      </c>
      <c t="s">
        <v>2517</v>
      </c>
      <c t="s">
        <v>39289</v>
      </c>
      <c>
        <v>33904</v>
      </c>
      <c t="s">
        <v>34240</v>
      </c>
      <c t="s">
        <v>48794</v>
      </c>
      <c t="s">
        <v>16785</v>
      </c>
      <c>
        <v>6189</v>
      </c>
      <c r="AI5090" t="s">
        <v>20139</v>
      </c>
      <c t="s">
        <v>835</v>
      </c>
      <c r="AL5090" t="s">
        <v>569</v>
      </c>
      <c r="AN5090" t="s">
        <v>17134</v>
      </c>
      <c t="s">
        <v>12754</v>
      </c>
      <c t="s">
        <v>51100</v>
      </c>
      <c t="s">
        <v>3093</v>
      </c>
      <c t="s">
        <v>49957</v>
      </c>
    </row>
    <row>
      <c t="s">
        <v>17594</v>
      </c>
      <c t="s">
        <v>52017</v>
      </c>
      <c t="s">
        <v>20537</v>
      </c>
      <c t="s">
        <v>14576</v>
      </c>
      <c t="s">
        <v>3319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091" s="1" t="str">
        <f ca="1">HYPERLINK("https://web.datatree.com/?/property?propertyId=34004601", "https://web.datatree.com/?/property?propertyId=34004601")</f>
        <v>https://web.datatree.com/?/property?propertyId=34004601</v>
      </c>
      <c r="Q5091" t="s">
        <v>316</v>
      </c>
      <c>
        <v>0.23</v>
      </c>
      <c t="s">
        <v>6175</v>
      </c>
      <c t="s">
        <v>46116</v>
      </c>
      <c t="s">
        <v>26904</v>
      </c>
      <c r="X5091" t="s">
        <v>4282</v>
      </c>
      <c t="s">
        <v>49674</v>
      </c>
      <c t="s">
        <v>2517</v>
      </c>
      <c t="s">
        <v>39289</v>
      </c>
      <c>
        <v>33909</v>
      </c>
      <c t="s">
        <v>20754</v>
      </c>
      <c t="s">
        <v>48794</v>
      </c>
      <c t="s">
        <v>26441</v>
      </c>
      <c>
        <v>13</v>
      </c>
      <c r="AI5091" t="s">
        <v>24176</v>
      </c>
      <c r="AK5091" s="4">
        <v>44927</v>
      </c>
      <c t="s">
        <v>62652</v>
      </c>
      <c r="AN5091" t="s">
        <v>19878</v>
      </c>
      <c>
        <v>97791</v>
      </c>
      <c r="AR5091" t="s">
        <v>3715</v>
      </c>
    </row>
    <row>
      <c t="s">
        <v>17594</v>
      </c>
      <c t="s">
        <v>59539</v>
      </c>
      <c t="s">
        <v>14566</v>
      </c>
      <c t="s">
        <v>18067</v>
      </c>
      <c t="s">
        <v>46217</v>
      </c>
      <c s="3">
        <v>26464</v>
      </c>
      <c s="3">
        <v>26464</v>
      </c>
      <c s="3">
        <v>12018</v>
      </c>
      <c>
        <v>0</v>
      </c>
      <c s="3">
        <v>0</v>
      </c>
      <c s="3">
        <v>738.94</v>
      </c>
      <c s="3">
        <v>26464</v>
      </c>
      <c>
        <v>2020</v>
      </c>
      <c>
        <v>1466.27</v>
      </c>
      <c s="1" t="str">
        <f ca="1">HYPERLINK("https://web.datatree.com/?/property?propertyId=34005248", "https://web.datatree.com/?/property?propertyId=34005248")</f>
        <v>https://web.datatree.com/?/property?propertyId=34005248</v>
      </c>
      <c r="Q5092" t="s">
        <v>316</v>
      </c>
      <c>
        <v>0.344</v>
      </c>
      <c t="s">
        <v>45031</v>
      </c>
      <c t="s">
        <v>38169</v>
      </c>
      <c t="s">
        <v>46201</v>
      </c>
      <c t="s">
        <v>25924</v>
      </c>
      <c t="s">
        <v>46201</v>
      </c>
      <c t="s">
        <v>33442</v>
      </c>
      <c t="s">
        <v>18679</v>
      </c>
      <c t="s">
        <v>2517</v>
      </c>
      <c t="s">
        <v>39289</v>
      </c>
      <c>
        <v>33909</v>
      </c>
      <c t="s">
        <v>14059</v>
      </c>
      <c t="s">
        <v>48794</v>
      </c>
      <c t="s">
        <v>53131</v>
      </c>
      <c>
        <v>2900</v>
      </c>
      <c r="AI5092" t="s">
        <v>34598</v>
      </c>
      <c t="s">
        <v>39321</v>
      </c>
      <c r="AL5092" t="s">
        <v>65608</v>
      </c>
      <c t="s">
        <v>65608</v>
      </c>
      <c t="s">
        <v>39289</v>
      </c>
      <c t="s">
        <v>38542</v>
      </c>
      <c t="s">
        <v>14845</v>
      </c>
      <c t="s">
        <v>3093</v>
      </c>
      <c t="s">
        <v>22363</v>
      </c>
    </row>
    <row>
      <c t="s">
        <v>17594</v>
      </c>
      <c t="s">
        <v>63621</v>
      </c>
      <c t="s">
        <v>60326</v>
      </c>
      <c t="s">
        <v>65813</v>
      </c>
      <c t="s">
        <v>66581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5093" s="1" t="str">
        <f ca="1">HYPERLINK("https://web.datatree.com/?/property?propertyId=34006263", "https://web.datatree.com/?/property?propertyId=34006263")</f>
        <v>https://web.datatree.com/?/property?propertyId=34006263</v>
      </c>
      <c r="Q5093" t="s">
        <v>316</v>
      </c>
      <c>
        <v>0.23</v>
      </c>
      <c t="s">
        <v>6175</v>
      </c>
      <c r="U5093" t="s">
        <v>2886</v>
      </c>
      <c r="W5093" t="s">
        <v>28336</v>
      </c>
      <c t="s">
        <v>18502</v>
      </c>
      <c t="s">
        <v>39832</v>
      </c>
      <c t="s">
        <v>2517</v>
      </c>
      <c t="s">
        <v>39289</v>
      </c>
      <c>
        <v>33904</v>
      </c>
      <c t="s">
        <v>24210</v>
      </c>
      <c t="s">
        <v>48794</v>
      </c>
      <c t="s">
        <v>61030</v>
      </c>
      <c>
        <v>10943</v>
      </c>
      <c r="AI5093" t="s">
        <v>65387</v>
      </c>
      <c t="s">
        <v>835</v>
      </c>
      <c r="AL5093" t="s">
        <v>17200</v>
      </c>
      <c t="s">
        <v>17200</v>
      </c>
      <c t="s">
        <v>39289</v>
      </c>
      <c t="s">
        <v>34237</v>
      </c>
      <c t="s">
        <v>23888</v>
      </c>
      <c t="s">
        <v>3093</v>
      </c>
      <c t="s">
        <v>13027</v>
      </c>
    </row>
    <row>
      <c t="s">
        <v>17594</v>
      </c>
      <c t="s">
        <v>16240</v>
      </c>
      <c t="s">
        <v>24742</v>
      </c>
      <c t="s">
        <v>52999</v>
      </c>
      <c t="s">
        <v>66248</v>
      </c>
      <c s="3">
        <v>16800</v>
      </c>
      <c s="3">
        <v>16800</v>
      </c>
      <c s="3">
        <v>16800</v>
      </c>
      <c>
        <v>0</v>
      </c>
      <c s="3">
        <v>0</v>
      </c>
      <c s="3">
        <v>922.16</v>
      </c>
      <c s="3">
        <v>16800</v>
      </c>
      <c r="O5094" s="1" t="str">
        <f ca="1">HYPERLINK("https://web.datatree.com/?/property?propertyId=34006497", "https://web.datatree.com/?/property?propertyId=34006497")</f>
        <v>https://web.datatree.com/?/property?propertyId=34006497</v>
      </c>
      <c r="Q5094" t="s">
        <v>316</v>
      </c>
      <c>
        <v>0.459</v>
      </c>
      <c t="s">
        <v>42044</v>
      </c>
      <c t="s">
        <v>51166</v>
      </c>
      <c t="s">
        <v>928</v>
      </c>
      <c r="X5094" t="s">
        <v>4060</v>
      </c>
      <c t="s">
        <v>7113</v>
      </c>
      <c t="s">
        <v>2517</v>
      </c>
      <c t="s">
        <v>39289</v>
      </c>
      <c>
        <v>33909</v>
      </c>
      <c t="s">
        <v>10821</v>
      </c>
      <c t="s">
        <v>48794</v>
      </c>
      <c t="s">
        <v>66158</v>
      </c>
      <c>
        <v>2999</v>
      </c>
      <c r="AI5094" t="s">
        <v>24999</v>
      </c>
      <c t="s">
        <v>24900</v>
      </c>
      <c r="AL5094" t="s">
        <v>55393</v>
      </c>
      <c r="AN5094" t="s">
        <v>39289</v>
      </c>
      <c t="s">
        <v>20966</v>
      </c>
      <c t="s">
        <v>64128</v>
      </c>
      <c t="s">
        <v>3093</v>
      </c>
      <c t="s">
        <v>12567</v>
      </c>
    </row>
    <row>
      <c t="s">
        <v>17594</v>
      </c>
      <c t="s">
        <v>33982</v>
      </c>
      <c t="s">
        <v>66474</v>
      </c>
      <c t="s">
        <v>8098</v>
      </c>
      <c t="s">
        <v>5747</v>
      </c>
      <c s="3">
        <v>18780</v>
      </c>
      <c s="3">
        <v>18780</v>
      </c>
      <c s="3">
        <v>7865</v>
      </c>
      <c>
        <v>0</v>
      </c>
      <c s="3">
        <v>0</v>
      </c>
      <c s="3">
        <v>517.82</v>
      </c>
      <c s="3">
        <v>18780</v>
      </c>
      <c r="O5095" s="1" t="str">
        <f ca="1">HYPERLINK("https://web.datatree.com/?/property?propertyId=34006718", "https://web.datatree.com/?/property?propertyId=34006718")</f>
        <v>https://web.datatree.com/?/property?propertyId=34006718</v>
      </c>
      <c r="Q5095" t="s">
        <v>316</v>
      </c>
      <c>
        <v>0.273</v>
      </c>
      <c t="s">
        <v>6175</v>
      </c>
      <c t="s">
        <v>49272</v>
      </c>
      <c t="s">
        <v>31067</v>
      </c>
      <c r="X5095" t="s">
        <v>4241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2893</v>
      </c>
      <c>
        <v>950</v>
      </c>
      <c r="AI5095" t="s">
        <v>64331</v>
      </c>
      <c t="s">
        <v>45393</v>
      </c>
      <c r="AL5095" t="s">
        <v>1484</v>
      </c>
      <c r="AN5095" t="s">
        <v>26016</v>
      </c>
      <c t="s">
        <v>58603</v>
      </c>
      <c t="s">
        <v>62701</v>
      </c>
      <c t="s">
        <v>3093</v>
      </c>
      <c t="s">
        <v>51632</v>
      </c>
    </row>
    <row>
      <c t="s">
        <v>17594</v>
      </c>
      <c t="s">
        <v>24564</v>
      </c>
      <c t="s">
        <v>62090</v>
      </c>
      <c t="s">
        <v>51252</v>
      </c>
      <c t="s">
        <v>10550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096" s="1" t="str">
        <f ca="1">HYPERLINK("https://web.datatree.com/?/property?propertyId=34007750", "https://web.datatree.com/?/property?propertyId=34007750")</f>
        <v>https://web.datatree.com/?/property?propertyId=34007750</v>
      </c>
      <c r="Q5096" t="s">
        <v>316</v>
      </c>
      <c>
        <v>0.23</v>
      </c>
      <c t="s">
        <v>6175</v>
      </c>
      <c t="s">
        <v>21379</v>
      </c>
      <c t="s">
        <v>46005</v>
      </c>
      <c t="s">
        <v>23659</v>
      </c>
      <c t="s">
        <v>66860</v>
      </c>
      <c t="s">
        <v>28324</v>
      </c>
      <c t="s">
        <v>46469</v>
      </c>
      <c t="s">
        <v>2517</v>
      </c>
      <c t="s">
        <v>39289</v>
      </c>
      <c>
        <v>33909</v>
      </c>
      <c t="s">
        <v>52632</v>
      </c>
      <c t="s">
        <v>48794</v>
      </c>
      <c t="s">
        <v>65505</v>
      </c>
      <c>
        <v>6</v>
      </c>
      <c r="AI5096" t="s">
        <v>50836</v>
      </c>
      <c t="s">
        <v>24900</v>
      </c>
      <c r="AL5096" t="s">
        <v>47993</v>
      </c>
      <c t="s">
        <v>47993</v>
      </c>
      <c t="s">
        <v>50917</v>
      </c>
      <c t="s">
        <v>18119</v>
      </c>
      <c t="s">
        <v>14695</v>
      </c>
      <c t="s">
        <v>3093</v>
      </c>
      <c t="s">
        <v>63043</v>
      </c>
    </row>
    <row>
      <c t="s">
        <v>17594</v>
      </c>
      <c t="s">
        <v>40767</v>
      </c>
      <c t="s">
        <v>55575</v>
      </c>
      <c t="s">
        <v>27494</v>
      </c>
      <c t="s">
        <v>10750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5097" s="1" t="str">
        <f ca="1">HYPERLINK("https://web.datatree.com/?/property?propertyId=34009212", "https://web.datatree.com/?/property?propertyId=34009212")</f>
        <v>https://web.datatree.com/?/property?propertyId=34009212</v>
      </c>
      <c r="Q5097" t="s">
        <v>316</v>
      </c>
      <c>
        <v>0.235</v>
      </c>
      <c t="s">
        <v>5471</v>
      </c>
      <c t="s">
        <v>10361</v>
      </c>
      <c t="s">
        <v>33959</v>
      </c>
      <c t="s">
        <v>21379</v>
      </c>
      <c t="s">
        <v>33959</v>
      </c>
      <c t="s">
        <v>59319</v>
      </c>
      <c t="s">
        <v>58657</v>
      </c>
      <c t="s">
        <v>65059</v>
      </c>
      <c t="s">
        <v>39289</v>
      </c>
      <c>
        <v>33905</v>
      </c>
      <c t="s">
        <v>32655</v>
      </c>
      <c t="s">
        <v>48794</v>
      </c>
      <c t="s">
        <v>15616</v>
      </c>
      <c>
        <v>152</v>
      </c>
      <c r="AI5097" t="s">
        <v>54103</v>
      </c>
      <c t="s">
        <v>45620</v>
      </c>
      <c r="AL5097" t="s">
        <v>54103</v>
      </c>
      <c r="AN5097" t="s">
        <v>22275</v>
      </c>
      <c t="s">
        <v>39921</v>
      </c>
      <c t="s">
        <v>35354</v>
      </c>
      <c t="s">
        <v>3093</v>
      </c>
      <c t="s">
        <v>16607</v>
      </c>
    </row>
    <row>
      <c t="s">
        <v>17594</v>
      </c>
      <c t="s">
        <v>8839</v>
      </c>
      <c t="s">
        <v>64453</v>
      </c>
      <c t="s">
        <v>44227</v>
      </c>
      <c t="s">
        <v>4503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5098" s="1" t="str">
        <f ca="1">HYPERLINK("https://web.datatree.com/?/property?propertyId=34009971", "https://web.datatree.com/?/property?propertyId=34009971")</f>
        <v>https://web.datatree.com/?/property?propertyId=34009971</v>
      </c>
      <c r="Q5098" t="s">
        <v>316</v>
      </c>
      <c>
        <v>0.244</v>
      </c>
      <c t="s">
        <v>6175</v>
      </c>
      <c t="s">
        <v>11082</v>
      </c>
      <c t="s">
        <v>24740</v>
      </c>
      <c t="s">
        <v>26312</v>
      </c>
      <c t="s">
        <v>24740</v>
      </c>
      <c t="s">
        <v>28319</v>
      </c>
      <c t="s">
        <v>47150</v>
      </c>
      <c t="s">
        <v>2517</v>
      </c>
      <c t="s">
        <v>39289</v>
      </c>
      <c>
        <v>33909</v>
      </c>
      <c t="s">
        <v>39450</v>
      </c>
      <c t="s">
        <v>48794</v>
      </c>
      <c t="s">
        <v>27543</v>
      </c>
      <c>
        <v>3129</v>
      </c>
      <c r="AI5098" t="s">
        <v>21763</v>
      </c>
      <c t="s">
        <v>45620</v>
      </c>
      <c r="AL5098" t="s">
        <v>63101</v>
      </c>
      <c r="AN5098" t="s">
        <v>18236</v>
      </c>
      <c t="s">
        <v>28249</v>
      </c>
      <c t="s">
        <v>22613</v>
      </c>
      <c t="s">
        <v>3093</v>
      </c>
      <c t="s">
        <v>42401</v>
      </c>
    </row>
    <row>
      <c t="s">
        <v>17594</v>
      </c>
      <c t="s">
        <v>47318</v>
      </c>
      <c t="s">
        <v>3354</v>
      </c>
      <c t="s">
        <v>27072</v>
      </c>
      <c t="s">
        <v>47733</v>
      </c>
      <c s="3">
        <v>26249</v>
      </c>
      <c s="3">
        <v>26249</v>
      </c>
      <c s="3">
        <v>12100</v>
      </c>
      <c>
        <v>0</v>
      </c>
      <c s="3">
        <v>0</v>
      </c>
      <c s="3">
        <v>653.92</v>
      </c>
      <c s="3">
        <v>26249</v>
      </c>
      <c r="O5099" s="1" t="str">
        <f ca="1">HYPERLINK("https://web.datatree.com/?/property?propertyId=34011201", "https://web.datatree.com/?/property?propertyId=34011201")</f>
        <v>https://web.datatree.com/?/property?propertyId=34011201</v>
      </c>
      <c r="Q5099" t="s">
        <v>316</v>
      </c>
      <c>
        <v>0.23</v>
      </c>
      <c t="s">
        <v>22490</v>
      </c>
      <c t="s">
        <v>35571</v>
      </c>
      <c t="s">
        <v>48632</v>
      </c>
      <c r="X5099" t="s">
        <v>51129</v>
      </c>
      <c t="s">
        <v>53675</v>
      </c>
      <c t="s">
        <v>2517</v>
      </c>
      <c t="s">
        <v>39289</v>
      </c>
      <c>
        <v>33909</v>
      </c>
      <c t="s">
        <v>4594</v>
      </c>
      <c t="s">
        <v>48794</v>
      </c>
      <c t="s">
        <v>47557</v>
      </c>
      <c>
        <v>6856</v>
      </c>
      <c r="AI5099" t="s">
        <v>62530</v>
      </c>
      <c t="s">
        <v>45620</v>
      </c>
      <c r="AL5099" t="s">
        <v>26777</v>
      </c>
      <c r="AN5099" t="s">
        <v>50829</v>
      </c>
      <c t="s">
        <v>3524</v>
      </c>
      <c t="s">
        <v>14695</v>
      </c>
      <c t="s">
        <v>3093</v>
      </c>
      <c t="s">
        <v>12923</v>
      </c>
    </row>
    <row>
      <c t="s">
        <v>17594</v>
      </c>
      <c t="s">
        <v>51936</v>
      </c>
      <c t="s">
        <v>59552</v>
      </c>
      <c t="s">
        <v>52741</v>
      </c>
      <c t="s">
        <v>63726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>
        <v>2019</v>
      </c>
      <c>
        <v>2864.06</v>
      </c>
      <c s="1" t="str">
        <f ca="1">HYPERLINK("https://web.datatree.com/?/property?propertyId=34011314", "https://web.datatree.com/?/property?propertyId=34011314")</f>
        <v>https://web.datatree.com/?/property?propertyId=34011314</v>
      </c>
      <c r="Q5100" t="s">
        <v>316</v>
      </c>
      <c>
        <v>0.23</v>
      </c>
      <c t="s">
        <v>6175</v>
      </c>
      <c t="s">
        <v>42532</v>
      </c>
      <c t="s">
        <v>22015</v>
      </c>
      <c r="X5100" t="s">
        <v>44986</v>
      </c>
      <c t="s">
        <v>55273</v>
      </c>
      <c t="s">
        <v>2517</v>
      </c>
      <c t="s">
        <v>39289</v>
      </c>
      <c>
        <v>33909</v>
      </c>
      <c t="s">
        <v>49863</v>
      </c>
      <c t="s">
        <v>48794</v>
      </c>
      <c t="s">
        <v>60742</v>
      </c>
      <c>
        <v>4830</v>
      </c>
      <c r="AI5100" t="s">
        <v>61397</v>
      </c>
      <c t="s">
        <v>45393</v>
      </c>
      <c r="AL5100" t="s">
        <v>23828</v>
      </c>
      <c r="AN5100" t="s">
        <v>39289</v>
      </c>
      <c t="s">
        <v>56327</v>
      </c>
      <c t="s">
        <v>45980</v>
      </c>
      <c t="s">
        <v>3093</v>
      </c>
      <c t="s">
        <v>18892</v>
      </c>
    </row>
    <row>
      <c t="s">
        <v>17594</v>
      </c>
      <c t="s">
        <v>15233</v>
      </c>
      <c t="s">
        <v>53358</v>
      </c>
      <c t="s">
        <v>41418</v>
      </c>
      <c t="s">
        <v>38272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101" s="1" t="str">
        <f ca="1">HYPERLINK("https://web.datatree.com/?/property?propertyId=34011703", "https://web.datatree.com/?/property?propertyId=34011703")</f>
        <v>https://web.datatree.com/?/property?propertyId=34011703</v>
      </c>
      <c r="Q5101" t="s">
        <v>316</v>
      </c>
      <c>
        <v>0.23</v>
      </c>
      <c t="s">
        <v>6175</v>
      </c>
      <c r="U5101" t="s">
        <v>55116</v>
      </c>
      <c r="W5101" t="s">
        <v>536</v>
      </c>
      <c t="s">
        <v>44693</v>
      </c>
      <c t="s">
        <v>30928</v>
      </c>
      <c t="s">
        <v>2517</v>
      </c>
      <c t="s">
        <v>39289</v>
      </c>
      <c>
        <v>33909</v>
      </c>
      <c t="s">
        <v>59524</v>
      </c>
      <c t="s">
        <v>48794</v>
      </c>
      <c t="s">
        <v>44147</v>
      </c>
      <c>
        <v>5550</v>
      </c>
      <c r="AI5101" t="s">
        <v>66239</v>
      </c>
      <c t="s">
        <v>20615</v>
      </c>
      <c r="AL5101" t="s">
        <v>4679</v>
      </c>
      <c r="AN5101" t="s">
        <v>51087</v>
      </c>
      <c t="s">
        <v>37775</v>
      </c>
      <c t="s">
        <v>52247</v>
      </c>
      <c t="s">
        <v>3093</v>
      </c>
      <c t="s">
        <v>453</v>
      </c>
    </row>
    <row>
      <c t="s">
        <v>17594</v>
      </c>
      <c t="s">
        <v>47918</v>
      </c>
      <c t="s">
        <v>19367</v>
      </c>
      <c t="s">
        <v>38208</v>
      </c>
      <c t="s">
        <v>63012</v>
      </c>
      <c s="3">
        <v>24480</v>
      </c>
      <c s="3">
        <v>24480</v>
      </c>
      <c s="3">
        <v>19965</v>
      </c>
      <c>
        <v>0</v>
      </c>
      <c s="3">
        <v>0</v>
      </c>
      <c s="3">
        <v>335.89</v>
      </c>
      <c s="3">
        <v>24480</v>
      </c>
      <c r="O5102" s="1" t="str">
        <f ca="1">HYPERLINK("https://web.datatree.com/?/property?propertyId=34012262", "https://web.datatree.com/?/property?propertyId=34012262")</f>
        <v>https://web.datatree.com/?/property?propertyId=34012262</v>
      </c>
      <c r="Q5102" t="s">
        <v>316</v>
      </c>
      <c>
        <v>0.084</v>
      </c>
      <c t="s">
        <v>45526</v>
      </c>
      <c t="s">
        <v>35571</v>
      </c>
      <c t="s">
        <v>195</v>
      </c>
      <c t="s">
        <v>1599</v>
      </c>
      <c t="s">
        <v>195</v>
      </c>
      <c t="s">
        <v>17980</v>
      </c>
      <c t="s">
        <v>44036</v>
      </c>
      <c t="s">
        <v>54524</v>
      </c>
      <c t="s">
        <v>39289</v>
      </c>
      <c>
        <v>33903</v>
      </c>
      <c t="s">
        <v>44564</v>
      </c>
      <c t="s">
        <v>48794</v>
      </c>
      <c t="s">
        <v>25623</v>
      </c>
      <c>
        <v>3404</v>
      </c>
      <c r="AI5102" t="s">
        <v>50613</v>
      </c>
      <c r="AL5102" t="s">
        <v>41872</v>
      </c>
      <c r="AN5102" t="s">
        <v>24792</v>
      </c>
      <c t="s">
        <v>15414</v>
      </c>
      <c t="s">
        <v>14695</v>
      </c>
      <c t="s">
        <v>3093</v>
      </c>
      <c t="s">
        <v>23598</v>
      </c>
    </row>
    <row>
      <c t="s">
        <v>17594</v>
      </c>
      <c t="s">
        <v>58656</v>
      </c>
      <c t="s">
        <v>42790</v>
      </c>
      <c t="s">
        <v>50913</v>
      </c>
      <c t="s">
        <v>34540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5103" s="1" t="str">
        <f ca="1">HYPERLINK("https://web.datatree.com/?/property?propertyId=34012299", "https://web.datatree.com/?/property?propertyId=34012299")</f>
        <v>https://web.datatree.com/?/property?propertyId=34012299</v>
      </c>
      <c r="Q5103" t="s">
        <v>316</v>
      </c>
      <c>
        <v>0.23</v>
      </c>
      <c t="s">
        <v>22490</v>
      </c>
      <c t="s">
        <v>3965</v>
      </c>
      <c t="s">
        <v>45794</v>
      </c>
      <c r="X5103" t="s">
        <v>23872</v>
      </c>
      <c t="s">
        <v>52171</v>
      </c>
      <c t="s">
        <v>2517</v>
      </c>
      <c t="s">
        <v>39289</v>
      </c>
      <c>
        <v>33909</v>
      </c>
      <c t="s">
        <v>33914</v>
      </c>
      <c t="s">
        <v>48794</v>
      </c>
      <c t="s">
        <v>39378</v>
      </c>
      <c>
        <v>9126</v>
      </c>
      <c r="AI5103" t="s">
        <v>26550</v>
      </c>
      <c t="s">
        <v>55842</v>
      </c>
      <c r="AL5103" t="s">
        <v>46939</v>
      </c>
      <c t="s">
        <v>46939</v>
      </c>
      <c t="s">
        <v>18236</v>
      </c>
      <c t="s">
        <v>33600</v>
      </c>
      <c t="s">
        <v>24994</v>
      </c>
      <c t="s">
        <v>3093</v>
      </c>
      <c t="s">
        <v>9308</v>
      </c>
    </row>
    <row>
      <c t="s">
        <v>17594</v>
      </c>
      <c t="s">
        <v>61992</v>
      </c>
      <c t="s">
        <v>13341</v>
      </c>
      <c t="s">
        <v>5713</v>
      </c>
      <c t="s">
        <v>9775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5104" s="1" t="str">
        <f ca="1">HYPERLINK("https://web.datatree.com/?/property?propertyId=34012806", "https://web.datatree.com/?/property?propertyId=34012806")</f>
        <v>https://web.datatree.com/?/property?propertyId=34012806</v>
      </c>
      <c r="Q5104" t="s">
        <v>316</v>
      </c>
      <c>
        <v>0.246</v>
      </c>
      <c t="s">
        <v>6175</v>
      </c>
      <c t="s">
        <v>30040</v>
      </c>
      <c t="s">
        <v>23005</v>
      </c>
      <c t="s">
        <v>50439</v>
      </c>
      <c t="s">
        <v>23005</v>
      </c>
      <c t="s">
        <v>2532</v>
      </c>
      <c t="s">
        <v>13478</v>
      </c>
      <c t="s">
        <v>2517</v>
      </c>
      <c t="s">
        <v>39289</v>
      </c>
      <c>
        <v>33909</v>
      </c>
      <c t="s">
        <v>56427</v>
      </c>
      <c t="s">
        <v>48794</v>
      </c>
      <c t="s">
        <v>51585</v>
      </c>
      <c>
        <v>216</v>
      </c>
      <c r="AI5104" t="s">
        <v>25502</v>
      </c>
      <c t="s">
        <v>835</v>
      </c>
      <c r="AL5104" t="s">
        <v>31654</v>
      </c>
      <c r="AN5104" t="s">
        <v>66651</v>
      </c>
      <c t="s">
        <v>37170</v>
      </c>
      <c t="s">
        <v>27410</v>
      </c>
      <c t="s">
        <v>3093</v>
      </c>
      <c t="s">
        <v>27513</v>
      </c>
    </row>
    <row>
      <c t="s">
        <v>17594</v>
      </c>
      <c t="s">
        <v>28529</v>
      </c>
      <c t="s">
        <v>15120</v>
      </c>
      <c t="s">
        <v>26500</v>
      </c>
      <c t="s">
        <v>31504</v>
      </c>
      <c s="3">
        <v>22041</v>
      </c>
      <c s="3">
        <v>22041</v>
      </c>
      <c s="3">
        <v>22041</v>
      </c>
      <c>
        <v>0</v>
      </c>
      <c s="3">
        <v>0</v>
      </c>
      <c s="3">
        <v>695.85</v>
      </c>
      <c s="3">
        <v>22041</v>
      </c>
      <c r="O5105" s="1" t="str">
        <f ca="1">HYPERLINK("https://web.datatree.com/?/property?propertyId=34012976", "https://web.datatree.com/?/property?propertyId=34012976")</f>
        <v>https://web.datatree.com/?/property?propertyId=34012976</v>
      </c>
      <c r="Q5105" t="s">
        <v>316</v>
      </c>
      <c>
        <v>0.344</v>
      </c>
      <c t="s">
        <v>42044</v>
      </c>
      <c t="s">
        <v>48755</v>
      </c>
      <c t="s">
        <v>35571</v>
      </c>
      <c t="s">
        <v>64500</v>
      </c>
      <c t="s">
        <v>35571</v>
      </c>
      <c t="s">
        <v>10487</v>
      </c>
      <c t="s">
        <v>57064</v>
      </c>
      <c t="s">
        <v>2517</v>
      </c>
      <c t="s">
        <v>39289</v>
      </c>
      <c>
        <v>33909</v>
      </c>
      <c t="s">
        <v>24240</v>
      </c>
      <c t="s">
        <v>48794</v>
      </c>
      <c t="s">
        <v>961</v>
      </c>
      <c>
        <v>6825</v>
      </c>
      <c r="AI5105" t="s">
        <v>16893</v>
      </c>
      <c t="s">
        <v>55842</v>
      </c>
      <c r="AL5105" t="s">
        <v>44427</v>
      </c>
      <c t="s">
        <v>44427</v>
      </c>
      <c t="s">
        <v>27481</v>
      </c>
      <c>
        <v>53012</v>
      </c>
      <c r="AQ5105" t="s">
        <v>3093</v>
      </c>
      <c t="s">
        <v>37492</v>
      </c>
    </row>
    <row>
      <c t="s">
        <v>17594</v>
      </c>
      <c t="s">
        <v>57843</v>
      </c>
      <c t="s">
        <v>20400</v>
      </c>
      <c t="s">
        <v>15246</v>
      </c>
      <c t="s">
        <v>44144</v>
      </c>
      <c s="3">
        <v>61842</v>
      </c>
      <c s="3">
        <v>61842</v>
      </c>
      <c s="3">
        <v>25466</v>
      </c>
      <c>
        <v>0</v>
      </c>
      <c s="3">
        <v>0</v>
      </c>
      <c s="3">
        <v>990.84</v>
      </c>
      <c s="3">
        <v>61842</v>
      </c>
      <c r="O5106" s="1" t="str">
        <f ca="1">HYPERLINK("https://web.datatree.com/?/property?propertyId=34013056", "https://web.datatree.com/?/property?propertyId=34013056")</f>
        <v>https://web.datatree.com/?/property?propertyId=34013056</v>
      </c>
      <c r="Q5106" t="s">
        <v>316</v>
      </c>
      <c>
        <v>0.344</v>
      </c>
      <c t="s">
        <v>6175</v>
      </c>
      <c t="s">
        <v>22997</v>
      </c>
      <c t="s">
        <v>60947</v>
      </c>
      <c r="X5106" t="s">
        <v>25608</v>
      </c>
      <c t="s">
        <v>39082</v>
      </c>
      <c t="s">
        <v>2517</v>
      </c>
      <c t="s">
        <v>39289</v>
      </c>
      <c>
        <v>33904</v>
      </c>
      <c t="s">
        <v>28387</v>
      </c>
      <c t="s">
        <v>48794</v>
      </c>
      <c t="s">
        <v>39043</v>
      </c>
      <c>
        <v>29</v>
      </c>
      <c r="AI5106" t="s">
        <v>37472</v>
      </c>
      <c t="s">
        <v>45393</v>
      </c>
      <c>
        <v>1</v>
      </c>
      <c t="s">
        <v>8109</v>
      </c>
      <c r="AN5106" t="s">
        <v>50917</v>
      </c>
      <c t="s">
        <v>4238</v>
      </c>
      <c t="s">
        <v>33029</v>
      </c>
      <c t="s">
        <v>3093</v>
      </c>
      <c t="s">
        <v>16845</v>
      </c>
    </row>
    <row>
      <c t="s">
        <v>17594</v>
      </c>
      <c t="s">
        <v>53412</v>
      </c>
      <c t="s">
        <v>30284</v>
      </c>
      <c t="s">
        <v>64398</v>
      </c>
      <c t="s">
        <v>65536</v>
      </c>
      <c s="3">
        <v>2650</v>
      </c>
      <c s="3">
        <v>2650</v>
      </c>
      <c s="3">
        <v>2124</v>
      </c>
      <c>
        <v>0</v>
      </c>
      <c s="3">
        <v>0</v>
      </c>
      <c s="3">
        <v>324.73</v>
      </c>
      <c s="3">
        <v>2650</v>
      </c>
      <c r="O5107" s="1" t="str">
        <f ca="1">HYPERLINK("https://web.datatree.com/?/property?propertyId=34013415", "https://web.datatree.com/?/property?propertyId=34013415")</f>
        <v>https://web.datatree.com/?/property?propertyId=34013415</v>
      </c>
      <c r="Q5107" t="s">
        <v>316</v>
      </c>
      <c>
        <v>0.115</v>
      </c>
      <c t="s">
        <v>6175</v>
      </c>
      <c t="s">
        <v>30261</v>
      </c>
      <c t="s">
        <v>35427</v>
      </c>
      <c t="s">
        <v>54618</v>
      </c>
      <c t="s">
        <v>35427</v>
      </c>
      <c t="s">
        <v>53952</v>
      </c>
      <c t="s">
        <v>39082</v>
      </c>
      <c t="s">
        <v>2517</v>
      </c>
      <c t="s">
        <v>39289</v>
      </c>
      <c>
        <v>33909</v>
      </c>
      <c t="s">
        <v>8813</v>
      </c>
      <c t="s">
        <v>48794</v>
      </c>
      <c t="s">
        <v>8063</v>
      </c>
      <c>
        <v>21841</v>
      </c>
      <c r="AI5107" t="s">
        <v>54030</v>
      </c>
      <c t="s">
        <v>41372</v>
      </c>
      <c r="AL5107" t="s">
        <v>51148</v>
      </c>
      <c r="AN5107" t="s">
        <v>39289</v>
      </c>
      <c t="s">
        <v>32559</v>
      </c>
      <c t="s">
        <v>26416</v>
      </c>
      <c t="s">
        <v>3093</v>
      </c>
      <c t="s">
        <v>59030</v>
      </c>
    </row>
    <row>
      <c t="s">
        <v>17594</v>
      </c>
      <c t="s">
        <v>65833</v>
      </c>
      <c t="s">
        <v>26265</v>
      </c>
      <c t="s">
        <v>44194</v>
      </c>
      <c t="s">
        <v>30249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5108" s="1" t="str">
        <f ca="1">HYPERLINK("https://web.datatree.com/?/property?propertyId=34013537", "https://web.datatree.com/?/property?propertyId=34013537")</f>
        <v>https://web.datatree.com/?/property?propertyId=34013537</v>
      </c>
      <c r="Q5108" t="s">
        <v>316</v>
      </c>
      <c>
        <v>0.228</v>
      </c>
      <c t="s">
        <v>6175</v>
      </c>
      <c t="s">
        <v>3293</v>
      </c>
      <c t="s">
        <v>29205</v>
      </c>
      <c t="s">
        <v>37529</v>
      </c>
      <c t="s">
        <v>57248</v>
      </c>
      <c t="s">
        <v>27775</v>
      </c>
      <c t="s">
        <v>34136</v>
      </c>
      <c t="s">
        <v>2517</v>
      </c>
      <c t="s">
        <v>39289</v>
      </c>
      <c>
        <v>33909</v>
      </c>
      <c t="s">
        <v>26174</v>
      </c>
      <c t="s">
        <v>48794</v>
      </c>
      <c t="s">
        <v>19733</v>
      </c>
      <c>
        <v>7946</v>
      </c>
      <c r="AI5108" t="s">
        <v>11905</v>
      </c>
      <c t="s">
        <v>55842</v>
      </c>
      <c r="AL5108" t="s">
        <v>34557</v>
      </c>
      <c t="s">
        <v>34557</v>
      </c>
      <c t="s">
        <v>65451</v>
      </c>
      <c t="s">
        <v>18870</v>
      </c>
      <c t="s">
        <v>54925</v>
      </c>
      <c t="s">
        <v>3093</v>
      </c>
      <c t="s">
        <v>51579</v>
      </c>
    </row>
    <row>
      <c t="s">
        <v>17594</v>
      </c>
      <c t="s">
        <v>66147</v>
      </c>
      <c t="s">
        <v>9575</v>
      </c>
      <c t="s">
        <v>62064</v>
      </c>
      <c t="s">
        <v>66492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523.58</v>
      </c>
      <c s="1" t="str">
        <f ca="1">HYPERLINK("https://web.datatree.com/?/property?propertyId=34013583", "https://web.datatree.com/?/property?propertyId=34013583")</f>
        <v>https://web.datatree.com/?/property?propertyId=34013583</v>
      </c>
      <c r="Q5109" t="s">
        <v>316</v>
      </c>
      <c>
        <v>0.23</v>
      </c>
      <c t="s">
        <v>6175</v>
      </c>
      <c t="s">
        <v>54692</v>
      </c>
      <c t="s">
        <v>2263</v>
      </c>
      <c t="s">
        <v>45999</v>
      </c>
      <c t="s">
        <v>45445</v>
      </c>
      <c t="s">
        <v>47633</v>
      </c>
      <c t="s">
        <v>33179</v>
      </c>
      <c t="s">
        <v>2517</v>
      </c>
      <c t="s">
        <v>39289</v>
      </c>
      <c>
        <v>33909</v>
      </c>
      <c t="s">
        <v>37036</v>
      </c>
      <c t="s">
        <v>48794</v>
      </c>
      <c t="s">
        <v>17520</v>
      </c>
      <c r="AI5109" t="s">
        <v>3993</v>
      </c>
      <c t="s">
        <v>22297</v>
      </c>
      <c r="AL5109" t="s">
        <v>19762</v>
      </c>
      <c t="s">
        <v>19762</v>
      </c>
      <c t="s">
        <v>9533</v>
      </c>
      <c>
        <v>927</v>
      </c>
      <c r="AQ5109" t="s">
        <v>3093</v>
      </c>
      <c t="s">
        <v>3902</v>
      </c>
    </row>
    <row>
      <c t="s">
        <v>17594</v>
      </c>
      <c t="s">
        <v>55037</v>
      </c>
      <c t="s">
        <v>57939</v>
      </c>
      <c t="s">
        <v>33908</v>
      </c>
      <c t="s">
        <v>49851</v>
      </c>
      <c s="3">
        <v>137500</v>
      </c>
      <c s="3">
        <v>137500</v>
      </c>
      <c s="3">
        <v>121000</v>
      </c>
      <c>
        <v>0</v>
      </c>
      <c s="3">
        <v>0</v>
      </c>
      <c s="3">
        <v>2849.04</v>
      </c>
      <c s="3">
        <v>137500</v>
      </c>
      <c r="O5110" s="1" t="str">
        <f ca="1">HYPERLINK("https://web.datatree.com/?/property?propertyId=34014727", "https://web.datatree.com/?/property?propertyId=34014727")</f>
        <v>https://web.datatree.com/?/property?propertyId=34014727</v>
      </c>
      <c r="Q5110" t="s">
        <v>316</v>
      </c>
      <c>
        <v>0.24</v>
      </c>
      <c t="s">
        <v>22490</v>
      </c>
      <c t="s">
        <v>3617</v>
      </c>
      <c t="s">
        <v>24205</v>
      </c>
      <c t="s">
        <v>45539</v>
      </c>
      <c t="s">
        <v>24205</v>
      </c>
      <c t="s">
        <v>63757</v>
      </c>
      <c t="s">
        <v>38550</v>
      </c>
      <c t="s">
        <v>2517</v>
      </c>
      <c t="s">
        <v>39289</v>
      </c>
      <c>
        <v>33904</v>
      </c>
      <c>
        <v>33904</v>
      </c>
      <c t="s">
        <v>48794</v>
      </c>
      <c t="s">
        <v>14292</v>
      </c>
      <c>
        <v>3521</v>
      </c>
      <c r="AI5110" t="s">
        <v>22341</v>
      </c>
      <c t="s">
        <v>835</v>
      </c>
      <c r="AL5110" t="s">
        <v>27194</v>
      </c>
      <c t="s">
        <v>27194</v>
      </c>
      <c t="s">
        <v>65451</v>
      </c>
      <c t="s">
        <v>30935</v>
      </c>
      <c t="s">
        <v>4797</v>
      </c>
      <c t="s">
        <v>3093</v>
      </c>
      <c t="s">
        <v>50197</v>
      </c>
    </row>
    <row>
      <c t="s">
        <v>17594</v>
      </c>
      <c t="s">
        <v>7849</v>
      </c>
      <c t="s">
        <v>57498</v>
      </c>
      <c t="s">
        <v>32438</v>
      </c>
      <c t="s">
        <v>47624</v>
      </c>
      <c s="3">
        <v>41000</v>
      </c>
      <c s="3">
        <v>41000</v>
      </c>
      <c s="3">
        <v>13310</v>
      </c>
      <c>
        <v>0</v>
      </c>
      <c s="3">
        <v>0</v>
      </c>
      <c s="3">
        <v>738.57</v>
      </c>
      <c s="3">
        <v>41000</v>
      </c>
      <c r="O5111" s="1" t="str">
        <f ca="1">HYPERLINK("https://web.datatree.com/?/property?propertyId=34014822", "https://web.datatree.com/?/property?propertyId=34014822")</f>
        <v>https://web.datatree.com/?/property?propertyId=34014822</v>
      </c>
      <c r="Q5111" t="s">
        <v>316</v>
      </c>
      <c>
        <v>0.23</v>
      </c>
      <c t="s">
        <v>14479</v>
      </c>
      <c t="s">
        <v>54971</v>
      </c>
      <c t="s">
        <v>46413</v>
      </c>
      <c t="s">
        <v>61270</v>
      </c>
      <c t="s">
        <v>46413</v>
      </c>
      <c t="s">
        <v>55461</v>
      </c>
      <c t="s">
        <v>39082</v>
      </c>
      <c t="s">
        <v>2517</v>
      </c>
      <c t="s">
        <v>39289</v>
      </c>
      <c>
        <v>33909</v>
      </c>
      <c t="s">
        <v>64059</v>
      </c>
      <c t="s">
        <v>48794</v>
      </c>
      <c t="s">
        <v>42069</v>
      </c>
      <c>
        <v>150</v>
      </c>
      <c r="AI5111" t="s">
        <v>65608</v>
      </c>
      <c t="s">
        <v>24900</v>
      </c>
      <c r="AL5111" t="s">
        <v>13641</v>
      </c>
      <c r="AN5111" t="s">
        <v>50829</v>
      </c>
      <c t="s">
        <v>65825</v>
      </c>
      <c t="s">
        <v>65288</v>
      </c>
      <c t="s">
        <v>3093</v>
      </c>
      <c t="s">
        <v>36443</v>
      </c>
    </row>
    <row>
      <c t="s">
        <v>17594</v>
      </c>
      <c t="s">
        <v>1168</v>
      </c>
      <c t="s">
        <v>35320</v>
      </c>
      <c t="s">
        <v>54610</v>
      </c>
      <c t="s">
        <v>47348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112" s="1" t="str">
        <f ca="1">HYPERLINK("https://web.datatree.com/?/property?propertyId=34015023", "https://web.datatree.com/?/property?propertyId=34015023")</f>
        <v>https://web.datatree.com/?/property?propertyId=34015023</v>
      </c>
      <c r="Q5112" t="s">
        <v>316</v>
      </c>
      <c>
        <v>0.23</v>
      </c>
      <c t="s">
        <v>22490</v>
      </c>
      <c t="s">
        <v>57851</v>
      </c>
      <c t="s">
        <v>65087</v>
      </c>
      <c t="s">
        <v>14866</v>
      </c>
      <c t="s">
        <v>65087</v>
      </c>
      <c t="s">
        <v>63430</v>
      </c>
      <c t="s">
        <v>34136</v>
      </c>
      <c t="s">
        <v>2517</v>
      </c>
      <c t="s">
        <v>39289</v>
      </c>
      <c>
        <v>33909</v>
      </c>
      <c t="s">
        <v>374</v>
      </c>
      <c t="s">
        <v>48794</v>
      </c>
      <c t="s">
        <v>60803</v>
      </c>
      <c>
        <v>5005</v>
      </c>
      <c r="AI5112" t="s">
        <v>47688</v>
      </c>
      <c t="s">
        <v>31192</v>
      </c>
      <c r="AL5112" t="s">
        <v>9092</v>
      </c>
      <c r="AN5112" t="s">
        <v>18236</v>
      </c>
      <c t="s">
        <v>44516</v>
      </c>
      <c t="s">
        <v>39566</v>
      </c>
      <c t="s">
        <v>3093</v>
      </c>
      <c t="s">
        <v>46425</v>
      </c>
    </row>
    <row>
      <c t="s">
        <v>17594</v>
      </c>
      <c t="s">
        <v>7550</v>
      </c>
      <c t="s">
        <v>23549</v>
      </c>
      <c t="s">
        <v>14765</v>
      </c>
      <c t="s">
        <v>15444</v>
      </c>
      <c s="3">
        <v>12544</v>
      </c>
      <c s="3">
        <v>12544</v>
      </c>
      <c s="3">
        <v>4972</v>
      </c>
      <c>
        <v>0</v>
      </c>
      <c s="3">
        <v>0</v>
      </c>
      <c s="3">
        <v>328.37</v>
      </c>
      <c s="3">
        <v>12544</v>
      </c>
      <c r="O5113" s="1" t="str">
        <f ca="1">HYPERLINK("https://web.datatree.com/?/property?propertyId=34015137", "https://web.datatree.com/?/property?propertyId=34015137")</f>
        <v>https://web.datatree.com/?/property?propertyId=34015137</v>
      </c>
      <c r="Q5113" t="s">
        <v>316</v>
      </c>
      <c>
        <v>0.333</v>
      </c>
      <c t="s">
        <v>5471</v>
      </c>
      <c t="s">
        <v>5759</v>
      </c>
      <c t="s">
        <v>29435</v>
      </c>
      <c r="W5113" t="s">
        <v>11925</v>
      </c>
      <c t="s">
        <v>12490</v>
      </c>
      <c t="s">
        <v>7871</v>
      </c>
      <c t="s">
        <v>65059</v>
      </c>
      <c t="s">
        <v>39289</v>
      </c>
      <c>
        <v>33905</v>
      </c>
      <c t="s">
        <v>15421</v>
      </c>
      <c t="s">
        <v>48794</v>
      </c>
      <c t="s">
        <v>26042</v>
      </c>
      <c>
        <v>18</v>
      </c>
      <c r="AI5113" t="s">
        <v>31823</v>
      </c>
      <c r="AL5113" t="s">
        <v>46797</v>
      </c>
      <c r="AN5113" t="s">
        <v>39289</v>
      </c>
      <c t="s">
        <v>63114</v>
      </c>
      <c t="s">
        <v>19978</v>
      </c>
      <c t="s">
        <v>3093</v>
      </c>
      <c t="s">
        <v>17570</v>
      </c>
    </row>
    <row>
      <c t="s">
        <v>17594</v>
      </c>
      <c t="s">
        <v>62894</v>
      </c>
      <c t="s">
        <v>16582</v>
      </c>
      <c t="s">
        <v>252</v>
      </c>
      <c t="s">
        <v>4977</v>
      </c>
      <c s="3">
        <v>17097</v>
      </c>
      <c s="3">
        <v>17097</v>
      </c>
      <c s="3">
        <v>8470</v>
      </c>
      <c>
        <v>0</v>
      </c>
      <c s="3">
        <v>0</v>
      </c>
      <c s="3">
        <v>557.43</v>
      </c>
      <c s="3">
        <v>17097</v>
      </c>
      <c r="O5114" s="1" t="str">
        <f ca="1">HYPERLINK("https://web.datatree.com/?/property?propertyId=34015559", "https://web.datatree.com/?/property?propertyId=34015559")</f>
        <v>https://web.datatree.com/?/property?propertyId=34015559</v>
      </c>
      <c r="Q5114" t="s">
        <v>316</v>
      </c>
      <c>
        <v>0.244</v>
      </c>
      <c t="s">
        <v>6175</v>
      </c>
      <c t="s">
        <v>231</v>
      </c>
      <c t="s">
        <v>46413</v>
      </c>
      <c r="X5114" t="s">
        <v>44609</v>
      </c>
      <c t="s">
        <v>46469</v>
      </c>
      <c t="s">
        <v>2517</v>
      </c>
      <c t="s">
        <v>39289</v>
      </c>
      <c>
        <v>33909</v>
      </c>
      <c t="s">
        <v>9683</v>
      </c>
      <c t="s">
        <v>48794</v>
      </c>
      <c t="s">
        <v>13614</v>
      </c>
      <c>
        <v>126</v>
      </c>
      <c r="AI5114" t="s">
        <v>53675</v>
      </c>
      <c t="s">
        <v>24900</v>
      </c>
      <c r="AL5114" t="s">
        <v>11363</v>
      </c>
      <c r="AN5114" t="s">
        <v>22275</v>
      </c>
      <c t="s">
        <v>1577</v>
      </c>
      <c t="s">
        <v>40645</v>
      </c>
      <c t="s">
        <v>3093</v>
      </c>
      <c t="s">
        <v>30819</v>
      </c>
    </row>
    <row>
      <c t="s">
        <v>17594</v>
      </c>
      <c t="s">
        <v>52315</v>
      </c>
      <c t="s">
        <v>35398</v>
      </c>
      <c t="s">
        <v>66106</v>
      </c>
      <c t="s">
        <v>8726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5115" s="1" t="str">
        <f ca="1">HYPERLINK("https://web.datatree.com/?/property?propertyId=34015656", "https://web.datatree.com/?/property?propertyId=34015656")</f>
        <v>https://web.datatree.com/?/property?propertyId=34015656</v>
      </c>
      <c r="Q5115" t="s">
        <v>316</v>
      </c>
      <c>
        <v>0.23</v>
      </c>
      <c t="s">
        <v>45031</v>
      </c>
      <c t="s">
        <v>17455</v>
      </c>
      <c t="s">
        <v>2428</v>
      </c>
      <c r="X5115" t="s">
        <v>33605</v>
      </c>
      <c t="s">
        <v>53663</v>
      </c>
      <c t="s">
        <v>2517</v>
      </c>
      <c t="s">
        <v>39289</v>
      </c>
      <c>
        <v>33909</v>
      </c>
      <c t="s">
        <v>32961</v>
      </c>
      <c t="s">
        <v>48794</v>
      </c>
      <c t="s">
        <v>43258</v>
      </c>
      <c>
        <v>4840</v>
      </c>
      <c r="AI5115" t="s">
        <v>56317</v>
      </c>
      <c t="s">
        <v>24900</v>
      </c>
      <c r="AL5115" t="s">
        <v>23972</v>
      </c>
      <c r="AN5115" t="s">
        <v>19878</v>
      </c>
      <c t="s">
        <v>54166</v>
      </c>
      <c t="s">
        <v>4797</v>
      </c>
      <c t="s">
        <v>3093</v>
      </c>
      <c t="s">
        <v>35055</v>
      </c>
    </row>
    <row>
      <c t="s">
        <v>17594</v>
      </c>
      <c t="s">
        <v>24360</v>
      </c>
      <c t="s">
        <v>1755</v>
      </c>
      <c t="s">
        <v>61337</v>
      </c>
      <c t="s">
        <v>16925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5116" s="1" t="str">
        <f ca="1">HYPERLINK("https://web.datatree.com/?/property?propertyId=34016360", "https://web.datatree.com/?/property?propertyId=34016360")</f>
        <v>https://web.datatree.com/?/property?propertyId=34016360</v>
      </c>
      <c r="Q5116" t="s">
        <v>316</v>
      </c>
      <c>
        <v>0.241</v>
      </c>
      <c t="s">
        <v>6175</v>
      </c>
      <c t="s">
        <v>11948</v>
      </c>
      <c t="s">
        <v>66549</v>
      </c>
      <c t="s">
        <v>56674</v>
      </c>
      <c t="s">
        <v>228</v>
      </c>
      <c t="s">
        <v>57607</v>
      </c>
      <c t="s">
        <v>371</v>
      </c>
      <c t="s">
        <v>2517</v>
      </c>
      <c t="s">
        <v>39289</v>
      </c>
      <c>
        <v>33909</v>
      </c>
      <c t="s">
        <v>40816</v>
      </c>
      <c t="s">
        <v>48794</v>
      </c>
      <c t="s">
        <v>45007</v>
      </c>
      <c t="s">
        <v>22634</v>
      </c>
      <c r="AI5116" t="s">
        <v>23045</v>
      </c>
      <c t="s">
        <v>10475</v>
      </c>
      <c r="AL5116" t="s">
        <v>7501</v>
      </c>
      <c t="s">
        <v>45515</v>
      </c>
      <c t="s">
        <v>50917</v>
      </c>
      <c t="s">
        <v>4829</v>
      </c>
      <c t="s">
        <v>26242</v>
      </c>
      <c t="s">
        <v>3093</v>
      </c>
      <c t="s">
        <v>26567</v>
      </c>
    </row>
    <row>
      <c t="s">
        <v>17594</v>
      </c>
      <c t="s">
        <v>48994</v>
      </c>
      <c t="s">
        <v>51393</v>
      </c>
      <c t="s">
        <v>57974</v>
      </c>
      <c t="s">
        <v>24811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117" s="1" t="str">
        <f ca="1">HYPERLINK("https://web.datatree.com/?/property?propertyId=34016397", "https://web.datatree.com/?/property?propertyId=34016397")</f>
        <v>https://web.datatree.com/?/property?propertyId=34016397</v>
      </c>
      <c r="Q5117" t="s">
        <v>316</v>
      </c>
      <c>
        <v>0.23</v>
      </c>
      <c t="s">
        <v>45031</v>
      </c>
      <c t="s">
        <v>33168</v>
      </c>
      <c t="s">
        <v>42761</v>
      </c>
      <c t="s">
        <v>63047</v>
      </c>
      <c t="s">
        <v>42761</v>
      </c>
      <c t="s">
        <v>22278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51021</v>
      </c>
      <c>
        <v>7439</v>
      </c>
      <c r="AI5117" t="s">
        <v>18230</v>
      </c>
      <c t="s">
        <v>45620</v>
      </c>
      <c r="AL5117" t="s">
        <v>10298</v>
      </c>
      <c r="AN5117" t="s">
        <v>51137</v>
      </c>
      <c t="s">
        <v>28855</v>
      </c>
      <c t="s">
        <v>52247</v>
      </c>
      <c t="s">
        <v>3093</v>
      </c>
      <c t="s">
        <v>13980</v>
      </c>
    </row>
    <row>
      <c t="s">
        <v>17594</v>
      </c>
      <c t="s">
        <v>34286</v>
      </c>
      <c t="s">
        <v>5467</v>
      </c>
      <c t="s">
        <v>24923</v>
      </c>
      <c t="s">
        <v>56108</v>
      </c>
      <c s="3">
        <v>23969</v>
      </c>
      <c s="3">
        <v>23969</v>
      </c>
      <c s="3">
        <v>12650</v>
      </c>
      <c>
        <v>0</v>
      </c>
      <c s="3">
        <v>0</v>
      </c>
      <c s="3">
        <v>671.63</v>
      </c>
      <c s="3">
        <v>23969</v>
      </c>
      <c r="O5118" s="1" t="str">
        <f ca="1">HYPERLINK("https://web.datatree.com/?/property?propertyId=34016826", "https://web.datatree.com/?/property?propertyId=34016826")</f>
        <v>https://web.datatree.com/?/property?propertyId=34016826</v>
      </c>
      <c r="Q5118" t="s">
        <v>316</v>
      </c>
      <c>
        <v>0.258</v>
      </c>
      <c t="s">
        <v>22490</v>
      </c>
      <c t="s">
        <v>22078</v>
      </c>
      <c t="s">
        <v>37991</v>
      </c>
      <c r="X5118" t="s">
        <v>26079</v>
      </c>
      <c t="s">
        <v>55273</v>
      </c>
      <c t="s">
        <v>2517</v>
      </c>
      <c t="s">
        <v>39289</v>
      </c>
      <c>
        <v>33909</v>
      </c>
      <c t="s">
        <v>27973</v>
      </c>
      <c t="s">
        <v>48794</v>
      </c>
      <c t="s">
        <v>3569</v>
      </c>
      <c>
        <v>8360</v>
      </c>
      <c r="AI5118" t="s">
        <v>53324</v>
      </c>
      <c t="s">
        <v>39321</v>
      </c>
      <c r="AL5118" t="s">
        <v>37168</v>
      </c>
      <c t="s">
        <v>37168</v>
      </c>
      <c t="s">
        <v>39289</v>
      </c>
      <c t="s">
        <v>29422</v>
      </c>
      <c t="s">
        <v>13449</v>
      </c>
      <c t="s">
        <v>3093</v>
      </c>
      <c t="s">
        <v>23177</v>
      </c>
    </row>
    <row>
      <c t="s">
        <v>17594</v>
      </c>
      <c t="s">
        <v>28850</v>
      </c>
      <c t="s">
        <v>34523</v>
      </c>
      <c t="s">
        <v>21678</v>
      </c>
      <c t="s">
        <v>27334</v>
      </c>
      <c s="3">
        <v>36960</v>
      </c>
      <c s="3">
        <v>36960</v>
      </c>
      <c s="3">
        <v>13092</v>
      </c>
      <c>
        <v>0</v>
      </c>
      <c s="3">
        <v>0</v>
      </c>
      <c s="3">
        <v>312.28</v>
      </c>
      <c s="3">
        <v>36960</v>
      </c>
      <c r="O5119" s="1" t="str">
        <f ca="1">HYPERLINK("https://web.datatree.com/?/property?propertyId=34016899", "https://web.datatree.com/?/property?propertyId=34016899")</f>
        <v>https://web.datatree.com/?/property?propertyId=34016899</v>
      </c>
      <c r="Q5119" t="s">
        <v>316</v>
      </c>
      <c>
        <v>0.32</v>
      </c>
      <c t="s">
        <v>30497</v>
      </c>
      <c t="s">
        <v>60215</v>
      </c>
      <c t="s">
        <v>50555</v>
      </c>
      <c t="s">
        <v>44610</v>
      </c>
      <c t="s">
        <v>57932</v>
      </c>
      <c t="s">
        <v>34738</v>
      </c>
      <c t="s">
        <v>12808</v>
      </c>
      <c t="s">
        <v>65059</v>
      </c>
      <c t="s">
        <v>39289</v>
      </c>
      <c>
        <v>33908</v>
      </c>
      <c t="s">
        <v>64031</v>
      </c>
      <c t="s">
        <v>48794</v>
      </c>
      <c t="s">
        <v>63459</v>
      </c>
      <c t="s">
        <v>32836</v>
      </c>
      <c r="AI5119" t="s">
        <v>19506</v>
      </c>
      <c t="s">
        <v>45620</v>
      </c>
      <c r="AL5119" t="s">
        <v>31002</v>
      </c>
      <c r="AN5119" t="s">
        <v>27481</v>
      </c>
      <c t="s">
        <v>64831</v>
      </c>
      <c t="s">
        <v>14695</v>
      </c>
      <c t="s">
        <v>3093</v>
      </c>
      <c t="s">
        <v>29510</v>
      </c>
    </row>
    <row>
      <c t="s">
        <v>17594</v>
      </c>
      <c t="s">
        <v>59123</v>
      </c>
      <c t="s">
        <v>41282</v>
      </c>
      <c t="s">
        <v>8995</v>
      </c>
      <c t="s">
        <v>64296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5120" s="1" t="str">
        <f ca="1">HYPERLINK("https://web.datatree.com/?/property?propertyId=34017525", "https://web.datatree.com/?/property?propertyId=34017525")</f>
        <v>https://web.datatree.com/?/property?propertyId=34017525</v>
      </c>
      <c r="Q5120" t="s">
        <v>316</v>
      </c>
      <c>
        <v>0.242</v>
      </c>
      <c t="s">
        <v>5471</v>
      </c>
      <c t="s">
        <v>62125</v>
      </c>
      <c t="s">
        <v>15351</v>
      </c>
      <c t="s">
        <v>13491</v>
      </c>
      <c t="s">
        <v>15351</v>
      </c>
      <c t="s">
        <v>63073</v>
      </c>
      <c t="s">
        <v>54532</v>
      </c>
      <c t="s">
        <v>65059</v>
      </c>
      <c t="s">
        <v>39289</v>
      </c>
      <c>
        <v>33905</v>
      </c>
      <c t="s">
        <v>26993</v>
      </c>
      <c t="s">
        <v>48794</v>
      </c>
      <c t="s">
        <v>59078</v>
      </c>
      <c>
        <v>296</v>
      </c>
      <c r="AI5120" t="s">
        <v>37773</v>
      </c>
      <c t="s">
        <v>24900</v>
      </c>
      <c r="AL5120" t="s">
        <v>10382</v>
      </c>
      <c r="AN5120" t="s">
        <v>26016</v>
      </c>
      <c t="s">
        <v>9196</v>
      </c>
      <c t="s">
        <v>40645</v>
      </c>
      <c t="s">
        <v>3093</v>
      </c>
      <c t="s">
        <v>23141</v>
      </c>
    </row>
    <row>
      <c t="s">
        <v>17594</v>
      </c>
      <c t="s">
        <v>42168</v>
      </c>
      <c t="s">
        <v>2537</v>
      </c>
      <c t="s">
        <v>2287</v>
      </c>
      <c t="s">
        <v>20853</v>
      </c>
      <c s="3">
        <v>30562</v>
      </c>
      <c s="3">
        <v>30562</v>
      </c>
      <c s="3">
        <v>30562</v>
      </c>
      <c>
        <v>0</v>
      </c>
      <c s="3">
        <v>0</v>
      </c>
      <c s="3">
        <v>1016.37</v>
      </c>
      <c s="3">
        <v>30562</v>
      </c>
      <c r="O5121" s="1" t="str">
        <f ca="1">HYPERLINK("https://web.datatree.com/?/property?propertyId=34017786", "https://web.datatree.com/?/property?propertyId=34017786")</f>
        <v>https://web.datatree.com/?/property?propertyId=34017786</v>
      </c>
      <c r="Q5121" t="s">
        <v>316</v>
      </c>
      <c>
        <v>0.412</v>
      </c>
      <c t="s">
        <v>22490</v>
      </c>
      <c t="s">
        <v>50331</v>
      </c>
      <c t="s">
        <v>15117</v>
      </c>
      <c r="X5121" t="s">
        <v>40543</v>
      </c>
      <c t="s">
        <v>25017</v>
      </c>
      <c t="s">
        <v>2517</v>
      </c>
      <c t="s">
        <v>39289</v>
      </c>
      <c>
        <v>33909</v>
      </c>
      <c t="s">
        <v>5385</v>
      </c>
      <c t="s">
        <v>48794</v>
      </c>
      <c t="s">
        <v>27021</v>
      </c>
      <c>
        <v>14685</v>
      </c>
      <c r="AI5121" t="s">
        <v>26375</v>
      </c>
      <c t="s">
        <v>24900</v>
      </c>
      <c r="AL5121" t="s">
        <v>29086</v>
      </c>
      <c t="s">
        <v>30477</v>
      </c>
      <c t="s">
        <v>17134</v>
      </c>
      <c t="s">
        <v>61425</v>
      </c>
      <c t="s">
        <v>32895</v>
      </c>
      <c t="s">
        <v>3093</v>
      </c>
      <c t="s">
        <v>34659</v>
      </c>
    </row>
    <row>
      <c t="s">
        <v>17594</v>
      </c>
      <c t="s">
        <v>52351</v>
      </c>
      <c t="s">
        <v>58787</v>
      </c>
      <c t="s">
        <v>51933</v>
      </c>
      <c t="s">
        <v>10450</v>
      </c>
      <c s="3">
        <v>28000</v>
      </c>
      <c s="3">
        <v>28000</v>
      </c>
      <c s="3">
        <v>28000</v>
      </c>
      <c>
        <v>0</v>
      </c>
      <c s="3">
        <v>0</v>
      </c>
      <c s="3">
        <v>816.75</v>
      </c>
      <c s="3">
        <v>28000</v>
      </c>
      <c r="O5122" s="1" t="str">
        <f ca="1">HYPERLINK("https://web.datatree.com/?/property?propertyId=34017841", "https://web.datatree.com/?/property?propertyId=34017841")</f>
        <v>https://web.datatree.com/?/property?propertyId=34017841</v>
      </c>
      <c r="Q5122" t="s">
        <v>316</v>
      </c>
      <c>
        <v>0.23</v>
      </c>
      <c t="s">
        <v>22490</v>
      </c>
      <c t="s">
        <v>23721</v>
      </c>
      <c t="s">
        <v>45794</v>
      </c>
      <c t="s">
        <v>17831</v>
      </c>
      <c t="s">
        <v>58175</v>
      </c>
      <c t="s">
        <v>43494</v>
      </c>
      <c t="s">
        <v>10653</v>
      </c>
      <c t="s">
        <v>2517</v>
      </c>
      <c t="s">
        <v>39289</v>
      </c>
      <c>
        <v>33909</v>
      </c>
      <c t="s">
        <v>36547</v>
      </c>
      <c t="s">
        <v>48794</v>
      </c>
      <c t="s">
        <v>9423</v>
      </c>
      <c>
        <v>1634</v>
      </c>
      <c r="AI5122" t="s">
        <v>35389</v>
      </c>
      <c t="s">
        <v>45393</v>
      </c>
      <c r="AL5122" t="s">
        <v>41017</v>
      </c>
      <c t="s">
        <v>41017</v>
      </c>
      <c t="s">
        <v>14798</v>
      </c>
      <c t="s">
        <v>43408</v>
      </c>
      <c t="s">
        <v>54916</v>
      </c>
      <c t="s">
        <v>3093</v>
      </c>
      <c t="s">
        <v>56867</v>
      </c>
    </row>
    <row>
      <c t="s">
        <v>17594</v>
      </c>
      <c t="s">
        <v>51005</v>
      </c>
      <c t="s">
        <v>63140</v>
      </c>
      <c t="s">
        <v>6552</v>
      </c>
      <c t="s">
        <v>28680</v>
      </c>
      <c s="3">
        <v>36210</v>
      </c>
      <c s="3">
        <v>36210</v>
      </c>
      <c s="3">
        <v>18150</v>
      </c>
      <c>
        <v>0</v>
      </c>
      <c s="3">
        <v>0</v>
      </c>
      <c s="3">
        <v>761.51</v>
      </c>
      <c s="3">
        <v>36210</v>
      </c>
      <c r="O5123" s="1" t="str">
        <f ca="1">HYPERLINK("https://web.datatree.com/?/property?propertyId=34018028", "https://web.datatree.com/?/property?propertyId=34018028")</f>
        <v>https://web.datatree.com/?/property?propertyId=34018028</v>
      </c>
      <c r="Q5123" t="s">
        <v>316</v>
      </c>
      <c>
        <v>0.23</v>
      </c>
      <c t="s">
        <v>65422</v>
      </c>
      <c t="s">
        <v>16893</v>
      </c>
      <c t="s">
        <v>67167</v>
      </c>
      <c r="X5123" t="s">
        <v>41892</v>
      </c>
      <c t="s">
        <v>7113</v>
      </c>
      <c t="s">
        <v>2517</v>
      </c>
      <c t="s">
        <v>39289</v>
      </c>
      <c>
        <v>33909</v>
      </c>
      <c>
        <v>33909</v>
      </c>
      <c t="s">
        <v>48794</v>
      </c>
      <c t="s">
        <v>1042</v>
      </c>
      <c>
        <v>2480</v>
      </c>
      <c r="AI5123" t="s">
        <v>16427</v>
      </c>
      <c t="s">
        <v>31192</v>
      </c>
      <c r="AL5123" t="s">
        <v>49181</v>
      </c>
      <c t="s">
        <v>49181</v>
      </c>
      <c t="s">
        <v>18236</v>
      </c>
      <c t="s">
        <v>61857</v>
      </c>
      <c t="s">
        <v>42945</v>
      </c>
      <c t="s">
        <v>3093</v>
      </c>
      <c t="s">
        <v>27083</v>
      </c>
    </row>
    <row>
      <c t="s">
        <v>17594</v>
      </c>
      <c t="s">
        <v>63271</v>
      </c>
      <c t="s">
        <v>57862</v>
      </c>
      <c t="s">
        <v>35775</v>
      </c>
      <c t="s">
        <v>60403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124" s="1" t="str">
        <f ca="1">HYPERLINK("https://web.datatree.com/?/property?propertyId=34018388", "https://web.datatree.com/?/property?propertyId=34018388")</f>
        <v>https://web.datatree.com/?/property?propertyId=34018388</v>
      </c>
      <c r="Q5124" t="s">
        <v>316</v>
      </c>
      <c>
        <v>0.23</v>
      </c>
      <c t="s">
        <v>6175</v>
      </c>
      <c t="s">
        <v>37194</v>
      </c>
      <c t="s">
        <v>14789</v>
      </c>
      <c t="s">
        <v>26736</v>
      </c>
      <c t="s">
        <v>46347</v>
      </c>
      <c t="s">
        <v>28683</v>
      </c>
      <c t="s">
        <v>49674</v>
      </c>
      <c t="s">
        <v>2517</v>
      </c>
      <c t="s">
        <v>39289</v>
      </c>
      <c>
        <v>33909</v>
      </c>
      <c t="s">
        <v>49599</v>
      </c>
      <c t="s">
        <v>48794</v>
      </c>
      <c t="s">
        <v>57580</v>
      </c>
      <c>
        <v>357</v>
      </c>
      <c r="AI5124" t="s">
        <v>13964</v>
      </c>
      <c t="s">
        <v>45393</v>
      </c>
      <c t="s">
        <v>23355</v>
      </c>
      <c t="s">
        <v>13397</v>
      </c>
      <c r="AN5124" t="s">
        <v>50917</v>
      </c>
      <c t="s">
        <v>27857</v>
      </c>
      <c t="s">
        <v>35508</v>
      </c>
      <c t="s">
        <v>3093</v>
      </c>
      <c t="s">
        <v>3465</v>
      </c>
    </row>
    <row>
      <c t="s">
        <v>17594</v>
      </c>
      <c t="s">
        <v>49541</v>
      </c>
      <c t="s">
        <v>42986</v>
      </c>
      <c t="s">
        <v>7693</v>
      </c>
      <c t="s">
        <v>10150</v>
      </c>
      <c s="3">
        <v>49760</v>
      </c>
      <c s="3">
        <v>49760</v>
      </c>
      <c s="3">
        <v>29710</v>
      </c>
      <c>
        <v>0</v>
      </c>
      <c s="3">
        <v>0</v>
      </c>
      <c s="3">
        <v>968.43</v>
      </c>
      <c s="3">
        <v>49760</v>
      </c>
      <c r="O5125" s="1" t="str">
        <f ca="1">HYPERLINK("https://web.datatree.com/?/property?propertyId=34018674", "https://web.datatree.com/?/property?propertyId=34018674")</f>
        <v>https://web.datatree.com/?/property?propertyId=34018674</v>
      </c>
      <c r="Q5125" t="s">
        <v>316</v>
      </c>
      <c>
        <v>0.23</v>
      </c>
      <c t="s">
        <v>22490</v>
      </c>
      <c t="s">
        <v>10361</v>
      </c>
      <c t="s">
        <v>38258</v>
      </c>
      <c t="s">
        <v>52126</v>
      </c>
      <c t="s">
        <v>38258</v>
      </c>
      <c t="s">
        <v>40730</v>
      </c>
      <c t="s">
        <v>53663</v>
      </c>
      <c t="s">
        <v>2517</v>
      </c>
      <c t="s">
        <v>39289</v>
      </c>
      <c>
        <v>33909</v>
      </c>
      <c t="s">
        <v>59569</v>
      </c>
      <c t="s">
        <v>48794</v>
      </c>
      <c t="s">
        <v>36074</v>
      </c>
      <c>
        <v>5215</v>
      </c>
      <c r="AI5125" t="s">
        <v>18302</v>
      </c>
      <c t="s">
        <v>31192</v>
      </c>
      <c r="AL5125" t="s">
        <v>17781</v>
      </c>
      <c t="s">
        <v>17781</v>
      </c>
      <c t="s">
        <v>39289</v>
      </c>
      <c t="s">
        <v>13180</v>
      </c>
      <c t="s">
        <v>65563</v>
      </c>
      <c t="s">
        <v>3093</v>
      </c>
      <c t="s">
        <v>62041</v>
      </c>
    </row>
    <row>
      <c t="s">
        <v>17594</v>
      </c>
      <c t="s">
        <v>10674</v>
      </c>
      <c t="s">
        <v>43109</v>
      </c>
      <c t="s">
        <v>9142</v>
      </c>
      <c t="s">
        <v>16177</v>
      </c>
      <c s="3">
        <v>95452</v>
      </c>
      <c s="3">
        <v>84750</v>
      </c>
      <c s="3">
        <v>85670</v>
      </c>
      <c>
        <v>0</v>
      </c>
      <c s="3">
        <v>0</v>
      </c>
      <c s="3">
        <v>1341.88</v>
      </c>
      <c s="3">
        <v>95452</v>
      </c>
      <c r="O5126" s="1" t="str">
        <f ca="1">HYPERLINK("https://web.datatree.com/?/property?propertyId=34018701", "https://web.datatree.com/?/property?propertyId=34018701")</f>
        <v>https://web.datatree.com/?/property?propertyId=34018701</v>
      </c>
      <c r="Q5126" t="s">
        <v>316</v>
      </c>
      <c>
        <v>0.127</v>
      </c>
      <c t="s">
        <v>26492</v>
      </c>
      <c r="U5126" t="s">
        <v>21265</v>
      </c>
      <c t="s">
        <v>28505</v>
      </c>
      <c t="s">
        <v>25154</v>
      </c>
      <c t="s">
        <v>3576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8163</v>
      </c>
      <c>
        <v>115</v>
      </c>
      <c r="AI5126" t="s">
        <v>28376</v>
      </c>
      <c t="s">
        <v>45393</v>
      </c>
      <c r="AL5126" t="s">
        <v>14316</v>
      </c>
      <c t="s">
        <v>14316</v>
      </c>
      <c t="s">
        <v>64022</v>
      </c>
      <c t="s">
        <v>27612</v>
      </c>
      <c t="s">
        <v>15968</v>
      </c>
      <c t="s">
        <v>3093</v>
      </c>
      <c t="s">
        <v>23963</v>
      </c>
    </row>
    <row>
      <c t="s">
        <v>17594</v>
      </c>
      <c t="s">
        <v>8146</v>
      </c>
      <c t="s">
        <v>33126</v>
      </c>
      <c t="s">
        <v>28978</v>
      </c>
      <c t="s">
        <v>49960</v>
      </c>
      <c s="3">
        <v>20258</v>
      </c>
      <c s="3">
        <v>20258</v>
      </c>
      <c s="3">
        <v>8591</v>
      </c>
      <c>
        <v>0</v>
      </c>
      <c s="3">
        <v>0</v>
      </c>
      <c s="3">
        <v>671.14</v>
      </c>
      <c s="3">
        <v>20258</v>
      </c>
      <c r="O5127" s="1" t="str">
        <f ca="1">HYPERLINK("https://web.datatree.com/?/property?propertyId=34019503", "https://web.datatree.com/?/property?propertyId=34019503")</f>
        <v>https://web.datatree.com/?/property?propertyId=34019503</v>
      </c>
      <c r="Q5127" t="s">
        <v>316</v>
      </c>
      <c>
        <v>0.344</v>
      </c>
      <c t="s">
        <v>6175</v>
      </c>
      <c t="s">
        <v>15051</v>
      </c>
      <c t="s">
        <v>52470</v>
      </c>
      <c r="X5127" t="s">
        <v>63788</v>
      </c>
      <c t="s">
        <v>11985</v>
      </c>
      <c t="s">
        <v>2517</v>
      </c>
      <c t="s">
        <v>39289</v>
      </c>
      <c>
        <v>33909</v>
      </c>
      <c t="s">
        <v>43164</v>
      </c>
      <c t="s">
        <v>48794</v>
      </c>
      <c t="s">
        <v>17978</v>
      </c>
      <c>
        <v>8306</v>
      </c>
      <c r="AI5127" t="s">
        <v>26222</v>
      </c>
      <c t="s">
        <v>31192</v>
      </c>
      <c r="AL5127" t="s">
        <v>54986</v>
      </c>
      <c r="AN5127" t="s">
        <v>18236</v>
      </c>
      <c t="s">
        <v>14402</v>
      </c>
      <c t="s">
        <v>15980</v>
      </c>
      <c t="s">
        <v>3093</v>
      </c>
      <c t="s">
        <v>2492</v>
      </c>
    </row>
    <row>
      <c t="s">
        <v>17594</v>
      </c>
      <c t="s">
        <v>55228</v>
      </c>
      <c t="s">
        <v>58660</v>
      </c>
      <c t="s">
        <v>4913</v>
      </c>
      <c t="s">
        <v>63958</v>
      </c>
      <c s="3">
        <v>26250</v>
      </c>
      <c s="3">
        <v>26250</v>
      </c>
      <c s="3">
        <v>9433</v>
      </c>
      <c>
        <v>0</v>
      </c>
      <c s="3">
        <v>0</v>
      </c>
      <c s="3">
        <v>422.19</v>
      </c>
      <c s="3">
        <v>26250</v>
      </c>
      <c r="O5128" s="1" t="str">
        <f ca="1">HYPERLINK("https://web.datatree.com/?/property?propertyId=34019587", "https://web.datatree.com/?/property?propertyId=34019587")</f>
        <v>https://web.datatree.com/?/property?propertyId=34019587</v>
      </c>
      <c r="Q5128" t="s">
        <v>316</v>
      </c>
      <c>
        <v>0.297</v>
      </c>
      <c t="s">
        <v>5471</v>
      </c>
      <c t="s">
        <v>22555</v>
      </c>
      <c t="s">
        <v>65836</v>
      </c>
      <c r="X5128" t="s">
        <v>32775</v>
      </c>
      <c t="s">
        <v>2642</v>
      </c>
      <c t="s">
        <v>65059</v>
      </c>
      <c t="s">
        <v>39289</v>
      </c>
      <c>
        <v>33905</v>
      </c>
      <c t="s">
        <v>51923</v>
      </c>
      <c t="s">
        <v>48794</v>
      </c>
      <c t="s">
        <v>31449</v>
      </c>
      <c>
        <v>87</v>
      </c>
      <c r="AI5128" t="s">
        <v>2420</v>
      </c>
      <c t="s">
        <v>45393</v>
      </c>
      <c r="AL5128" t="s">
        <v>22964</v>
      </c>
      <c t="s">
        <v>22964</v>
      </c>
      <c t="s">
        <v>50917</v>
      </c>
      <c t="s">
        <v>15074</v>
      </c>
      <c t="s">
        <v>54916</v>
      </c>
      <c t="s">
        <v>3093</v>
      </c>
      <c t="s">
        <v>15880</v>
      </c>
    </row>
    <row>
      <c t="s">
        <v>17594</v>
      </c>
      <c t="s">
        <v>52055</v>
      </c>
      <c t="s">
        <v>48606</v>
      </c>
      <c t="s">
        <v>62154</v>
      </c>
      <c t="s">
        <v>10528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129" s="1" t="str">
        <f ca="1">HYPERLINK("https://web.datatree.com/?/property?propertyId=34019764", "https://web.datatree.com/?/property?propertyId=34019764")</f>
        <v>https://web.datatree.com/?/property?propertyId=34019764</v>
      </c>
      <c r="Q5129" t="s">
        <v>316</v>
      </c>
      <c>
        <v>0.23</v>
      </c>
      <c t="s">
        <v>22490</v>
      </c>
      <c t="s">
        <v>30728</v>
      </c>
      <c t="s">
        <v>10299</v>
      </c>
      <c r="X5129" t="s">
        <v>20206</v>
      </c>
      <c t="s">
        <v>30928</v>
      </c>
      <c t="s">
        <v>2517</v>
      </c>
      <c t="s">
        <v>39289</v>
      </c>
      <c>
        <v>33909</v>
      </c>
      <c t="s">
        <v>58845</v>
      </c>
      <c t="s">
        <v>48794</v>
      </c>
      <c t="s">
        <v>44461</v>
      </c>
      <c>
        <v>6255</v>
      </c>
      <c r="AI5129" t="s">
        <v>41059</v>
      </c>
      <c t="s">
        <v>24900</v>
      </c>
      <c t="s">
        <v>55144</v>
      </c>
      <c t="s">
        <v>14113</v>
      </c>
      <c t="s">
        <v>19042</v>
      </c>
      <c t="s">
        <v>65451</v>
      </c>
      <c t="s">
        <v>9098</v>
      </c>
      <c t="s">
        <v>23435</v>
      </c>
      <c t="s">
        <v>3093</v>
      </c>
      <c t="s">
        <v>37272</v>
      </c>
    </row>
    <row>
      <c t="s">
        <v>17594</v>
      </c>
      <c t="s">
        <v>53289</v>
      </c>
      <c t="s">
        <v>17462</v>
      </c>
      <c t="s">
        <v>45568</v>
      </c>
      <c t="s">
        <v>53870</v>
      </c>
      <c s="3">
        <v>23969</v>
      </c>
      <c s="3">
        <v>23969</v>
      </c>
      <c s="3">
        <v>15180</v>
      </c>
      <c>
        <v>0</v>
      </c>
      <c s="3">
        <v>0</v>
      </c>
      <c s="3">
        <v>799.58</v>
      </c>
      <c s="3">
        <v>23969</v>
      </c>
      <c r="O5130" s="1" t="str">
        <f ca="1">HYPERLINK("https://web.datatree.com/?/property?propertyId=34020200", "https://web.datatree.com/?/property?propertyId=34020200")</f>
        <v>https://web.datatree.com/?/property?propertyId=34020200</v>
      </c>
      <c r="Q5130" t="s">
        <v>316</v>
      </c>
      <c>
        <v>0.344</v>
      </c>
      <c t="s">
        <v>22490</v>
      </c>
      <c t="s">
        <v>5440</v>
      </c>
      <c t="s">
        <v>66477</v>
      </c>
      <c r="X5130" t="s">
        <v>42326</v>
      </c>
      <c t="s">
        <v>2626</v>
      </c>
      <c t="s">
        <v>2517</v>
      </c>
      <c t="s">
        <v>39289</v>
      </c>
      <c>
        <v>33909</v>
      </c>
      <c t="s">
        <v>22952</v>
      </c>
      <c t="s">
        <v>48794</v>
      </c>
      <c t="s">
        <v>40652</v>
      </c>
      <c>
        <v>8904</v>
      </c>
      <c r="AI5130" t="s">
        <v>65650</v>
      </c>
      <c t="s">
        <v>45393</v>
      </c>
      <c r="AL5130" t="s">
        <v>23311</v>
      </c>
      <c r="AN5130" t="s">
        <v>56163</v>
      </c>
      <c t="s">
        <v>36058</v>
      </c>
      <c t="s">
        <v>44573</v>
      </c>
      <c t="s">
        <v>3093</v>
      </c>
      <c t="s">
        <v>17665</v>
      </c>
    </row>
    <row>
      <c t="s">
        <v>17594</v>
      </c>
      <c t="s">
        <v>51937</v>
      </c>
      <c t="s">
        <v>61244</v>
      </c>
      <c t="s">
        <v>9652</v>
      </c>
      <c t="s">
        <v>41650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>
        <v>2021</v>
      </c>
      <c>
        <v>586.65</v>
      </c>
      <c s="1" t="str">
        <f ca="1">HYPERLINK("https://web.datatree.com/?/property?propertyId=34020767", "https://web.datatree.com/?/property?propertyId=34020767")</f>
        <v>https://web.datatree.com/?/property?propertyId=34020767</v>
      </c>
      <c r="Q5131" t="s">
        <v>316</v>
      </c>
      <c>
        <v>0.241</v>
      </c>
      <c t="s">
        <v>6175</v>
      </c>
      <c t="s">
        <v>45603</v>
      </c>
      <c t="s">
        <v>52908</v>
      </c>
      <c t="s">
        <v>27551</v>
      </c>
      <c t="s">
        <v>35571</v>
      </c>
      <c t="s">
        <v>3970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20059</v>
      </c>
      <c>
        <v>2504</v>
      </c>
      <c r="AI5131" t="s">
        <v>45304</v>
      </c>
      <c t="s">
        <v>39321</v>
      </c>
      <c r="AL5131" t="s">
        <v>55393</v>
      </c>
      <c t="s">
        <v>48193</v>
      </c>
      <c t="s">
        <v>39289</v>
      </c>
      <c t="s">
        <v>39792</v>
      </c>
      <c t="s">
        <v>33029</v>
      </c>
      <c t="s">
        <v>3093</v>
      </c>
      <c t="s">
        <v>45648</v>
      </c>
    </row>
    <row>
      <c t="s">
        <v>17594</v>
      </c>
      <c t="s">
        <v>57560</v>
      </c>
      <c t="s">
        <v>59734</v>
      </c>
      <c t="s">
        <v>20498</v>
      </c>
      <c t="s">
        <v>60610</v>
      </c>
      <c s="3">
        <v>8600</v>
      </c>
      <c s="3">
        <v>8600</v>
      </c>
      <c s="3">
        <v>8490</v>
      </c>
      <c>
        <v>0</v>
      </c>
      <c s="3">
        <v>0</v>
      </c>
      <c s="3">
        <v>564</v>
      </c>
      <c s="3">
        <v>8600</v>
      </c>
      <c r="O5132" s="1" t="str">
        <f ca="1">HYPERLINK("https://web.datatree.com/?/property?propertyId=34020875", "https://web.datatree.com/?/property?propertyId=34020875")</f>
        <v>https://web.datatree.com/?/property?propertyId=34020875</v>
      </c>
      <c r="Q5132" t="s">
        <v>316</v>
      </c>
      <c>
        <v>0.23</v>
      </c>
      <c t="s">
        <v>42044</v>
      </c>
      <c t="s">
        <v>637</v>
      </c>
      <c t="s">
        <v>3794</v>
      </c>
      <c t="s">
        <v>43239</v>
      </c>
      <c t="s">
        <v>34920</v>
      </c>
      <c t="s">
        <v>67226</v>
      </c>
      <c t="s">
        <v>7113</v>
      </c>
      <c t="s">
        <v>2517</v>
      </c>
      <c t="s">
        <v>39289</v>
      </c>
      <c>
        <v>33909</v>
      </c>
      <c t="s">
        <v>3181</v>
      </c>
      <c t="s">
        <v>48794</v>
      </c>
      <c t="s">
        <v>55955</v>
      </c>
      <c>
        <v>12000</v>
      </c>
      <c r="AI5132" t="s">
        <v>6279</v>
      </c>
      <c t="s">
        <v>45620</v>
      </c>
      <c r="AL5132" t="s">
        <v>23746</v>
      </c>
      <c r="AN5132" t="s">
        <v>54650</v>
      </c>
      <c t="s">
        <v>13476</v>
      </c>
      <c t="s">
        <v>49695</v>
      </c>
      <c t="s">
        <v>3093</v>
      </c>
      <c t="s">
        <v>25300</v>
      </c>
    </row>
    <row>
      <c t="s">
        <v>17594</v>
      </c>
      <c t="s">
        <v>19671</v>
      </c>
      <c t="s">
        <v>46148</v>
      </c>
      <c t="s">
        <v>28606</v>
      </c>
      <c t="s">
        <v>55883</v>
      </c>
      <c s="3">
        <v>28210</v>
      </c>
      <c s="3">
        <v>28210</v>
      </c>
      <c s="3">
        <v>8712</v>
      </c>
      <c>
        <v>0</v>
      </c>
      <c s="3">
        <v>0</v>
      </c>
      <c s="3">
        <v>2414.44</v>
      </c>
      <c s="3">
        <v>28210</v>
      </c>
      <c>
        <v>2019</v>
      </c>
      <c>
        <v>15050.9</v>
      </c>
      <c s="1" t="str">
        <f ca="1">HYPERLINK("https://web.datatree.com/?/property?propertyId=34020895", "https://web.datatree.com/?/property?propertyId=34020895")</f>
        <v>https://web.datatree.com/?/property?propertyId=34020895</v>
      </c>
      <c r="Q5133" t="s">
        <v>316</v>
      </c>
      <c>
        <v>0.23</v>
      </c>
      <c t="s">
        <v>6175</v>
      </c>
      <c t="s">
        <v>7996</v>
      </c>
      <c t="s">
        <v>20391</v>
      </c>
      <c r="X5133" t="s">
        <v>54046</v>
      </c>
      <c t="s">
        <v>61865</v>
      </c>
      <c t="s">
        <v>2517</v>
      </c>
      <c t="s">
        <v>39289</v>
      </c>
      <c>
        <v>33909</v>
      </c>
      <c t="s">
        <v>47756</v>
      </c>
      <c t="s">
        <v>48794</v>
      </c>
      <c t="s">
        <v>29921</v>
      </c>
      <c>
        <v>1550</v>
      </c>
      <c r="AI5133" t="s">
        <v>48088</v>
      </c>
      <c t="s">
        <v>4985</v>
      </c>
      <c r="AL5133" t="s">
        <v>25991</v>
      </c>
      <c r="AN5133" t="s">
        <v>58811</v>
      </c>
      <c t="s">
        <v>54947</v>
      </c>
      <c r="AQ5133" t="s">
        <v>27814</v>
      </c>
      <c t="s">
        <v>42616</v>
      </c>
    </row>
    <row>
      <c t="s">
        <v>17594</v>
      </c>
      <c t="s">
        <v>10578</v>
      </c>
      <c t="s">
        <v>25941</v>
      </c>
      <c t="s">
        <v>55878</v>
      </c>
      <c t="s">
        <v>26118</v>
      </c>
      <c s="3">
        <v>18938</v>
      </c>
      <c s="3">
        <v>18938</v>
      </c>
      <c s="3">
        <v>18938</v>
      </c>
      <c>
        <v>0</v>
      </c>
      <c s="3">
        <v>0</v>
      </c>
      <c s="3">
        <v>699.24</v>
      </c>
      <c s="3">
        <v>18938</v>
      </c>
      <c r="O5134" s="1" t="str">
        <f ca="1">HYPERLINK("https://web.datatree.com/?/property?propertyId=34020983", "https://web.datatree.com/?/property?propertyId=34020983")</f>
        <v>https://web.datatree.com/?/property?propertyId=34020983</v>
      </c>
      <c r="Q5134" t="s">
        <v>316</v>
      </c>
      <c>
        <v>0.258</v>
      </c>
      <c t="s">
        <v>45031</v>
      </c>
      <c t="s">
        <v>37541</v>
      </c>
      <c t="s">
        <v>34217</v>
      </c>
      <c r="X5134" t="s">
        <v>32499</v>
      </c>
      <c t="s">
        <v>38550</v>
      </c>
      <c t="s">
        <v>2517</v>
      </c>
      <c t="s">
        <v>39289</v>
      </c>
      <c>
        <v>33909</v>
      </c>
      <c t="s">
        <v>7436</v>
      </c>
      <c t="s">
        <v>48794</v>
      </c>
      <c t="s">
        <v>6584</v>
      </c>
      <c>
        <v>68</v>
      </c>
      <c r="AI5134" t="s">
        <v>23719</v>
      </c>
      <c t="s">
        <v>45393</v>
      </c>
      <c r="AL5134" t="s">
        <v>61009</v>
      </c>
      <c t="s">
        <v>61009</v>
      </c>
      <c t="s">
        <v>26016</v>
      </c>
      <c t="s">
        <v>35417</v>
      </c>
      <c t="s">
        <v>44573</v>
      </c>
      <c t="s">
        <v>3093</v>
      </c>
      <c t="s">
        <v>35630</v>
      </c>
    </row>
    <row>
      <c t="s">
        <v>17594</v>
      </c>
      <c t="s">
        <v>2218</v>
      </c>
      <c t="s">
        <v>27976</v>
      </c>
      <c t="s">
        <v>37456</v>
      </c>
      <c t="s">
        <v>44027</v>
      </c>
      <c s="3">
        <v>7600</v>
      </c>
      <c s="3">
        <v>7600</v>
      </c>
      <c s="3">
        <v>7600</v>
      </c>
      <c>
        <v>0</v>
      </c>
      <c s="3">
        <v>0</v>
      </c>
      <c s="3">
        <v>573.63</v>
      </c>
      <c s="3">
        <v>7600</v>
      </c>
      <c r="O5135" s="1" t="str">
        <f ca="1">HYPERLINK("https://web.datatree.com/?/property?propertyId=34021903", "https://web.datatree.com/?/property?propertyId=34021903")</f>
        <v>https://web.datatree.com/?/property?propertyId=34021903</v>
      </c>
      <c r="Q5135" t="s">
        <v>316</v>
      </c>
      <c>
        <v>0.257</v>
      </c>
      <c t="s">
        <v>6175</v>
      </c>
      <c t="s">
        <v>64030</v>
      </c>
      <c t="s">
        <v>1187</v>
      </c>
      <c t="s">
        <v>44368</v>
      </c>
      <c t="s">
        <v>1187</v>
      </c>
      <c t="s">
        <v>28969</v>
      </c>
      <c t="s">
        <v>14534</v>
      </c>
      <c t="s">
        <v>2517</v>
      </c>
      <c t="s">
        <v>39289</v>
      </c>
      <c>
        <v>33909</v>
      </c>
      <c t="s">
        <v>33438</v>
      </c>
      <c t="s">
        <v>48794</v>
      </c>
      <c t="s">
        <v>65900</v>
      </c>
      <c>
        <v>14420</v>
      </c>
      <c r="AI5135" t="s">
        <v>25988</v>
      </c>
      <c t="s">
        <v>39321</v>
      </c>
      <c r="AL5135" t="s">
        <v>55393</v>
      </c>
      <c r="AN5135" t="s">
        <v>39289</v>
      </c>
      <c t="s">
        <v>40052</v>
      </c>
      <c t="s">
        <v>24994</v>
      </c>
      <c t="s">
        <v>3093</v>
      </c>
      <c t="s">
        <v>9778</v>
      </c>
    </row>
    <row>
      <c t="s">
        <v>17594</v>
      </c>
      <c t="s">
        <v>37446</v>
      </c>
      <c t="s">
        <v>63403</v>
      </c>
      <c t="s">
        <v>41914</v>
      </c>
      <c t="s">
        <v>13840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136" s="1" t="str">
        <f ca="1">HYPERLINK("https://web.datatree.com/?/property?propertyId=34022467", "https://web.datatree.com/?/property?propertyId=34022467")</f>
        <v>https://web.datatree.com/?/property?propertyId=34022467</v>
      </c>
      <c r="Q5136" t="s">
        <v>316</v>
      </c>
      <c>
        <v>0.23</v>
      </c>
      <c t="s">
        <v>22490</v>
      </c>
      <c t="s">
        <v>55205</v>
      </c>
      <c t="s">
        <v>51965</v>
      </c>
      <c r="X5136" t="s">
        <v>54319</v>
      </c>
      <c t="s">
        <v>5115</v>
      </c>
      <c t="s">
        <v>2517</v>
      </c>
      <c t="s">
        <v>39289</v>
      </c>
      <c>
        <v>33909</v>
      </c>
      <c t="s">
        <v>48283</v>
      </c>
      <c t="s">
        <v>48794</v>
      </c>
      <c t="s">
        <v>12632</v>
      </c>
      <c>
        <v>184</v>
      </c>
      <c r="AI5136" t="s">
        <v>37457</v>
      </c>
      <c r="AL5136" t="s">
        <v>23242</v>
      </c>
      <c r="AN5136" t="s">
        <v>18236</v>
      </c>
      <c>
        <v>75010</v>
      </c>
      <c r="AR5136" t="s">
        <v>42127</v>
      </c>
    </row>
    <row>
      <c t="s">
        <v>17594</v>
      </c>
      <c t="s">
        <v>26190</v>
      </c>
      <c t="s">
        <v>7814</v>
      </c>
      <c t="s">
        <v>61820</v>
      </c>
      <c t="s">
        <v>33240</v>
      </c>
      <c s="3">
        <v>11340</v>
      </c>
      <c s="3">
        <v>11340</v>
      </c>
      <c s="3">
        <v>11273</v>
      </c>
      <c>
        <v>0</v>
      </c>
      <c s="3">
        <v>0</v>
      </c>
      <c s="3">
        <v>155.04</v>
      </c>
      <c s="3">
        <v>11340</v>
      </c>
      <c r="O5137" s="1" t="str">
        <f ca="1">HYPERLINK("https://web.datatree.com/?/property?propertyId=34022600", "https://web.datatree.com/?/property?propertyId=34022600")</f>
        <v>https://web.datatree.com/?/property?propertyId=34022600</v>
      </c>
      <c r="Q5137" t="s">
        <v>316</v>
      </c>
      <c>
        <v>0.193</v>
      </c>
      <c t="s">
        <v>23582</v>
      </c>
      <c t="s">
        <v>25273</v>
      </c>
      <c t="s">
        <v>15384</v>
      </c>
      <c t="s">
        <v>18485</v>
      </c>
      <c t="s">
        <v>15384</v>
      </c>
      <c t="s">
        <v>791</v>
      </c>
      <c t="s">
        <v>41593</v>
      </c>
      <c t="s">
        <v>65059</v>
      </c>
      <c t="s">
        <v>39289</v>
      </c>
      <c>
        <v>33908</v>
      </c>
      <c t="s">
        <v>25356</v>
      </c>
      <c t="s">
        <v>48794</v>
      </c>
      <c t="s">
        <v>12707</v>
      </c>
      <c>
        <v>5168</v>
      </c>
      <c r="AI5137" t="s">
        <v>29812</v>
      </c>
      <c t="s">
        <v>45620</v>
      </c>
      <c r="AL5137" t="s">
        <v>11963</v>
      </c>
      <c t="s">
        <v>11963</v>
      </c>
      <c t="s">
        <v>50829</v>
      </c>
      <c t="s">
        <v>34332</v>
      </c>
      <c t="s">
        <v>22152</v>
      </c>
      <c t="s">
        <v>3093</v>
      </c>
      <c t="s">
        <v>14214</v>
      </c>
    </row>
    <row>
      <c t="s">
        <v>17594</v>
      </c>
      <c t="s">
        <v>31176</v>
      </c>
      <c t="s">
        <v>58286</v>
      </c>
      <c t="s">
        <v>19152</v>
      </c>
      <c t="s">
        <v>27799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>
        <v>2021</v>
      </c>
      <c>
        <v>605.74</v>
      </c>
      <c s="1" t="str">
        <f ca="1">HYPERLINK("https://web.datatree.com/?/property?propertyId=34022659", "https://web.datatree.com/?/property?propertyId=34022659")</f>
        <v>https://web.datatree.com/?/property?propertyId=34022659</v>
      </c>
      <c r="Q5138" t="s">
        <v>316</v>
      </c>
      <c>
        <v>0.23</v>
      </c>
      <c t="s">
        <v>22490</v>
      </c>
      <c t="s">
        <v>35852</v>
      </c>
      <c t="s">
        <v>6657</v>
      </c>
      <c r="X5138" t="s">
        <v>56067</v>
      </c>
      <c t="s">
        <v>38550</v>
      </c>
      <c t="s">
        <v>2517</v>
      </c>
      <c t="s">
        <v>39289</v>
      </c>
      <c>
        <v>33909</v>
      </c>
      <c t="s">
        <v>41045</v>
      </c>
      <c t="s">
        <v>48794</v>
      </c>
      <c t="s">
        <v>54612</v>
      </c>
      <c>
        <v>6303</v>
      </c>
      <c r="AI5138" t="s">
        <v>26976</v>
      </c>
      <c t="s">
        <v>31192</v>
      </c>
      <c>
        <v>400</v>
      </c>
      <c t="s">
        <v>55393</v>
      </c>
      <c r="AN5138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43592</v>
      </c>
      <c t="s">
        <v>48724</v>
      </c>
      <c t="s">
        <v>56507</v>
      </c>
      <c t="s">
        <v>34621</v>
      </c>
      <c s="3">
        <v>38860</v>
      </c>
      <c s="3">
        <v>38315</v>
      </c>
      <c s="3">
        <v>33142</v>
      </c>
      <c>
        <v>0</v>
      </c>
      <c s="3">
        <v>0</v>
      </c>
      <c s="3">
        <v>519.69</v>
      </c>
      <c s="3">
        <v>38860</v>
      </c>
      <c r="O5139" s="1" t="str">
        <f ca="1">HYPERLINK("https://web.datatree.com/?/property?propertyId=34024550", "https://web.datatree.com/?/property?propertyId=34024550")</f>
        <v>https://web.datatree.com/?/property?propertyId=34024550</v>
      </c>
      <c r="Q5139" t="s">
        <v>316</v>
      </c>
      <c>
        <v>1.88</v>
      </c>
      <c t="s">
        <v>30497</v>
      </c>
      <c t="s">
        <v>44541</v>
      </c>
      <c t="s">
        <v>50406</v>
      </c>
      <c t="s">
        <v>54573</v>
      </c>
      <c t="s">
        <v>50406</v>
      </c>
      <c t="s">
        <v>31442</v>
      </c>
      <c t="s">
        <v>1075</v>
      </c>
      <c t="s">
        <v>54524</v>
      </c>
      <c t="s">
        <v>39289</v>
      </c>
      <c>
        <v>33903</v>
      </c>
      <c t="s">
        <v>23294</v>
      </c>
      <c t="s">
        <v>48794</v>
      </c>
      <c t="s">
        <v>43484</v>
      </c>
      <c>
        <v>137</v>
      </c>
      <c r="AI5139" t="s">
        <v>10737</v>
      </c>
      <c t="s">
        <v>31192</v>
      </c>
      <c r="AL5139" t="s">
        <v>16561</v>
      </c>
      <c r="AN5139" t="s">
        <v>50917</v>
      </c>
      <c t="s">
        <v>55802</v>
      </c>
      <c t="s">
        <v>26242</v>
      </c>
      <c t="s">
        <v>3093</v>
      </c>
      <c t="s">
        <v>65391</v>
      </c>
      <c>
        <v>1982</v>
      </c>
    </row>
    <row>
      <c t="s">
        <v>17594</v>
      </c>
      <c t="s">
        <v>52731</v>
      </c>
      <c t="s">
        <v>3935</v>
      </c>
      <c t="s">
        <v>5596</v>
      </c>
      <c t="s">
        <v>52398</v>
      </c>
      <c s="3">
        <v>357000</v>
      </c>
      <c s="3">
        <v>357000</v>
      </c>
      <c s="3">
        <v>283025</v>
      </c>
      <c>
        <v>0</v>
      </c>
      <c s="3">
        <v>0</v>
      </c>
      <c s="3">
        <v>5301.38</v>
      </c>
      <c s="3">
        <v>357000</v>
      </c>
      <c r="O5140" s="1" t="str">
        <f ca="1">HYPERLINK("https://web.datatree.com/?/property?propertyId=34024835", "https://web.datatree.com/?/property?propertyId=34024835")</f>
        <v>https://web.datatree.com/?/property?propertyId=34024835</v>
      </c>
      <c r="Q5140" t="s">
        <v>316</v>
      </c>
      <c>
        <v>0.237</v>
      </c>
      <c t="s">
        <v>22490</v>
      </c>
      <c r="U5140" t="s">
        <v>45311</v>
      </c>
      <c t="s">
        <v>52029</v>
      </c>
      <c t="s">
        <v>16999</v>
      </c>
      <c t="s">
        <v>60833</v>
      </c>
      <c t="s">
        <v>25988</v>
      </c>
      <c t="s">
        <v>2517</v>
      </c>
      <c t="s">
        <v>39289</v>
      </c>
      <c>
        <v>33904</v>
      </c>
      <c>
        <v>33904</v>
      </c>
      <c t="s">
        <v>48794</v>
      </c>
      <c t="s">
        <v>62431</v>
      </c>
      <c>
        <v>67</v>
      </c>
      <c r="AI5140" t="s">
        <v>26228</v>
      </c>
      <c r="AL5140" t="s">
        <v>26094</v>
      </c>
      <c r="AN5140" t="s">
        <v>63985</v>
      </c>
      <c>
        <v>42115</v>
      </c>
      <c r="AR5140" t="s">
        <v>37546</v>
      </c>
    </row>
    <row>
      <c t="s">
        <v>17594</v>
      </c>
      <c t="s">
        <v>58324</v>
      </c>
      <c s="7" t="s">
        <v>29935</v>
      </c>
      <c t="s">
        <v>65056</v>
      </c>
      <c t="s">
        <v>62312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5141" s="1" t="str">
        <f ca="1">HYPERLINK("https://web.datatree.com/?/property?propertyId=34025024", "https://web.datatree.com/?/property?propertyId=34025024")</f>
        <v>https://web.datatree.com/?/property?propertyId=34025024</v>
      </c>
      <c r="Q5141" t="s">
        <v>316</v>
      </c>
      <c>
        <v>0.106</v>
      </c>
      <c t="s">
        <v>26492</v>
      </c>
      <c r="U5141" t="s">
        <v>36829</v>
      </c>
      <c r="W5141" t="s">
        <v>1958</v>
      </c>
      <c t="s">
        <v>29589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45125</v>
      </c>
      <c>
        <v>9</v>
      </c>
      <c r="AI5141" t="s">
        <v>23254</v>
      </c>
      <c t="s">
        <v>40123</v>
      </c>
      <c r="AL5141" t="s">
        <v>20181</v>
      </c>
      <c t="s">
        <v>40227</v>
      </c>
      <c t="s">
        <v>58733</v>
      </c>
      <c t="s">
        <v>32763</v>
      </c>
      <c t="s">
        <v>44428</v>
      </c>
      <c t="s">
        <v>3093</v>
      </c>
      <c s="7" t="s">
        <v>22682</v>
      </c>
    </row>
    <row>
      <c t="s">
        <v>42103</v>
      </c>
      <c t="s">
        <v>55960</v>
      </c>
      <c t="s">
        <v>11581</v>
      </c>
      <c t="s">
        <v>40130</v>
      </c>
      <c t="s">
        <v>35130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>
        <v>2021</v>
      </c>
      <c>
        <v>318.29</v>
      </c>
      <c s="1" t="str">
        <f ca="1">HYPERLINK("https://web.datatree.com/?/property?propertyId=34025436", "https://web.datatree.com/?/property?propertyId=34025436")</f>
        <v>https://web.datatree.com/?/property?propertyId=34025436</v>
      </c>
      <c r="Q5142" t="s">
        <v>316</v>
      </c>
      <c>
        <v>0.287</v>
      </c>
      <c t="s">
        <v>5471</v>
      </c>
      <c t="s">
        <v>67028</v>
      </c>
      <c t="s">
        <v>21641</v>
      </c>
      <c t="s">
        <v>1479</v>
      </c>
      <c t="s">
        <v>47271</v>
      </c>
      <c t="s">
        <v>19055</v>
      </c>
      <c t="s">
        <v>61272</v>
      </c>
      <c t="s">
        <v>65059</v>
      </c>
      <c t="s">
        <v>39289</v>
      </c>
      <c>
        <v>33905</v>
      </c>
      <c t="s">
        <v>59883</v>
      </c>
      <c t="s">
        <v>48794</v>
      </c>
      <c t="s">
        <v>64997</v>
      </c>
      <c r="AI5142" t="s">
        <v>12636</v>
      </c>
      <c r="AL5142" t="s">
        <v>18980</v>
      </c>
      <c t="s">
        <v>18980</v>
      </c>
      <c t="s">
        <v>19878</v>
      </c>
      <c>
        <v>62671</v>
      </c>
      <c t="s">
        <v>61509</v>
      </c>
      <c t="s">
        <v>3093</v>
      </c>
      <c t="s">
        <v>15827</v>
      </c>
    </row>
    <row>
      <c t="s">
        <v>17594</v>
      </c>
      <c t="s">
        <v>35460</v>
      </c>
      <c t="s">
        <v>36504</v>
      </c>
      <c t="s">
        <v>49929</v>
      </c>
      <c t="s">
        <v>59149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5143" s="1" t="str">
        <f ca="1">HYPERLINK("https://web.datatree.com/?/property?propertyId=34025447", "https://web.datatree.com/?/property?propertyId=34025447")</f>
        <v>https://web.datatree.com/?/property?propertyId=34025447</v>
      </c>
      <c r="Q5143" t="s">
        <v>316</v>
      </c>
      <c>
        <v>0.23</v>
      </c>
      <c t="s">
        <v>6175</v>
      </c>
      <c t="s">
        <v>7107</v>
      </c>
      <c t="s">
        <v>12350</v>
      </c>
      <c t="s">
        <v>27308</v>
      </c>
      <c t="s">
        <v>12350</v>
      </c>
      <c t="s">
        <v>64755</v>
      </c>
      <c t="s">
        <v>39082</v>
      </c>
      <c t="s">
        <v>2517</v>
      </c>
      <c t="s">
        <v>39289</v>
      </c>
      <c>
        <v>33909</v>
      </c>
      <c t="s">
        <v>57255</v>
      </c>
      <c t="s">
        <v>48794</v>
      </c>
      <c t="s">
        <v>19457</v>
      </c>
      <c>
        <v>4</v>
      </c>
      <c r="AI5143" t="s">
        <v>19104</v>
      </c>
      <c t="s">
        <v>45393</v>
      </c>
      <c r="AL5143" t="s">
        <v>24561</v>
      </c>
      <c r="AN5143" t="s">
        <v>50917</v>
      </c>
      <c t="s">
        <v>21184</v>
      </c>
      <c t="s">
        <v>15968</v>
      </c>
      <c t="s">
        <v>3093</v>
      </c>
      <c t="s">
        <v>26248</v>
      </c>
    </row>
    <row>
      <c t="s">
        <v>17594</v>
      </c>
      <c t="s">
        <v>58572</v>
      </c>
      <c t="s">
        <v>27492</v>
      </c>
      <c t="s">
        <v>1846</v>
      </c>
      <c t="s">
        <v>9960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5144" s="1" t="str">
        <f ca="1">HYPERLINK("https://web.datatree.com/?/property?propertyId=34025610", "https://web.datatree.com/?/property?propertyId=34025610")</f>
        <v>https://web.datatree.com/?/property?propertyId=34025610</v>
      </c>
      <c r="Q5144" t="s">
        <v>316</v>
      </c>
      <c>
        <v>0.23</v>
      </c>
      <c t="s">
        <v>22490</v>
      </c>
      <c t="s">
        <v>26163</v>
      </c>
      <c t="s">
        <v>10269</v>
      </c>
      <c t="s">
        <v>63097</v>
      </c>
      <c t="s">
        <v>17651</v>
      </c>
      <c t="s">
        <v>52543</v>
      </c>
      <c t="s">
        <v>49674</v>
      </c>
      <c t="s">
        <v>2517</v>
      </c>
      <c t="s">
        <v>39289</v>
      </c>
      <c>
        <v>33909</v>
      </c>
      <c t="s">
        <v>4274</v>
      </c>
      <c t="s">
        <v>48794</v>
      </c>
      <c t="s">
        <v>62742</v>
      </c>
      <c>
        <v>6478</v>
      </c>
      <c r="AI5144" t="s">
        <v>12291</v>
      </c>
      <c t="s">
        <v>835</v>
      </c>
      <c r="AL5144" t="s">
        <v>42704</v>
      </c>
      <c t="s">
        <v>42704</v>
      </c>
      <c t="s">
        <v>47028</v>
      </c>
      <c t="s">
        <v>36749</v>
      </c>
      <c t="s">
        <v>56028</v>
      </c>
      <c t="s">
        <v>3093</v>
      </c>
      <c t="s">
        <v>6357</v>
      </c>
    </row>
    <row>
      <c t="s">
        <v>17594</v>
      </c>
      <c t="s">
        <v>48328</v>
      </c>
      <c t="s">
        <v>59011</v>
      </c>
      <c t="s">
        <v>28058</v>
      </c>
      <c t="s">
        <v>37908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5145" s="1" t="str">
        <f ca="1">HYPERLINK("https://web.datatree.com/?/property?propertyId=34025737", "https://web.datatree.com/?/property?propertyId=34025737")</f>
        <v>https://web.datatree.com/?/property?propertyId=34025737</v>
      </c>
      <c r="Q5145" t="s">
        <v>316</v>
      </c>
      <c>
        <v>0.23</v>
      </c>
      <c t="s">
        <v>22490</v>
      </c>
      <c t="s">
        <v>32193</v>
      </c>
      <c t="s">
        <v>53529</v>
      </c>
      <c r="X5145" t="s">
        <v>13030</v>
      </c>
      <c t="s">
        <v>60363</v>
      </c>
      <c t="s">
        <v>2517</v>
      </c>
      <c t="s">
        <v>39289</v>
      </c>
      <c>
        <v>33909</v>
      </c>
      <c t="s">
        <v>32066</v>
      </c>
      <c t="s">
        <v>48794</v>
      </c>
      <c t="s">
        <v>57658</v>
      </c>
      <c>
        <v>2552</v>
      </c>
      <c r="AI5145" t="s">
        <v>34731</v>
      </c>
      <c t="s">
        <v>45393</v>
      </c>
      <c r="AL5145" t="s">
        <v>18475</v>
      </c>
      <c t="s">
        <v>18475</v>
      </c>
      <c t="s">
        <v>22275</v>
      </c>
      <c t="s">
        <v>58275</v>
      </c>
      <c t="s">
        <v>15968</v>
      </c>
      <c t="s">
        <v>3093</v>
      </c>
      <c t="s">
        <v>47072</v>
      </c>
    </row>
    <row>
      <c t="s">
        <v>17594</v>
      </c>
      <c t="s">
        <v>41115</v>
      </c>
      <c t="s">
        <v>27229</v>
      </c>
      <c t="s">
        <v>34638</v>
      </c>
      <c t="s">
        <v>33043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146" s="1" t="str">
        <f ca="1">HYPERLINK("https://web.datatree.com/?/property?propertyId=34025826", "https://web.datatree.com/?/property?propertyId=34025826")</f>
        <v>https://web.datatree.com/?/property?propertyId=34025826</v>
      </c>
      <c r="Q5146" t="s">
        <v>316</v>
      </c>
      <c>
        <v>0.23</v>
      </c>
      <c t="s">
        <v>22490</v>
      </c>
      <c t="s">
        <v>58426</v>
      </c>
      <c t="s">
        <v>19940</v>
      </c>
      <c t="s">
        <v>53608</v>
      </c>
      <c t="s">
        <v>19940</v>
      </c>
      <c t="s">
        <v>67089</v>
      </c>
      <c t="s">
        <v>52171</v>
      </c>
      <c t="s">
        <v>2517</v>
      </c>
      <c t="s">
        <v>39289</v>
      </c>
      <c>
        <v>33909</v>
      </c>
      <c>
        <v>33909</v>
      </c>
      <c t="s">
        <v>48794</v>
      </c>
      <c t="s">
        <v>48028</v>
      </c>
      <c>
        <v>7</v>
      </c>
      <c r="AI5146" t="s">
        <v>31540</v>
      </c>
      <c t="s">
        <v>55842</v>
      </c>
      <c r="AL5146" t="s">
        <v>2657</v>
      </c>
      <c r="AN5146" t="s">
        <v>22275</v>
      </c>
      <c t="s">
        <v>46195</v>
      </c>
      <c t="s">
        <v>27553</v>
      </c>
      <c t="s">
        <v>3093</v>
      </c>
      <c t="s">
        <v>11487</v>
      </c>
    </row>
    <row>
      <c t="s">
        <v>17594</v>
      </c>
      <c t="s">
        <v>32624</v>
      </c>
      <c t="s">
        <v>36953</v>
      </c>
      <c t="s">
        <v>47242</v>
      </c>
      <c t="s">
        <v>4073</v>
      </c>
      <c s="3">
        <v>111405</v>
      </c>
      <c s="3">
        <v>111405</v>
      </c>
      <c s="3">
        <v>111405</v>
      </c>
      <c>
        <v>0</v>
      </c>
      <c s="3">
        <v>0</v>
      </c>
      <c s="3">
        <v>2053.67</v>
      </c>
      <c s="3">
        <v>111405</v>
      </c>
      <c r="O5147" s="1" t="str">
        <f ca="1">HYPERLINK("https://web.datatree.com/?/property?propertyId=34025836", "https://web.datatree.com/?/property?propertyId=34025836")</f>
        <v>https://web.datatree.com/?/property?propertyId=34025836</v>
      </c>
      <c r="Q5147" t="s">
        <v>316</v>
      </c>
      <c>
        <v>0.239</v>
      </c>
      <c t="s">
        <v>22490</v>
      </c>
      <c t="s">
        <v>63919</v>
      </c>
      <c t="s">
        <v>64219</v>
      </c>
      <c r="X5147" t="s">
        <v>26523</v>
      </c>
      <c t="s">
        <v>33335</v>
      </c>
      <c t="s">
        <v>2517</v>
      </c>
      <c t="s">
        <v>39289</v>
      </c>
      <c>
        <v>33904</v>
      </c>
      <c t="s">
        <v>38063</v>
      </c>
      <c t="s">
        <v>48794</v>
      </c>
      <c t="s">
        <v>65790</v>
      </c>
      <c>
        <v>5513</v>
      </c>
      <c r="AI5147" t="s">
        <v>56418</v>
      </c>
      <c t="s">
        <v>45620</v>
      </c>
      <c r="AL5147" t="s">
        <v>51404</v>
      </c>
      <c t="s">
        <v>51404</v>
      </c>
      <c t="s">
        <v>48152</v>
      </c>
      <c t="s">
        <v>38756</v>
      </c>
      <c t="s">
        <v>43417</v>
      </c>
      <c t="s">
        <v>3093</v>
      </c>
      <c t="s">
        <v>39011</v>
      </c>
    </row>
    <row>
      <c t="s">
        <v>17594</v>
      </c>
      <c t="s">
        <v>32013</v>
      </c>
      <c t="s">
        <v>20568</v>
      </c>
      <c t="s">
        <v>27088</v>
      </c>
      <c t="s">
        <v>63393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148" s="1" t="str">
        <f ca="1">HYPERLINK("https://web.datatree.com/?/property?propertyId=34025872", "https://web.datatree.com/?/property?propertyId=34025872")</f>
        <v>https://web.datatree.com/?/property?propertyId=34025872</v>
      </c>
      <c r="Q5148" t="s">
        <v>316</v>
      </c>
      <c>
        <v>0.23</v>
      </c>
      <c t="s">
        <v>6175</v>
      </c>
      <c t="s">
        <v>17594</v>
      </c>
      <c t="s">
        <v>51801</v>
      </c>
      <c t="s">
        <v>24611</v>
      </c>
      <c t="s">
        <v>51801</v>
      </c>
      <c t="s">
        <v>63071</v>
      </c>
      <c t="s">
        <v>25017</v>
      </c>
      <c t="s">
        <v>2517</v>
      </c>
      <c t="s">
        <v>39289</v>
      </c>
      <c>
        <v>33909</v>
      </c>
      <c t="s">
        <v>65208</v>
      </c>
      <c t="s">
        <v>48794</v>
      </c>
      <c t="s">
        <v>42799</v>
      </c>
      <c>
        <v>831</v>
      </c>
      <c r="AI5148" t="s">
        <v>43073</v>
      </c>
      <c t="s">
        <v>31192</v>
      </c>
      <c r="AL5148" t="s">
        <v>61261</v>
      </c>
      <c r="AN5148" t="s">
        <v>19878</v>
      </c>
      <c t="s">
        <v>49414</v>
      </c>
      <c t="s">
        <v>52247</v>
      </c>
      <c t="s">
        <v>3093</v>
      </c>
      <c t="s">
        <v>15493</v>
      </c>
    </row>
    <row>
      <c t="s">
        <v>17594</v>
      </c>
      <c t="s">
        <v>66713</v>
      </c>
      <c t="s">
        <v>747</v>
      </c>
      <c t="s">
        <v>51419</v>
      </c>
      <c t="s">
        <v>60001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5149" s="1" t="str">
        <f ca="1">HYPERLINK("https://web.datatree.com/?/property?propertyId=34026257", "https://web.datatree.com/?/property?propertyId=34026257")</f>
        <v>https://web.datatree.com/?/property?propertyId=34026257</v>
      </c>
      <c r="Q5149" t="s">
        <v>316</v>
      </c>
      <c>
        <v>0.23</v>
      </c>
      <c t="s">
        <v>58725</v>
      </c>
      <c t="s">
        <v>43702</v>
      </c>
      <c t="s">
        <v>34217</v>
      </c>
      <c r="X5149" t="s">
        <v>54663</v>
      </c>
      <c t="s">
        <v>39082</v>
      </c>
      <c t="s">
        <v>2517</v>
      </c>
      <c t="s">
        <v>39289</v>
      </c>
      <c>
        <v>33909</v>
      </c>
      <c t="s">
        <v>63727</v>
      </c>
      <c t="s">
        <v>48794</v>
      </c>
      <c t="s">
        <v>59592</v>
      </c>
      <c>
        <v>15571</v>
      </c>
      <c r="AH5149" t="s">
        <v>26580</v>
      </c>
      <c t="s">
        <v>5472</v>
      </c>
      <c t="s">
        <v>24900</v>
      </c>
      <c r="AL5149" t="s">
        <v>53587</v>
      </c>
      <c t="s">
        <v>53587</v>
      </c>
      <c t="s">
        <v>50829</v>
      </c>
      <c t="s">
        <v>64635</v>
      </c>
      <c t="s">
        <v>43294</v>
      </c>
      <c t="s">
        <v>3093</v>
      </c>
      <c t="s">
        <v>5069</v>
      </c>
    </row>
    <row>
      <c t="s">
        <v>17594</v>
      </c>
      <c t="s">
        <v>39233</v>
      </c>
      <c t="s">
        <v>38648</v>
      </c>
      <c t="s">
        <v>24518</v>
      </c>
      <c t="s">
        <v>12663</v>
      </c>
      <c s="3">
        <v>8600</v>
      </c>
      <c s="3">
        <v>8600</v>
      </c>
      <c s="3">
        <v>8600</v>
      </c>
      <c>
        <v>0</v>
      </c>
      <c s="3">
        <v>0</v>
      </c>
      <c s="3">
        <v>585.47</v>
      </c>
      <c s="3">
        <v>8600</v>
      </c>
      <c r="O5150" s="1" t="str">
        <f ca="1">HYPERLINK("https://web.datatree.com/?/property?propertyId=34026317", "https://web.datatree.com/?/property?propertyId=34026317")</f>
        <v>https://web.datatree.com/?/property?propertyId=34026317</v>
      </c>
      <c r="Q5150" t="s">
        <v>316</v>
      </c>
      <c>
        <v>0.23</v>
      </c>
      <c t="s">
        <v>42044</v>
      </c>
      <c t="s">
        <v>35571</v>
      </c>
      <c t="s">
        <v>48816</v>
      </c>
      <c r="X5150" t="s">
        <v>33117</v>
      </c>
      <c t="s">
        <v>13478</v>
      </c>
      <c t="s">
        <v>2517</v>
      </c>
      <c t="s">
        <v>39289</v>
      </c>
      <c>
        <v>33909</v>
      </c>
      <c t="s">
        <v>12020</v>
      </c>
      <c t="s">
        <v>48794</v>
      </c>
      <c t="s">
        <v>22516</v>
      </c>
      <c>
        <v>22561</v>
      </c>
      <c r="AI5150" t="s">
        <v>46792</v>
      </c>
      <c r="AL5150" t="s">
        <v>35482</v>
      </c>
      <c r="AN5150" t="s">
        <v>14798</v>
      </c>
      <c t="s">
        <v>50771</v>
      </c>
      <c t="s">
        <v>49709</v>
      </c>
      <c t="s">
        <v>3093</v>
      </c>
      <c t="s">
        <v>64241</v>
      </c>
    </row>
    <row>
      <c t="s">
        <v>17594</v>
      </c>
      <c t="s">
        <v>4774</v>
      </c>
      <c t="s">
        <v>539</v>
      </c>
      <c t="s">
        <v>4960</v>
      </c>
      <c t="s">
        <v>66881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151" s="1" t="str">
        <f ca="1">HYPERLINK("https://web.datatree.com/?/property?propertyId=34026774", "https://web.datatree.com/?/property?propertyId=34026774")</f>
        <v>https://web.datatree.com/?/property?propertyId=34026774</v>
      </c>
      <c r="Q5151" t="s">
        <v>316</v>
      </c>
      <c>
        <v>0.23</v>
      </c>
      <c t="s">
        <v>22490</v>
      </c>
      <c t="s">
        <v>24028</v>
      </c>
      <c t="s">
        <v>59712</v>
      </c>
      <c r="X5151" t="s">
        <v>33528</v>
      </c>
      <c t="s">
        <v>49674</v>
      </c>
      <c t="s">
        <v>2517</v>
      </c>
      <c t="s">
        <v>39289</v>
      </c>
      <c>
        <v>33909</v>
      </c>
      <c t="s">
        <v>49443</v>
      </c>
      <c t="s">
        <v>48794</v>
      </c>
      <c t="s">
        <v>34477</v>
      </c>
      <c r="AI5151" t="s">
        <v>17131</v>
      </c>
      <c r="AL5151" t="s">
        <v>61329</v>
      </c>
      <c r="AN5151" t="s">
        <v>22282</v>
      </c>
      <c>
        <v>86000</v>
      </c>
      <c r="AR5151" t="s">
        <v>40541</v>
      </c>
    </row>
    <row>
      <c t="s">
        <v>17594</v>
      </c>
      <c t="s">
        <v>9953</v>
      </c>
      <c t="s">
        <v>9281</v>
      </c>
      <c t="s">
        <v>38505</v>
      </c>
      <c t="s">
        <v>49830</v>
      </c>
      <c s="3">
        <v>83514</v>
      </c>
      <c s="3">
        <v>74250</v>
      </c>
      <c s="3">
        <v>79781</v>
      </c>
      <c>
        <v>0</v>
      </c>
      <c s="3">
        <v>0</v>
      </c>
      <c s="3">
        <v>1220.1</v>
      </c>
      <c s="3">
        <v>83514</v>
      </c>
      <c r="O5152" s="1" t="str">
        <f ca="1">HYPERLINK("https://web.datatree.com/?/property?propertyId=34027347", "https://web.datatree.com/?/property?propertyId=34027347")</f>
        <v>https://web.datatree.com/?/property?propertyId=34027347</v>
      </c>
      <c r="Q5152" t="s">
        <v>316</v>
      </c>
      <c>
        <v>0.095</v>
      </c>
      <c t="s">
        <v>26492</v>
      </c>
      <c r="U5152" t="s">
        <v>28633</v>
      </c>
      <c r="W5152" t="s">
        <v>12763</v>
      </c>
      <c t="s">
        <v>45498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50425</v>
      </c>
      <c>
        <v>5508</v>
      </c>
      <c r="AI5152" t="s">
        <v>16089</v>
      </c>
      <c t="s">
        <v>45620</v>
      </c>
      <c r="AL5152" t="s">
        <v>36289</v>
      </c>
      <c t="s">
        <v>40227</v>
      </c>
      <c t="s">
        <v>51137</v>
      </c>
      <c t="s">
        <v>57493</v>
      </c>
      <c t="s">
        <v>14695</v>
      </c>
      <c t="s">
        <v>3093</v>
      </c>
      <c t="s">
        <v>43507</v>
      </c>
    </row>
    <row>
      <c t="s">
        <v>17594</v>
      </c>
      <c t="s">
        <v>44498</v>
      </c>
      <c t="s">
        <v>29371</v>
      </c>
      <c t="s">
        <v>40204</v>
      </c>
      <c t="s">
        <v>11661</v>
      </c>
      <c s="3">
        <v>29403</v>
      </c>
      <c s="3">
        <v>29403</v>
      </c>
      <c s="3">
        <v>9079</v>
      </c>
      <c>
        <v>0</v>
      </c>
      <c s="3">
        <v>0</v>
      </c>
      <c s="3">
        <v>2990.73</v>
      </c>
      <c s="3">
        <v>29403</v>
      </c>
      <c r="O5153" s="1" t="str">
        <f ca="1">HYPERLINK("https://web.datatree.com/?/property?propertyId=34027723", "https://web.datatree.com/?/property?propertyId=34027723")</f>
        <v>https://web.datatree.com/?/property?propertyId=34027723</v>
      </c>
      <c r="Q5153" t="s">
        <v>316</v>
      </c>
      <c>
        <v>0.248</v>
      </c>
      <c t="s">
        <v>6175</v>
      </c>
      <c t="s">
        <v>6753</v>
      </c>
      <c t="s">
        <v>51096</v>
      </c>
      <c r="X5153" t="s">
        <v>46729</v>
      </c>
      <c t="s">
        <v>13478</v>
      </c>
      <c t="s">
        <v>2517</v>
      </c>
      <c t="s">
        <v>39289</v>
      </c>
      <c>
        <v>33909</v>
      </c>
      <c t="s">
        <v>21011</v>
      </c>
      <c t="s">
        <v>48794</v>
      </c>
      <c t="s">
        <v>40338</v>
      </c>
      <c>
        <v>2055</v>
      </c>
      <c r="AI5153" t="s">
        <v>17177</v>
      </c>
      <c t="s">
        <v>31192</v>
      </c>
      <c r="AL5153" t="s">
        <v>1709</v>
      </c>
      <c r="AN5153" t="s">
        <v>17134</v>
      </c>
      <c t="s">
        <v>7451</v>
      </c>
      <c t="s">
        <v>4480</v>
      </c>
      <c t="s">
        <v>3093</v>
      </c>
      <c t="s">
        <v>59404</v>
      </c>
    </row>
    <row>
      <c t="s">
        <v>17594</v>
      </c>
      <c t="s">
        <v>38192</v>
      </c>
      <c t="s">
        <v>61670</v>
      </c>
      <c t="s">
        <v>22651</v>
      </c>
      <c t="s">
        <v>5396</v>
      </c>
      <c s="3">
        <v>19500</v>
      </c>
      <c s="3">
        <v>19500</v>
      </c>
      <c s="3">
        <v>10450</v>
      </c>
      <c>
        <v>0</v>
      </c>
      <c s="3">
        <v>0</v>
      </c>
      <c s="3">
        <v>604.32</v>
      </c>
      <c s="3">
        <v>19500</v>
      </c>
      <c r="O5154" s="1" t="str">
        <f ca="1">HYPERLINK("https://web.datatree.com/?/property?propertyId=34027826", "https://web.datatree.com/?/property?propertyId=34027826")</f>
        <v>https://web.datatree.com/?/property?propertyId=34027826</v>
      </c>
      <c r="Q5154" t="s">
        <v>316</v>
      </c>
      <c>
        <v>0.23</v>
      </c>
      <c t="s">
        <v>22490</v>
      </c>
      <c t="s">
        <v>58276</v>
      </c>
      <c t="s">
        <v>46365</v>
      </c>
      <c r="X5154" t="s">
        <v>44278</v>
      </c>
      <c t="s">
        <v>52171</v>
      </c>
      <c t="s">
        <v>2517</v>
      </c>
      <c t="s">
        <v>39289</v>
      </c>
      <c>
        <v>33904</v>
      </c>
      <c t="s">
        <v>55471</v>
      </c>
      <c t="s">
        <v>48794</v>
      </c>
      <c t="s">
        <v>47395</v>
      </c>
      <c>
        <v>265</v>
      </c>
      <c r="AI5154" t="s">
        <v>19301</v>
      </c>
      <c t="s">
        <v>45393</v>
      </c>
      <c r="AL5154" t="s">
        <v>66317</v>
      </c>
      <c r="AN5154" t="s">
        <v>50917</v>
      </c>
      <c t="s">
        <v>16921</v>
      </c>
      <c t="s">
        <v>26242</v>
      </c>
      <c t="s">
        <v>3093</v>
      </c>
      <c t="s">
        <v>48677</v>
      </c>
    </row>
    <row>
      <c t="s">
        <v>17594</v>
      </c>
      <c t="s">
        <v>11333</v>
      </c>
      <c t="s">
        <v>36766</v>
      </c>
      <c t="s">
        <v>50910</v>
      </c>
      <c t="s">
        <v>29137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155" s="1" t="str">
        <f ca="1">HYPERLINK("https://web.datatree.com/?/property?propertyId=34028698", "https://web.datatree.com/?/property?propertyId=34028698")</f>
        <v>https://web.datatree.com/?/property?propertyId=34028698</v>
      </c>
      <c r="Q5155" t="s">
        <v>316</v>
      </c>
      <c>
        <v>0.23</v>
      </c>
      <c t="s">
        <v>6175</v>
      </c>
      <c t="s">
        <v>3293</v>
      </c>
      <c t="s">
        <v>39982</v>
      </c>
      <c r="X5155" t="s">
        <v>15213</v>
      </c>
      <c t="s">
        <v>30928</v>
      </c>
      <c t="s">
        <v>2517</v>
      </c>
      <c t="s">
        <v>39289</v>
      </c>
      <c>
        <v>33909</v>
      </c>
      <c t="s">
        <v>50246</v>
      </c>
      <c t="s">
        <v>48794</v>
      </c>
      <c t="s">
        <v>21760</v>
      </c>
      <c>
        <v>16197</v>
      </c>
      <c r="AI5155" t="s">
        <v>61850</v>
      </c>
      <c t="s">
        <v>45393</v>
      </c>
      <c r="AL5155" t="s">
        <v>25857</v>
      </c>
      <c r="AN5155" t="s">
        <v>39289</v>
      </c>
      <c t="s">
        <v>52748</v>
      </c>
      <c t="s">
        <v>16126</v>
      </c>
      <c t="s">
        <v>3093</v>
      </c>
      <c t="s">
        <v>36157</v>
      </c>
    </row>
    <row>
      <c t="s">
        <v>42103</v>
      </c>
      <c t="s">
        <v>67258</v>
      </c>
      <c t="s">
        <v>4855</v>
      </c>
      <c t="s">
        <v>45121</v>
      </c>
      <c t="s">
        <v>33677</v>
      </c>
      <c s="3">
        <v>65000</v>
      </c>
      <c s="3">
        <v>65000</v>
      </c>
      <c s="3">
        <v>35505</v>
      </c>
      <c>
        <v>0</v>
      </c>
      <c s="3">
        <v>0</v>
      </c>
      <c s="3">
        <v>1353.22</v>
      </c>
      <c s="3">
        <v>65000</v>
      </c>
      <c r="O5156" s="1" t="str">
        <f ca="1">HYPERLINK("https://web.datatree.com/?/property?propertyId=34028828", "https://web.datatree.com/?/property?propertyId=34028828")</f>
        <v>https://web.datatree.com/?/property?propertyId=34028828</v>
      </c>
      <c r="Q5156" t="s">
        <v>316</v>
      </c>
      <c>
        <v>0.441</v>
      </c>
      <c t="s">
        <v>22490</v>
      </c>
      <c t="s">
        <v>3174</v>
      </c>
      <c t="s">
        <v>36870</v>
      </c>
      <c t="s">
        <v>18281</v>
      </c>
      <c t="s">
        <v>36870</v>
      </c>
      <c t="s">
        <v>53978</v>
      </c>
      <c t="s">
        <v>47150</v>
      </c>
      <c t="s">
        <v>2517</v>
      </c>
      <c t="s">
        <v>39289</v>
      </c>
      <c>
        <v>33909</v>
      </c>
      <c t="s">
        <v>66497</v>
      </c>
      <c t="s">
        <v>48794</v>
      </c>
      <c t="s">
        <v>8710</v>
      </c>
      <c r="AI5156" t="s">
        <v>24832</v>
      </c>
      <c r="AK5156">
        <v>28</v>
      </c>
      <c t="s">
        <v>36113</v>
      </c>
      <c r="AN5156" t="s">
        <v>63985</v>
      </c>
      <c>
        <v>22397</v>
      </c>
      <c r="AQ5156" t="s">
        <v>3093</v>
      </c>
      <c t="s">
        <v>14009</v>
      </c>
    </row>
    <row>
      <c t="s">
        <v>17594</v>
      </c>
      <c t="s">
        <v>66388</v>
      </c>
      <c t="s">
        <v>38160</v>
      </c>
      <c t="s">
        <v>3888</v>
      </c>
      <c t="s">
        <v>49177</v>
      </c>
      <c s="3">
        <v>24450</v>
      </c>
      <c s="3">
        <v>24450</v>
      </c>
      <c s="3">
        <v>11000</v>
      </c>
      <c>
        <v>0</v>
      </c>
      <c s="3">
        <v>0</v>
      </c>
      <c s="3">
        <v>644.52</v>
      </c>
      <c s="3">
        <v>24450</v>
      </c>
      <c r="O5157" s="1" t="str">
        <f ca="1">HYPERLINK("https://web.datatree.com/?/property?propertyId=34030306", "https://web.datatree.com/?/property?propertyId=34030306")</f>
        <v>https://web.datatree.com/?/property?propertyId=34030306</v>
      </c>
      <c r="Q5157" t="s">
        <v>316</v>
      </c>
      <c>
        <v>0.255</v>
      </c>
      <c t="s">
        <v>22490</v>
      </c>
      <c t="s">
        <v>50343</v>
      </c>
      <c t="s">
        <v>45260</v>
      </c>
      <c t="s">
        <v>10045</v>
      </c>
      <c t="s">
        <v>45260</v>
      </c>
      <c t="s">
        <v>26132</v>
      </c>
      <c t="s">
        <v>29190</v>
      </c>
      <c t="s">
        <v>2517</v>
      </c>
      <c t="s">
        <v>39289</v>
      </c>
      <c>
        <v>33909</v>
      </c>
      <c t="s">
        <v>39202</v>
      </c>
      <c t="s">
        <v>48794</v>
      </c>
      <c t="s">
        <v>4931</v>
      </c>
      <c>
        <v>2806</v>
      </c>
      <c r="AI5157" t="s">
        <v>14872</v>
      </c>
      <c t="s">
        <v>31192</v>
      </c>
      <c r="AL5157" t="s">
        <v>10898</v>
      </c>
      <c t="s">
        <v>9415</v>
      </c>
      <c t="s">
        <v>18236</v>
      </c>
      <c t="s">
        <v>57588</v>
      </c>
      <c t="s">
        <v>53476</v>
      </c>
      <c t="s">
        <v>3093</v>
      </c>
      <c t="s">
        <v>43550</v>
      </c>
    </row>
    <row>
      <c t="s">
        <v>17594</v>
      </c>
      <c t="s">
        <v>59635</v>
      </c>
      <c t="s">
        <v>11475</v>
      </c>
      <c t="s">
        <v>40411</v>
      </c>
      <c t="s">
        <v>21224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158" s="1" t="str">
        <f ca="1">HYPERLINK("https://web.datatree.com/?/property?propertyId=34030475", "https://web.datatree.com/?/property?propertyId=34030475")</f>
        <v>https://web.datatree.com/?/property?propertyId=34030475</v>
      </c>
      <c r="Q5158" t="s">
        <v>316</v>
      </c>
      <c>
        <v>0.23</v>
      </c>
      <c t="s">
        <v>6175</v>
      </c>
      <c t="s">
        <v>47977</v>
      </c>
      <c t="s">
        <v>40303</v>
      </c>
      <c t="s">
        <v>53608</v>
      </c>
      <c t="s">
        <v>40303</v>
      </c>
      <c t="s">
        <v>61365</v>
      </c>
      <c t="s">
        <v>23517</v>
      </c>
      <c t="s">
        <v>2517</v>
      </c>
      <c t="s">
        <v>39289</v>
      </c>
      <c>
        <v>33909</v>
      </c>
      <c>
        <v>33909</v>
      </c>
      <c t="s">
        <v>48794</v>
      </c>
      <c t="s">
        <v>56149</v>
      </c>
      <c>
        <v>22087</v>
      </c>
      <c r="AI5158">
        <v>49</v>
      </c>
      <c t="s">
        <v>24900</v>
      </c>
      <c>
        <v>112</v>
      </c>
      <c t="s">
        <v>52900</v>
      </c>
      <c r="AN5158" t="s">
        <v>7064</v>
      </c>
      <c t="s">
        <v>56841</v>
      </c>
      <c r="AQ5158" t="s">
        <v>27814</v>
      </c>
      <c t="s">
        <v>519</v>
      </c>
    </row>
    <row>
      <c t="s">
        <v>17594</v>
      </c>
      <c t="s">
        <v>53704</v>
      </c>
      <c t="s">
        <v>32950</v>
      </c>
      <c t="s">
        <v>7867</v>
      </c>
      <c t="s">
        <v>52582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159" s="1" t="str">
        <f ca="1">HYPERLINK("https://web.datatree.com/?/property?propertyId=34031232", "https://web.datatree.com/?/property?propertyId=34031232")</f>
        <v>https://web.datatree.com/?/property?propertyId=34031232</v>
      </c>
      <c r="Q5159" t="s">
        <v>316</v>
      </c>
      <c>
        <v>0.23</v>
      </c>
      <c t="s">
        <v>6175</v>
      </c>
      <c t="s">
        <v>6326</v>
      </c>
      <c t="s">
        <v>65616</v>
      </c>
      <c r="X5159" t="s">
        <v>8338</v>
      </c>
      <c t="s">
        <v>61865</v>
      </c>
      <c t="s">
        <v>2517</v>
      </c>
      <c t="s">
        <v>39289</v>
      </c>
      <c>
        <v>33909</v>
      </c>
      <c t="s">
        <v>9670</v>
      </c>
      <c t="s">
        <v>48794</v>
      </c>
      <c t="s">
        <v>24252</v>
      </c>
      <c>
        <v>1233</v>
      </c>
      <c r="AI5159" t="s">
        <v>41004</v>
      </c>
      <c t="s">
        <v>24900</v>
      </c>
      <c r="AL5159" t="s">
        <v>47510</v>
      </c>
      <c r="AN5159" t="s">
        <v>39289</v>
      </c>
      <c t="s">
        <v>58245</v>
      </c>
      <c t="s">
        <v>49842</v>
      </c>
      <c t="s">
        <v>3093</v>
      </c>
      <c t="s">
        <v>27944</v>
      </c>
    </row>
    <row>
      <c t="s">
        <v>17594</v>
      </c>
      <c t="s">
        <v>31262</v>
      </c>
      <c t="s">
        <v>55213</v>
      </c>
      <c t="s">
        <v>60506</v>
      </c>
      <c t="s">
        <v>35935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>
        <v>2018</v>
      </c>
      <c>
        <v>7083.57</v>
      </c>
      <c s="1" t="str">
        <f ca="1">HYPERLINK("https://web.datatree.com/?/property?propertyId=34031449", "https://web.datatree.com/?/property?propertyId=34031449")</f>
        <v>https://web.datatree.com/?/property?propertyId=34031449</v>
      </c>
      <c r="Q5160" t="s">
        <v>316</v>
      </c>
      <c>
        <v>0.23</v>
      </c>
      <c t="s">
        <v>45031</v>
      </c>
      <c r="U5160" t="s">
        <v>19956</v>
      </c>
      <c r="X5160" t="s">
        <v>44569</v>
      </c>
      <c t="s">
        <v>39082</v>
      </c>
      <c t="s">
        <v>2517</v>
      </c>
      <c t="s">
        <v>39289</v>
      </c>
      <c>
        <v>33909</v>
      </c>
      <c t="s">
        <v>66640</v>
      </c>
      <c t="s">
        <v>48794</v>
      </c>
      <c t="s">
        <v>26156</v>
      </c>
      <c>
        <v>2628</v>
      </c>
      <c r="AI5160" t="s">
        <v>40784</v>
      </c>
      <c t="s">
        <v>31192</v>
      </c>
      <c r="AL5160" t="s">
        <v>27095</v>
      </c>
      <c t="s">
        <v>27095</v>
      </c>
      <c t="s">
        <v>66651</v>
      </c>
      <c t="s">
        <v>34209</v>
      </c>
      <c t="s">
        <v>4797</v>
      </c>
      <c t="s">
        <v>3093</v>
      </c>
      <c t="s">
        <v>60834</v>
      </c>
    </row>
    <row>
      <c t="s">
        <v>17594</v>
      </c>
      <c t="s">
        <v>14738</v>
      </c>
      <c t="s">
        <v>949</v>
      </c>
      <c t="s">
        <v>41486</v>
      </c>
      <c t="s">
        <v>21853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>
        <v>2021</v>
      </c>
      <c>
        <v>527.13</v>
      </c>
      <c s="1" t="str">
        <f ca="1">HYPERLINK("https://web.datatree.com/?/property?propertyId=34031591", "https://web.datatree.com/?/property?propertyId=34031591")</f>
        <v>https://web.datatree.com/?/property?propertyId=34031591</v>
      </c>
      <c r="Q5161" t="s">
        <v>316</v>
      </c>
      <c>
        <v>0.23</v>
      </c>
      <c t="s">
        <v>6175</v>
      </c>
      <c t="s">
        <v>44820</v>
      </c>
      <c t="s">
        <v>5355</v>
      </c>
      <c t="s">
        <v>6691</v>
      </c>
      <c r="X5161" t="s">
        <v>28340</v>
      </c>
      <c t="s">
        <v>30928</v>
      </c>
      <c t="s">
        <v>2517</v>
      </c>
      <c t="s">
        <v>39289</v>
      </c>
      <c>
        <v>33909</v>
      </c>
      <c t="s">
        <v>49331</v>
      </c>
      <c t="s">
        <v>48794</v>
      </c>
      <c t="s">
        <v>5194</v>
      </c>
      <c>
        <v>917</v>
      </c>
      <c r="AH5161" t="s">
        <v>26580</v>
      </c>
      <c t="s">
        <v>63251</v>
      </c>
      <c t="s">
        <v>24900</v>
      </c>
      <c r="AL5161" t="s">
        <v>47595</v>
      </c>
      <c t="s">
        <v>51148</v>
      </c>
      <c t="s">
        <v>39289</v>
      </c>
      <c t="s">
        <v>36052</v>
      </c>
      <c t="s">
        <v>5652</v>
      </c>
      <c t="s">
        <v>3093</v>
      </c>
      <c t="s">
        <v>10787</v>
      </c>
    </row>
    <row>
      <c t="s">
        <v>17594</v>
      </c>
      <c t="s">
        <v>42427</v>
      </c>
      <c t="s">
        <v>59622</v>
      </c>
      <c t="s">
        <v>10211</v>
      </c>
      <c t="s">
        <v>47108</v>
      </c>
      <c s="3">
        <v>8515</v>
      </c>
      <c s="3">
        <v>8515</v>
      </c>
      <c s="3">
        <v>4972</v>
      </c>
      <c>
        <v>0</v>
      </c>
      <c s="3">
        <v>0</v>
      </c>
      <c s="3">
        <v>317.96</v>
      </c>
      <c s="3">
        <v>8515</v>
      </c>
      <c r="O5162" s="1" t="str">
        <f ca="1">HYPERLINK("https://web.datatree.com/?/property?propertyId=34032695", "https://web.datatree.com/?/property?propertyId=34032695")</f>
        <v>https://web.datatree.com/?/property?propertyId=34032695</v>
      </c>
      <c r="Q5162" t="s">
        <v>316</v>
      </c>
      <c>
        <v>0.248</v>
      </c>
      <c t="s">
        <v>5471</v>
      </c>
      <c r="U5162" t="s">
        <v>18563</v>
      </c>
      <c t="s">
        <v>48320</v>
      </c>
      <c t="s">
        <v>35420</v>
      </c>
      <c t="s">
        <v>48960</v>
      </c>
      <c t="s">
        <v>16121</v>
      </c>
      <c t="s">
        <v>65059</v>
      </c>
      <c t="s">
        <v>39289</v>
      </c>
      <c>
        <v>33905</v>
      </c>
      <c t="s">
        <v>29594</v>
      </c>
      <c t="s">
        <v>48794</v>
      </c>
      <c t="s">
        <v>932</v>
      </c>
      <c>
        <v>6053</v>
      </c>
      <c r="AI5162" t="s">
        <v>36695</v>
      </c>
      <c t="s">
        <v>1671</v>
      </c>
      <c r="AL5162" t="s">
        <v>4859</v>
      </c>
      <c t="s">
        <v>4859</v>
      </c>
      <c t="s">
        <v>39289</v>
      </c>
      <c t="s">
        <v>46235</v>
      </c>
      <c t="s">
        <v>34171</v>
      </c>
      <c t="s">
        <v>3093</v>
      </c>
      <c t="s">
        <v>55637</v>
      </c>
    </row>
    <row>
      <c t="s">
        <v>17594</v>
      </c>
      <c t="s">
        <v>24441</v>
      </c>
      <c t="s">
        <v>64577</v>
      </c>
      <c t="s">
        <v>11114</v>
      </c>
      <c t="s">
        <v>33381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163" s="1" t="str">
        <f ca="1">HYPERLINK("https://web.datatree.com/?/property?propertyId=34034561", "https://web.datatree.com/?/property?propertyId=34034561")</f>
        <v>https://web.datatree.com/?/property?propertyId=34034561</v>
      </c>
      <c r="Q5163" t="s">
        <v>316</v>
      </c>
      <c>
        <v>0.23</v>
      </c>
      <c t="s">
        <v>6175</v>
      </c>
      <c t="s">
        <v>57045</v>
      </c>
      <c t="s">
        <v>61577</v>
      </c>
      <c r="X5163" t="s">
        <v>17143</v>
      </c>
      <c t="s">
        <v>49674</v>
      </c>
      <c t="s">
        <v>2517</v>
      </c>
      <c t="s">
        <v>39289</v>
      </c>
      <c>
        <v>33909</v>
      </c>
      <c t="s">
        <v>63952</v>
      </c>
      <c t="s">
        <v>48794</v>
      </c>
      <c t="s">
        <v>7768</v>
      </c>
      <c r="AI5163" t="s">
        <v>18157</v>
      </c>
      <c r="AL5163" t="s">
        <v>53273</v>
      </c>
      <c r="AN5163" t="s">
        <v>57598</v>
      </c>
      <c>
        <v>6261</v>
      </c>
      <c r="AR5163" t="s">
        <v>22279</v>
      </c>
    </row>
    <row>
      <c t="s">
        <v>17594</v>
      </c>
      <c t="s">
        <v>18123</v>
      </c>
      <c t="s">
        <v>63160</v>
      </c>
      <c t="s">
        <v>50357</v>
      </c>
      <c t="s">
        <v>7142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5164" s="1" t="str">
        <f ca="1">HYPERLINK("https://web.datatree.com/?/property?propertyId=34034622", "https://web.datatree.com/?/property?propertyId=34034622")</f>
        <v>https://web.datatree.com/?/property?propertyId=34034622</v>
      </c>
      <c r="Q5164" t="s">
        <v>316</v>
      </c>
      <c>
        <v>0.242</v>
      </c>
      <c t="s">
        <v>5471</v>
      </c>
      <c t="s">
        <v>4055</v>
      </c>
      <c t="s">
        <v>45096</v>
      </c>
      <c t="s">
        <v>58927</v>
      </c>
      <c t="s">
        <v>45096</v>
      </c>
      <c t="s">
        <v>60770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47644</v>
      </c>
      <c>
        <v>419</v>
      </c>
      <c r="AH5164" t="s">
        <v>15376</v>
      </c>
      <c t="s">
        <v>61865</v>
      </c>
      <c t="s">
        <v>24900</v>
      </c>
      <c r="AL5164" t="s">
        <v>41110</v>
      </c>
      <c r="AN5164" t="s">
        <v>44551</v>
      </c>
      <c t="s">
        <v>60764</v>
      </c>
      <c t="s">
        <v>26242</v>
      </c>
      <c t="s">
        <v>3093</v>
      </c>
      <c t="s">
        <v>14471</v>
      </c>
    </row>
    <row>
      <c t="s">
        <v>17594</v>
      </c>
      <c t="s">
        <v>56169</v>
      </c>
      <c t="s">
        <v>43413</v>
      </c>
      <c t="s">
        <v>53429</v>
      </c>
      <c t="s">
        <v>47783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5165" s="1" t="str">
        <f ca="1">HYPERLINK("https://web.datatree.com/?/property?propertyId=34034848", "https://web.datatree.com/?/property?propertyId=34034848")</f>
        <v>https://web.datatree.com/?/property?propertyId=34034848</v>
      </c>
      <c r="Q5165" t="s">
        <v>316</v>
      </c>
      <c>
        <v>0.241</v>
      </c>
      <c t="s">
        <v>22490</v>
      </c>
      <c t="s">
        <v>53790</v>
      </c>
      <c t="s">
        <v>4319</v>
      </c>
      <c t="s">
        <v>2140</v>
      </c>
      <c t="s">
        <v>22624</v>
      </c>
      <c t="s">
        <v>35682</v>
      </c>
      <c t="s">
        <v>47150</v>
      </c>
      <c t="s">
        <v>2517</v>
      </c>
      <c t="s">
        <v>39289</v>
      </c>
      <c>
        <v>33909</v>
      </c>
      <c t="s">
        <v>53531</v>
      </c>
      <c t="s">
        <v>48794</v>
      </c>
      <c t="s">
        <v>20305</v>
      </c>
      <c>
        <v>1439</v>
      </c>
      <c r="AI5165" t="s">
        <v>54998</v>
      </c>
      <c t="s">
        <v>45620</v>
      </c>
      <c r="AL5165" t="s">
        <v>43451</v>
      </c>
      <c r="AN5165" t="s">
        <v>65467</v>
      </c>
      <c t="s">
        <v>46107</v>
      </c>
      <c t="s">
        <v>44428</v>
      </c>
      <c t="s">
        <v>3093</v>
      </c>
      <c t="s">
        <v>3344</v>
      </c>
    </row>
    <row>
      <c t="s">
        <v>17594</v>
      </c>
      <c t="s">
        <v>40808</v>
      </c>
      <c t="s">
        <v>51028</v>
      </c>
      <c t="s">
        <v>1203</v>
      </c>
      <c t="s">
        <v>17493</v>
      </c>
      <c s="3">
        <v>54688</v>
      </c>
      <c s="3">
        <v>54688</v>
      </c>
      <c s="3">
        <v>23108</v>
      </c>
      <c>
        <v>0</v>
      </c>
      <c s="3">
        <v>0</v>
      </c>
      <c s="3">
        <v>826.51</v>
      </c>
      <c s="3">
        <v>54688</v>
      </c>
      <c r="O5166" s="1" t="str">
        <f ca="1">HYPERLINK("https://web.datatree.com/?/property?propertyId=34034966", "https://web.datatree.com/?/property?propertyId=34034966")</f>
        <v>https://web.datatree.com/?/property?propertyId=34034966</v>
      </c>
      <c r="Q5166" t="s">
        <v>316</v>
      </c>
      <c>
        <v>0.23</v>
      </c>
      <c t="s">
        <v>6175</v>
      </c>
      <c t="s">
        <v>44541</v>
      </c>
      <c t="s">
        <v>62510</v>
      </c>
      <c r="X5166" t="s">
        <v>31441</v>
      </c>
      <c t="s">
        <v>33335</v>
      </c>
      <c t="s">
        <v>2517</v>
      </c>
      <c t="s">
        <v>39289</v>
      </c>
      <c>
        <v>33904</v>
      </c>
      <c t="s">
        <v>8421</v>
      </c>
      <c t="s">
        <v>48794</v>
      </c>
      <c t="s">
        <v>5943</v>
      </c>
      <c>
        <v>732</v>
      </c>
      <c r="AI5166" t="s">
        <v>797</v>
      </c>
      <c t="s">
        <v>31192</v>
      </c>
      <c r="AL5166" t="s">
        <v>17966</v>
      </c>
      <c r="AN5166" t="s">
        <v>10804</v>
      </c>
      <c t="s">
        <v>7858</v>
      </c>
      <c t="s">
        <v>58683</v>
      </c>
      <c t="s">
        <v>3093</v>
      </c>
      <c t="s">
        <v>48368</v>
      </c>
    </row>
    <row>
      <c t="s">
        <v>17594</v>
      </c>
      <c t="s">
        <v>39965</v>
      </c>
      <c t="s">
        <v>31472</v>
      </c>
      <c t="s">
        <v>28291</v>
      </c>
      <c t="s">
        <v>47759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5167" s="1" t="str">
        <f ca="1">HYPERLINK("https://web.datatree.com/?/property?propertyId=34035068", "https://web.datatree.com/?/property?propertyId=34035068")</f>
        <v>https://web.datatree.com/?/property?propertyId=34035068</v>
      </c>
      <c r="Q5167" t="s">
        <v>316</v>
      </c>
      <c>
        <v>0.244</v>
      </c>
      <c t="s">
        <v>6175</v>
      </c>
      <c t="s">
        <v>64030</v>
      </c>
      <c t="s">
        <v>34397</v>
      </c>
      <c t="s">
        <v>48615</v>
      </c>
      <c t="s">
        <v>34397</v>
      </c>
      <c t="s">
        <v>48840</v>
      </c>
      <c t="s">
        <v>30928</v>
      </c>
      <c t="s">
        <v>2517</v>
      </c>
      <c t="s">
        <v>39289</v>
      </c>
      <c>
        <v>33909</v>
      </c>
      <c t="s">
        <v>19</v>
      </c>
      <c t="s">
        <v>48794</v>
      </c>
      <c t="s">
        <v>30734</v>
      </c>
      <c>
        <v>850</v>
      </c>
      <c r="AI5167" t="s">
        <v>40047</v>
      </c>
      <c t="s">
        <v>4985</v>
      </c>
      <c r="AL5167" t="s">
        <v>23695</v>
      </c>
      <c t="s">
        <v>23088</v>
      </c>
      <c t="s">
        <v>39289</v>
      </c>
      <c t="s">
        <v>24282</v>
      </c>
      <c t="s">
        <v>636</v>
      </c>
      <c t="s">
        <v>3093</v>
      </c>
      <c t="s">
        <v>27960</v>
      </c>
    </row>
    <row>
      <c t="s">
        <v>17594</v>
      </c>
      <c t="s">
        <v>5533</v>
      </c>
      <c t="s">
        <v>20427</v>
      </c>
      <c t="s">
        <v>23814</v>
      </c>
      <c t="s">
        <v>52869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168" s="1" t="str">
        <f ca="1">HYPERLINK("https://web.datatree.com/?/property?propertyId=34035075", "https://web.datatree.com/?/property?propertyId=34035075")</f>
        <v>https://web.datatree.com/?/property?propertyId=34035075</v>
      </c>
      <c r="Q5168" t="s">
        <v>316</v>
      </c>
      <c>
        <v>0.23</v>
      </c>
      <c t="s">
        <v>6175</v>
      </c>
      <c t="s">
        <v>56333</v>
      </c>
      <c t="s">
        <v>61208</v>
      </c>
      <c t="s">
        <v>1599</v>
      </c>
      <c t="s">
        <v>61208</v>
      </c>
      <c t="s">
        <v>48303</v>
      </c>
      <c t="s">
        <v>34731</v>
      </c>
      <c t="s">
        <v>2517</v>
      </c>
      <c t="s">
        <v>39289</v>
      </c>
      <c>
        <v>33909</v>
      </c>
      <c t="s">
        <v>35089</v>
      </c>
      <c t="s">
        <v>48794</v>
      </c>
      <c t="s">
        <v>65074</v>
      </c>
      <c>
        <v>4221</v>
      </c>
      <c r="AI5168" t="s">
        <v>44711</v>
      </c>
      <c t="s">
        <v>45620</v>
      </c>
      <c r="AL5168" t="s">
        <v>5013</v>
      </c>
      <c r="AN5168" t="s">
        <v>39289</v>
      </c>
      <c t="s">
        <v>13934</v>
      </c>
      <c t="s">
        <v>5771</v>
      </c>
      <c t="s">
        <v>3093</v>
      </c>
      <c t="s">
        <v>56269</v>
      </c>
    </row>
    <row>
      <c t="s">
        <v>17594</v>
      </c>
      <c t="s">
        <v>32024</v>
      </c>
      <c t="s">
        <v>37568</v>
      </c>
      <c t="s">
        <v>52269</v>
      </c>
      <c t="s">
        <v>51432</v>
      </c>
      <c s="3">
        <v>28000</v>
      </c>
      <c s="3">
        <v>28000</v>
      </c>
      <c s="3">
        <v>28000</v>
      </c>
      <c>
        <v>0</v>
      </c>
      <c s="3">
        <v>0</v>
      </c>
      <c s="3">
        <v>3081.02</v>
      </c>
      <c s="3">
        <v>28000</v>
      </c>
      <c r="O5169" s="1" t="str">
        <f ca="1">HYPERLINK("https://web.datatree.com/?/property?propertyId=34035598", "https://web.datatree.com/?/property?propertyId=34035598")</f>
        <v>https://web.datatree.com/?/property?propertyId=34035598</v>
      </c>
      <c r="Q5169" t="s">
        <v>316</v>
      </c>
      <c>
        <v>0.23</v>
      </c>
      <c t="s">
        <v>45031</v>
      </c>
      <c t="s">
        <v>37194</v>
      </c>
      <c t="s">
        <v>48237</v>
      </c>
      <c t="s">
        <v>52701</v>
      </c>
      <c t="s">
        <v>26084</v>
      </c>
      <c t="s">
        <v>51500</v>
      </c>
      <c t="s">
        <v>55273</v>
      </c>
      <c t="s">
        <v>2517</v>
      </c>
      <c t="s">
        <v>39289</v>
      </c>
      <c>
        <v>33909</v>
      </c>
      <c t="s">
        <v>48277</v>
      </c>
      <c t="s">
        <v>48794</v>
      </c>
      <c t="s">
        <v>30432</v>
      </c>
      <c>
        <v>3115</v>
      </c>
      <c r="AI5169" t="s">
        <v>37541</v>
      </c>
      <c t="s">
        <v>24900</v>
      </c>
      <c r="AL5169" t="s">
        <v>11713</v>
      </c>
      <c r="AN5169" t="s">
        <v>39289</v>
      </c>
      <c t="s">
        <v>24026</v>
      </c>
      <c t="s">
        <v>56186</v>
      </c>
      <c t="s">
        <v>3093</v>
      </c>
      <c t="s">
        <v>35495</v>
      </c>
    </row>
    <row>
      <c t="s">
        <v>17594</v>
      </c>
      <c t="s">
        <v>41779</v>
      </c>
      <c t="s">
        <v>26656</v>
      </c>
      <c t="s">
        <v>21938</v>
      </c>
      <c t="s">
        <v>19142</v>
      </c>
      <c s="3">
        <v>22184</v>
      </c>
      <c s="3">
        <v>22184</v>
      </c>
      <c s="3">
        <v>8360</v>
      </c>
      <c>
        <v>0</v>
      </c>
      <c s="3">
        <v>0</v>
      </c>
      <c s="3">
        <v>673.65</v>
      </c>
      <c s="3">
        <v>22184</v>
      </c>
      <c r="O5170" s="1" t="str">
        <f ca="1">HYPERLINK("https://web.datatree.com/?/property?propertyId=34035722", "https://web.datatree.com/?/property?propertyId=34035722")</f>
        <v>https://web.datatree.com/?/property?propertyId=34035722</v>
      </c>
      <c r="Q5170" t="s">
        <v>316</v>
      </c>
      <c>
        <v>0.335</v>
      </c>
      <c t="s">
        <v>22490</v>
      </c>
      <c t="s">
        <v>44457</v>
      </c>
      <c t="s">
        <v>4190</v>
      </c>
      <c r="X5170" t="s">
        <v>37273</v>
      </c>
      <c t="s">
        <v>46469</v>
      </c>
      <c t="s">
        <v>2517</v>
      </c>
      <c t="s">
        <v>39289</v>
      </c>
      <c>
        <v>33909</v>
      </c>
      <c t="s">
        <v>23015</v>
      </c>
      <c t="s">
        <v>48794</v>
      </c>
      <c t="s">
        <v>62522</v>
      </c>
      <c>
        <v>9800</v>
      </c>
      <c r="AI5170" t="s">
        <v>66488</v>
      </c>
      <c t="s">
        <v>24900</v>
      </c>
      <c>
        <v>90</v>
      </c>
      <c t="s">
        <v>8076</v>
      </c>
      <c t="s">
        <v>22539</v>
      </c>
      <c t="s">
        <v>65451</v>
      </c>
      <c t="s">
        <v>21827</v>
      </c>
      <c t="s">
        <v>61410</v>
      </c>
      <c t="s">
        <v>3093</v>
      </c>
      <c t="s">
        <v>53543</v>
      </c>
    </row>
    <row>
      <c t="s">
        <v>17594</v>
      </c>
      <c t="s">
        <v>18159</v>
      </c>
      <c t="s">
        <v>56298</v>
      </c>
      <c t="s">
        <v>29502</v>
      </c>
      <c t="s">
        <v>21119</v>
      </c>
      <c s="3">
        <v>15788</v>
      </c>
      <c s="3">
        <v>15788</v>
      </c>
      <c s="3">
        <v>8250</v>
      </c>
      <c>
        <v>0</v>
      </c>
      <c s="3">
        <v>0</v>
      </c>
      <c s="3">
        <v>550.69</v>
      </c>
      <c s="3">
        <v>15788</v>
      </c>
      <c r="O5171" s="1" t="str">
        <f ca="1">HYPERLINK("https://web.datatree.com/?/property?propertyId=34035824", "https://web.datatree.com/?/property?propertyId=34035824")</f>
        <v>https://web.datatree.com/?/property?propertyId=34035824</v>
      </c>
      <c r="Q5171" t="s">
        <v>316</v>
      </c>
      <c>
        <v>0.241</v>
      </c>
      <c t="s">
        <v>42044</v>
      </c>
      <c t="s">
        <v>24409</v>
      </c>
      <c t="s">
        <v>65672</v>
      </c>
      <c r="X5171" t="s">
        <v>11514</v>
      </c>
      <c t="s">
        <v>57064</v>
      </c>
      <c t="s">
        <v>2517</v>
      </c>
      <c t="s">
        <v>39289</v>
      </c>
      <c>
        <v>33909</v>
      </c>
      <c t="s">
        <v>11423</v>
      </c>
      <c t="s">
        <v>48794</v>
      </c>
      <c t="s">
        <v>47360</v>
      </c>
      <c>
        <v>842</v>
      </c>
      <c r="AI5171" t="s">
        <v>8936</v>
      </c>
      <c t="s">
        <v>55842</v>
      </c>
      <c r="AL5171" t="s">
        <v>28329</v>
      </c>
      <c r="AN5171" t="s">
        <v>26016</v>
      </c>
      <c t="s">
        <v>3419</v>
      </c>
      <c t="s">
        <v>23611</v>
      </c>
      <c t="s">
        <v>3093</v>
      </c>
      <c t="s">
        <v>53540</v>
      </c>
    </row>
    <row>
      <c t="s">
        <v>17594</v>
      </c>
      <c t="s">
        <v>20007</v>
      </c>
      <c t="s">
        <v>60627</v>
      </c>
      <c t="s">
        <v>58929</v>
      </c>
      <c t="s">
        <v>36418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172" s="1" t="str">
        <f ca="1">HYPERLINK("https://web.datatree.com/?/property?propertyId=34035978", "https://web.datatree.com/?/property?propertyId=34035978")</f>
        <v>https://web.datatree.com/?/property?propertyId=34035978</v>
      </c>
      <c r="Q5172" t="s">
        <v>316</v>
      </c>
      <c>
        <v>0.23</v>
      </c>
      <c t="s">
        <v>6175</v>
      </c>
      <c t="s">
        <v>25477</v>
      </c>
      <c t="s">
        <v>6349</v>
      </c>
      <c t="s">
        <v>10419</v>
      </c>
      <c t="s">
        <v>24432</v>
      </c>
      <c t="s">
        <v>30651</v>
      </c>
      <c t="s">
        <v>61865</v>
      </c>
      <c t="s">
        <v>2517</v>
      </c>
      <c t="s">
        <v>39289</v>
      </c>
      <c>
        <v>33909</v>
      </c>
      <c t="s">
        <v>46189</v>
      </c>
      <c t="s">
        <v>48794</v>
      </c>
      <c t="s">
        <v>47600</v>
      </c>
      <c>
        <v>8241</v>
      </c>
      <c r="AI5172" t="s">
        <v>55273</v>
      </c>
      <c t="s">
        <v>45393</v>
      </c>
      <c>
        <v>460</v>
      </c>
      <c t="s">
        <v>25857</v>
      </c>
      <c t="s">
        <v>25857</v>
      </c>
      <c t="s">
        <v>39289</v>
      </c>
      <c t="s">
        <v>23183</v>
      </c>
      <c t="s">
        <v>6081</v>
      </c>
      <c t="s">
        <v>3093</v>
      </c>
      <c t="s">
        <v>9599</v>
      </c>
    </row>
    <row>
      <c t="s">
        <v>17594</v>
      </c>
      <c t="s">
        <v>59693</v>
      </c>
      <c t="s">
        <v>28000</v>
      </c>
      <c t="s">
        <v>24325</v>
      </c>
      <c t="s">
        <v>66692</v>
      </c>
      <c s="3">
        <v>26249</v>
      </c>
      <c s="3">
        <v>26249</v>
      </c>
      <c s="3">
        <v>13310</v>
      </c>
      <c>
        <v>0</v>
      </c>
      <c s="3">
        <v>0</v>
      </c>
      <c s="3">
        <v>867.99</v>
      </c>
      <c s="3">
        <v>26249</v>
      </c>
      <c r="O5173" s="1" t="str">
        <f ca="1">HYPERLINK("https://web.datatree.com/?/property?propertyId=34036192", "https://web.datatree.com/?/property?propertyId=34036192")</f>
        <v>https://web.datatree.com/?/property?propertyId=34036192</v>
      </c>
      <c r="Q5173" t="s">
        <v>316</v>
      </c>
      <c>
        <v>0.23</v>
      </c>
      <c t="s">
        <v>14479</v>
      </c>
      <c t="s">
        <v>16558</v>
      </c>
      <c t="s">
        <v>30033</v>
      </c>
      <c r="X5173" t="s">
        <v>13298</v>
      </c>
      <c t="s">
        <v>17022</v>
      </c>
      <c t="s">
        <v>2517</v>
      </c>
      <c t="s">
        <v>39289</v>
      </c>
      <c>
        <v>33909</v>
      </c>
      <c t="s">
        <v>30352</v>
      </c>
      <c t="s">
        <v>48794</v>
      </c>
      <c t="s">
        <v>11010</v>
      </c>
      <c>
        <v>7705</v>
      </c>
      <c r="AI5173" t="s">
        <v>828</v>
      </c>
      <c t="s">
        <v>45620</v>
      </c>
      <c r="AL5173" t="s">
        <v>5103</v>
      </c>
      <c r="AN5173" t="s">
        <v>50917</v>
      </c>
      <c t="s">
        <v>18328</v>
      </c>
      <c t="s">
        <v>52247</v>
      </c>
      <c t="s">
        <v>3093</v>
      </c>
      <c t="s">
        <v>66371</v>
      </c>
    </row>
    <row>
      <c t="s">
        <v>17594</v>
      </c>
      <c t="s">
        <v>49627</v>
      </c>
      <c t="s">
        <v>20998</v>
      </c>
      <c t="s">
        <v>62432</v>
      </c>
      <c t="s">
        <v>57079</v>
      </c>
      <c s="3">
        <v>10600</v>
      </c>
      <c s="3">
        <v>10600</v>
      </c>
      <c s="3">
        <v>9339</v>
      </c>
      <c>
        <v>0</v>
      </c>
      <c s="3">
        <v>0</v>
      </c>
      <c s="3">
        <v>2880.21</v>
      </c>
      <c s="3">
        <v>10600</v>
      </c>
      <c r="O5174" s="1" t="str">
        <f ca="1">HYPERLINK("https://web.datatree.com/?/property?propertyId=34036837", "https://web.datatree.com/?/property?propertyId=34036837")</f>
        <v>https://web.datatree.com/?/property?propertyId=34036837</v>
      </c>
      <c r="Q5174" t="s">
        <v>316</v>
      </c>
      <c>
        <v>0.23</v>
      </c>
      <c t="s">
        <v>6175</v>
      </c>
      <c t="s">
        <v>55144</v>
      </c>
      <c t="s">
        <v>28506</v>
      </c>
      <c t="s">
        <v>4579</v>
      </c>
      <c t="s">
        <v>28506</v>
      </c>
      <c t="s">
        <v>36993</v>
      </c>
      <c t="s">
        <v>18679</v>
      </c>
      <c t="s">
        <v>2517</v>
      </c>
      <c t="s">
        <v>39289</v>
      </c>
      <c>
        <v>33909</v>
      </c>
      <c t="s">
        <v>6179</v>
      </c>
      <c t="s">
        <v>48794</v>
      </c>
      <c t="s">
        <v>55736</v>
      </c>
      <c r="AI5174" t="s">
        <v>31563</v>
      </c>
      <c r="AK5174">
        <v>116</v>
      </c>
      <c t="s">
        <v>41841</v>
      </c>
      <c r="AN5174" t="s">
        <v>63985</v>
      </c>
      <c>
        <v>65812</v>
      </c>
      <c r="AR5174" t="s">
        <v>57276</v>
      </c>
    </row>
    <row>
      <c t="s">
        <v>42103</v>
      </c>
      <c t="s">
        <v>12120</v>
      </c>
      <c t="s">
        <v>1937</v>
      </c>
      <c t="s">
        <v>61780</v>
      </c>
      <c t="s">
        <v>34235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5175" s="1" t="str">
        <f ca="1">HYPERLINK("https://web.datatree.com/?/property?propertyId=34036904", "https://web.datatree.com/?/property?propertyId=34036904")</f>
        <v>https://web.datatree.com/?/property?propertyId=34036904</v>
      </c>
      <c r="Q5175" t="s">
        <v>316</v>
      </c>
      <c>
        <v>0.256</v>
      </c>
      <c t="s">
        <v>6175</v>
      </c>
      <c t="s">
        <v>6294</v>
      </c>
      <c t="s">
        <v>54168</v>
      </c>
      <c t="s">
        <v>36964</v>
      </c>
      <c t="s">
        <v>54168</v>
      </c>
      <c t="s">
        <v>54570</v>
      </c>
      <c t="s">
        <v>25017</v>
      </c>
      <c t="s">
        <v>2517</v>
      </c>
      <c t="s">
        <v>39289</v>
      </c>
      <c>
        <v>33909</v>
      </c>
      <c t="s">
        <v>63939</v>
      </c>
      <c t="s">
        <v>48794</v>
      </c>
      <c t="s">
        <v>25797</v>
      </c>
      <c r="AI5175" t="s">
        <v>22148</v>
      </c>
      <c r="AL5175" t="s">
        <v>41294</v>
      </c>
      <c r="AN5175" t="s">
        <v>27747</v>
      </c>
      <c>
        <v>2719</v>
      </c>
      <c t="s">
        <v>15796</v>
      </c>
      <c t="s">
        <v>3093</v>
      </c>
      <c t="s">
        <v>12401</v>
      </c>
    </row>
    <row>
      <c t="s">
        <v>17594</v>
      </c>
      <c t="s">
        <v>50922</v>
      </c>
      <c t="s">
        <v>6501</v>
      </c>
      <c t="s">
        <v>64817</v>
      </c>
      <c t="s">
        <v>30519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5176" s="1" t="str">
        <f ca="1">HYPERLINK("https://web.datatree.com/?/property?propertyId=34037097", "https://web.datatree.com/?/property?propertyId=34037097")</f>
        <v>https://web.datatree.com/?/property?propertyId=34037097</v>
      </c>
      <c r="Q5176" t="s">
        <v>316</v>
      </c>
      <c>
        <v>0.241</v>
      </c>
      <c t="s">
        <v>42044</v>
      </c>
      <c t="s">
        <v>10361</v>
      </c>
      <c t="s">
        <v>49999</v>
      </c>
      <c t="s">
        <v>51344</v>
      </c>
      <c t="s">
        <v>49999</v>
      </c>
      <c t="s">
        <v>30409</v>
      </c>
      <c t="s">
        <v>57064</v>
      </c>
      <c t="s">
        <v>2517</v>
      </c>
      <c t="s">
        <v>39289</v>
      </c>
      <c>
        <v>33909</v>
      </c>
      <c t="s">
        <v>47713</v>
      </c>
      <c t="s">
        <v>48794</v>
      </c>
      <c t="s">
        <v>25347</v>
      </c>
      <c>
        <v>1350</v>
      </c>
      <c r="AI5176" t="s">
        <v>29771</v>
      </c>
      <c t="s">
        <v>24900</v>
      </c>
      <c t="s">
        <v>31855</v>
      </c>
      <c t="s">
        <v>48388</v>
      </c>
      <c r="AN5176" t="s">
        <v>26016</v>
      </c>
      <c t="s">
        <v>10985</v>
      </c>
      <c t="s">
        <v>65563</v>
      </c>
      <c t="s">
        <v>3093</v>
      </c>
      <c t="s">
        <v>5400</v>
      </c>
    </row>
    <row>
      <c t="s">
        <v>17594</v>
      </c>
      <c t="s">
        <v>2887</v>
      </c>
      <c t="s">
        <v>11180</v>
      </c>
      <c t="s">
        <v>24632</v>
      </c>
      <c t="s">
        <v>40257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5177" s="1" t="str">
        <f ca="1">HYPERLINK("https://web.datatree.com/?/property?propertyId=34037117", "https://web.datatree.com/?/property?propertyId=34037117")</f>
        <v>https://web.datatree.com/?/property?propertyId=34037117</v>
      </c>
      <c r="Q5177" t="s">
        <v>316</v>
      </c>
      <c>
        <v>0.23</v>
      </c>
      <c t="s">
        <v>6175</v>
      </c>
      <c t="s">
        <v>7073</v>
      </c>
      <c t="s">
        <v>22297</v>
      </c>
      <c r="X5177" t="s">
        <v>18911</v>
      </c>
      <c t="s">
        <v>10653</v>
      </c>
      <c t="s">
        <v>2517</v>
      </c>
      <c t="s">
        <v>39289</v>
      </c>
      <c>
        <v>33909</v>
      </c>
      <c t="s">
        <v>40393</v>
      </c>
      <c t="s">
        <v>48794</v>
      </c>
      <c t="s">
        <v>16702</v>
      </c>
      <c>
        <v>12602</v>
      </c>
      <c r="AI5177" t="s">
        <v>53675</v>
      </c>
      <c t="s">
        <v>39321</v>
      </c>
      <c r="AL5177" t="s">
        <v>55393</v>
      </c>
      <c r="AN5177" t="s">
        <v>39289</v>
      </c>
      <c t="s">
        <v>62184</v>
      </c>
      <c t="s">
        <v>30439</v>
      </c>
      <c t="s">
        <v>3093</v>
      </c>
      <c t="s">
        <v>37116</v>
      </c>
    </row>
    <row>
      <c t="s">
        <v>42103</v>
      </c>
      <c t="s">
        <v>66504</v>
      </c>
      <c t="s">
        <v>66372</v>
      </c>
      <c t="s">
        <v>58594</v>
      </c>
      <c t="s">
        <v>57188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178" s="1" t="str">
        <f ca="1">HYPERLINK("https://web.datatree.com/?/property?propertyId=34037271", "https://web.datatree.com/?/property?propertyId=34037271")</f>
        <v>https://web.datatree.com/?/property?propertyId=34037271</v>
      </c>
      <c r="Q5178" t="s">
        <v>316</v>
      </c>
      <c>
        <v>0.231</v>
      </c>
      <c t="s">
        <v>6175</v>
      </c>
      <c t="s">
        <v>14544</v>
      </c>
      <c t="s">
        <v>65346</v>
      </c>
      <c r="X5178" t="s">
        <v>36816</v>
      </c>
      <c t="s">
        <v>23517</v>
      </c>
      <c t="s">
        <v>2517</v>
      </c>
      <c t="s">
        <v>39289</v>
      </c>
      <c>
        <v>33909</v>
      </c>
      <c t="s">
        <v>44251</v>
      </c>
      <c t="s">
        <v>48794</v>
      </c>
      <c t="s">
        <v>18635</v>
      </c>
      <c r="AI5178" t="s">
        <v>17640</v>
      </c>
      <c r="AL5178" t="s">
        <v>51722</v>
      </c>
      <c t="s">
        <v>51722</v>
      </c>
      <c t="s">
        <v>32576</v>
      </c>
      <c>
        <v>29130</v>
      </c>
      <c r="AR5178" t="s">
        <v>64466</v>
      </c>
    </row>
    <row>
      <c t="s">
        <v>17594</v>
      </c>
      <c t="s">
        <v>59192</v>
      </c>
      <c t="s">
        <v>23691</v>
      </c>
      <c t="s">
        <v>48218</v>
      </c>
      <c t="s">
        <v>328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5179" s="1" t="str">
        <f ca="1">HYPERLINK("https://web.datatree.com/?/property?propertyId=34037342", "https://web.datatree.com/?/property?propertyId=34037342")</f>
        <v>https://web.datatree.com/?/property?propertyId=34037342</v>
      </c>
      <c r="Q5179" t="s">
        <v>316</v>
      </c>
      <c>
        <v>0.23</v>
      </c>
      <c t="s">
        <v>22490</v>
      </c>
      <c t="s">
        <v>44541</v>
      </c>
      <c t="s">
        <v>42690</v>
      </c>
      <c r="X5179" t="s">
        <v>11863</v>
      </c>
      <c t="s">
        <v>25017</v>
      </c>
      <c t="s">
        <v>2517</v>
      </c>
      <c t="s">
        <v>39289</v>
      </c>
      <c>
        <v>33909</v>
      </c>
      <c t="s">
        <v>58007</v>
      </c>
      <c t="s">
        <v>48794</v>
      </c>
      <c t="s">
        <v>56779</v>
      </c>
      <c>
        <v>11767</v>
      </c>
      <c r="AI5179" t="s">
        <v>27158</v>
      </c>
      <c t="s">
        <v>1289</v>
      </c>
      <c>
        <v>450</v>
      </c>
      <c t="s">
        <v>11070</v>
      </c>
      <c r="AN5179" t="s">
        <v>39289</v>
      </c>
      <c t="s">
        <v>6959</v>
      </c>
      <c t="s">
        <v>62701</v>
      </c>
      <c t="s">
        <v>3093</v>
      </c>
      <c t="s">
        <v>30180</v>
      </c>
    </row>
    <row>
      <c t="s">
        <v>17594</v>
      </c>
      <c t="s">
        <v>50054</v>
      </c>
      <c t="s">
        <v>21530</v>
      </c>
      <c t="s">
        <v>39641</v>
      </c>
      <c t="s">
        <v>48789</v>
      </c>
      <c s="3">
        <v>21885</v>
      </c>
      <c s="3">
        <v>21885</v>
      </c>
      <c s="3">
        <v>8800</v>
      </c>
      <c>
        <v>0</v>
      </c>
      <c s="3">
        <v>0</v>
      </c>
      <c s="3">
        <v>584.35</v>
      </c>
      <c s="3">
        <v>21885</v>
      </c>
      <c r="O5180" s="1" t="str">
        <f ca="1">HYPERLINK("https://web.datatree.com/?/property?propertyId=34037658", "https://web.datatree.com/?/property?propertyId=34037658")</f>
        <v>https://web.datatree.com/?/property?propertyId=34037658</v>
      </c>
      <c r="Q5180" t="s">
        <v>316</v>
      </c>
      <c>
        <v>0.234</v>
      </c>
      <c t="s">
        <v>22490</v>
      </c>
      <c t="s">
        <v>49241</v>
      </c>
      <c t="s">
        <v>39511</v>
      </c>
      <c r="X5180" t="s">
        <v>56504</v>
      </c>
      <c t="s">
        <v>22731</v>
      </c>
      <c t="s">
        <v>2517</v>
      </c>
      <c t="s">
        <v>39289</v>
      </c>
      <c>
        <v>33909</v>
      </c>
      <c t="s">
        <v>15174</v>
      </c>
      <c t="s">
        <v>48794</v>
      </c>
      <c t="s">
        <v>10972</v>
      </c>
      <c>
        <v>15481</v>
      </c>
      <c r="AH5180" t="s">
        <v>6851</v>
      </c>
      <c t="s">
        <v>46629</v>
      </c>
      <c r="AL5180" t="s">
        <v>57187</v>
      </c>
      <c r="AN5180" t="s">
        <v>4477</v>
      </c>
      <c t="s">
        <v>22833</v>
      </c>
      <c t="s">
        <v>44428</v>
      </c>
      <c t="s">
        <v>3093</v>
      </c>
      <c t="s">
        <v>38856</v>
      </c>
    </row>
    <row>
      <c t="s">
        <v>17594</v>
      </c>
      <c t="s">
        <v>10156</v>
      </c>
      <c t="s">
        <v>17228</v>
      </c>
      <c t="s">
        <v>15019</v>
      </c>
      <c t="s">
        <v>20361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5181" s="1" t="str">
        <f ca="1">HYPERLINK("https://web.datatree.com/?/property?propertyId=34039252", "https://web.datatree.com/?/property?propertyId=34039252")</f>
        <v>https://web.datatree.com/?/property?propertyId=34039252</v>
      </c>
      <c r="Q5181" t="s">
        <v>316</v>
      </c>
      <c>
        <v>0.23</v>
      </c>
      <c t="s">
        <v>22490</v>
      </c>
      <c t="s">
        <v>62518</v>
      </c>
      <c t="s">
        <v>24606</v>
      </c>
      <c r="X5181" t="s">
        <v>44210</v>
      </c>
      <c t="s">
        <v>53663</v>
      </c>
      <c t="s">
        <v>2517</v>
      </c>
      <c t="s">
        <v>39289</v>
      </c>
      <c>
        <v>33909</v>
      </c>
      <c t="s">
        <v>20875</v>
      </c>
      <c t="s">
        <v>48794</v>
      </c>
      <c t="s">
        <v>40015</v>
      </c>
      <c>
        <v>15215</v>
      </c>
      <c r="AI5181" t="s">
        <v>60839</v>
      </c>
      <c t="s">
        <v>31192</v>
      </c>
      <c r="AL5181" t="s">
        <v>27398</v>
      </c>
      <c r="AN5181" t="s">
        <v>39289</v>
      </c>
      <c t="s">
        <v>63004</v>
      </c>
      <c t="s">
        <v>30106</v>
      </c>
      <c t="s">
        <v>3093</v>
      </c>
      <c t="s">
        <v>2410</v>
      </c>
    </row>
    <row>
      <c t="s">
        <v>17594</v>
      </c>
      <c t="s">
        <v>102</v>
      </c>
      <c t="s">
        <v>20808</v>
      </c>
      <c t="s">
        <v>25920</v>
      </c>
      <c t="s">
        <v>61895</v>
      </c>
      <c s="3">
        <v>20580</v>
      </c>
      <c s="3">
        <v>20580</v>
      </c>
      <c s="3">
        <v>9599</v>
      </c>
      <c>
        <v>0</v>
      </c>
      <c s="3">
        <v>0</v>
      </c>
      <c s="3">
        <v>681.46</v>
      </c>
      <c s="3">
        <v>20580</v>
      </c>
      <c r="O5182" s="1" t="str">
        <f ca="1">HYPERLINK("https://web.datatree.com/?/property?propertyId=34039357", "https://web.datatree.com/?/property?propertyId=34039357")</f>
        <v>https://web.datatree.com/?/property?propertyId=34039357</v>
      </c>
      <c r="Q5182" t="s">
        <v>316</v>
      </c>
      <c>
        <v>0.344</v>
      </c>
      <c t="s">
        <v>6175</v>
      </c>
      <c t="s">
        <v>36133</v>
      </c>
      <c t="s">
        <v>10913</v>
      </c>
      <c t="s">
        <v>43826</v>
      </c>
      <c t="s">
        <v>10913</v>
      </c>
      <c t="s">
        <v>52343</v>
      </c>
      <c t="s">
        <v>14534</v>
      </c>
      <c t="s">
        <v>2517</v>
      </c>
      <c t="s">
        <v>39289</v>
      </c>
      <c>
        <v>33909</v>
      </c>
      <c t="s">
        <v>277</v>
      </c>
      <c t="s">
        <v>48794</v>
      </c>
      <c t="s">
        <v>52020</v>
      </c>
      <c>
        <v>539</v>
      </c>
      <c r="AI5182" t="s">
        <v>27523</v>
      </c>
      <c t="s">
        <v>45393</v>
      </c>
      <c r="AL5182" t="s">
        <v>49453</v>
      </c>
      <c r="AN5182" t="s">
        <v>4477</v>
      </c>
      <c t="s">
        <v>51118</v>
      </c>
      <c t="s">
        <v>36802</v>
      </c>
      <c t="s">
        <v>3093</v>
      </c>
      <c t="s">
        <v>54092</v>
      </c>
    </row>
    <row>
      <c t="s">
        <v>17594</v>
      </c>
      <c t="s">
        <v>2950</v>
      </c>
      <c s="2" t="s">
        <v>46181</v>
      </c>
      <c t="s">
        <v>16372</v>
      </c>
      <c t="s">
        <v>50546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183" s="1" t="str">
        <f ca="1">HYPERLINK("https://web.datatree.com/?/property?propertyId=34039803", "https://web.datatree.com/?/property?propertyId=34039803")</f>
        <v>https://web.datatree.com/?/property?propertyId=34039803</v>
      </c>
      <c r="Q5183" t="s">
        <v>316</v>
      </c>
      <c>
        <v>0.23</v>
      </c>
      <c t="s">
        <v>22490</v>
      </c>
      <c t="s">
        <v>20016</v>
      </c>
      <c t="s">
        <v>50475</v>
      </c>
      <c r="X5183" t="s">
        <v>24010</v>
      </c>
      <c t="s">
        <v>30928</v>
      </c>
      <c t="s">
        <v>2517</v>
      </c>
      <c t="s">
        <v>39289</v>
      </c>
      <c>
        <v>33909</v>
      </c>
      <c t="s">
        <v>47869</v>
      </c>
      <c t="s">
        <v>48794</v>
      </c>
      <c t="s">
        <v>11669</v>
      </c>
      <c t="str">
        <f>"12-63"</f>
        <v>12-63</v>
      </c>
      <c r="AI5183" t="s">
        <v>60790</v>
      </c>
      <c t="s">
        <v>45393</v>
      </c>
      <c r="AL5183" t="s">
        <v>60489</v>
      </c>
      <c t="s">
        <v>60489</v>
      </c>
      <c t="s">
        <v>26016</v>
      </c>
      <c t="s">
        <v>66685</v>
      </c>
      <c t="s">
        <v>31626</v>
      </c>
      <c t="s">
        <v>3093</v>
      </c>
      <c s="2" t="s">
        <v>46997</v>
      </c>
    </row>
    <row>
      <c t="s">
        <v>17594</v>
      </c>
      <c t="s">
        <v>37791</v>
      </c>
      <c t="s">
        <v>24116</v>
      </c>
      <c t="s">
        <v>40280</v>
      </c>
      <c t="s">
        <v>46357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>
        <v>2021</v>
      </c>
      <c>
        <v>527.13</v>
      </c>
      <c s="1" t="str">
        <f ca="1">HYPERLINK("https://web.datatree.com/?/property?propertyId=34040450", "https://web.datatree.com/?/property?propertyId=34040450")</f>
        <v>https://web.datatree.com/?/property?propertyId=34040450</v>
      </c>
      <c r="Q5184" t="s">
        <v>316</v>
      </c>
      <c>
        <v>0.23</v>
      </c>
      <c t="s">
        <v>6175</v>
      </c>
      <c r="U5184" t="s">
        <v>48395</v>
      </c>
      <c r="W5184" t="s">
        <v>6330</v>
      </c>
      <c t="s">
        <v>16059</v>
      </c>
      <c t="s">
        <v>14534</v>
      </c>
      <c t="s">
        <v>2517</v>
      </c>
      <c t="s">
        <v>39289</v>
      </c>
      <c>
        <v>33909</v>
      </c>
      <c t="s">
        <v>61067</v>
      </c>
      <c t="s">
        <v>48794</v>
      </c>
      <c t="s">
        <v>64101</v>
      </c>
      <c>
        <v>6982</v>
      </c>
      <c r="AI5184" t="s">
        <v>33841</v>
      </c>
      <c t="s">
        <v>31192</v>
      </c>
      <c r="AL5184" t="s">
        <v>31057</v>
      </c>
      <c r="AN5184" t="s">
        <v>49572</v>
      </c>
      <c t="s">
        <v>15472</v>
      </c>
      <c t="s">
        <v>26143</v>
      </c>
      <c t="s">
        <v>3093</v>
      </c>
      <c t="s">
        <v>52591</v>
      </c>
    </row>
    <row>
      <c t="s">
        <v>17594</v>
      </c>
      <c t="s">
        <v>43192</v>
      </c>
      <c t="s">
        <v>42026</v>
      </c>
      <c t="s">
        <v>62639</v>
      </c>
      <c t="s">
        <v>4595</v>
      </c>
      <c s="3">
        <v>49500</v>
      </c>
      <c s="3">
        <v>49500</v>
      </c>
      <c s="3">
        <v>21780</v>
      </c>
      <c>
        <v>0</v>
      </c>
      <c s="3">
        <v>0</v>
      </c>
      <c s="3">
        <v>923.78</v>
      </c>
      <c s="3">
        <v>49500</v>
      </c>
      <c r="O5185" s="1" t="str">
        <f ca="1">HYPERLINK("https://web.datatree.com/?/property?propertyId=34040686", "https://web.datatree.com/?/property?propertyId=34040686")</f>
        <v>https://web.datatree.com/?/property?propertyId=34040686</v>
      </c>
      <c r="Q5185" t="s">
        <v>316</v>
      </c>
      <c>
        <v>0.299</v>
      </c>
      <c t="s">
        <v>22490</v>
      </c>
      <c t="s">
        <v>6294</v>
      </c>
      <c t="s">
        <v>25778</v>
      </c>
      <c t="s">
        <v>23903</v>
      </c>
      <c t="s">
        <v>25778</v>
      </c>
      <c t="s">
        <v>650</v>
      </c>
      <c t="s">
        <v>2626</v>
      </c>
      <c t="s">
        <v>2517</v>
      </c>
      <c t="s">
        <v>39289</v>
      </c>
      <c>
        <v>33909</v>
      </c>
      <c t="s">
        <v>164</v>
      </c>
      <c t="s">
        <v>48794</v>
      </c>
      <c t="s">
        <v>34897</v>
      </c>
      <c>
        <v>287</v>
      </c>
      <c r="AI5185" t="s">
        <v>26402</v>
      </c>
      <c t="s">
        <v>40123</v>
      </c>
      <c r="AL5185" t="s">
        <v>6263</v>
      </c>
      <c r="AN5185" t="s">
        <v>39289</v>
      </c>
      <c t="s">
        <v>19774</v>
      </c>
      <c t="s">
        <v>4797</v>
      </c>
      <c t="s">
        <v>3093</v>
      </c>
      <c t="s">
        <v>37812</v>
      </c>
    </row>
    <row>
      <c t="s">
        <v>17594</v>
      </c>
      <c t="s">
        <v>64302</v>
      </c>
      <c t="s">
        <v>60813</v>
      </c>
      <c t="s">
        <v>22439</v>
      </c>
      <c t="s">
        <v>32755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186" s="1" t="str">
        <f ca="1">HYPERLINK("https://web.datatree.com/?/property?propertyId=34040719", "https://web.datatree.com/?/property?propertyId=34040719")</f>
        <v>https://web.datatree.com/?/property?propertyId=34040719</v>
      </c>
      <c r="Q5186" t="s">
        <v>316</v>
      </c>
      <c>
        <v>0.23</v>
      </c>
      <c t="s">
        <v>45031</v>
      </c>
      <c t="s">
        <v>3293</v>
      </c>
      <c t="s">
        <v>4454</v>
      </c>
      <c t="s">
        <v>62079</v>
      </c>
      <c t="s">
        <v>54434</v>
      </c>
      <c t="s">
        <v>1862</v>
      </c>
      <c t="s">
        <v>30928</v>
      </c>
      <c t="s">
        <v>2517</v>
      </c>
      <c t="s">
        <v>39289</v>
      </c>
      <c>
        <v>33909</v>
      </c>
      <c t="s">
        <v>45135</v>
      </c>
      <c t="s">
        <v>48794</v>
      </c>
      <c t="s">
        <v>270</v>
      </c>
      <c>
        <v>600</v>
      </c>
      <c r="AI5186" t="s">
        <v>33854</v>
      </c>
      <c t="s">
        <v>45393</v>
      </c>
      <c>
        <v>100</v>
      </c>
      <c t="s">
        <v>51043</v>
      </c>
      <c r="AN5186" t="s">
        <v>19878</v>
      </c>
      <c t="s">
        <v>9622</v>
      </c>
      <c t="s">
        <v>34162</v>
      </c>
      <c t="s">
        <v>3093</v>
      </c>
      <c t="s">
        <v>51661</v>
      </c>
    </row>
    <row>
      <c t="s">
        <v>17594</v>
      </c>
      <c t="s">
        <v>14164</v>
      </c>
      <c t="s">
        <v>28252</v>
      </c>
      <c t="s">
        <v>18940</v>
      </c>
      <c t="s">
        <v>53847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187" s="1" t="str">
        <f ca="1">HYPERLINK("https://web.datatree.com/?/property?propertyId=34040860", "https://web.datatree.com/?/property?propertyId=34040860")</f>
        <v>https://web.datatree.com/?/property?propertyId=34040860</v>
      </c>
      <c r="Q5187" t="s">
        <v>316</v>
      </c>
      <c>
        <v>0.23</v>
      </c>
      <c t="s">
        <v>6175</v>
      </c>
      <c t="s">
        <v>12323</v>
      </c>
      <c t="s">
        <v>66968</v>
      </c>
      <c r="X5187" t="s">
        <v>13309</v>
      </c>
      <c t="s">
        <v>2626</v>
      </c>
      <c t="s">
        <v>2517</v>
      </c>
      <c t="s">
        <v>39289</v>
      </c>
      <c>
        <v>33909</v>
      </c>
      <c t="s">
        <v>2752</v>
      </c>
      <c t="s">
        <v>48794</v>
      </c>
      <c t="s">
        <v>11237</v>
      </c>
      <c>
        <v>203</v>
      </c>
      <c r="AI5187" t="s">
        <v>10738</v>
      </c>
      <c t="s">
        <v>45393</v>
      </c>
      <c r="AL5187" t="s">
        <v>1484</v>
      </c>
      <c t="s">
        <v>1484</v>
      </c>
      <c t="s">
        <v>26016</v>
      </c>
      <c t="s">
        <v>3298</v>
      </c>
      <c t="s">
        <v>5800</v>
      </c>
      <c t="s">
        <v>3093</v>
      </c>
      <c t="s">
        <v>50476</v>
      </c>
    </row>
    <row>
      <c t="s">
        <v>17594</v>
      </c>
      <c t="s">
        <v>37435</v>
      </c>
      <c t="s">
        <v>37336</v>
      </c>
      <c t="s">
        <v>39492</v>
      </c>
      <c t="s">
        <v>18998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5188" s="1" t="str">
        <f ca="1">HYPERLINK("https://web.datatree.com/?/property?propertyId=34041220", "https://web.datatree.com/?/property?propertyId=34041220")</f>
        <v>https://web.datatree.com/?/property?propertyId=34041220</v>
      </c>
      <c r="Q5188" t="s">
        <v>316</v>
      </c>
      <c>
        <v>0.244</v>
      </c>
      <c t="s">
        <v>6175</v>
      </c>
      <c t="s">
        <v>53806</v>
      </c>
      <c t="s">
        <v>41554</v>
      </c>
      <c t="s">
        <v>47124</v>
      </c>
      <c t="s">
        <v>41554</v>
      </c>
      <c t="s">
        <v>13338</v>
      </c>
      <c t="s">
        <v>60363</v>
      </c>
      <c t="s">
        <v>2517</v>
      </c>
      <c t="s">
        <v>39289</v>
      </c>
      <c>
        <v>33909</v>
      </c>
      <c t="s">
        <v>19303</v>
      </c>
      <c t="s">
        <v>48794</v>
      </c>
      <c t="s">
        <v>25952</v>
      </c>
      <c>
        <v>1666</v>
      </c>
      <c r="AI5188" t="s">
        <v>27506</v>
      </c>
      <c t="s">
        <v>45393</v>
      </c>
      <c r="AL5188" t="s">
        <v>28168</v>
      </c>
      <c r="AN5188" t="s">
        <v>26016</v>
      </c>
      <c t="s">
        <v>44811</v>
      </c>
      <c t="s">
        <v>61410</v>
      </c>
      <c t="s">
        <v>3093</v>
      </c>
      <c t="s">
        <v>62490</v>
      </c>
    </row>
    <row>
      <c t="s">
        <v>17594</v>
      </c>
      <c t="s">
        <v>38651</v>
      </c>
      <c t="s">
        <v>6487</v>
      </c>
      <c t="s">
        <v>63231</v>
      </c>
      <c t="s">
        <v>7319</v>
      </c>
      <c s="3">
        <v>18303</v>
      </c>
      <c s="3">
        <v>18303</v>
      </c>
      <c s="3">
        <v>7865</v>
      </c>
      <c>
        <v>0</v>
      </c>
      <c s="3">
        <v>0</v>
      </c>
      <c s="3">
        <v>509.74</v>
      </c>
      <c s="3">
        <v>18303</v>
      </c>
      <c r="O5189" s="1" t="str">
        <f ca="1">HYPERLINK("https://web.datatree.com/?/property?propertyId=34041784", "https://web.datatree.com/?/property?propertyId=34041784")</f>
        <v>https://web.datatree.com/?/property?propertyId=34041784</v>
      </c>
      <c r="Q5189" t="s">
        <v>316</v>
      </c>
      <c>
        <v>0.253</v>
      </c>
      <c t="s">
        <v>6175</v>
      </c>
      <c t="s">
        <v>31950</v>
      </c>
      <c t="s">
        <v>17289</v>
      </c>
      <c r="X5189" t="s">
        <v>42342</v>
      </c>
      <c t="s">
        <v>18679</v>
      </c>
      <c t="s">
        <v>2517</v>
      </c>
      <c t="s">
        <v>39289</v>
      </c>
      <c>
        <v>33909</v>
      </c>
      <c t="s">
        <v>53818</v>
      </c>
      <c t="s">
        <v>48794</v>
      </c>
      <c t="s">
        <v>36451</v>
      </c>
      <c>
        <v>4828</v>
      </c>
      <c r="AI5189" t="s">
        <v>43428</v>
      </c>
      <c t="s">
        <v>31192</v>
      </c>
      <c r="AL5189" t="s">
        <v>36973</v>
      </c>
      <c r="AN5189" t="s">
        <v>66651</v>
      </c>
      <c t="s">
        <v>840</v>
      </c>
      <c t="s">
        <v>21054</v>
      </c>
      <c t="s">
        <v>3093</v>
      </c>
      <c t="s">
        <v>2013</v>
      </c>
    </row>
    <row>
      <c t="s">
        <v>17594</v>
      </c>
      <c t="s">
        <v>58635</v>
      </c>
      <c t="s">
        <v>49152</v>
      </c>
      <c t="s">
        <v>50090</v>
      </c>
      <c t="s">
        <v>14532</v>
      </c>
      <c s="3">
        <v>31379</v>
      </c>
      <c s="3">
        <v>30357</v>
      </c>
      <c s="3">
        <v>31379</v>
      </c>
      <c>
        <v>0</v>
      </c>
      <c s="3">
        <v>0</v>
      </c>
      <c s="3">
        <v>435.46</v>
      </c>
      <c s="3">
        <v>31379</v>
      </c>
      <c r="O5190" s="1" t="str">
        <f ca="1">HYPERLINK("https://web.datatree.com/?/property?propertyId=34042588", "https://web.datatree.com/?/property?propertyId=34042588")</f>
        <v>https://web.datatree.com/?/property?propertyId=34042588</v>
      </c>
      <c>
        <v>292</v>
      </c>
      <c t="s">
        <v>316</v>
      </c>
      <c>
        <v>0.046</v>
      </c>
      <c t="s">
        <v>54329</v>
      </c>
      <c t="s">
        <v>44541</v>
      </c>
      <c t="s">
        <v>14394</v>
      </c>
      <c t="s">
        <v>48320</v>
      </c>
      <c t="s">
        <v>14394</v>
      </c>
      <c t="s">
        <v>19530</v>
      </c>
      <c t="s">
        <v>22654</v>
      </c>
      <c t="s">
        <v>65059</v>
      </c>
      <c t="s">
        <v>39289</v>
      </c>
      <c>
        <v>33908</v>
      </c>
      <c t="s">
        <v>53218</v>
      </c>
      <c t="s">
        <v>48794</v>
      </c>
      <c t="s">
        <v>54243</v>
      </c>
      <c>
        <v>14</v>
      </c>
      <c r="AI5190" t="s">
        <v>22297</v>
      </c>
      <c t="s">
        <v>45393</v>
      </c>
      <c r="AL5190" t="s">
        <v>44857</v>
      </c>
      <c t="s">
        <v>53482</v>
      </c>
      <c t="s">
        <v>5982</v>
      </c>
      <c t="s">
        <v>66829</v>
      </c>
      <c t="s">
        <v>46076</v>
      </c>
      <c t="s">
        <v>3093</v>
      </c>
      <c t="s">
        <v>39417</v>
      </c>
      <c>
        <v>2000</v>
      </c>
    </row>
    <row>
      <c t="s">
        <v>17594</v>
      </c>
      <c t="s">
        <v>11625</v>
      </c>
      <c t="s">
        <v>27343</v>
      </c>
      <c t="s">
        <v>16004</v>
      </c>
      <c t="s">
        <v>21195</v>
      </c>
      <c s="3">
        <v>15675</v>
      </c>
      <c s="3">
        <v>15675</v>
      </c>
      <c s="3">
        <v>5840</v>
      </c>
      <c>
        <v>0</v>
      </c>
      <c s="3">
        <v>0</v>
      </c>
      <c s="3">
        <v>342.26</v>
      </c>
      <c s="3">
        <v>15675</v>
      </c>
      <c r="O5191" s="1" t="str">
        <f ca="1">HYPERLINK("https://web.datatree.com/?/property?propertyId=34042834", "https://web.datatree.com/?/property?propertyId=34042834")</f>
        <v>https://web.datatree.com/?/property?propertyId=34042834</v>
      </c>
      <c r="Q5191" t="s">
        <v>316</v>
      </c>
      <c>
        <v>0.293</v>
      </c>
      <c t="s">
        <v>37489</v>
      </c>
      <c t="s">
        <v>61273</v>
      </c>
      <c t="s">
        <v>61567</v>
      </c>
      <c r="X5191" t="s">
        <v>36367</v>
      </c>
      <c t="s">
        <v>51919</v>
      </c>
      <c t="s">
        <v>65059</v>
      </c>
      <c t="s">
        <v>39289</v>
      </c>
      <c>
        <v>33905</v>
      </c>
      <c>
        <v>33905</v>
      </c>
      <c t="s">
        <v>48794</v>
      </c>
      <c t="s">
        <v>36449</v>
      </c>
      <c>
        <v>911</v>
      </c>
      <c r="AI5191" t="s">
        <v>4186</v>
      </c>
      <c t="s">
        <v>24900</v>
      </c>
      <c r="AL5191" t="s">
        <v>39932</v>
      </c>
      <c t="s">
        <v>40227</v>
      </c>
      <c t="s">
        <v>22275</v>
      </c>
      <c t="s">
        <v>18724</v>
      </c>
      <c t="s">
        <v>19978</v>
      </c>
      <c t="s">
        <v>3093</v>
      </c>
      <c t="s">
        <v>9989</v>
      </c>
    </row>
    <row>
      <c t="s">
        <v>17594</v>
      </c>
      <c t="s">
        <v>13006</v>
      </c>
      <c t="s">
        <v>4726</v>
      </c>
      <c t="s">
        <v>11602</v>
      </c>
      <c t="s">
        <v>21886</v>
      </c>
      <c s="3">
        <v>22152</v>
      </c>
      <c s="3">
        <v>22152</v>
      </c>
      <c s="3">
        <v>8800</v>
      </c>
      <c>
        <v>0</v>
      </c>
      <c s="3">
        <v>0</v>
      </c>
      <c s="3">
        <v>588.04</v>
      </c>
      <c s="3">
        <v>22152</v>
      </c>
      <c r="O5192" s="1" t="str">
        <f ca="1">HYPERLINK("https://web.datatree.com/?/property?propertyId=34042993", "https://web.datatree.com/?/property?propertyId=34042993")</f>
        <v>https://web.datatree.com/?/property?propertyId=34042993</v>
      </c>
      <c r="Q5192" t="s">
        <v>316</v>
      </c>
      <c>
        <v>0.244</v>
      </c>
      <c t="s">
        <v>22490</v>
      </c>
      <c t="s">
        <v>3724</v>
      </c>
      <c t="s">
        <v>60358</v>
      </c>
      <c r="X5192" t="s">
        <v>47078</v>
      </c>
      <c t="s">
        <v>2626</v>
      </c>
      <c t="s">
        <v>2517</v>
      </c>
      <c t="s">
        <v>39289</v>
      </c>
      <c>
        <v>33909</v>
      </c>
      <c t="s">
        <v>9951</v>
      </c>
      <c t="s">
        <v>48794</v>
      </c>
      <c t="s">
        <v>58957</v>
      </c>
      <c>
        <v>6038</v>
      </c>
      <c r="AI5192" t="s">
        <v>24501</v>
      </c>
      <c t="s">
        <v>45620</v>
      </c>
      <c r="AL5192" t="s">
        <v>58665</v>
      </c>
      <c r="AN5192" t="s">
        <v>39289</v>
      </c>
      <c t="s">
        <v>14193</v>
      </c>
      <c t="s">
        <v>5652</v>
      </c>
      <c t="s">
        <v>3093</v>
      </c>
      <c t="s">
        <v>36967</v>
      </c>
    </row>
    <row>
      <c t="s">
        <v>17594</v>
      </c>
      <c t="s">
        <v>21864</v>
      </c>
      <c t="s">
        <v>41443</v>
      </c>
      <c t="s">
        <v>12087</v>
      </c>
      <c t="s">
        <v>62010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5193" s="1" t="str">
        <f ca="1">HYPERLINK("https://web.datatree.com/?/property?propertyId=34043414", "https://web.datatree.com/?/property?propertyId=34043414")</f>
        <v>https://web.datatree.com/?/property?propertyId=34043414</v>
      </c>
      <c r="Q5193" t="s">
        <v>316</v>
      </c>
      <c>
        <v>0.23</v>
      </c>
      <c t="s">
        <v>6175</v>
      </c>
      <c t="s">
        <v>552</v>
      </c>
      <c t="s">
        <v>55130</v>
      </c>
      <c r="X5193" t="s">
        <v>28458</v>
      </c>
      <c t="s">
        <v>53663</v>
      </c>
      <c t="s">
        <v>2517</v>
      </c>
      <c t="s">
        <v>39289</v>
      </c>
      <c>
        <v>33909</v>
      </c>
      <c t="s">
        <v>18287</v>
      </c>
      <c t="s">
        <v>48794</v>
      </c>
      <c t="s">
        <v>19916</v>
      </c>
      <c>
        <v>5</v>
      </c>
      <c r="AI5193" t="s">
        <v>33854</v>
      </c>
      <c t="s">
        <v>45393</v>
      </c>
      <c>
        <v>1</v>
      </c>
      <c t="s">
        <v>63966</v>
      </c>
      <c r="AN5193" t="s">
        <v>27747</v>
      </c>
      <c t="s">
        <v>63581</v>
      </c>
      <c t="s">
        <v>49977</v>
      </c>
      <c t="s">
        <v>3093</v>
      </c>
      <c t="s">
        <v>33115</v>
      </c>
    </row>
    <row>
      <c t="s">
        <v>17594</v>
      </c>
      <c t="s">
        <v>58824</v>
      </c>
      <c t="s">
        <v>66310</v>
      </c>
      <c t="s">
        <v>65306</v>
      </c>
      <c t="s">
        <v>39688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5194" s="1" t="str">
        <f ca="1">HYPERLINK("https://web.datatree.com/?/property?propertyId=34044621", "https://web.datatree.com/?/property?propertyId=34044621")</f>
        <v>https://web.datatree.com/?/property?propertyId=34044621</v>
      </c>
      <c r="Q5194" t="s">
        <v>316</v>
      </c>
      <c>
        <v>0.23</v>
      </c>
      <c t="s">
        <v>22490</v>
      </c>
      <c t="s">
        <v>41145</v>
      </c>
      <c t="s">
        <v>20456</v>
      </c>
      <c r="X5194" t="s">
        <v>41251</v>
      </c>
      <c t="s">
        <v>30928</v>
      </c>
      <c t="s">
        <v>2517</v>
      </c>
      <c t="s">
        <v>39289</v>
      </c>
      <c>
        <v>33909</v>
      </c>
      <c t="s">
        <v>40424</v>
      </c>
      <c t="s">
        <v>48794</v>
      </c>
      <c t="s">
        <v>39019</v>
      </c>
      <c>
        <v>3207</v>
      </c>
      <c r="AI5194" t="s">
        <v>2036</v>
      </c>
      <c t="s">
        <v>39321</v>
      </c>
      <c r="AL5194" t="s">
        <v>45723</v>
      </c>
      <c r="AN5194" t="s">
        <v>51137</v>
      </c>
      <c t="s">
        <v>49009</v>
      </c>
      <c t="s">
        <v>19978</v>
      </c>
      <c t="s">
        <v>3093</v>
      </c>
      <c t="s">
        <v>57456</v>
      </c>
    </row>
    <row>
      <c t="s">
        <v>17594</v>
      </c>
      <c t="s">
        <v>16898</v>
      </c>
      <c t="s">
        <v>44065</v>
      </c>
      <c t="s">
        <v>4700</v>
      </c>
      <c t="s">
        <v>23661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195" s="1" t="str">
        <f ca="1">HYPERLINK("https://web.datatree.com/?/property?propertyId=34044629", "https://web.datatree.com/?/property?propertyId=34044629")</f>
        <v>https://web.datatree.com/?/property?propertyId=34044629</v>
      </c>
      <c r="Q5195" t="s">
        <v>316</v>
      </c>
      <c>
        <v>0.23</v>
      </c>
      <c t="s">
        <v>6175</v>
      </c>
      <c t="s">
        <v>16893</v>
      </c>
      <c t="s">
        <v>12015</v>
      </c>
      <c r="X5195" t="s">
        <v>27397</v>
      </c>
      <c t="s">
        <v>25017</v>
      </c>
      <c t="s">
        <v>2517</v>
      </c>
      <c t="s">
        <v>39289</v>
      </c>
      <c>
        <v>33909</v>
      </c>
      <c t="s">
        <v>65208</v>
      </c>
      <c t="s">
        <v>48794</v>
      </c>
      <c t="s">
        <v>38075</v>
      </c>
      <c>
        <v>102</v>
      </c>
      <c r="AI5195" t="s">
        <v>32244</v>
      </c>
      <c t="s">
        <v>45620</v>
      </c>
      <c r="AL5195" t="s">
        <v>52912</v>
      </c>
      <c r="AN5195" t="s">
        <v>51087</v>
      </c>
      <c t="s">
        <v>18938</v>
      </c>
      <c t="s">
        <v>22152</v>
      </c>
      <c t="s">
        <v>3093</v>
      </c>
      <c t="s">
        <v>66596</v>
      </c>
    </row>
    <row>
      <c t="s">
        <v>17594</v>
      </c>
      <c t="s">
        <v>28428</v>
      </c>
      <c t="s">
        <v>5101</v>
      </c>
      <c t="s">
        <v>5186</v>
      </c>
      <c t="s">
        <v>12197</v>
      </c>
      <c s="3">
        <v>17500</v>
      </c>
      <c s="3">
        <v>17500</v>
      </c>
      <c s="3">
        <v>10316</v>
      </c>
      <c>
        <v>0</v>
      </c>
      <c s="3">
        <v>0</v>
      </c>
      <c s="3">
        <v>180.75</v>
      </c>
      <c s="3">
        <v>17500</v>
      </c>
      <c r="O5196" s="1" t="str">
        <f ca="1">HYPERLINK("https://web.datatree.com/?/property?propertyId=34044694", "https://web.datatree.com/?/property?propertyId=34044694")</f>
        <v>https://web.datatree.com/?/property?propertyId=34044694</v>
      </c>
      <c r="Q5196" t="s">
        <v>316</v>
      </c>
      <c>
        <v>0.178</v>
      </c>
      <c t="s">
        <v>37489</v>
      </c>
      <c t="s">
        <v>3293</v>
      </c>
      <c t="s">
        <v>10788</v>
      </c>
      <c r="X5196" t="s">
        <v>61873</v>
      </c>
      <c t="s">
        <v>66701</v>
      </c>
      <c t="s">
        <v>65059</v>
      </c>
      <c t="s">
        <v>39289</v>
      </c>
      <c>
        <v>33905</v>
      </c>
      <c>
        <v>33905</v>
      </c>
      <c t="s">
        <v>48794</v>
      </c>
      <c t="s">
        <v>5730</v>
      </c>
      <c>
        <v>41</v>
      </c>
      <c r="AH5196" t="s">
        <v>12549</v>
      </c>
      <c t="s">
        <v>29337</v>
      </c>
      <c t="s">
        <v>45620</v>
      </c>
      <c r="AL5196" t="s">
        <v>29337</v>
      </c>
      <c t="s">
        <v>40227</v>
      </c>
      <c t="s">
        <v>14509</v>
      </c>
      <c t="s">
        <v>3833</v>
      </c>
      <c t="s">
        <v>44428</v>
      </c>
      <c t="s">
        <v>3093</v>
      </c>
      <c t="s">
        <v>65094</v>
      </c>
    </row>
    <row>
      <c t="s">
        <v>17594</v>
      </c>
      <c t="s">
        <v>4077</v>
      </c>
      <c t="s">
        <v>7665</v>
      </c>
      <c t="s">
        <v>63127</v>
      </c>
      <c t="s">
        <v>50582</v>
      </c>
      <c s="3">
        <v>8100</v>
      </c>
      <c s="3">
        <v>8100</v>
      </c>
      <c s="3">
        <v>8100</v>
      </c>
      <c>
        <v>0</v>
      </c>
      <c s="3">
        <v>0</v>
      </c>
      <c s="3">
        <v>605.4</v>
      </c>
      <c s="3">
        <v>8100</v>
      </c>
      <c r="O5197" s="1" t="str">
        <f ca="1">HYPERLINK("https://web.datatree.com/?/property?propertyId=34045642", "https://web.datatree.com/?/property?propertyId=34045642")</f>
        <v>https://web.datatree.com/?/property?propertyId=34045642</v>
      </c>
      <c r="Q5197" t="s">
        <v>316</v>
      </c>
      <c>
        <v>0.279</v>
      </c>
      <c t="s">
        <v>6175</v>
      </c>
      <c t="s">
        <v>296</v>
      </c>
      <c t="s">
        <v>37991</v>
      </c>
      <c r="X5197" t="s">
        <v>28979</v>
      </c>
      <c t="s">
        <v>55273</v>
      </c>
      <c t="s">
        <v>2517</v>
      </c>
      <c t="s">
        <v>39289</v>
      </c>
      <c>
        <v>33909</v>
      </c>
      <c t="s">
        <v>18307</v>
      </c>
      <c t="s">
        <v>48794</v>
      </c>
      <c t="s">
        <v>17674</v>
      </c>
      <c>
        <v>531</v>
      </c>
      <c r="AI5197" t="s">
        <v>25612</v>
      </c>
      <c t="s">
        <v>40123</v>
      </c>
      <c r="AL5197" t="s">
        <v>5756</v>
      </c>
      <c t="s">
        <v>5756</v>
      </c>
      <c t="s">
        <v>19878</v>
      </c>
      <c t="s">
        <v>66230</v>
      </c>
      <c t="s">
        <v>5652</v>
      </c>
      <c t="s">
        <v>3093</v>
      </c>
      <c t="s">
        <v>46186</v>
      </c>
    </row>
    <row>
      <c t="s">
        <v>17594</v>
      </c>
      <c t="s">
        <v>52064</v>
      </c>
      <c t="s">
        <v>43495</v>
      </c>
      <c t="s">
        <v>14965</v>
      </c>
      <c t="s">
        <v>55549</v>
      </c>
      <c s="3">
        <v>8100</v>
      </c>
      <c s="3">
        <v>8100</v>
      </c>
      <c s="3">
        <v>8100</v>
      </c>
      <c>
        <v>0</v>
      </c>
      <c s="3">
        <v>0</v>
      </c>
      <c s="3">
        <v>587.86</v>
      </c>
      <c s="3">
        <v>8100</v>
      </c>
      <c r="O5198" s="1" t="str">
        <f ca="1">HYPERLINK("https://web.datatree.com/?/property?propertyId=34046305", "https://web.datatree.com/?/property?propertyId=34046305")</f>
        <v>https://web.datatree.com/?/property?propertyId=34046305</v>
      </c>
      <c r="Q5198" t="s">
        <v>316</v>
      </c>
      <c>
        <v>0.259</v>
      </c>
      <c t="s">
        <v>6175</v>
      </c>
      <c t="s">
        <v>51344</v>
      </c>
      <c t="s">
        <v>46648</v>
      </c>
      <c t="s">
        <v>52701</v>
      </c>
      <c t="s">
        <v>37991</v>
      </c>
      <c t="s">
        <v>44360</v>
      </c>
      <c t="s">
        <v>23517</v>
      </c>
      <c t="s">
        <v>2517</v>
      </c>
      <c t="s">
        <v>39289</v>
      </c>
      <c>
        <v>33909</v>
      </c>
      <c t="s">
        <v>6822</v>
      </c>
      <c t="s">
        <v>48794</v>
      </c>
      <c t="s">
        <v>55398</v>
      </c>
      <c>
        <v>261</v>
      </c>
      <c r="AI5198" t="s">
        <v>9741</v>
      </c>
      <c t="s">
        <v>45620</v>
      </c>
      <c t="s">
        <v>58340</v>
      </c>
      <c t="s">
        <v>6144</v>
      </c>
      <c r="AN5198" t="s">
        <v>50917</v>
      </c>
      <c t="s">
        <v>62129</v>
      </c>
      <c t="s">
        <v>61719</v>
      </c>
      <c t="s">
        <v>3093</v>
      </c>
      <c t="s">
        <v>36292</v>
      </c>
    </row>
    <row>
      <c t="s">
        <v>17594</v>
      </c>
      <c t="s">
        <v>25321</v>
      </c>
      <c t="s">
        <v>21329</v>
      </c>
      <c t="s">
        <v>61824</v>
      </c>
      <c t="s">
        <v>2328</v>
      </c>
      <c s="3">
        <v>8400</v>
      </c>
      <c s="3">
        <v>8400</v>
      </c>
      <c s="3">
        <v>8400</v>
      </c>
      <c>
        <v>0</v>
      </c>
      <c s="3">
        <v>0</v>
      </c>
      <c s="3">
        <v>700.11</v>
      </c>
      <c s="3">
        <v>8400</v>
      </c>
      <c r="O5199" s="1" t="str">
        <f ca="1">HYPERLINK("https://web.datatree.com/?/property?propertyId=34046788", "https://web.datatree.com/?/property?propertyId=34046788")</f>
        <v>https://web.datatree.com/?/property?propertyId=34046788</v>
      </c>
      <c r="Q5199" t="s">
        <v>316</v>
      </c>
      <c>
        <v>0.244</v>
      </c>
      <c t="s">
        <v>6175</v>
      </c>
      <c t="s">
        <v>41230</v>
      </c>
      <c t="s">
        <v>17448</v>
      </c>
      <c t="s">
        <v>52701</v>
      </c>
      <c t="s">
        <v>17448</v>
      </c>
      <c t="s">
        <v>5427</v>
      </c>
      <c t="s">
        <v>61865</v>
      </c>
      <c t="s">
        <v>2517</v>
      </c>
      <c t="s">
        <v>39289</v>
      </c>
      <c>
        <v>33909</v>
      </c>
      <c t="s">
        <v>43059</v>
      </c>
      <c t="s">
        <v>48794</v>
      </c>
      <c t="s">
        <v>65963</v>
      </c>
      <c>
        <v>1528</v>
      </c>
      <c r="AI5199" t="s">
        <v>7594</v>
      </c>
      <c t="s">
        <v>45393</v>
      </c>
      <c>
        <v>1</v>
      </c>
      <c t="s">
        <v>40928</v>
      </c>
      <c r="AN5199" t="s">
        <v>26016</v>
      </c>
      <c t="s">
        <v>5615</v>
      </c>
      <c t="s">
        <v>7207</v>
      </c>
      <c t="s">
        <v>3093</v>
      </c>
      <c t="s">
        <v>23249</v>
      </c>
    </row>
    <row>
      <c t="s">
        <v>17594</v>
      </c>
      <c t="s">
        <v>25264</v>
      </c>
      <c t="s">
        <v>7181</v>
      </c>
      <c t="s">
        <v>45026</v>
      </c>
      <c t="s">
        <v>49774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200" s="1" t="str">
        <f ca="1">HYPERLINK("https://web.datatree.com/?/property?propertyId=34047024", "https://web.datatree.com/?/property?propertyId=34047024")</f>
        <v>https://web.datatree.com/?/property?propertyId=34047024</v>
      </c>
      <c r="Q5200" t="s">
        <v>316</v>
      </c>
      <c>
        <v>0.23</v>
      </c>
      <c t="s">
        <v>16350</v>
      </c>
      <c t="s">
        <v>64990</v>
      </c>
      <c t="s">
        <v>28662</v>
      </c>
      <c r="X5200" t="s">
        <v>55324</v>
      </c>
      <c t="s">
        <v>38550</v>
      </c>
      <c t="s">
        <v>2517</v>
      </c>
      <c t="s">
        <v>39289</v>
      </c>
      <c>
        <v>33909</v>
      </c>
      <c t="s">
        <v>26916</v>
      </c>
      <c t="s">
        <v>48794</v>
      </c>
      <c t="s">
        <v>54054</v>
      </c>
      <c>
        <v>6</v>
      </c>
      <c r="AI5200" t="s">
        <v>65773</v>
      </c>
      <c r="AL5200" t="s">
        <v>51990</v>
      </c>
      <c r="AN5200" t="s">
        <v>32840</v>
      </c>
      <c r="AR5200" t="s">
        <v>65854</v>
      </c>
    </row>
    <row>
      <c t="s">
        <v>17594</v>
      </c>
      <c t="s">
        <v>56424</v>
      </c>
      <c t="s">
        <v>26453</v>
      </c>
      <c t="s">
        <v>52996</v>
      </c>
      <c t="s">
        <v>64672</v>
      </c>
      <c s="3">
        <v>10600</v>
      </c>
      <c s="3">
        <v>10600</v>
      </c>
      <c s="3">
        <v>10600</v>
      </c>
      <c>
        <v>0</v>
      </c>
      <c s="3">
        <v>0</v>
      </c>
      <c s="3">
        <v>814.73</v>
      </c>
      <c s="3">
        <v>10600</v>
      </c>
      <c r="O5201" s="1" t="str">
        <f ca="1">HYPERLINK("https://web.datatree.com/?/property?propertyId=34047252", "https://web.datatree.com/?/property?propertyId=34047252")</f>
        <v>https://web.datatree.com/?/property?propertyId=34047252</v>
      </c>
      <c r="Q5201" t="s">
        <v>316</v>
      </c>
      <c>
        <v>0.27</v>
      </c>
      <c t="s">
        <v>6175</v>
      </c>
      <c t="s">
        <v>11118</v>
      </c>
      <c t="s">
        <v>44893</v>
      </c>
      <c r="X5201" t="s">
        <v>18189</v>
      </c>
      <c t="s">
        <v>47150</v>
      </c>
      <c t="s">
        <v>2517</v>
      </c>
      <c t="s">
        <v>39289</v>
      </c>
      <c>
        <v>33909</v>
      </c>
      <c t="s">
        <v>7595</v>
      </c>
      <c t="s">
        <v>48794</v>
      </c>
      <c t="s">
        <v>46826</v>
      </c>
      <c>
        <v>7051</v>
      </c>
      <c r="AI5201" t="s">
        <v>33800</v>
      </c>
      <c t="s">
        <v>39321</v>
      </c>
      <c r="AL5201" t="s">
        <v>45392</v>
      </c>
      <c r="AN5201" t="s">
        <v>9387</v>
      </c>
      <c t="s">
        <v>29402</v>
      </c>
      <c t="s">
        <v>43114</v>
      </c>
      <c t="s">
        <v>3093</v>
      </c>
      <c t="s">
        <v>47805</v>
      </c>
    </row>
    <row>
      <c t="s">
        <v>17594</v>
      </c>
      <c t="s">
        <v>22511</v>
      </c>
      <c t="s">
        <v>28059</v>
      </c>
      <c t="s">
        <v>32297</v>
      </c>
      <c t="s">
        <v>63093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202" s="1" t="str">
        <f ca="1">HYPERLINK("https://web.datatree.com/?/property?propertyId=34047588", "https://web.datatree.com/?/property?propertyId=34047588")</f>
        <v>https://web.datatree.com/?/property?propertyId=34047588</v>
      </c>
      <c r="Q5202" t="s">
        <v>316</v>
      </c>
      <c>
        <v>0.23</v>
      </c>
      <c t="s">
        <v>6175</v>
      </c>
      <c t="s">
        <v>21379</v>
      </c>
      <c t="s">
        <v>61208</v>
      </c>
      <c t="s">
        <v>65080</v>
      </c>
      <c t="s">
        <v>51953</v>
      </c>
      <c t="s">
        <v>13186</v>
      </c>
      <c t="s">
        <v>5115</v>
      </c>
      <c t="s">
        <v>2517</v>
      </c>
      <c t="s">
        <v>39289</v>
      </c>
      <c>
        <v>33909</v>
      </c>
      <c t="s">
        <v>20991</v>
      </c>
      <c t="s">
        <v>48794</v>
      </c>
      <c t="s">
        <v>59190</v>
      </c>
      <c>
        <v>7417</v>
      </c>
      <c r="AI5202" t="s">
        <v>24959</v>
      </c>
      <c t="s">
        <v>31192</v>
      </c>
      <c r="AL5202" t="s">
        <v>35990</v>
      </c>
      <c r="AN5202" t="s">
        <v>65467</v>
      </c>
      <c t="s">
        <v>8245</v>
      </c>
      <c t="s">
        <v>7929</v>
      </c>
      <c t="s">
        <v>3093</v>
      </c>
      <c t="s">
        <v>14663</v>
      </c>
    </row>
    <row>
      <c t="s">
        <v>17594</v>
      </c>
      <c t="s">
        <v>35</v>
      </c>
      <c t="s">
        <v>45172</v>
      </c>
      <c t="s">
        <v>54623</v>
      </c>
      <c t="s">
        <v>61737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203" s="1" t="str">
        <f ca="1">HYPERLINK("https://web.datatree.com/?/property?propertyId=34047836", "https://web.datatree.com/?/property?propertyId=34047836")</f>
        <v>https://web.datatree.com/?/property?propertyId=34047836</v>
      </c>
      <c r="Q5203" t="s">
        <v>316</v>
      </c>
      <c>
        <v>0.23</v>
      </c>
      <c t="s">
        <v>6175</v>
      </c>
      <c r="U5203" t="s">
        <v>9112</v>
      </c>
      <c r="W5203" t="s">
        <v>15114</v>
      </c>
      <c t="s">
        <v>44249</v>
      </c>
      <c t="s">
        <v>39082</v>
      </c>
      <c t="s">
        <v>2517</v>
      </c>
      <c t="s">
        <v>39289</v>
      </c>
      <c>
        <v>33909</v>
      </c>
      <c t="s">
        <v>24211</v>
      </c>
      <c t="s">
        <v>48794</v>
      </c>
      <c t="s">
        <v>41414</v>
      </c>
      <c>
        <v>7179</v>
      </c>
      <c r="AI5203" t="s">
        <v>39976</v>
      </c>
      <c t="s">
        <v>31192</v>
      </c>
      <c r="AL5203" t="s">
        <v>35792</v>
      </c>
      <c r="AN5203" t="s">
        <v>51087</v>
      </c>
      <c t="s">
        <v>42633</v>
      </c>
      <c t="s">
        <v>7207</v>
      </c>
      <c t="s">
        <v>3093</v>
      </c>
      <c t="s">
        <v>29809</v>
      </c>
    </row>
    <row>
      <c t="s">
        <v>17594</v>
      </c>
      <c t="s">
        <v>6652</v>
      </c>
      <c t="s">
        <v>52624</v>
      </c>
      <c t="s">
        <v>62546</v>
      </c>
      <c t="s">
        <v>20899</v>
      </c>
      <c s="3">
        <v>8149</v>
      </c>
      <c s="3">
        <v>8149</v>
      </c>
      <c s="3">
        <v>4972</v>
      </c>
      <c>
        <v>0</v>
      </c>
      <c s="3">
        <v>0</v>
      </c>
      <c s="3">
        <v>315.35</v>
      </c>
      <c s="3">
        <v>8149</v>
      </c>
      <c r="O5204" s="1" t="str">
        <f ca="1">HYPERLINK("https://web.datatree.com/?/property?propertyId=34049055", "https://web.datatree.com/?/property?propertyId=34049055")</f>
        <v>https://web.datatree.com/?/property?propertyId=34049055</v>
      </c>
      <c r="Q5204" t="s">
        <v>316</v>
      </c>
      <c>
        <v>0.234</v>
      </c>
      <c t="s">
        <v>5471</v>
      </c>
      <c t="s">
        <v>45235</v>
      </c>
      <c t="s">
        <v>61905</v>
      </c>
      <c r="X5204" t="s">
        <v>7307</v>
      </c>
      <c t="s">
        <v>61415</v>
      </c>
      <c t="s">
        <v>65059</v>
      </c>
      <c t="s">
        <v>39289</v>
      </c>
      <c>
        <v>33905</v>
      </c>
      <c t="s">
        <v>52937</v>
      </c>
      <c t="s">
        <v>48794</v>
      </c>
      <c t="s">
        <v>36610</v>
      </c>
      <c>
        <v>3740</v>
      </c>
      <c r="AI5204" t="s">
        <v>61850</v>
      </c>
      <c t="s">
        <v>24900</v>
      </c>
      <c r="AL5204" t="s">
        <v>41642</v>
      </c>
      <c t="s">
        <v>41642</v>
      </c>
      <c t="s">
        <v>39289</v>
      </c>
      <c t="s">
        <v>55920</v>
      </c>
      <c t="s">
        <v>23744</v>
      </c>
      <c t="s">
        <v>3093</v>
      </c>
      <c t="s">
        <v>18752</v>
      </c>
    </row>
    <row>
      <c t="s">
        <v>17594</v>
      </c>
      <c t="s">
        <v>31817</v>
      </c>
      <c t="s">
        <v>9069</v>
      </c>
      <c t="s">
        <v>33599</v>
      </c>
      <c t="s">
        <v>46132</v>
      </c>
      <c s="3">
        <v>12544</v>
      </c>
      <c s="3">
        <v>12544</v>
      </c>
      <c s="3">
        <v>4972</v>
      </c>
      <c>
        <v>0</v>
      </c>
      <c s="3">
        <v>0</v>
      </c>
      <c s="3">
        <v>321.86</v>
      </c>
      <c s="3">
        <v>12544</v>
      </c>
      <c r="O5205" s="1" t="str">
        <f ca="1">HYPERLINK("https://web.datatree.com/?/property?propertyId=34049306", "https://web.datatree.com/?/property?propertyId=34049306")</f>
        <v>https://web.datatree.com/?/property?propertyId=34049306</v>
      </c>
      <c r="Q5205" t="s">
        <v>316</v>
      </c>
      <c>
        <v>0.28</v>
      </c>
      <c t="s">
        <v>37489</v>
      </c>
      <c t="s">
        <v>55174</v>
      </c>
      <c t="s">
        <v>51402</v>
      </c>
      <c t="s">
        <v>53622</v>
      </c>
      <c t="s">
        <v>51402</v>
      </c>
      <c t="s">
        <v>56888</v>
      </c>
      <c t="s">
        <v>10854</v>
      </c>
      <c t="s">
        <v>65059</v>
      </c>
      <c t="s">
        <v>39289</v>
      </c>
      <c>
        <v>33905</v>
      </c>
      <c t="s">
        <v>8820</v>
      </c>
      <c t="s">
        <v>48794</v>
      </c>
      <c t="s">
        <v>21037</v>
      </c>
      <c>
        <v>9542</v>
      </c>
      <c r="AI5205" t="s">
        <v>4721</v>
      </c>
      <c t="s">
        <v>45393</v>
      </c>
      <c r="AL5205" t="s">
        <v>32837</v>
      </c>
      <c r="AN5205" t="s">
        <v>65451</v>
      </c>
      <c t="s">
        <v>15605</v>
      </c>
      <c t="s">
        <v>23435</v>
      </c>
      <c t="s">
        <v>3093</v>
      </c>
      <c t="s">
        <v>39876</v>
      </c>
    </row>
    <row>
      <c t="s">
        <v>17594</v>
      </c>
      <c t="s">
        <v>16730</v>
      </c>
      <c t="s">
        <v>45747</v>
      </c>
      <c t="s">
        <v>1171</v>
      </c>
      <c t="s">
        <v>56056</v>
      </c>
      <c s="3">
        <v>28000</v>
      </c>
      <c s="3">
        <v>28000</v>
      </c>
      <c s="3">
        <v>28000</v>
      </c>
      <c>
        <v>0</v>
      </c>
      <c s="3">
        <v>0</v>
      </c>
      <c s="3">
        <v>3081.02</v>
      </c>
      <c s="3">
        <v>28000</v>
      </c>
      <c r="O5206" s="1" t="str">
        <f ca="1">HYPERLINK("https://web.datatree.com/?/property?propertyId=34049609", "https://web.datatree.com/?/property?propertyId=34049609")</f>
        <v>https://web.datatree.com/?/property?propertyId=34049609</v>
      </c>
      <c r="Q5206" t="s">
        <v>316</v>
      </c>
      <c>
        <v>0.23</v>
      </c>
      <c t="s">
        <v>45031</v>
      </c>
      <c t="s">
        <v>33700</v>
      </c>
      <c t="s">
        <v>48231</v>
      </c>
      <c r="X5206" t="s">
        <v>18481</v>
      </c>
      <c t="s">
        <v>18679</v>
      </c>
      <c t="s">
        <v>2517</v>
      </c>
      <c t="s">
        <v>39289</v>
      </c>
      <c>
        <v>33909</v>
      </c>
      <c t="s">
        <v>43035</v>
      </c>
      <c t="s">
        <v>48794</v>
      </c>
      <c t="s">
        <v>57363</v>
      </c>
      <c>
        <v>156</v>
      </c>
      <c r="AI5206" t="s">
        <v>14256</v>
      </c>
      <c t="s">
        <v>31192</v>
      </c>
      <c>
        <v>201</v>
      </c>
      <c t="s">
        <v>11713</v>
      </c>
      <c r="AN5206" t="s">
        <v>39289</v>
      </c>
      <c t="s">
        <v>20304</v>
      </c>
      <c t="s">
        <v>25262</v>
      </c>
      <c t="s">
        <v>3093</v>
      </c>
      <c t="s">
        <v>62879</v>
      </c>
    </row>
    <row>
      <c t="s">
        <v>17594</v>
      </c>
      <c t="s">
        <v>28726</v>
      </c>
      <c t="s">
        <v>54622</v>
      </c>
      <c t="s">
        <v>64912</v>
      </c>
      <c t="s">
        <v>57813</v>
      </c>
      <c s="3">
        <v>32472</v>
      </c>
      <c s="3">
        <v>30107</v>
      </c>
      <c s="3">
        <v>32472</v>
      </c>
      <c>
        <v>0</v>
      </c>
      <c s="3">
        <v>0</v>
      </c>
      <c s="3">
        <v>450.46</v>
      </c>
      <c s="3">
        <v>32472</v>
      </c>
      <c r="O5207" s="1" t="str">
        <f ca="1">HYPERLINK("https://web.datatree.com/?/property?propertyId=34049994", "https://web.datatree.com/?/property?propertyId=34049994")</f>
        <v>https://web.datatree.com/?/property?propertyId=34049994</v>
      </c>
      <c>
        <v>406</v>
      </c>
      <c t="s">
        <v>316</v>
      </c>
      <c>
        <v>0.044</v>
      </c>
      <c t="s">
        <v>54329</v>
      </c>
      <c t="s">
        <v>35571</v>
      </c>
      <c t="s">
        <v>59731</v>
      </c>
      <c t="s">
        <v>2592</v>
      </c>
      <c t="s">
        <v>59731</v>
      </c>
      <c t="s">
        <v>21189</v>
      </c>
      <c t="s">
        <v>35866</v>
      </c>
      <c t="s">
        <v>65059</v>
      </c>
      <c t="s">
        <v>39289</v>
      </c>
      <c>
        <v>33908</v>
      </c>
      <c t="s">
        <v>18155</v>
      </c>
      <c t="s">
        <v>48794</v>
      </c>
      <c t="s">
        <v>9734</v>
      </c>
      <c>
        <v>3523</v>
      </c>
      <c r="AI5207" t="s">
        <v>55709</v>
      </c>
      <c t="s">
        <v>45620</v>
      </c>
      <c r="AL5207" t="s">
        <v>29411</v>
      </c>
      <c t="s">
        <v>53482</v>
      </c>
      <c t="s">
        <v>32657</v>
      </c>
      <c>
        <v>37803</v>
      </c>
      <c t="s">
        <v>45700</v>
      </c>
      <c t="s">
        <v>3093</v>
      </c>
      <c t="s">
        <v>46306</v>
      </c>
      <c>
        <v>1980</v>
      </c>
    </row>
    <row>
      <c t="s">
        <v>17594</v>
      </c>
      <c t="s">
        <v>5810</v>
      </c>
      <c t="s">
        <v>17475</v>
      </c>
      <c t="s">
        <v>42511</v>
      </c>
      <c t="s">
        <v>33609</v>
      </c>
      <c s="3">
        <v>7500</v>
      </c>
      <c s="3">
        <v>7500</v>
      </c>
      <c s="3">
        <v>7500</v>
      </c>
      <c>
        <v>0</v>
      </c>
      <c s="3">
        <v>0</v>
      </c>
      <c s="3">
        <v>692.86</v>
      </c>
      <c s="3">
        <v>7500</v>
      </c>
      <c r="O5208" s="1" t="str">
        <f ca="1">HYPERLINK("https://web.datatree.com/?/property?propertyId=34050279", "https://web.datatree.com/?/property?propertyId=34050279")</f>
        <v>https://web.datatree.com/?/property?propertyId=34050279</v>
      </c>
      <c r="Q5208" t="s">
        <v>316</v>
      </c>
      <c>
        <v>0.242</v>
      </c>
      <c t="s">
        <v>6175</v>
      </c>
      <c t="s">
        <v>60638</v>
      </c>
      <c t="s">
        <v>11649</v>
      </c>
      <c t="s">
        <v>14759</v>
      </c>
      <c t="s">
        <v>46648</v>
      </c>
      <c t="s">
        <v>61319</v>
      </c>
      <c t="s">
        <v>39777</v>
      </c>
      <c t="s">
        <v>2517</v>
      </c>
      <c t="s">
        <v>39289</v>
      </c>
      <c>
        <v>33909</v>
      </c>
      <c t="s">
        <v>57602</v>
      </c>
      <c t="s">
        <v>48794</v>
      </c>
      <c t="s">
        <v>18086</v>
      </c>
      <c>
        <v>3887</v>
      </c>
      <c r="AI5208" t="s">
        <v>52171</v>
      </c>
      <c t="s">
        <v>45393</v>
      </c>
      <c r="AL5208" t="s">
        <v>34557</v>
      </c>
      <c r="AN5208" t="s">
        <v>65451</v>
      </c>
      <c t="s">
        <v>64321</v>
      </c>
      <c t="s">
        <v>34162</v>
      </c>
      <c t="s">
        <v>3093</v>
      </c>
      <c t="s">
        <v>12024</v>
      </c>
    </row>
    <row>
      <c t="s">
        <v>17594</v>
      </c>
      <c t="s">
        <v>66527</v>
      </c>
      <c t="s">
        <v>47404</v>
      </c>
      <c t="s">
        <v>41261</v>
      </c>
      <c t="s">
        <v>1228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209" s="1" t="str">
        <f ca="1">HYPERLINK("https://web.datatree.com/?/property?propertyId=34050795", "https://web.datatree.com/?/property?propertyId=34050795")</f>
        <v>https://web.datatree.com/?/property?propertyId=34050795</v>
      </c>
      <c r="Q5209" t="s">
        <v>316</v>
      </c>
      <c>
        <v>0.23</v>
      </c>
      <c t="s">
        <v>45031</v>
      </c>
      <c t="s">
        <v>54943</v>
      </c>
      <c t="s">
        <v>23956</v>
      </c>
      <c t="s">
        <v>21379</v>
      </c>
      <c t="s">
        <v>60426</v>
      </c>
      <c t="s">
        <v>51121</v>
      </c>
      <c t="s">
        <v>29190</v>
      </c>
      <c t="s">
        <v>2517</v>
      </c>
      <c t="s">
        <v>39289</v>
      </c>
      <c>
        <v>33909</v>
      </c>
      <c t="s">
        <v>7838</v>
      </c>
      <c t="s">
        <v>48794</v>
      </c>
      <c t="s">
        <v>14708</v>
      </c>
      <c>
        <v>638</v>
      </c>
      <c r="AI5209" t="s">
        <v>40925</v>
      </c>
      <c t="s">
        <v>31192</v>
      </c>
      <c r="AL5209" t="s">
        <v>46292</v>
      </c>
      <c r="AN5209" t="s">
        <v>65467</v>
      </c>
      <c t="s">
        <v>62102</v>
      </c>
      <c t="s">
        <v>27410</v>
      </c>
      <c t="s">
        <v>3093</v>
      </c>
      <c t="s">
        <v>35233</v>
      </c>
    </row>
    <row>
      <c t="s">
        <v>42103</v>
      </c>
      <c t="s">
        <v>27183</v>
      </c>
      <c t="s">
        <v>18826</v>
      </c>
      <c t="s">
        <v>50471</v>
      </c>
      <c t="s">
        <v>31315</v>
      </c>
      <c s="3">
        <v>7300</v>
      </c>
      <c s="3">
        <v>7300</v>
      </c>
      <c s="3">
        <v>7300</v>
      </c>
      <c>
        <v>0</v>
      </c>
      <c s="3">
        <v>0</v>
      </c>
      <c s="3">
        <v>569.07</v>
      </c>
      <c s="3">
        <v>7300</v>
      </c>
      <c r="O5210" s="1" t="str">
        <f ca="1">HYPERLINK("https://web.datatree.com/?/property?propertyId=34050875", "https://web.datatree.com/?/property?propertyId=34050875")</f>
        <v>https://web.datatree.com/?/property?propertyId=34050875</v>
      </c>
      <c r="Q5210" t="s">
        <v>316</v>
      </c>
      <c>
        <v>0.241</v>
      </c>
      <c t="s">
        <v>22490</v>
      </c>
      <c t="s">
        <v>38202</v>
      </c>
      <c t="s">
        <v>44493</v>
      </c>
      <c t="s">
        <v>64043</v>
      </c>
      <c t="s">
        <v>44493</v>
      </c>
      <c t="s">
        <v>59840</v>
      </c>
      <c t="s">
        <v>53675</v>
      </c>
      <c t="s">
        <v>2517</v>
      </c>
      <c t="s">
        <v>39289</v>
      </c>
      <c>
        <v>33909</v>
      </c>
      <c t="s">
        <v>44506</v>
      </c>
      <c t="s">
        <v>48794</v>
      </c>
      <c t="s">
        <v>35081</v>
      </c>
      <c r="AI5210" t="s">
        <v>28566</v>
      </c>
      <c r="AL5210" t="s">
        <v>5749</v>
      </c>
      <c r="AN5210" t="s">
        <v>14509</v>
      </c>
      <c>
        <v>6483</v>
      </c>
      <c t="s">
        <v>61509</v>
      </c>
      <c t="s">
        <v>3093</v>
      </c>
      <c t="s">
        <v>57002</v>
      </c>
    </row>
    <row>
      <c t="s">
        <v>17594</v>
      </c>
      <c t="s">
        <v>43812</v>
      </c>
      <c t="s">
        <v>13833</v>
      </c>
      <c t="s">
        <v>688</v>
      </c>
      <c t="s">
        <v>25425</v>
      </c>
      <c s="3">
        <v>83547</v>
      </c>
      <c s="3">
        <v>74250</v>
      </c>
      <c s="3">
        <v>83547</v>
      </c>
      <c>
        <v>0</v>
      </c>
      <c s="3">
        <v>0</v>
      </c>
      <c s="3">
        <v>1255.72</v>
      </c>
      <c s="3">
        <v>83547</v>
      </c>
      <c r="O5211" s="1" t="str">
        <f ca="1">HYPERLINK("https://web.datatree.com/?/property?propertyId=34051570", "https://web.datatree.com/?/property?propertyId=34051570")</f>
        <v>https://web.datatree.com/?/property?propertyId=34051570</v>
      </c>
      <c r="Q5211" t="s">
        <v>316</v>
      </c>
      <c>
        <v>0.103</v>
      </c>
      <c t="s">
        <v>26492</v>
      </c>
      <c t="s">
        <v>50331</v>
      </c>
      <c t="s">
        <v>40780</v>
      </c>
      <c t="s">
        <v>27351</v>
      </c>
      <c t="s">
        <v>40780</v>
      </c>
      <c t="s">
        <v>40218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29820</v>
      </c>
      <c>
        <v>6031</v>
      </c>
      <c r="AI5211" t="s">
        <v>321</v>
      </c>
      <c t="s">
        <v>45620</v>
      </c>
      <c r="AL5211" t="s">
        <v>2072</v>
      </c>
      <c t="s">
        <v>40227</v>
      </c>
      <c t="s">
        <v>65467</v>
      </c>
      <c t="s">
        <v>21238</v>
      </c>
      <c t="s">
        <v>30106</v>
      </c>
      <c t="s">
        <v>3093</v>
      </c>
      <c t="s">
        <v>34429</v>
      </c>
    </row>
    <row>
      <c t="s">
        <v>17594</v>
      </c>
      <c t="s">
        <v>15825</v>
      </c>
      <c t="s">
        <v>35332</v>
      </c>
      <c t="s">
        <v>17241</v>
      </c>
      <c t="s">
        <v>11076</v>
      </c>
      <c s="3">
        <v>10600</v>
      </c>
      <c s="3">
        <v>10600</v>
      </c>
      <c s="3">
        <v>10600</v>
      </c>
      <c>
        <v>0</v>
      </c>
      <c s="3">
        <v>0</v>
      </c>
      <c s="3">
        <v>789.11</v>
      </c>
      <c s="3">
        <v>10600</v>
      </c>
      <c r="O5212" s="1" t="str">
        <f ca="1">HYPERLINK("https://web.datatree.com/?/property?propertyId=34051992", "https://web.datatree.com/?/property?propertyId=34051992")</f>
        <v>https://web.datatree.com/?/property?propertyId=34051992</v>
      </c>
      <c r="Q5212" t="s">
        <v>316</v>
      </c>
      <c>
        <v>0.23</v>
      </c>
      <c t="s">
        <v>6175</v>
      </c>
      <c t="s">
        <v>30016</v>
      </c>
      <c t="s">
        <v>45794</v>
      </c>
      <c r="X5212" t="s">
        <v>63280</v>
      </c>
      <c t="s">
        <v>39082</v>
      </c>
      <c t="s">
        <v>2517</v>
      </c>
      <c t="s">
        <v>39289</v>
      </c>
      <c>
        <v>33909</v>
      </c>
      <c t="s">
        <v>39325</v>
      </c>
      <c t="s">
        <v>48794</v>
      </c>
      <c t="s">
        <v>65613</v>
      </c>
      <c>
        <v>124</v>
      </c>
      <c r="AI5212" t="s">
        <v>17972</v>
      </c>
      <c t="s">
        <v>45393</v>
      </c>
      <c r="AL5212" t="s">
        <v>21604</v>
      </c>
      <c t="s">
        <v>21604</v>
      </c>
      <c t="s">
        <v>50829</v>
      </c>
      <c t="s">
        <v>42481</v>
      </c>
      <c t="s">
        <v>32746</v>
      </c>
      <c t="s">
        <v>3093</v>
      </c>
      <c t="s">
        <v>18605</v>
      </c>
    </row>
    <row>
      <c t="s">
        <v>17594</v>
      </c>
      <c t="s">
        <v>59322</v>
      </c>
      <c t="s">
        <v>33339</v>
      </c>
      <c t="s">
        <v>51159</v>
      </c>
      <c t="s">
        <v>24123</v>
      </c>
      <c s="3">
        <v>22152</v>
      </c>
      <c s="3">
        <v>22152</v>
      </c>
      <c s="3">
        <v>22152</v>
      </c>
      <c>
        <v>0</v>
      </c>
      <c s="3">
        <v>0</v>
      </c>
      <c s="3">
        <v>633.3</v>
      </c>
      <c s="3">
        <v>22152</v>
      </c>
      <c r="O5213" s="1" t="str">
        <f ca="1">HYPERLINK("https://web.datatree.com/?/property?propertyId=34053212", "https://web.datatree.com/?/property?propertyId=34053212")</f>
        <v>https://web.datatree.com/?/property?propertyId=34053212</v>
      </c>
      <c r="Q5213" t="s">
        <v>316</v>
      </c>
      <c>
        <v>0.244</v>
      </c>
      <c t="s">
        <v>22490</v>
      </c>
      <c t="s">
        <v>61828</v>
      </c>
      <c t="s">
        <v>19239</v>
      </c>
      <c r="X5213" t="s">
        <v>12514</v>
      </c>
      <c t="s">
        <v>25017</v>
      </c>
      <c t="s">
        <v>2517</v>
      </c>
      <c t="s">
        <v>39289</v>
      </c>
      <c>
        <v>33909</v>
      </c>
      <c t="s">
        <v>25375</v>
      </c>
      <c t="s">
        <v>48794</v>
      </c>
      <c t="s">
        <v>1832</v>
      </c>
      <c>
        <v>36011</v>
      </c>
      <c r="AI5213" t="s">
        <v>56245</v>
      </c>
      <c t="s">
        <v>24900</v>
      </c>
      <c>
        <v>104</v>
      </c>
      <c t="s">
        <v>52221</v>
      </c>
      <c t="s">
        <v>52221</v>
      </c>
      <c t="s">
        <v>51137</v>
      </c>
      <c t="s">
        <v>56031</v>
      </c>
      <c t="s">
        <v>11380</v>
      </c>
      <c t="s">
        <v>3093</v>
      </c>
      <c t="s">
        <v>24051</v>
      </c>
    </row>
    <row>
      <c t="s">
        <v>17594</v>
      </c>
      <c t="s">
        <v>40382</v>
      </c>
      <c t="s">
        <v>61386</v>
      </c>
      <c t="s">
        <v>32303</v>
      </c>
      <c t="s">
        <v>39268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214" s="1" t="str">
        <f ca="1">HYPERLINK("https://web.datatree.com/?/property?propertyId=34053524", "https://web.datatree.com/?/property?propertyId=34053524")</f>
        <v>https://web.datatree.com/?/property?propertyId=34053524</v>
      </c>
      <c r="Q5214" t="s">
        <v>316</v>
      </c>
      <c>
        <v>0.23</v>
      </c>
      <c t="s">
        <v>22490</v>
      </c>
      <c t="s">
        <v>60000</v>
      </c>
      <c t="s">
        <v>59499</v>
      </c>
      <c t="s">
        <v>18898</v>
      </c>
      <c t="s">
        <v>59499</v>
      </c>
      <c t="s">
        <v>31186</v>
      </c>
      <c t="s">
        <v>29190</v>
      </c>
      <c t="s">
        <v>2517</v>
      </c>
      <c t="s">
        <v>39289</v>
      </c>
      <c>
        <v>33909</v>
      </c>
      <c t="s">
        <v>15520</v>
      </c>
      <c t="s">
        <v>48794</v>
      </c>
      <c t="s">
        <v>44797</v>
      </c>
      <c r="AI5214" t="s">
        <v>40513</v>
      </c>
      <c r="AL5214" t="s">
        <v>38344</v>
      </c>
      <c r="AN5214" t="s">
        <v>32840</v>
      </c>
      <c r="AR5214" t="s">
        <v>58265</v>
      </c>
    </row>
    <row>
      <c t="s">
        <v>17594</v>
      </c>
      <c t="s">
        <v>16159</v>
      </c>
      <c t="s">
        <v>11061</v>
      </c>
      <c t="s">
        <v>50045</v>
      </c>
      <c t="s">
        <v>48769</v>
      </c>
      <c s="3">
        <v>26290</v>
      </c>
      <c s="3">
        <v>26290</v>
      </c>
      <c s="3">
        <v>12650</v>
      </c>
      <c>
        <v>0</v>
      </c>
      <c s="3">
        <v>0</v>
      </c>
      <c s="3">
        <v>675.67</v>
      </c>
      <c s="3">
        <v>26290</v>
      </c>
      <c r="O5215" s="1" t="str">
        <f ca="1">HYPERLINK("https://web.datatree.com/?/property?propertyId=34053678", "https://web.datatree.com/?/property?propertyId=34053678")</f>
        <v>https://web.datatree.com/?/property?propertyId=34053678</v>
      </c>
      <c r="Q5215" t="s">
        <v>316</v>
      </c>
      <c>
        <v>0.269</v>
      </c>
      <c t="s">
        <v>22490</v>
      </c>
      <c t="s">
        <v>23807</v>
      </c>
      <c t="s">
        <v>38421</v>
      </c>
      <c t="s">
        <v>54943</v>
      </c>
      <c t="s">
        <v>38421</v>
      </c>
      <c t="s">
        <v>36303</v>
      </c>
      <c t="s">
        <v>53675</v>
      </c>
      <c t="s">
        <v>2517</v>
      </c>
      <c t="s">
        <v>39289</v>
      </c>
      <c>
        <v>33909</v>
      </c>
      <c t="s">
        <v>4314</v>
      </c>
      <c t="s">
        <v>48794</v>
      </c>
      <c t="s">
        <v>37670</v>
      </c>
      <c>
        <v>9</v>
      </c>
      <c r="AI5215" t="s">
        <v>58820</v>
      </c>
      <c t="s">
        <v>45620</v>
      </c>
      <c r="AL5215" t="s">
        <v>66921</v>
      </c>
      <c r="AN5215" t="s">
        <v>26016</v>
      </c>
      <c t="s">
        <v>61578</v>
      </c>
      <c t="s">
        <v>33856</v>
      </c>
      <c t="s">
        <v>3093</v>
      </c>
      <c t="s">
        <v>48401</v>
      </c>
    </row>
    <row>
      <c t="s">
        <v>17594</v>
      </c>
      <c t="s">
        <v>55255</v>
      </c>
      <c t="s">
        <v>30028</v>
      </c>
      <c t="s">
        <v>37325</v>
      </c>
      <c t="s">
        <v>55</v>
      </c>
      <c s="3">
        <v>41248</v>
      </c>
      <c s="3">
        <v>41248</v>
      </c>
      <c s="3">
        <v>35200</v>
      </c>
      <c>
        <v>0</v>
      </c>
      <c s="3">
        <v>0</v>
      </c>
      <c s="3">
        <v>1024.65</v>
      </c>
      <c s="3">
        <v>41248</v>
      </c>
      <c r="O5216" s="1" t="str">
        <f ca="1">HYPERLINK("https://web.datatree.com/?/property?propertyId=34053928", "https://web.datatree.com/?/property?propertyId=34053928")</f>
        <v>https://web.datatree.com/?/property?propertyId=34053928</v>
      </c>
      <c r="Q5216" t="s">
        <v>316</v>
      </c>
      <c>
        <v>0.23</v>
      </c>
      <c t="s">
        <v>22490</v>
      </c>
      <c t="s">
        <v>38445</v>
      </c>
      <c t="s">
        <v>62705</v>
      </c>
      <c r="X5216" t="s">
        <v>49875</v>
      </c>
      <c t="s">
        <v>30928</v>
      </c>
      <c t="s">
        <v>2517</v>
      </c>
      <c t="s">
        <v>39289</v>
      </c>
      <c>
        <v>33909</v>
      </c>
      <c t="s">
        <v>7633</v>
      </c>
      <c t="s">
        <v>48794</v>
      </c>
      <c t="s">
        <v>8666</v>
      </c>
      <c>
        <v>1716</v>
      </c>
      <c r="AI5216" t="s">
        <v>12709</v>
      </c>
      <c t="s">
        <v>56275</v>
      </c>
      <c r="AL5216" t="s">
        <v>8443</v>
      </c>
      <c t="s">
        <v>8443</v>
      </c>
      <c t="s">
        <v>10804</v>
      </c>
      <c t="s">
        <v>66246</v>
      </c>
      <c t="s">
        <v>26416</v>
      </c>
      <c t="s">
        <v>3093</v>
      </c>
      <c t="s">
        <v>33010</v>
      </c>
    </row>
    <row>
      <c t="s">
        <v>17594</v>
      </c>
      <c t="s">
        <v>58373</v>
      </c>
      <c t="s">
        <v>25972</v>
      </c>
      <c t="s">
        <v>991</v>
      </c>
      <c t="s">
        <v>49182</v>
      </c>
      <c s="3">
        <v>465120</v>
      </c>
      <c s="3">
        <v>465120</v>
      </c>
      <c s="3">
        <v>465120</v>
      </c>
      <c>
        <v>0</v>
      </c>
      <c s="3">
        <v>0</v>
      </c>
      <c s="3">
        <v>7951.15</v>
      </c>
      <c s="3">
        <v>465120</v>
      </c>
      <c r="O5217" s="1" t="str">
        <f ca="1">HYPERLINK("https://web.datatree.com/?/property?propertyId=34054258", "https://web.datatree.com/?/property?propertyId=34054258")</f>
        <v>https://web.datatree.com/?/property?propertyId=34054258</v>
      </c>
      <c r="Q5217" t="s">
        <v>316</v>
      </c>
      <c>
        <v>0.412</v>
      </c>
      <c t="s">
        <v>22490</v>
      </c>
      <c t="s">
        <v>58699</v>
      </c>
      <c t="s">
        <v>61735</v>
      </c>
      <c r="X5217" t="s">
        <v>39857</v>
      </c>
      <c t="s">
        <v>6395</v>
      </c>
      <c t="s">
        <v>2517</v>
      </c>
      <c t="s">
        <v>39289</v>
      </c>
      <c>
        <v>33904</v>
      </c>
      <c t="s">
        <v>61777</v>
      </c>
      <c t="s">
        <v>48794</v>
      </c>
      <c t="s">
        <v>42031</v>
      </c>
      <c>
        <v>24</v>
      </c>
      <c r="AI5217" t="s">
        <v>17594</v>
      </c>
      <c r="AL5217" t="s">
        <v>65425</v>
      </c>
      <c t="s">
        <v>65425</v>
      </c>
      <c t="s">
        <v>65451</v>
      </c>
      <c>
        <v>96049</v>
      </c>
      <c r="AR5217" t="s">
        <v>64011</v>
      </c>
    </row>
    <row>
      <c t="s">
        <v>17594</v>
      </c>
      <c t="s">
        <v>29460</v>
      </c>
      <c t="s">
        <v>23586</v>
      </c>
      <c t="s">
        <v>3783</v>
      </c>
      <c t="s">
        <v>37447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5218" s="1" t="str">
        <f ca="1">HYPERLINK("https://web.datatree.com/?/property?propertyId=34054292", "https://web.datatree.com/?/property?propertyId=34054292")</f>
        <v>https://web.datatree.com/?/property?propertyId=34054292</v>
      </c>
      <c r="Q5218" t="s">
        <v>316</v>
      </c>
      <c>
        <v>0.23</v>
      </c>
      <c t="s">
        <v>22490</v>
      </c>
      <c t="s">
        <v>49741</v>
      </c>
      <c t="s">
        <v>34811</v>
      </c>
      <c r="X5218" t="s">
        <v>54736</v>
      </c>
      <c t="s">
        <v>22731</v>
      </c>
      <c t="s">
        <v>2517</v>
      </c>
      <c t="s">
        <v>39289</v>
      </c>
      <c>
        <v>33909</v>
      </c>
      <c t="s">
        <v>23554</v>
      </c>
      <c t="s">
        <v>48794</v>
      </c>
      <c t="s">
        <v>44922</v>
      </c>
      <c>
        <v>43</v>
      </c>
      <c r="AI5218" t="s">
        <v>17594</v>
      </c>
      <c r="AL5218" t="s">
        <v>36868</v>
      </c>
      <c r="AN5218" t="s">
        <v>63985</v>
      </c>
      <c>
        <v>25469</v>
      </c>
      <c r="AR5218" t="s">
        <v>55596</v>
      </c>
    </row>
    <row>
      <c t="s">
        <v>17594</v>
      </c>
      <c t="s">
        <v>48878</v>
      </c>
      <c t="s">
        <v>12276</v>
      </c>
      <c t="s">
        <v>38156</v>
      </c>
      <c t="s">
        <v>15530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219" s="1" t="str">
        <f ca="1">HYPERLINK("https://web.datatree.com/?/property?propertyId=34054591", "https://web.datatree.com/?/property?propertyId=34054591")</f>
        <v>https://web.datatree.com/?/property?propertyId=34054591</v>
      </c>
      <c r="Q5219" t="s">
        <v>316</v>
      </c>
      <c>
        <v>0.23</v>
      </c>
      <c t="s">
        <v>6175</v>
      </c>
      <c t="s">
        <v>40487</v>
      </c>
      <c t="s">
        <v>13647</v>
      </c>
      <c r="X5219" t="s">
        <v>31972</v>
      </c>
      <c t="s">
        <v>38550</v>
      </c>
      <c t="s">
        <v>2517</v>
      </c>
      <c t="s">
        <v>39289</v>
      </c>
      <c>
        <v>33909</v>
      </c>
      <c t="s">
        <v>40103</v>
      </c>
      <c t="s">
        <v>48794</v>
      </c>
      <c t="s">
        <v>51126</v>
      </c>
      <c>
        <v>52</v>
      </c>
      <c r="AI5219" t="s">
        <v>58428</v>
      </c>
      <c t="s">
        <v>45620</v>
      </c>
      <c r="AL5219" t="s">
        <v>51530</v>
      </c>
      <c r="AN5219" t="s">
        <v>64022</v>
      </c>
      <c t="s">
        <v>58644</v>
      </c>
      <c t="s">
        <v>14695</v>
      </c>
      <c t="s">
        <v>3093</v>
      </c>
      <c t="s">
        <v>34252</v>
      </c>
    </row>
    <row>
      <c t="s">
        <v>17594</v>
      </c>
      <c t="s">
        <v>57938</v>
      </c>
      <c t="s">
        <v>2716</v>
      </c>
      <c t="s">
        <v>15871</v>
      </c>
      <c t="s">
        <v>57798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>
        <v>2021</v>
      </c>
      <c>
        <v>539.27</v>
      </c>
      <c s="1" t="str">
        <f ca="1">HYPERLINK("https://web.datatree.com/?/property?propertyId=34054822", "https://web.datatree.com/?/property?propertyId=34054822")</f>
        <v>https://web.datatree.com/?/property?propertyId=34054822</v>
      </c>
      <c r="Q5220" t="s">
        <v>316</v>
      </c>
      <c>
        <v>0.237</v>
      </c>
      <c t="s">
        <v>6175</v>
      </c>
      <c t="s">
        <v>24179</v>
      </c>
      <c t="s">
        <v>21179</v>
      </c>
      <c t="s">
        <v>32617</v>
      </c>
      <c t="s">
        <v>60486</v>
      </c>
      <c t="s">
        <v>45873</v>
      </c>
      <c t="s">
        <v>66701</v>
      </c>
      <c t="s">
        <v>2517</v>
      </c>
      <c t="s">
        <v>39289</v>
      </c>
      <c>
        <v>33909</v>
      </c>
      <c t="s">
        <v>883</v>
      </c>
      <c t="s">
        <v>48794</v>
      </c>
      <c t="s">
        <v>30166</v>
      </c>
      <c r="AI5220" t="s">
        <v>14552</v>
      </c>
      <c r="AL5220" t="s">
        <v>21424</v>
      </c>
      <c r="AN5220" t="s">
        <v>513</v>
      </c>
      <c r="AR5220" t="s">
        <v>44992</v>
      </c>
    </row>
    <row>
      <c t="s">
        <v>17594</v>
      </c>
      <c t="s">
        <v>12188</v>
      </c>
      <c t="s">
        <v>19168</v>
      </c>
      <c t="s">
        <v>38519</v>
      </c>
      <c t="s">
        <v>42484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>
        <v>2019</v>
      </c>
      <c>
        <v>3229.85</v>
      </c>
      <c s="1" t="str">
        <f ca="1">HYPERLINK("https://web.datatree.com/?/property?propertyId=34055635", "https://web.datatree.com/?/property?propertyId=34055635")</f>
        <v>https://web.datatree.com/?/property?propertyId=34055635</v>
      </c>
      <c r="Q5221" t="s">
        <v>316</v>
      </c>
      <c>
        <v>0.23</v>
      </c>
      <c t="s">
        <v>54449</v>
      </c>
      <c t="s">
        <v>12915</v>
      </c>
      <c t="s">
        <v>28989</v>
      </c>
      <c r="X5221" t="s">
        <v>55373</v>
      </c>
      <c t="s">
        <v>38550</v>
      </c>
      <c t="s">
        <v>2517</v>
      </c>
      <c t="s">
        <v>39289</v>
      </c>
      <c>
        <v>33909</v>
      </c>
      <c t="s">
        <v>37536</v>
      </c>
      <c t="s">
        <v>48794</v>
      </c>
      <c t="s">
        <v>64061</v>
      </c>
      <c>
        <v>19241</v>
      </c>
      <c r="AI5221" t="s">
        <v>32351</v>
      </c>
      <c t="s">
        <v>40123</v>
      </c>
      <c r="AL5221" t="s">
        <v>41781</v>
      </c>
      <c r="AN5221" t="s">
        <v>39289</v>
      </c>
      <c t="s">
        <v>64159</v>
      </c>
      <c t="s">
        <v>51249</v>
      </c>
      <c t="s">
        <v>3093</v>
      </c>
      <c t="s">
        <v>30668</v>
      </c>
    </row>
    <row>
      <c t="s">
        <v>17594</v>
      </c>
      <c t="s">
        <v>25776</v>
      </c>
      <c t="s">
        <v>66593</v>
      </c>
      <c t="s">
        <v>32814</v>
      </c>
      <c t="s">
        <v>27500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222" s="1" t="str">
        <f ca="1">HYPERLINK("https://web.datatree.com/?/property?propertyId=34056156", "https://web.datatree.com/?/property?propertyId=34056156")</f>
        <v>https://web.datatree.com/?/property?propertyId=34056156</v>
      </c>
      <c r="Q5222" t="s">
        <v>316</v>
      </c>
      <c>
        <v>0.23</v>
      </c>
      <c t="s">
        <v>6175</v>
      </c>
      <c t="s">
        <v>52701</v>
      </c>
      <c t="s">
        <v>54785</v>
      </c>
      <c t="s">
        <v>27597</v>
      </c>
      <c t="s">
        <v>4504</v>
      </c>
      <c t="s">
        <v>46487</v>
      </c>
      <c t="s">
        <v>13065</v>
      </c>
      <c t="s">
        <v>2517</v>
      </c>
      <c t="s">
        <v>39289</v>
      </c>
      <c>
        <v>33909</v>
      </c>
      <c t="s">
        <v>54913</v>
      </c>
      <c t="s">
        <v>48794</v>
      </c>
      <c t="s">
        <v>62859</v>
      </c>
      <c>
        <v>6661</v>
      </c>
      <c r="AI5222" t="s">
        <v>16704</v>
      </c>
      <c t="s">
        <v>40123</v>
      </c>
      <c t="s">
        <v>17594</v>
      </c>
      <c t="s">
        <v>55393</v>
      </c>
      <c r="AN5222" t="s">
        <v>39289</v>
      </c>
      <c t="s">
        <v>6494</v>
      </c>
      <c t="s">
        <v>53660</v>
      </c>
      <c t="s">
        <v>3093</v>
      </c>
      <c t="s">
        <v>20472</v>
      </c>
    </row>
    <row>
      <c t="s">
        <v>17594</v>
      </c>
      <c t="s">
        <v>32710</v>
      </c>
      <c t="s">
        <v>16640</v>
      </c>
      <c t="s">
        <v>54491</v>
      </c>
      <c t="s">
        <v>62430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5223" s="1" t="str">
        <f ca="1">HYPERLINK("https://web.datatree.com/?/property?propertyId=34056947", "https://web.datatree.com/?/property?propertyId=34056947")</f>
        <v>https://web.datatree.com/?/property?propertyId=34056947</v>
      </c>
      <c r="Q5223" t="s">
        <v>316</v>
      </c>
      <c>
        <v>0.23</v>
      </c>
      <c t="s">
        <v>22490</v>
      </c>
      <c t="s">
        <v>33168</v>
      </c>
      <c t="s">
        <v>22117</v>
      </c>
      <c r="X5223" t="s">
        <v>22184</v>
      </c>
      <c t="s">
        <v>46469</v>
      </c>
      <c t="s">
        <v>2517</v>
      </c>
      <c t="s">
        <v>39289</v>
      </c>
      <c>
        <v>33909</v>
      </c>
      <c t="s">
        <v>7824</v>
      </c>
      <c t="s">
        <v>48794</v>
      </c>
      <c t="s">
        <v>11519</v>
      </c>
      <c>
        <v>3405</v>
      </c>
      <c r="AI5223" t="s">
        <v>22946</v>
      </c>
      <c t="s">
        <v>45393</v>
      </c>
      <c r="AL5223" t="s">
        <v>62986</v>
      </c>
      <c t="s">
        <v>62986</v>
      </c>
      <c t="s">
        <v>18236</v>
      </c>
      <c t="s">
        <v>62168</v>
      </c>
      <c t="s">
        <v>61280</v>
      </c>
      <c t="s">
        <v>3093</v>
      </c>
      <c t="s">
        <v>29335</v>
      </c>
    </row>
    <row>
      <c t="s">
        <v>17594</v>
      </c>
      <c t="s">
        <v>2460</v>
      </c>
      <c t="s">
        <v>7629</v>
      </c>
      <c t="s">
        <v>14977</v>
      </c>
      <c t="s">
        <v>44437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5224" s="1" t="str">
        <f ca="1">HYPERLINK("https://web.datatree.com/?/property?propertyId=34057078", "https://web.datatree.com/?/property?propertyId=34057078")</f>
        <v>https://web.datatree.com/?/property?propertyId=34057078</v>
      </c>
      <c r="Q5224" t="s">
        <v>316</v>
      </c>
      <c>
        <v>0.233</v>
      </c>
      <c t="s">
        <v>5471</v>
      </c>
      <c t="s">
        <v>30490</v>
      </c>
      <c t="s">
        <v>63344</v>
      </c>
      <c t="s">
        <v>27351</v>
      </c>
      <c t="s">
        <v>63344</v>
      </c>
      <c t="s">
        <v>3427</v>
      </c>
      <c t="s">
        <v>64631</v>
      </c>
      <c t="s">
        <v>65059</v>
      </c>
      <c t="s">
        <v>39289</v>
      </c>
      <c>
        <v>33905</v>
      </c>
      <c t="s">
        <v>45663</v>
      </c>
      <c t="s">
        <v>48794</v>
      </c>
      <c t="s">
        <v>21831</v>
      </c>
      <c>
        <v>191</v>
      </c>
      <c r="AI5224" t="s">
        <v>41126</v>
      </c>
      <c t="s">
        <v>4985</v>
      </c>
      <c r="AL5224" t="s">
        <v>41126</v>
      </c>
      <c t="s">
        <v>41126</v>
      </c>
      <c t="s">
        <v>50917</v>
      </c>
      <c t="s">
        <v>61756</v>
      </c>
      <c t="s">
        <v>19978</v>
      </c>
      <c t="s">
        <v>3093</v>
      </c>
      <c t="s">
        <v>3134</v>
      </c>
    </row>
    <row>
      <c t="s">
        <v>17594</v>
      </c>
      <c t="s">
        <v>58902</v>
      </c>
      <c t="s">
        <v>56129</v>
      </c>
      <c t="s">
        <v>19994</v>
      </c>
      <c t="s">
        <v>41882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5225" s="1" t="str">
        <f ca="1">HYPERLINK("https://web.datatree.com/?/property?propertyId=34057993", "https://web.datatree.com/?/property?propertyId=34057993")</f>
        <v>https://web.datatree.com/?/property?propertyId=34057993</v>
      </c>
      <c r="Q5225" t="s">
        <v>316</v>
      </c>
      <c>
        <v>0.242</v>
      </c>
      <c t="s">
        <v>6175</v>
      </c>
      <c t="s">
        <v>59107</v>
      </c>
      <c t="s">
        <v>19509</v>
      </c>
      <c t="s">
        <v>51891</v>
      </c>
      <c t="s">
        <v>19509</v>
      </c>
      <c t="s">
        <v>5093</v>
      </c>
      <c t="s">
        <v>59763</v>
      </c>
      <c t="s">
        <v>2517</v>
      </c>
      <c t="s">
        <v>39289</v>
      </c>
      <c>
        <v>33909</v>
      </c>
      <c t="s">
        <v>62477</v>
      </c>
      <c t="s">
        <v>48794</v>
      </c>
      <c t="s">
        <v>35814</v>
      </c>
      <c>
        <v>14720</v>
      </c>
      <c r="AI5225" t="s">
        <v>29417</v>
      </c>
      <c t="s">
        <v>41372</v>
      </c>
      <c r="AL5225" t="s">
        <v>2107</v>
      </c>
      <c r="AN5225" t="s">
        <v>51087</v>
      </c>
      <c t="s">
        <v>47344</v>
      </c>
      <c t="s">
        <v>14695</v>
      </c>
      <c t="s">
        <v>3093</v>
      </c>
      <c t="s">
        <v>23315</v>
      </c>
    </row>
    <row>
      <c t="s">
        <v>17594</v>
      </c>
      <c t="s">
        <v>50199</v>
      </c>
      <c t="s">
        <v>52448</v>
      </c>
      <c t="s">
        <v>50340</v>
      </c>
      <c t="s">
        <v>22722</v>
      </c>
      <c s="3">
        <v>12544</v>
      </c>
      <c s="3">
        <v>12544</v>
      </c>
      <c s="3">
        <v>4972</v>
      </c>
      <c>
        <v>0</v>
      </c>
      <c s="3">
        <v>0</v>
      </c>
      <c s="3">
        <v>323.16</v>
      </c>
      <c s="3">
        <v>12544</v>
      </c>
      <c r="O5226" s="1" t="str">
        <f ca="1">HYPERLINK("https://web.datatree.com/?/property?propertyId=34058089", "https://web.datatree.com/?/property?propertyId=34058089")</f>
        <v>https://web.datatree.com/?/property?propertyId=34058089</v>
      </c>
      <c r="Q5226" t="s">
        <v>316</v>
      </c>
      <c>
        <v>0.294</v>
      </c>
      <c t="s">
        <v>5471</v>
      </c>
      <c t="s">
        <v>3293</v>
      </c>
      <c t="s">
        <v>40849</v>
      </c>
      <c t="s">
        <v>773</v>
      </c>
      <c t="s">
        <v>40849</v>
      </c>
      <c t="s">
        <v>24989</v>
      </c>
      <c t="s">
        <v>23113</v>
      </c>
      <c t="s">
        <v>65059</v>
      </c>
      <c t="s">
        <v>39289</v>
      </c>
      <c>
        <v>33905</v>
      </c>
      <c t="s">
        <v>44733</v>
      </c>
      <c t="s">
        <v>48794</v>
      </c>
      <c t="s">
        <v>5942</v>
      </c>
      <c>
        <v>8615</v>
      </c>
      <c r="AI5226" t="s">
        <v>30869</v>
      </c>
      <c t="s">
        <v>45620</v>
      </c>
      <c r="AL5226" t="s">
        <v>8628</v>
      </c>
      <c r="AN5226" t="s">
        <v>39289</v>
      </c>
      <c t="s">
        <v>4706</v>
      </c>
      <c t="s">
        <v>57964</v>
      </c>
      <c t="s">
        <v>3093</v>
      </c>
      <c t="s">
        <v>8482</v>
      </c>
    </row>
    <row>
      <c t="s">
        <v>17594</v>
      </c>
      <c t="s">
        <v>15821</v>
      </c>
      <c t="s">
        <v>5698</v>
      </c>
      <c t="s">
        <v>33314</v>
      </c>
      <c t="s">
        <v>206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227" s="1" t="str">
        <f ca="1">HYPERLINK("https://web.datatree.com/?/property?propertyId=34058597", "https://web.datatree.com/?/property?propertyId=34058597")</f>
        <v>https://web.datatree.com/?/property?propertyId=34058597</v>
      </c>
      <c r="Q5227" t="s">
        <v>316</v>
      </c>
      <c>
        <v>0.23</v>
      </c>
      <c t="s">
        <v>22490</v>
      </c>
      <c t="s">
        <v>9870</v>
      </c>
      <c t="s">
        <v>45327</v>
      </c>
      <c t="s">
        <v>7527</v>
      </c>
      <c t="s">
        <v>45327</v>
      </c>
      <c t="s">
        <v>1372</v>
      </c>
      <c t="s">
        <v>24999</v>
      </c>
      <c t="s">
        <v>2517</v>
      </c>
      <c t="s">
        <v>39289</v>
      </c>
      <c>
        <v>33909</v>
      </c>
      <c t="s">
        <v>54711</v>
      </c>
      <c t="s">
        <v>48794</v>
      </c>
      <c t="s">
        <v>31978</v>
      </c>
      <c>
        <v>4</v>
      </c>
      <c r="AI5227" t="s">
        <v>36444</v>
      </c>
      <c r="AL5227" t="s">
        <v>2896</v>
      </c>
      <c r="AN5227" t="s">
        <v>32840</v>
      </c>
      <c r="AR5227" t="s">
        <v>6819</v>
      </c>
    </row>
    <row>
      <c t="s">
        <v>17594</v>
      </c>
      <c t="s">
        <v>66653</v>
      </c>
      <c t="s">
        <v>17888</v>
      </c>
      <c t="s">
        <v>56154</v>
      </c>
      <c t="s">
        <v>50522</v>
      </c>
      <c s="3">
        <v>7500</v>
      </c>
      <c s="3">
        <v>7500</v>
      </c>
      <c s="3">
        <v>7500</v>
      </c>
      <c>
        <v>0</v>
      </c>
      <c s="3">
        <v>0</v>
      </c>
      <c s="3">
        <v>550.69</v>
      </c>
      <c s="3">
        <v>7500</v>
      </c>
      <c r="O5228" s="1" t="str">
        <f ca="1">HYPERLINK("https://web.datatree.com/?/property?propertyId=34059970", "https://web.datatree.com/?/property?propertyId=34059970")</f>
        <v>https://web.datatree.com/?/property?propertyId=34059970</v>
      </c>
      <c r="Q5228" t="s">
        <v>316</v>
      </c>
      <c>
        <v>0.244</v>
      </c>
      <c t="s">
        <v>6175</v>
      </c>
      <c t="s">
        <v>26069</v>
      </c>
      <c t="s">
        <v>42032</v>
      </c>
      <c r="X5228" t="s">
        <v>28256</v>
      </c>
      <c t="s">
        <v>33335</v>
      </c>
      <c t="s">
        <v>2517</v>
      </c>
      <c t="s">
        <v>39289</v>
      </c>
      <c>
        <v>33909</v>
      </c>
      <c t="s">
        <v>19404</v>
      </c>
      <c t="s">
        <v>48794</v>
      </c>
      <c t="s">
        <v>51633</v>
      </c>
      <c>
        <v>6330</v>
      </c>
      <c r="AI5228" t="s">
        <v>38847</v>
      </c>
      <c t="s">
        <v>55842</v>
      </c>
      <c r="AL5228" t="s">
        <v>26544</v>
      </c>
      <c t="s">
        <v>26544</v>
      </c>
      <c t="s">
        <v>50917</v>
      </c>
      <c t="s">
        <v>11987</v>
      </c>
      <c t="s">
        <v>35354</v>
      </c>
      <c t="s">
        <v>3093</v>
      </c>
      <c t="s">
        <v>21918</v>
      </c>
    </row>
    <row>
      <c t="s">
        <v>17594</v>
      </c>
      <c t="s">
        <v>6067</v>
      </c>
      <c t="s">
        <v>34020</v>
      </c>
      <c t="s">
        <v>57284</v>
      </c>
      <c t="s">
        <v>17223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229" s="1" t="str">
        <f ca="1">HYPERLINK("https://web.datatree.com/?/property?propertyId=34060171", "https://web.datatree.com/?/property?propertyId=34060171")</f>
        <v>https://web.datatree.com/?/property?propertyId=34060171</v>
      </c>
      <c r="Q5229" t="s">
        <v>316</v>
      </c>
      <c>
        <v>0.23</v>
      </c>
      <c t="s">
        <v>6175</v>
      </c>
      <c t="s">
        <v>16200</v>
      </c>
      <c t="s">
        <v>9893</v>
      </c>
      <c t="s">
        <v>48615</v>
      </c>
      <c t="s">
        <v>9893</v>
      </c>
      <c t="s">
        <v>11027</v>
      </c>
      <c t="s">
        <v>30928</v>
      </c>
      <c t="s">
        <v>2517</v>
      </c>
      <c t="s">
        <v>39289</v>
      </c>
      <c>
        <v>33909</v>
      </c>
      <c t="s">
        <v>2117</v>
      </c>
      <c t="s">
        <v>48794</v>
      </c>
      <c t="s">
        <v>32080</v>
      </c>
      <c>
        <v>5733</v>
      </c>
      <c r="AI5229" t="s">
        <v>64561</v>
      </c>
      <c t="s">
        <v>45620</v>
      </c>
      <c r="AL5229" t="s">
        <v>42114</v>
      </c>
      <c r="AN5229" t="s">
        <v>65467</v>
      </c>
      <c t="s">
        <v>22153</v>
      </c>
      <c t="s">
        <v>53655</v>
      </c>
      <c t="s">
        <v>3093</v>
      </c>
      <c t="s">
        <v>20986</v>
      </c>
    </row>
    <row>
      <c t="s">
        <v>17594</v>
      </c>
      <c t="s">
        <v>62774</v>
      </c>
      <c t="s">
        <v>23227</v>
      </c>
      <c t="s">
        <v>52151</v>
      </c>
      <c t="s">
        <v>36583</v>
      </c>
      <c s="3">
        <v>8100</v>
      </c>
      <c s="3">
        <v>8100</v>
      </c>
      <c s="3">
        <v>8100</v>
      </c>
      <c>
        <v>0</v>
      </c>
      <c s="3">
        <v>0</v>
      </c>
      <c s="3">
        <v>639.09</v>
      </c>
      <c s="3">
        <v>8100</v>
      </c>
      <c r="O5230" s="1" t="str">
        <f ca="1">HYPERLINK("https://web.datatree.com/?/property?propertyId=34060611", "https://web.datatree.com/?/property?propertyId=34060611")</f>
        <v>https://web.datatree.com/?/property?propertyId=34060611</v>
      </c>
      <c r="Q5230" t="s">
        <v>316</v>
      </c>
      <c>
        <v>0.329</v>
      </c>
      <c t="s">
        <v>6175</v>
      </c>
      <c t="s">
        <v>3165</v>
      </c>
      <c t="s">
        <v>28968</v>
      </c>
      <c r="X5230" t="s">
        <v>52706</v>
      </c>
      <c t="s">
        <v>8669</v>
      </c>
      <c t="s">
        <v>2517</v>
      </c>
      <c t="s">
        <v>39289</v>
      </c>
      <c>
        <v>33909</v>
      </c>
      <c>
        <v>33909</v>
      </c>
      <c t="s">
        <v>48794</v>
      </c>
      <c t="s">
        <v>18831</v>
      </c>
      <c>
        <v>3674</v>
      </c>
      <c r="AI5230" t="s">
        <v>5115</v>
      </c>
      <c t="s">
        <v>45393</v>
      </c>
      <c r="AL5230" t="s">
        <v>55393</v>
      </c>
      <c t="s">
        <v>55393</v>
      </c>
      <c t="s">
        <v>39289</v>
      </c>
      <c t="s">
        <v>12758</v>
      </c>
      <c t="s">
        <v>27780</v>
      </c>
      <c t="s">
        <v>3093</v>
      </c>
      <c t="s">
        <v>47654</v>
      </c>
    </row>
    <row>
      <c t="s">
        <v>17594</v>
      </c>
      <c t="s">
        <v>47123</v>
      </c>
      <c t="s">
        <v>16295</v>
      </c>
      <c t="s">
        <v>58974</v>
      </c>
      <c t="s">
        <v>48863</v>
      </c>
      <c s="3">
        <v>7700</v>
      </c>
      <c s="3">
        <v>7700</v>
      </c>
      <c s="3">
        <v>7700</v>
      </c>
      <c>
        <v>0</v>
      </c>
      <c s="3">
        <v>0</v>
      </c>
      <c s="3">
        <v>580.33</v>
      </c>
      <c s="3">
        <v>7700</v>
      </c>
      <c r="O5231" s="1" t="str">
        <f ca="1">HYPERLINK("https://web.datatree.com/?/property?propertyId=34061251", "https://web.datatree.com/?/property?propertyId=34061251")</f>
        <v>https://web.datatree.com/?/property?propertyId=34061251</v>
      </c>
      <c r="Q5231" t="s">
        <v>316</v>
      </c>
      <c>
        <v>0.247</v>
      </c>
      <c t="s">
        <v>6175</v>
      </c>
      <c t="s">
        <v>58113</v>
      </c>
      <c t="s">
        <v>819</v>
      </c>
      <c t="s">
        <v>52045</v>
      </c>
      <c t="s">
        <v>819</v>
      </c>
      <c t="s">
        <v>9372</v>
      </c>
      <c t="s">
        <v>53663</v>
      </c>
      <c t="s">
        <v>2517</v>
      </c>
      <c t="s">
        <v>39289</v>
      </c>
      <c>
        <v>33909</v>
      </c>
      <c t="s">
        <v>60714</v>
      </c>
      <c t="s">
        <v>48794</v>
      </c>
      <c t="s">
        <v>5108</v>
      </c>
      <c t="s">
        <v>3257</v>
      </c>
      <c r="AI5231" t="s">
        <v>25450</v>
      </c>
      <c t="s">
        <v>45620</v>
      </c>
      <c r="AL5231" t="s">
        <v>12883</v>
      </c>
      <c r="AN5231" t="s">
        <v>27481</v>
      </c>
      <c t="s">
        <v>4683</v>
      </c>
      <c t="s">
        <v>35070</v>
      </c>
      <c t="s">
        <v>3093</v>
      </c>
      <c t="s">
        <v>58096</v>
      </c>
    </row>
    <row>
      <c t="s">
        <v>17594</v>
      </c>
      <c t="s">
        <v>13102</v>
      </c>
      <c t="s">
        <v>3324</v>
      </c>
      <c t="s">
        <v>3513</v>
      </c>
      <c t="s">
        <v>56339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5232" s="1" t="str">
        <f ca="1">HYPERLINK("https://web.datatree.com/?/property?propertyId=34061296", "https://web.datatree.com/?/property?propertyId=34061296")</f>
        <v>https://web.datatree.com/?/property?propertyId=34061296</v>
      </c>
      <c r="Q5232" t="s">
        <v>316</v>
      </c>
      <c>
        <v>0.23</v>
      </c>
      <c t="s">
        <v>22490</v>
      </c>
      <c t="s">
        <v>552</v>
      </c>
      <c t="s">
        <v>45531</v>
      </c>
      <c t="s">
        <v>43773</v>
      </c>
      <c t="s">
        <v>45531</v>
      </c>
      <c t="s">
        <v>48788</v>
      </c>
      <c t="s">
        <v>22731</v>
      </c>
      <c t="s">
        <v>2517</v>
      </c>
      <c t="s">
        <v>39289</v>
      </c>
      <c>
        <v>33909</v>
      </c>
      <c t="s">
        <v>15810</v>
      </c>
      <c t="s">
        <v>48794</v>
      </c>
      <c t="s">
        <v>54115</v>
      </c>
      <c>
        <v>2451</v>
      </c>
      <c r="AI5232" t="s">
        <v>66056</v>
      </c>
      <c t="s">
        <v>45393</v>
      </c>
      <c r="AL5232" t="s">
        <v>8109</v>
      </c>
      <c t="s">
        <v>13397</v>
      </c>
      <c t="s">
        <v>50917</v>
      </c>
      <c t="s">
        <v>22113</v>
      </c>
      <c t="s">
        <v>39331</v>
      </c>
      <c t="s">
        <v>3093</v>
      </c>
      <c t="s">
        <v>53769</v>
      </c>
    </row>
    <row>
      <c t="s">
        <v>17594</v>
      </c>
      <c t="s">
        <v>11197</v>
      </c>
      <c t="s">
        <v>67145</v>
      </c>
      <c t="s">
        <v>49995</v>
      </c>
      <c t="s">
        <v>4488</v>
      </c>
      <c s="3">
        <v>30525</v>
      </c>
      <c s="3">
        <v>30525</v>
      </c>
      <c s="3">
        <v>30525</v>
      </c>
      <c>
        <v>0</v>
      </c>
      <c s="3">
        <v>0</v>
      </c>
      <c s="3">
        <v>435.33</v>
      </c>
      <c s="3">
        <v>30525</v>
      </c>
      <c r="O5233" s="1" t="str">
        <f ca="1">HYPERLINK("https://web.datatree.com/?/property?propertyId=34061539", "https://web.datatree.com/?/property?propertyId=34061539")</f>
        <v>https://web.datatree.com/?/property?propertyId=34061539</v>
      </c>
      <c r="Q5233" t="s">
        <v>316</v>
      </c>
      <c>
        <v>0.142</v>
      </c>
      <c t="s">
        <v>23582</v>
      </c>
      <c t="s">
        <v>41303</v>
      </c>
      <c t="s">
        <v>66138</v>
      </c>
      <c t="s">
        <v>48615</v>
      </c>
      <c t="s">
        <v>66138</v>
      </c>
      <c t="s">
        <v>61581</v>
      </c>
      <c t="s">
        <v>47160</v>
      </c>
      <c t="s">
        <v>65059</v>
      </c>
      <c t="s">
        <v>39289</v>
      </c>
      <c>
        <v>33908</v>
      </c>
      <c t="s">
        <v>32981</v>
      </c>
      <c t="s">
        <v>48794</v>
      </c>
      <c t="s">
        <v>20028</v>
      </c>
      <c>
        <v>16100</v>
      </c>
      <c r="AI5233" t="s">
        <v>35628</v>
      </c>
      <c t="s">
        <v>60842</v>
      </c>
      <c r="AL5233" t="s">
        <v>65059</v>
      </c>
      <c t="s">
        <v>33154</v>
      </c>
      <c t="s">
        <v>39289</v>
      </c>
      <c t="s">
        <v>7164</v>
      </c>
      <c t="s">
        <v>61410</v>
      </c>
      <c t="s">
        <v>3093</v>
      </c>
      <c t="s">
        <v>36137</v>
      </c>
    </row>
    <row>
      <c t="s">
        <v>17594</v>
      </c>
      <c t="s">
        <v>64258</v>
      </c>
      <c s="7" t="s">
        <v>56951</v>
      </c>
      <c t="s">
        <v>38163</v>
      </c>
      <c t="s">
        <v>53425</v>
      </c>
      <c s="3">
        <v>51680</v>
      </c>
      <c s="3">
        <v>51680</v>
      </c>
      <c s="3">
        <v>51680</v>
      </c>
      <c>
        <v>0</v>
      </c>
      <c s="3">
        <v>0</v>
      </c>
      <c s="3">
        <v>1229.44</v>
      </c>
      <c s="3">
        <v>51680</v>
      </c>
      <c r="O5234" s="1" t="str">
        <f ca="1">HYPERLINK("https://web.datatree.com/?/property?propertyId=34061609", "https://web.datatree.com/?/property?propertyId=34061609")</f>
        <v>https://web.datatree.com/?/property?propertyId=34061609</v>
      </c>
      <c r="Q5234" t="s">
        <v>316</v>
      </c>
      <c>
        <v>0.23</v>
      </c>
      <c t="s">
        <v>6175</v>
      </c>
      <c t="s">
        <v>58276</v>
      </c>
      <c t="s">
        <v>47909</v>
      </c>
      <c r="X5234" t="s">
        <v>45872</v>
      </c>
      <c t="s">
        <v>32788</v>
      </c>
      <c t="s">
        <v>2517</v>
      </c>
      <c t="s">
        <v>39289</v>
      </c>
      <c>
        <v>33904</v>
      </c>
      <c t="s">
        <v>40689</v>
      </c>
      <c t="s">
        <v>48794</v>
      </c>
      <c t="s">
        <v>15136</v>
      </c>
      <c>
        <v>11</v>
      </c>
      <c r="AI5234" t="s">
        <v>17594</v>
      </c>
      <c r="AL5234" t="s">
        <v>31089</v>
      </c>
      <c r="AN5234" t="s">
        <v>63985</v>
      </c>
      <c>
        <v>91083</v>
      </c>
      <c r="AR5234" s="7">
        <v>0.45833333333333331</v>
      </c>
    </row>
    <row>
      <c t="s">
        <v>17594</v>
      </c>
      <c t="s">
        <v>48659</v>
      </c>
      <c t="s">
        <v>43900</v>
      </c>
      <c t="s">
        <v>7300</v>
      </c>
      <c t="s">
        <v>44499</v>
      </c>
      <c s="3">
        <v>15788</v>
      </c>
      <c s="3">
        <v>15788</v>
      </c>
      <c s="3">
        <v>8250</v>
      </c>
      <c>
        <v>0</v>
      </c>
      <c s="3">
        <v>0</v>
      </c>
      <c s="3">
        <v>568.23</v>
      </c>
      <c s="3">
        <v>15788</v>
      </c>
      <c r="O5235" s="1" t="str">
        <f ca="1">HYPERLINK("https://web.datatree.com/?/property?propertyId=34061762", "https://web.datatree.com/?/property?propertyId=34061762")</f>
        <v>https://web.datatree.com/?/property?propertyId=34061762</v>
      </c>
      <c r="Q5235" t="s">
        <v>316</v>
      </c>
      <c>
        <v>0.256</v>
      </c>
      <c t="s">
        <v>6175</v>
      </c>
      <c t="s">
        <v>39139</v>
      </c>
      <c t="s">
        <v>22125</v>
      </c>
      <c r="X5235" t="s">
        <v>32729</v>
      </c>
      <c t="s">
        <v>2626</v>
      </c>
      <c t="s">
        <v>2517</v>
      </c>
      <c t="s">
        <v>39289</v>
      </c>
      <c>
        <v>33909</v>
      </c>
      <c t="s">
        <v>38600</v>
      </c>
      <c t="s">
        <v>48794</v>
      </c>
      <c t="s">
        <v>30252</v>
      </c>
      <c>
        <v>8911</v>
      </c>
      <c r="AI5235" t="s">
        <v>52851</v>
      </c>
      <c t="s">
        <v>31192</v>
      </c>
      <c r="AL5235" t="s">
        <v>6913</v>
      </c>
      <c t="s">
        <v>6913</v>
      </c>
      <c t="s">
        <v>65467</v>
      </c>
      <c t="s">
        <v>46591</v>
      </c>
      <c t="s">
        <v>27410</v>
      </c>
      <c t="s">
        <v>3093</v>
      </c>
      <c t="s">
        <v>37393</v>
      </c>
    </row>
    <row>
      <c t="s">
        <v>17594</v>
      </c>
      <c t="s">
        <v>21213</v>
      </c>
      <c t="s">
        <v>5109</v>
      </c>
      <c t="s">
        <v>11757</v>
      </c>
      <c t="s">
        <v>60865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236" s="1" t="str">
        <f ca="1">HYPERLINK("https://web.datatree.com/?/property?propertyId=34062287", "https://web.datatree.com/?/property?propertyId=34062287")</f>
        <v>https://web.datatree.com/?/property?propertyId=34062287</v>
      </c>
      <c r="Q5236" t="s">
        <v>316</v>
      </c>
      <c>
        <v>0.23</v>
      </c>
      <c t="s">
        <v>22490</v>
      </c>
      <c r="U5236" t="s">
        <v>44268</v>
      </c>
      <c r="W5236" t="s">
        <v>60706</v>
      </c>
      <c t="s">
        <v>35393</v>
      </c>
      <c t="s">
        <v>34136</v>
      </c>
      <c t="s">
        <v>2517</v>
      </c>
      <c t="s">
        <v>39289</v>
      </c>
      <c>
        <v>33909</v>
      </c>
      <c t="s">
        <v>20488</v>
      </c>
      <c t="s">
        <v>48794</v>
      </c>
      <c t="s">
        <v>21085</v>
      </c>
      <c>
        <v>1906</v>
      </c>
      <c r="AI5236" t="s">
        <v>25465</v>
      </c>
      <c t="s">
        <v>31192</v>
      </c>
      <c r="AL5236" t="s">
        <v>19225</v>
      </c>
      <c r="AN5236" t="s">
        <v>19878</v>
      </c>
      <c t="s">
        <v>17560</v>
      </c>
      <c t="s">
        <v>5652</v>
      </c>
      <c t="s">
        <v>3093</v>
      </c>
      <c t="s">
        <v>31529</v>
      </c>
    </row>
    <row>
      <c t="s">
        <v>17594</v>
      </c>
      <c t="s">
        <v>26373</v>
      </c>
      <c t="s">
        <v>9384</v>
      </c>
      <c t="s">
        <v>36818</v>
      </c>
      <c t="s">
        <v>19627</v>
      </c>
      <c s="3">
        <v>8500</v>
      </c>
      <c s="3">
        <v>8500</v>
      </c>
      <c s="3">
        <v>8500</v>
      </c>
      <c>
        <v>0</v>
      </c>
      <c s="3">
        <v>0</v>
      </c>
      <c s="3">
        <v>576.1</v>
      </c>
      <c s="3">
        <v>8500</v>
      </c>
      <c>
        <v>2021</v>
      </c>
      <c>
        <v>601.82</v>
      </c>
      <c s="1" t="str">
        <f ca="1">HYPERLINK("https://web.datatree.com/?/property?propertyId=34062636", "https://web.datatree.com/?/property?propertyId=34062636")</f>
        <v>https://web.datatree.com/?/property?propertyId=34062636</v>
      </c>
      <c r="Q5237" t="s">
        <v>316</v>
      </c>
      <c>
        <v>0.23</v>
      </c>
      <c t="s">
        <v>6175</v>
      </c>
      <c r="U5237" t="s">
        <v>855</v>
      </c>
      <c t="s">
        <v>48615</v>
      </c>
      <c t="s">
        <v>55423</v>
      </c>
      <c t="s">
        <v>23902</v>
      </c>
      <c t="s">
        <v>39082</v>
      </c>
      <c t="s">
        <v>2517</v>
      </c>
      <c t="s">
        <v>39289</v>
      </c>
      <c>
        <v>33909</v>
      </c>
      <c t="s">
        <v>56192</v>
      </c>
      <c t="s">
        <v>48794</v>
      </c>
      <c t="s">
        <v>64073</v>
      </c>
      <c>
        <v>420</v>
      </c>
      <c r="AI5237" t="s">
        <v>62380</v>
      </c>
      <c t="s">
        <v>24900</v>
      </c>
      <c r="AL5237" t="s">
        <v>41103</v>
      </c>
      <c r="AN5237" t="s">
        <v>39289</v>
      </c>
      <c t="s">
        <v>21766</v>
      </c>
      <c t="s">
        <v>25140</v>
      </c>
      <c t="s">
        <v>3093</v>
      </c>
      <c t="s">
        <v>29035</v>
      </c>
    </row>
    <row>
      <c t="s">
        <v>17594</v>
      </c>
      <c t="s">
        <v>19468</v>
      </c>
      <c t="s">
        <v>41014</v>
      </c>
      <c t="s">
        <v>16742</v>
      </c>
      <c t="s">
        <v>65272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5238" s="1" t="str">
        <f ca="1">HYPERLINK("https://web.datatree.com/?/property?propertyId=34062718", "https://web.datatree.com/?/property?propertyId=34062718")</f>
        <v>https://web.datatree.com/?/property?propertyId=34062718</v>
      </c>
      <c r="Q5238" t="s">
        <v>316</v>
      </c>
      <c>
        <v>0.23</v>
      </c>
      <c t="s">
        <v>45031</v>
      </c>
      <c t="s">
        <v>50768</v>
      </c>
      <c t="s">
        <v>24242</v>
      </c>
      <c r="X5238" t="s">
        <v>46044</v>
      </c>
      <c t="s">
        <v>30928</v>
      </c>
      <c t="s">
        <v>2517</v>
      </c>
      <c t="s">
        <v>39289</v>
      </c>
      <c>
        <v>33909</v>
      </c>
      <c t="s">
        <v>38928</v>
      </c>
      <c t="s">
        <v>48794</v>
      </c>
      <c t="s">
        <v>43693</v>
      </c>
      <c>
        <v>10</v>
      </c>
      <c r="AI5238" t="s">
        <v>13989</v>
      </c>
      <c t="s">
        <v>45393</v>
      </c>
      <c r="AL5238" t="s">
        <v>42449</v>
      </c>
      <c r="AN5238" t="s">
        <v>26016</v>
      </c>
      <c t="s">
        <v>7619</v>
      </c>
      <c t="s">
        <v>14695</v>
      </c>
      <c t="s">
        <v>3093</v>
      </c>
      <c t="s">
        <v>10837</v>
      </c>
    </row>
    <row>
      <c t="s">
        <v>17594</v>
      </c>
      <c t="s">
        <v>26582</v>
      </c>
      <c t="s">
        <v>16906</v>
      </c>
      <c t="s">
        <v>21216</v>
      </c>
      <c t="s">
        <v>32177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 r="O5239" s="1" t="str">
        <f ca="1">HYPERLINK("https://web.datatree.com/?/property?propertyId=34063065", "https://web.datatree.com/?/property?propertyId=34063065")</f>
        <v>https://web.datatree.com/?/property?propertyId=34063065</v>
      </c>
      <c r="Q5239" t="s">
        <v>316</v>
      </c>
      <c>
        <v>0.244</v>
      </c>
      <c t="s">
        <v>6175</v>
      </c>
      <c t="s">
        <v>52701</v>
      </c>
      <c t="s">
        <v>6871</v>
      </c>
      <c r="X5239" t="s">
        <v>46509</v>
      </c>
      <c t="s">
        <v>34731</v>
      </c>
      <c t="s">
        <v>2517</v>
      </c>
      <c t="s">
        <v>39289</v>
      </c>
      <c>
        <v>33909</v>
      </c>
      <c t="s">
        <v>17479</v>
      </c>
      <c t="s">
        <v>48794</v>
      </c>
      <c t="s">
        <v>7846</v>
      </c>
      <c>
        <v>6515</v>
      </c>
      <c r="AI5239" t="s">
        <v>7594</v>
      </c>
      <c t="s">
        <v>24900</v>
      </c>
      <c t="s">
        <v>66396</v>
      </c>
      <c t="s">
        <v>38842</v>
      </c>
      <c r="AN5239" t="s">
        <v>50917</v>
      </c>
      <c t="s">
        <v>59278</v>
      </c>
      <c t="s">
        <v>17380</v>
      </c>
      <c t="s">
        <v>3093</v>
      </c>
      <c t="s">
        <v>46932</v>
      </c>
    </row>
    <row>
      <c t="s">
        <v>17594</v>
      </c>
      <c t="s">
        <v>14324</v>
      </c>
      <c t="s">
        <v>24199</v>
      </c>
      <c t="s">
        <v>29867</v>
      </c>
      <c t="s">
        <v>9740</v>
      </c>
      <c s="3">
        <v>25672</v>
      </c>
      <c s="3">
        <v>25672</v>
      </c>
      <c s="3">
        <v>11550</v>
      </c>
      <c>
        <v>0</v>
      </c>
      <c s="3">
        <v>0</v>
      </c>
      <c s="3">
        <v>686.59</v>
      </c>
      <c s="3">
        <v>25672</v>
      </c>
      <c r="O5240" s="1" t="str">
        <f ca="1">HYPERLINK("https://web.datatree.com/?/property?propertyId=34063963", "https://web.datatree.com/?/property?propertyId=34063963")</f>
        <v>https://web.datatree.com/?/property?propertyId=34063963</v>
      </c>
      <c r="Q5240" t="s">
        <v>316</v>
      </c>
      <c>
        <v>0.299</v>
      </c>
      <c t="s">
        <v>22490</v>
      </c>
      <c r="U5240" t="s">
        <v>31981</v>
      </c>
      <c r="W5240" t="s">
        <v>22168</v>
      </c>
      <c t="s">
        <v>30954</v>
      </c>
      <c t="s">
        <v>22731</v>
      </c>
      <c t="s">
        <v>2517</v>
      </c>
      <c t="s">
        <v>39289</v>
      </c>
      <c>
        <v>33909</v>
      </c>
      <c t="s">
        <v>56221</v>
      </c>
      <c t="s">
        <v>48794</v>
      </c>
      <c t="s">
        <v>7529</v>
      </c>
      <c>
        <v>523</v>
      </c>
      <c r="AI5240" t="s">
        <v>17942</v>
      </c>
      <c t="s">
        <v>55842</v>
      </c>
      <c r="AL5240" t="s">
        <v>56997</v>
      </c>
      <c t="s">
        <v>56997</v>
      </c>
      <c t="s">
        <v>27481</v>
      </c>
      <c t="s">
        <v>4550</v>
      </c>
      <c t="s">
        <v>60160</v>
      </c>
      <c t="s">
        <v>3093</v>
      </c>
      <c t="s">
        <v>9814</v>
      </c>
    </row>
    <row>
      <c t="s">
        <v>17594</v>
      </c>
      <c t="s">
        <v>49633</v>
      </c>
      <c t="s">
        <v>45178</v>
      </c>
      <c t="s">
        <v>30858</v>
      </c>
      <c t="s">
        <v>38036</v>
      </c>
      <c s="3">
        <v>24937</v>
      </c>
      <c s="3">
        <v>24937</v>
      </c>
      <c s="3">
        <v>9438</v>
      </c>
      <c>
        <v>0</v>
      </c>
      <c s="3">
        <v>0</v>
      </c>
      <c s="3">
        <v>2944.97</v>
      </c>
      <c s="3">
        <v>24937</v>
      </c>
      <c r="O5241" s="1" t="str">
        <f ca="1">HYPERLINK("https://web.datatree.com/?/property?propertyId=34064160", "https://web.datatree.com/?/property?propertyId=34064160")</f>
        <v>https://web.datatree.com/?/property?propertyId=34064160</v>
      </c>
      <c r="Q5241" t="s">
        <v>316</v>
      </c>
      <c>
        <v>0.236</v>
      </c>
      <c t="s">
        <v>6175</v>
      </c>
      <c r="U5241" t="s">
        <v>5454</v>
      </c>
      <c r="X5241" t="s">
        <v>66832</v>
      </c>
      <c t="s">
        <v>66701</v>
      </c>
      <c t="s">
        <v>2517</v>
      </c>
      <c t="s">
        <v>39289</v>
      </c>
      <c>
        <v>33909</v>
      </c>
      <c t="s">
        <v>19543</v>
      </c>
      <c t="s">
        <v>48794</v>
      </c>
      <c t="s">
        <v>47065</v>
      </c>
      <c>
        <v>500</v>
      </c>
      <c r="AI5241" t="s">
        <v>63761</v>
      </c>
      <c t="s">
        <v>4985</v>
      </c>
      <c>
        <v>15</v>
      </c>
      <c t="s">
        <v>33214</v>
      </c>
      <c t="s">
        <v>33214</v>
      </c>
      <c t="s">
        <v>39289</v>
      </c>
      <c t="s">
        <v>31287</v>
      </c>
      <c t="s">
        <v>27780</v>
      </c>
      <c t="s">
        <v>3093</v>
      </c>
      <c t="s">
        <v>56515</v>
      </c>
    </row>
    <row>
      <c t="s">
        <v>17594</v>
      </c>
      <c t="s">
        <v>12311</v>
      </c>
      <c t="s">
        <v>48998</v>
      </c>
      <c t="s">
        <v>23459</v>
      </c>
      <c t="s">
        <v>55009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242" s="1" t="str">
        <f ca="1">HYPERLINK("https://web.datatree.com/?/property?propertyId=34064435", "https://web.datatree.com/?/property?propertyId=34064435")</f>
        <v>https://web.datatree.com/?/property?propertyId=34064435</v>
      </c>
      <c r="Q5242" t="s">
        <v>316</v>
      </c>
      <c>
        <v>0.23</v>
      </c>
      <c t="s">
        <v>6175</v>
      </c>
      <c t="s">
        <v>30089</v>
      </c>
      <c t="s">
        <v>39982</v>
      </c>
      <c r="X5242" t="s">
        <v>56158</v>
      </c>
      <c t="s">
        <v>24999</v>
      </c>
      <c t="s">
        <v>2517</v>
      </c>
      <c t="s">
        <v>39289</v>
      </c>
      <c>
        <v>33909</v>
      </c>
      <c t="s">
        <v>61205</v>
      </c>
      <c t="s">
        <v>48794</v>
      </c>
      <c t="s">
        <v>30416</v>
      </c>
      <c>
        <v>4544</v>
      </c>
      <c r="AI5242" t="s">
        <v>42725</v>
      </c>
      <c t="s">
        <v>41372</v>
      </c>
      <c r="AL5242" t="s">
        <v>55393</v>
      </c>
      <c r="AN5242" t="s">
        <v>39289</v>
      </c>
      <c t="s">
        <v>53133</v>
      </c>
      <c t="s">
        <v>41946</v>
      </c>
      <c t="s">
        <v>3093</v>
      </c>
      <c t="s">
        <v>4746</v>
      </c>
    </row>
    <row>
      <c t="s">
        <v>17594</v>
      </c>
      <c t="s">
        <v>63302</v>
      </c>
      <c t="s">
        <v>57835</v>
      </c>
      <c t="s">
        <v>66415</v>
      </c>
      <c t="s">
        <v>11092</v>
      </c>
      <c s="3">
        <v>41290</v>
      </c>
      <c s="3">
        <v>41290</v>
      </c>
      <c s="3">
        <v>17050</v>
      </c>
      <c>
        <v>0</v>
      </c>
      <c s="3">
        <v>0</v>
      </c>
      <c s="3">
        <v>764.36</v>
      </c>
      <c s="3">
        <v>41290</v>
      </c>
      <c r="O5243" s="1" t="str">
        <f ca="1">HYPERLINK("https://web.datatree.com/?/property?propertyId=34064969", "https://web.datatree.com/?/property?propertyId=34064969")</f>
        <v>https://web.datatree.com/?/property?propertyId=34064969</v>
      </c>
      <c r="Q5243" t="s">
        <v>316</v>
      </c>
      <c>
        <v>0.23</v>
      </c>
      <c t="s">
        <v>22490</v>
      </c>
      <c t="s">
        <v>64649</v>
      </c>
      <c t="s">
        <v>5655</v>
      </c>
      <c r="X5243" t="s">
        <v>54960</v>
      </c>
      <c t="s">
        <v>38550</v>
      </c>
      <c t="s">
        <v>2517</v>
      </c>
      <c t="s">
        <v>39289</v>
      </c>
      <c>
        <v>33909</v>
      </c>
      <c t="s">
        <v>4887</v>
      </c>
      <c t="s">
        <v>48794</v>
      </c>
      <c t="s">
        <v>27998</v>
      </c>
      <c>
        <v>1040</v>
      </c>
      <c r="AI5243" t="s">
        <v>57392</v>
      </c>
      <c t="s">
        <v>45620</v>
      </c>
      <c r="AL5243" t="s">
        <v>44657</v>
      </c>
      <c r="AN5243" t="s">
        <v>50917</v>
      </c>
      <c t="s">
        <v>60707</v>
      </c>
      <c t="s">
        <v>14695</v>
      </c>
      <c t="s">
        <v>3093</v>
      </c>
      <c t="s">
        <v>27894</v>
      </c>
    </row>
    <row>
      <c t="s">
        <v>17594</v>
      </c>
      <c t="s">
        <v>53240</v>
      </c>
      <c t="s">
        <v>48158</v>
      </c>
      <c t="s">
        <v>31860</v>
      </c>
      <c t="s">
        <v>61351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5244" s="1" t="str">
        <f ca="1">HYPERLINK("https://web.datatree.com/?/property?propertyId=34065716", "https://web.datatree.com/?/property?propertyId=34065716")</f>
        <v>https://web.datatree.com/?/property?propertyId=34065716</v>
      </c>
      <c r="Q5244" t="s">
        <v>316</v>
      </c>
      <c>
        <v>0.23</v>
      </c>
      <c t="s">
        <v>22490</v>
      </c>
      <c r="U5244" t="s">
        <v>39640</v>
      </c>
      <c r="W5244" t="s">
        <v>41229</v>
      </c>
      <c t="s">
        <v>46375</v>
      </c>
      <c t="s">
        <v>34136</v>
      </c>
      <c t="s">
        <v>2517</v>
      </c>
      <c t="s">
        <v>39289</v>
      </c>
      <c>
        <v>33909</v>
      </c>
      <c t="s">
        <v>374</v>
      </c>
      <c t="s">
        <v>48794</v>
      </c>
      <c t="s">
        <v>55957</v>
      </c>
      <c>
        <v>2305</v>
      </c>
      <c r="AI5244" t="s">
        <v>18719</v>
      </c>
      <c t="s">
        <v>45393</v>
      </c>
      <c r="AL5244" t="s">
        <v>33855</v>
      </c>
      <c t="s">
        <v>47683</v>
      </c>
      <c t="s">
        <v>51087</v>
      </c>
      <c t="s">
        <v>35995</v>
      </c>
      <c t="s">
        <v>49977</v>
      </c>
      <c t="s">
        <v>3093</v>
      </c>
      <c t="s">
        <v>59796</v>
      </c>
    </row>
    <row>
      <c t="s">
        <v>17594</v>
      </c>
      <c t="s">
        <v>12091</v>
      </c>
      <c t="s">
        <v>28126</v>
      </c>
      <c t="s">
        <v>13963</v>
      </c>
      <c t="s">
        <v>10585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245" s="1" t="str">
        <f ca="1">HYPERLINK("https://web.datatree.com/?/property?propertyId=34065861", "https://web.datatree.com/?/property?propertyId=34065861")</f>
        <v>https://web.datatree.com/?/property?propertyId=34065861</v>
      </c>
      <c r="Q5245" t="s">
        <v>316</v>
      </c>
      <c>
        <v>0.23</v>
      </c>
      <c t="s">
        <v>6175</v>
      </c>
      <c t="s">
        <v>24864</v>
      </c>
      <c t="s">
        <v>13472</v>
      </c>
      <c t="s">
        <v>31100</v>
      </c>
      <c t="s">
        <v>13472</v>
      </c>
      <c t="s">
        <v>28554</v>
      </c>
      <c t="s">
        <v>66701</v>
      </c>
      <c t="s">
        <v>2517</v>
      </c>
      <c t="s">
        <v>39289</v>
      </c>
      <c>
        <v>33909</v>
      </c>
      <c>
        <v>33909</v>
      </c>
      <c t="s">
        <v>48794</v>
      </c>
      <c t="s">
        <v>42634</v>
      </c>
      <c>
        <v>10121</v>
      </c>
      <c r="AI5245" t="s">
        <v>50440</v>
      </c>
      <c t="s">
        <v>39321</v>
      </c>
      <c r="AL5245" t="s">
        <v>55393</v>
      </c>
      <c r="AN5245" t="s">
        <v>39289</v>
      </c>
      <c t="s">
        <v>53829</v>
      </c>
      <c t="s">
        <v>45980</v>
      </c>
      <c t="s">
        <v>3093</v>
      </c>
      <c t="s">
        <v>38129</v>
      </c>
    </row>
    <row>
      <c t="s">
        <v>17594</v>
      </c>
      <c t="s">
        <v>13849</v>
      </c>
      <c t="s">
        <v>11203</v>
      </c>
      <c t="s">
        <v>19173</v>
      </c>
      <c t="s">
        <v>47007</v>
      </c>
      <c s="3">
        <v>484242</v>
      </c>
      <c s="3">
        <v>484242</v>
      </c>
      <c s="3">
        <v>484242</v>
      </c>
      <c>
        <v>0</v>
      </c>
      <c s="3">
        <v>0</v>
      </c>
      <c s="3">
        <v>7943.94</v>
      </c>
      <c s="3">
        <v>484242</v>
      </c>
      <c r="O5246" s="1" t="str">
        <f ca="1">HYPERLINK("https://web.datatree.com/?/property?propertyId=34066281", "https://web.datatree.com/?/property?propertyId=34066281")</f>
        <v>https://web.datatree.com/?/property?propertyId=34066281</v>
      </c>
      <c r="Q5246" t="s">
        <v>316</v>
      </c>
      <c>
        <v>0.23</v>
      </c>
      <c t="s">
        <v>22490</v>
      </c>
      <c t="s">
        <v>26386</v>
      </c>
      <c t="s">
        <v>34970</v>
      </c>
      <c t="s">
        <v>54971</v>
      </c>
      <c t="s">
        <v>34970</v>
      </c>
      <c t="s">
        <v>27013</v>
      </c>
      <c t="s">
        <v>1573</v>
      </c>
      <c t="s">
        <v>2517</v>
      </c>
      <c t="s">
        <v>39289</v>
      </c>
      <c>
        <v>33904</v>
      </c>
      <c t="s">
        <v>56706</v>
      </c>
      <c t="s">
        <v>48794</v>
      </c>
      <c t="s">
        <v>41083</v>
      </c>
      <c>
        <v>7714</v>
      </c>
      <c r="AI5246" t="s">
        <v>9572</v>
      </c>
      <c t="s">
        <v>56275</v>
      </c>
      <c r="AL5246" t="s">
        <v>54871</v>
      </c>
      <c t="s">
        <v>2960</v>
      </c>
      <c t="s">
        <v>19878</v>
      </c>
      <c t="s">
        <v>23978</v>
      </c>
      <c t="s">
        <v>44428</v>
      </c>
      <c t="s">
        <v>3093</v>
      </c>
      <c t="s">
        <v>43805</v>
      </c>
    </row>
    <row>
      <c t="s">
        <v>17594</v>
      </c>
      <c t="s">
        <v>42960</v>
      </c>
      <c t="s">
        <v>43167</v>
      </c>
      <c t="s">
        <v>26538</v>
      </c>
      <c t="s">
        <v>66659</v>
      </c>
      <c s="3">
        <v>24937</v>
      </c>
      <c s="3">
        <v>24937</v>
      </c>
      <c s="3">
        <v>9079</v>
      </c>
      <c>
        <v>0</v>
      </c>
      <c s="3">
        <v>0</v>
      </c>
      <c s="3">
        <v>2919.11</v>
      </c>
      <c s="3">
        <v>24937</v>
      </c>
      <c r="O5247" s="1" t="str">
        <f ca="1">HYPERLINK("https://web.datatree.com/?/property?propertyId=34066983", "https://web.datatree.com/?/property?propertyId=34066983")</f>
        <v>https://web.datatree.com/?/property?propertyId=34066983</v>
      </c>
      <c r="Q5247" t="s">
        <v>316</v>
      </c>
      <c>
        <v>0.232</v>
      </c>
      <c t="s">
        <v>42044</v>
      </c>
      <c t="s">
        <v>11374</v>
      </c>
      <c t="s">
        <v>30261</v>
      </c>
      <c t="s">
        <v>4617</v>
      </c>
      <c t="s">
        <v>30261</v>
      </c>
      <c t="s">
        <v>21196</v>
      </c>
      <c t="s">
        <v>33179</v>
      </c>
      <c t="s">
        <v>2517</v>
      </c>
      <c t="s">
        <v>39289</v>
      </c>
      <c>
        <v>33909</v>
      </c>
      <c t="s">
        <v>66833</v>
      </c>
      <c t="s">
        <v>48794</v>
      </c>
      <c t="s">
        <v>55150</v>
      </c>
      <c>
        <v>70219</v>
      </c>
      <c r="AI5247" t="s">
        <v>55742</v>
      </c>
      <c t="s">
        <v>45620</v>
      </c>
      <c r="AL5247" t="s">
        <v>48245</v>
      </c>
      <c r="AN5247" t="s">
        <v>50829</v>
      </c>
      <c t="s">
        <v>29849</v>
      </c>
      <c t="s">
        <v>14695</v>
      </c>
      <c t="s">
        <v>3093</v>
      </c>
      <c t="s">
        <v>44366</v>
      </c>
    </row>
    <row>
      <c t="s">
        <v>17594</v>
      </c>
      <c t="s">
        <v>24983</v>
      </c>
      <c t="s">
        <v>43117</v>
      </c>
      <c t="s">
        <v>34331</v>
      </c>
      <c t="s">
        <v>40282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5248" s="1" t="str">
        <f ca="1">HYPERLINK("https://web.datatree.com/?/property?propertyId=34067045", "https://web.datatree.com/?/property?propertyId=34067045")</f>
        <v>https://web.datatree.com/?/property?propertyId=34067045</v>
      </c>
      <c r="Q5248" t="s">
        <v>316</v>
      </c>
      <c>
        <v>0.255</v>
      </c>
      <c t="s">
        <v>6175</v>
      </c>
      <c t="s">
        <v>32044</v>
      </c>
      <c t="s">
        <v>19420</v>
      </c>
      <c t="s">
        <v>12951</v>
      </c>
      <c t="s">
        <v>19420</v>
      </c>
      <c t="s">
        <v>25310</v>
      </c>
      <c t="s">
        <v>29190</v>
      </c>
      <c t="s">
        <v>2517</v>
      </c>
      <c t="s">
        <v>39289</v>
      </c>
      <c>
        <v>33909</v>
      </c>
      <c t="s">
        <v>63737</v>
      </c>
      <c t="s">
        <v>48794</v>
      </c>
      <c t="s">
        <v>58421</v>
      </c>
      <c>
        <v>1322</v>
      </c>
      <c r="AI5248" t="s">
        <v>60471</v>
      </c>
      <c t="s">
        <v>45393</v>
      </c>
      <c r="AL5248" t="s">
        <v>8109</v>
      </c>
      <c r="AN5248" t="s">
        <v>50917</v>
      </c>
      <c t="s">
        <v>43750</v>
      </c>
      <c t="s">
        <v>49842</v>
      </c>
      <c t="s">
        <v>3093</v>
      </c>
      <c t="s">
        <v>11672</v>
      </c>
    </row>
    <row>
      <c t="s">
        <v>17594</v>
      </c>
      <c t="s">
        <v>58017</v>
      </c>
      <c t="s">
        <v>15030</v>
      </c>
      <c t="s">
        <v>29198</v>
      </c>
      <c t="s">
        <v>26715</v>
      </c>
      <c s="3">
        <v>8439</v>
      </c>
      <c s="3">
        <v>8439</v>
      </c>
      <c s="3">
        <v>4972</v>
      </c>
      <c>
        <v>0</v>
      </c>
      <c s="3">
        <v>0</v>
      </c>
      <c s="3">
        <v>316.66</v>
      </c>
      <c s="3">
        <v>8439</v>
      </c>
      <c r="O5249" s="1" t="str">
        <f ca="1">HYPERLINK("https://web.datatree.com/?/property?propertyId=34068118", "https://web.datatree.com/?/property?propertyId=34068118")</f>
        <v>https://web.datatree.com/?/property?propertyId=34068118</v>
      </c>
      <c r="Q5249" t="s">
        <v>316</v>
      </c>
      <c>
        <v>0.244</v>
      </c>
      <c t="s">
        <v>5471</v>
      </c>
      <c t="s">
        <v>4751</v>
      </c>
      <c t="s">
        <v>27872</v>
      </c>
      <c r="X5249" t="s">
        <v>20914</v>
      </c>
      <c t="s">
        <v>4082</v>
      </c>
      <c t="s">
        <v>65059</v>
      </c>
      <c t="s">
        <v>39289</v>
      </c>
      <c>
        <v>33905</v>
      </c>
      <c t="s">
        <v>2037</v>
      </c>
      <c t="s">
        <v>48794</v>
      </c>
      <c t="s">
        <v>40269</v>
      </c>
      <c>
        <v>630</v>
      </c>
      <c r="AI5249" t="s">
        <v>37773</v>
      </c>
      <c t="s">
        <v>4985</v>
      </c>
      <c r="AL5249" t="s">
        <v>8127</v>
      </c>
      <c r="AN5249" t="s">
        <v>39289</v>
      </c>
      <c t="s">
        <v>9990</v>
      </c>
      <c t="s">
        <v>14695</v>
      </c>
      <c t="s">
        <v>3093</v>
      </c>
      <c t="s">
        <v>48470</v>
      </c>
    </row>
    <row>
      <c t="s">
        <v>17594</v>
      </c>
      <c t="s">
        <v>31326</v>
      </c>
      <c t="s">
        <v>33582</v>
      </c>
      <c t="s">
        <v>24859</v>
      </c>
      <c t="s">
        <v>24789</v>
      </c>
      <c s="3">
        <v>8500</v>
      </c>
      <c s="3">
        <v>8500</v>
      </c>
      <c s="3">
        <v>8500</v>
      </c>
      <c>
        <v>0</v>
      </c>
      <c s="3">
        <v>0</v>
      </c>
      <c s="3">
        <v>580.14</v>
      </c>
      <c s="3">
        <v>8500</v>
      </c>
      <c r="O5250" s="1" t="str">
        <f ca="1">HYPERLINK("https://web.datatree.com/?/property?propertyId=34068539", "https://web.datatree.com/?/property?propertyId=34068539")</f>
        <v>https://web.datatree.com/?/property?propertyId=34068539</v>
      </c>
      <c r="Q5250" t="s">
        <v>316</v>
      </c>
      <c>
        <v>0.237</v>
      </c>
      <c t="s">
        <v>6175</v>
      </c>
      <c r="U5250" t="s">
        <v>51000</v>
      </c>
      <c r="W5250" t="s">
        <v>30324</v>
      </c>
      <c t="s">
        <v>36561</v>
      </c>
      <c t="s">
        <v>29190</v>
      </c>
      <c t="s">
        <v>2517</v>
      </c>
      <c t="s">
        <v>39289</v>
      </c>
      <c>
        <v>33909</v>
      </c>
      <c t="s">
        <v>31146</v>
      </c>
      <c t="s">
        <v>48794</v>
      </c>
      <c t="s">
        <v>14885</v>
      </c>
      <c>
        <v>68</v>
      </c>
      <c r="AI5250" t="s">
        <v>18122</v>
      </c>
      <c t="s">
        <v>40123</v>
      </c>
      <c r="AL5250" t="s">
        <v>43887</v>
      </c>
      <c r="AN5250" t="s">
        <v>50917</v>
      </c>
      <c t="s">
        <v>24165</v>
      </c>
      <c t="s">
        <v>8434</v>
      </c>
      <c t="s">
        <v>3093</v>
      </c>
      <c t="s">
        <v>30625</v>
      </c>
    </row>
    <row>
      <c t="s">
        <v>17594</v>
      </c>
      <c t="s">
        <v>56952</v>
      </c>
      <c t="s">
        <v>29466</v>
      </c>
      <c t="s">
        <v>16139</v>
      </c>
      <c t="s">
        <v>7630</v>
      </c>
      <c s="3">
        <v>8974</v>
      </c>
      <c s="3">
        <v>8974</v>
      </c>
      <c s="3">
        <v>4972</v>
      </c>
      <c>
        <v>0</v>
      </c>
      <c s="3">
        <v>0</v>
      </c>
      <c s="3">
        <v>319.26</v>
      </c>
      <c s="3">
        <v>8974</v>
      </c>
      <c r="O5251" s="1" t="str">
        <f ca="1">HYPERLINK("https://web.datatree.com/?/property?propertyId=34068753", "https://web.datatree.com/?/property?propertyId=34068753")</f>
        <v>https://web.datatree.com/?/property?propertyId=34068753</v>
      </c>
      <c r="Q5251" t="s">
        <v>316</v>
      </c>
      <c>
        <v>0.262</v>
      </c>
      <c t="s">
        <v>5471</v>
      </c>
      <c t="s">
        <v>42212</v>
      </c>
      <c t="s">
        <v>16822</v>
      </c>
      <c r="X5251" t="s">
        <v>20228</v>
      </c>
      <c t="s">
        <v>39583</v>
      </c>
      <c t="s">
        <v>65059</v>
      </c>
      <c t="s">
        <v>39289</v>
      </c>
      <c>
        <v>33905</v>
      </c>
      <c t="s">
        <v>17212</v>
      </c>
      <c t="s">
        <v>48794</v>
      </c>
      <c t="s">
        <v>47082</v>
      </c>
      <c>
        <v>8917</v>
      </c>
      <c r="AI5251" t="s">
        <v>40263</v>
      </c>
      <c t="s">
        <v>55842</v>
      </c>
      <c r="AL5251" t="s">
        <v>12714</v>
      </c>
      <c r="AN5251" t="s">
        <v>21017</v>
      </c>
      <c t="s">
        <v>4214</v>
      </c>
      <c t="s">
        <v>34162</v>
      </c>
      <c t="s">
        <v>3093</v>
      </c>
      <c t="s">
        <v>57893</v>
      </c>
    </row>
    <row>
      <c t="s">
        <v>17594</v>
      </c>
      <c t="s">
        <v>44950</v>
      </c>
      <c t="s">
        <v>60967</v>
      </c>
      <c t="s">
        <v>21753</v>
      </c>
      <c t="s">
        <v>19004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5252" s="1" t="str">
        <f ca="1">HYPERLINK("https://web.datatree.com/?/property?propertyId=34071062", "https://web.datatree.com/?/property?propertyId=34071062")</f>
        <v>https://web.datatree.com/?/property?propertyId=34071062</v>
      </c>
      <c r="Q5252" t="s">
        <v>316</v>
      </c>
      <c>
        <v>0.23</v>
      </c>
      <c t="s">
        <v>22490</v>
      </c>
      <c t="s">
        <v>47754</v>
      </c>
      <c t="s">
        <v>52304</v>
      </c>
      <c t="s">
        <v>18479</v>
      </c>
      <c t="s">
        <v>56439</v>
      </c>
      <c t="s">
        <v>8856</v>
      </c>
      <c t="s">
        <v>2619</v>
      </c>
      <c t="s">
        <v>2517</v>
      </c>
      <c t="s">
        <v>39289</v>
      </c>
      <c>
        <v>33909</v>
      </c>
      <c t="s">
        <v>33119</v>
      </c>
      <c t="s">
        <v>48794</v>
      </c>
      <c t="s">
        <v>14680</v>
      </c>
      <c r="AL5252" t="s">
        <v>62807</v>
      </c>
      <c r="AN5252" t="s">
        <v>54940</v>
      </c>
    </row>
    <row>
      <c t="s">
        <v>17594</v>
      </c>
      <c t="s">
        <v>8095</v>
      </c>
      <c t="s">
        <v>28614</v>
      </c>
      <c t="s">
        <v>45123</v>
      </c>
      <c t="s">
        <v>56254</v>
      </c>
      <c s="3">
        <v>24088</v>
      </c>
      <c s="3">
        <v>24088</v>
      </c>
      <c s="3">
        <v>13108</v>
      </c>
      <c>
        <v>0</v>
      </c>
      <c s="3">
        <v>0</v>
      </c>
      <c s="3">
        <v>650.59</v>
      </c>
      <c s="3">
        <v>24088</v>
      </c>
      <c r="O5253" s="1" t="str">
        <f ca="1">HYPERLINK("https://web.datatree.com/?/property?propertyId=34072035", "https://web.datatree.com/?/property?propertyId=34072035")</f>
        <v>https://web.datatree.com/?/property?propertyId=34072035</v>
      </c>
      <c r="Q5253" t="s">
        <v>316</v>
      </c>
      <c>
        <v>0.249</v>
      </c>
      <c t="s">
        <v>45031</v>
      </c>
      <c t="s">
        <v>4814</v>
      </c>
      <c t="s">
        <v>50002</v>
      </c>
      <c r="X5253" t="s">
        <v>55729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20476</v>
      </c>
      <c>
        <v>6025</v>
      </c>
      <c r="AI5253" t="s">
        <v>28196</v>
      </c>
      <c t="s">
        <v>45620</v>
      </c>
      <c r="AL5253" t="s">
        <v>15885</v>
      </c>
      <c r="AN5253" t="s">
        <v>49572</v>
      </c>
      <c t="s">
        <v>52163</v>
      </c>
      <c t="s">
        <v>35354</v>
      </c>
      <c t="s">
        <v>3093</v>
      </c>
      <c t="s">
        <v>30866</v>
      </c>
    </row>
    <row>
      <c t="s">
        <v>17594</v>
      </c>
      <c t="s">
        <v>53880</v>
      </c>
      <c t="s">
        <v>49376</v>
      </c>
      <c t="s">
        <v>48466</v>
      </c>
      <c t="s">
        <v>32919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254" s="1" t="str">
        <f ca="1">HYPERLINK("https://web.datatree.com/?/property?propertyId=34072036", "https://web.datatree.com/?/property?propertyId=34072036")</f>
        <v>https://web.datatree.com/?/property?propertyId=34072036</v>
      </c>
      <c r="Q5254" t="s">
        <v>316</v>
      </c>
      <c>
        <v>0.23</v>
      </c>
      <c t="s">
        <v>6175</v>
      </c>
      <c t="s">
        <v>42212</v>
      </c>
      <c t="s">
        <v>35394</v>
      </c>
      <c r="X5254" t="s">
        <v>8015</v>
      </c>
      <c t="s">
        <v>23517</v>
      </c>
      <c t="s">
        <v>2517</v>
      </c>
      <c t="s">
        <v>39289</v>
      </c>
      <c>
        <v>33909</v>
      </c>
      <c t="s">
        <v>8198</v>
      </c>
      <c t="s">
        <v>48794</v>
      </c>
      <c t="s">
        <v>12247</v>
      </c>
      <c>
        <v>4117</v>
      </c>
      <c r="AI5254" t="s">
        <v>8604</v>
      </c>
      <c t="s">
        <v>45393</v>
      </c>
      <c r="AL5254" t="s">
        <v>64711</v>
      </c>
      <c r="AN5254" t="s">
        <v>65451</v>
      </c>
      <c t="s">
        <v>41442</v>
      </c>
      <c t="s">
        <v>40645</v>
      </c>
      <c t="s">
        <v>3093</v>
      </c>
      <c t="s">
        <v>24899</v>
      </c>
    </row>
    <row>
      <c t="s">
        <v>17594</v>
      </c>
      <c t="s">
        <v>9526</v>
      </c>
      <c t="s">
        <v>3415</v>
      </c>
      <c t="s">
        <v>28320</v>
      </c>
      <c t="s">
        <v>27258</v>
      </c>
      <c s="3">
        <v>244188</v>
      </c>
      <c s="3">
        <v>244188</v>
      </c>
      <c s="3">
        <v>244188</v>
      </c>
      <c>
        <v>0</v>
      </c>
      <c s="3">
        <v>0</v>
      </c>
      <c s="3">
        <v>4302.15</v>
      </c>
      <c s="3">
        <v>244188</v>
      </c>
      <c r="O5255" s="1" t="str">
        <f ca="1">HYPERLINK("https://web.datatree.com/?/property?propertyId=34072058", "https://web.datatree.com/?/property?propertyId=34072058")</f>
        <v>https://web.datatree.com/?/property?propertyId=34072058</v>
      </c>
      <c r="Q5255" t="s">
        <v>316</v>
      </c>
      <c>
        <v>0.263</v>
      </c>
      <c t="s">
        <v>14479</v>
      </c>
      <c t="s">
        <v>13860</v>
      </c>
      <c t="s">
        <v>56061</v>
      </c>
      <c r="X5255" t="s">
        <v>7919</v>
      </c>
      <c t="s">
        <v>7594</v>
      </c>
      <c t="s">
        <v>2517</v>
      </c>
      <c t="s">
        <v>39289</v>
      </c>
      <c>
        <v>33904</v>
      </c>
      <c t="s">
        <v>54680</v>
      </c>
      <c t="s">
        <v>48794</v>
      </c>
      <c t="s">
        <v>39651</v>
      </c>
      <c>
        <v>1105</v>
      </c>
      <c r="AI5255" t="s">
        <v>19282</v>
      </c>
      <c t="s">
        <v>31192</v>
      </c>
      <c r="AL5255" t="s">
        <v>49826</v>
      </c>
      <c t="s">
        <v>49826</v>
      </c>
      <c t="s">
        <v>26443</v>
      </c>
      <c t="s">
        <v>39561</v>
      </c>
      <c t="s">
        <v>52247</v>
      </c>
      <c t="s">
        <v>3093</v>
      </c>
      <c t="s">
        <v>4109</v>
      </c>
    </row>
    <row>
      <c t="s">
        <v>17594</v>
      </c>
      <c t="s">
        <v>6888</v>
      </c>
      <c t="s">
        <v>55387</v>
      </c>
      <c t="s">
        <v>30435</v>
      </c>
      <c t="s">
        <v>14044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5256" s="1" t="str">
        <f ca="1">HYPERLINK("https://web.datatree.com/?/property?propertyId=34072259", "https://web.datatree.com/?/property?propertyId=34072259")</f>
        <v>https://web.datatree.com/?/property?propertyId=34072259</v>
      </c>
      <c r="Q5256" t="s">
        <v>316</v>
      </c>
      <c>
        <v>0.23</v>
      </c>
      <c t="s">
        <v>58725</v>
      </c>
      <c t="s">
        <v>15858</v>
      </c>
      <c t="s">
        <v>9592</v>
      </c>
      <c r="X5256" t="s">
        <v>1318</v>
      </c>
      <c t="s">
        <v>39082</v>
      </c>
      <c t="s">
        <v>2517</v>
      </c>
      <c t="s">
        <v>39289</v>
      </c>
      <c>
        <v>33909</v>
      </c>
      <c t="s">
        <v>48870</v>
      </c>
      <c t="s">
        <v>48794</v>
      </c>
      <c t="s">
        <v>28628</v>
      </c>
      <c>
        <v>1251</v>
      </c>
      <c r="AI5256" t="s">
        <v>29190</v>
      </c>
      <c t="s">
        <v>45393</v>
      </c>
      <c>
        <v>209</v>
      </c>
      <c t="s">
        <v>55393</v>
      </c>
      <c t="s">
        <v>55393</v>
      </c>
      <c t="s">
        <v>39289</v>
      </c>
      <c t="s">
        <v>37521</v>
      </c>
      <c t="s">
        <v>4797</v>
      </c>
      <c t="s">
        <v>3093</v>
      </c>
      <c t="s">
        <v>20356</v>
      </c>
    </row>
    <row>
      <c t="s">
        <v>17594</v>
      </c>
      <c t="s">
        <v>42428</v>
      </c>
      <c t="s">
        <v>14568</v>
      </c>
      <c t="s">
        <v>54105</v>
      </c>
      <c t="s">
        <v>33950</v>
      </c>
      <c s="3">
        <v>7500</v>
      </c>
      <c s="3">
        <v>7500</v>
      </c>
      <c s="3">
        <v>7500</v>
      </c>
      <c>
        <v>0</v>
      </c>
      <c s="3">
        <v>0</v>
      </c>
      <c s="3">
        <v>572.27</v>
      </c>
      <c s="3">
        <v>7500</v>
      </c>
      <c>
        <v>2021</v>
      </c>
      <c>
        <v>549.21</v>
      </c>
      <c s="1" t="str">
        <f ca="1">HYPERLINK("https://web.datatree.com/?/property?propertyId=34072555", "https://web.datatree.com/?/property?propertyId=34072555")</f>
        <v>https://web.datatree.com/?/property?propertyId=34072555</v>
      </c>
      <c r="Q5257" t="s">
        <v>316</v>
      </c>
      <c>
        <v>0.26</v>
      </c>
      <c t="s">
        <v>6175</v>
      </c>
      <c t="s">
        <v>2076</v>
      </c>
      <c t="s">
        <v>63335</v>
      </c>
      <c r="X5257" t="s">
        <v>62001</v>
      </c>
      <c t="s">
        <v>13065</v>
      </c>
      <c t="s">
        <v>2517</v>
      </c>
      <c t="s">
        <v>39289</v>
      </c>
      <c>
        <v>33909</v>
      </c>
      <c t="s">
        <v>31296</v>
      </c>
      <c t="s">
        <v>48794</v>
      </c>
      <c t="s">
        <v>57530</v>
      </c>
      <c>
        <v>8581</v>
      </c>
      <c r="AI5257" t="s">
        <v>33335</v>
      </c>
      <c t="s">
        <v>45393</v>
      </c>
      <c r="AL5257" t="s">
        <v>55393</v>
      </c>
      <c r="AN5257" t="s">
        <v>39289</v>
      </c>
      <c t="s">
        <v>16172</v>
      </c>
      <c t="s">
        <v>44573</v>
      </c>
      <c t="s">
        <v>3093</v>
      </c>
      <c t="s">
        <v>56167</v>
      </c>
    </row>
    <row>
      <c t="s">
        <v>17594</v>
      </c>
      <c t="s">
        <v>66888</v>
      </c>
      <c t="s">
        <v>6062</v>
      </c>
      <c t="s">
        <v>17412</v>
      </c>
      <c t="s">
        <v>23997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2019</v>
      </c>
      <c>
        <v>2844.84</v>
      </c>
      <c s="1" t="str">
        <f ca="1">HYPERLINK("https://web.datatree.com/?/property?propertyId=34072632", "https://web.datatree.com/?/property?propertyId=34072632")</f>
        <v>https://web.datatree.com/?/property?propertyId=34072632</v>
      </c>
      <c r="Q5258" t="s">
        <v>316</v>
      </c>
      <c>
        <v>0.23</v>
      </c>
      <c t="s">
        <v>6175</v>
      </c>
      <c t="s">
        <v>57374</v>
      </c>
      <c t="s">
        <v>26602</v>
      </c>
      <c t="s">
        <v>26059</v>
      </c>
      <c t="s">
        <v>20210</v>
      </c>
      <c t="s">
        <v>62014</v>
      </c>
      <c t="s">
        <v>2626</v>
      </c>
      <c t="s">
        <v>2517</v>
      </c>
      <c t="s">
        <v>39289</v>
      </c>
      <c>
        <v>33909</v>
      </c>
      <c t="s">
        <v>10344</v>
      </c>
      <c t="s">
        <v>48794</v>
      </c>
      <c t="s">
        <v>27717</v>
      </c>
      <c>
        <v>1563</v>
      </c>
      <c r="AI5258" t="s">
        <v>43248</v>
      </c>
      <c t="s">
        <v>31192</v>
      </c>
      <c r="AL5258" t="s">
        <v>27781</v>
      </c>
      <c r="AN5258" t="s">
        <v>58733</v>
      </c>
      <c t="s">
        <v>7485</v>
      </c>
      <c t="s">
        <v>60160</v>
      </c>
      <c t="s">
        <v>3093</v>
      </c>
      <c t="s">
        <v>61505</v>
      </c>
    </row>
    <row>
      <c t="s">
        <v>17594</v>
      </c>
      <c t="s">
        <v>11054</v>
      </c>
      <c t="s">
        <v>59418</v>
      </c>
      <c t="s">
        <v>58382</v>
      </c>
      <c t="s">
        <v>55790</v>
      </c>
      <c s="3">
        <v>5237</v>
      </c>
      <c s="3">
        <v>5237</v>
      </c>
      <c s="3">
        <v>5237</v>
      </c>
      <c>
        <v>0</v>
      </c>
      <c s="3">
        <v>0</v>
      </c>
      <c s="3">
        <v>81.53</v>
      </c>
      <c s="3">
        <v>5237</v>
      </c>
      <c r="O5259" s="1" t="str">
        <f ca="1">HYPERLINK("https://web.datatree.com/?/property?propertyId=34072692", "https://web.datatree.com/?/property?propertyId=34072692")</f>
        <v>https://web.datatree.com/?/property?propertyId=34072692</v>
      </c>
      <c r="Q5259" t="s">
        <v>316</v>
      </c>
      <c>
        <v>0.165</v>
      </c>
      <c t="s">
        <v>5471</v>
      </c>
      <c t="s">
        <v>35664</v>
      </c>
      <c t="s">
        <v>593</v>
      </c>
      <c r="X5259" t="s">
        <v>42378</v>
      </c>
      <c t="s">
        <v>50281</v>
      </c>
      <c t="s">
        <v>65059</v>
      </c>
      <c t="s">
        <v>39289</v>
      </c>
      <c>
        <v>33905</v>
      </c>
      <c t="s">
        <v>13841</v>
      </c>
      <c t="s">
        <v>48794</v>
      </c>
      <c t="s">
        <v>66768</v>
      </c>
      <c>
        <v>1920</v>
      </c>
      <c r="AI5259" t="s">
        <v>10653</v>
      </c>
      <c t="s">
        <v>24900</v>
      </c>
      <c r="AL5259" t="s">
        <v>55393</v>
      </c>
      <c t="s">
        <v>55393</v>
      </c>
      <c t="s">
        <v>39289</v>
      </c>
      <c t="s">
        <v>57787</v>
      </c>
      <c t="s">
        <v>49977</v>
      </c>
      <c t="s">
        <v>3093</v>
      </c>
      <c t="s">
        <v>20281</v>
      </c>
    </row>
    <row>
      <c t="s">
        <v>17594</v>
      </c>
      <c t="s">
        <v>12728</v>
      </c>
      <c t="s">
        <v>65404</v>
      </c>
      <c t="s">
        <v>11921</v>
      </c>
      <c t="s">
        <v>24705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5260" s="1" t="str">
        <f ca="1">HYPERLINK("https://web.datatree.com/?/property?propertyId=34072984", "https://web.datatree.com/?/property?propertyId=34072984")</f>
        <v>https://web.datatree.com/?/property?propertyId=34072984</v>
      </c>
      <c r="Q5260" t="s">
        <v>316</v>
      </c>
      <c>
        <v>0.23</v>
      </c>
      <c t="s">
        <v>6175</v>
      </c>
      <c t="s">
        <v>36659</v>
      </c>
      <c t="s">
        <v>18644</v>
      </c>
      <c r="X5260" t="s">
        <v>43650</v>
      </c>
      <c t="s">
        <v>29190</v>
      </c>
      <c t="s">
        <v>2517</v>
      </c>
      <c t="s">
        <v>39289</v>
      </c>
      <c>
        <v>33909</v>
      </c>
      <c t="s">
        <v>58606</v>
      </c>
      <c t="s">
        <v>48794</v>
      </c>
      <c t="s">
        <v>12957</v>
      </c>
      <c>
        <v>3618</v>
      </c>
      <c r="AI5260" t="s">
        <v>52851</v>
      </c>
      <c t="s">
        <v>45393</v>
      </c>
      <c r="AL5260" t="s">
        <v>12714</v>
      </c>
      <c r="AN5260" t="s">
        <v>21017</v>
      </c>
      <c t="s">
        <v>63105</v>
      </c>
      <c t="s">
        <v>34162</v>
      </c>
      <c t="s">
        <v>3093</v>
      </c>
      <c t="s">
        <v>9109</v>
      </c>
    </row>
    <row>
      <c t="s">
        <v>17594</v>
      </c>
      <c t="s">
        <v>64047</v>
      </c>
      <c t="s">
        <v>37001</v>
      </c>
      <c t="s">
        <v>39484</v>
      </c>
      <c t="s">
        <v>8367</v>
      </c>
      <c s="3">
        <v>8600</v>
      </c>
      <c s="3">
        <v>8600</v>
      </c>
      <c s="3">
        <v>7073</v>
      </c>
      <c>
        <v>0</v>
      </c>
      <c s="3">
        <v>0</v>
      </c>
      <c s="3">
        <v>123.7</v>
      </c>
      <c s="3">
        <v>8600</v>
      </c>
      <c>
        <v>2018</v>
      </c>
      <c>
        <v>1019.55</v>
      </c>
      <c s="1" t="str">
        <f ca="1">HYPERLINK("https://web.datatree.com/?/property?propertyId=34073183", "https://web.datatree.com/?/property?propertyId=34073183")</f>
        <v>https://web.datatree.com/?/property?propertyId=34073183</v>
      </c>
      <c r="Q5261" t="s">
        <v>316</v>
      </c>
      <c>
        <v>0.218</v>
      </c>
      <c t="s">
        <v>5471</v>
      </c>
      <c t="s">
        <v>12980</v>
      </c>
      <c t="s">
        <v>13824</v>
      </c>
      <c r="X5261" t="s">
        <v>5999</v>
      </c>
      <c t="s">
        <v>2020</v>
      </c>
      <c t="s">
        <v>65059</v>
      </c>
      <c t="s">
        <v>39289</v>
      </c>
      <c>
        <v>33905</v>
      </c>
      <c t="s">
        <v>61125</v>
      </c>
      <c t="s">
        <v>48794</v>
      </c>
      <c t="s">
        <v>32259</v>
      </c>
      <c>
        <v>228</v>
      </c>
      <c r="AI5261" t="s">
        <v>33745</v>
      </c>
      <c t="s">
        <v>24900</v>
      </c>
      <c r="AL5261" t="s">
        <v>39016</v>
      </c>
      <c r="AN5261" t="s">
        <v>50917</v>
      </c>
      <c t="s">
        <v>14880</v>
      </c>
      <c t="s">
        <v>22613</v>
      </c>
      <c t="s">
        <v>3093</v>
      </c>
      <c t="s">
        <v>46209</v>
      </c>
    </row>
    <row>
      <c t="s">
        <v>17594</v>
      </c>
      <c t="s">
        <v>20890</v>
      </c>
      <c t="s">
        <v>13038</v>
      </c>
      <c t="s">
        <v>45342</v>
      </c>
      <c t="s">
        <v>5405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5262" s="1" t="str">
        <f ca="1">HYPERLINK("https://web.datatree.com/?/property?propertyId=34073784", "https://web.datatree.com/?/property?propertyId=34073784")</f>
        <v>https://web.datatree.com/?/property?propertyId=34073784</v>
      </c>
      <c r="Q5262" t="s">
        <v>316</v>
      </c>
      <c>
        <v>0.23</v>
      </c>
      <c t="s">
        <v>6175</v>
      </c>
      <c t="s">
        <v>3174</v>
      </c>
      <c t="s">
        <v>21406</v>
      </c>
      <c r="X5262" t="s">
        <v>61902</v>
      </c>
      <c t="s">
        <v>22731</v>
      </c>
      <c t="s">
        <v>2517</v>
      </c>
      <c t="s">
        <v>39289</v>
      </c>
      <c>
        <v>33909</v>
      </c>
      <c t="s">
        <v>3591</v>
      </c>
      <c t="s">
        <v>48794</v>
      </c>
      <c t="s">
        <v>61606</v>
      </c>
      <c>
        <v>1385</v>
      </c>
      <c r="AI5262" t="s">
        <v>29771</v>
      </c>
      <c t="s">
        <v>24900</v>
      </c>
      <c r="AL5262" t="s">
        <v>35285</v>
      </c>
      <c r="AN5262" t="s">
        <v>14509</v>
      </c>
      <c t="s">
        <v>8682</v>
      </c>
      <c t="s">
        <v>22613</v>
      </c>
      <c t="s">
        <v>3093</v>
      </c>
      <c t="s">
        <v>34641</v>
      </c>
    </row>
    <row>
      <c t="s">
        <v>17594</v>
      </c>
      <c t="s">
        <v>42470</v>
      </c>
      <c t="s">
        <v>49364</v>
      </c>
      <c t="s">
        <v>57130</v>
      </c>
      <c t="s">
        <v>30472</v>
      </c>
      <c s="3">
        <v>34891</v>
      </c>
      <c s="3">
        <v>34891</v>
      </c>
      <c s="3">
        <v>25300</v>
      </c>
      <c>
        <v>0</v>
      </c>
      <c s="3">
        <v>0</v>
      </c>
      <c s="3">
        <v>411.68</v>
      </c>
      <c s="3">
        <v>34891</v>
      </c>
      <c r="O5263" s="1" t="str">
        <f ca="1">HYPERLINK("https://web.datatree.com/?/property?propertyId=34073927", "https://web.datatree.com/?/property?propertyId=34073927")</f>
        <v>https://web.datatree.com/?/property?propertyId=34073927</v>
      </c>
      <c r="Q5263" t="s">
        <v>316</v>
      </c>
      <c>
        <v>0.057</v>
      </c>
      <c t="s">
        <v>54329</v>
      </c>
      <c t="s">
        <v>10361</v>
      </c>
      <c t="s">
        <v>39058</v>
      </c>
      <c t="s">
        <v>8461</v>
      </c>
      <c t="s">
        <v>39058</v>
      </c>
      <c t="s">
        <v>63510</v>
      </c>
      <c t="s">
        <v>22300</v>
      </c>
      <c t="s">
        <v>65059</v>
      </c>
      <c t="s">
        <v>39289</v>
      </c>
      <c>
        <v>33908</v>
      </c>
      <c>
        <v>33908</v>
      </c>
      <c t="s">
        <v>48794</v>
      </c>
      <c t="s">
        <v>61597</v>
      </c>
      <c>
        <v>11</v>
      </c>
      <c r="AI5263" t="s">
        <v>34914</v>
      </c>
      <c r="AL5263" t="s">
        <v>35324</v>
      </c>
      <c r="AN5263" t="s">
        <v>32657</v>
      </c>
      <c t="s">
        <v>39609</v>
      </c>
      <c t="s">
        <v>14695</v>
      </c>
      <c t="s">
        <v>3093</v>
      </c>
      <c t="s">
        <v>46649</v>
      </c>
    </row>
    <row>
      <c t="s">
        <v>17594</v>
      </c>
      <c t="s">
        <v>18211</v>
      </c>
      <c t="s">
        <v>1071</v>
      </c>
      <c t="s">
        <v>34067</v>
      </c>
      <c t="s">
        <v>25233</v>
      </c>
      <c s="3">
        <v>177472</v>
      </c>
      <c s="3">
        <v>177472</v>
      </c>
      <c s="3">
        <v>176706</v>
      </c>
      <c>
        <v>0</v>
      </c>
      <c s="3">
        <v>0</v>
      </c>
      <c s="3">
        <v>2428.99</v>
      </c>
      <c s="3">
        <v>177472</v>
      </c>
      <c r="O5264" s="1" t="str">
        <f ca="1">HYPERLINK("https://web.datatree.com/?/property?propertyId=34073970", "https://web.datatree.com/?/property?propertyId=34073970")</f>
        <v>https://web.datatree.com/?/property?propertyId=34073970</v>
      </c>
      <c r="Q5264" t="s">
        <v>316</v>
      </c>
      <c>
        <v>0.196</v>
      </c>
      <c t="s">
        <v>19439</v>
      </c>
      <c t="s">
        <v>24409</v>
      </c>
      <c t="s">
        <v>35189</v>
      </c>
      <c t="s">
        <v>34468</v>
      </c>
      <c t="s">
        <v>35189</v>
      </c>
      <c t="s">
        <v>15014</v>
      </c>
      <c t="s">
        <v>39368</v>
      </c>
      <c t="s">
        <v>65059</v>
      </c>
      <c t="s">
        <v>39289</v>
      </c>
      <c>
        <v>33908</v>
      </c>
      <c t="s">
        <v>8618</v>
      </c>
      <c t="s">
        <v>48794</v>
      </c>
      <c t="s">
        <v>40311</v>
      </c>
      <c>
        <v>620</v>
      </c>
      <c r="AI5264" t="s">
        <v>1474</v>
      </c>
      <c t="s">
        <v>31192</v>
      </c>
      <c r="AL5264" t="s">
        <v>14824</v>
      </c>
      <c t="s">
        <v>14824</v>
      </c>
      <c t="s">
        <v>27481</v>
      </c>
      <c t="s">
        <v>64693</v>
      </c>
      <c t="s">
        <v>17380</v>
      </c>
      <c t="s">
        <v>3093</v>
      </c>
      <c t="s">
        <v>54486</v>
      </c>
    </row>
    <row>
      <c t="s">
        <v>17594</v>
      </c>
      <c t="s">
        <v>16847</v>
      </c>
      <c t="s">
        <v>29991</v>
      </c>
      <c t="s">
        <v>15335</v>
      </c>
      <c t="s">
        <v>6191</v>
      </c>
      <c s="3">
        <v>103918</v>
      </c>
      <c s="3">
        <v>82500</v>
      </c>
      <c s="3">
        <v>103918</v>
      </c>
      <c>
        <v>0</v>
      </c>
      <c s="3">
        <v>0</v>
      </c>
      <c s="3">
        <v>1560.71</v>
      </c>
      <c s="3">
        <v>103918</v>
      </c>
      <c r="O5265" s="1" t="str">
        <f ca="1">HYPERLINK("https://web.datatree.com/?/property?propertyId=34074524", "https://web.datatree.com/?/property?propertyId=34074524")</f>
        <v>https://web.datatree.com/?/property?propertyId=34074524</v>
      </c>
      <c r="Q5265" t="s">
        <v>316</v>
      </c>
      <c>
        <v>0.172</v>
      </c>
      <c t="s">
        <v>26492</v>
      </c>
      <c r="U5265" t="s">
        <v>59566</v>
      </c>
      <c t="s">
        <v>10600</v>
      </c>
      <c t="s">
        <v>35978</v>
      </c>
      <c t="s">
        <v>63613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770</v>
      </c>
      <c>
        <v>147</v>
      </c>
      <c r="AI5265" t="s">
        <v>25765</v>
      </c>
      <c t="s">
        <v>45620</v>
      </c>
      <c r="AL5265" t="s">
        <v>35640</v>
      </c>
      <c t="s">
        <v>40227</v>
      </c>
      <c t="s">
        <v>19878</v>
      </c>
      <c t="s">
        <v>33336</v>
      </c>
      <c t="s">
        <v>14695</v>
      </c>
      <c t="s">
        <v>3093</v>
      </c>
      <c t="s">
        <v>7539</v>
      </c>
    </row>
    <row>
      <c t="s">
        <v>17594</v>
      </c>
      <c t="s">
        <v>26647</v>
      </c>
      <c t="s">
        <v>9026</v>
      </c>
      <c t="s">
        <v>24364</v>
      </c>
      <c t="s">
        <v>48147</v>
      </c>
      <c s="3">
        <v>8500</v>
      </c>
      <c s="3">
        <v>8500</v>
      </c>
      <c s="3">
        <v>8500</v>
      </c>
      <c>
        <v>0</v>
      </c>
      <c s="3">
        <v>0</v>
      </c>
      <c s="3">
        <v>580.03</v>
      </c>
      <c s="3">
        <v>8500</v>
      </c>
      <c r="O5266" s="1" t="str">
        <f ca="1">HYPERLINK("https://web.datatree.com/?/property?propertyId=34074923", "https://web.datatree.com/?/property?propertyId=34074923")</f>
        <v>https://web.datatree.com/?/property?propertyId=34074923</v>
      </c>
      <c r="Q5266" t="s">
        <v>316</v>
      </c>
      <c>
        <v>0.243</v>
      </c>
      <c t="s">
        <v>6175</v>
      </c>
      <c t="s">
        <v>2816</v>
      </c>
      <c t="s">
        <v>64616</v>
      </c>
      <c r="X5266" t="s">
        <v>62550</v>
      </c>
      <c t="s">
        <v>30928</v>
      </c>
      <c t="s">
        <v>2517</v>
      </c>
      <c t="s">
        <v>39289</v>
      </c>
      <c>
        <v>33909</v>
      </c>
      <c t="s">
        <v>60932</v>
      </c>
      <c t="s">
        <v>48794</v>
      </c>
      <c t="s">
        <v>52913</v>
      </c>
      <c>
        <v>26</v>
      </c>
      <c r="AI5266" t="s">
        <v>5105</v>
      </c>
      <c t="s">
        <v>45393</v>
      </c>
      <c>
        <v>3</v>
      </c>
      <c t="s">
        <v>21152</v>
      </c>
      <c r="AN5266" t="s">
        <v>27747</v>
      </c>
      <c t="s">
        <v>5835</v>
      </c>
      <c t="s">
        <v>7207</v>
      </c>
      <c t="s">
        <v>3093</v>
      </c>
      <c t="s">
        <v>43276</v>
      </c>
    </row>
    <row>
      <c t="s">
        <v>17594</v>
      </c>
      <c t="s">
        <v>51594</v>
      </c>
      <c t="s">
        <v>31731</v>
      </c>
      <c t="s">
        <v>1955</v>
      </c>
      <c t="s">
        <v>45061</v>
      </c>
      <c s="3">
        <v>71576</v>
      </c>
      <c s="3">
        <v>63500</v>
      </c>
      <c s="3">
        <v>69654</v>
      </c>
      <c>
        <v>0</v>
      </c>
      <c s="3">
        <v>0</v>
      </c>
      <c s="3">
        <v>1058.4</v>
      </c>
      <c s="3">
        <v>71576</v>
      </c>
      <c r="O5267" s="1" t="str">
        <f ca="1">HYPERLINK("https://web.datatree.com/?/property?propertyId=34075679", "https://web.datatree.com/?/property?propertyId=34075679")</f>
        <v>https://web.datatree.com/?/property?propertyId=34075679</v>
      </c>
      <c r="Q5267" t="s">
        <v>316</v>
      </c>
      <c>
        <v>0.095</v>
      </c>
      <c t="s">
        <v>26492</v>
      </c>
      <c t="s">
        <v>64638</v>
      </c>
      <c t="s">
        <v>14700</v>
      </c>
      <c t="s">
        <v>30846</v>
      </c>
      <c t="s">
        <v>14700</v>
      </c>
      <c t="s">
        <v>35953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16265</v>
      </c>
      <c>
        <v>8306</v>
      </c>
      <c r="AI5267" t="s">
        <v>32579</v>
      </c>
      <c t="s">
        <v>835</v>
      </c>
      <c r="AL5267" t="s">
        <v>51808</v>
      </c>
      <c t="s">
        <v>40227</v>
      </c>
      <c t="s">
        <v>3034</v>
      </c>
      <c t="s">
        <v>14004</v>
      </c>
      <c t="s">
        <v>61719</v>
      </c>
      <c t="s">
        <v>3093</v>
      </c>
      <c t="s">
        <v>4633</v>
      </c>
    </row>
    <row>
      <c t="s">
        <v>17594</v>
      </c>
      <c t="s">
        <v>31407</v>
      </c>
      <c t="s">
        <v>52426</v>
      </c>
      <c t="s">
        <v>42282</v>
      </c>
      <c t="s">
        <v>20432</v>
      </c>
      <c s="3">
        <v>26249</v>
      </c>
      <c s="3">
        <v>26249</v>
      </c>
      <c s="3">
        <v>26249</v>
      </c>
      <c>
        <v>0</v>
      </c>
      <c s="3">
        <v>0</v>
      </c>
      <c s="3">
        <v>3081.02</v>
      </c>
      <c s="3">
        <v>26249</v>
      </c>
      <c r="O5268" s="1" t="str">
        <f ca="1">HYPERLINK("https://web.datatree.com/?/property?propertyId=34075943", "https://web.datatree.com/?/property?propertyId=34075943")</f>
        <v>https://web.datatree.com/?/property?propertyId=34075943</v>
      </c>
      <c r="Q5268" t="s">
        <v>316</v>
      </c>
      <c>
        <v>0.23</v>
      </c>
      <c t="s">
        <v>3410</v>
      </c>
      <c t="s">
        <v>56037</v>
      </c>
      <c t="s">
        <v>40102</v>
      </c>
      <c r="X5268" t="s">
        <v>35536</v>
      </c>
      <c t="s">
        <v>18679</v>
      </c>
      <c t="s">
        <v>2517</v>
      </c>
      <c t="s">
        <v>39289</v>
      </c>
      <c>
        <v>33909</v>
      </c>
      <c t="s">
        <v>43035</v>
      </c>
      <c t="s">
        <v>48794</v>
      </c>
      <c t="s">
        <v>8101</v>
      </c>
      <c>
        <v>2003</v>
      </c>
      <c r="AI5268" t="s">
        <v>19991</v>
      </c>
      <c t="s">
        <v>55842</v>
      </c>
      <c r="AL5268" t="s">
        <v>10898</v>
      </c>
      <c t="s">
        <v>10898</v>
      </c>
      <c t="s">
        <v>18236</v>
      </c>
      <c t="s">
        <v>14046</v>
      </c>
      <c t="s">
        <v>29069</v>
      </c>
      <c t="s">
        <v>3093</v>
      </c>
      <c t="s">
        <v>13912</v>
      </c>
    </row>
    <row>
      <c t="s">
        <v>17594</v>
      </c>
      <c t="s">
        <v>14685</v>
      </c>
      <c t="s">
        <v>58831</v>
      </c>
      <c t="s">
        <v>60786</v>
      </c>
      <c t="s">
        <v>57936</v>
      </c>
      <c s="3">
        <v>403018</v>
      </c>
      <c s="3">
        <v>399958</v>
      </c>
      <c s="3">
        <v>283866</v>
      </c>
      <c>
        <v>0</v>
      </c>
      <c s="3">
        <v>0</v>
      </c>
      <c s="3">
        <v>5345.64</v>
      </c>
      <c s="3">
        <v>403018</v>
      </c>
      <c r="O5269" s="1" t="str">
        <f ca="1">HYPERLINK("https://web.datatree.com/?/property?propertyId=34076432", "https://web.datatree.com/?/property?propertyId=34076432")</f>
        <v>https://web.datatree.com/?/property?propertyId=34076432</v>
      </c>
      <c r="Q5269" t="s">
        <v>316</v>
      </c>
      <c>
        <v>0.275</v>
      </c>
      <c t="s">
        <v>22490</v>
      </c>
      <c t="s">
        <v>3293</v>
      </c>
      <c t="s">
        <v>35571</v>
      </c>
      <c r="X5269" t="s">
        <v>27905</v>
      </c>
      <c t="s">
        <v>29190</v>
      </c>
      <c t="s">
        <v>2517</v>
      </c>
      <c t="s">
        <v>39289</v>
      </c>
      <c>
        <v>33904</v>
      </c>
      <c>
        <v>33904</v>
      </c>
      <c t="s">
        <v>48794</v>
      </c>
      <c t="s">
        <v>5846</v>
      </c>
      <c>
        <v>923</v>
      </c>
      <c r="AI5269" t="s">
        <v>26757</v>
      </c>
      <c t="s">
        <v>45620</v>
      </c>
      <c r="AL5269" t="s">
        <v>22083</v>
      </c>
      <c r="AN5269" t="s">
        <v>26016</v>
      </c>
      <c t="s">
        <v>60345</v>
      </c>
      <c t="s">
        <v>34162</v>
      </c>
      <c t="s">
        <v>3093</v>
      </c>
      <c t="s">
        <v>52330</v>
      </c>
    </row>
    <row>
      <c t="s">
        <v>17594</v>
      </c>
      <c t="s">
        <v>18437</v>
      </c>
      <c t="s">
        <v>60194</v>
      </c>
      <c t="s">
        <v>8271</v>
      </c>
      <c t="s">
        <v>20134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5270" s="1" t="str">
        <f ca="1">HYPERLINK("https://web.datatree.com/?/property?propertyId=34077017", "https://web.datatree.com/?/property?propertyId=34077017")</f>
        <v>https://web.datatree.com/?/property?propertyId=34077017</v>
      </c>
      <c r="Q5270" t="s">
        <v>316</v>
      </c>
      <c>
        <v>0.23</v>
      </c>
      <c t="s">
        <v>22490</v>
      </c>
      <c t="s">
        <v>54943</v>
      </c>
      <c t="s">
        <v>49933</v>
      </c>
      <c t="s">
        <v>26314</v>
      </c>
      <c t="s">
        <v>49933</v>
      </c>
      <c t="s">
        <v>13310</v>
      </c>
      <c t="s">
        <v>371</v>
      </c>
      <c t="s">
        <v>2517</v>
      </c>
      <c t="s">
        <v>39289</v>
      </c>
      <c>
        <v>33909</v>
      </c>
      <c t="s">
        <v>33048</v>
      </c>
      <c t="s">
        <v>48794</v>
      </c>
      <c t="s">
        <v>63345</v>
      </c>
      <c>
        <v>184</v>
      </c>
      <c r="AI5270" t="s">
        <v>28744</v>
      </c>
      <c t="s">
        <v>1671</v>
      </c>
      <c r="AL5270" t="s">
        <v>53134</v>
      </c>
      <c t="s">
        <v>53134</v>
      </c>
      <c t="s">
        <v>47028</v>
      </c>
      <c t="s">
        <v>6886</v>
      </c>
      <c t="s">
        <v>22152</v>
      </c>
      <c t="s">
        <v>3093</v>
      </c>
      <c t="s">
        <v>53734</v>
      </c>
    </row>
    <row>
      <c t="s">
        <v>17594</v>
      </c>
      <c t="s">
        <v>13791</v>
      </c>
      <c t="s">
        <v>8243</v>
      </c>
      <c t="s">
        <v>31003</v>
      </c>
      <c t="s">
        <v>64088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2017</v>
      </c>
      <c>
        <v>144.16</v>
      </c>
      <c s="1" t="str">
        <f ca="1">HYPERLINK("https://web.datatree.com/?/property?propertyId=34077210", "https://web.datatree.com/?/property?propertyId=34077210")</f>
        <v>https://web.datatree.com/?/property?propertyId=34077210</v>
      </c>
      <c r="Q5271" t="s">
        <v>316</v>
      </c>
      <c>
        <v>0.23</v>
      </c>
      <c t="s">
        <v>6175</v>
      </c>
      <c t="s">
        <v>18510</v>
      </c>
      <c t="s">
        <v>23950</v>
      </c>
      <c r="X5271" t="s">
        <v>23643</v>
      </c>
      <c t="s">
        <v>34136</v>
      </c>
      <c t="s">
        <v>2517</v>
      </c>
      <c t="s">
        <v>39289</v>
      </c>
      <c>
        <v>33909</v>
      </c>
      <c t="s">
        <v>58381</v>
      </c>
      <c t="s">
        <v>48794</v>
      </c>
      <c t="s">
        <v>7721</v>
      </c>
      <c>
        <v>3608</v>
      </c>
      <c r="AI5271" t="s">
        <v>30997</v>
      </c>
      <c t="s">
        <v>45620</v>
      </c>
      <c r="AL5271" t="s">
        <v>47160</v>
      </c>
      <c t="s">
        <v>47160</v>
      </c>
      <c t="s">
        <v>39289</v>
      </c>
      <c t="s">
        <v>33201</v>
      </c>
      <c t="s">
        <v>62701</v>
      </c>
      <c t="s">
        <v>3093</v>
      </c>
      <c t="s">
        <v>24669</v>
      </c>
    </row>
    <row>
      <c t="s">
        <v>17594</v>
      </c>
      <c t="s">
        <v>52739</v>
      </c>
      <c t="s">
        <v>61444</v>
      </c>
      <c t="s">
        <v>48106</v>
      </c>
      <c t="s">
        <v>34102</v>
      </c>
      <c s="3">
        <v>8607</v>
      </c>
      <c s="3">
        <v>8607</v>
      </c>
      <c s="3">
        <v>4972</v>
      </c>
      <c>
        <v>0</v>
      </c>
      <c s="3">
        <v>0</v>
      </c>
      <c s="3">
        <v>315.35</v>
      </c>
      <c s="3">
        <v>8607</v>
      </c>
      <c r="O5272" s="1" t="str">
        <f ca="1">HYPERLINK("https://web.datatree.com/?/property?propertyId=34077538", "https://web.datatree.com/?/property?propertyId=34077538")</f>
        <v>https://web.datatree.com/?/property?propertyId=34077538</v>
      </c>
      <c r="Q5272" t="s">
        <v>316</v>
      </c>
      <c>
        <v>0.231</v>
      </c>
      <c t="s">
        <v>5471</v>
      </c>
      <c t="s">
        <v>30591</v>
      </c>
      <c t="s">
        <v>45445</v>
      </c>
      <c r="X5272" t="s">
        <v>53582</v>
      </c>
      <c t="s">
        <v>19394</v>
      </c>
      <c t="s">
        <v>65059</v>
      </c>
      <c t="s">
        <v>39289</v>
      </c>
      <c>
        <v>33905</v>
      </c>
      <c t="s">
        <v>22045</v>
      </c>
      <c t="s">
        <v>48794</v>
      </c>
      <c t="s">
        <v>58418</v>
      </c>
      <c>
        <v>597</v>
      </c>
      <c r="AI5272" t="s">
        <v>34627</v>
      </c>
      <c t="s">
        <v>31192</v>
      </c>
      <c r="AL5272" t="s">
        <v>55351</v>
      </c>
      <c r="AN5272" t="s">
        <v>50917</v>
      </c>
      <c t="s">
        <v>22333</v>
      </c>
      <c t="s">
        <v>17380</v>
      </c>
      <c t="s">
        <v>3093</v>
      </c>
      <c t="s">
        <v>17472</v>
      </c>
    </row>
    <row>
      <c t="s">
        <v>17594</v>
      </c>
      <c t="s">
        <v>63017</v>
      </c>
      <c t="s">
        <v>3070</v>
      </c>
      <c t="s">
        <v>28331</v>
      </c>
      <c t="s">
        <v>42774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5273" s="1" t="str">
        <f ca="1">HYPERLINK("https://web.datatree.com/?/property?propertyId=34077766", "https://web.datatree.com/?/property?propertyId=34077766")</f>
        <v>https://web.datatree.com/?/property?propertyId=34077766</v>
      </c>
      <c r="Q5273" t="s">
        <v>316</v>
      </c>
      <c>
        <v>0.241</v>
      </c>
      <c t="s">
        <v>28270</v>
      </c>
      <c t="s">
        <v>16200</v>
      </c>
      <c t="s">
        <v>26341</v>
      </c>
      <c t="s">
        <v>35852</v>
      </c>
      <c t="s">
        <v>17648</v>
      </c>
      <c t="s">
        <v>2978</v>
      </c>
      <c t="s">
        <v>14534</v>
      </c>
      <c t="s">
        <v>2517</v>
      </c>
      <c t="s">
        <v>39289</v>
      </c>
      <c>
        <v>33909</v>
      </c>
      <c t="s">
        <v>13693</v>
      </c>
      <c t="s">
        <v>48794</v>
      </c>
      <c t="s">
        <v>61094</v>
      </c>
      <c>
        <v>205</v>
      </c>
      <c r="AH5273" t="s">
        <v>63047</v>
      </c>
      <c t="s">
        <v>58291</v>
      </c>
      <c t="s">
        <v>31192</v>
      </c>
      <c r="AL5273" t="s">
        <v>53927</v>
      </c>
      <c r="AN5273" t="s">
        <v>32576</v>
      </c>
      <c t="s">
        <v>13004</v>
      </c>
      <c t="s">
        <v>27780</v>
      </c>
      <c t="s">
        <v>3093</v>
      </c>
      <c t="s">
        <v>37881</v>
      </c>
    </row>
    <row>
      <c t="s">
        <v>17594</v>
      </c>
      <c t="s">
        <v>59222</v>
      </c>
      <c t="s">
        <v>46011</v>
      </c>
      <c t="s">
        <v>44530</v>
      </c>
      <c t="s">
        <v>33034</v>
      </c>
      <c s="3">
        <v>22891</v>
      </c>
      <c s="3">
        <v>22891</v>
      </c>
      <c s="3">
        <v>9570</v>
      </c>
      <c>
        <v>0</v>
      </c>
      <c s="3">
        <v>0</v>
      </c>
      <c s="3">
        <v>603.98</v>
      </c>
      <c s="3">
        <v>22891</v>
      </c>
      <c r="O5274" s="1" t="str">
        <f ca="1">HYPERLINK("https://web.datatree.com/?/property?propertyId=34077917", "https://web.datatree.com/?/property?propertyId=34077917")</f>
        <v>https://web.datatree.com/?/property?propertyId=34077917</v>
      </c>
      <c r="Q5274" t="s">
        <v>316</v>
      </c>
      <c>
        <v>0.232</v>
      </c>
      <c t="s">
        <v>45031</v>
      </c>
      <c t="s">
        <v>57980</v>
      </c>
      <c t="s">
        <v>10491</v>
      </c>
      <c r="X5274" t="s">
        <v>43282</v>
      </c>
      <c t="s">
        <v>29190</v>
      </c>
      <c t="s">
        <v>2517</v>
      </c>
      <c t="s">
        <v>39289</v>
      </c>
      <c>
        <v>33909</v>
      </c>
      <c t="s">
        <v>28033</v>
      </c>
      <c t="s">
        <v>48794</v>
      </c>
      <c t="s">
        <v>55217</v>
      </c>
      <c>
        <v>2928</v>
      </c>
      <c r="AI5274" t="s">
        <v>9848</v>
      </c>
      <c t="s">
        <v>31192</v>
      </c>
      <c r="AL5274" t="s">
        <v>45749</v>
      </c>
      <c r="AN5274" t="s">
        <v>65451</v>
      </c>
      <c t="s">
        <v>59907</v>
      </c>
      <c t="s">
        <v>22455</v>
      </c>
      <c t="s">
        <v>3093</v>
      </c>
      <c t="s">
        <v>156</v>
      </c>
    </row>
    <row>
      <c t="s">
        <v>42103</v>
      </c>
      <c t="s">
        <v>10775</v>
      </c>
      <c t="s">
        <v>8310</v>
      </c>
      <c t="s">
        <v>45970</v>
      </c>
      <c t="s">
        <v>39968</v>
      </c>
      <c s="3">
        <v>8600</v>
      </c>
      <c s="3">
        <v>8600</v>
      </c>
      <c s="3">
        <v>8600</v>
      </c>
      <c>
        <v>0</v>
      </c>
      <c s="3">
        <v>0</v>
      </c>
      <c s="3">
        <v>2830.55</v>
      </c>
      <c s="3">
        <v>8600</v>
      </c>
      <c r="O5275" s="1" t="str">
        <f ca="1">HYPERLINK("https://web.datatree.com/?/property?propertyId=34078297", "https://web.datatree.com/?/property?propertyId=34078297")</f>
        <v>https://web.datatree.com/?/property?propertyId=34078297</v>
      </c>
      <c r="Q5275" t="s">
        <v>316</v>
      </c>
      <c>
        <v>0.23</v>
      </c>
      <c t="s">
        <v>6175</v>
      </c>
      <c t="s">
        <v>31169</v>
      </c>
      <c t="s">
        <v>35412</v>
      </c>
      <c t="s">
        <v>64649</v>
      </c>
      <c t="s">
        <v>35412</v>
      </c>
      <c t="s">
        <v>64892</v>
      </c>
      <c t="s">
        <v>59356</v>
      </c>
      <c t="s">
        <v>2517</v>
      </c>
      <c t="s">
        <v>39289</v>
      </c>
      <c>
        <v>33909</v>
      </c>
      <c t="s">
        <v>28519</v>
      </c>
      <c t="s">
        <v>48794</v>
      </c>
      <c t="s">
        <v>50993</v>
      </c>
      <c r="AI5275" t="s">
        <v>3218</v>
      </c>
      <c r="AL5275" t="s">
        <v>34098</v>
      </c>
      <c r="AN5275" t="s">
        <v>50917</v>
      </c>
      <c>
        <v>12515</v>
      </c>
      <c t="s">
        <v>61509</v>
      </c>
      <c t="s">
        <v>3093</v>
      </c>
      <c t="s">
        <v>33483</v>
      </c>
    </row>
    <row>
      <c t="s">
        <v>17594</v>
      </c>
      <c t="s">
        <v>32219</v>
      </c>
      <c t="s">
        <v>38091</v>
      </c>
      <c t="s">
        <v>18117</v>
      </c>
      <c t="s">
        <v>24388</v>
      </c>
      <c s="3">
        <v>29760</v>
      </c>
      <c s="3">
        <v>29760</v>
      </c>
      <c s="3">
        <v>10120</v>
      </c>
      <c>
        <v>0</v>
      </c>
      <c s="3">
        <v>0</v>
      </c>
      <c s="3">
        <v>714.28</v>
      </c>
      <c s="3">
        <v>29760</v>
      </c>
      <c r="O5276" s="1" t="str">
        <f ca="1">HYPERLINK("https://web.datatree.com/?/property?propertyId=34078556", "https://web.datatree.com/?/property?propertyId=34078556")</f>
        <v>https://web.datatree.com/?/property?propertyId=34078556</v>
      </c>
      <c r="Q5276" t="s">
        <v>316</v>
      </c>
      <c>
        <v>0.354</v>
      </c>
      <c t="s">
        <v>22490</v>
      </c>
      <c t="s">
        <v>61072</v>
      </c>
      <c t="s">
        <v>49256</v>
      </c>
      <c r="X5276" t="s">
        <v>16600</v>
      </c>
      <c t="s">
        <v>14534</v>
      </c>
      <c t="s">
        <v>2517</v>
      </c>
      <c t="s">
        <v>39289</v>
      </c>
      <c>
        <v>33909</v>
      </c>
      <c>
        <v>33909</v>
      </c>
      <c t="s">
        <v>48794</v>
      </c>
      <c t="s">
        <v>56734</v>
      </c>
      <c>
        <v>132</v>
      </c>
      <c r="AI5276" t="s">
        <v>46578</v>
      </c>
      <c t="s">
        <v>31192</v>
      </c>
      <c r="AL5276" t="s">
        <v>61981</v>
      </c>
      <c r="AN5276" t="s">
        <v>22275</v>
      </c>
      <c t="s">
        <v>20859</v>
      </c>
      <c t="s">
        <v>43446</v>
      </c>
      <c t="s">
        <v>3093</v>
      </c>
      <c t="s">
        <v>23599</v>
      </c>
    </row>
    <row>
      <c t="s">
        <v>17594</v>
      </c>
      <c t="s">
        <v>28090</v>
      </c>
      <c t="s">
        <v>26014</v>
      </c>
      <c t="s">
        <v>50377</v>
      </c>
      <c t="s">
        <v>30458</v>
      </c>
      <c s="3">
        <v>8600</v>
      </c>
      <c s="3">
        <v>8600</v>
      </c>
      <c s="3">
        <v>8600</v>
      </c>
      <c>
        <v>0</v>
      </c>
      <c s="3">
        <v>0</v>
      </c>
      <c s="3">
        <v>573.95</v>
      </c>
      <c s="3">
        <v>8600</v>
      </c>
      <c>
        <v>2020</v>
      </c>
      <c>
        <v>1709.61</v>
      </c>
      <c s="1" t="str">
        <f ca="1">HYPERLINK("https://web.datatree.com/?/property?propertyId=34078587", "https://web.datatree.com/?/property?propertyId=34078587")</f>
        <v>https://web.datatree.com/?/property?propertyId=34078587</v>
      </c>
      <c r="Q5277" t="s">
        <v>316</v>
      </c>
      <c>
        <v>0.23</v>
      </c>
      <c t="s">
        <v>6175</v>
      </c>
      <c t="s">
        <v>60638</v>
      </c>
      <c t="s">
        <v>45445</v>
      </c>
      <c r="X5277" t="s">
        <v>6608</v>
      </c>
      <c t="s">
        <v>61865</v>
      </c>
      <c t="s">
        <v>2517</v>
      </c>
      <c t="s">
        <v>39289</v>
      </c>
      <c>
        <v>33909</v>
      </c>
      <c t="s">
        <v>42603</v>
      </c>
      <c t="s">
        <v>48794</v>
      </c>
      <c t="s">
        <v>50997</v>
      </c>
      <c>
        <v>1214</v>
      </c>
      <c r="AI5277" t="s">
        <v>58726</v>
      </c>
      <c t="s">
        <v>31192</v>
      </c>
      <c r="AL5277" t="s">
        <v>8628</v>
      </c>
      <c t="s">
        <v>8628</v>
      </c>
      <c t="s">
        <v>39289</v>
      </c>
      <c t="s">
        <v>47013</v>
      </c>
      <c t="s">
        <v>49695</v>
      </c>
      <c t="s">
        <v>3093</v>
      </c>
      <c t="s">
        <v>66267</v>
      </c>
    </row>
    <row>
      <c t="s">
        <v>17594</v>
      </c>
      <c t="s">
        <v>30055</v>
      </c>
      <c t="s">
        <v>22053</v>
      </c>
      <c t="s">
        <v>51711</v>
      </c>
      <c t="s">
        <v>14523</v>
      </c>
      <c s="3">
        <v>72463</v>
      </c>
      <c s="3">
        <v>63500</v>
      </c>
      <c s="3">
        <v>70678</v>
      </c>
      <c>
        <v>0</v>
      </c>
      <c s="3">
        <v>0</v>
      </c>
      <c s="3">
        <v>1072.98</v>
      </c>
      <c s="3">
        <v>72463</v>
      </c>
      <c r="O5278" s="1" t="str">
        <f ca="1">HYPERLINK("https://web.datatree.com/?/property?propertyId=34078763", "https://web.datatree.com/?/property?propertyId=34078763")</f>
        <v>https://web.datatree.com/?/property?propertyId=34078763</v>
      </c>
      <c r="Q5278" t="s">
        <v>316</v>
      </c>
      <c>
        <v>0.095</v>
      </c>
      <c t="s">
        <v>26492</v>
      </c>
      <c t="s">
        <v>3293</v>
      </c>
      <c t="s">
        <v>14050</v>
      </c>
      <c t="s">
        <v>1611</v>
      </c>
      <c t="s">
        <v>14050</v>
      </c>
      <c t="s">
        <v>20347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51212</v>
      </c>
      <c>
        <v>5864</v>
      </c>
      <c r="AI5278" t="s">
        <v>13816</v>
      </c>
      <c t="s">
        <v>45620</v>
      </c>
      <c r="AL5278" t="s">
        <v>45541</v>
      </c>
      <c t="s">
        <v>40227</v>
      </c>
      <c t="s">
        <v>50917</v>
      </c>
      <c t="s">
        <v>53520</v>
      </c>
      <c t="s">
        <v>44428</v>
      </c>
      <c t="s">
        <v>3093</v>
      </c>
      <c t="s">
        <v>57527</v>
      </c>
    </row>
    <row>
      <c t="s">
        <v>17594</v>
      </c>
      <c t="s">
        <v>21769</v>
      </c>
      <c t="s">
        <v>18472</v>
      </c>
      <c t="s">
        <v>33934</v>
      </c>
      <c t="s">
        <v>48109</v>
      </c>
      <c s="3">
        <v>20002</v>
      </c>
      <c s="3">
        <v>20002</v>
      </c>
      <c s="3">
        <v>20002</v>
      </c>
      <c>
        <v>0</v>
      </c>
      <c s="3">
        <v>0</v>
      </c>
      <c s="3">
        <v>670.68</v>
      </c>
      <c s="3">
        <v>20002</v>
      </c>
      <c r="O5279" s="1" t="str">
        <f ca="1">HYPERLINK("https://web.datatree.com/?/property?propertyId=34079539", "https://web.datatree.com/?/property?propertyId=34079539")</f>
        <v>https://web.datatree.com/?/property?propertyId=34079539</v>
      </c>
      <c r="Q5279" t="s">
        <v>316</v>
      </c>
      <c>
        <v>0.23</v>
      </c>
      <c t="s">
        <v>45031</v>
      </c>
      <c t="s">
        <v>27351</v>
      </c>
      <c t="s">
        <v>8218</v>
      </c>
      <c t="s">
        <v>60671</v>
      </c>
      <c t="s">
        <v>8218</v>
      </c>
      <c t="s">
        <v>16317</v>
      </c>
      <c t="s">
        <v>18679</v>
      </c>
      <c t="s">
        <v>2517</v>
      </c>
      <c t="s">
        <v>39289</v>
      </c>
      <c>
        <v>33909</v>
      </c>
      <c t="s">
        <v>14059</v>
      </c>
      <c t="s">
        <v>48794</v>
      </c>
      <c t="s">
        <v>8647</v>
      </c>
      <c>
        <v>20</v>
      </c>
      <c r="AI5279" t="s">
        <v>34717</v>
      </c>
      <c t="s">
        <v>45620</v>
      </c>
      <c r="AL5279" t="s">
        <v>60324</v>
      </c>
      <c r="AN5279" t="s">
        <v>26016</v>
      </c>
      <c t="s">
        <v>3282</v>
      </c>
      <c t="s">
        <v>60160</v>
      </c>
      <c t="s">
        <v>3093</v>
      </c>
      <c t="s">
        <v>1912</v>
      </c>
    </row>
    <row>
      <c t="s">
        <v>17594</v>
      </c>
      <c t="s">
        <v>12056</v>
      </c>
      <c t="s">
        <v>27218</v>
      </c>
      <c t="s">
        <v>66602</v>
      </c>
      <c t="s">
        <v>28755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 r="O5280" s="1" t="str">
        <f ca="1">HYPERLINK("https://web.datatree.com/?/property?propertyId=34080092", "https://web.datatree.com/?/property?propertyId=34080092")</f>
        <v>https://web.datatree.com/?/property?propertyId=34080092</v>
      </c>
      <c r="Q5280" t="s">
        <v>316</v>
      </c>
      <c>
        <v>0.23</v>
      </c>
      <c t="s">
        <v>6175</v>
      </c>
      <c t="s">
        <v>50366</v>
      </c>
      <c t="s">
        <v>63506</v>
      </c>
      <c t="s">
        <v>46541</v>
      </c>
      <c t="s">
        <v>63506</v>
      </c>
      <c t="s">
        <v>44476</v>
      </c>
      <c t="s">
        <v>13829</v>
      </c>
      <c t="s">
        <v>2517</v>
      </c>
      <c t="s">
        <v>39289</v>
      </c>
      <c>
        <v>33909</v>
      </c>
      <c t="s">
        <v>56545</v>
      </c>
      <c t="s">
        <v>48794</v>
      </c>
      <c t="s">
        <v>59249</v>
      </c>
      <c>
        <v>1707</v>
      </c>
      <c r="AI5280" t="s">
        <v>21688</v>
      </c>
      <c t="s">
        <v>24900</v>
      </c>
      <c r="AL5280" t="s">
        <v>47177</v>
      </c>
      <c t="s">
        <v>47177</v>
      </c>
      <c t="s">
        <v>65451</v>
      </c>
      <c t="s">
        <v>1724</v>
      </c>
      <c t="s">
        <v>62830</v>
      </c>
      <c t="s">
        <v>3093</v>
      </c>
      <c t="s">
        <v>25426</v>
      </c>
    </row>
    <row>
      <c t="s">
        <v>17594</v>
      </c>
      <c t="s">
        <v>55755</v>
      </c>
      <c t="s">
        <v>52130</v>
      </c>
      <c t="s">
        <v>60392</v>
      </c>
      <c t="s">
        <v>64944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281" s="1" t="str">
        <f ca="1">HYPERLINK("https://web.datatree.com/?/property?propertyId=34081015", "https://web.datatree.com/?/property?propertyId=34081015")</f>
        <v>https://web.datatree.com/?/property?propertyId=34081015</v>
      </c>
      <c r="Q5281" t="s">
        <v>316</v>
      </c>
      <c>
        <v>0.23</v>
      </c>
      <c t="s">
        <v>22490</v>
      </c>
      <c t="s">
        <v>6312</v>
      </c>
      <c t="s">
        <v>18223</v>
      </c>
      <c r="X5281" t="s">
        <v>63797</v>
      </c>
      <c t="s">
        <v>30928</v>
      </c>
      <c t="s">
        <v>2517</v>
      </c>
      <c t="s">
        <v>39289</v>
      </c>
      <c>
        <v>33909</v>
      </c>
      <c>
        <v>33909</v>
      </c>
      <c t="s">
        <v>48794</v>
      </c>
      <c t="s">
        <v>11212</v>
      </c>
      <c>
        <v>6946</v>
      </c>
      <c r="AH5281" t="s">
        <v>63047</v>
      </c>
      <c t="s">
        <v>34898</v>
      </c>
      <c t="s">
        <v>1671</v>
      </c>
      <c r="AL5281" t="s">
        <v>1661</v>
      </c>
      <c r="AN5281" t="s">
        <v>51137</v>
      </c>
      <c t="s">
        <v>9806</v>
      </c>
      <c t="s">
        <v>39331</v>
      </c>
      <c t="s">
        <v>3093</v>
      </c>
      <c t="s">
        <v>36459</v>
      </c>
    </row>
    <row>
      <c t="s">
        <v>17594</v>
      </c>
      <c t="s">
        <v>46802</v>
      </c>
      <c t="s">
        <v>63828</v>
      </c>
      <c t="s">
        <v>59009</v>
      </c>
      <c t="s">
        <v>66510</v>
      </c>
      <c s="3">
        <v>28022</v>
      </c>
      <c s="3">
        <v>28022</v>
      </c>
      <c s="3">
        <v>10560</v>
      </c>
      <c>
        <v>0</v>
      </c>
      <c s="3">
        <v>0</v>
      </c>
      <c s="3">
        <v>732.67</v>
      </c>
      <c s="3">
        <v>28022</v>
      </c>
      <c r="O5282" s="1" t="str">
        <f ca="1">HYPERLINK("https://web.datatree.com/?/property?propertyId=34081080", "https://web.datatree.com/?/property?propertyId=34081080")</f>
        <v>https://web.datatree.com/?/property?propertyId=34081080</v>
      </c>
      <c r="Q5282" t="s">
        <v>316</v>
      </c>
      <c>
        <v>0.344</v>
      </c>
      <c t="s">
        <v>22490</v>
      </c>
      <c t="s">
        <v>32015</v>
      </c>
      <c t="s">
        <v>33529</v>
      </c>
      <c t="s">
        <v>46801</v>
      </c>
      <c t="s">
        <v>37254</v>
      </c>
      <c t="s">
        <v>29101</v>
      </c>
      <c t="s">
        <v>60363</v>
      </c>
      <c t="s">
        <v>2517</v>
      </c>
      <c t="s">
        <v>39289</v>
      </c>
      <c>
        <v>33909</v>
      </c>
      <c t="s">
        <v>18620</v>
      </c>
      <c t="s">
        <v>48794</v>
      </c>
      <c t="s">
        <v>33781</v>
      </c>
      <c>
        <v>12224</v>
      </c>
      <c r="AI5282">
        <v>306</v>
      </c>
      <c r="AL5282" t="s">
        <v>46989</v>
      </c>
      <c t="s">
        <v>6365</v>
      </c>
      <c t="s">
        <v>39289</v>
      </c>
      <c>
        <v>33323</v>
      </c>
      <c r="AQ5282" t="s">
        <v>3093</v>
      </c>
      <c t="s">
        <v>51754</v>
      </c>
    </row>
    <row>
      <c t="s">
        <v>17594</v>
      </c>
      <c t="s">
        <v>16835</v>
      </c>
      <c t="s">
        <v>25888</v>
      </c>
      <c t="s">
        <v>33819</v>
      </c>
      <c t="s">
        <v>16485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283" s="1" t="str">
        <f ca="1">HYPERLINK("https://web.datatree.com/?/property?propertyId=34081141", "https://web.datatree.com/?/property?propertyId=34081141")</f>
        <v>https://web.datatree.com/?/property?propertyId=34081141</v>
      </c>
      <c r="Q5283" t="s">
        <v>316</v>
      </c>
      <c>
        <v>0.23</v>
      </c>
      <c t="s">
        <v>22490</v>
      </c>
      <c t="s">
        <v>2645</v>
      </c>
      <c t="s">
        <v>21699</v>
      </c>
      <c r="X5283" t="s">
        <v>6653</v>
      </c>
      <c t="s">
        <v>44061</v>
      </c>
      <c t="s">
        <v>2517</v>
      </c>
      <c t="s">
        <v>39289</v>
      </c>
      <c>
        <v>33909</v>
      </c>
      <c>
        <v>33909</v>
      </c>
      <c t="s">
        <v>48794</v>
      </c>
      <c t="s">
        <v>43458</v>
      </c>
      <c t="s">
        <v>19708</v>
      </c>
      <c r="AI5283" t="s">
        <v>19644</v>
      </c>
      <c r="AL5283" t="s">
        <v>63815</v>
      </c>
      <c r="AN5283" t="s">
        <v>27747</v>
      </c>
      <c>
        <v>1252</v>
      </c>
      <c r="AR5283" t="s">
        <v>10683</v>
      </c>
    </row>
    <row>
      <c t="s">
        <v>17594</v>
      </c>
      <c t="s">
        <v>24646</v>
      </c>
      <c t="s">
        <v>12325</v>
      </c>
      <c t="s">
        <v>50587</v>
      </c>
      <c t="s">
        <v>31670</v>
      </c>
      <c s="3">
        <v>73711</v>
      </c>
      <c s="3">
        <v>64551</v>
      </c>
      <c s="3">
        <v>70654</v>
      </c>
      <c>
        <v>0</v>
      </c>
      <c s="3">
        <v>0</v>
      </c>
      <c s="3">
        <v>1079.69</v>
      </c>
      <c s="3">
        <v>73711</v>
      </c>
      <c r="O5284" s="1" t="str">
        <f ca="1">HYPERLINK("https://web.datatree.com/?/property?propertyId=34081286", "https://web.datatree.com/?/property?propertyId=34081286")</f>
        <v>https://web.datatree.com/?/property?propertyId=34081286</v>
      </c>
      <c r="Q5284" t="s">
        <v>316</v>
      </c>
      <c>
        <v>0.109</v>
      </c>
      <c t="s">
        <v>26492</v>
      </c>
      <c t="s">
        <v>39574</v>
      </c>
      <c t="s">
        <v>62136</v>
      </c>
      <c t="s">
        <v>26502</v>
      </c>
      <c t="s">
        <v>62136</v>
      </c>
      <c t="s">
        <v>59350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20571</v>
      </c>
      <c>
        <v>3867</v>
      </c>
      <c r="AI5284" t="s">
        <v>640</v>
      </c>
      <c t="s">
        <v>40123</v>
      </c>
      <c r="AL5284" t="s">
        <v>18719</v>
      </c>
      <c t="s">
        <v>18719</v>
      </c>
      <c t="s">
        <v>64156</v>
      </c>
      <c t="s">
        <v>20925</v>
      </c>
      <c t="s">
        <v>58683</v>
      </c>
      <c t="s">
        <v>3093</v>
      </c>
      <c t="s">
        <v>18436</v>
      </c>
    </row>
    <row>
      <c t="s">
        <v>17594</v>
      </c>
      <c t="s">
        <v>3362</v>
      </c>
      <c t="s">
        <v>57796</v>
      </c>
      <c t="s">
        <v>29484</v>
      </c>
      <c t="s">
        <v>49071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5285" s="1" t="str">
        <f ca="1">HYPERLINK("https://web.datatree.com/?/property?propertyId=34081540", "https://web.datatree.com/?/property?propertyId=34081540")</f>
        <v>https://web.datatree.com/?/property?propertyId=34081540</v>
      </c>
      <c r="Q5285" t="s">
        <v>316</v>
      </c>
      <c>
        <v>0.23</v>
      </c>
      <c t="s">
        <v>22490</v>
      </c>
      <c t="s">
        <v>1949</v>
      </c>
      <c t="s">
        <v>49325</v>
      </c>
      <c r="X5285" t="s">
        <v>60636</v>
      </c>
      <c t="s">
        <v>10653</v>
      </c>
      <c t="s">
        <v>2517</v>
      </c>
      <c t="s">
        <v>39289</v>
      </c>
      <c>
        <v>33909</v>
      </c>
      <c t="s">
        <v>30438</v>
      </c>
      <c t="s">
        <v>48794</v>
      </c>
      <c t="s">
        <v>1578</v>
      </c>
      <c>
        <v>1</v>
      </c>
      <c r="AI5285" t="s">
        <v>6655</v>
      </c>
      <c r="AL5285" t="s">
        <v>35329</v>
      </c>
      <c r="AN5285" t="s">
        <v>2120</v>
      </c>
      <c>
        <v>9010</v>
      </c>
      <c r="AR5285" t="s">
        <v>53759</v>
      </c>
    </row>
    <row>
      <c t="s">
        <v>17594</v>
      </c>
      <c t="s">
        <v>24030</v>
      </c>
      <c t="s">
        <v>61418</v>
      </c>
      <c t="s">
        <v>57465</v>
      </c>
      <c t="s">
        <v>1789</v>
      </c>
      <c s="3">
        <v>77398</v>
      </c>
      <c s="3">
        <v>63500</v>
      </c>
      <c s="3">
        <v>77398</v>
      </c>
      <c>
        <v>0</v>
      </c>
      <c s="3">
        <v>0</v>
      </c>
      <c s="3">
        <v>1163.66</v>
      </c>
      <c s="3">
        <v>77398</v>
      </c>
      <c r="O5286" s="1" t="str">
        <f ca="1">HYPERLINK("https://web.datatree.com/?/property?propertyId=34082990", "https://web.datatree.com/?/property?propertyId=34082990")</f>
        <v>https://web.datatree.com/?/property?propertyId=34082990</v>
      </c>
      <c r="Q5286" t="s">
        <v>316</v>
      </c>
      <c>
        <v>0.11</v>
      </c>
      <c t="s">
        <v>26492</v>
      </c>
      <c t="s">
        <v>33168</v>
      </c>
      <c t="s">
        <v>48582</v>
      </c>
      <c t="s">
        <v>38445</v>
      </c>
      <c t="s">
        <v>48582</v>
      </c>
      <c t="s">
        <v>37763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5537</v>
      </c>
      <c>
        <v>3916</v>
      </c>
      <c r="AI5286" t="s">
        <v>16991</v>
      </c>
      <c t="s">
        <v>24900</v>
      </c>
      <c>
        <v>764</v>
      </c>
      <c t="s">
        <v>62109</v>
      </c>
      <c t="s">
        <v>62109</v>
      </c>
      <c t="s">
        <v>40451</v>
      </c>
      <c t="s">
        <v>53758</v>
      </c>
      <c t="s">
        <v>51114</v>
      </c>
      <c t="s">
        <v>3093</v>
      </c>
      <c t="s">
        <v>44123</v>
      </c>
    </row>
    <row>
      <c t="s">
        <v>17594</v>
      </c>
      <c t="s">
        <v>9521</v>
      </c>
      <c t="s">
        <v>65644</v>
      </c>
      <c t="s">
        <v>19080</v>
      </c>
      <c t="s">
        <v>44548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5287" s="1" t="str">
        <f ca="1">HYPERLINK("https://web.datatree.com/?/property?propertyId=34083060", "https://web.datatree.com/?/property?propertyId=34083060")</f>
        <v>https://web.datatree.com/?/property?propertyId=34083060</v>
      </c>
      <c r="Q5287" t="s">
        <v>316</v>
      </c>
      <c>
        <v>0.23</v>
      </c>
      <c t="s">
        <v>22490</v>
      </c>
      <c t="s">
        <v>3408</v>
      </c>
      <c t="s">
        <v>34217</v>
      </c>
      <c r="X5287" t="s">
        <v>13628</v>
      </c>
      <c t="s">
        <v>2626</v>
      </c>
      <c t="s">
        <v>2517</v>
      </c>
      <c t="s">
        <v>39289</v>
      </c>
      <c>
        <v>33909</v>
      </c>
      <c t="s">
        <v>8921</v>
      </c>
      <c t="s">
        <v>48794</v>
      </c>
      <c t="s">
        <v>15691</v>
      </c>
      <c>
        <v>7696</v>
      </c>
      <c r="AI5287" t="s">
        <v>46469</v>
      </c>
      <c t="s">
        <v>40123</v>
      </c>
      <c>
        <v>42</v>
      </c>
      <c t="s">
        <v>54231</v>
      </c>
      <c t="s">
        <v>54231</v>
      </c>
      <c t="s">
        <v>39289</v>
      </c>
      <c t="s">
        <v>61860</v>
      </c>
      <c t="s">
        <v>1951</v>
      </c>
      <c t="s">
        <v>3093</v>
      </c>
      <c t="s">
        <v>35668</v>
      </c>
    </row>
    <row>
      <c t="s">
        <v>17594</v>
      </c>
      <c t="s">
        <v>29396</v>
      </c>
      <c t="s">
        <v>42545</v>
      </c>
      <c t="s">
        <v>52906</v>
      </c>
      <c t="s">
        <v>38770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5288" s="1" t="str">
        <f ca="1">HYPERLINK("https://web.datatree.com/?/property?propertyId=34083195", "https://web.datatree.com/?/property?propertyId=34083195")</f>
        <v>https://web.datatree.com/?/property?propertyId=34083195</v>
      </c>
      <c r="Q5288" t="s">
        <v>316</v>
      </c>
      <c>
        <v>0.252</v>
      </c>
      <c t="s">
        <v>6175</v>
      </c>
      <c t="s">
        <v>64638</v>
      </c>
      <c t="s">
        <v>28731</v>
      </c>
      <c t="s">
        <v>10301</v>
      </c>
      <c t="s">
        <v>28731</v>
      </c>
      <c t="s">
        <v>6183</v>
      </c>
      <c t="s">
        <v>61865</v>
      </c>
      <c t="s">
        <v>2517</v>
      </c>
      <c t="s">
        <v>39289</v>
      </c>
      <c>
        <v>33909</v>
      </c>
      <c t="s">
        <v>18789</v>
      </c>
      <c t="s">
        <v>48794</v>
      </c>
      <c t="s">
        <v>45446</v>
      </c>
      <c>
        <v>74</v>
      </c>
      <c r="AI5288" t="s">
        <v>33745</v>
      </c>
      <c t="s">
        <v>31192</v>
      </c>
      <c r="AL5288" t="s">
        <v>36113</v>
      </c>
      <c r="AN5288" t="s">
        <v>26016</v>
      </c>
      <c t="s">
        <v>65004</v>
      </c>
      <c t="s">
        <v>26242</v>
      </c>
      <c t="s">
        <v>3093</v>
      </c>
      <c t="s">
        <v>22075</v>
      </c>
    </row>
    <row>
      <c t="s">
        <v>17594</v>
      </c>
      <c t="s">
        <v>9328</v>
      </c>
      <c t="s">
        <v>58601</v>
      </c>
      <c t="s">
        <v>64844</v>
      </c>
      <c t="s">
        <v>25962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289" s="1" t="str">
        <f ca="1">HYPERLINK("https://web.datatree.com/?/property?propertyId=34084282", "https://web.datatree.com/?/property?propertyId=34084282")</f>
        <v>https://web.datatree.com/?/property?propertyId=34084282</v>
      </c>
      <c r="Q5289" t="s">
        <v>316</v>
      </c>
      <c>
        <v>0.23</v>
      </c>
      <c t="s">
        <v>6175</v>
      </c>
      <c t="s">
        <v>44541</v>
      </c>
      <c t="s">
        <v>21567</v>
      </c>
      <c r="X5289" t="s">
        <v>50167</v>
      </c>
      <c t="s">
        <v>2626</v>
      </c>
      <c t="s">
        <v>2517</v>
      </c>
      <c t="s">
        <v>39289</v>
      </c>
      <c>
        <v>33909</v>
      </c>
      <c t="s">
        <v>1118</v>
      </c>
      <c t="s">
        <v>48794</v>
      </c>
      <c t="s">
        <v>3325</v>
      </c>
      <c>
        <v>11</v>
      </c>
      <c r="AI5289" t="s">
        <v>47176</v>
      </c>
      <c t="s">
        <v>31192</v>
      </c>
      <c r="AL5289" t="s">
        <v>52357</v>
      </c>
      <c r="AN5289" t="s">
        <v>50917</v>
      </c>
      <c t="s">
        <v>11062</v>
      </c>
      <c t="s">
        <v>52247</v>
      </c>
      <c t="s">
        <v>3093</v>
      </c>
      <c t="s">
        <v>42732</v>
      </c>
    </row>
    <row>
      <c t="s">
        <v>17594</v>
      </c>
      <c t="s">
        <v>28147</v>
      </c>
      <c t="s">
        <v>62290</v>
      </c>
      <c t="s">
        <v>40681</v>
      </c>
      <c t="s">
        <v>60208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290" s="1" t="str">
        <f ca="1">HYPERLINK("https://web.datatree.com/?/property?propertyId=34084284", "https://web.datatree.com/?/property?propertyId=34084284")</f>
        <v>https://web.datatree.com/?/property?propertyId=34084284</v>
      </c>
      <c r="Q5290" t="s">
        <v>316</v>
      </c>
      <c>
        <v>0.23</v>
      </c>
      <c t="s">
        <v>6175</v>
      </c>
      <c t="s">
        <v>4814</v>
      </c>
      <c t="s">
        <v>6787</v>
      </c>
      <c t="s">
        <v>47872</v>
      </c>
      <c t="s">
        <v>6787</v>
      </c>
      <c t="s">
        <v>29158</v>
      </c>
      <c t="s">
        <v>34731</v>
      </c>
      <c t="s">
        <v>2517</v>
      </c>
      <c t="s">
        <v>39289</v>
      </c>
      <c>
        <v>33909</v>
      </c>
      <c t="s">
        <v>47439</v>
      </c>
      <c t="s">
        <v>48794</v>
      </c>
      <c t="s">
        <v>18210</v>
      </c>
      <c>
        <v>7290</v>
      </c>
      <c r="AI5290" t="s">
        <v>57373</v>
      </c>
      <c t="s">
        <v>31192</v>
      </c>
      <c r="AL5290" t="s">
        <v>29875</v>
      </c>
      <c r="AN5290" t="s">
        <v>51087</v>
      </c>
      <c t="s">
        <v>54285</v>
      </c>
      <c t="s">
        <v>49977</v>
      </c>
      <c t="s">
        <v>3093</v>
      </c>
      <c t="s">
        <v>60108</v>
      </c>
    </row>
    <row>
      <c t="s">
        <v>17594</v>
      </c>
      <c t="s">
        <v>47669</v>
      </c>
      <c t="s">
        <v>66089</v>
      </c>
      <c t="s">
        <v>8841</v>
      </c>
      <c t="s">
        <v>28584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291" s="1" t="str">
        <f ca="1">HYPERLINK("https://web.datatree.com/?/property?propertyId=34084424", "https://web.datatree.com/?/property?propertyId=34084424")</f>
        <v>https://web.datatree.com/?/property?propertyId=34084424</v>
      </c>
      <c r="Q5291" t="s">
        <v>316</v>
      </c>
      <c>
        <v>0.23</v>
      </c>
      <c t="s">
        <v>6175</v>
      </c>
      <c t="s">
        <v>32056</v>
      </c>
      <c t="s">
        <v>61299</v>
      </c>
      <c t="s">
        <v>20634</v>
      </c>
      <c t="s">
        <v>61299</v>
      </c>
      <c t="s">
        <v>41034</v>
      </c>
      <c t="s">
        <v>60363</v>
      </c>
      <c t="s">
        <v>2517</v>
      </c>
      <c t="s">
        <v>39289</v>
      </c>
      <c>
        <v>33909</v>
      </c>
      <c t="s">
        <v>15900</v>
      </c>
      <c t="s">
        <v>48794</v>
      </c>
      <c t="s">
        <v>51898</v>
      </c>
      <c>
        <v>6919</v>
      </c>
      <c r="AI5291" t="s">
        <v>17146</v>
      </c>
      <c t="s">
        <v>55842</v>
      </c>
      <c r="AL5291" t="s">
        <v>20040</v>
      </c>
      <c r="AN5291" t="s">
        <v>49572</v>
      </c>
      <c t="s">
        <v>58267</v>
      </c>
      <c t="s">
        <v>34171</v>
      </c>
      <c t="s">
        <v>3093</v>
      </c>
      <c t="s">
        <v>32208</v>
      </c>
    </row>
    <row>
      <c t="s">
        <v>17594</v>
      </c>
      <c t="s">
        <v>38543</v>
      </c>
      <c t="s">
        <v>21835</v>
      </c>
      <c t="s">
        <v>42013</v>
      </c>
      <c t="s">
        <v>50255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5292" s="1" t="str">
        <f ca="1">HYPERLINK("https://web.datatree.com/?/property?propertyId=34084549", "https://web.datatree.com/?/property?propertyId=34084549")</f>
        <v>https://web.datatree.com/?/property?propertyId=34084549</v>
      </c>
      <c r="Q5292" t="s">
        <v>316</v>
      </c>
      <c>
        <v>0.244</v>
      </c>
      <c t="s">
        <v>6175</v>
      </c>
      <c t="s">
        <v>56684</v>
      </c>
      <c t="s">
        <v>26696</v>
      </c>
      <c r="X5292" t="s">
        <v>52038</v>
      </c>
      <c t="s">
        <v>66701</v>
      </c>
      <c t="s">
        <v>2517</v>
      </c>
      <c t="s">
        <v>39289</v>
      </c>
      <c>
        <v>33909</v>
      </c>
      <c t="s">
        <v>24626</v>
      </c>
      <c t="s">
        <v>48794</v>
      </c>
      <c t="s">
        <v>53331</v>
      </c>
      <c>
        <v>3</v>
      </c>
      <c r="AI5292" t="s">
        <v>66816</v>
      </c>
      <c t="s">
        <v>31192</v>
      </c>
      <c r="AL5292" t="s">
        <v>14316</v>
      </c>
      <c r="AN5292" t="s">
        <v>14509</v>
      </c>
      <c t="s">
        <v>61126</v>
      </c>
      <c t="s">
        <v>26416</v>
      </c>
      <c t="s">
        <v>3093</v>
      </c>
      <c t="s">
        <v>1449</v>
      </c>
    </row>
    <row>
      <c t="s">
        <v>17594</v>
      </c>
      <c t="s">
        <v>49262</v>
      </c>
      <c t="s">
        <v>20458</v>
      </c>
      <c t="s">
        <v>36020</v>
      </c>
      <c t="s">
        <v>5489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5293" s="1" t="str">
        <f ca="1">HYPERLINK("https://web.datatree.com/?/property?propertyId=34084675", "https://web.datatree.com/?/property?propertyId=34084675")</f>
        <v>https://web.datatree.com/?/property?propertyId=34084675</v>
      </c>
      <c r="Q5293" t="s">
        <v>316</v>
      </c>
      <c>
        <v>0.23</v>
      </c>
      <c t="s">
        <v>45031</v>
      </c>
      <c t="s">
        <v>31139</v>
      </c>
      <c t="s">
        <v>16423</v>
      </c>
      <c r="X5293" t="s">
        <v>32976</v>
      </c>
      <c t="s">
        <v>53663</v>
      </c>
      <c t="s">
        <v>2517</v>
      </c>
      <c t="s">
        <v>39289</v>
      </c>
      <c>
        <v>33909</v>
      </c>
      <c t="s">
        <v>33274</v>
      </c>
      <c t="s">
        <v>48794</v>
      </c>
      <c t="s">
        <v>41700</v>
      </c>
      <c>
        <v>1</v>
      </c>
      <c r="AI5293" t="s">
        <v>16558</v>
      </c>
      <c t="s">
        <v>41372</v>
      </c>
      <c r="AL5293" t="s">
        <v>11808</v>
      </c>
      <c r="AN5293" t="s">
        <v>14509</v>
      </c>
      <c t="s">
        <v>43337</v>
      </c>
      <c t="s">
        <v>48506</v>
      </c>
      <c t="s">
        <v>3093</v>
      </c>
      <c t="s">
        <v>65406</v>
      </c>
    </row>
    <row>
      <c t="s">
        <v>17594</v>
      </c>
      <c t="s">
        <v>39941</v>
      </c>
      <c t="s">
        <v>56848</v>
      </c>
      <c t="s">
        <v>50426</v>
      </c>
      <c t="s">
        <v>35616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5294" s="1" t="str">
        <f ca="1">HYPERLINK("https://web.datatree.com/?/property?propertyId=34084947", "https://web.datatree.com/?/property?propertyId=34084947")</f>
        <v>https://web.datatree.com/?/property?propertyId=34084947</v>
      </c>
      <c r="Q5294" t="s">
        <v>316</v>
      </c>
      <c>
        <v>0.23</v>
      </c>
      <c t="s">
        <v>6175</v>
      </c>
      <c t="s">
        <v>27417</v>
      </c>
      <c t="s">
        <v>61068</v>
      </c>
      <c r="X5294" t="s">
        <v>22835</v>
      </c>
      <c t="s">
        <v>53675</v>
      </c>
      <c t="s">
        <v>2517</v>
      </c>
      <c t="s">
        <v>39289</v>
      </c>
      <c>
        <v>33909</v>
      </c>
      <c t="s">
        <v>63550</v>
      </c>
      <c t="s">
        <v>48794</v>
      </c>
      <c t="s">
        <v>40026</v>
      </c>
      <c>
        <v>231</v>
      </c>
      <c r="AI5294" t="s">
        <v>19467</v>
      </c>
      <c t="s">
        <v>45393</v>
      </c>
      <c t="s">
        <v>18197</v>
      </c>
      <c t="s">
        <v>6144</v>
      </c>
      <c r="AN5294" t="s">
        <v>50917</v>
      </c>
      <c t="s">
        <v>60263</v>
      </c>
      <c t="s">
        <v>27780</v>
      </c>
      <c t="s">
        <v>3093</v>
      </c>
      <c t="s">
        <v>15872</v>
      </c>
    </row>
    <row>
      <c t="s">
        <v>17594</v>
      </c>
      <c t="s">
        <v>17683</v>
      </c>
      <c t="s">
        <v>29669</v>
      </c>
      <c t="s">
        <v>59217</v>
      </c>
      <c t="s">
        <v>34678</v>
      </c>
      <c s="3">
        <v>23573</v>
      </c>
      <c s="3">
        <v>23573</v>
      </c>
      <c s="3">
        <v>9570</v>
      </c>
      <c>
        <v>0</v>
      </c>
      <c s="3">
        <v>0</v>
      </c>
      <c s="3">
        <v>608.02</v>
      </c>
      <c s="3">
        <v>23573</v>
      </c>
      <c r="O5295" s="1" t="str">
        <f ca="1">HYPERLINK("https://web.datatree.com/?/property?propertyId=34085459", "https://web.datatree.com/?/property?propertyId=34085459")</f>
        <v>https://web.datatree.com/?/property?propertyId=34085459</v>
      </c>
      <c r="Q5295" t="s">
        <v>316</v>
      </c>
      <c>
        <v>0.245</v>
      </c>
      <c t="s">
        <v>22490</v>
      </c>
      <c t="s">
        <v>1011</v>
      </c>
      <c t="s">
        <v>21026</v>
      </c>
      <c r="X5295" t="s">
        <v>42594</v>
      </c>
      <c t="s">
        <v>41506</v>
      </c>
      <c t="s">
        <v>2517</v>
      </c>
      <c t="s">
        <v>39289</v>
      </c>
      <c>
        <v>33909</v>
      </c>
      <c t="s">
        <v>27549</v>
      </c>
      <c t="s">
        <v>48794</v>
      </c>
      <c t="s">
        <v>32226</v>
      </c>
      <c r="AK5295">
        <v>8</v>
      </c>
      <c t="s">
        <v>54571</v>
      </c>
      <c r="AN5295" t="s">
        <v>52339</v>
      </c>
      <c r="AR5295" t="s">
        <v>35073</v>
      </c>
    </row>
    <row>
      <c t="s">
        <v>17594</v>
      </c>
      <c t="s">
        <v>17138</v>
      </c>
      <c t="s">
        <v>11890</v>
      </c>
      <c t="s">
        <v>58053</v>
      </c>
      <c t="s">
        <v>66395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296" s="1" t="str">
        <f ca="1">HYPERLINK("https://web.datatree.com/?/property?propertyId=34085926", "https://web.datatree.com/?/property?propertyId=34085926")</f>
        <v>https://web.datatree.com/?/property?propertyId=34085926</v>
      </c>
      <c r="Q5296" t="s">
        <v>316</v>
      </c>
      <c>
        <v>0.23</v>
      </c>
      <c t="s">
        <v>6175</v>
      </c>
      <c t="s">
        <v>10746</v>
      </c>
      <c t="s">
        <v>52701</v>
      </c>
      <c t="s">
        <v>59645</v>
      </c>
      <c t="s">
        <v>52701</v>
      </c>
      <c t="s">
        <v>35645</v>
      </c>
      <c t="s">
        <v>15510</v>
      </c>
      <c t="s">
        <v>2517</v>
      </c>
      <c t="s">
        <v>39289</v>
      </c>
      <c>
        <v>33909</v>
      </c>
      <c t="s">
        <v>16385</v>
      </c>
      <c t="s">
        <v>48794</v>
      </c>
      <c t="s">
        <v>47916</v>
      </c>
      <c>
        <v>12232</v>
      </c>
      <c r="AI5296" t="s">
        <v>46601</v>
      </c>
      <c t="s">
        <v>40123</v>
      </c>
      <c r="AL5296" t="s">
        <v>55393</v>
      </c>
      <c r="AN5296" t="s">
        <v>39289</v>
      </c>
      <c t="s">
        <v>56760</v>
      </c>
      <c t="s">
        <v>51249</v>
      </c>
      <c t="s">
        <v>3093</v>
      </c>
      <c t="s">
        <v>27270</v>
      </c>
    </row>
    <row>
      <c t="s">
        <v>17594</v>
      </c>
      <c t="s">
        <v>24843</v>
      </c>
      <c t="s">
        <v>7537</v>
      </c>
      <c t="s">
        <v>13661</v>
      </c>
      <c t="s">
        <v>63513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5297" s="1" t="str">
        <f ca="1">HYPERLINK("https://web.datatree.com/?/property?propertyId=34086384", "https://web.datatree.com/?/property?propertyId=34086384")</f>
        <v>https://web.datatree.com/?/property?propertyId=34086384</v>
      </c>
      <c r="Q5297" t="s">
        <v>316</v>
      </c>
      <c>
        <v>0.23</v>
      </c>
      <c t="s">
        <v>22490</v>
      </c>
      <c t="s">
        <v>60987</v>
      </c>
      <c t="s">
        <v>6891</v>
      </c>
      <c r="X5297" t="s">
        <v>19517</v>
      </c>
      <c t="s">
        <v>53675</v>
      </c>
      <c t="s">
        <v>2517</v>
      </c>
      <c t="s">
        <v>39289</v>
      </c>
      <c>
        <v>33909</v>
      </c>
      <c t="s">
        <v>2114</v>
      </c>
      <c t="s">
        <v>48794</v>
      </c>
      <c t="s">
        <v>11232</v>
      </c>
      <c>
        <v>1202</v>
      </c>
      <c r="AI5297" t="s">
        <v>46128</v>
      </c>
      <c t="s">
        <v>24900</v>
      </c>
      <c r="AL5297" t="s">
        <v>25857</v>
      </c>
      <c t="s">
        <v>25857</v>
      </c>
      <c t="s">
        <v>39289</v>
      </c>
      <c t="s">
        <v>38658</v>
      </c>
      <c t="s">
        <v>3364</v>
      </c>
      <c t="s">
        <v>3093</v>
      </c>
      <c t="s">
        <v>54327</v>
      </c>
    </row>
    <row>
      <c t="s">
        <v>17594</v>
      </c>
      <c t="s">
        <v>28872</v>
      </c>
      <c t="s">
        <v>17953</v>
      </c>
      <c t="s">
        <v>6362</v>
      </c>
      <c t="s">
        <v>25317</v>
      </c>
      <c s="3">
        <v>22990</v>
      </c>
      <c s="3">
        <v>22990</v>
      </c>
      <c s="3">
        <v>22990</v>
      </c>
      <c>
        <v>0</v>
      </c>
      <c s="3">
        <v>0</v>
      </c>
      <c s="3">
        <v>780.78</v>
      </c>
      <c s="3">
        <v>22990</v>
      </c>
      <c r="O5298" s="1" t="str">
        <f ca="1">HYPERLINK("https://web.datatree.com/?/property?propertyId=34086660", "https://web.datatree.com/?/property?propertyId=34086660")</f>
        <v>https://web.datatree.com/?/property?propertyId=34086660</v>
      </c>
      <c r="Q5298" t="s">
        <v>316</v>
      </c>
      <c>
        <v>0.281</v>
      </c>
      <c t="s">
        <v>22490</v>
      </c>
      <c t="s">
        <v>60258</v>
      </c>
      <c t="s">
        <v>53009</v>
      </c>
      <c t="s">
        <v>62755</v>
      </c>
      <c t="s">
        <v>53506</v>
      </c>
      <c t="s">
        <v>63029</v>
      </c>
      <c t="s">
        <v>44061</v>
      </c>
      <c t="s">
        <v>2517</v>
      </c>
      <c t="s">
        <v>39289</v>
      </c>
      <c>
        <v>33909</v>
      </c>
      <c t="s">
        <v>53541</v>
      </c>
      <c t="s">
        <v>48794</v>
      </c>
      <c t="s">
        <v>11366</v>
      </c>
      <c>
        <v>1126</v>
      </c>
      <c r="AI5298" t="s">
        <v>56492</v>
      </c>
      <c t="s">
        <v>835</v>
      </c>
      <c r="AL5298" t="s">
        <v>46989</v>
      </c>
      <c t="s">
        <v>18092</v>
      </c>
      <c t="s">
        <v>39289</v>
      </c>
      <c t="s">
        <v>17001</v>
      </c>
      <c t="s">
        <v>53800</v>
      </c>
      <c t="s">
        <v>3093</v>
      </c>
      <c t="s">
        <v>41678</v>
      </c>
    </row>
    <row>
      <c t="s">
        <v>17594</v>
      </c>
      <c t="s">
        <v>3744</v>
      </c>
      <c t="s">
        <v>50498</v>
      </c>
      <c t="s">
        <v>32191</v>
      </c>
      <c t="s">
        <v>51796</v>
      </c>
      <c s="3">
        <v>15788</v>
      </c>
      <c s="3">
        <v>15788</v>
      </c>
      <c s="3">
        <v>8250</v>
      </c>
      <c>
        <v>0</v>
      </c>
      <c s="3">
        <v>0</v>
      </c>
      <c s="3">
        <v>568.23</v>
      </c>
      <c s="3">
        <v>15788</v>
      </c>
      <c r="O5299" s="1" t="str">
        <f ca="1">HYPERLINK("https://web.datatree.com/?/property?propertyId=34086938", "https://web.datatree.com/?/property?propertyId=34086938")</f>
        <v>https://web.datatree.com/?/property?propertyId=34086938</v>
      </c>
      <c r="Q5299" t="s">
        <v>316</v>
      </c>
      <c>
        <v>0.254</v>
      </c>
      <c t="s">
        <v>6175</v>
      </c>
      <c t="s">
        <v>13569</v>
      </c>
      <c t="s">
        <v>63233</v>
      </c>
      <c r="X5299" t="s">
        <v>49140</v>
      </c>
      <c t="s">
        <v>58797</v>
      </c>
      <c t="s">
        <v>2517</v>
      </c>
      <c t="s">
        <v>39289</v>
      </c>
      <c>
        <v>33909</v>
      </c>
      <c t="s">
        <v>55793</v>
      </c>
      <c t="s">
        <v>48794</v>
      </c>
      <c t="s">
        <v>40895</v>
      </c>
      <c>
        <v>2741</v>
      </c>
      <c r="AI5299" t="s">
        <v>5203</v>
      </c>
      <c t="s">
        <v>31192</v>
      </c>
      <c t="s">
        <v>25384</v>
      </c>
      <c t="s">
        <v>29605</v>
      </c>
      <c t="s">
        <v>29605</v>
      </c>
      <c t="s">
        <v>18236</v>
      </c>
      <c t="s">
        <v>54810</v>
      </c>
      <c t="s">
        <v>24842</v>
      </c>
      <c t="s">
        <v>3093</v>
      </c>
      <c t="s">
        <v>8530</v>
      </c>
    </row>
    <row>
      <c t="s">
        <v>17594</v>
      </c>
      <c t="s">
        <v>8773</v>
      </c>
      <c t="s">
        <v>58286</v>
      </c>
      <c t="s">
        <v>61900</v>
      </c>
      <c t="s">
        <v>25769</v>
      </c>
      <c s="3">
        <v>22776</v>
      </c>
      <c s="3">
        <v>22776</v>
      </c>
      <c s="3">
        <v>9570</v>
      </c>
      <c>
        <v>0</v>
      </c>
      <c s="3">
        <v>0</v>
      </c>
      <c s="3">
        <v>603.98</v>
      </c>
      <c s="3">
        <v>22776</v>
      </c>
      <c r="O5300" s="1" t="str">
        <f ca="1">HYPERLINK("https://web.datatree.com/?/property?propertyId=34087587", "https://web.datatree.com/?/property?propertyId=34087587")</f>
        <v>https://web.datatree.com/?/property?propertyId=34087587</v>
      </c>
      <c r="Q5300" t="s">
        <v>316</v>
      </c>
      <c>
        <v>0.23</v>
      </c>
      <c t="s">
        <v>16350</v>
      </c>
      <c t="s">
        <v>54187</v>
      </c>
      <c t="s">
        <v>48003</v>
      </c>
      <c r="X5300" t="s">
        <v>62434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15199</v>
      </c>
      <c>
        <v>6303</v>
      </c>
      <c r="AI5300" t="s">
        <v>26976</v>
      </c>
      <c t="s">
        <v>31192</v>
      </c>
      <c>
        <v>400</v>
      </c>
      <c t="s">
        <v>55393</v>
      </c>
      <c r="AN5300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45120</v>
      </c>
      <c t="s">
        <v>65011</v>
      </c>
      <c t="s">
        <v>60584</v>
      </c>
      <c t="s">
        <v>15277</v>
      </c>
      <c s="3">
        <v>22184</v>
      </c>
      <c s="3">
        <v>22184</v>
      </c>
      <c s="3">
        <v>22184</v>
      </c>
      <c>
        <v>0</v>
      </c>
      <c s="3">
        <v>0</v>
      </c>
      <c s="3">
        <v>815.23</v>
      </c>
      <c s="3">
        <v>22184</v>
      </c>
      <c r="O5301" s="1" t="str">
        <f ca="1">HYPERLINK("https://web.datatree.com/?/property?propertyId=34089408", "https://web.datatree.com/?/property?propertyId=34089408")</f>
        <v>https://web.datatree.com/?/property?propertyId=34089408</v>
      </c>
      <c r="Q5301" t="s">
        <v>316</v>
      </c>
      <c>
        <v>0.332</v>
      </c>
      <c t="s">
        <v>22490</v>
      </c>
      <c t="s">
        <v>64119</v>
      </c>
      <c t="s">
        <v>46648</v>
      </c>
      <c t="s">
        <v>33698</v>
      </c>
      <c t="s">
        <v>46648</v>
      </c>
      <c t="s">
        <v>49053</v>
      </c>
      <c t="s">
        <v>23517</v>
      </c>
      <c t="s">
        <v>2517</v>
      </c>
      <c t="s">
        <v>39289</v>
      </c>
      <c>
        <v>33909</v>
      </c>
      <c t="s">
        <v>29709</v>
      </c>
      <c t="s">
        <v>48794</v>
      </c>
      <c t="s">
        <v>35157</v>
      </c>
      <c>
        <v>645</v>
      </c>
      <c r="AI5301" t="s">
        <v>33854</v>
      </c>
      <c t="s">
        <v>45393</v>
      </c>
      <c r="AL5301" t="s">
        <v>1206</v>
      </c>
      <c t="s">
        <v>1206</v>
      </c>
      <c t="s">
        <v>26016</v>
      </c>
      <c t="s">
        <v>16665</v>
      </c>
      <c t="s">
        <v>32746</v>
      </c>
      <c t="s">
        <v>3093</v>
      </c>
      <c t="s">
        <v>63764</v>
      </c>
    </row>
    <row>
      <c t="s">
        <v>42103</v>
      </c>
      <c t="s">
        <v>6286</v>
      </c>
      <c t="s">
        <v>41879</v>
      </c>
      <c t="s">
        <v>13856</v>
      </c>
      <c t="s">
        <v>34470</v>
      </c>
      <c s="3">
        <v>7700</v>
      </c>
      <c s="3">
        <v>7700</v>
      </c>
      <c s="3">
        <v>7700</v>
      </c>
      <c>
        <v>0</v>
      </c>
      <c s="3">
        <v>0</v>
      </c>
      <c s="3">
        <v>593.83</v>
      </c>
      <c s="3">
        <v>7700</v>
      </c>
      <c r="O5302" s="1" t="str">
        <f ca="1">HYPERLINK("https://web.datatree.com/?/property?propertyId=34089759", "https://web.datatree.com/?/property?propertyId=34089759")</f>
        <v>https://web.datatree.com/?/property?propertyId=34089759</v>
      </c>
      <c r="Q5302" t="s">
        <v>316</v>
      </c>
      <c>
        <v>0.258</v>
      </c>
      <c t="s">
        <v>6175</v>
      </c>
      <c t="s">
        <v>37194</v>
      </c>
      <c t="s">
        <v>53666</v>
      </c>
      <c t="s">
        <v>13844</v>
      </c>
      <c t="s">
        <v>53666</v>
      </c>
      <c t="s">
        <v>51422</v>
      </c>
      <c t="s">
        <v>29190</v>
      </c>
      <c t="s">
        <v>2517</v>
      </c>
      <c t="s">
        <v>39289</v>
      </c>
      <c>
        <v>33909</v>
      </c>
      <c t="s">
        <v>58121</v>
      </c>
      <c t="s">
        <v>48794</v>
      </c>
      <c t="s">
        <v>44503</v>
      </c>
      <c r="AI5302" t="s">
        <v>28562</v>
      </c>
      <c r="AL5302" t="s">
        <v>55393</v>
      </c>
      <c r="AN5302" t="s">
        <v>39289</v>
      </c>
      <c>
        <v>33163</v>
      </c>
      <c t="s">
        <v>52202</v>
      </c>
      <c t="s">
        <v>3093</v>
      </c>
      <c t="s">
        <v>19086</v>
      </c>
    </row>
    <row>
      <c t="s">
        <v>17594</v>
      </c>
      <c t="s">
        <v>64519</v>
      </c>
      <c t="s">
        <v>18927</v>
      </c>
      <c t="s">
        <v>27619</v>
      </c>
      <c t="s">
        <v>44176</v>
      </c>
      <c s="3">
        <v>41248</v>
      </c>
      <c s="3">
        <v>41248</v>
      </c>
      <c s="3">
        <v>29710</v>
      </c>
      <c>
        <v>0</v>
      </c>
      <c s="3">
        <v>0</v>
      </c>
      <c s="3">
        <v>968.43</v>
      </c>
      <c s="3">
        <v>41248</v>
      </c>
      <c r="O5303" s="1" t="str">
        <f ca="1">HYPERLINK("https://web.datatree.com/?/property?propertyId=34090114", "https://web.datatree.com/?/property?propertyId=34090114")</f>
        <v>https://web.datatree.com/?/property?propertyId=34090114</v>
      </c>
      <c r="Q5303" t="s">
        <v>316</v>
      </c>
      <c>
        <v>0.23</v>
      </c>
      <c t="s">
        <v>22490</v>
      </c>
      <c r="U5303" t="s">
        <v>19980</v>
      </c>
      <c t="s">
        <v>35571</v>
      </c>
      <c t="s">
        <v>2811</v>
      </c>
      <c t="s">
        <v>37714</v>
      </c>
      <c t="s">
        <v>25017</v>
      </c>
      <c t="s">
        <v>2517</v>
      </c>
      <c t="s">
        <v>39289</v>
      </c>
      <c>
        <v>33909</v>
      </c>
      <c t="s">
        <v>26865</v>
      </c>
      <c t="s">
        <v>48794</v>
      </c>
      <c t="s">
        <v>21628</v>
      </c>
      <c>
        <v>24</v>
      </c>
      <c r="AI5303" t="s">
        <v>199</v>
      </c>
      <c t="s">
        <v>1671</v>
      </c>
      <c r="AL5303" t="s">
        <v>49585</v>
      </c>
      <c r="AN5303" t="s">
        <v>64022</v>
      </c>
      <c t="s">
        <v>43810</v>
      </c>
      <c t="s">
        <v>702</v>
      </c>
      <c t="s">
        <v>3093</v>
      </c>
      <c t="s">
        <v>31559</v>
      </c>
    </row>
    <row>
      <c t="s">
        <v>17594</v>
      </c>
      <c t="s">
        <v>16378</v>
      </c>
      <c t="s">
        <v>26925</v>
      </c>
      <c t="s">
        <v>18721</v>
      </c>
      <c t="s">
        <v>12971</v>
      </c>
      <c s="3">
        <v>26290</v>
      </c>
      <c s="3">
        <v>26290</v>
      </c>
      <c s="3">
        <v>26290</v>
      </c>
      <c>
        <v>0</v>
      </c>
      <c s="3">
        <v>0</v>
      </c>
      <c s="3">
        <v>789.75</v>
      </c>
      <c s="3">
        <v>26290</v>
      </c>
      <c r="O5304" s="1" t="str">
        <f ca="1">HYPERLINK("https://web.datatree.com/?/property?propertyId=34090515", "https://web.datatree.com/?/property?propertyId=34090515")</f>
        <v>https://web.datatree.com/?/property?propertyId=34090515</v>
      </c>
      <c r="Q5304" t="s">
        <v>316</v>
      </c>
      <c>
        <v>0.23</v>
      </c>
      <c t="s">
        <v>22490</v>
      </c>
      <c t="s">
        <v>47383</v>
      </c>
      <c t="s">
        <v>40102</v>
      </c>
      <c r="X5304" t="s">
        <v>47834</v>
      </c>
      <c t="s">
        <v>66701</v>
      </c>
      <c t="s">
        <v>2517</v>
      </c>
      <c t="s">
        <v>39289</v>
      </c>
      <c>
        <v>33909</v>
      </c>
      <c t="s">
        <v>55178</v>
      </c>
      <c t="s">
        <v>48794</v>
      </c>
      <c t="s">
        <v>28259</v>
      </c>
      <c>
        <v>8318</v>
      </c>
      <c r="AI5304" t="s">
        <v>12249</v>
      </c>
      <c t="s">
        <v>40123</v>
      </c>
      <c r="AL5304" t="s">
        <v>54986</v>
      </c>
      <c t="s">
        <v>30535</v>
      </c>
      <c t="s">
        <v>18236</v>
      </c>
      <c t="s">
        <v>38413</v>
      </c>
      <c t="s">
        <v>23744</v>
      </c>
      <c t="s">
        <v>3093</v>
      </c>
      <c t="s">
        <v>4682</v>
      </c>
    </row>
    <row>
      <c t="s">
        <v>17594</v>
      </c>
      <c t="s">
        <v>15003</v>
      </c>
      <c t="s">
        <v>13259</v>
      </c>
      <c t="s">
        <v>8383</v>
      </c>
      <c t="s">
        <v>28194</v>
      </c>
      <c s="3">
        <v>3876</v>
      </c>
      <c s="3">
        <v>3876</v>
      </c>
      <c s="3">
        <v>3876</v>
      </c>
      <c>
        <v>0</v>
      </c>
      <c s="3">
        <v>0</v>
      </c>
      <c s="3">
        <v>482.85</v>
      </c>
      <c s="3">
        <v>3876</v>
      </c>
      <c r="O5305" s="1" t="str">
        <f ca="1">HYPERLINK("https://web.datatree.com/?/property?propertyId=34090749", "https://web.datatree.com/?/property?propertyId=34090749")</f>
        <v>https://web.datatree.com/?/property?propertyId=34090749</v>
      </c>
      <c r="Q5305" t="s">
        <v>316</v>
      </c>
      <c>
        <v>0.287</v>
      </c>
      <c t="s">
        <v>33269</v>
      </c>
      <c t="s">
        <v>773</v>
      </c>
      <c t="s">
        <v>31752</v>
      </c>
      <c t="s">
        <v>31950</v>
      </c>
      <c t="s">
        <v>11088</v>
      </c>
      <c t="s">
        <v>21693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7</v>
      </c>
      <c r="AI5305" t="s">
        <v>1430</v>
      </c>
      <c t="s">
        <v>24900</v>
      </c>
      <c r="AL5305" t="s">
        <v>6913</v>
      </c>
      <c r="AN5305" t="s">
        <v>65467</v>
      </c>
      <c t="s">
        <v>25683</v>
      </c>
      <c t="s">
        <v>26242</v>
      </c>
      <c t="s">
        <v>3093</v>
      </c>
      <c t="s">
        <v>30740</v>
      </c>
    </row>
    <row>
      <c t="s">
        <v>17594</v>
      </c>
      <c t="s">
        <v>9462</v>
      </c>
      <c t="s">
        <v>34792</v>
      </c>
      <c t="s">
        <v>19081</v>
      </c>
      <c t="s">
        <v>713</v>
      </c>
      <c s="3">
        <v>80010</v>
      </c>
      <c s="3">
        <v>80010</v>
      </c>
      <c s="3">
        <v>24624</v>
      </c>
      <c>
        <v>0</v>
      </c>
      <c s="3">
        <v>0</v>
      </c>
      <c s="3">
        <v>391.59</v>
      </c>
      <c s="3">
        <v>80010</v>
      </c>
      <c r="O5306" s="1" t="str">
        <f ca="1">HYPERLINK("https://web.datatree.com/?/property?propertyId=34091284", "https://web.datatree.com/?/property?propertyId=34091284")</f>
        <v>https://web.datatree.com/?/property?propertyId=34091284</v>
      </c>
      <c r="Q5306" t="s">
        <v>316</v>
      </c>
      <c>
        <v>1</v>
      </c>
      <c t="s">
        <v>30497</v>
      </c>
      <c t="s">
        <v>14827</v>
      </c>
      <c t="s">
        <v>48984</v>
      </c>
      <c r="X5306" t="s">
        <v>16232</v>
      </c>
      <c t="s">
        <v>51919</v>
      </c>
      <c t="s">
        <v>65059</v>
      </c>
      <c t="s">
        <v>39289</v>
      </c>
      <c>
        <v>33905</v>
      </c>
      <c t="s">
        <v>30897</v>
      </c>
      <c t="s">
        <v>48794</v>
      </c>
      <c t="s">
        <v>50527</v>
      </c>
      <c>
        <v>30252</v>
      </c>
      <c r="AI5306" t="s">
        <v>22518</v>
      </c>
      <c t="s">
        <v>31192</v>
      </c>
      <c>
        <v>195</v>
      </c>
      <c t="s">
        <v>20897</v>
      </c>
      <c t="s">
        <v>20897</v>
      </c>
      <c t="s">
        <v>65451</v>
      </c>
      <c t="s">
        <v>4519</v>
      </c>
      <c t="s">
        <v>48506</v>
      </c>
      <c t="s">
        <v>3093</v>
      </c>
      <c t="s">
        <v>16514</v>
      </c>
    </row>
    <row>
      <c t="s">
        <v>17594</v>
      </c>
      <c t="s">
        <v>12387</v>
      </c>
      <c t="s">
        <v>53626</v>
      </c>
      <c t="s">
        <v>50031</v>
      </c>
      <c t="s">
        <v>30844</v>
      </c>
      <c s="3">
        <v>17602</v>
      </c>
      <c s="3">
        <v>17602</v>
      </c>
      <c s="3">
        <v>9075</v>
      </c>
      <c>
        <v>0</v>
      </c>
      <c s="3">
        <v>0</v>
      </c>
      <c s="3">
        <v>575.48</v>
      </c>
      <c s="3">
        <v>17602</v>
      </c>
      <c r="O5307" s="1" t="str">
        <f ca="1">HYPERLINK("https://web.datatree.com/?/property?propertyId=34091903", "https://web.datatree.com/?/property?propertyId=34091903")</f>
        <v>https://web.datatree.com/?/property?propertyId=34091903</v>
      </c>
      <c r="Q5307" t="s">
        <v>316</v>
      </c>
      <c>
        <v>0.255</v>
      </c>
      <c t="s">
        <v>6175</v>
      </c>
      <c t="s">
        <v>17578</v>
      </c>
      <c t="s">
        <v>3904</v>
      </c>
      <c r="X5307" t="s">
        <v>5791</v>
      </c>
      <c t="s">
        <v>25017</v>
      </c>
      <c t="s">
        <v>2517</v>
      </c>
      <c t="s">
        <v>39289</v>
      </c>
      <c>
        <v>33909</v>
      </c>
      <c t="s">
        <v>5385</v>
      </c>
      <c t="s">
        <v>48794</v>
      </c>
      <c t="s">
        <v>4537</v>
      </c>
      <c>
        <v>11688</v>
      </c>
      <c r="AI5307" t="s">
        <v>35983</v>
      </c>
      <c t="s">
        <v>24900</v>
      </c>
      <c r="AL5307" t="s">
        <v>29515</v>
      </c>
      <c r="AN5307" t="s">
        <v>39289</v>
      </c>
      <c t="s">
        <v>6788</v>
      </c>
      <c t="s">
        <v>702</v>
      </c>
      <c t="s">
        <v>3093</v>
      </c>
      <c t="s">
        <v>16323</v>
      </c>
    </row>
    <row>
      <c t="s">
        <v>17594</v>
      </c>
      <c t="s">
        <v>37507</v>
      </c>
      <c t="s">
        <v>18900</v>
      </c>
      <c t="s">
        <v>20557</v>
      </c>
      <c t="s">
        <v>25957</v>
      </c>
      <c s="3">
        <v>10683</v>
      </c>
      <c s="3">
        <v>10683</v>
      </c>
      <c s="3">
        <v>10683</v>
      </c>
      <c>
        <v>0</v>
      </c>
      <c s="3">
        <v>0</v>
      </c>
      <c s="3">
        <v>159.95</v>
      </c>
      <c s="3">
        <v>10683</v>
      </c>
      <c r="O5308" s="1" t="str">
        <f ca="1">HYPERLINK("https://web.datatree.com/?/property?propertyId=34092480", "https://web.datatree.com/?/property?propertyId=34092480")</f>
        <v>https://web.datatree.com/?/property?propertyId=34092480</v>
      </c>
      <c r="Q5308" t="s">
        <v>316</v>
      </c>
      <c>
        <v>0.24</v>
      </c>
      <c t="s">
        <v>30497</v>
      </c>
      <c t="s">
        <v>35571</v>
      </c>
      <c t="s">
        <v>9592</v>
      </c>
      <c t="s">
        <v>1599</v>
      </c>
      <c t="s">
        <v>9592</v>
      </c>
      <c t="s">
        <v>52566</v>
      </c>
      <c t="s">
        <v>54514</v>
      </c>
      <c t="s">
        <v>65059</v>
      </c>
      <c t="s">
        <v>39289</v>
      </c>
      <c>
        <v>33905</v>
      </c>
      <c t="s">
        <v>44313</v>
      </c>
      <c t="s">
        <v>48794</v>
      </c>
      <c t="s">
        <v>2693</v>
      </c>
      <c>
        <v>2232</v>
      </c>
      <c r="AI5308" t="s">
        <v>45627</v>
      </c>
      <c t="s">
        <v>45393</v>
      </c>
      <c r="AL5308" t="s">
        <v>11713</v>
      </c>
      <c r="AN5308" t="s">
        <v>39289</v>
      </c>
      <c>
        <v>34112</v>
      </c>
      <c t="s">
        <v>864</v>
      </c>
      <c t="s">
        <v>3093</v>
      </c>
      <c t="s">
        <v>46979</v>
      </c>
    </row>
    <row>
      <c t="s">
        <v>17594</v>
      </c>
      <c t="s">
        <v>8009</v>
      </c>
      <c t="s">
        <v>15784</v>
      </c>
      <c t="s">
        <v>27357</v>
      </c>
      <c t="s">
        <v>47768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309" s="1" t="str">
        <f ca="1">HYPERLINK("https://web.datatree.com/?/property?propertyId=34092647", "https://web.datatree.com/?/property?propertyId=34092647")</f>
        <v>https://web.datatree.com/?/property?propertyId=34092647</v>
      </c>
      <c r="Q5309" t="s">
        <v>316</v>
      </c>
      <c>
        <v>0.23</v>
      </c>
      <c t="s">
        <v>6175</v>
      </c>
      <c t="s">
        <v>36126</v>
      </c>
      <c t="s">
        <v>44434</v>
      </c>
      <c t="s">
        <v>53970</v>
      </c>
      <c t="s">
        <v>44434</v>
      </c>
      <c t="s">
        <v>15260</v>
      </c>
      <c t="s">
        <v>8669</v>
      </c>
      <c t="s">
        <v>2517</v>
      </c>
      <c t="s">
        <v>39289</v>
      </c>
      <c>
        <v>33909</v>
      </c>
      <c t="s">
        <v>48354</v>
      </c>
      <c t="s">
        <v>48794</v>
      </c>
      <c t="s">
        <v>50006</v>
      </c>
      <c>
        <v>134</v>
      </c>
      <c r="AI5309" t="s">
        <v>54702</v>
      </c>
      <c t="s">
        <v>45393</v>
      </c>
      <c r="AL5309" t="s">
        <v>4054</v>
      </c>
      <c r="AN5309" t="s">
        <v>26016</v>
      </c>
      <c t="s">
        <v>12843</v>
      </c>
      <c t="s">
        <v>4797</v>
      </c>
      <c t="s">
        <v>3093</v>
      </c>
      <c t="s">
        <v>41775</v>
      </c>
    </row>
    <row>
      <c t="s">
        <v>17594</v>
      </c>
      <c t="s">
        <v>45716</v>
      </c>
      <c t="s">
        <v>45795</v>
      </c>
      <c t="s">
        <v>5954</v>
      </c>
      <c t="s">
        <v>16829</v>
      </c>
      <c s="3">
        <v>24984</v>
      </c>
      <c s="3">
        <v>24984</v>
      </c>
      <c s="3">
        <v>24984</v>
      </c>
      <c>
        <v>0</v>
      </c>
      <c s="3">
        <v>0</v>
      </c>
      <c s="3">
        <v>374.05</v>
      </c>
      <c s="3">
        <v>24984</v>
      </c>
      <c r="O5310" s="1" t="str">
        <f ca="1">HYPERLINK("https://web.datatree.com/?/property?propertyId=34092893", "https://web.datatree.com/?/property?propertyId=34092893")</f>
        <v>https://web.datatree.com/?/property?propertyId=34092893</v>
      </c>
      <c r="Q5310" t="s">
        <v>316</v>
      </c>
      <c>
        <v>0.3</v>
      </c>
      <c t="s">
        <v>5471</v>
      </c>
      <c t="s">
        <v>29297</v>
      </c>
      <c t="s">
        <v>32643</v>
      </c>
      <c r="X5310" t="s">
        <v>12031</v>
      </c>
      <c t="s">
        <v>28531</v>
      </c>
      <c t="s">
        <v>65059</v>
      </c>
      <c t="s">
        <v>39289</v>
      </c>
      <c>
        <v>33905</v>
      </c>
      <c t="s">
        <v>27462</v>
      </c>
      <c t="s">
        <v>48794</v>
      </c>
      <c t="s">
        <v>10452</v>
      </c>
      <c>
        <v>6550</v>
      </c>
      <c r="AI5310" t="s">
        <v>41793</v>
      </c>
      <c t="s">
        <v>835</v>
      </c>
      <c r="AL5310" t="s">
        <v>23695</v>
      </c>
      <c t="s">
        <v>11555</v>
      </c>
      <c t="s">
        <v>39289</v>
      </c>
      <c t="s">
        <v>37747</v>
      </c>
      <c t="s">
        <v>45852</v>
      </c>
      <c t="s">
        <v>3093</v>
      </c>
      <c t="s">
        <v>53259</v>
      </c>
    </row>
    <row>
      <c t="s">
        <v>42103</v>
      </c>
      <c t="s">
        <v>31231</v>
      </c>
      <c t="s">
        <v>42165</v>
      </c>
      <c t="s">
        <v>17684</v>
      </c>
      <c t="s">
        <v>193</v>
      </c>
      <c s="3">
        <v>7200</v>
      </c>
      <c s="3">
        <v>7200</v>
      </c>
      <c s="3">
        <v>7200</v>
      </c>
      <c>
        <v>0</v>
      </c>
      <c s="3">
        <v>0</v>
      </c>
      <c s="3">
        <v>509.74</v>
      </c>
      <c s="3">
        <v>7200</v>
      </c>
      <c>
        <v>2021</v>
      </c>
      <c>
        <v>539.19</v>
      </c>
      <c s="1" t="str">
        <f ca="1">HYPERLINK("https://web.datatree.com/?/property?propertyId=34093766", "https://web.datatree.com/?/property?propertyId=34093766")</f>
        <v>https://web.datatree.com/?/property?propertyId=34093766</v>
      </c>
      <c r="Q5311" t="s">
        <v>316</v>
      </c>
      <c>
        <v>0.252</v>
      </c>
      <c t="s">
        <v>6175</v>
      </c>
      <c t="s">
        <v>44079</v>
      </c>
      <c t="s">
        <v>63753</v>
      </c>
      <c t="s">
        <v>44157</v>
      </c>
      <c t="s">
        <v>63753</v>
      </c>
      <c t="s">
        <v>51531</v>
      </c>
      <c t="s">
        <v>2619</v>
      </c>
      <c t="s">
        <v>2517</v>
      </c>
      <c t="s">
        <v>39289</v>
      </c>
      <c>
        <v>33909</v>
      </c>
      <c t="s">
        <v>54816</v>
      </c>
      <c t="s">
        <v>48794</v>
      </c>
      <c t="s">
        <v>57670</v>
      </c>
      <c r="AI5311" t="s">
        <v>45846</v>
      </c>
      <c r="AL5311" t="s">
        <v>8109</v>
      </c>
      <c r="AN5311" t="s">
        <v>50917</v>
      </c>
      <c>
        <v>11222</v>
      </c>
      <c t="s">
        <v>9590</v>
      </c>
      <c t="s">
        <v>3093</v>
      </c>
      <c t="s">
        <v>18673</v>
      </c>
    </row>
    <row>
      <c t="s">
        <v>17594</v>
      </c>
      <c t="s">
        <v>28510</v>
      </c>
      <c t="s">
        <v>23893</v>
      </c>
      <c t="s">
        <v>17379</v>
      </c>
      <c t="s">
        <v>35768</v>
      </c>
      <c s="3">
        <v>24018</v>
      </c>
      <c s="3">
        <v>24018</v>
      </c>
      <c s="3">
        <v>9902</v>
      </c>
      <c>
        <v>0</v>
      </c>
      <c s="3">
        <v>0</v>
      </c>
      <c s="3">
        <v>444.65</v>
      </c>
      <c s="3">
        <v>24018</v>
      </c>
      <c r="O5312" s="1" t="str">
        <f ca="1">HYPERLINK("https://web.datatree.com/?/property?propertyId=34094338", "https://web.datatree.com/?/property?propertyId=34094338")</f>
        <v>https://web.datatree.com/?/property?propertyId=34094338</v>
      </c>
      <c r="Q5312" t="s">
        <v>316</v>
      </c>
      <c>
        <v>0.344</v>
      </c>
      <c t="s">
        <v>5471</v>
      </c>
      <c t="s">
        <v>981</v>
      </c>
      <c t="s">
        <v>24944</v>
      </c>
      <c r="X5312" t="s">
        <v>2780</v>
      </c>
      <c t="s">
        <v>35140</v>
      </c>
      <c t="s">
        <v>65059</v>
      </c>
      <c t="s">
        <v>39289</v>
      </c>
      <c>
        <v>33905</v>
      </c>
      <c t="s">
        <v>47858</v>
      </c>
      <c t="s">
        <v>48794</v>
      </c>
      <c t="s">
        <v>22593</v>
      </c>
      <c>
        <v>42</v>
      </c>
      <c r="AI5312" t="s">
        <v>53885</v>
      </c>
      <c r="AL5312" t="s">
        <v>12153</v>
      </c>
      <c r="AN5312" t="s">
        <v>63985</v>
      </c>
      <c>
        <v>50769</v>
      </c>
      <c r="AQ5312" t="s">
        <v>3093</v>
      </c>
      <c t="s">
        <v>19354</v>
      </c>
    </row>
    <row>
      <c t="s">
        <v>17594</v>
      </c>
      <c t="s">
        <v>10403</v>
      </c>
      <c t="s">
        <v>6453</v>
      </c>
      <c t="s">
        <v>32704</v>
      </c>
      <c t="s">
        <v>47923</v>
      </c>
      <c s="3">
        <v>8000</v>
      </c>
      <c s="3">
        <v>8000</v>
      </c>
      <c s="3">
        <v>8000</v>
      </c>
      <c>
        <v>0</v>
      </c>
      <c s="3">
        <v>0</v>
      </c>
      <c s="3">
        <v>588.39</v>
      </c>
      <c s="3">
        <v>8000</v>
      </c>
      <c r="O5313" s="1" t="str">
        <f ca="1">HYPERLINK("https://web.datatree.com/?/property?propertyId=34094678", "https://web.datatree.com/?/property?propertyId=34094678")</f>
        <v>https://web.datatree.com/?/property?propertyId=34094678</v>
      </c>
      <c r="Q5313" t="s">
        <v>316</v>
      </c>
      <c>
        <v>0.236</v>
      </c>
      <c t="s">
        <v>22490</v>
      </c>
      <c t="s">
        <v>62878</v>
      </c>
      <c t="s">
        <v>53579</v>
      </c>
      <c t="s">
        <v>66477</v>
      </c>
      <c t="s">
        <v>34217</v>
      </c>
      <c t="s">
        <v>61832</v>
      </c>
      <c t="s">
        <v>14534</v>
      </c>
      <c t="s">
        <v>2517</v>
      </c>
      <c t="s">
        <v>39289</v>
      </c>
      <c>
        <v>33909</v>
      </c>
      <c t="s">
        <v>39947</v>
      </c>
      <c t="s">
        <v>48794</v>
      </c>
      <c t="s">
        <v>8190</v>
      </c>
      <c>
        <v>11</v>
      </c>
      <c r="AI5313" t="s">
        <v>64273</v>
      </c>
      <c t="s">
        <v>45393</v>
      </c>
      <c r="AL5313" t="s">
        <v>63966</v>
      </c>
      <c t="s">
        <v>63966</v>
      </c>
      <c t="s">
        <v>27747</v>
      </c>
      <c t="s">
        <v>33602</v>
      </c>
      <c t="s">
        <v>3364</v>
      </c>
      <c t="s">
        <v>3093</v>
      </c>
      <c t="s">
        <v>29712</v>
      </c>
    </row>
    <row>
      <c t="s">
        <v>17594</v>
      </c>
      <c t="s">
        <v>49471</v>
      </c>
      <c t="s">
        <v>9547</v>
      </c>
      <c t="s">
        <v>35240</v>
      </c>
      <c t="s">
        <v>16585</v>
      </c>
      <c s="3">
        <v>47586</v>
      </c>
      <c s="3">
        <v>47586</v>
      </c>
      <c s="3">
        <v>34606</v>
      </c>
      <c>
        <v>0</v>
      </c>
      <c s="3">
        <v>0</v>
      </c>
      <c s="3">
        <v>912.47</v>
      </c>
      <c s="3">
        <v>47586</v>
      </c>
      <c r="O5314" s="1" t="str">
        <f ca="1">HYPERLINK("https://web.datatree.com/?/property?propertyId=34095082", "https://web.datatree.com/?/property?propertyId=34095082")</f>
        <v>https://web.datatree.com/?/property?propertyId=34095082</v>
      </c>
      <c r="Q5314" t="s">
        <v>316</v>
      </c>
      <c>
        <v>0.23</v>
      </c>
      <c t="s">
        <v>6175</v>
      </c>
      <c t="s">
        <v>39283</v>
      </c>
      <c t="s">
        <v>16047</v>
      </c>
      <c r="X5314" t="s">
        <v>11264</v>
      </c>
      <c t="s">
        <v>57064</v>
      </c>
      <c t="s">
        <v>2517</v>
      </c>
      <c t="s">
        <v>39289</v>
      </c>
      <c>
        <v>33904</v>
      </c>
      <c t="s">
        <v>52419</v>
      </c>
      <c t="s">
        <v>48794</v>
      </c>
      <c t="s">
        <v>12868</v>
      </c>
      <c>
        <v>8014</v>
      </c>
      <c r="AI5314" t="s">
        <v>45796</v>
      </c>
      <c t="s">
        <v>40123</v>
      </c>
      <c r="AL5314" t="s">
        <v>11713</v>
      </c>
      <c r="AN5314" t="s">
        <v>39289</v>
      </c>
      <c t="s">
        <v>52827</v>
      </c>
      <c t="s">
        <v>7538</v>
      </c>
      <c t="s">
        <v>3093</v>
      </c>
      <c t="s">
        <v>55524</v>
      </c>
    </row>
    <row>
      <c t="s">
        <v>42103</v>
      </c>
      <c t="s">
        <v>35597</v>
      </c>
      <c t="s">
        <v>19683</v>
      </c>
      <c t="s">
        <v>14357</v>
      </c>
      <c t="s">
        <v>4565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315" s="1" t="str">
        <f ca="1">HYPERLINK("https://web.datatree.com/?/property?propertyId=34095612", "https://web.datatree.com/?/property?propertyId=34095612")</f>
        <v>https://web.datatree.com/?/property?propertyId=34095612</v>
      </c>
      <c r="Q5315" t="s">
        <v>316</v>
      </c>
      <c>
        <v>0.23</v>
      </c>
      <c t="s">
        <v>22490</v>
      </c>
      <c t="s">
        <v>48755</v>
      </c>
      <c t="s">
        <v>30230</v>
      </c>
      <c t="s">
        <v>39139</v>
      </c>
      <c t="s">
        <v>20069</v>
      </c>
      <c t="s">
        <v>26196</v>
      </c>
      <c t="s">
        <v>10653</v>
      </c>
      <c t="s">
        <v>2517</v>
      </c>
      <c t="s">
        <v>39289</v>
      </c>
      <c>
        <v>33909</v>
      </c>
      <c t="s">
        <v>6083</v>
      </c>
      <c t="s">
        <v>48794</v>
      </c>
      <c t="s">
        <v>57617</v>
      </c>
      <c r="AI5315" t="s">
        <v>61256</v>
      </c>
      <c r="AL5315" t="s">
        <v>4391</v>
      </c>
      <c r="AN5315" t="s">
        <v>32657</v>
      </c>
      <c>
        <v>37077</v>
      </c>
      <c t="s">
        <v>61509</v>
      </c>
      <c t="s">
        <v>3093</v>
      </c>
      <c t="s">
        <v>36904</v>
      </c>
    </row>
    <row>
      <c t="s">
        <v>17594</v>
      </c>
      <c t="s">
        <v>27315</v>
      </c>
      <c t="s">
        <v>44648</v>
      </c>
      <c t="s">
        <v>3706</v>
      </c>
      <c t="s">
        <v>65282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5316" s="1" t="str">
        <f ca="1">HYPERLINK("https://web.datatree.com/?/property?propertyId=34095920", "https://web.datatree.com/?/property?propertyId=34095920")</f>
        <v>https://web.datatree.com/?/property?propertyId=34095920</v>
      </c>
      <c r="Q5316" t="s">
        <v>316</v>
      </c>
      <c>
        <v>0.244</v>
      </c>
      <c t="s">
        <v>6175</v>
      </c>
      <c t="s">
        <v>58113</v>
      </c>
      <c t="s">
        <v>22946</v>
      </c>
      <c t="s">
        <v>21852</v>
      </c>
      <c t="s">
        <v>22946</v>
      </c>
      <c t="s">
        <v>5994</v>
      </c>
      <c t="s">
        <v>8669</v>
      </c>
      <c t="s">
        <v>2517</v>
      </c>
      <c t="s">
        <v>39289</v>
      </c>
      <c>
        <v>33909</v>
      </c>
      <c t="s">
        <v>866</v>
      </c>
      <c t="s">
        <v>48794</v>
      </c>
      <c t="s">
        <v>61060</v>
      </c>
      <c>
        <v>5324</v>
      </c>
      <c r="AI5316" t="s">
        <v>39509</v>
      </c>
      <c t="s">
        <v>31192</v>
      </c>
      <c r="AL5316" t="s">
        <v>8628</v>
      </c>
      <c r="AN5316" t="s">
        <v>39289</v>
      </c>
      <c t="s">
        <v>62829</v>
      </c>
      <c t="s">
        <v>45700</v>
      </c>
      <c t="s">
        <v>3093</v>
      </c>
      <c t="s">
        <v>11012</v>
      </c>
    </row>
    <row>
      <c t="s">
        <v>17594</v>
      </c>
      <c t="s">
        <v>53390</v>
      </c>
      <c t="s">
        <v>12264</v>
      </c>
      <c t="s">
        <v>62588</v>
      </c>
      <c t="s">
        <v>45941</v>
      </c>
      <c s="3">
        <v>20550</v>
      </c>
      <c s="3">
        <v>20550</v>
      </c>
      <c s="3">
        <v>7054</v>
      </c>
      <c>
        <v>0</v>
      </c>
      <c s="3">
        <v>0</v>
      </c>
      <c s="3">
        <v>184.8</v>
      </c>
      <c s="3">
        <v>20550</v>
      </c>
      <c r="O5317" s="1" t="str">
        <f ca="1">HYPERLINK("https://web.datatree.com/?/property?propertyId=34096418", "https://web.datatree.com/?/property?propertyId=34096418")</f>
        <v>https://web.datatree.com/?/property?propertyId=34096418</v>
      </c>
      <c r="Q5317" t="s">
        <v>316</v>
      </c>
      <c>
        <v>0.313</v>
      </c>
      <c t="s">
        <v>8155</v>
      </c>
      <c t="s">
        <v>33832</v>
      </c>
      <c t="s">
        <v>25557</v>
      </c>
      <c r="X5317" t="s">
        <v>24184</v>
      </c>
      <c t="s">
        <v>55130</v>
      </c>
      <c t="s">
        <v>65059</v>
      </c>
      <c t="s">
        <v>39289</v>
      </c>
      <c>
        <v>33901</v>
      </c>
      <c t="s">
        <v>3820</v>
      </c>
      <c t="s">
        <v>48794</v>
      </c>
      <c t="s">
        <v>238</v>
      </c>
      <c>
        <v>1660</v>
      </c>
      <c r="AI5317" t="s">
        <v>53255</v>
      </c>
      <c t="s">
        <v>55842</v>
      </c>
      <c r="AL5317" t="s">
        <v>63417</v>
      </c>
      <c r="AN5317" t="s">
        <v>39289</v>
      </c>
      <c t="s">
        <v>48513</v>
      </c>
      <c t="s">
        <v>13315</v>
      </c>
      <c t="s">
        <v>3093</v>
      </c>
      <c t="s">
        <v>24675</v>
      </c>
    </row>
    <row>
      <c t="s">
        <v>17594</v>
      </c>
      <c t="s">
        <v>40455</v>
      </c>
      <c t="s">
        <v>7653</v>
      </c>
      <c t="s">
        <v>60025</v>
      </c>
      <c t="s">
        <v>62309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318" s="1" t="str">
        <f ca="1">HYPERLINK("https://web.datatree.com/?/property?propertyId=34096692", "https://web.datatree.com/?/property?propertyId=34096692")</f>
        <v>https://web.datatree.com/?/property?propertyId=34096692</v>
      </c>
      <c r="Q5318" t="s">
        <v>316</v>
      </c>
      <c>
        <v>0.23</v>
      </c>
      <c t="s">
        <v>6175</v>
      </c>
      <c t="s">
        <v>42951</v>
      </c>
      <c t="s">
        <v>41956</v>
      </c>
      <c r="X5318" t="s">
        <v>55091</v>
      </c>
      <c t="s">
        <v>49122</v>
      </c>
      <c t="s">
        <v>2517</v>
      </c>
      <c t="s">
        <v>39289</v>
      </c>
      <c>
        <v>33909</v>
      </c>
      <c t="s">
        <v>57416</v>
      </c>
      <c t="s">
        <v>48794</v>
      </c>
      <c t="s">
        <v>17124</v>
      </c>
      <c>
        <v>27</v>
      </c>
      <c r="AI5318" t="s">
        <v>31415</v>
      </c>
      <c r="AL5318" t="s">
        <v>5401</v>
      </c>
      <c r="AN5318" t="s">
        <v>27747</v>
      </c>
      <c>
        <v>1010</v>
      </c>
      <c r="AR5318" t="s">
        <v>31754</v>
      </c>
    </row>
    <row>
      <c t="s">
        <v>42103</v>
      </c>
      <c t="s">
        <v>60625</v>
      </c>
      <c t="s">
        <v>51135</v>
      </c>
      <c t="s">
        <v>63598</v>
      </c>
      <c t="s">
        <v>50562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5319" s="1" t="str">
        <f ca="1">HYPERLINK("https://web.datatree.com/?/property?propertyId=34097305", "https://web.datatree.com/?/property?propertyId=34097305")</f>
        <v>https://web.datatree.com/?/property?propertyId=34097305</v>
      </c>
      <c r="Q5319" t="s">
        <v>316</v>
      </c>
      <c>
        <v>0.232</v>
      </c>
      <c t="s">
        <v>5471</v>
      </c>
      <c t="s">
        <v>44541</v>
      </c>
      <c t="s">
        <v>33606</v>
      </c>
      <c t="s">
        <v>47119</v>
      </c>
      <c t="s">
        <v>33606</v>
      </c>
      <c t="s">
        <v>27485</v>
      </c>
      <c t="s">
        <v>55985</v>
      </c>
      <c t="s">
        <v>65059</v>
      </c>
      <c t="s">
        <v>39289</v>
      </c>
      <c>
        <v>33905</v>
      </c>
      <c t="s">
        <v>36598</v>
      </c>
      <c t="s">
        <v>48794</v>
      </c>
      <c t="s">
        <v>9297</v>
      </c>
      <c r="AI5319" t="s">
        <v>52085</v>
      </c>
      <c r="AL5319" t="s">
        <v>24490</v>
      </c>
      <c r="AN5319" t="s">
        <v>51087</v>
      </c>
      <c>
        <v>23062</v>
      </c>
      <c t="s">
        <v>14662</v>
      </c>
      <c t="s">
        <v>3093</v>
      </c>
      <c t="s">
        <v>13937</v>
      </c>
    </row>
    <row>
      <c t="s">
        <v>42103</v>
      </c>
      <c t="s">
        <v>7276</v>
      </c>
      <c t="s">
        <v>7690</v>
      </c>
      <c t="s">
        <v>55591</v>
      </c>
      <c t="s">
        <v>22218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320" s="1" t="str">
        <f ca="1">HYPERLINK("https://web.datatree.com/?/property?propertyId=34097667", "https://web.datatree.com/?/property?propertyId=34097667")</f>
        <v>https://web.datatree.com/?/property?propertyId=34097667</v>
      </c>
      <c r="Q5320" t="s">
        <v>316</v>
      </c>
      <c>
        <v>0.23</v>
      </c>
      <c t="s">
        <v>22490</v>
      </c>
      <c t="s">
        <v>5482</v>
      </c>
      <c t="s">
        <v>49350</v>
      </c>
      <c r="X5320" t="s">
        <v>51097</v>
      </c>
      <c t="s">
        <v>23517</v>
      </c>
      <c t="s">
        <v>2517</v>
      </c>
      <c t="s">
        <v>39289</v>
      </c>
      <c>
        <v>33909</v>
      </c>
      <c t="s">
        <v>29934</v>
      </c>
      <c t="s">
        <v>48794</v>
      </c>
      <c t="s">
        <v>12275</v>
      </c>
      <c r="AI5320" t="s">
        <v>10113</v>
      </c>
      <c r="AN5320" t="s">
        <v>19878</v>
      </c>
      <c>
        <v>38523</v>
      </c>
      <c r="AR5320" t="s">
        <v>40815</v>
      </c>
    </row>
    <row>
      <c t="s">
        <v>17594</v>
      </c>
      <c t="s">
        <v>11356</v>
      </c>
      <c t="s">
        <v>37442</v>
      </c>
      <c t="s">
        <v>21331</v>
      </c>
      <c t="s">
        <v>31613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5321" s="1" t="str">
        <f ca="1">HYPERLINK("https://web.datatree.com/?/property?propertyId=34097722", "https://web.datatree.com/?/property?propertyId=34097722")</f>
        <v>https://web.datatree.com/?/property?propertyId=34097722</v>
      </c>
      <c r="Q5321" t="s">
        <v>316</v>
      </c>
      <c>
        <v>0.244</v>
      </c>
      <c t="s">
        <v>22490</v>
      </c>
      <c r="U5321" t="s">
        <v>44030</v>
      </c>
      <c r="W5321" t="s">
        <v>20619</v>
      </c>
      <c t="s">
        <v>11878</v>
      </c>
      <c t="s">
        <v>29190</v>
      </c>
      <c t="s">
        <v>2517</v>
      </c>
      <c t="s">
        <v>39289</v>
      </c>
      <c>
        <v>33909</v>
      </c>
      <c t="s">
        <v>10625</v>
      </c>
      <c t="s">
        <v>48794</v>
      </c>
      <c t="s">
        <v>25766</v>
      </c>
      <c>
        <v>2699</v>
      </c>
      <c r="AI5321" t="s">
        <v>41142</v>
      </c>
      <c t="s">
        <v>24900</v>
      </c>
      <c r="AL5321" t="s">
        <v>55351</v>
      </c>
      <c r="AN5321" t="s">
        <v>50917</v>
      </c>
      <c t="s">
        <v>52909</v>
      </c>
      <c t="s">
        <v>33029</v>
      </c>
      <c t="s">
        <v>3093</v>
      </c>
      <c t="s">
        <v>56537</v>
      </c>
    </row>
    <row>
      <c t="s">
        <v>17594</v>
      </c>
      <c t="s">
        <v>29574</v>
      </c>
      <c t="s">
        <v>62897</v>
      </c>
      <c t="s">
        <v>37496</v>
      </c>
      <c t="s">
        <v>16408</v>
      </c>
      <c s="3">
        <v>8786</v>
      </c>
      <c s="3">
        <v>8786</v>
      </c>
      <c s="3">
        <v>4972</v>
      </c>
      <c>
        <v>0</v>
      </c>
      <c s="3">
        <v>0</v>
      </c>
      <c s="3">
        <v>317.96</v>
      </c>
      <c s="3">
        <v>8786</v>
      </c>
      <c r="O5322" s="1" t="str">
        <f ca="1">HYPERLINK("https://web.datatree.com/?/property?propertyId=34097908", "https://web.datatree.com/?/property?propertyId=34097908")</f>
        <v>https://web.datatree.com/?/property?propertyId=34097908</v>
      </c>
      <c r="Q5322" t="s">
        <v>316</v>
      </c>
      <c>
        <v>0.246</v>
      </c>
      <c t="s">
        <v>5471</v>
      </c>
      <c t="s">
        <v>56498</v>
      </c>
      <c t="s">
        <v>28905</v>
      </c>
      <c r="X5322" t="s">
        <v>63649</v>
      </c>
      <c t="s">
        <v>5280</v>
      </c>
      <c t="s">
        <v>65059</v>
      </c>
      <c t="s">
        <v>39289</v>
      </c>
      <c>
        <v>33905</v>
      </c>
      <c t="s">
        <v>14638</v>
      </c>
      <c t="s">
        <v>48794</v>
      </c>
      <c t="s">
        <v>50311</v>
      </c>
      <c>
        <v>506</v>
      </c>
      <c r="AI5322" t="s">
        <v>39635</v>
      </c>
      <c t="s">
        <v>40123</v>
      </c>
      <c r="AL5322" t="s">
        <v>35056</v>
      </c>
      <c r="AN5322" t="s">
        <v>27481</v>
      </c>
      <c t="s">
        <v>44914</v>
      </c>
      <c t="s">
        <v>22152</v>
      </c>
      <c t="s">
        <v>3093</v>
      </c>
      <c t="s">
        <v>52472</v>
      </c>
    </row>
    <row>
      <c t="s">
        <v>17594</v>
      </c>
      <c t="s">
        <v>34817</v>
      </c>
      <c t="s">
        <v>38464</v>
      </c>
      <c t="s">
        <v>45591</v>
      </c>
      <c t="s">
        <v>48440</v>
      </c>
      <c s="3">
        <v>54000</v>
      </c>
      <c s="3">
        <v>54000</v>
      </c>
      <c s="3">
        <v>11318</v>
      </c>
      <c>
        <v>0</v>
      </c>
      <c s="3">
        <v>0</v>
      </c>
      <c s="3">
        <v>1618.29</v>
      </c>
      <c s="3">
        <v>54000</v>
      </c>
      <c r="O5323" s="1" t="str">
        <f ca="1">HYPERLINK("https://web.datatree.com/?/property?propertyId=34097993", "https://web.datatree.com/?/property?propertyId=34097993")</f>
        <v>https://web.datatree.com/?/property?propertyId=34097993</v>
      </c>
      <c r="Q5323" t="s">
        <v>316</v>
      </c>
      <c>
        <v>0.234</v>
      </c>
      <c t="s">
        <v>6175</v>
      </c>
      <c t="s">
        <v>32675</v>
      </c>
      <c t="s">
        <v>51111</v>
      </c>
      <c r="X5323" t="s">
        <v>14678</v>
      </c>
      <c t="s">
        <v>61865</v>
      </c>
      <c t="s">
        <v>2517</v>
      </c>
      <c t="s">
        <v>39289</v>
      </c>
      <c>
        <v>33909</v>
      </c>
      <c t="s">
        <v>63395</v>
      </c>
      <c t="s">
        <v>48794</v>
      </c>
      <c t="s">
        <v>7971</v>
      </c>
      <c>
        <v>21</v>
      </c>
      <c r="AI5323" t="s">
        <v>20431</v>
      </c>
      <c r="AK5323" t="s">
        <v>33269</v>
      </c>
      <c t="s">
        <v>63745</v>
      </c>
      <c r="AN5323" t="s">
        <v>9533</v>
      </c>
      <c t="s">
        <v>47008</v>
      </c>
      <c t="s">
        <v>23744</v>
      </c>
      <c t="s">
        <v>3093</v>
      </c>
      <c t="s">
        <v>1080</v>
      </c>
    </row>
    <row>
      <c t="s">
        <v>17594</v>
      </c>
      <c t="s">
        <v>26169</v>
      </c>
      <c t="s">
        <v>10296</v>
      </c>
      <c t="s">
        <v>35623</v>
      </c>
      <c t="s">
        <v>29836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324" s="1" t="str">
        <f ca="1">HYPERLINK("https://web.datatree.com/?/property?propertyId=34098912", "https://web.datatree.com/?/property?propertyId=34098912")</f>
        <v>https://web.datatree.com/?/property?propertyId=34098912</v>
      </c>
      <c r="Q5324" t="s">
        <v>316</v>
      </c>
      <c>
        <v>0.23</v>
      </c>
      <c t="s">
        <v>42044</v>
      </c>
      <c t="s">
        <v>44541</v>
      </c>
      <c t="s">
        <v>51741</v>
      </c>
      <c r="X5324" t="s">
        <v>60037</v>
      </c>
      <c t="s">
        <v>57064</v>
      </c>
      <c t="s">
        <v>2517</v>
      </c>
      <c t="s">
        <v>39289</v>
      </c>
      <c>
        <v>33909</v>
      </c>
      <c t="s">
        <v>41148</v>
      </c>
      <c t="s">
        <v>48794</v>
      </c>
      <c t="s">
        <v>32742</v>
      </c>
      <c>
        <v>1013</v>
      </c>
      <c r="AI5324" t="s">
        <v>562</v>
      </c>
      <c t="s">
        <v>55842</v>
      </c>
      <c r="AL5324" t="s">
        <v>23441</v>
      </c>
      <c t="s">
        <v>23441</v>
      </c>
      <c t="s">
        <v>10804</v>
      </c>
      <c t="s">
        <v>38059</v>
      </c>
      <c t="s">
        <v>38014</v>
      </c>
      <c t="s">
        <v>3093</v>
      </c>
      <c t="s">
        <v>3499</v>
      </c>
    </row>
    <row>
      <c t="s">
        <v>17594</v>
      </c>
      <c t="s">
        <v>47002</v>
      </c>
      <c t="s">
        <v>44624</v>
      </c>
      <c t="s">
        <v>17061</v>
      </c>
      <c t="s">
        <v>39987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325" s="1" t="str">
        <f ca="1">HYPERLINK("https://web.datatree.com/?/property?propertyId=34100330", "https://web.datatree.com/?/property?propertyId=34100330")</f>
        <v>https://web.datatree.com/?/property?propertyId=34100330</v>
      </c>
      <c r="Q5325" t="s">
        <v>316</v>
      </c>
      <c>
        <v>0.23</v>
      </c>
      <c t="s">
        <v>6175</v>
      </c>
      <c t="s">
        <v>27743</v>
      </c>
      <c t="s">
        <v>2495</v>
      </c>
      <c r="X5325" t="s">
        <v>40807</v>
      </c>
      <c t="s">
        <v>61865</v>
      </c>
      <c t="s">
        <v>2517</v>
      </c>
      <c t="s">
        <v>39289</v>
      </c>
      <c>
        <v>33909</v>
      </c>
      <c t="s">
        <v>30176</v>
      </c>
      <c t="s">
        <v>48794</v>
      </c>
      <c t="s">
        <v>59035</v>
      </c>
      <c>
        <v>13</v>
      </c>
      <c r="AI5325" t="s">
        <v>55002</v>
      </c>
      <c t="s">
        <v>835</v>
      </c>
      <c r="AL5325" t="s">
        <v>12829</v>
      </c>
      <c r="AN5325" t="s">
        <v>50917</v>
      </c>
      <c t="s">
        <v>40936</v>
      </c>
      <c t="s">
        <v>26242</v>
      </c>
      <c t="s">
        <v>3093</v>
      </c>
      <c t="s">
        <v>9091</v>
      </c>
    </row>
    <row>
      <c t="s">
        <v>17594</v>
      </c>
      <c t="s">
        <v>50215</v>
      </c>
      <c t="s">
        <v>20492</v>
      </c>
      <c t="s">
        <v>18238</v>
      </c>
      <c t="s">
        <v>1908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5326" s="1" t="str">
        <f ca="1">HYPERLINK("https://web.datatree.com/?/property?propertyId=34101169", "https://web.datatree.com/?/property?propertyId=34101169")</f>
        <v>https://web.datatree.com/?/property?propertyId=34101169</v>
      </c>
      <c r="Q5326" t="s">
        <v>316</v>
      </c>
      <c>
        <v>0.23</v>
      </c>
      <c t="s">
        <v>6175</v>
      </c>
      <c t="s">
        <v>44457</v>
      </c>
      <c t="s">
        <v>57720</v>
      </c>
      <c t="s">
        <v>8065</v>
      </c>
      <c t="s">
        <v>1422</v>
      </c>
      <c t="s">
        <v>63948</v>
      </c>
      <c t="s">
        <v>10653</v>
      </c>
      <c t="s">
        <v>2517</v>
      </c>
      <c t="s">
        <v>39289</v>
      </c>
      <c>
        <v>33909</v>
      </c>
      <c t="s">
        <v>35411</v>
      </c>
      <c t="s">
        <v>48794</v>
      </c>
      <c t="s">
        <v>10233</v>
      </c>
      <c>
        <v>978</v>
      </c>
      <c r="AI5326" t="s">
        <v>31908</v>
      </c>
      <c t="s">
        <v>40123</v>
      </c>
      <c r="AL5326" t="s">
        <v>55393</v>
      </c>
      <c t="s">
        <v>13066</v>
      </c>
      <c t="s">
        <v>39289</v>
      </c>
      <c t="s">
        <v>39942</v>
      </c>
      <c t="s">
        <v>35508</v>
      </c>
      <c t="s">
        <v>3093</v>
      </c>
      <c t="s">
        <v>66675</v>
      </c>
    </row>
    <row>
      <c t="s">
        <v>17594</v>
      </c>
      <c t="s">
        <v>44653</v>
      </c>
      <c t="s">
        <v>66429</v>
      </c>
      <c t="s">
        <v>178</v>
      </c>
      <c t="s">
        <v>44236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>
        <v>2019</v>
      </c>
      <c>
        <v>1249.93</v>
      </c>
      <c s="1" t="str">
        <f ca="1">HYPERLINK("https://web.datatree.com/?/property?propertyId=34101375", "https://web.datatree.com/?/property?propertyId=34101375")</f>
        <v>https://web.datatree.com/?/property?propertyId=34101375</v>
      </c>
      <c r="Q5327" t="s">
        <v>316</v>
      </c>
      <c>
        <v>0.23</v>
      </c>
      <c t="s">
        <v>22490</v>
      </c>
      <c t="s">
        <v>18316</v>
      </c>
      <c t="s">
        <v>2688</v>
      </c>
      <c r="X5327" t="s">
        <v>34681</v>
      </c>
      <c t="s">
        <v>29190</v>
      </c>
      <c t="s">
        <v>2517</v>
      </c>
      <c t="s">
        <v>39289</v>
      </c>
      <c>
        <v>33909</v>
      </c>
      <c>
        <v>33909</v>
      </c>
      <c t="s">
        <v>48794</v>
      </c>
      <c t="s">
        <v>61573</v>
      </c>
      <c>
        <v>1465</v>
      </c>
      <c r="AI5327" t="s">
        <v>3901</v>
      </c>
      <c t="s">
        <v>45393</v>
      </c>
      <c r="AL5327" t="s">
        <v>8109</v>
      </c>
      <c r="AN5327" t="s">
        <v>50917</v>
      </c>
      <c t="s">
        <v>66430</v>
      </c>
      <c t="s">
        <v>45980</v>
      </c>
      <c t="s">
        <v>3093</v>
      </c>
      <c t="s">
        <v>40643</v>
      </c>
    </row>
    <row>
      <c t="s">
        <v>17594</v>
      </c>
      <c t="s">
        <v>49075</v>
      </c>
      <c t="s">
        <v>29883</v>
      </c>
      <c t="s">
        <v>22939</v>
      </c>
      <c t="s">
        <v>43917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5328" s="1" t="str">
        <f ca="1">HYPERLINK("https://web.datatree.com/?/property?propertyId=34101783", "https://web.datatree.com/?/property?propertyId=34101783")</f>
        <v>https://web.datatree.com/?/property?propertyId=34101783</v>
      </c>
      <c r="Q5328" t="s">
        <v>316</v>
      </c>
      <c>
        <v>0.23</v>
      </c>
      <c t="s">
        <v>6175</v>
      </c>
      <c t="s">
        <v>4408</v>
      </c>
      <c t="s">
        <v>40339</v>
      </c>
      <c r="X5328" t="s">
        <v>39706</v>
      </c>
      <c t="s">
        <v>33179</v>
      </c>
      <c t="s">
        <v>2517</v>
      </c>
      <c t="s">
        <v>39289</v>
      </c>
      <c>
        <v>33909</v>
      </c>
      <c t="s">
        <v>56683</v>
      </c>
      <c t="s">
        <v>48794</v>
      </c>
      <c t="s">
        <v>45694</v>
      </c>
      <c>
        <v>10992</v>
      </c>
      <c r="AI5328" t="s">
        <v>31886</v>
      </c>
      <c t="s">
        <v>45620</v>
      </c>
      <c r="AL5328" t="s">
        <v>34557</v>
      </c>
      <c t="s">
        <v>34557</v>
      </c>
      <c t="s">
        <v>65451</v>
      </c>
      <c t="s">
        <v>35425</v>
      </c>
      <c t="s">
        <v>4480</v>
      </c>
      <c t="s">
        <v>3093</v>
      </c>
      <c t="s">
        <v>58969</v>
      </c>
    </row>
    <row>
      <c t="s">
        <v>17594</v>
      </c>
      <c t="s">
        <v>24083</v>
      </c>
      <c t="s">
        <v>5638</v>
      </c>
      <c t="s">
        <v>13172</v>
      </c>
      <c t="s">
        <v>41339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329" s="1" t="str">
        <f ca="1">HYPERLINK("https://web.datatree.com/?/property?propertyId=34101891", "https://web.datatree.com/?/property?propertyId=34101891")</f>
        <v>https://web.datatree.com/?/property?propertyId=34101891</v>
      </c>
      <c r="Q5329" t="s">
        <v>316</v>
      </c>
      <c>
        <v>0.23</v>
      </c>
      <c t="s">
        <v>22490</v>
      </c>
      <c t="s">
        <v>54943</v>
      </c>
      <c t="s">
        <v>12503</v>
      </c>
      <c t="s">
        <v>52880</v>
      </c>
      <c t="s">
        <v>12503</v>
      </c>
      <c t="s">
        <v>36520</v>
      </c>
      <c t="s">
        <v>53675</v>
      </c>
      <c t="s">
        <v>2517</v>
      </c>
      <c t="s">
        <v>39289</v>
      </c>
      <c>
        <v>33909</v>
      </c>
      <c t="s">
        <v>12391</v>
      </c>
      <c t="s">
        <v>48794</v>
      </c>
      <c t="s">
        <v>59773</v>
      </c>
      <c>
        <v>131</v>
      </c>
      <c r="AI5329" t="s">
        <v>40263</v>
      </c>
      <c t="s">
        <v>45393</v>
      </c>
      <c r="AL5329" t="s">
        <v>50838</v>
      </c>
      <c r="AN5329" t="s">
        <v>27747</v>
      </c>
      <c t="s">
        <v>1402</v>
      </c>
      <c t="s">
        <v>46114</v>
      </c>
      <c t="s">
        <v>3093</v>
      </c>
      <c t="s">
        <v>9076</v>
      </c>
    </row>
    <row>
      <c t="s">
        <v>17594</v>
      </c>
      <c t="s">
        <v>16509</v>
      </c>
      <c t="s">
        <v>1707</v>
      </c>
      <c t="s">
        <v>27153</v>
      </c>
      <c t="s">
        <v>48410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5330" s="1" t="str">
        <f ca="1">HYPERLINK("https://web.datatree.com/?/property?propertyId=34102462", "https://web.datatree.com/?/property?propertyId=34102462")</f>
        <v>https://web.datatree.com/?/property?propertyId=34102462</v>
      </c>
      <c r="Q5330" t="s">
        <v>316</v>
      </c>
      <c>
        <v>0.244</v>
      </c>
      <c t="s">
        <v>6175</v>
      </c>
      <c t="s">
        <v>64119</v>
      </c>
      <c t="s">
        <v>14637</v>
      </c>
      <c t="s">
        <v>41485</v>
      </c>
      <c t="s">
        <v>14637</v>
      </c>
      <c t="s">
        <v>42737</v>
      </c>
      <c t="s">
        <v>14534</v>
      </c>
      <c t="s">
        <v>2517</v>
      </c>
      <c t="s">
        <v>39289</v>
      </c>
      <c>
        <v>33909</v>
      </c>
      <c t="s">
        <v>50288</v>
      </c>
      <c t="s">
        <v>48794</v>
      </c>
      <c t="s">
        <v>60723</v>
      </c>
      <c>
        <v>12824</v>
      </c>
      <c r="AI5330" t="s">
        <v>55273</v>
      </c>
      <c t="s">
        <v>39321</v>
      </c>
      <c r="AL5330" t="s">
        <v>55393</v>
      </c>
      <c r="AN5330" t="s">
        <v>39289</v>
      </c>
      <c t="s">
        <v>55823</v>
      </c>
      <c t="s">
        <v>7062</v>
      </c>
      <c t="s">
        <v>3093</v>
      </c>
      <c t="s">
        <v>16902</v>
      </c>
    </row>
    <row>
      <c t="s">
        <v>17594</v>
      </c>
      <c t="s">
        <v>58834</v>
      </c>
      <c t="s">
        <v>51182</v>
      </c>
      <c t="s">
        <v>66906</v>
      </c>
      <c t="s">
        <v>37644</v>
      </c>
      <c s="3">
        <v>22152</v>
      </c>
      <c s="3">
        <v>22152</v>
      </c>
      <c s="3">
        <v>22152</v>
      </c>
      <c>
        <v>0</v>
      </c>
      <c s="3">
        <v>0</v>
      </c>
      <c s="3">
        <v>718.12</v>
      </c>
      <c s="3">
        <v>22152</v>
      </c>
      <c r="O5331" s="1" t="str">
        <f ca="1">HYPERLINK("https://web.datatree.com/?/property?propertyId=34102741", "https://web.datatree.com/?/property?propertyId=34102741")</f>
        <v>https://web.datatree.com/?/property?propertyId=34102741</v>
      </c>
      <c r="Q5331" t="s">
        <v>316</v>
      </c>
      <c>
        <v>0.244</v>
      </c>
      <c t="s">
        <v>22490</v>
      </c>
      <c t="s">
        <v>44079</v>
      </c>
      <c t="s">
        <v>35137</v>
      </c>
      <c t="s">
        <v>54943</v>
      </c>
      <c t="s">
        <v>35137</v>
      </c>
      <c t="s">
        <v>530</v>
      </c>
      <c t="s">
        <v>57064</v>
      </c>
      <c t="s">
        <v>2517</v>
      </c>
      <c t="s">
        <v>39289</v>
      </c>
      <c>
        <v>33909</v>
      </c>
      <c t="s">
        <v>19189</v>
      </c>
      <c t="s">
        <v>48794</v>
      </c>
      <c t="s">
        <v>39394</v>
      </c>
      <c>
        <v>8472</v>
      </c>
      <c r="AI5331" t="s">
        <v>32093</v>
      </c>
      <c t="s">
        <v>835</v>
      </c>
      <c r="AL5331" t="s">
        <v>67262</v>
      </c>
      <c t="s">
        <v>54465</v>
      </c>
      <c t="s">
        <v>14798</v>
      </c>
      <c t="s">
        <v>62144</v>
      </c>
      <c t="s">
        <v>12241</v>
      </c>
      <c t="s">
        <v>3093</v>
      </c>
      <c t="s">
        <v>38778</v>
      </c>
    </row>
    <row>
      <c t="s">
        <v>17594</v>
      </c>
      <c t="s">
        <v>28963</v>
      </c>
      <c t="s">
        <v>53884</v>
      </c>
      <c t="s">
        <v>2831</v>
      </c>
      <c t="s">
        <v>61077</v>
      </c>
      <c s="3">
        <v>12544</v>
      </c>
      <c s="3">
        <v>12544</v>
      </c>
      <c s="3">
        <v>4972</v>
      </c>
      <c>
        <v>0</v>
      </c>
      <c s="3">
        <v>0</v>
      </c>
      <c s="3">
        <v>317.96</v>
      </c>
      <c s="3">
        <v>12544</v>
      </c>
      <c r="O5332" s="1" t="str">
        <f ca="1">HYPERLINK("https://web.datatree.com/?/property?propertyId=34103183", "https://web.datatree.com/?/property?propertyId=34103183")</f>
        <v>https://web.datatree.com/?/property?propertyId=34103183</v>
      </c>
      <c r="Q5332" t="s">
        <v>316</v>
      </c>
      <c>
        <v>0.246</v>
      </c>
      <c t="s">
        <v>5471</v>
      </c>
      <c t="s">
        <v>10361</v>
      </c>
      <c t="s">
        <v>57844</v>
      </c>
      <c t="s">
        <v>18302</v>
      </c>
      <c t="s">
        <v>57844</v>
      </c>
      <c t="s">
        <v>5490</v>
      </c>
      <c t="s">
        <v>3747</v>
      </c>
      <c t="s">
        <v>65059</v>
      </c>
      <c t="s">
        <v>39289</v>
      </c>
      <c>
        <v>33905</v>
      </c>
      <c t="s">
        <v>61499</v>
      </c>
      <c t="s">
        <v>48794</v>
      </c>
      <c t="s">
        <v>54980</v>
      </c>
      <c>
        <v>313</v>
      </c>
      <c r="AI5332" t="s">
        <v>30159</v>
      </c>
      <c t="s">
        <v>1671</v>
      </c>
      <c r="AL5332" t="s">
        <v>21376</v>
      </c>
      <c r="AN5332" t="s">
        <v>3034</v>
      </c>
      <c t="s">
        <v>1682</v>
      </c>
      <c t="s">
        <v>30106</v>
      </c>
      <c t="s">
        <v>3093</v>
      </c>
      <c t="s">
        <v>12520</v>
      </c>
    </row>
    <row>
      <c t="s">
        <v>17594</v>
      </c>
      <c t="s">
        <v>37042</v>
      </c>
      <c t="s">
        <v>63687</v>
      </c>
      <c t="s">
        <v>13270</v>
      </c>
      <c t="s">
        <v>14399</v>
      </c>
      <c s="3">
        <v>18220</v>
      </c>
      <c s="3">
        <v>18220</v>
      </c>
      <c s="3">
        <v>9339</v>
      </c>
      <c>
        <v>0</v>
      </c>
      <c s="3">
        <v>0</v>
      </c>
      <c s="3">
        <v>2831.17</v>
      </c>
      <c s="3">
        <v>18220</v>
      </c>
      <c r="O5333" s="1" t="str">
        <f ca="1">HYPERLINK("https://web.datatree.com/?/property?propertyId=34103360", "https://web.datatree.com/?/property?propertyId=34103360")</f>
        <v>https://web.datatree.com/?/property?propertyId=34103360</v>
      </c>
      <c r="Q5333" t="s">
        <v>316</v>
      </c>
      <c>
        <v>0.228</v>
      </c>
      <c t="s">
        <v>6175</v>
      </c>
      <c t="s">
        <v>4458</v>
      </c>
      <c t="s">
        <v>24432</v>
      </c>
      <c r="X5333" t="s">
        <v>48686</v>
      </c>
      <c t="s">
        <v>18679</v>
      </c>
      <c t="s">
        <v>2517</v>
      </c>
      <c t="s">
        <v>39289</v>
      </c>
      <c>
        <v>33909</v>
      </c>
      <c t="s">
        <v>65424</v>
      </c>
      <c t="s">
        <v>48794</v>
      </c>
      <c t="s">
        <v>45077</v>
      </c>
      <c>
        <v>321</v>
      </c>
      <c r="AI5333" t="s">
        <v>59763</v>
      </c>
      <c t="s">
        <v>45393</v>
      </c>
      <c r="AL5333" t="s">
        <v>15417</v>
      </c>
      <c r="AN5333" t="s">
        <v>39289</v>
      </c>
      <c t="s">
        <v>5144</v>
      </c>
      <c t="s">
        <v>4480</v>
      </c>
      <c t="s">
        <v>3093</v>
      </c>
      <c t="s">
        <v>8413</v>
      </c>
    </row>
    <row>
      <c t="s">
        <v>17594</v>
      </c>
      <c t="s">
        <v>61664</v>
      </c>
      <c s="7" t="s">
        <v>12021</v>
      </c>
      <c t="s">
        <v>44846</v>
      </c>
      <c t="s">
        <v>63426</v>
      </c>
      <c s="3">
        <v>8400</v>
      </c>
      <c s="3">
        <v>8400</v>
      </c>
      <c s="3">
        <v>8400</v>
      </c>
      <c>
        <v>0</v>
      </c>
      <c s="3">
        <v>0</v>
      </c>
      <c s="3">
        <v>561.98</v>
      </c>
      <c s="3">
        <v>8400</v>
      </c>
      <c r="O5334" s="1" t="str">
        <f ca="1">HYPERLINK("https://web.datatree.com/?/property?propertyId=34103708", "https://web.datatree.com/?/property?propertyId=34103708")</f>
        <v>https://web.datatree.com/?/property?propertyId=34103708</v>
      </c>
      <c r="Q5334" t="s">
        <v>316</v>
      </c>
      <c>
        <v>0.248</v>
      </c>
      <c t="s">
        <v>6175</v>
      </c>
      <c t="s">
        <v>39139</v>
      </c>
      <c t="s">
        <v>40517</v>
      </c>
      <c r="X5334" t="s">
        <v>42908</v>
      </c>
      <c t="s">
        <v>25017</v>
      </c>
      <c t="s">
        <v>2517</v>
      </c>
      <c t="s">
        <v>39289</v>
      </c>
      <c>
        <v>33909</v>
      </c>
      <c t="s">
        <v>28775</v>
      </c>
      <c t="s">
        <v>48794</v>
      </c>
      <c t="s">
        <v>5232</v>
      </c>
      <c>
        <v>8</v>
      </c>
      <c r="AI5334" t="s">
        <v>56814</v>
      </c>
      <c t="s">
        <v>45620</v>
      </c>
      <c r="AL5334" t="s">
        <v>11767</v>
      </c>
      <c t="s">
        <v>45887</v>
      </c>
      <c t="s">
        <v>50917</v>
      </c>
      <c t="s">
        <v>51180</v>
      </c>
      <c t="s">
        <v>15968</v>
      </c>
      <c t="s">
        <v>3093</v>
      </c>
      <c s="7" t="s">
        <v>5319</v>
      </c>
    </row>
    <row>
      <c t="s">
        <v>17594</v>
      </c>
      <c t="s">
        <v>31777</v>
      </c>
      <c t="s">
        <v>34713</v>
      </c>
      <c t="s">
        <v>22452</v>
      </c>
      <c t="s">
        <v>34064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5335" s="1" t="str">
        <f ca="1">HYPERLINK("https://web.datatree.com/?/property?propertyId=34103816", "https://web.datatree.com/?/property?propertyId=34103816")</f>
        <v>https://web.datatree.com/?/property?propertyId=34103816</v>
      </c>
      <c r="Q5335" t="s">
        <v>316</v>
      </c>
      <c>
        <v>0.23</v>
      </c>
      <c t="s">
        <v>22490</v>
      </c>
      <c t="s">
        <v>1859</v>
      </c>
      <c t="s">
        <v>63673</v>
      </c>
      <c t="s">
        <v>46573</v>
      </c>
      <c t="s">
        <v>63673</v>
      </c>
      <c t="s">
        <v>39819</v>
      </c>
      <c t="s">
        <v>46469</v>
      </c>
      <c t="s">
        <v>2517</v>
      </c>
      <c t="s">
        <v>39289</v>
      </c>
      <c>
        <v>33909</v>
      </c>
      <c t="s">
        <v>40091</v>
      </c>
      <c t="s">
        <v>48794</v>
      </c>
      <c t="s">
        <v>18296</v>
      </c>
      <c>
        <v>489</v>
      </c>
      <c r="AI5335" t="s">
        <v>5105</v>
      </c>
      <c t="s">
        <v>45393</v>
      </c>
      <c r="AL5335" t="s">
        <v>46211</v>
      </c>
      <c r="AN5335" t="s">
        <v>27747</v>
      </c>
      <c t="s">
        <v>65485</v>
      </c>
      <c t="s">
        <v>11138</v>
      </c>
      <c t="s">
        <v>3093</v>
      </c>
      <c t="s">
        <v>5889</v>
      </c>
    </row>
    <row>
      <c t="s">
        <v>17594</v>
      </c>
      <c t="s">
        <v>53741</v>
      </c>
      <c t="s">
        <v>1321</v>
      </c>
      <c t="s">
        <v>29886</v>
      </c>
      <c t="s">
        <v>52780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336" s="1" t="str">
        <f ca="1">HYPERLINK("https://web.datatree.com/?/property?propertyId=34103904", "https://web.datatree.com/?/property?propertyId=34103904")</f>
        <v>https://web.datatree.com/?/property?propertyId=34103904</v>
      </c>
      <c r="Q5336" t="s">
        <v>316</v>
      </c>
      <c>
        <v>0.23</v>
      </c>
      <c t="s">
        <v>6175</v>
      </c>
      <c r="U5336" t="s">
        <v>855</v>
      </c>
      <c t="s">
        <v>29621</v>
      </c>
      <c t="s">
        <v>14444</v>
      </c>
      <c t="s">
        <v>20203</v>
      </c>
      <c t="s">
        <v>2626</v>
      </c>
      <c t="s">
        <v>2517</v>
      </c>
      <c t="s">
        <v>39289</v>
      </c>
      <c>
        <v>33909</v>
      </c>
      <c t="s">
        <v>59811</v>
      </c>
      <c t="s">
        <v>48794</v>
      </c>
      <c t="s">
        <v>23039</v>
      </c>
      <c>
        <v>6900</v>
      </c>
      <c r="AI5336" t="s">
        <v>42233</v>
      </c>
      <c t="s">
        <v>31192</v>
      </c>
      <c>
        <v>603</v>
      </c>
      <c t="s">
        <v>38297</v>
      </c>
      <c t="s">
        <v>38297</v>
      </c>
      <c t="s">
        <v>27222</v>
      </c>
      <c>
        <v>89145</v>
      </c>
      <c t="s">
        <v>12399</v>
      </c>
      <c t="s">
        <v>3093</v>
      </c>
      <c t="s">
        <v>42848</v>
      </c>
    </row>
    <row>
      <c t="s">
        <v>17594</v>
      </c>
      <c t="s">
        <v>29957</v>
      </c>
      <c t="s">
        <v>29277</v>
      </c>
      <c t="s">
        <v>6412</v>
      </c>
      <c t="s">
        <v>36711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5337" s="1" t="str">
        <f ca="1">HYPERLINK("https://web.datatree.com/?/property?propertyId=34104135", "https://web.datatree.com/?/property?propertyId=34104135")</f>
        <v>https://web.datatree.com/?/property?propertyId=34104135</v>
      </c>
      <c r="Q5337" t="s">
        <v>316</v>
      </c>
      <c>
        <v>0.23</v>
      </c>
      <c t="s">
        <v>22490</v>
      </c>
      <c t="s">
        <v>20358</v>
      </c>
      <c t="s">
        <v>37587</v>
      </c>
      <c r="X5337" t="s">
        <v>54151</v>
      </c>
      <c t="s">
        <v>49122</v>
      </c>
      <c t="s">
        <v>2517</v>
      </c>
      <c t="s">
        <v>39289</v>
      </c>
      <c>
        <v>33909</v>
      </c>
      <c t="s">
        <v>8002</v>
      </c>
      <c t="s">
        <v>48794</v>
      </c>
      <c t="s">
        <v>43941</v>
      </c>
      <c>
        <v>1835</v>
      </c>
      <c r="AI5337" t="s">
        <v>55130</v>
      </c>
      <c t="s">
        <v>45393</v>
      </c>
      <c>
        <v>903</v>
      </c>
      <c t="s">
        <v>1153</v>
      </c>
      <c r="AN5337" t="s">
        <v>65451</v>
      </c>
      <c t="s">
        <v>9901</v>
      </c>
      <c t="s">
        <v>25140</v>
      </c>
      <c t="s">
        <v>3093</v>
      </c>
      <c t="s">
        <v>16025</v>
      </c>
    </row>
    <row>
      <c t="s">
        <v>17594</v>
      </c>
      <c t="s">
        <v>11982</v>
      </c>
      <c t="s">
        <v>22698</v>
      </c>
      <c t="s">
        <v>63333</v>
      </c>
      <c t="s">
        <v>29893</v>
      </c>
      <c s="3">
        <v>193125</v>
      </c>
      <c s="3">
        <v>193125</v>
      </c>
      <c s="3">
        <v>169950</v>
      </c>
      <c>
        <v>0</v>
      </c>
      <c s="3">
        <v>0</v>
      </c>
      <c s="3">
        <v>3663.74</v>
      </c>
      <c s="3">
        <v>193125</v>
      </c>
      <c r="O5338" s="1" t="str">
        <f ca="1">HYPERLINK("https://web.datatree.com/?/property?propertyId=34104478", "https://web.datatree.com/?/property?propertyId=34104478")</f>
        <v>https://web.datatree.com/?/property?propertyId=34104478</v>
      </c>
      <c r="Q5338" t="s">
        <v>316</v>
      </c>
      <c>
        <v>0.23</v>
      </c>
      <c t="s">
        <v>22490</v>
      </c>
      <c t="s">
        <v>44457</v>
      </c>
      <c t="s">
        <v>11021</v>
      </c>
      <c t="s">
        <v>21852</v>
      </c>
      <c t="s">
        <v>11021</v>
      </c>
      <c t="s">
        <v>17128</v>
      </c>
      <c t="s">
        <v>22731</v>
      </c>
      <c t="s">
        <v>2517</v>
      </c>
      <c t="s">
        <v>39289</v>
      </c>
      <c>
        <v>33904</v>
      </c>
      <c t="s">
        <v>5247</v>
      </c>
      <c t="s">
        <v>48794</v>
      </c>
      <c t="s">
        <v>36317</v>
      </c>
      <c>
        <v>36</v>
      </c>
      <c r="AI5338" t="s">
        <v>17320</v>
      </c>
      <c t="s">
        <v>24900</v>
      </c>
      <c r="AL5338" t="s">
        <v>45421</v>
      </c>
      <c r="AN5338" t="s">
        <v>10909</v>
      </c>
      <c t="s">
        <v>27329</v>
      </c>
      <c r="AQ5338" t="s">
        <v>27814</v>
      </c>
      <c t="s">
        <v>58398</v>
      </c>
    </row>
    <row>
      <c t="s">
        <v>17594</v>
      </c>
      <c t="s">
        <v>46273</v>
      </c>
      <c t="s">
        <v>3385</v>
      </c>
      <c t="s">
        <v>53538</v>
      </c>
      <c t="s">
        <v>8772</v>
      </c>
      <c s="3">
        <v>8400</v>
      </c>
      <c s="3">
        <v>8400</v>
      </c>
      <c s="3">
        <v>8400</v>
      </c>
      <c>
        <v>0</v>
      </c>
      <c s="3">
        <v>0</v>
      </c>
      <c s="3">
        <v>575.48</v>
      </c>
      <c s="3">
        <v>8400</v>
      </c>
      <c r="O5339" s="1" t="str">
        <f ca="1">HYPERLINK("https://web.datatree.com/?/property?propertyId=34104593", "https://web.datatree.com/?/property?propertyId=34104593")</f>
        <v>https://web.datatree.com/?/property?propertyId=34104593</v>
      </c>
      <c r="Q5339" t="s">
        <v>316</v>
      </c>
      <c>
        <v>0.255</v>
      </c>
      <c t="s">
        <v>6175</v>
      </c>
      <c t="s">
        <v>552</v>
      </c>
      <c t="s">
        <v>50093</v>
      </c>
      <c r="X5339" t="s">
        <v>7686</v>
      </c>
      <c t="s">
        <v>61865</v>
      </c>
      <c t="s">
        <v>2517</v>
      </c>
      <c t="s">
        <v>39289</v>
      </c>
      <c>
        <v>33909</v>
      </c>
      <c t="s">
        <v>8389</v>
      </c>
      <c t="s">
        <v>48794</v>
      </c>
      <c t="s">
        <v>45622</v>
      </c>
      <c>
        <v>9822</v>
      </c>
      <c r="AI5339" t="s">
        <v>35407</v>
      </c>
      <c t="s">
        <v>41372</v>
      </c>
      <c r="AL5339" t="s">
        <v>55393</v>
      </c>
      <c t="s">
        <v>57031</v>
      </c>
      <c t="s">
        <v>39289</v>
      </c>
      <c t="s">
        <v>9430</v>
      </c>
      <c t="s">
        <v>52551</v>
      </c>
      <c t="s">
        <v>3093</v>
      </c>
      <c t="s">
        <v>56430</v>
      </c>
    </row>
    <row>
      <c t="s">
        <v>17594</v>
      </c>
      <c t="s">
        <v>43633</v>
      </c>
      <c t="s">
        <v>64429</v>
      </c>
      <c t="s">
        <v>13479</v>
      </c>
      <c t="s">
        <v>37433</v>
      </c>
      <c s="3">
        <v>25998</v>
      </c>
      <c s="3">
        <v>25998</v>
      </c>
      <c s="3">
        <v>19217</v>
      </c>
      <c>
        <v>0</v>
      </c>
      <c s="3">
        <v>0</v>
      </c>
      <c s="3">
        <v>320.59</v>
      </c>
      <c s="3">
        <v>25998</v>
      </c>
      <c r="O5340" s="1" t="str">
        <f ca="1">HYPERLINK("https://web.datatree.com/?/property?propertyId=34105278", "https://web.datatree.com/?/property?propertyId=34105278")</f>
        <v>https://web.datatree.com/?/property?propertyId=34105278</v>
      </c>
      <c r="Q5340" t="s">
        <v>316</v>
      </c>
      <c>
        <v>1.18</v>
      </c>
      <c t="s">
        <v>5471</v>
      </c>
      <c t="s">
        <v>2140</v>
      </c>
      <c t="s">
        <v>60631</v>
      </c>
      <c t="s">
        <v>60600</v>
      </c>
      <c t="s">
        <v>60631</v>
      </c>
      <c t="s">
        <v>7141</v>
      </c>
      <c t="s">
        <v>9615</v>
      </c>
      <c t="s">
        <v>54524</v>
      </c>
      <c t="s">
        <v>39289</v>
      </c>
      <c>
        <v>33903</v>
      </c>
      <c t="s">
        <v>7220</v>
      </c>
      <c t="s">
        <v>48794</v>
      </c>
      <c t="s">
        <v>54300</v>
      </c>
      <c>
        <v>100</v>
      </c>
      <c r="AI5340" t="s">
        <v>38865</v>
      </c>
      <c t="s">
        <v>40123</v>
      </c>
      <c>
        <v>106</v>
      </c>
      <c t="s">
        <v>6714</v>
      </c>
      <c r="AN5340" t="s">
        <v>39289</v>
      </c>
      <c t="s">
        <v>18017</v>
      </c>
      <c t="s">
        <v>54916</v>
      </c>
      <c t="s">
        <v>3093</v>
      </c>
      <c t="s">
        <v>62029</v>
      </c>
    </row>
    <row>
      <c t="s">
        <v>17594</v>
      </c>
      <c t="s">
        <v>58443</v>
      </c>
      <c t="s">
        <v>6568</v>
      </c>
      <c t="s">
        <v>53994</v>
      </c>
      <c t="s">
        <v>13052</v>
      </c>
      <c s="3">
        <v>22990</v>
      </c>
      <c s="3">
        <v>22990</v>
      </c>
      <c s="3">
        <v>11495</v>
      </c>
      <c>
        <v>0</v>
      </c>
      <c s="3">
        <v>0</v>
      </c>
      <c s="3">
        <v>663.05</v>
      </c>
      <c s="3">
        <v>22990</v>
      </c>
      <c r="O5341" s="1" t="str">
        <f ca="1">HYPERLINK("https://web.datatree.com/?/property?propertyId=34105330", "https://web.datatree.com/?/property?propertyId=34105330")</f>
        <v>https://web.datatree.com/?/property?propertyId=34105330</v>
      </c>
      <c r="Q5341" t="s">
        <v>316</v>
      </c>
      <c>
        <v>0.281</v>
      </c>
      <c t="s">
        <v>22490</v>
      </c>
      <c t="s">
        <v>42212</v>
      </c>
      <c t="s">
        <v>36522</v>
      </c>
      <c t="s">
        <v>16194</v>
      </c>
      <c t="s">
        <v>36522</v>
      </c>
      <c t="s">
        <v>65858</v>
      </c>
      <c t="s">
        <v>50440</v>
      </c>
      <c t="s">
        <v>2517</v>
      </c>
      <c t="s">
        <v>39289</v>
      </c>
      <c>
        <v>33909</v>
      </c>
      <c t="s">
        <v>12258</v>
      </c>
      <c t="s">
        <v>48794</v>
      </c>
      <c t="s">
        <v>24188</v>
      </c>
      <c>
        <v>2721</v>
      </c>
      <c r="AI5341" t="s">
        <v>12532</v>
      </c>
      <c t="s">
        <v>705</v>
      </c>
      <c r="AL5341" t="s">
        <v>5103</v>
      </c>
      <c r="AN5341" t="s">
        <v>17134</v>
      </c>
      <c t="s">
        <v>32631</v>
      </c>
      <c t="s">
        <v>22455</v>
      </c>
      <c t="s">
        <v>3093</v>
      </c>
      <c t="s">
        <v>29258</v>
      </c>
    </row>
    <row>
      <c t="s">
        <v>17594</v>
      </c>
      <c t="s">
        <v>53825</v>
      </c>
      <c t="s">
        <v>65673</v>
      </c>
      <c t="s">
        <v>33191</v>
      </c>
      <c t="s">
        <v>34993</v>
      </c>
      <c s="3">
        <v>23286</v>
      </c>
      <c s="3">
        <v>23286</v>
      </c>
      <c s="3">
        <v>10973</v>
      </c>
      <c>
        <v>0</v>
      </c>
      <c s="3">
        <v>0</v>
      </c>
      <c s="3">
        <v>672.3</v>
      </c>
      <c s="3">
        <v>23286</v>
      </c>
      <c>
        <v>2019</v>
      </c>
      <c>
        <v>3095.22</v>
      </c>
      <c s="1" t="str">
        <f ca="1">HYPERLINK("https://web.datatree.com/?/property?propertyId=34105390", "https://web.datatree.com/?/property?propertyId=34105390")</f>
        <v>https://web.datatree.com/?/property?propertyId=34105390</v>
      </c>
      <c r="Q5342" t="s">
        <v>316</v>
      </c>
      <c>
        <v>0.293</v>
      </c>
      <c t="s">
        <v>45031</v>
      </c>
      <c t="s">
        <v>23025</v>
      </c>
      <c t="s">
        <v>3309</v>
      </c>
      <c r="X5342" t="s">
        <v>7988</v>
      </c>
      <c t="s">
        <v>47150</v>
      </c>
      <c t="s">
        <v>2517</v>
      </c>
      <c t="s">
        <v>39289</v>
      </c>
      <c>
        <v>33909</v>
      </c>
      <c t="s">
        <v>10414</v>
      </c>
      <c t="s">
        <v>48794</v>
      </c>
      <c t="s">
        <v>10697</v>
      </c>
      <c>
        <v>714</v>
      </c>
      <c r="AI5342" t="s">
        <v>19781</v>
      </c>
      <c t="s">
        <v>45620</v>
      </c>
      <c r="AL5342" t="s">
        <v>18642</v>
      </c>
      <c r="AN5342" t="s">
        <v>63985</v>
      </c>
      <c t="s">
        <v>47064</v>
      </c>
      <c t="s">
        <v>22152</v>
      </c>
      <c t="s">
        <v>3093</v>
      </c>
      <c t="s">
        <v>13039</v>
      </c>
    </row>
    <row>
      <c t="s">
        <v>17594</v>
      </c>
      <c t="s">
        <v>8470</v>
      </c>
      <c t="s">
        <v>23167</v>
      </c>
      <c t="s">
        <v>62544</v>
      </c>
      <c t="s">
        <v>8432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343" s="1" t="str">
        <f ca="1">HYPERLINK("https://web.datatree.com/?/property?propertyId=34105413", "https://web.datatree.com/?/property?propertyId=34105413")</f>
        <v>https://web.datatree.com/?/property?propertyId=34105413</v>
      </c>
      <c r="Q5343" t="s">
        <v>316</v>
      </c>
      <c>
        <v>0.23</v>
      </c>
      <c t="s">
        <v>6175</v>
      </c>
      <c t="s">
        <v>60928</v>
      </c>
      <c t="s">
        <v>51273</v>
      </c>
      <c t="s">
        <v>3009</v>
      </c>
      <c t="s">
        <v>53507</v>
      </c>
      <c t="s">
        <v>14071</v>
      </c>
      <c t="s">
        <v>30928</v>
      </c>
      <c t="s">
        <v>2517</v>
      </c>
      <c t="s">
        <v>39289</v>
      </c>
      <c>
        <v>33909</v>
      </c>
      <c t="s">
        <v>36343</v>
      </c>
      <c t="s">
        <v>48794</v>
      </c>
      <c t="s">
        <v>8083</v>
      </c>
      <c>
        <v>308</v>
      </c>
      <c r="AI5343" t="s">
        <v>36794</v>
      </c>
      <c t="s">
        <v>24900</v>
      </c>
      <c r="AL5343" t="s">
        <v>50860</v>
      </c>
      <c r="AN5343" t="s">
        <v>51087</v>
      </c>
      <c t="s">
        <v>31858</v>
      </c>
      <c t="s">
        <v>4480</v>
      </c>
      <c t="s">
        <v>3093</v>
      </c>
      <c t="s">
        <v>61210</v>
      </c>
    </row>
    <row>
      <c t="s">
        <v>17594</v>
      </c>
      <c t="s">
        <v>1680</v>
      </c>
      <c t="s">
        <v>60411</v>
      </c>
      <c t="s">
        <v>18708</v>
      </c>
      <c t="s">
        <v>35632</v>
      </c>
      <c s="3">
        <v>20185</v>
      </c>
      <c s="3">
        <v>20185</v>
      </c>
      <c s="3">
        <v>9240</v>
      </c>
      <c>
        <v>0</v>
      </c>
      <c s="3">
        <v>0</v>
      </c>
      <c s="3">
        <v>584.18</v>
      </c>
      <c s="3">
        <v>20185</v>
      </c>
      <c r="O5344" s="1" t="str">
        <f ca="1">HYPERLINK("https://web.datatree.com/?/property?propertyId=34105832", "https://web.datatree.com/?/property?propertyId=34105832")</f>
        <v>https://web.datatree.com/?/property?propertyId=34105832</v>
      </c>
      <c r="Q5344" t="s">
        <v>316</v>
      </c>
      <c>
        <v>0.236</v>
      </c>
      <c t="s">
        <v>22490</v>
      </c>
      <c t="s">
        <v>56691</v>
      </c>
      <c t="s">
        <v>58094</v>
      </c>
      <c r="X5344" t="s">
        <v>62975</v>
      </c>
      <c t="s">
        <v>53675</v>
      </c>
      <c t="s">
        <v>2517</v>
      </c>
      <c t="s">
        <v>39289</v>
      </c>
      <c>
        <v>33909</v>
      </c>
      <c t="s">
        <v>3381</v>
      </c>
      <c t="s">
        <v>48794</v>
      </c>
      <c t="s">
        <v>34390</v>
      </c>
      <c>
        <v>9901</v>
      </c>
      <c r="AI5344" t="s">
        <v>27846</v>
      </c>
      <c t="s">
        <v>31192</v>
      </c>
      <c r="AL5344" t="s">
        <v>16124</v>
      </c>
      <c r="AN5344" t="s">
        <v>51137</v>
      </c>
      <c t="s">
        <v>14859</v>
      </c>
      <c t="s">
        <v>34162</v>
      </c>
      <c t="s">
        <v>3093</v>
      </c>
      <c t="s">
        <v>11768</v>
      </c>
    </row>
    <row>
      <c t="s">
        <v>17594</v>
      </c>
      <c t="s">
        <v>46919</v>
      </c>
      <c t="s">
        <v>25660</v>
      </c>
      <c t="s">
        <v>50378</v>
      </c>
      <c t="s">
        <v>31711</v>
      </c>
      <c s="3">
        <v>20745</v>
      </c>
      <c s="3">
        <v>20745</v>
      </c>
      <c s="3">
        <v>9240</v>
      </c>
      <c>
        <v>0</v>
      </c>
      <c s="3">
        <v>0</v>
      </c>
      <c s="3">
        <v>601.72</v>
      </c>
      <c s="3">
        <v>20745</v>
      </c>
      <c>
        <v>2019</v>
      </c>
      <c>
        <v>1211.51</v>
      </c>
      <c s="1" t="str">
        <f ca="1">HYPERLINK("https://web.datatree.com/?/property?propertyId=34106038", "https://web.datatree.com/?/property?propertyId=34106038")</f>
        <v>https://web.datatree.com/?/property?propertyId=34106038</v>
      </c>
      <c r="Q5345" t="s">
        <v>316</v>
      </c>
      <c>
        <v>0.257</v>
      </c>
      <c t="s">
        <v>22490</v>
      </c>
      <c t="s">
        <v>44541</v>
      </c>
      <c t="s">
        <v>37940</v>
      </c>
      <c r="X5345" t="s">
        <v>2194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25910</v>
      </c>
      <c>
        <v>17602</v>
      </c>
      <c r="AI5345" t="s">
        <v>44159</v>
      </c>
      <c t="s">
        <v>40123</v>
      </c>
      <c r="AL5345" t="s">
        <v>29737</v>
      </c>
      <c t="s">
        <v>10283</v>
      </c>
      <c t="s">
        <v>65467</v>
      </c>
      <c t="s">
        <v>28712</v>
      </c>
      <c t="s">
        <v>34162</v>
      </c>
      <c t="s">
        <v>3093</v>
      </c>
      <c t="s">
        <v>51157</v>
      </c>
    </row>
    <row>
      <c t="s">
        <v>17594</v>
      </c>
      <c t="s">
        <v>35286</v>
      </c>
      <c t="s">
        <v>20553</v>
      </c>
      <c t="s">
        <v>6518</v>
      </c>
      <c t="s">
        <v>5547</v>
      </c>
      <c s="3">
        <v>20472</v>
      </c>
      <c s="3">
        <v>20472</v>
      </c>
      <c s="3">
        <v>9130</v>
      </c>
      <c>
        <v>0</v>
      </c>
      <c s="3">
        <v>0</v>
      </c>
      <c s="3">
        <v>585.72</v>
      </c>
      <c s="3">
        <v>20472</v>
      </c>
      <c r="O5346" s="1" t="str">
        <f ca="1">HYPERLINK("https://web.datatree.com/?/property?propertyId=34106061", "https://web.datatree.com/?/property?propertyId=34106061")</f>
        <v>https://web.datatree.com/?/property?propertyId=34106061</v>
      </c>
      <c r="Q5346" t="s">
        <v>316</v>
      </c>
      <c>
        <v>0.243</v>
      </c>
      <c t="s">
        <v>45031</v>
      </c>
      <c t="s">
        <v>66736</v>
      </c>
      <c t="s">
        <v>24727</v>
      </c>
      <c r="X5346" t="s">
        <v>14178</v>
      </c>
      <c t="s">
        <v>47150</v>
      </c>
      <c t="s">
        <v>2517</v>
      </c>
      <c t="s">
        <v>39289</v>
      </c>
      <c>
        <v>33909</v>
      </c>
      <c t="s">
        <v>32314</v>
      </c>
      <c t="s">
        <v>48794</v>
      </c>
      <c t="s">
        <v>66810</v>
      </c>
      <c>
        <v>2336</v>
      </c>
      <c r="AI5346" t="s">
        <v>40151</v>
      </c>
      <c t="s">
        <v>4985</v>
      </c>
      <c r="AL5346" t="s">
        <v>11713</v>
      </c>
      <c r="AN5346" t="s">
        <v>39289</v>
      </c>
      <c>
        <v>34110</v>
      </c>
      <c r="AQ5346" t="s">
        <v>3093</v>
      </c>
      <c t="s">
        <v>9220</v>
      </c>
    </row>
    <row>
      <c t="s">
        <v>17594</v>
      </c>
      <c t="s">
        <v>55999</v>
      </c>
      <c t="s">
        <v>49329</v>
      </c>
      <c t="s">
        <v>19211</v>
      </c>
      <c t="s">
        <v>65361</v>
      </c>
      <c s="3">
        <v>17100</v>
      </c>
      <c s="3">
        <v>17100</v>
      </c>
      <c s="3">
        <v>9599</v>
      </c>
      <c>
        <v>0</v>
      </c>
      <c s="3">
        <v>0</v>
      </c>
      <c s="3">
        <v>687.74</v>
      </c>
      <c s="3">
        <v>17100</v>
      </c>
      <c r="O5347" s="1" t="str">
        <f ca="1">HYPERLINK("https://web.datatree.com/?/property?propertyId=34106466", "https://web.datatree.com/?/property?propertyId=34106466")</f>
        <v>https://web.datatree.com/?/property?propertyId=34106466</v>
      </c>
      <c r="Q5347" t="s">
        <v>316</v>
      </c>
      <c>
        <v>0.373</v>
      </c>
      <c t="s">
        <v>6175</v>
      </c>
      <c t="s">
        <v>55144</v>
      </c>
      <c t="s">
        <v>40097</v>
      </c>
      <c t="s">
        <v>34210</v>
      </c>
      <c t="s">
        <v>29214</v>
      </c>
      <c t="s">
        <v>32608</v>
      </c>
      <c t="s">
        <v>14534</v>
      </c>
      <c t="s">
        <v>2517</v>
      </c>
      <c t="s">
        <v>39289</v>
      </c>
      <c>
        <v>33909</v>
      </c>
      <c t="s">
        <v>32744</v>
      </c>
      <c t="s">
        <v>48794</v>
      </c>
      <c t="s">
        <v>40770</v>
      </c>
      <c>
        <v>33</v>
      </c>
      <c r="AI5347" t="s">
        <v>63208</v>
      </c>
      <c t="s">
        <v>45620</v>
      </c>
      <c>
        <v>5</v>
      </c>
      <c t="s">
        <v>14316</v>
      </c>
      <c t="s">
        <v>14316</v>
      </c>
      <c t="s">
        <v>64022</v>
      </c>
      <c>
        <v>3103</v>
      </c>
      <c r="AR5347" t="s">
        <v>66444</v>
      </c>
    </row>
    <row>
      <c t="s">
        <v>17594</v>
      </c>
      <c t="s">
        <v>34354</v>
      </c>
      <c t="s">
        <v>14525</v>
      </c>
      <c t="s">
        <v>9323</v>
      </c>
      <c t="s">
        <v>26953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5348" s="1" t="str">
        <f ca="1">HYPERLINK("https://web.datatree.com/?/property?propertyId=34106555", "https://web.datatree.com/?/property?propertyId=34106555")</f>
        <v>https://web.datatree.com/?/property?propertyId=34106555</v>
      </c>
      <c r="Q5348" t="s">
        <v>316</v>
      </c>
      <c>
        <v>0.23</v>
      </c>
      <c t="s">
        <v>6175</v>
      </c>
      <c t="s">
        <v>66761</v>
      </c>
      <c t="s">
        <v>27418</v>
      </c>
      <c r="X5348" t="s">
        <v>29509</v>
      </c>
      <c t="s">
        <v>53675</v>
      </c>
      <c t="s">
        <v>2517</v>
      </c>
      <c t="s">
        <v>39289</v>
      </c>
      <c>
        <v>33909</v>
      </c>
      <c t="s">
        <v>62979</v>
      </c>
      <c t="s">
        <v>48794</v>
      </c>
      <c t="s">
        <v>9662</v>
      </c>
      <c>
        <v>81</v>
      </c>
      <c r="AI5348" t="s">
        <v>41015</v>
      </c>
      <c t="s">
        <v>45620</v>
      </c>
      <c r="AL5348" t="s">
        <v>58856</v>
      </c>
      <c r="AN5348" t="s">
        <v>14509</v>
      </c>
      <c t="s">
        <v>12069</v>
      </c>
      <c t="s">
        <v>44843</v>
      </c>
      <c t="s">
        <v>3093</v>
      </c>
      <c t="s">
        <v>32791</v>
      </c>
    </row>
    <row>
      <c t="s">
        <v>17594</v>
      </c>
      <c t="s">
        <v>16209</v>
      </c>
      <c t="s">
        <v>53330</v>
      </c>
      <c t="s">
        <v>4130</v>
      </c>
      <c t="s">
        <v>45540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5349" s="1" t="str">
        <f ca="1">HYPERLINK("https://web.datatree.com/?/property?propertyId=34108401", "https://web.datatree.com/?/property?propertyId=34108401")</f>
        <v>https://web.datatree.com/?/property?propertyId=34108401</v>
      </c>
      <c r="Q5349" t="s">
        <v>316</v>
      </c>
      <c>
        <v>0.23</v>
      </c>
      <c t="s">
        <v>6175</v>
      </c>
      <c t="s">
        <v>62669</v>
      </c>
      <c t="s">
        <v>13993</v>
      </c>
      <c t="s">
        <v>33621</v>
      </c>
      <c t="s">
        <v>62577</v>
      </c>
      <c t="s">
        <v>14840</v>
      </c>
      <c t="s">
        <v>47150</v>
      </c>
      <c t="s">
        <v>2517</v>
      </c>
      <c t="s">
        <v>39289</v>
      </c>
      <c>
        <v>33909</v>
      </c>
      <c t="s">
        <v>44869</v>
      </c>
      <c t="s">
        <v>48794</v>
      </c>
      <c t="s">
        <v>59606</v>
      </c>
      <c>
        <v>230</v>
      </c>
      <c r="AI5349" t="s">
        <v>42663</v>
      </c>
      <c t="s">
        <v>45620</v>
      </c>
      <c r="AL5349" t="s">
        <v>42663</v>
      </c>
      <c t="s">
        <v>42663</v>
      </c>
      <c t="s">
        <v>26016</v>
      </c>
      <c t="s">
        <v>16860</v>
      </c>
      <c t="s">
        <v>23611</v>
      </c>
      <c t="s">
        <v>3093</v>
      </c>
      <c t="s">
        <v>60653</v>
      </c>
    </row>
    <row>
      <c t="s">
        <v>17594</v>
      </c>
      <c t="s">
        <v>14822</v>
      </c>
      <c s="2" t="s">
        <v>65308</v>
      </c>
      <c t="s">
        <v>27865</v>
      </c>
      <c t="s">
        <v>36892</v>
      </c>
      <c s="3">
        <v>7700</v>
      </c>
      <c s="3">
        <v>7700</v>
      </c>
      <c s="3">
        <v>7700</v>
      </c>
      <c>
        <v>0</v>
      </c>
      <c s="3">
        <v>0</v>
      </c>
      <c s="3">
        <v>561.47</v>
      </c>
      <c s="3">
        <v>7700</v>
      </c>
      <c r="O5350" s="1" t="str">
        <f ca="1">HYPERLINK("https://web.datatree.com/?/property?propertyId=34108411", "https://web.datatree.com/?/property?propertyId=34108411")</f>
        <v>https://web.datatree.com/?/property?propertyId=34108411</v>
      </c>
      <c r="Q5350" t="s">
        <v>316</v>
      </c>
      <c>
        <v>0.25</v>
      </c>
      <c t="s">
        <v>6175</v>
      </c>
      <c t="s">
        <v>34179</v>
      </c>
      <c t="s">
        <v>60585</v>
      </c>
      <c t="s">
        <v>16558</v>
      </c>
      <c t="s">
        <v>60585</v>
      </c>
      <c t="s">
        <v>36825</v>
      </c>
      <c t="s">
        <v>29190</v>
      </c>
      <c t="s">
        <v>2517</v>
      </c>
      <c t="s">
        <v>39289</v>
      </c>
      <c>
        <v>33909</v>
      </c>
      <c t="s">
        <v>39789</v>
      </c>
      <c t="s">
        <v>48794</v>
      </c>
      <c t="s">
        <v>12176</v>
      </c>
      <c>
        <v>5276</v>
      </c>
      <c r="AI5350" t="s">
        <v>21379</v>
      </c>
      <c t="s">
        <v>40123</v>
      </c>
      <c r="AL5350" t="s">
        <v>26777</v>
      </c>
      <c r="AN5350" t="s">
        <v>51137</v>
      </c>
      <c t="s">
        <v>9560</v>
      </c>
      <c t="s">
        <v>22302</v>
      </c>
      <c t="s">
        <v>3093</v>
      </c>
      <c s="2" t="s">
        <v>48591</v>
      </c>
    </row>
    <row>
      <c t="s">
        <v>17594</v>
      </c>
      <c t="s">
        <v>64589</v>
      </c>
      <c t="s">
        <v>52804</v>
      </c>
      <c t="s">
        <v>36166</v>
      </c>
      <c t="s">
        <v>29927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5351" s="1" t="str">
        <f ca="1">HYPERLINK("https://web.datatree.com/?/property?propertyId=34109453", "https://web.datatree.com/?/property?propertyId=34109453")</f>
        <v>https://web.datatree.com/?/property?propertyId=34109453</v>
      </c>
      <c r="Q5351" t="s">
        <v>316</v>
      </c>
      <c>
        <v>0.23</v>
      </c>
      <c t="s">
        <v>22490</v>
      </c>
      <c t="s">
        <v>30804</v>
      </c>
      <c t="s">
        <v>45934</v>
      </c>
      <c r="X5351" t="s">
        <v>8055</v>
      </c>
      <c t="s">
        <v>39082</v>
      </c>
      <c t="s">
        <v>2517</v>
      </c>
      <c t="s">
        <v>39289</v>
      </c>
      <c>
        <v>33909</v>
      </c>
      <c>
        <v>33909</v>
      </c>
      <c t="s">
        <v>48794</v>
      </c>
      <c t="s">
        <v>42385</v>
      </c>
      <c>
        <v>658</v>
      </c>
      <c r="AI5351" t="s">
        <v>989</v>
      </c>
      <c t="s">
        <v>40123</v>
      </c>
      <c r="AL5351" t="s">
        <v>39545</v>
      </c>
      <c t="s">
        <v>39545</v>
      </c>
      <c t="s">
        <v>65451</v>
      </c>
      <c t="s">
        <v>20044</v>
      </c>
      <c t="s">
        <v>27553</v>
      </c>
      <c t="s">
        <v>3093</v>
      </c>
      <c t="s">
        <v>60826</v>
      </c>
    </row>
    <row>
      <c t="s">
        <v>17594</v>
      </c>
      <c t="s">
        <v>11749</v>
      </c>
      <c t="s">
        <v>65217</v>
      </c>
      <c t="s">
        <v>8044</v>
      </c>
      <c t="s">
        <v>1191</v>
      </c>
      <c s="3">
        <v>18357</v>
      </c>
      <c s="3">
        <v>18357</v>
      </c>
      <c s="3">
        <v>7865</v>
      </c>
      <c>
        <v>0</v>
      </c>
      <c s="3">
        <v>0</v>
      </c>
      <c s="3">
        <v>509.74</v>
      </c>
      <c s="3">
        <v>18357</v>
      </c>
      <c>
        <v>2015</v>
      </c>
      <c>
        <v>3830.54</v>
      </c>
      <c s="1" t="str">
        <f ca="1">HYPERLINK("https://web.datatree.com/?/property?propertyId=34111337", "https://web.datatree.com/?/property?propertyId=34111337")</f>
        <v>https://web.datatree.com/?/property?propertyId=34111337</v>
      </c>
      <c r="Q5352" t="s">
        <v>316</v>
      </c>
      <c>
        <v>0.254</v>
      </c>
      <c t="s">
        <v>6175</v>
      </c>
      <c t="s">
        <v>26043</v>
      </c>
      <c t="s">
        <v>51642</v>
      </c>
      <c r="X5352" t="s">
        <v>13135</v>
      </c>
      <c t="s">
        <v>39082</v>
      </c>
      <c t="s">
        <v>2517</v>
      </c>
      <c t="s">
        <v>39289</v>
      </c>
      <c>
        <v>33909</v>
      </c>
      <c t="s">
        <v>13011</v>
      </c>
      <c t="s">
        <v>48794</v>
      </c>
      <c t="s">
        <v>12427</v>
      </c>
      <c>
        <v>1841</v>
      </c>
      <c r="AI5352" t="s">
        <v>39856</v>
      </c>
      <c t="s">
        <v>24900</v>
      </c>
      <c>
        <v>2105</v>
      </c>
      <c t="s">
        <v>23972</v>
      </c>
      <c t="s">
        <v>23972</v>
      </c>
      <c t="s">
        <v>19878</v>
      </c>
      <c>
        <v>60616</v>
      </c>
      <c r="AQ5352" t="s">
        <v>3093</v>
      </c>
      <c t="s">
        <v>12506</v>
      </c>
    </row>
    <row>
      <c t="s">
        <v>17594</v>
      </c>
      <c t="s">
        <v>59431</v>
      </c>
      <c t="s">
        <v>35191</v>
      </c>
      <c t="s">
        <v>17148</v>
      </c>
      <c t="s">
        <v>8422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353" s="1" t="str">
        <f ca="1">HYPERLINK("https://web.datatree.com/?/property?propertyId=34111750", "https://web.datatree.com/?/property?propertyId=34111750")</f>
        <v>https://web.datatree.com/?/property?propertyId=34111750</v>
      </c>
      <c r="Q5353" t="s">
        <v>316</v>
      </c>
      <c>
        <v>0.23</v>
      </c>
      <c t="s">
        <v>22490</v>
      </c>
      <c t="s">
        <v>3293</v>
      </c>
      <c t="s">
        <v>5267</v>
      </c>
      <c t="s">
        <v>16558</v>
      </c>
      <c t="s">
        <v>5267</v>
      </c>
      <c t="s">
        <v>47143</v>
      </c>
      <c t="s">
        <v>24999</v>
      </c>
      <c t="s">
        <v>2517</v>
      </c>
      <c t="s">
        <v>39289</v>
      </c>
      <c>
        <v>33909</v>
      </c>
      <c t="s">
        <v>32545</v>
      </c>
      <c t="s">
        <v>48794</v>
      </c>
      <c t="s">
        <v>24097</v>
      </c>
      <c>
        <v>55</v>
      </c>
      <c r="AI5353" t="s">
        <v>54340</v>
      </c>
      <c t="s">
        <v>31192</v>
      </c>
      <c r="AL5353" t="s">
        <v>15024</v>
      </c>
      <c r="AN5353" t="s">
        <v>27747</v>
      </c>
      <c t="s">
        <v>45218</v>
      </c>
      <c t="s">
        <v>27780</v>
      </c>
      <c t="s">
        <v>3093</v>
      </c>
      <c t="s">
        <v>40743</v>
      </c>
    </row>
    <row>
      <c t="s">
        <v>17594</v>
      </c>
      <c t="s">
        <v>30214</v>
      </c>
      <c t="s">
        <v>25218</v>
      </c>
      <c t="s">
        <v>51188</v>
      </c>
      <c t="s">
        <v>59960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5354" s="1" t="str">
        <f ca="1">HYPERLINK("https://web.datatree.com/?/property?propertyId=34112039", "https://web.datatree.com/?/property?propertyId=34112039")</f>
        <v>https://web.datatree.com/?/property?propertyId=34112039</v>
      </c>
      <c r="Q5354" t="s">
        <v>316</v>
      </c>
      <c>
        <v>0.23</v>
      </c>
      <c t="s">
        <v>22490</v>
      </c>
      <c t="s">
        <v>2463</v>
      </c>
      <c t="s">
        <v>23144</v>
      </c>
      <c t="s">
        <v>25924</v>
      </c>
      <c t="s">
        <v>23144</v>
      </c>
      <c t="s">
        <v>56643</v>
      </c>
      <c t="s">
        <v>25017</v>
      </c>
      <c t="s">
        <v>2517</v>
      </c>
      <c t="s">
        <v>39289</v>
      </c>
      <c>
        <v>33909</v>
      </c>
      <c t="s">
        <v>1982</v>
      </c>
      <c t="s">
        <v>48794</v>
      </c>
      <c t="s">
        <v>4883</v>
      </c>
      <c>
        <v>30331</v>
      </c>
      <c r="AI5354" t="s">
        <v>2420</v>
      </c>
      <c t="s">
        <v>45393</v>
      </c>
      <c r="AL5354" t="s">
        <v>53749</v>
      </c>
      <c r="AN5354" t="s">
        <v>65467</v>
      </c>
      <c t="s">
        <v>18410</v>
      </c>
      <c t="s">
        <v>4797</v>
      </c>
      <c t="s">
        <v>3093</v>
      </c>
      <c t="s">
        <v>22132</v>
      </c>
    </row>
    <row>
      <c t="s">
        <v>17594</v>
      </c>
      <c t="s">
        <v>63915</v>
      </c>
      <c t="s">
        <v>13869</v>
      </c>
      <c t="s">
        <v>27389</v>
      </c>
      <c t="s">
        <v>14588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355" s="1" t="str">
        <f ca="1">HYPERLINK("https://web.datatree.com/?/property?propertyId=34112442", "https://web.datatree.com/?/property?propertyId=34112442")</f>
        <v>https://web.datatree.com/?/property?propertyId=34112442</v>
      </c>
      <c r="Q5355" t="s">
        <v>316</v>
      </c>
      <c>
        <v>0.23</v>
      </c>
      <c t="s">
        <v>22490</v>
      </c>
      <c t="s">
        <v>3293</v>
      </c>
      <c t="s">
        <v>67138</v>
      </c>
      <c t="s">
        <v>53790</v>
      </c>
      <c t="s">
        <v>67138</v>
      </c>
      <c t="s">
        <v>11647</v>
      </c>
      <c t="s">
        <v>49674</v>
      </c>
      <c t="s">
        <v>2517</v>
      </c>
      <c t="s">
        <v>39289</v>
      </c>
      <c>
        <v>33909</v>
      </c>
      <c t="s">
        <v>49443</v>
      </c>
      <c t="s">
        <v>48794</v>
      </c>
      <c t="s">
        <v>33057</v>
      </c>
      <c>
        <v>4643</v>
      </c>
      <c r="AI5355" t="s">
        <v>11579</v>
      </c>
      <c r="AL5355" t="s">
        <v>35412</v>
      </c>
      <c t="s">
        <v>35412</v>
      </c>
      <c t="s">
        <v>9636</v>
      </c>
      <c>
        <v>99645</v>
      </c>
      <c r="AQ5355" t="s">
        <v>3093</v>
      </c>
      <c t="s">
        <v>65242</v>
      </c>
    </row>
    <row>
      <c t="s">
        <v>17594</v>
      </c>
      <c t="s">
        <v>52369</v>
      </c>
      <c t="s">
        <v>14282</v>
      </c>
      <c t="s">
        <v>230</v>
      </c>
      <c t="s">
        <v>50018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356" s="1" t="str">
        <f ca="1">HYPERLINK("https://web.datatree.com/?/property?propertyId=34113255", "https://web.datatree.com/?/property?propertyId=34113255")</f>
        <v>https://web.datatree.com/?/property?propertyId=34113255</v>
      </c>
      <c r="Q5356" t="s">
        <v>316</v>
      </c>
      <c>
        <v>0.233</v>
      </c>
      <c t="s">
        <v>22490</v>
      </c>
      <c t="s">
        <v>24179</v>
      </c>
      <c t="s">
        <v>23385</v>
      </c>
      <c t="s">
        <v>34295</v>
      </c>
      <c t="s">
        <v>23385</v>
      </c>
      <c t="s">
        <v>35981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52180</v>
      </c>
      <c>
        <v>484</v>
      </c>
      <c r="AI5356" t="s">
        <v>36334</v>
      </c>
      <c t="s">
        <v>45620</v>
      </c>
      <c r="AL5356" t="s">
        <v>5040</v>
      </c>
      <c t="s">
        <v>5040</v>
      </c>
      <c t="s">
        <v>14509</v>
      </c>
      <c t="s">
        <v>28056</v>
      </c>
      <c t="s">
        <v>47183</v>
      </c>
      <c t="s">
        <v>3093</v>
      </c>
      <c t="s">
        <v>18392</v>
      </c>
    </row>
    <row>
      <c t="s">
        <v>17594</v>
      </c>
      <c t="s">
        <v>4805</v>
      </c>
      <c t="s">
        <v>28346</v>
      </c>
      <c t="s">
        <v>25396</v>
      </c>
      <c t="s">
        <v>4258</v>
      </c>
      <c s="3">
        <v>8100</v>
      </c>
      <c s="3">
        <v>8100</v>
      </c>
      <c s="3">
        <v>8100</v>
      </c>
      <c>
        <v>0</v>
      </c>
      <c s="3">
        <v>0</v>
      </c>
      <c s="3">
        <v>649.01</v>
      </c>
      <c s="3">
        <v>8100</v>
      </c>
      <c r="O5357" s="1" t="str">
        <f ca="1">HYPERLINK("https://web.datatree.com/?/property?propertyId=34113851", "https://web.datatree.com/?/property?propertyId=34113851")</f>
        <v>https://web.datatree.com/?/property?propertyId=34113851</v>
      </c>
      <c r="Q5357" t="s">
        <v>316</v>
      </c>
      <c>
        <v>0.23</v>
      </c>
      <c t="s">
        <v>6175</v>
      </c>
      <c t="s">
        <v>58665</v>
      </c>
      <c t="s">
        <v>50374</v>
      </c>
      <c t="s">
        <v>56004</v>
      </c>
      <c t="s">
        <v>26944</v>
      </c>
      <c t="s">
        <v>4118</v>
      </c>
      <c t="s">
        <v>55273</v>
      </c>
      <c t="s">
        <v>2517</v>
      </c>
      <c t="s">
        <v>39289</v>
      </c>
      <c>
        <v>33909</v>
      </c>
      <c t="s">
        <v>3119</v>
      </c>
      <c t="s">
        <v>48794</v>
      </c>
      <c t="s">
        <v>42702</v>
      </c>
      <c>
        <v>6901</v>
      </c>
      <c r="AH5357" t="s">
        <v>26580</v>
      </c>
      <c t="s">
        <v>24999</v>
      </c>
      <c t="s">
        <v>24900</v>
      </c>
      <c r="AL5357" t="s">
        <v>51960</v>
      </c>
      <c t="s">
        <v>36436</v>
      </c>
      <c t="s">
        <v>39289</v>
      </c>
      <c t="s">
        <v>12128</v>
      </c>
      <c t="s">
        <v>27553</v>
      </c>
      <c t="s">
        <v>3093</v>
      </c>
      <c t="s">
        <v>53723</v>
      </c>
    </row>
    <row>
      <c t="s">
        <v>17594</v>
      </c>
      <c t="s">
        <v>36697</v>
      </c>
      <c t="s">
        <v>39076</v>
      </c>
      <c t="s">
        <v>17309</v>
      </c>
      <c t="s">
        <v>64230</v>
      </c>
      <c s="3">
        <v>7600</v>
      </c>
      <c s="3">
        <v>7600</v>
      </c>
      <c s="3">
        <v>7600</v>
      </c>
      <c>
        <v>0</v>
      </c>
      <c s="3">
        <v>0</v>
      </c>
      <c s="3">
        <v>599.25</v>
      </c>
      <c s="3">
        <v>7600</v>
      </c>
      <c r="O5358" s="1" t="str">
        <f ca="1">HYPERLINK("https://web.datatree.com/?/property?propertyId=34114369", "https://web.datatree.com/?/property?propertyId=34114369")</f>
        <v>https://web.datatree.com/?/property?propertyId=34114369</v>
      </c>
      <c r="Q5358" t="s">
        <v>316</v>
      </c>
      <c>
        <v>0.29</v>
      </c>
      <c t="s">
        <v>6175</v>
      </c>
      <c t="s">
        <v>44319</v>
      </c>
      <c t="s">
        <v>47171</v>
      </c>
      <c t="s">
        <v>63182</v>
      </c>
      <c t="s">
        <v>47171</v>
      </c>
      <c t="s">
        <v>4624</v>
      </c>
      <c t="s">
        <v>60363</v>
      </c>
      <c t="s">
        <v>2517</v>
      </c>
      <c t="s">
        <v>39289</v>
      </c>
      <c>
        <v>33909</v>
      </c>
      <c t="s">
        <v>45680</v>
      </c>
      <c t="s">
        <v>48794</v>
      </c>
      <c t="s">
        <v>20268</v>
      </c>
      <c>
        <v>29</v>
      </c>
      <c r="AI5358" t="s">
        <v>25565</v>
      </c>
      <c t="s">
        <v>31192</v>
      </c>
      <c r="AL5358" t="s">
        <v>19306</v>
      </c>
      <c r="AN5358" t="s">
        <v>14509</v>
      </c>
      <c t="s">
        <v>25486</v>
      </c>
      <c t="s">
        <v>52247</v>
      </c>
      <c t="s">
        <v>3093</v>
      </c>
      <c t="s">
        <v>13233</v>
      </c>
    </row>
    <row>
      <c t="s">
        <v>17594</v>
      </c>
      <c t="s">
        <v>26198</v>
      </c>
      <c t="s">
        <v>4740</v>
      </c>
      <c t="s">
        <v>31873</v>
      </c>
      <c t="s">
        <v>50403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5359" s="1" t="str">
        <f ca="1">HYPERLINK("https://web.datatree.com/?/property?propertyId=34114400", "https://web.datatree.com/?/property?propertyId=34114400")</f>
        <v>https://web.datatree.com/?/property?propertyId=34114400</v>
      </c>
      <c r="Q5359" t="s">
        <v>316</v>
      </c>
      <c>
        <v>0.244</v>
      </c>
      <c t="s">
        <v>6175</v>
      </c>
      <c t="s">
        <v>56684</v>
      </c>
      <c t="s">
        <v>5563</v>
      </c>
      <c t="s">
        <v>33224</v>
      </c>
      <c t="s">
        <v>5563</v>
      </c>
      <c t="s">
        <v>409</v>
      </c>
      <c t="s">
        <v>8669</v>
      </c>
      <c t="s">
        <v>2517</v>
      </c>
      <c t="s">
        <v>39289</v>
      </c>
      <c>
        <v>33909</v>
      </c>
      <c t="s">
        <v>61426</v>
      </c>
      <c t="s">
        <v>48794</v>
      </c>
      <c t="s">
        <v>56638</v>
      </c>
      <c>
        <v>1911</v>
      </c>
      <c r="AI5359" t="s">
        <v>4101</v>
      </c>
      <c t="s">
        <v>24900</v>
      </c>
      <c r="AL5359" t="s">
        <v>7812</v>
      </c>
      <c r="AN5359" t="s">
        <v>49572</v>
      </c>
      <c t="s">
        <v>3884</v>
      </c>
      <c t="s">
        <v>42082</v>
      </c>
      <c t="s">
        <v>3093</v>
      </c>
      <c t="s">
        <v>44242</v>
      </c>
    </row>
    <row>
      <c t="s">
        <v>17594</v>
      </c>
      <c t="s">
        <v>27701</v>
      </c>
      <c t="s">
        <v>11093</v>
      </c>
      <c t="s">
        <v>38185</v>
      </c>
      <c t="s">
        <v>41039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360" s="1" t="str">
        <f ca="1">HYPERLINK("https://web.datatree.com/?/property?propertyId=34114543", "https://web.datatree.com/?/property?propertyId=34114543")</f>
        <v>https://web.datatree.com/?/property?propertyId=34114543</v>
      </c>
      <c r="Q5360" t="s">
        <v>316</v>
      </c>
      <c>
        <v>0.23</v>
      </c>
      <c t="s">
        <v>22490</v>
      </c>
      <c t="s">
        <v>56498</v>
      </c>
      <c t="s">
        <v>34217</v>
      </c>
      <c r="X5360" t="s">
        <v>53043</v>
      </c>
      <c t="s">
        <v>49674</v>
      </c>
      <c t="s">
        <v>2517</v>
      </c>
      <c t="s">
        <v>39289</v>
      </c>
      <c>
        <v>33909</v>
      </c>
      <c t="s">
        <v>5644</v>
      </c>
      <c t="s">
        <v>48794</v>
      </c>
      <c t="s">
        <v>43502</v>
      </c>
      <c>
        <v>114</v>
      </c>
      <c r="AI5360" t="s">
        <v>38613</v>
      </c>
      <c t="s">
        <v>45393</v>
      </c>
      <c r="AL5360" t="s">
        <v>63966</v>
      </c>
      <c t="s">
        <v>63966</v>
      </c>
      <c t="s">
        <v>27747</v>
      </c>
      <c t="s">
        <v>11807</v>
      </c>
      <c t="s">
        <v>40645</v>
      </c>
      <c t="s">
        <v>3093</v>
      </c>
      <c t="s">
        <v>1329</v>
      </c>
    </row>
    <row>
      <c t="s">
        <v>17594</v>
      </c>
      <c t="s">
        <v>5047</v>
      </c>
      <c t="s">
        <v>59374</v>
      </c>
      <c t="s">
        <v>3205</v>
      </c>
      <c t="s">
        <v>42569</v>
      </c>
      <c s="3">
        <v>38645</v>
      </c>
      <c s="3">
        <v>38645</v>
      </c>
      <c s="3">
        <v>23030</v>
      </c>
      <c>
        <v>0</v>
      </c>
      <c s="3">
        <v>0</v>
      </c>
      <c s="3">
        <v>876.68</v>
      </c>
      <c s="3">
        <v>38645</v>
      </c>
      <c r="O5361" s="1" t="str">
        <f ca="1">HYPERLINK("https://web.datatree.com/?/property?propertyId=34114793", "https://web.datatree.com/?/property?propertyId=34114793")</f>
        <v>https://web.datatree.com/?/property?propertyId=34114793</v>
      </c>
      <c r="Q5361" t="s">
        <v>316</v>
      </c>
      <c>
        <v>0.23</v>
      </c>
      <c t="s">
        <v>6175</v>
      </c>
      <c t="s">
        <v>56577</v>
      </c>
      <c t="s">
        <v>6312</v>
      </c>
      <c t="s">
        <v>2140</v>
      </c>
      <c t="s">
        <v>24506</v>
      </c>
      <c t="s">
        <v>13637</v>
      </c>
      <c t="s">
        <v>34731</v>
      </c>
      <c t="s">
        <v>2517</v>
      </c>
      <c t="s">
        <v>39289</v>
      </c>
      <c>
        <v>33909</v>
      </c>
      <c t="s">
        <v>59125</v>
      </c>
      <c t="s">
        <v>48794</v>
      </c>
      <c t="s">
        <v>34141</v>
      </c>
      <c>
        <v>213</v>
      </c>
      <c r="AI5361" t="s">
        <v>23404</v>
      </c>
      <c t="s">
        <v>45393</v>
      </c>
      <c r="AL5361" t="s">
        <v>41968</v>
      </c>
      <c r="AN5361" t="s">
        <v>19878</v>
      </c>
      <c t="s">
        <v>1349</v>
      </c>
      <c t="s">
        <v>44428</v>
      </c>
      <c t="s">
        <v>3093</v>
      </c>
      <c t="s">
        <v>18332</v>
      </c>
    </row>
    <row>
      <c t="s">
        <v>17594</v>
      </c>
      <c t="s">
        <v>28619</v>
      </c>
      <c t="s">
        <v>37713</v>
      </c>
      <c t="s">
        <v>40033</v>
      </c>
      <c t="s">
        <v>11483</v>
      </c>
      <c s="3">
        <v>18000</v>
      </c>
      <c s="3">
        <v>18000</v>
      </c>
      <c s="3">
        <v>7028</v>
      </c>
      <c>
        <v>0</v>
      </c>
      <c s="3">
        <v>0</v>
      </c>
      <c s="3">
        <v>155.09</v>
      </c>
      <c s="3">
        <v>18000</v>
      </c>
      <c r="O5362" s="1" t="str">
        <f ca="1">HYPERLINK("https://web.datatree.com/?/property?propertyId=34114925", "https://web.datatree.com/?/property?propertyId=34114925")</f>
        <v>https://web.datatree.com/?/property?propertyId=34114925</v>
      </c>
      <c r="Q5362" t="s">
        <v>316</v>
      </c>
      <c>
        <v>0.339</v>
      </c>
      <c t="s">
        <v>36245</v>
      </c>
      <c t="s">
        <v>61272</v>
      </c>
      <c t="s">
        <v>22178</v>
      </c>
      <c r="X5362" t="s">
        <v>9539</v>
      </c>
      <c t="s">
        <v>37991</v>
      </c>
      <c t="s">
        <v>65059</v>
      </c>
      <c t="s">
        <v>39289</v>
      </c>
      <c>
        <v>33905</v>
      </c>
      <c>
        <v>33905</v>
      </c>
      <c t="s">
        <v>48794</v>
      </c>
      <c t="s">
        <v>2673</v>
      </c>
      <c>
        <v>29226</v>
      </c>
      <c r="AI5362" t="s">
        <v>21954</v>
      </c>
      <c r="AL5362" t="s">
        <v>41760</v>
      </c>
      <c t="s">
        <v>40227</v>
      </c>
      <c t="s">
        <v>65451</v>
      </c>
      <c t="s">
        <v>44979</v>
      </c>
      <c t="s">
        <v>23435</v>
      </c>
      <c t="s">
        <v>3093</v>
      </c>
      <c t="s">
        <v>36508</v>
      </c>
    </row>
    <row>
      <c t="s">
        <v>17594</v>
      </c>
      <c t="s">
        <v>21208</v>
      </c>
      <c t="s">
        <v>58286</v>
      </c>
      <c t="s">
        <v>10819</v>
      </c>
      <c t="s">
        <v>29814</v>
      </c>
      <c s="3">
        <v>8600</v>
      </c>
      <c s="3">
        <v>8600</v>
      </c>
      <c s="3">
        <v>8600</v>
      </c>
      <c>
        <v>0</v>
      </c>
      <c s="3">
        <v>0</v>
      </c>
      <c s="3">
        <v>2375.77</v>
      </c>
      <c s="3">
        <v>8600</v>
      </c>
      <c r="O5363" s="1" t="str">
        <f ca="1">HYPERLINK("https://web.datatree.com/?/property?propertyId=34116438", "https://web.datatree.com/?/property?propertyId=34116438")</f>
        <v>https://web.datatree.com/?/property?propertyId=34116438</v>
      </c>
      <c r="Q5363" t="s">
        <v>316</v>
      </c>
      <c>
        <v>0.255</v>
      </c>
      <c t="s">
        <v>6175</v>
      </c>
      <c t="s">
        <v>23246</v>
      </c>
      <c t="s">
        <v>50923</v>
      </c>
      <c t="s">
        <v>37625</v>
      </c>
      <c t="s">
        <v>928</v>
      </c>
      <c t="s">
        <v>15883</v>
      </c>
      <c t="s">
        <v>61865</v>
      </c>
      <c t="s">
        <v>2517</v>
      </c>
      <c t="s">
        <v>39289</v>
      </c>
      <c>
        <v>33909</v>
      </c>
      <c t="s">
        <v>47756</v>
      </c>
      <c t="s">
        <v>48794</v>
      </c>
      <c t="s">
        <v>62204</v>
      </c>
      <c>
        <v>6303</v>
      </c>
      <c r="AI5363" t="s">
        <v>26976</v>
      </c>
      <c t="s">
        <v>31192</v>
      </c>
      <c>
        <v>400</v>
      </c>
      <c t="s">
        <v>55393</v>
      </c>
      <c r="AN5363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3875</v>
      </c>
      <c t="s">
        <v>67265</v>
      </c>
      <c t="s">
        <v>56859</v>
      </c>
      <c t="s">
        <v>2043</v>
      </c>
      <c s="3">
        <v>31592</v>
      </c>
      <c s="3">
        <v>31592</v>
      </c>
      <c s="3">
        <v>11858</v>
      </c>
      <c>
        <v>0</v>
      </c>
      <c s="3">
        <v>0</v>
      </c>
      <c s="3">
        <v>671.42</v>
      </c>
      <c s="3">
        <v>31592</v>
      </c>
      <c r="O5364" s="1" t="str">
        <f ca="1">HYPERLINK("https://web.datatree.com/?/property?propertyId=34116486", "https://web.datatree.com/?/property?propertyId=34116486")</f>
        <v>https://web.datatree.com/?/property?propertyId=34116486</v>
      </c>
      <c r="Q5364" t="s">
        <v>316</v>
      </c>
      <c>
        <v>0.23</v>
      </c>
      <c t="s">
        <v>32050</v>
      </c>
      <c t="s">
        <v>14827</v>
      </c>
      <c t="s">
        <v>7466</v>
      </c>
      <c t="s">
        <v>40579</v>
      </c>
      <c t="s">
        <v>7466</v>
      </c>
      <c t="s">
        <v>27516</v>
      </c>
      <c t="s">
        <v>2626</v>
      </c>
      <c t="s">
        <v>2517</v>
      </c>
      <c t="s">
        <v>39289</v>
      </c>
      <c>
        <v>33909</v>
      </c>
      <c t="s">
        <v>4007</v>
      </c>
      <c t="s">
        <v>48794</v>
      </c>
      <c t="s">
        <v>1600</v>
      </c>
      <c>
        <v>45</v>
      </c>
      <c r="AI5364" t="s">
        <v>7676</v>
      </c>
      <c t="s">
        <v>4985</v>
      </c>
      <c r="AL5364" t="s">
        <v>32154</v>
      </c>
      <c r="AN5364" t="s">
        <v>51137</v>
      </c>
      <c t="s">
        <v>3435</v>
      </c>
      <c t="s">
        <v>7062</v>
      </c>
      <c t="s">
        <v>3093</v>
      </c>
      <c t="s">
        <v>43599</v>
      </c>
    </row>
    <row>
      <c t="s">
        <v>17594</v>
      </c>
      <c t="s">
        <v>4487</v>
      </c>
      <c t="s">
        <v>24728</v>
      </c>
      <c t="s">
        <v>61352</v>
      </c>
      <c t="s">
        <v>23639</v>
      </c>
      <c s="3">
        <v>8918</v>
      </c>
      <c s="3">
        <v>8918</v>
      </c>
      <c s="3">
        <v>4972</v>
      </c>
      <c>
        <v>0</v>
      </c>
      <c s="3">
        <v>0</v>
      </c>
      <c s="3">
        <v>319.26</v>
      </c>
      <c s="3">
        <v>8918</v>
      </c>
      <c r="O5365" s="1" t="str">
        <f ca="1">HYPERLINK("https://web.datatree.com/?/property?propertyId=34116686", "https://web.datatree.com/?/property?propertyId=34116686")</f>
        <v>https://web.datatree.com/?/property?propertyId=34116686</v>
      </c>
      <c r="Q5365" t="s">
        <v>316</v>
      </c>
      <c>
        <v>0.261</v>
      </c>
      <c t="s">
        <v>5471</v>
      </c>
      <c t="s">
        <v>552</v>
      </c>
      <c t="s">
        <v>25083</v>
      </c>
      <c r="X5365" t="s">
        <v>22190</v>
      </c>
      <c t="s">
        <v>54986</v>
      </c>
      <c t="s">
        <v>65059</v>
      </c>
      <c t="s">
        <v>39289</v>
      </c>
      <c>
        <v>33905</v>
      </c>
      <c t="s">
        <v>20288</v>
      </c>
      <c t="s">
        <v>48794</v>
      </c>
      <c t="s">
        <v>66729</v>
      </c>
      <c>
        <v>17</v>
      </c>
      <c r="AI5365" t="s">
        <v>54274</v>
      </c>
      <c t="s">
        <v>24900</v>
      </c>
      <c r="AL5365" t="s">
        <v>24288</v>
      </c>
      <c r="AN5365" t="s">
        <v>50917</v>
      </c>
      <c t="s">
        <v>10618</v>
      </c>
      <c t="s">
        <v>49977</v>
      </c>
      <c t="s">
        <v>3093</v>
      </c>
      <c t="s">
        <v>8904</v>
      </c>
    </row>
    <row>
      <c t="s">
        <v>17594</v>
      </c>
      <c t="s">
        <v>16838</v>
      </c>
      <c t="s">
        <v>65668</v>
      </c>
      <c t="s">
        <v>30571</v>
      </c>
      <c t="s">
        <v>35042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366" s="1" t="str">
        <f ca="1">HYPERLINK("https://web.datatree.com/?/property?propertyId=34117443", "https://web.datatree.com/?/property?propertyId=34117443")</f>
        <v>https://web.datatree.com/?/property?propertyId=34117443</v>
      </c>
      <c r="Q5366" t="s">
        <v>316</v>
      </c>
      <c>
        <v>0.23</v>
      </c>
      <c t="s">
        <v>6175</v>
      </c>
      <c t="s">
        <v>49994</v>
      </c>
      <c t="s">
        <v>47674</v>
      </c>
      <c r="X5366" t="s">
        <v>26658</v>
      </c>
      <c t="s">
        <v>33179</v>
      </c>
      <c t="s">
        <v>2517</v>
      </c>
      <c t="s">
        <v>39289</v>
      </c>
      <c>
        <v>33909</v>
      </c>
      <c t="s">
        <v>46312</v>
      </c>
      <c t="s">
        <v>48794</v>
      </c>
      <c t="s">
        <v>3885</v>
      </c>
      <c>
        <v>800</v>
      </c>
      <c r="AI5366" t="s">
        <v>14118</v>
      </c>
      <c t="s">
        <v>24900</v>
      </c>
      <c>
        <v>212</v>
      </c>
      <c t="s">
        <v>28695</v>
      </c>
      <c r="AN5366" t="s">
        <v>50917</v>
      </c>
      <c t="s">
        <v>18383</v>
      </c>
      <c t="s">
        <v>19978</v>
      </c>
      <c t="s">
        <v>3093</v>
      </c>
      <c t="s">
        <v>50116</v>
      </c>
    </row>
    <row>
      <c t="s">
        <v>17594</v>
      </c>
      <c t="s">
        <v>63075</v>
      </c>
      <c t="s">
        <v>19714</v>
      </c>
      <c t="s">
        <v>23354</v>
      </c>
      <c t="s">
        <v>11146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367" s="1" t="str">
        <f ca="1">HYPERLINK("https://web.datatree.com/?/property?propertyId=34117737", "https://web.datatree.com/?/property?propertyId=34117737")</f>
        <v>https://web.datatree.com/?/property?propertyId=34117737</v>
      </c>
      <c r="Q5367" t="s">
        <v>316</v>
      </c>
      <c>
        <v>0.23</v>
      </c>
      <c t="s">
        <v>42044</v>
      </c>
      <c t="s">
        <v>57821</v>
      </c>
      <c t="s">
        <v>40005</v>
      </c>
      <c t="s">
        <v>63047</v>
      </c>
      <c t="s">
        <v>40005</v>
      </c>
      <c t="s">
        <v>34631</v>
      </c>
      <c t="s">
        <v>7113</v>
      </c>
      <c t="s">
        <v>2517</v>
      </c>
      <c t="s">
        <v>39289</v>
      </c>
      <c>
        <v>33909</v>
      </c>
      <c t="s">
        <v>64162</v>
      </c>
      <c t="s">
        <v>48794</v>
      </c>
      <c t="s">
        <v>58378</v>
      </c>
      <c>
        <v>944</v>
      </c>
      <c r="AI5367" t="s">
        <v>1720</v>
      </c>
      <c t="s">
        <v>63316</v>
      </c>
      <c r="AL5367" t="s">
        <v>59494</v>
      </c>
      <c r="AN5367" t="s">
        <v>65451</v>
      </c>
      <c t="s">
        <v>40755</v>
      </c>
      <c t="s">
        <v>4797</v>
      </c>
      <c t="s">
        <v>3093</v>
      </c>
      <c t="s">
        <v>25302</v>
      </c>
    </row>
    <row>
      <c t="s">
        <v>17594</v>
      </c>
      <c t="s">
        <v>64015</v>
      </c>
      <c t="s">
        <v>47062</v>
      </c>
      <c t="s">
        <v>26064</v>
      </c>
      <c t="s">
        <v>17702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5368" s="1" t="str">
        <f ca="1">HYPERLINK("https://web.datatree.com/?/property?propertyId=34118055", "https://web.datatree.com/?/property?propertyId=34118055")</f>
        <v>https://web.datatree.com/?/property?propertyId=34118055</v>
      </c>
      <c r="Q5368" t="s">
        <v>316</v>
      </c>
      <c>
        <v>0.23</v>
      </c>
      <c t="s">
        <v>6175</v>
      </c>
      <c t="s">
        <v>52057</v>
      </c>
      <c t="s">
        <v>2899</v>
      </c>
      <c t="s">
        <v>947</v>
      </c>
      <c t="s">
        <v>57185</v>
      </c>
      <c t="s">
        <v>39588</v>
      </c>
      <c t="s">
        <v>50440</v>
      </c>
      <c t="s">
        <v>2517</v>
      </c>
      <c t="s">
        <v>39289</v>
      </c>
      <c>
        <v>33909</v>
      </c>
      <c t="s">
        <v>18774</v>
      </c>
      <c t="s">
        <v>48794</v>
      </c>
      <c t="s">
        <v>33522</v>
      </c>
      <c r="AI5368" t="s">
        <v>2904</v>
      </c>
      <c r="AL5368" t="s">
        <v>36702</v>
      </c>
      <c t="s">
        <v>36702</v>
      </c>
      <c t="s">
        <v>9533</v>
      </c>
      <c>
        <v>985</v>
      </c>
      <c r="AQ5368" t="s">
        <v>3093</v>
      </c>
      <c t="s">
        <v>61693</v>
      </c>
    </row>
    <row>
      <c t="s">
        <v>17594</v>
      </c>
      <c t="s">
        <v>49775</v>
      </c>
      <c t="s">
        <v>29146</v>
      </c>
      <c t="s">
        <v>36783</v>
      </c>
      <c t="s">
        <v>42061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5369" s="1" t="str">
        <f ca="1">HYPERLINK("https://web.datatree.com/?/property?propertyId=34118368", "https://web.datatree.com/?/property?propertyId=34118368")</f>
        <v>https://web.datatree.com/?/property?propertyId=34118368</v>
      </c>
      <c r="Q5369" t="s">
        <v>316</v>
      </c>
      <c>
        <v>0.228</v>
      </c>
      <c t="s">
        <v>5471</v>
      </c>
      <c t="s">
        <v>47656</v>
      </c>
      <c t="s">
        <v>26417</v>
      </c>
      <c t="s">
        <v>54926</v>
      </c>
      <c t="s">
        <v>26417</v>
      </c>
      <c t="s">
        <v>42354</v>
      </c>
      <c t="s">
        <v>26561</v>
      </c>
      <c t="s">
        <v>65059</v>
      </c>
      <c t="s">
        <v>39289</v>
      </c>
      <c>
        <v>33905</v>
      </c>
      <c t="s">
        <v>11852</v>
      </c>
      <c t="s">
        <v>48794</v>
      </c>
      <c t="s">
        <v>27166</v>
      </c>
      <c>
        <v>10511</v>
      </c>
      <c r="AI5369" t="s">
        <v>22773</v>
      </c>
      <c t="s">
        <v>31192</v>
      </c>
      <c r="AL5369" t="s">
        <v>3701</v>
      </c>
      <c r="AN5369" t="s">
        <v>10804</v>
      </c>
      <c t="s">
        <v>64970</v>
      </c>
      <c t="s">
        <v>34171</v>
      </c>
      <c t="s">
        <v>3093</v>
      </c>
      <c t="s">
        <v>24117</v>
      </c>
    </row>
    <row>
      <c t="s">
        <v>42103</v>
      </c>
      <c t="s">
        <v>5421</v>
      </c>
      <c t="s">
        <v>16326</v>
      </c>
      <c t="s">
        <v>61533</v>
      </c>
      <c t="s">
        <v>47706</v>
      </c>
      <c s="3">
        <v>146697</v>
      </c>
      <c s="3">
        <v>146697</v>
      </c>
      <c s="3">
        <v>109160</v>
      </c>
      <c>
        <v>0</v>
      </c>
      <c s="3">
        <v>0</v>
      </c>
      <c s="3">
        <v>1733.75</v>
      </c>
      <c s="3">
        <v>146697</v>
      </c>
      <c r="O5370" s="1" t="str">
        <f ca="1">HYPERLINK("https://web.datatree.com/?/property?propertyId=34119673", "https://web.datatree.com/?/property?propertyId=34119673")</f>
        <v>https://web.datatree.com/?/property?propertyId=34119673</v>
      </c>
      <c r="Q5370" t="s">
        <v>316</v>
      </c>
      <c>
        <v>0.252</v>
      </c>
      <c t="s">
        <v>5471</v>
      </c>
      <c r="U5370" t="s">
        <v>36790</v>
      </c>
      <c t="s">
        <v>25238</v>
      </c>
      <c t="s">
        <v>7491</v>
      </c>
      <c t="s">
        <v>16248</v>
      </c>
      <c t="s">
        <v>22297</v>
      </c>
      <c t="s">
        <v>65059</v>
      </c>
      <c t="s">
        <v>39289</v>
      </c>
      <c>
        <v>33908</v>
      </c>
      <c>
        <v>33908</v>
      </c>
      <c t="s">
        <v>48794</v>
      </c>
      <c t="s">
        <v>13567</v>
      </c>
      <c r="AI5370" t="s">
        <v>54900</v>
      </c>
      <c r="AL5370" t="s">
        <v>2513</v>
      </c>
      <c t="s">
        <v>2513</v>
      </c>
      <c t="s">
        <v>26443</v>
      </c>
      <c>
        <v>52730</v>
      </c>
      <c t="s">
        <v>61509</v>
      </c>
      <c t="s">
        <v>3093</v>
      </c>
      <c t="s">
        <v>51969</v>
      </c>
    </row>
    <row>
      <c t="s">
        <v>17594</v>
      </c>
      <c t="s">
        <v>42949</v>
      </c>
      <c t="s">
        <v>2572</v>
      </c>
      <c t="s">
        <v>1632</v>
      </c>
      <c t="s">
        <v>40459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5371" s="1" t="str">
        <f ca="1">HYPERLINK("https://web.datatree.com/?/property?propertyId=34120139", "https://web.datatree.com/?/property?propertyId=34120139")</f>
        <v>https://web.datatree.com/?/property?propertyId=34120139</v>
      </c>
      <c r="Q5371" t="s">
        <v>316</v>
      </c>
      <c>
        <v>0.23</v>
      </c>
      <c t="s">
        <v>22490</v>
      </c>
      <c t="s">
        <v>2140</v>
      </c>
      <c t="s">
        <v>16367</v>
      </c>
      <c t="s">
        <v>11948</v>
      </c>
      <c t="s">
        <v>16367</v>
      </c>
      <c t="s">
        <v>11536</v>
      </c>
      <c t="s">
        <v>38550</v>
      </c>
      <c t="s">
        <v>2517</v>
      </c>
      <c t="s">
        <v>39289</v>
      </c>
      <c>
        <v>33909</v>
      </c>
      <c t="s">
        <v>32369</v>
      </c>
      <c t="s">
        <v>48794</v>
      </c>
      <c t="s">
        <v>49761</v>
      </c>
      <c>
        <v>4945</v>
      </c>
      <c r="AI5371" t="s">
        <v>42436</v>
      </c>
      <c t="s">
        <v>835</v>
      </c>
      <c r="AL5371" t="s">
        <v>2407</v>
      </c>
      <c r="AN5371" t="s">
        <v>14798</v>
      </c>
      <c t="s">
        <v>62016</v>
      </c>
      <c t="s">
        <v>56028</v>
      </c>
      <c t="s">
        <v>3093</v>
      </c>
      <c t="s">
        <v>7236</v>
      </c>
    </row>
    <row>
      <c t="s">
        <v>17594</v>
      </c>
      <c t="s">
        <v>34239</v>
      </c>
      <c t="s">
        <v>62782</v>
      </c>
      <c t="s">
        <v>58559</v>
      </c>
      <c t="s">
        <v>53391</v>
      </c>
      <c s="3">
        <v>56485</v>
      </c>
      <c s="3">
        <v>56485</v>
      </c>
      <c s="3">
        <v>47124</v>
      </c>
      <c>
        <v>0</v>
      </c>
      <c s="3">
        <v>0</v>
      </c>
      <c s="3">
        <v>729.34</v>
      </c>
      <c s="3">
        <v>56485</v>
      </c>
      <c r="O5372" s="1" t="str">
        <f ca="1">HYPERLINK("https://web.datatree.com/?/property?propertyId=34120826", "https://web.datatree.com/?/property?propertyId=34120826")</f>
        <v>https://web.datatree.com/?/property?propertyId=34120826</v>
      </c>
      <c r="Q5372" t="s">
        <v>316</v>
      </c>
      <c>
        <v>0.322</v>
      </c>
      <c t="s">
        <v>30497</v>
      </c>
      <c t="s">
        <v>30490</v>
      </c>
      <c t="s">
        <v>26686</v>
      </c>
      <c r="X5372" t="s">
        <v>47949</v>
      </c>
      <c t="s">
        <v>2726</v>
      </c>
      <c t="s">
        <v>65059</v>
      </c>
      <c t="s">
        <v>39289</v>
      </c>
      <c>
        <v>33905</v>
      </c>
      <c t="s">
        <v>32292</v>
      </c>
      <c t="s">
        <v>48794</v>
      </c>
      <c t="s">
        <v>49123</v>
      </c>
      <c>
        <v>480</v>
      </c>
      <c r="AI5372" t="s">
        <v>15835</v>
      </c>
      <c t="s">
        <v>4985</v>
      </c>
      <c r="AL5372" t="s">
        <v>29634</v>
      </c>
      <c r="AN5372" t="s">
        <v>50917</v>
      </c>
      <c t="s">
        <v>3913</v>
      </c>
      <c t="s">
        <v>4797</v>
      </c>
      <c t="s">
        <v>3093</v>
      </c>
      <c t="s">
        <v>23169</v>
      </c>
    </row>
    <row>
      <c t="s">
        <v>17594</v>
      </c>
      <c t="s">
        <v>62275</v>
      </c>
      <c t="s">
        <v>34685</v>
      </c>
      <c t="s">
        <v>23386</v>
      </c>
      <c t="s">
        <v>42055</v>
      </c>
      <c s="3">
        <v>29192</v>
      </c>
      <c s="3">
        <v>28860</v>
      </c>
      <c s="3">
        <v>28975</v>
      </c>
      <c>
        <v>0</v>
      </c>
      <c s="3">
        <v>0</v>
      </c>
      <c s="3">
        <v>403.67</v>
      </c>
      <c s="3">
        <v>29192</v>
      </c>
      <c r="O5373" s="1" t="str">
        <f ca="1">HYPERLINK("https://web.datatree.com/?/property?propertyId=34120864", "https://web.datatree.com/?/property?propertyId=34120864")</f>
        <v>https://web.datatree.com/?/property?propertyId=34120864</v>
      </c>
      <c>
        <v>622</v>
      </c>
      <c t="s">
        <v>316</v>
      </c>
      <c>
        <v>0.043</v>
      </c>
      <c t="s">
        <v>54329</v>
      </c>
      <c t="s">
        <v>17058</v>
      </c>
      <c t="s">
        <v>21142</v>
      </c>
      <c t="s">
        <v>36241</v>
      </c>
      <c t="s">
        <v>21142</v>
      </c>
      <c t="s">
        <v>5786</v>
      </c>
      <c t="s">
        <v>35866</v>
      </c>
      <c t="s">
        <v>65059</v>
      </c>
      <c t="s">
        <v>39289</v>
      </c>
      <c>
        <v>33908</v>
      </c>
      <c t="s">
        <v>18155</v>
      </c>
      <c t="s">
        <v>48794</v>
      </c>
      <c t="s">
        <v>29796</v>
      </c>
      <c>
        <v>2760</v>
      </c>
      <c r="AI5373" t="s">
        <v>37736</v>
      </c>
      <c t="s">
        <v>45620</v>
      </c>
      <c r="AL5373" t="s">
        <v>46388</v>
      </c>
      <c t="s">
        <v>53482</v>
      </c>
      <c t="s">
        <v>3034</v>
      </c>
      <c t="s">
        <v>65488</v>
      </c>
      <c t="s">
        <v>14695</v>
      </c>
      <c t="s">
        <v>3093</v>
      </c>
      <c t="s">
        <v>48748</v>
      </c>
      <c>
        <v>1980</v>
      </c>
    </row>
    <row>
      <c t="s">
        <v>17594</v>
      </c>
      <c t="s">
        <v>6880</v>
      </c>
      <c t="s">
        <v>37429</v>
      </c>
      <c t="s">
        <v>24346</v>
      </c>
      <c t="s">
        <v>16153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374" s="1" t="str">
        <f ca="1">HYPERLINK("https://web.datatree.com/?/property?propertyId=34120871", "https://web.datatree.com/?/property?propertyId=34120871")</f>
        <v>https://web.datatree.com/?/property?propertyId=34120871</v>
      </c>
      <c r="Q5374" t="s">
        <v>316</v>
      </c>
      <c>
        <v>0.23</v>
      </c>
      <c t="s">
        <v>6175</v>
      </c>
      <c t="s">
        <v>11371</v>
      </c>
      <c t="s">
        <v>6783</v>
      </c>
      <c t="s">
        <v>52701</v>
      </c>
      <c t="s">
        <v>61362</v>
      </c>
      <c t="s">
        <v>55745</v>
      </c>
      <c t="s">
        <v>41506</v>
      </c>
      <c t="s">
        <v>2517</v>
      </c>
      <c t="s">
        <v>39289</v>
      </c>
      <c>
        <v>33909</v>
      </c>
      <c t="s">
        <v>53469</v>
      </c>
      <c t="s">
        <v>48794</v>
      </c>
      <c t="s">
        <v>32735</v>
      </c>
      <c>
        <v>3612</v>
      </c>
      <c r="AI5374" t="s">
        <v>25017</v>
      </c>
      <c t="s">
        <v>24900</v>
      </c>
      <c r="AL5374" t="s">
        <v>29515</v>
      </c>
      <c r="AN5374" t="s">
        <v>39289</v>
      </c>
      <c t="s">
        <v>17192</v>
      </c>
      <c t="s">
        <v>44843</v>
      </c>
      <c t="s">
        <v>3093</v>
      </c>
      <c t="s">
        <v>19409</v>
      </c>
    </row>
    <row>
      <c t="s">
        <v>17594</v>
      </c>
      <c t="s">
        <v>9239</v>
      </c>
      <c t="s">
        <v>16173</v>
      </c>
      <c t="s">
        <v>52300</v>
      </c>
      <c t="s">
        <v>52781</v>
      </c>
      <c s="3">
        <v>17859</v>
      </c>
      <c s="3">
        <v>17859</v>
      </c>
      <c s="3">
        <v>8910</v>
      </c>
      <c>
        <v>0</v>
      </c>
      <c s="3">
        <v>0</v>
      </c>
      <c s="3">
        <v>521.85</v>
      </c>
      <c s="3">
        <v>17859</v>
      </c>
      <c r="O5375" s="1" t="str">
        <f ca="1">HYPERLINK("https://web.datatree.com/?/property?propertyId=34121092", "https://web.datatree.com/?/property?propertyId=34121092")</f>
        <v>https://web.datatree.com/?/property?propertyId=34121092</v>
      </c>
      <c r="Q5375" t="s">
        <v>316</v>
      </c>
      <c>
        <v>0.244</v>
      </c>
      <c t="s">
        <v>6175</v>
      </c>
      <c t="s">
        <v>7369</v>
      </c>
      <c t="s">
        <v>1422</v>
      </c>
      <c t="s">
        <v>49579</v>
      </c>
      <c t="s">
        <v>1422</v>
      </c>
      <c t="s">
        <v>6063</v>
      </c>
      <c t="s">
        <v>49122</v>
      </c>
      <c t="s">
        <v>2517</v>
      </c>
      <c t="s">
        <v>39289</v>
      </c>
      <c>
        <v>33909</v>
      </c>
      <c t="s">
        <v>8498</v>
      </c>
      <c t="s">
        <v>48794</v>
      </c>
      <c t="s">
        <v>13523</v>
      </c>
      <c>
        <v>264</v>
      </c>
      <c r="AI5375" t="s">
        <v>43978</v>
      </c>
      <c t="s">
        <v>24900</v>
      </c>
      <c r="AL5375" t="s">
        <v>43978</v>
      </c>
      <c t="s">
        <v>43978</v>
      </c>
      <c t="s">
        <v>26016</v>
      </c>
      <c t="s">
        <v>10290</v>
      </c>
      <c t="s">
        <v>44843</v>
      </c>
      <c t="s">
        <v>3093</v>
      </c>
      <c t="s">
        <v>51798</v>
      </c>
    </row>
    <row>
      <c t="s">
        <v>17594</v>
      </c>
      <c t="s">
        <v>49853</v>
      </c>
      <c t="s">
        <v>24491</v>
      </c>
      <c t="s">
        <v>18124</v>
      </c>
      <c t="s">
        <v>26233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5376" s="1" t="str">
        <f ca="1">HYPERLINK("https://web.datatree.com/?/property?propertyId=34121387", "https://web.datatree.com/?/property?propertyId=34121387")</f>
        <v>https://web.datatree.com/?/property?propertyId=34121387</v>
      </c>
      <c r="Q5376" t="s">
        <v>316</v>
      </c>
      <c>
        <v>0.23</v>
      </c>
      <c t="s">
        <v>6175</v>
      </c>
      <c t="s">
        <v>1981</v>
      </c>
      <c t="s">
        <v>57999</v>
      </c>
      <c r="X5376" t="s">
        <v>55718</v>
      </c>
      <c t="s">
        <v>371</v>
      </c>
      <c t="s">
        <v>2517</v>
      </c>
      <c t="s">
        <v>39289</v>
      </c>
      <c>
        <v>33909</v>
      </c>
      <c t="s">
        <v>3382</v>
      </c>
      <c t="s">
        <v>48794</v>
      </c>
      <c t="s">
        <v>64260</v>
      </c>
      <c>
        <v>27</v>
      </c>
      <c r="AI5376" t="s">
        <v>55130</v>
      </c>
      <c t="s">
        <v>40123</v>
      </c>
      <c>
        <v>27</v>
      </c>
      <c t="s">
        <v>57952</v>
      </c>
      <c r="AN5376" t="s">
        <v>14509</v>
      </c>
      <c t="s">
        <v>7150</v>
      </c>
      <c t="s">
        <v>22152</v>
      </c>
      <c t="s">
        <v>3093</v>
      </c>
      <c t="s">
        <v>32457</v>
      </c>
    </row>
    <row>
      <c t="s">
        <v>17594</v>
      </c>
      <c t="s">
        <v>11560</v>
      </c>
      <c t="s">
        <v>56843</v>
      </c>
      <c t="s">
        <v>36353</v>
      </c>
      <c t="s">
        <v>65092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5377" s="1" t="str">
        <f ca="1">HYPERLINK("https://web.datatree.com/?/property?propertyId=34121558", "https://web.datatree.com/?/property?propertyId=34121558")</f>
        <v>https://web.datatree.com/?/property?propertyId=34121558</v>
      </c>
      <c r="Q5377" t="s">
        <v>316</v>
      </c>
      <c>
        <v>0.23</v>
      </c>
      <c t="s">
        <v>22490</v>
      </c>
      <c t="s">
        <v>2140</v>
      </c>
      <c t="s">
        <v>21376</v>
      </c>
      <c t="s">
        <v>11223</v>
      </c>
      <c t="s">
        <v>21376</v>
      </c>
      <c t="s">
        <v>16201</v>
      </c>
      <c t="s">
        <v>66701</v>
      </c>
      <c t="s">
        <v>2517</v>
      </c>
      <c t="s">
        <v>39289</v>
      </c>
      <c>
        <v>33909</v>
      </c>
      <c t="s">
        <v>11943</v>
      </c>
      <c t="s">
        <v>48794</v>
      </c>
      <c t="s">
        <v>7540</v>
      </c>
      <c>
        <v>2128</v>
      </c>
      <c r="AI5377" t="s">
        <v>14236</v>
      </c>
      <c t="s">
        <v>55842</v>
      </c>
      <c r="AL5377" t="s">
        <v>13432</v>
      </c>
      <c t="s">
        <v>13432</v>
      </c>
      <c t="s">
        <v>47028</v>
      </c>
      <c t="s">
        <v>59138</v>
      </c>
      <c t="s">
        <v>5652</v>
      </c>
      <c t="s">
        <v>3093</v>
      </c>
      <c t="s">
        <v>23327</v>
      </c>
    </row>
    <row>
      <c t="s">
        <v>17594</v>
      </c>
      <c t="s">
        <v>13153</v>
      </c>
      <c t="s">
        <v>9747</v>
      </c>
      <c t="s">
        <v>658</v>
      </c>
      <c t="s">
        <v>21671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378" s="1" t="str">
        <f ca="1">HYPERLINK("https://web.datatree.com/?/property?propertyId=34122695", "https://web.datatree.com/?/property?propertyId=34122695")</f>
        <v>https://web.datatree.com/?/property?propertyId=34122695</v>
      </c>
      <c r="Q5378" t="s">
        <v>316</v>
      </c>
      <c>
        <v>0.23</v>
      </c>
      <c t="s">
        <v>42044</v>
      </c>
      <c t="s">
        <v>2140</v>
      </c>
      <c t="s">
        <v>44677</v>
      </c>
      <c r="X5378" t="s">
        <v>37931</v>
      </c>
      <c t="s">
        <v>13478</v>
      </c>
      <c t="s">
        <v>2517</v>
      </c>
      <c t="s">
        <v>39289</v>
      </c>
      <c>
        <v>33909</v>
      </c>
      <c t="s">
        <v>47940</v>
      </c>
      <c t="s">
        <v>48794</v>
      </c>
      <c t="s">
        <v>18777</v>
      </c>
      <c>
        <v>20960</v>
      </c>
      <c r="AI5378" t="s">
        <v>62772</v>
      </c>
      <c t="s">
        <v>56275</v>
      </c>
      <c r="AL5378" t="s">
        <v>37327</v>
      </c>
      <c t="s">
        <v>37327</v>
      </c>
      <c t="s">
        <v>17134</v>
      </c>
      <c t="s">
        <v>38489</v>
      </c>
      <c t="s">
        <v>15968</v>
      </c>
      <c t="s">
        <v>3093</v>
      </c>
      <c t="s">
        <v>9932</v>
      </c>
    </row>
    <row>
      <c t="s">
        <v>17594</v>
      </c>
      <c t="s">
        <v>22849</v>
      </c>
      <c t="s">
        <v>32916</v>
      </c>
      <c t="s">
        <v>5863</v>
      </c>
      <c t="s">
        <v>24077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379" s="1" t="str">
        <f ca="1">HYPERLINK("https://web.datatree.com/?/property?propertyId=34123019", "https://web.datatree.com/?/property?propertyId=34123019")</f>
        <v>https://web.datatree.com/?/property?propertyId=34123019</v>
      </c>
      <c r="Q5379" t="s">
        <v>316</v>
      </c>
      <c>
        <v>0.23</v>
      </c>
      <c t="s">
        <v>42044</v>
      </c>
      <c r="U5379" t="s">
        <v>42550</v>
      </c>
      <c r="W5379" t="s">
        <v>8705</v>
      </c>
      <c t="s">
        <v>60318</v>
      </c>
      <c t="s">
        <v>57064</v>
      </c>
      <c t="s">
        <v>2517</v>
      </c>
      <c t="s">
        <v>39289</v>
      </c>
      <c>
        <v>33909</v>
      </c>
      <c t="s">
        <v>35726</v>
      </c>
      <c t="s">
        <v>48794</v>
      </c>
      <c t="s">
        <v>48856</v>
      </c>
      <c>
        <v>383</v>
      </c>
      <c r="AI5379" t="s">
        <v>27763</v>
      </c>
      <c t="s">
        <v>30541</v>
      </c>
      <c r="AL5379" t="s">
        <v>58581</v>
      </c>
      <c r="AN5379" t="s">
        <v>3034</v>
      </c>
      <c t="s">
        <v>66963</v>
      </c>
      <c t="s">
        <v>42945</v>
      </c>
      <c t="s">
        <v>3093</v>
      </c>
      <c t="s">
        <v>29714</v>
      </c>
    </row>
    <row>
      <c t="s">
        <v>17594</v>
      </c>
      <c t="s">
        <v>31039</v>
      </c>
      <c t="s">
        <v>20662</v>
      </c>
      <c t="s">
        <v>63956</v>
      </c>
      <c t="s">
        <v>63481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5380" s="1" t="str">
        <f ca="1">HYPERLINK("https://web.datatree.com/?/property?propertyId=34124830", "https://web.datatree.com/?/property?propertyId=34124830")</f>
        <v>https://web.datatree.com/?/property?propertyId=34124830</v>
      </c>
      <c r="Q5380" t="s">
        <v>316</v>
      </c>
      <c>
        <v>0.228</v>
      </c>
      <c t="s">
        <v>5471</v>
      </c>
      <c t="s">
        <v>63579</v>
      </c>
      <c t="s">
        <v>41420</v>
      </c>
      <c t="s">
        <v>5851</v>
      </c>
      <c t="s">
        <v>41420</v>
      </c>
      <c t="s">
        <v>57825</v>
      </c>
      <c t="s">
        <v>20307</v>
      </c>
      <c t="s">
        <v>65059</v>
      </c>
      <c t="s">
        <v>39289</v>
      </c>
      <c>
        <v>33905</v>
      </c>
      <c t="s">
        <v>37241</v>
      </c>
      <c t="s">
        <v>48794</v>
      </c>
      <c t="s">
        <v>22463</v>
      </c>
      <c>
        <v>11037</v>
      </c>
      <c r="AI5380" t="s">
        <v>49777</v>
      </c>
      <c t="s">
        <v>40123</v>
      </c>
      <c r="AL5380" t="s">
        <v>11070</v>
      </c>
      <c r="AN5380" t="s">
        <v>39289</v>
      </c>
      <c t="s">
        <v>38884</v>
      </c>
      <c t="s">
        <v>31626</v>
      </c>
      <c t="s">
        <v>3093</v>
      </c>
      <c t="s">
        <v>51271</v>
      </c>
    </row>
    <row>
      <c t="s">
        <v>17594</v>
      </c>
      <c t="s">
        <v>20704</v>
      </c>
      <c t="s">
        <v>28160</v>
      </c>
      <c t="s">
        <v>54799</v>
      </c>
      <c t="s">
        <v>56655</v>
      </c>
      <c s="3">
        <v>127643</v>
      </c>
      <c s="3">
        <v>94250</v>
      </c>
      <c s="3">
        <v>116606</v>
      </c>
      <c>
        <v>0</v>
      </c>
      <c s="3">
        <v>0</v>
      </c>
      <c s="3">
        <v>1812</v>
      </c>
      <c s="3">
        <v>127643</v>
      </c>
      <c r="O5381" s="1" t="str">
        <f ca="1">HYPERLINK("https://web.datatree.com/?/property?propertyId=34124862", "https://web.datatree.com/?/property?propertyId=34124862")</f>
        <v>https://web.datatree.com/?/property?propertyId=34124862</v>
      </c>
      <c r="Q5381" t="s">
        <v>316</v>
      </c>
      <c>
        <v>0.126</v>
      </c>
      <c t="s">
        <v>26492</v>
      </c>
      <c r="U5381" t="s">
        <v>37364</v>
      </c>
      <c t="s">
        <v>16200</v>
      </c>
      <c t="s">
        <v>28624</v>
      </c>
      <c t="s">
        <v>47565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36316</v>
      </c>
      <c>
        <v>56540</v>
      </c>
      <c r="AI5381" t="s">
        <v>66828</v>
      </c>
      <c t="s">
        <v>45620</v>
      </c>
      <c r="AL5381" t="s">
        <v>61005</v>
      </c>
      <c t="s">
        <v>40227</v>
      </c>
      <c t="s">
        <v>51137</v>
      </c>
      <c t="s">
        <v>9417</v>
      </c>
      <c t="s">
        <v>32469</v>
      </c>
      <c t="s">
        <v>3093</v>
      </c>
      <c t="s">
        <v>29289</v>
      </c>
    </row>
    <row>
      <c t="s">
        <v>42103</v>
      </c>
      <c t="s">
        <v>51833</v>
      </c>
      <c t="s">
        <v>9140</v>
      </c>
      <c t="s">
        <v>6719</v>
      </c>
      <c t="s">
        <v>28634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382" s="1" t="str">
        <f ca="1">HYPERLINK("https://web.datatree.com/?/property?propertyId=34124962", "https://web.datatree.com/?/property?propertyId=34124962")</f>
        <v>https://web.datatree.com/?/property?propertyId=34124962</v>
      </c>
      <c r="Q5382" t="s">
        <v>316</v>
      </c>
      <c>
        <v>0.23</v>
      </c>
      <c t="s">
        <v>48908</v>
      </c>
      <c t="s">
        <v>12173</v>
      </c>
      <c t="s">
        <v>8291</v>
      </c>
      <c r="X5382" t="s">
        <v>63562</v>
      </c>
      <c t="s">
        <v>60363</v>
      </c>
      <c t="s">
        <v>2517</v>
      </c>
      <c t="s">
        <v>39289</v>
      </c>
      <c>
        <v>33909</v>
      </c>
      <c t="s">
        <v>23796</v>
      </c>
      <c t="s">
        <v>48794</v>
      </c>
      <c t="s">
        <v>9287</v>
      </c>
      <c r="AI5382" t="s">
        <v>41043</v>
      </c>
      <c r="AL5382" t="s">
        <v>39915</v>
      </c>
      <c r="AN5382" t="s">
        <v>27747</v>
      </c>
      <c>
        <v>2122</v>
      </c>
      <c t="s">
        <v>31451</v>
      </c>
      <c t="s">
        <v>3093</v>
      </c>
      <c t="s">
        <v>37405</v>
      </c>
    </row>
    <row>
      <c t="s">
        <v>17594</v>
      </c>
      <c t="s">
        <v>41130</v>
      </c>
      <c t="s">
        <v>8763</v>
      </c>
      <c t="s">
        <v>23420</v>
      </c>
      <c t="s">
        <v>5209</v>
      </c>
      <c s="3">
        <v>100259</v>
      </c>
      <c s="3">
        <v>91000</v>
      </c>
      <c s="3">
        <v>100259</v>
      </c>
      <c>
        <v>0</v>
      </c>
      <c s="3">
        <v>0</v>
      </c>
      <c s="3">
        <v>1640.68</v>
      </c>
      <c s="3">
        <v>100259</v>
      </c>
      <c r="O5383" s="1" t="str">
        <f ca="1">HYPERLINK("https://web.datatree.com/?/property?propertyId=34125585", "https://web.datatree.com/?/property?propertyId=34125585")</f>
        <v>https://web.datatree.com/?/property?propertyId=34125585</v>
      </c>
      <c r="Q5383" t="s">
        <v>316</v>
      </c>
      <c>
        <v>0.131</v>
      </c>
      <c t="s">
        <v>26492</v>
      </c>
      <c r="U5383" t="s">
        <v>8145</v>
      </c>
      <c t="s">
        <v>27386</v>
      </c>
      <c t="s">
        <v>19977</v>
      </c>
      <c t="s">
        <v>66773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25932</v>
      </c>
      <c>
        <v>11633</v>
      </c>
      <c r="AI5383" t="s">
        <v>46069</v>
      </c>
      <c t="s">
        <v>40123</v>
      </c>
      <c r="AL5383" t="s">
        <v>53507</v>
      </c>
      <c t="s">
        <v>40227</v>
      </c>
      <c t="s">
        <v>18236</v>
      </c>
      <c t="s">
        <v>25487</v>
      </c>
      <c t="s">
        <v>31373</v>
      </c>
      <c t="s">
        <v>3093</v>
      </c>
      <c t="s">
        <v>18986</v>
      </c>
    </row>
    <row>
      <c t="s">
        <v>17594</v>
      </c>
      <c t="s">
        <v>60618</v>
      </c>
      <c t="s">
        <v>50404</v>
      </c>
      <c t="s">
        <v>25902</v>
      </c>
      <c t="s">
        <v>47149</v>
      </c>
      <c s="3">
        <v>18472</v>
      </c>
      <c s="3">
        <v>18472</v>
      </c>
      <c s="3">
        <v>8712</v>
      </c>
      <c>
        <v>0</v>
      </c>
      <c s="3">
        <v>0</v>
      </c>
      <c s="3">
        <v>570.32</v>
      </c>
      <c s="3">
        <v>18472</v>
      </c>
      <c>
        <v>2019</v>
      </c>
      <c>
        <v>1735.94</v>
      </c>
      <c s="1" t="str">
        <f ca="1">HYPERLINK("https://web.datatree.com/?/property?propertyId=34125833", "https://web.datatree.com/?/property?propertyId=34125833")</f>
        <v>https://web.datatree.com/?/property?propertyId=34125833</v>
      </c>
      <c r="Q5384" t="s">
        <v>316</v>
      </c>
      <c>
        <v>0.241</v>
      </c>
      <c t="s">
        <v>6175</v>
      </c>
      <c t="s">
        <v>38259</v>
      </c>
      <c t="s">
        <v>20267</v>
      </c>
      <c r="X5384" t="s">
        <v>52001</v>
      </c>
      <c t="s">
        <v>34731</v>
      </c>
      <c t="s">
        <v>2517</v>
      </c>
      <c t="s">
        <v>39289</v>
      </c>
      <c>
        <v>33909</v>
      </c>
      <c t="s">
        <v>31639</v>
      </c>
      <c t="s">
        <v>48794</v>
      </c>
      <c t="s">
        <v>55535</v>
      </c>
      <c>
        <v>56</v>
      </c>
      <c r="AI5384" t="s">
        <v>48238</v>
      </c>
      <c t="s">
        <v>45393</v>
      </c>
      <c>
        <v>7</v>
      </c>
      <c t="s">
        <v>10309</v>
      </c>
      <c t="s">
        <v>10309</v>
      </c>
      <c t="s">
        <v>27747</v>
      </c>
      <c>
        <v>1801</v>
      </c>
      <c r="AQ5384" t="s">
        <v>3093</v>
      </c>
      <c t="s">
        <v>980</v>
      </c>
    </row>
    <row>
      <c t="s">
        <v>17594</v>
      </c>
      <c t="s">
        <v>8796</v>
      </c>
      <c t="s">
        <v>15888</v>
      </c>
      <c t="s">
        <v>46983</v>
      </c>
      <c t="s">
        <v>21868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385" s="1" t="str">
        <f ca="1">HYPERLINK("https://web.datatree.com/?/property?propertyId=34126188", "https://web.datatree.com/?/property?propertyId=34126188")</f>
        <v>https://web.datatree.com/?/property?propertyId=34126188</v>
      </c>
      <c r="Q5385" t="s">
        <v>316</v>
      </c>
      <c>
        <v>0.23</v>
      </c>
      <c t="s">
        <v>22490</v>
      </c>
      <c r="U5385" t="s">
        <v>34556</v>
      </c>
      <c r="W5385" t="s">
        <v>29519</v>
      </c>
      <c t="s">
        <v>62387</v>
      </c>
      <c t="s">
        <v>53675</v>
      </c>
      <c t="s">
        <v>2517</v>
      </c>
      <c t="s">
        <v>39289</v>
      </c>
      <c>
        <v>33909</v>
      </c>
      <c>
        <v>33909</v>
      </c>
      <c t="s">
        <v>48794</v>
      </c>
      <c t="s">
        <v>56543</v>
      </c>
      <c>
        <v>11130</v>
      </c>
      <c r="AI5385" t="s">
        <v>57317</v>
      </c>
      <c t="s">
        <v>31192</v>
      </c>
      <c r="AL5385" t="s">
        <v>34265</v>
      </c>
      <c r="AN5385" t="s">
        <v>51137</v>
      </c>
      <c t="s">
        <v>30606</v>
      </c>
      <c t="s">
        <v>34171</v>
      </c>
      <c t="s">
        <v>3093</v>
      </c>
      <c t="s">
        <v>27120</v>
      </c>
    </row>
    <row>
      <c t="s">
        <v>17594</v>
      </c>
      <c t="s">
        <v>53101</v>
      </c>
      <c t="s">
        <v>98</v>
      </c>
      <c t="s">
        <v>55515</v>
      </c>
      <c t="s">
        <v>54260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5386" s="1" t="str">
        <f ca="1">HYPERLINK("https://web.datatree.com/?/property?propertyId=34126219", "https://web.datatree.com/?/property?propertyId=34126219")</f>
        <v>https://web.datatree.com/?/property?propertyId=34126219</v>
      </c>
      <c r="Q5386" t="s">
        <v>316</v>
      </c>
      <c>
        <v>0.228</v>
      </c>
      <c t="s">
        <v>6175</v>
      </c>
      <c t="s">
        <v>18686</v>
      </c>
      <c t="s">
        <v>31813</v>
      </c>
      <c t="s">
        <v>65685</v>
      </c>
      <c t="s">
        <v>31813</v>
      </c>
      <c t="s">
        <v>28150</v>
      </c>
      <c t="s">
        <v>47150</v>
      </c>
      <c t="s">
        <v>2517</v>
      </c>
      <c t="s">
        <v>39289</v>
      </c>
      <c>
        <v>33909</v>
      </c>
      <c t="s">
        <v>4243</v>
      </c>
      <c t="s">
        <v>48794</v>
      </c>
      <c t="s">
        <v>13005</v>
      </c>
      <c>
        <v>4217</v>
      </c>
      <c r="AI5386" t="s">
        <v>30783</v>
      </c>
      <c t="s">
        <v>45393</v>
      </c>
      <c t="s">
        <v>4401</v>
      </c>
      <c t="s">
        <v>20423</v>
      </c>
      <c r="AN5386" t="s">
        <v>50917</v>
      </c>
      <c t="s">
        <v>7055</v>
      </c>
      <c t="s">
        <v>49977</v>
      </c>
      <c t="s">
        <v>3093</v>
      </c>
      <c t="s">
        <v>11186</v>
      </c>
    </row>
    <row>
      <c t="s">
        <v>17594</v>
      </c>
      <c t="s">
        <v>13863</v>
      </c>
      <c t="s">
        <v>39110</v>
      </c>
      <c t="s">
        <v>32701</v>
      </c>
      <c t="s">
        <v>52559</v>
      </c>
      <c s="3">
        <v>12544</v>
      </c>
      <c s="3">
        <v>12544</v>
      </c>
      <c s="3">
        <v>6389</v>
      </c>
      <c>
        <v>0</v>
      </c>
      <c s="3">
        <v>0</v>
      </c>
      <c s="3">
        <v>341.37</v>
      </c>
      <c s="3">
        <v>12544</v>
      </c>
      <c r="O5387" s="1" t="str">
        <f ca="1">HYPERLINK("https://web.datatree.com/?/property?propertyId=34126526", "https://web.datatree.com/?/property?propertyId=34126526")</f>
        <v>https://web.datatree.com/?/property?propertyId=34126526</v>
      </c>
      <c r="Q5387" t="s">
        <v>316</v>
      </c>
      <c>
        <v>0.358</v>
      </c>
      <c t="s">
        <v>37489</v>
      </c>
      <c t="s">
        <v>57026</v>
      </c>
      <c t="s">
        <v>39982</v>
      </c>
      <c r="X5387" t="s">
        <v>42833</v>
      </c>
      <c t="s">
        <v>20650</v>
      </c>
      <c t="s">
        <v>65059</v>
      </c>
      <c t="s">
        <v>39289</v>
      </c>
      <c>
        <v>33905</v>
      </c>
      <c>
        <v>33905</v>
      </c>
      <c t="s">
        <v>48794</v>
      </c>
      <c t="s">
        <v>66139</v>
      </c>
      <c>
        <v>143</v>
      </c>
      <c r="AI5387" t="s">
        <v>55130</v>
      </c>
      <c t="s">
        <v>45393</v>
      </c>
      <c r="AL5387" t="s">
        <v>22231</v>
      </c>
      <c t="s">
        <v>26023</v>
      </c>
      <c t="s">
        <v>26016</v>
      </c>
      <c t="s">
        <v>8465</v>
      </c>
      <c t="s">
        <v>25140</v>
      </c>
      <c t="s">
        <v>3093</v>
      </c>
      <c t="s">
        <v>63578</v>
      </c>
    </row>
    <row>
      <c t="s">
        <v>17594</v>
      </c>
      <c t="s">
        <v>40629</v>
      </c>
      <c t="s">
        <v>58286</v>
      </c>
      <c t="s">
        <v>44628</v>
      </c>
      <c t="s">
        <v>35087</v>
      </c>
      <c s="3">
        <v>20002</v>
      </c>
      <c s="3">
        <v>20002</v>
      </c>
      <c s="3">
        <v>9570</v>
      </c>
      <c>
        <v>0</v>
      </c>
      <c s="3">
        <v>0</v>
      </c>
      <c s="3">
        <v>583.58</v>
      </c>
      <c s="3">
        <v>20002</v>
      </c>
      <c r="O5388" s="1" t="str">
        <f ca="1">HYPERLINK("https://web.datatree.com/?/property?propertyId=34127339", "https://web.datatree.com/?/property?propertyId=34127339")</f>
        <v>https://web.datatree.com/?/property?propertyId=34127339</v>
      </c>
      <c r="Q5388" t="s">
        <v>316</v>
      </c>
      <c>
        <v>0.23</v>
      </c>
      <c t="s">
        <v>54449</v>
      </c>
      <c t="s">
        <v>51848</v>
      </c>
      <c t="s">
        <v>50851</v>
      </c>
      <c r="X5388" t="s">
        <v>19138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32300</v>
      </c>
      <c>
        <v>6303</v>
      </c>
      <c r="AI5388" t="s">
        <v>26976</v>
      </c>
      <c t="s">
        <v>31192</v>
      </c>
      <c>
        <v>400</v>
      </c>
      <c t="s">
        <v>55393</v>
      </c>
      <c r="AN5388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17594</v>
      </c>
      <c t="s">
        <v>14495</v>
      </c>
      <c t="s">
        <v>57418</v>
      </c>
      <c t="s">
        <v>50762</v>
      </c>
      <c t="s">
        <v>33128</v>
      </c>
      <c s="3">
        <v>25672</v>
      </c>
      <c s="3">
        <v>25672</v>
      </c>
      <c s="3">
        <v>11550</v>
      </c>
      <c>
        <v>0</v>
      </c>
      <c s="3">
        <v>0</v>
      </c>
      <c s="3">
        <v>682.56</v>
      </c>
      <c s="3">
        <v>25672</v>
      </c>
      <c r="O5389" s="1" t="str">
        <f ca="1">HYPERLINK("https://web.datatree.com/?/property?propertyId=34127924", "https://web.datatree.com/?/property?propertyId=34127924")</f>
        <v>https://web.datatree.com/?/property?propertyId=34127924</v>
      </c>
      <c r="Q5389" t="s">
        <v>316</v>
      </c>
      <c>
        <v>0.287</v>
      </c>
      <c t="s">
        <v>22490</v>
      </c>
      <c t="s">
        <v>54672</v>
      </c>
      <c t="s">
        <v>26518</v>
      </c>
      <c r="X5389" t="s">
        <v>3337</v>
      </c>
      <c t="s">
        <v>61850</v>
      </c>
      <c t="s">
        <v>2517</v>
      </c>
      <c t="s">
        <v>39289</v>
      </c>
      <c>
        <v>33909</v>
      </c>
      <c t="s">
        <v>21032</v>
      </c>
      <c t="s">
        <v>48794</v>
      </c>
      <c t="s">
        <v>39833</v>
      </c>
      <c>
        <v>205</v>
      </c>
      <c r="AI5389" t="s">
        <v>51912</v>
      </c>
      <c t="s">
        <v>24900</v>
      </c>
      <c r="AL5389" t="s">
        <v>13397</v>
      </c>
      <c t="s">
        <v>13397</v>
      </c>
      <c t="s">
        <v>50917</v>
      </c>
      <c t="s">
        <v>5535</v>
      </c>
      <c t="s">
        <v>44573</v>
      </c>
      <c t="s">
        <v>3093</v>
      </c>
      <c t="s">
        <v>4667</v>
      </c>
    </row>
    <row>
      <c t="s">
        <v>17594</v>
      </c>
      <c t="s">
        <v>32318</v>
      </c>
      <c t="s">
        <v>26255</v>
      </c>
      <c t="s">
        <v>59186</v>
      </c>
      <c t="s">
        <v>1095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5390" s="1" t="str">
        <f ca="1">HYPERLINK("https://web.datatree.com/?/property?propertyId=34128089", "https://web.datatree.com/?/property?propertyId=34128089")</f>
        <v>https://web.datatree.com/?/property?propertyId=34128089</v>
      </c>
      <c r="Q5390" t="s">
        <v>316</v>
      </c>
      <c>
        <v>0.23</v>
      </c>
      <c t="s">
        <v>45031</v>
      </c>
      <c t="s">
        <v>38760</v>
      </c>
      <c t="s">
        <v>7973</v>
      </c>
      <c t="s">
        <v>44745</v>
      </c>
      <c t="s">
        <v>7973</v>
      </c>
      <c t="s">
        <v>40986</v>
      </c>
      <c t="s">
        <v>10653</v>
      </c>
      <c t="s">
        <v>2517</v>
      </c>
      <c t="s">
        <v>39289</v>
      </c>
      <c>
        <v>33909</v>
      </c>
      <c t="s">
        <v>59662</v>
      </c>
      <c t="s">
        <v>48794</v>
      </c>
      <c t="s">
        <v>24378</v>
      </c>
      <c>
        <v>22</v>
      </c>
      <c r="AI5390" t="s">
        <v>36585</v>
      </c>
      <c r="AL5390" t="s">
        <v>18164</v>
      </c>
      <c r="AN5390" t="s">
        <v>32840</v>
      </c>
      <c r="AR5390" t="s">
        <v>36836</v>
      </c>
    </row>
    <row>
      <c t="s">
        <v>17594</v>
      </c>
      <c t="s">
        <v>28286</v>
      </c>
      <c t="s">
        <v>36048</v>
      </c>
      <c t="s">
        <v>21532</v>
      </c>
      <c t="s">
        <v>36730</v>
      </c>
      <c s="3">
        <v>28574</v>
      </c>
      <c s="3">
        <v>28574</v>
      </c>
      <c s="3">
        <v>28574</v>
      </c>
      <c>
        <v>0</v>
      </c>
      <c s="3">
        <v>0</v>
      </c>
      <c s="3">
        <v>937.13</v>
      </c>
      <c s="3">
        <v>28574</v>
      </c>
      <c>
        <v>2021</v>
      </c>
      <c>
        <v>681.05</v>
      </c>
      <c s="1" t="str">
        <f ca="1">HYPERLINK("https://web.datatree.com/?/property?propertyId=34128227", "https://web.datatree.com/?/property?propertyId=34128227")</f>
        <v>https://web.datatree.com/?/property?propertyId=34128227</v>
      </c>
      <c r="Q5391" t="s">
        <v>316</v>
      </c>
      <c>
        <v>0.379</v>
      </c>
      <c t="s">
        <v>22490</v>
      </c>
      <c t="s">
        <v>10134</v>
      </c>
      <c t="s">
        <v>9665</v>
      </c>
      <c r="X5391" t="s">
        <v>54387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65822</v>
      </c>
      <c>
        <v>245</v>
      </c>
      <c r="AI5391" t="s">
        <v>66981</v>
      </c>
      <c t="s">
        <v>45393</v>
      </c>
      <c r="AL5391" t="s">
        <v>56617</v>
      </c>
      <c t="s">
        <v>56617</v>
      </c>
      <c t="s">
        <v>66651</v>
      </c>
      <c t="s">
        <v>36063</v>
      </c>
      <c t="s">
        <v>42082</v>
      </c>
      <c t="s">
        <v>3093</v>
      </c>
      <c t="s">
        <v>61583</v>
      </c>
    </row>
    <row>
      <c t="s">
        <v>17594</v>
      </c>
      <c t="s">
        <v>48379</v>
      </c>
      <c t="s">
        <v>60113</v>
      </c>
      <c t="s">
        <v>56098</v>
      </c>
      <c t="s">
        <v>28328</v>
      </c>
      <c s="3">
        <v>27581</v>
      </c>
      <c s="3">
        <v>27581</v>
      </c>
      <c s="3">
        <v>9599</v>
      </c>
      <c>
        <v>0</v>
      </c>
      <c s="3">
        <v>0</v>
      </c>
      <c s="3">
        <v>757.96</v>
      </c>
      <c s="3">
        <v>27581</v>
      </c>
      <c r="O5392" s="1" t="str">
        <f ca="1">HYPERLINK("https://web.datatree.com/?/property?propertyId=34128659", "https://web.datatree.com/?/property?propertyId=34128659")</f>
        <v>https://web.datatree.com/?/property?propertyId=34128659</v>
      </c>
      <c r="Q5392" t="s">
        <v>316</v>
      </c>
      <c>
        <v>0.39</v>
      </c>
      <c t="s">
        <v>6175</v>
      </c>
      <c t="s">
        <v>54943</v>
      </c>
      <c t="s">
        <v>39666</v>
      </c>
      <c r="X5392" t="s">
        <v>35027</v>
      </c>
      <c t="s">
        <v>53663</v>
      </c>
      <c t="s">
        <v>2517</v>
      </c>
      <c t="s">
        <v>39289</v>
      </c>
      <c>
        <v>33909</v>
      </c>
      <c t="s">
        <v>40302</v>
      </c>
      <c t="s">
        <v>48794</v>
      </c>
      <c t="s">
        <v>26603</v>
      </c>
      <c>
        <v>16239</v>
      </c>
      <c r="AI5392" t="s">
        <v>5229</v>
      </c>
      <c t="s">
        <v>24900</v>
      </c>
      <c r="AL5392" t="s">
        <v>1121</v>
      </c>
      <c r="AN5392" t="s">
        <v>39289</v>
      </c>
      <c t="s">
        <v>12937</v>
      </c>
      <c t="s">
        <v>35679</v>
      </c>
      <c t="s">
        <v>3093</v>
      </c>
      <c t="s">
        <v>8960</v>
      </c>
    </row>
    <row>
      <c t="s">
        <v>17594</v>
      </c>
      <c t="s">
        <v>50227</v>
      </c>
      <c t="s">
        <v>67018</v>
      </c>
      <c t="s">
        <v>43099</v>
      </c>
      <c t="s">
        <v>56726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5393" s="1" t="str">
        <f ca="1">HYPERLINK("https://web.datatree.com/?/property?propertyId=34129007", "https://web.datatree.com/?/property?propertyId=34129007")</f>
        <v>https://web.datatree.com/?/property?propertyId=34129007</v>
      </c>
      <c r="Q5393" t="s">
        <v>316</v>
      </c>
      <c>
        <v>0.241</v>
      </c>
      <c t="s">
        <v>6175</v>
      </c>
      <c r="U5393" t="s">
        <v>40308</v>
      </c>
      <c r="W5393" t="s">
        <v>22683</v>
      </c>
      <c t="s">
        <v>29863</v>
      </c>
      <c t="s">
        <v>23517</v>
      </c>
      <c t="s">
        <v>2517</v>
      </c>
      <c t="s">
        <v>39289</v>
      </c>
      <c>
        <v>33909</v>
      </c>
      <c t="s">
        <v>36331</v>
      </c>
      <c t="s">
        <v>48794</v>
      </c>
      <c t="s">
        <v>58251</v>
      </c>
      <c>
        <v>3325</v>
      </c>
      <c r="AI5393" t="s">
        <v>44874</v>
      </c>
      <c t="s">
        <v>31192</v>
      </c>
      <c r="AL5393" t="s">
        <v>62575</v>
      </c>
      <c t="s">
        <v>62575</v>
      </c>
      <c t="s">
        <v>9387</v>
      </c>
      <c t="s">
        <v>27014</v>
      </c>
      <c t="s">
        <v>4797</v>
      </c>
      <c t="s">
        <v>3093</v>
      </c>
      <c t="s">
        <v>53676</v>
      </c>
    </row>
    <row>
      <c t="s">
        <v>17594</v>
      </c>
      <c t="s">
        <v>51595</v>
      </c>
      <c t="s">
        <v>10802</v>
      </c>
      <c t="s">
        <v>44999</v>
      </c>
      <c t="s">
        <v>47743</v>
      </c>
      <c s="3">
        <v>109658</v>
      </c>
      <c s="3">
        <v>93500</v>
      </c>
      <c s="3">
        <v>109658</v>
      </c>
      <c>
        <v>0</v>
      </c>
      <c s="3">
        <v>0</v>
      </c>
      <c s="3">
        <v>1646.67</v>
      </c>
      <c s="3">
        <v>109658</v>
      </c>
      <c r="O5394" s="1" t="str">
        <f ca="1">HYPERLINK("https://web.datatree.com/?/property?propertyId=34129075", "https://web.datatree.com/?/property?propertyId=34129075")</f>
        <v>https://web.datatree.com/?/property?propertyId=34129075</v>
      </c>
      <c r="Q5394" t="s">
        <v>316</v>
      </c>
      <c>
        <v>0.095</v>
      </c>
      <c t="s">
        <v>26492</v>
      </c>
      <c t="s">
        <v>58276</v>
      </c>
      <c t="s">
        <v>17394</v>
      </c>
      <c t="s">
        <v>11923</v>
      </c>
      <c t="s">
        <v>17394</v>
      </c>
      <c t="s">
        <v>19009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15443</v>
      </c>
      <c>
        <v>67</v>
      </c>
      <c r="AI5394" t="s">
        <v>6732</v>
      </c>
      <c t="s">
        <v>55842</v>
      </c>
      <c r="AL5394" t="s">
        <v>13376</v>
      </c>
      <c t="s">
        <v>40227</v>
      </c>
      <c t="s">
        <v>5982</v>
      </c>
      <c t="s">
        <v>1712</v>
      </c>
      <c t="s">
        <v>46076</v>
      </c>
      <c t="s">
        <v>3093</v>
      </c>
      <c t="s">
        <v>56642</v>
      </c>
    </row>
    <row>
      <c t="s">
        <v>17594</v>
      </c>
      <c t="s">
        <v>60970</v>
      </c>
      <c t="s">
        <v>19714</v>
      </c>
      <c t="s">
        <v>35972</v>
      </c>
      <c t="s">
        <v>12005</v>
      </c>
      <c s="3">
        <v>17913</v>
      </c>
      <c s="3">
        <v>17913</v>
      </c>
      <c s="3">
        <v>7865</v>
      </c>
      <c>
        <v>0</v>
      </c>
      <c s="3">
        <v>0</v>
      </c>
      <c s="3">
        <v>492.2</v>
      </c>
      <c s="3">
        <v>17913</v>
      </c>
      <c r="O5395" s="1" t="str">
        <f ca="1">HYPERLINK("https://web.datatree.com/?/property?propertyId=34129786", "https://web.datatree.com/?/property?propertyId=34129786")</f>
        <v>https://web.datatree.com/?/property?propertyId=34129786</v>
      </c>
      <c r="Q5395" t="s">
        <v>316</v>
      </c>
      <c>
        <v>0.238</v>
      </c>
      <c t="s">
        <v>6175</v>
      </c>
      <c t="s">
        <v>22723</v>
      </c>
      <c t="s">
        <v>40005</v>
      </c>
      <c r="X5395" t="s">
        <v>36844</v>
      </c>
      <c t="s">
        <v>18679</v>
      </c>
      <c t="s">
        <v>2517</v>
      </c>
      <c t="s">
        <v>39289</v>
      </c>
      <c>
        <v>33909</v>
      </c>
      <c t="s">
        <v>16290</v>
      </c>
      <c t="s">
        <v>48794</v>
      </c>
      <c t="s">
        <v>13871</v>
      </c>
      <c>
        <v>944</v>
      </c>
      <c r="AI5395" t="s">
        <v>1720</v>
      </c>
      <c t="s">
        <v>63316</v>
      </c>
      <c r="AL5395" t="s">
        <v>59494</v>
      </c>
      <c r="AN5395" t="s">
        <v>65451</v>
      </c>
      <c t="s">
        <v>40755</v>
      </c>
      <c t="s">
        <v>4797</v>
      </c>
      <c t="s">
        <v>3093</v>
      </c>
      <c t="s">
        <v>25302</v>
      </c>
    </row>
    <row>
      <c t="s">
        <v>17594</v>
      </c>
      <c t="s">
        <v>1739</v>
      </c>
      <c t="s">
        <v>23851</v>
      </c>
      <c t="s">
        <v>64078</v>
      </c>
      <c t="s">
        <v>29325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>
        <v>2021</v>
      </c>
      <c>
        <v>568.2</v>
      </c>
      <c s="1" t="str">
        <f ca="1">HYPERLINK("https://web.datatree.com/?/property?propertyId=34129987", "https://web.datatree.com/?/property?propertyId=34129987")</f>
        <v>https://web.datatree.com/?/property?propertyId=34129987</v>
      </c>
      <c r="Q5396" t="s">
        <v>316</v>
      </c>
      <c>
        <v>0.23</v>
      </c>
      <c t="s">
        <v>22490</v>
      </c>
      <c t="s">
        <v>29047</v>
      </c>
      <c t="s">
        <v>8262</v>
      </c>
      <c t="s">
        <v>64071</v>
      </c>
      <c t="s">
        <v>30591</v>
      </c>
      <c t="s">
        <v>41123</v>
      </c>
      <c t="s">
        <v>25017</v>
      </c>
      <c t="s">
        <v>2517</v>
      </c>
      <c t="s">
        <v>39289</v>
      </c>
      <c>
        <v>33909</v>
      </c>
      <c t="s">
        <v>34289</v>
      </c>
      <c t="s">
        <v>48794</v>
      </c>
      <c t="s">
        <v>26619</v>
      </c>
      <c>
        <v>85</v>
      </c>
      <c r="AI5396" t="s">
        <v>22799</v>
      </c>
      <c r="AL5396" t="s">
        <v>56382</v>
      </c>
      <c t="s">
        <v>56382</v>
      </c>
      <c t="s">
        <v>64156</v>
      </c>
      <c>
        <v>83320</v>
      </c>
      <c r="AR5396" t="s">
        <v>8373</v>
      </c>
    </row>
    <row>
      <c t="s">
        <v>17594</v>
      </c>
      <c t="s">
        <v>44737</v>
      </c>
      <c t="s">
        <v>47125</v>
      </c>
      <c t="s">
        <v>39565</v>
      </c>
      <c t="s">
        <v>4000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5397" s="1" t="str">
        <f ca="1">HYPERLINK("https://web.datatree.com/?/property?propertyId=34130089", "https://web.datatree.com/?/property?propertyId=34130089")</f>
        <v>https://web.datatree.com/?/property?propertyId=34130089</v>
      </c>
      <c r="Q5397" t="s">
        <v>316</v>
      </c>
      <c>
        <v>0.244</v>
      </c>
      <c t="s">
        <v>6175</v>
      </c>
      <c t="s">
        <v>33269</v>
      </c>
      <c t="s">
        <v>14998</v>
      </c>
      <c t="s">
        <v>50865</v>
      </c>
      <c t="s">
        <v>14998</v>
      </c>
      <c t="s">
        <v>56663</v>
      </c>
      <c t="s">
        <v>18679</v>
      </c>
      <c t="s">
        <v>2517</v>
      </c>
      <c t="s">
        <v>39289</v>
      </c>
      <c>
        <v>33909</v>
      </c>
      <c t="s">
        <v>51106</v>
      </c>
      <c t="s">
        <v>48794</v>
      </c>
      <c t="s">
        <v>41766</v>
      </c>
      <c>
        <v>409</v>
      </c>
      <c r="AI5397" t="s">
        <v>7724</v>
      </c>
      <c t="s">
        <v>55842</v>
      </c>
      <c r="AL5397" t="s">
        <v>41872</v>
      </c>
      <c r="AN5397" t="s">
        <v>49572</v>
      </c>
      <c t="s">
        <v>32290</v>
      </c>
      <c t="s">
        <v>702</v>
      </c>
      <c t="s">
        <v>3093</v>
      </c>
      <c t="s">
        <v>4807</v>
      </c>
    </row>
    <row>
      <c t="s">
        <v>17594</v>
      </c>
      <c t="s">
        <v>20093</v>
      </c>
      <c t="s">
        <v>7261</v>
      </c>
      <c t="s">
        <v>66129</v>
      </c>
      <c t="s">
        <v>12345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398" s="1" t="str">
        <f ca="1">HYPERLINK("https://web.datatree.com/?/property?propertyId=34130488", "https://web.datatree.com/?/property?propertyId=34130488")</f>
        <v>https://web.datatree.com/?/property?propertyId=34130488</v>
      </c>
      <c r="Q5398" t="s">
        <v>316</v>
      </c>
      <c>
        <v>0.23</v>
      </c>
      <c t="s">
        <v>6175</v>
      </c>
      <c t="s">
        <v>30886</v>
      </c>
      <c t="s">
        <v>30184</v>
      </c>
      <c r="X5398" t="s">
        <v>66030</v>
      </c>
      <c t="s">
        <v>2626</v>
      </c>
      <c t="s">
        <v>2517</v>
      </c>
      <c t="s">
        <v>39289</v>
      </c>
      <c>
        <v>33909</v>
      </c>
      <c t="s">
        <v>60944</v>
      </c>
      <c t="s">
        <v>48794</v>
      </c>
      <c t="s">
        <v>4651</v>
      </c>
      <c>
        <v>3000</v>
      </c>
      <c r="AI5398" t="s">
        <v>23070</v>
      </c>
      <c t="s">
        <v>31192</v>
      </c>
      <c r="AL5398" t="s">
        <v>8443</v>
      </c>
      <c r="AN5398" t="s">
        <v>10804</v>
      </c>
      <c t="s">
        <v>32550</v>
      </c>
      <c t="s">
        <v>17380</v>
      </c>
      <c t="s">
        <v>3093</v>
      </c>
      <c t="s">
        <v>63640</v>
      </c>
    </row>
    <row>
      <c t="s">
        <v>17594</v>
      </c>
      <c t="s">
        <v>54804</v>
      </c>
      <c t="s">
        <v>45816</v>
      </c>
      <c t="s">
        <v>14030</v>
      </c>
      <c t="s">
        <v>906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399" s="1" t="str">
        <f ca="1">HYPERLINK("https://web.datatree.com/?/property?propertyId=34131528", "https://web.datatree.com/?/property?propertyId=34131528")</f>
        <v>https://web.datatree.com/?/property?propertyId=34131528</v>
      </c>
      <c r="Q5399" t="s">
        <v>316</v>
      </c>
      <c>
        <v>0.23</v>
      </c>
      <c t="s">
        <v>6175</v>
      </c>
      <c t="s">
        <v>60638</v>
      </c>
      <c t="s">
        <v>4106</v>
      </c>
      <c t="s">
        <v>44037</v>
      </c>
      <c t="s">
        <v>4106</v>
      </c>
      <c t="s">
        <v>67251</v>
      </c>
      <c t="s">
        <v>30928</v>
      </c>
      <c t="s">
        <v>2517</v>
      </c>
      <c t="s">
        <v>39289</v>
      </c>
      <c>
        <v>33909</v>
      </c>
      <c t="s">
        <v>53824</v>
      </c>
      <c t="s">
        <v>48794</v>
      </c>
      <c t="s">
        <v>55565</v>
      </c>
      <c>
        <v>17930</v>
      </c>
      <c r="AI5399" t="s">
        <v>36362</v>
      </c>
      <c t="s">
        <v>45393</v>
      </c>
      <c r="AL5399" t="s">
        <v>55393</v>
      </c>
      <c r="AN5399" t="s">
        <v>39289</v>
      </c>
      <c t="s">
        <v>32717</v>
      </c>
      <c t="s">
        <v>27410</v>
      </c>
      <c t="s">
        <v>3093</v>
      </c>
      <c t="s">
        <v>26184</v>
      </c>
    </row>
    <row>
      <c t="s">
        <v>17594</v>
      </c>
      <c t="s">
        <v>37002</v>
      </c>
      <c t="s">
        <v>15661</v>
      </c>
      <c t="s">
        <v>31239</v>
      </c>
      <c t="s">
        <v>25561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400" s="1" t="str">
        <f ca="1">HYPERLINK("https://web.datatree.com/?/property?propertyId=34131868", "https://web.datatree.com/?/property?propertyId=34131868")</f>
        <v>https://web.datatree.com/?/property?propertyId=34131868</v>
      </c>
      <c r="Q5400" t="s">
        <v>316</v>
      </c>
      <c>
        <v>0.23</v>
      </c>
      <c t="s">
        <v>22490</v>
      </c>
      <c t="s">
        <v>55058</v>
      </c>
      <c t="s">
        <v>61129</v>
      </c>
      <c r="X5400" t="s">
        <v>61309</v>
      </c>
      <c t="s">
        <v>5115</v>
      </c>
      <c t="s">
        <v>2517</v>
      </c>
      <c t="s">
        <v>39289</v>
      </c>
      <c>
        <v>33909</v>
      </c>
      <c t="s">
        <v>48283</v>
      </c>
      <c t="s">
        <v>48794</v>
      </c>
      <c t="s">
        <v>25756</v>
      </c>
      <c r="AI5400" t="s">
        <v>11873</v>
      </c>
      <c r="AL5400" t="s">
        <v>27623</v>
      </c>
      <c r="AN5400" t="s">
        <v>32840</v>
      </c>
      <c r="AR5400" t="s">
        <v>65100</v>
      </c>
    </row>
    <row>
      <c t="s">
        <v>17594</v>
      </c>
      <c t="s">
        <v>15839</v>
      </c>
      <c t="s">
        <v>57361</v>
      </c>
      <c t="s">
        <v>57956</v>
      </c>
      <c t="s">
        <v>63711</v>
      </c>
      <c s="3">
        <v>49440</v>
      </c>
      <c s="3">
        <v>49440</v>
      </c>
      <c s="3">
        <v>26400</v>
      </c>
      <c>
        <v>0</v>
      </c>
      <c s="3">
        <v>0</v>
      </c>
      <c s="3">
        <v>958.06</v>
      </c>
      <c s="3">
        <v>49440</v>
      </c>
      <c r="O5401" s="1" t="str">
        <f ca="1">HYPERLINK("https://web.datatree.com/?/property?propertyId=34132053", "https://web.datatree.com/?/property?propertyId=34132053")</f>
        <v>https://web.datatree.com/?/property?propertyId=34132053</v>
      </c>
      <c r="Q5401" t="s">
        <v>316</v>
      </c>
      <c>
        <v>0.23</v>
      </c>
      <c t="s">
        <v>6175</v>
      </c>
      <c t="s">
        <v>22430</v>
      </c>
      <c t="s">
        <v>13629</v>
      </c>
      <c r="X5401" t="s">
        <v>1166</v>
      </c>
      <c t="s">
        <v>33179</v>
      </c>
      <c t="s">
        <v>2517</v>
      </c>
      <c t="s">
        <v>39289</v>
      </c>
      <c>
        <v>33904</v>
      </c>
      <c t="s">
        <v>61258</v>
      </c>
      <c t="s">
        <v>48794</v>
      </c>
      <c t="s">
        <v>20362</v>
      </c>
      <c>
        <v>26</v>
      </c>
      <c r="AI5401" t="s">
        <v>6543</v>
      </c>
      <c r="AL5401" t="s">
        <v>14279</v>
      </c>
      <c r="AN5401" t="s">
        <v>63985</v>
      </c>
      <c>
        <v>50354</v>
      </c>
      <c r="AR5401" t="s">
        <v>31382</v>
      </c>
    </row>
    <row>
      <c t="s">
        <v>17594</v>
      </c>
      <c t="s">
        <v>42091</v>
      </c>
      <c t="s">
        <v>51879</v>
      </c>
      <c t="s">
        <v>31154</v>
      </c>
      <c t="s">
        <v>54497</v>
      </c>
      <c s="3">
        <v>17242</v>
      </c>
      <c s="3">
        <v>17242</v>
      </c>
      <c s="3">
        <v>8360</v>
      </c>
      <c>
        <v>0</v>
      </c>
      <c s="3">
        <v>0</v>
      </c>
      <c s="3">
        <v>556.09</v>
      </c>
      <c s="3">
        <v>17242</v>
      </c>
      <c r="O5402" s="1" t="str">
        <f ca="1">HYPERLINK("https://web.datatree.com/?/property?propertyId=34132846", "https://web.datatree.com/?/property?propertyId=34132846")</f>
        <v>https://web.datatree.com/?/property?propertyId=34132846</v>
      </c>
      <c r="Q5402" t="s">
        <v>316</v>
      </c>
      <c>
        <v>0.244</v>
      </c>
      <c t="s">
        <v>6175</v>
      </c>
      <c t="s">
        <v>2140</v>
      </c>
      <c t="s">
        <v>18314</v>
      </c>
      <c r="X5402" t="s">
        <v>59724</v>
      </c>
      <c t="s">
        <v>23517</v>
      </c>
      <c t="s">
        <v>2517</v>
      </c>
      <c t="s">
        <v>39289</v>
      </c>
      <c>
        <v>33909</v>
      </c>
      <c t="s">
        <v>3936</v>
      </c>
      <c t="s">
        <v>48794</v>
      </c>
      <c t="s">
        <v>52360</v>
      </c>
      <c>
        <v>18</v>
      </c>
      <c r="AI5402" t="s">
        <v>13754</v>
      </c>
      <c t="s">
        <v>31192</v>
      </c>
      <c r="AL5402" t="s">
        <v>19286</v>
      </c>
      <c r="AN5402" t="s">
        <v>39289</v>
      </c>
      <c t="s">
        <v>10499</v>
      </c>
      <c t="s">
        <v>61410</v>
      </c>
      <c t="s">
        <v>3093</v>
      </c>
      <c t="s">
        <v>12607</v>
      </c>
    </row>
    <row>
      <c t="s">
        <v>17594</v>
      </c>
      <c t="s">
        <v>41996</v>
      </c>
      <c t="s">
        <v>62105</v>
      </c>
      <c t="s">
        <v>51802</v>
      </c>
      <c t="s">
        <v>26845</v>
      </c>
      <c s="3">
        <v>4810</v>
      </c>
      <c s="3">
        <v>4810</v>
      </c>
      <c s="3">
        <v>4810</v>
      </c>
      <c>
        <v>0</v>
      </c>
      <c s="3">
        <v>0</v>
      </c>
      <c s="3">
        <v>74.89</v>
      </c>
      <c s="3">
        <v>4810</v>
      </c>
      <c r="O5403" s="1" t="str">
        <f ca="1">HYPERLINK("https://web.datatree.com/?/property?propertyId=34133422", "https://web.datatree.com/?/property?propertyId=34133422")</f>
        <v>https://web.datatree.com/?/property?propertyId=34133422</v>
      </c>
      <c r="Q5403" t="s">
        <v>316</v>
      </c>
      <c>
        <v>0.156</v>
      </c>
      <c t="s">
        <v>5471</v>
      </c>
      <c t="s">
        <v>65985</v>
      </c>
      <c t="s">
        <v>35883</v>
      </c>
      <c t="s">
        <v>66240</v>
      </c>
      <c t="s">
        <v>52464</v>
      </c>
      <c t="s">
        <v>36997</v>
      </c>
      <c t="s">
        <v>44237</v>
      </c>
      <c t="s">
        <v>65059</v>
      </c>
      <c t="s">
        <v>39289</v>
      </c>
      <c>
        <v>33905</v>
      </c>
      <c t="s">
        <v>14940</v>
      </c>
      <c t="s">
        <v>48794</v>
      </c>
      <c t="s">
        <v>22001</v>
      </c>
      <c>
        <v>3</v>
      </c>
      <c r="AI5403" t="s">
        <v>25263</v>
      </c>
      <c t="s">
        <v>40123</v>
      </c>
      <c r="AL5403" t="s">
        <v>51141</v>
      </c>
      <c r="AN5403" t="s">
        <v>19878</v>
      </c>
      <c t="s">
        <v>6607</v>
      </c>
      <c t="s">
        <v>53800</v>
      </c>
      <c t="s">
        <v>3093</v>
      </c>
      <c t="s">
        <v>9218</v>
      </c>
    </row>
    <row>
      <c t="s">
        <v>17594</v>
      </c>
      <c t="s">
        <v>31783</v>
      </c>
      <c t="s">
        <v>60666</v>
      </c>
      <c t="s">
        <v>18587</v>
      </c>
      <c t="s">
        <v>48431</v>
      </c>
      <c s="3">
        <v>20900</v>
      </c>
      <c s="3">
        <v>20900</v>
      </c>
      <c s="3">
        <v>10450</v>
      </c>
      <c>
        <v>0</v>
      </c>
      <c s="3">
        <v>0</v>
      </c>
      <c s="3">
        <v>597.57</v>
      </c>
      <c s="3">
        <v>20900</v>
      </c>
      <c r="O5404" s="1" t="str">
        <f ca="1">HYPERLINK("https://web.datatree.com/?/property?propertyId=34133571", "https://web.datatree.com/?/property?propertyId=34133571")</f>
        <v>https://web.datatree.com/?/property?propertyId=34133571</v>
      </c>
      <c r="Q5404" t="s">
        <v>316</v>
      </c>
      <c>
        <v>0.23</v>
      </c>
      <c t="s">
        <v>22490</v>
      </c>
      <c t="s">
        <v>27704</v>
      </c>
      <c t="s">
        <v>29272</v>
      </c>
      <c t="s">
        <v>33224</v>
      </c>
      <c t="s">
        <v>29272</v>
      </c>
      <c t="s">
        <v>66978</v>
      </c>
      <c t="s">
        <v>23050</v>
      </c>
      <c t="s">
        <v>2517</v>
      </c>
      <c t="s">
        <v>39289</v>
      </c>
      <c>
        <v>33909</v>
      </c>
      <c t="s">
        <v>41928</v>
      </c>
      <c t="s">
        <v>48794</v>
      </c>
      <c t="s">
        <v>49650</v>
      </c>
      <c>
        <v>410</v>
      </c>
      <c r="AI5404" t="s">
        <v>6661</v>
      </c>
      <c t="s">
        <v>24900</v>
      </c>
      <c r="AL5404" t="s">
        <v>18908</v>
      </c>
      <c r="AN5404" t="s">
        <v>58733</v>
      </c>
      <c t="s">
        <v>49529</v>
      </c>
      <c t="s">
        <v>5800</v>
      </c>
      <c t="s">
        <v>3093</v>
      </c>
      <c t="s">
        <v>33481</v>
      </c>
    </row>
    <row>
      <c t="s">
        <v>17594</v>
      </c>
      <c t="s">
        <v>26250</v>
      </c>
      <c t="s">
        <v>29514</v>
      </c>
      <c t="s">
        <v>48851</v>
      </c>
      <c t="s">
        <v>6261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405" s="1" t="str">
        <f ca="1">HYPERLINK("https://web.datatree.com/?/property?propertyId=34133887", "https://web.datatree.com/?/property?propertyId=34133887")</f>
        <v>https://web.datatree.com/?/property?propertyId=34133887</v>
      </c>
      <c r="Q5405" t="s">
        <v>316</v>
      </c>
      <c>
        <v>0.23</v>
      </c>
      <c t="s">
        <v>6175</v>
      </c>
      <c t="s">
        <v>24692</v>
      </c>
      <c t="s">
        <v>54034</v>
      </c>
      <c t="s">
        <v>56743</v>
      </c>
      <c t="s">
        <v>54034</v>
      </c>
      <c t="s">
        <v>39344</v>
      </c>
      <c t="s">
        <v>8669</v>
      </c>
      <c t="s">
        <v>2517</v>
      </c>
      <c t="s">
        <v>39289</v>
      </c>
      <c>
        <v>33909</v>
      </c>
      <c t="s">
        <v>24905</v>
      </c>
      <c t="s">
        <v>48794</v>
      </c>
      <c t="s">
        <v>44146</v>
      </c>
      <c>
        <v>924</v>
      </c>
      <c r="AI5405" t="s">
        <v>5105</v>
      </c>
      <c t="s">
        <v>45393</v>
      </c>
      <c r="AL5405" t="s">
        <v>43988</v>
      </c>
      <c r="AN5405" t="s">
        <v>50917</v>
      </c>
      <c t="s">
        <v>4434</v>
      </c>
      <c t="s">
        <v>44843</v>
      </c>
      <c t="s">
        <v>3093</v>
      </c>
      <c t="s">
        <v>47659</v>
      </c>
    </row>
    <row>
      <c t="s">
        <v>17594</v>
      </c>
      <c t="s">
        <v>3864</v>
      </c>
      <c t="s">
        <v>2711</v>
      </c>
      <c t="s">
        <v>63439</v>
      </c>
      <c t="s">
        <v>43794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406" s="1" t="str">
        <f ca="1">HYPERLINK("https://web.datatree.com/?/property?propertyId=34134285", "https://web.datatree.com/?/property?propertyId=34134285")</f>
        <v>https://web.datatree.com/?/property?propertyId=34134285</v>
      </c>
      <c r="Q5406" t="s">
        <v>316</v>
      </c>
      <c>
        <v>0.23</v>
      </c>
      <c t="s">
        <v>42044</v>
      </c>
      <c t="s">
        <v>21852</v>
      </c>
      <c t="s">
        <v>34159</v>
      </c>
      <c t="s">
        <v>50828</v>
      </c>
      <c t="s">
        <v>1824</v>
      </c>
      <c t="s">
        <v>57149</v>
      </c>
      <c t="s">
        <v>13478</v>
      </c>
      <c t="s">
        <v>2517</v>
      </c>
      <c t="s">
        <v>39289</v>
      </c>
      <c>
        <v>33909</v>
      </c>
      <c t="s">
        <v>62488</v>
      </c>
      <c t="s">
        <v>48794</v>
      </c>
      <c t="s">
        <v>49271</v>
      </c>
      <c>
        <v>140</v>
      </c>
      <c r="AI5406" t="s">
        <v>10859</v>
      </c>
      <c t="s">
        <v>45393</v>
      </c>
      <c r="AL5406" t="s">
        <v>46989</v>
      </c>
      <c t="s">
        <v>15417</v>
      </c>
      <c t="s">
        <v>39289</v>
      </c>
      <c t="s">
        <v>49979</v>
      </c>
      <c t="s">
        <v>22302</v>
      </c>
      <c t="s">
        <v>3093</v>
      </c>
      <c t="s">
        <v>21099</v>
      </c>
    </row>
    <row>
      <c t="s">
        <v>17594</v>
      </c>
      <c t="s">
        <v>49644</v>
      </c>
      <c t="s">
        <v>29600</v>
      </c>
      <c t="s">
        <v>44565</v>
      </c>
      <c t="s">
        <v>14825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>
        <v>2020</v>
      </c>
      <c>
        <v>1742.25</v>
      </c>
      <c s="1" t="str">
        <f ca="1">HYPERLINK("https://web.datatree.com/?/property?propertyId=34134402", "https://web.datatree.com/?/property?propertyId=34134402")</f>
        <v>https://web.datatree.com/?/property?propertyId=34134402</v>
      </c>
      <c r="Q5407" t="s">
        <v>316</v>
      </c>
      <c>
        <v>0.23</v>
      </c>
      <c t="s">
        <v>6175</v>
      </c>
      <c t="s">
        <v>11978</v>
      </c>
      <c t="s">
        <v>65410</v>
      </c>
      <c t="s">
        <v>5899</v>
      </c>
      <c t="s">
        <v>65410</v>
      </c>
      <c t="s">
        <v>14355</v>
      </c>
      <c t="s">
        <v>53663</v>
      </c>
      <c t="s">
        <v>2517</v>
      </c>
      <c t="s">
        <v>39289</v>
      </c>
      <c>
        <v>33909</v>
      </c>
      <c t="s">
        <v>31643</v>
      </c>
      <c t="s">
        <v>48794</v>
      </c>
      <c t="s">
        <v>50749</v>
      </c>
      <c>
        <v>35</v>
      </c>
      <c r="AI5407" t="s">
        <v>64118</v>
      </c>
      <c t="s">
        <v>45393</v>
      </c>
      <c r="AL5407" t="s">
        <v>9564</v>
      </c>
      <c r="AN5407" t="s">
        <v>27747</v>
      </c>
      <c t="s">
        <v>13797</v>
      </c>
      <c t="s">
        <v>43446</v>
      </c>
      <c t="s">
        <v>3093</v>
      </c>
      <c t="s">
        <v>5318</v>
      </c>
    </row>
    <row>
      <c t="s">
        <v>17594</v>
      </c>
      <c t="s">
        <v>27568</v>
      </c>
      <c t="s">
        <v>31648</v>
      </c>
      <c t="s">
        <v>39834</v>
      </c>
      <c t="s">
        <v>30992</v>
      </c>
      <c s="3">
        <v>93649</v>
      </c>
      <c s="3">
        <v>93649</v>
      </c>
      <c s="3">
        <v>93649</v>
      </c>
      <c>
        <v>0</v>
      </c>
      <c s="3">
        <v>0</v>
      </c>
      <c s="3">
        <v>2138.06</v>
      </c>
      <c s="3">
        <v>93649</v>
      </c>
      <c r="O5408" s="1" t="str">
        <f ca="1">HYPERLINK("https://web.datatree.com/?/property?propertyId=34135297", "https://web.datatree.com/?/property?propertyId=34135297")</f>
        <v>https://web.datatree.com/?/property?propertyId=34135297</v>
      </c>
      <c r="Q5408" t="s">
        <v>316</v>
      </c>
      <c>
        <v>0.301</v>
      </c>
      <c t="s">
        <v>22490</v>
      </c>
      <c r="U5408" t="s">
        <v>17010</v>
      </c>
      <c t="s">
        <v>35571</v>
      </c>
      <c t="s">
        <v>50216</v>
      </c>
      <c t="s">
        <v>6615</v>
      </c>
      <c t="s">
        <v>44129</v>
      </c>
      <c t="s">
        <v>2517</v>
      </c>
      <c t="s">
        <v>39289</v>
      </c>
      <c>
        <v>33904</v>
      </c>
      <c t="s">
        <v>60115</v>
      </c>
      <c t="s">
        <v>48794</v>
      </c>
      <c t="s">
        <v>50814</v>
      </c>
      <c>
        <v>3153</v>
      </c>
      <c r="AI5408" t="s">
        <v>40268</v>
      </c>
      <c t="s">
        <v>31192</v>
      </c>
      <c r="AL5408" t="s">
        <v>29732</v>
      </c>
      <c t="s">
        <v>29732</v>
      </c>
      <c t="s">
        <v>51087</v>
      </c>
      <c t="s">
        <v>23534</v>
      </c>
      <c t="s">
        <v>34033</v>
      </c>
      <c t="s">
        <v>3093</v>
      </c>
      <c t="s">
        <v>16563</v>
      </c>
    </row>
    <row>
      <c t="s">
        <v>17594</v>
      </c>
      <c t="s">
        <v>23830</v>
      </c>
      <c t="s">
        <v>16648</v>
      </c>
      <c t="s">
        <v>27379</v>
      </c>
      <c t="s">
        <v>5240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 r="O5409" s="1" t="str">
        <f ca="1">HYPERLINK("https://web.datatree.com/?/property?propertyId=34135552", "https://web.datatree.com/?/property?propertyId=34135552")</f>
        <v>https://web.datatree.com/?/property?propertyId=34135552</v>
      </c>
      <c r="Q5409" t="s">
        <v>316</v>
      </c>
      <c>
        <v>0.299</v>
      </c>
      <c t="s">
        <v>5471</v>
      </c>
      <c t="s">
        <v>50865</v>
      </c>
      <c t="s">
        <v>22419</v>
      </c>
      <c r="X5409" t="s">
        <v>51871</v>
      </c>
      <c t="s">
        <v>20199</v>
      </c>
      <c t="s">
        <v>65059</v>
      </c>
      <c t="s">
        <v>39289</v>
      </c>
      <c>
        <v>33905</v>
      </c>
      <c t="s">
        <v>37524</v>
      </c>
      <c t="s">
        <v>48794</v>
      </c>
      <c t="s">
        <v>25709</v>
      </c>
      <c>
        <v>7171</v>
      </c>
      <c r="AI5409" t="s">
        <v>25654</v>
      </c>
      <c t="s">
        <v>10579</v>
      </c>
      <c>
        <v>208</v>
      </c>
      <c t="s">
        <v>49249</v>
      </c>
      <c r="AN5409" t="s">
        <v>58811</v>
      </c>
      <c t="s">
        <v>41516</v>
      </c>
      <c r="AQ5409" t="s">
        <v>27814</v>
      </c>
      <c t="s">
        <v>52209</v>
      </c>
    </row>
    <row>
      <c t="s">
        <v>17594</v>
      </c>
      <c t="s">
        <v>40903</v>
      </c>
      <c t="s">
        <v>24071</v>
      </c>
      <c t="s">
        <v>49759</v>
      </c>
      <c t="s">
        <v>30103</v>
      </c>
      <c s="3">
        <v>8400</v>
      </c>
      <c s="3">
        <v>8400</v>
      </c>
      <c s="3">
        <v>8400</v>
      </c>
      <c>
        <v>0</v>
      </c>
      <c s="3">
        <v>0</v>
      </c>
      <c s="3">
        <v>561.98</v>
      </c>
      <c s="3">
        <v>8400</v>
      </c>
      <c r="O5410" s="1" t="str">
        <f ca="1">HYPERLINK("https://web.datatree.com/?/property?propertyId=34135603", "https://web.datatree.com/?/property?propertyId=34135603")</f>
        <v>https://web.datatree.com/?/property?propertyId=34135603</v>
      </c>
      <c r="Q5410" t="s">
        <v>316</v>
      </c>
      <c>
        <v>0.247</v>
      </c>
      <c t="s">
        <v>6175</v>
      </c>
      <c t="s">
        <v>42212</v>
      </c>
      <c t="s">
        <v>26175</v>
      </c>
      <c t="s">
        <v>2266</v>
      </c>
      <c t="s">
        <v>26175</v>
      </c>
      <c t="s">
        <v>32345</v>
      </c>
      <c t="s">
        <v>34731</v>
      </c>
      <c t="s">
        <v>2517</v>
      </c>
      <c t="s">
        <v>39289</v>
      </c>
      <c>
        <v>33909</v>
      </c>
      <c t="s">
        <v>18246</v>
      </c>
      <c t="s">
        <v>48794</v>
      </c>
      <c t="s">
        <v>52087</v>
      </c>
      <c>
        <v>239</v>
      </c>
      <c r="AI5410" t="s">
        <v>20809</v>
      </c>
      <c t="s">
        <v>55842</v>
      </c>
      <c r="AL5410" t="s">
        <v>53465</v>
      </c>
      <c r="AN5410" t="s">
        <v>32576</v>
      </c>
      <c t="s">
        <v>1092</v>
      </c>
      <c t="s">
        <v>52247</v>
      </c>
      <c t="s">
        <v>3093</v>
      </c>
      <c t="s">
        <v>14813</v>
      </c>
    </row>
    <row>
      <c t="s">
        <v>17594</v>
      </c>
      <c t="s">
        <v>58171</v>
      </c>
      <c t="s">
        <v>49882</v>
      </c>
      <c t="s">
        <v>37355</v>
      </c>
      <c t="s">
        <v>57837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5411" s="1" t="str">
        <f ca="1">HYPERLINK("https://web.datatree.com/?/property?propertyId=34136104", "https://web.datatree.com/?/property?propertyId=34136104")</f>
        <v>https://web.datatree.com/?/property?propertyId=34136104</v>
      </c>
      <c r="Q5411" t="s">
        <v>316</v>
      </c>
      <c>
        <v>0.244</v>
      </c>
      <c t="s">
        <v>6175</v>
      </c>
      <c t="s">
        <v>29297</v>
      </c>
      <c t="s">
        <v>42278</v>
      </c>
      <c t="s">
        <v>47922</v>
      </c>
      <c t="s">
        <v>37460</v>
      </c>
      <c t="s">
        <v>19123</v>
      </c>
      <c t="s">
        <v>25017</v>
      </c>
      <c t="s">
        <v>2517</v>
      </c>
      <c t="s">
        <v>39289</v>
      </c>
      <c>
        <v>33909</v>
      </c>
      <c t="s">
        <v>33598</v>
      </c>
      <c t="s">
        <v>48794</v>
      </c>
      <c t="s">
        <v>43829</v>
      </c>
      <c>
        <v>6322</v>
      </c>
      <c r="AI5411" t="s">
        <v>23114</v>
      </c>
      <c t="s">
        <v>24900</v>
      </c>
      <c r="AL5411" t="s">
        <v>22820</v>
      </c>
      <c r="AN5411" t="s">
        <v>39289</v>
      </c>
      <c t="s">
        <v>43152</v>
      </c>
      <c t="s">
        <v>27410</v>
      </c>
      <c t="s">
        <v>3093</v>
      </c>
      <c t="s">
        <v>39940</v>
      </c>
    </row>
    <row>
      <c t="s">
        <v>17594</v>
      </c>
      <c t="s">
        <v>24750</v>
      </c>
      <c t="s">
        <v>50547</v>
      </c>
      <c t="s">
        <v>22480</v>
      </c>
      <c t="s">
        <v>21448</v>
      </c>
      <c s="3">
        <v>51624</v>
      </c>
      <c s="3">
        <v>51624</v>
      </c>
      <c s="3">
        <v>51624</v>
      </c>
      <c>
        <v>0</v>
      </c>
      <c s="3">
        <v>0</v>
      </c>
      <c s="3">
        <v>3454.25</v>
      </c>
      <c s="3">
        <v>51624</v>
      </c>
      <c r="O5412" s="1" t="str">
        <f ca="1">HYPERLINK("https://web.datatree.com/?/property?propertyId=34136197", "https://web.datatree.com/?/property?propertyId=34136197")</f>
        <v>https://web.datatree.com/?/property?propertyId=34136197</v>
      </c>
      <c r="Q5412" t="s">
        <v>316</v>
      </c>
      <c>
        <v>0.23</v>
      </c>
      <c t="s">
        <v>45031</v>
      </c>
      <c t="s">
        <v>1859</v>
      </c>
      <c t="s">
        <v>18046</v>
      </c>
      <c t="s">
        <v>4353</v>
      </c>
      <c t="s">
        <v>42014</v>
      </c>
      <c t="s">
        <v>8958</v>
      </c>
      <c t="s">
        <v>55273</v>
      </c>
      <c t="s">
        <v>2517</v>
      </c>
      <c t="s">
        <v>39289</v>
      </c>
      <c>
        <v>33909</v>
      </c>
      <c t="s">
        <v>26515</v>
      </c>
      <c t="s">
        <v>48794</v>
      </c>
      <c t="s">
        <v>25817</v>
      </c>
      <c>
        <v>2340</v>
      </c>
      <c r="AI5412" t="s">
        <v>52385</v>
      </c>
      <c t="s">
        <v>835</v>
      </c>
      <c>
        <v>1053</v>
      </c>
      <c t="s">
        <v>37066</v>
      </c>
      <c t="s">
        <v>65666</v>
      </c>
      <c t="s">
        <v>51087</v>
      </c>
      <c t="s">
        <v>28388</v>
      </c>
      <c t="s">
        <v>44275</v>
      </c>
      <c t="s">
        <v>3093</v>
      </c>
      <c t="s">
        <v>62051</v>
      </c>
    </row>
    <row>
      <c t="s">
        <v>17594</v>
      </c>
      <c t="s">
        <v>58712</v>
      </c>
      <c t="s">
        <v>64076</v>
      </c>
      <c t="s">
        <v>51408</v>
      </c>
      <c t="s">
        <v>2934</v>
      </c>
      <c s="3">
        <v>12544</v>
      </c>
      <c s="3">
        <v>12544</v>
      </c>
      <c s="3">
        <v>4972</v>
      </c>
      <c>
        <v>0</v>
      </c>
      <c s="3">
        <v>0</v>
      </c>
      <c s="3">
        <v>325.77</v>
      </c>
      <c s="3">
        <v>12544</v>
      </c>
      <c r="O5413" s="1" t="str">
        <f ca="1">HYPERLINK("https://web.datatree.com/?/property?propertyId=34136799", "https://web.datatree.com/?/property?propertyId=34136799")</f>
        <v>https://web.datatree.com/?/property?propertyId=34136799</v>
      </c>
      <c r="Q5413" t="s">
        <v>316</v>
      </c>
      <c>
        <v>0.311</v>
      </c>
      <c t="s">
        <v>37489</v>
      </c>
      <c t="s">
        <v>50795</v>
      </c>
      <c t="s">
        <v>19221</v>
      </c>
      <c t="s">
        <v>23812</v>
      </c>
      <c t="s">
        <v>39909</v>
      </c>
      <c t="s">
        <v>23291</v>
      </c>
      <c t="s">
        <v>51938</v>
      </c>
      <c t="s">
        <v>65059</v>
      </c>
      <c t="s">
        <v>39289</v>
      </c>
      <c>
        <v>33905</v>
      </c>
      <c t="s">
        <v>14530</v>
      </c>
      <c t="s">
        <v>48794</v>
      </c>
      <c t="s">
        <v>32156</v>
      </c>
      <c>
        <v>5881</v>
      </c>
      <c r="AI5413" t="s">
        <v>33650</v>
      </c>
      <c t="s">
        <v>20615</v>
      </c>
      <c r="AL5413" t="s">
        <v>62149</v>
      </c>
      <c r="AN5413" t="s">
        <v>39289</v>
      </c>
      <c t="s">
        <v>59073</v>
      </c>
      <c t="s">
        <v>39566</v>
      </c>
      <c t="s">
        <v>3093</v>
      </c>
      <c t="s">
        <v>24488</v>
      </c>
    </row>
    <row>
      <c t="s">
        <v>17594</v>
      </c>
      <c t="s">
        <v>24203</v>
      </c>
      <c t="s">
        <v>4998</v>
      </c>
      <c t="s">
        <v>60696</v>
      </c>
      <c t="s">
        <v>26524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414" s="1" t="str">
        <f ca="1">HYPERLINK("https://web.datatree.com/?/property?propertyId=34137030", "https://web.datatree.com/?/property?propertyId=34137030")</f>
        <v>https://web.datatree.com/?/property?propertyId=34137030</v>
      </c>
      <c r="Q5414" t="s">
        <v>316</v>
      </c>
      <c>
        <v>0.23</v>
      </c>
      <c t="s">
        <v>6175</v>
      </c>
      <c r="U5414" t="s">
        <v>65831</v>
      </c>
      <c r="W5414" t="s">
        <v>43385</v>
      </c>
      <c t="s">
        <v>40931</v>
      </c>
      <c t="s">
        <v>33179</v>
      </c>
      <c t="s">
        <v>2517</v>
      </c>
      <c t="s">
        <v>39289</v>
      </c>
      <c>
        <v>33909</v>
      </c>
      <c t="s">
        <v>40140</v>
      </c>
      <c t="s">
        <v>48794</v>
      </c>
      <c t="s">
        <v>42878</v>
      </c>
      <c>
        <v>793</v>
      </c>
      <c r="AI5414" t="s">
        <v>16722</v>
      </c>
      <c t="s">
        <v>45393</v>
      </c>
      <c r="AL5414" t="s">
        <v>47281</v>
      </c>
      <c t="s">
        <v>51651</v>
      </c>
      <c t="s">
        <v>27747</v>
      </c>
      <c t="s">
        <v>55121</v>
      </c>
      <c t="s">
        <v>5652</v>
      </c>
      <c t="s">
        <v>3093</v>
      </c>
      <c t="s">
        <v>47884</v>
      </c>
    </row>
    <row>
      <c t="s">
        <v>17594</v>
      </c>
      <c t="s">
        <v>42687</v>
      </c>
      <c t="s">
        <v>52313</v>
      </c>
      <c t="s">
        <v>29006</v>
      </c>
      <c t="s">
        <v>20179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5415" s="1" t="str">
        <f ca="1">HYPERLINK("https://web.datatree.com/?/property?propertyId=34137788", "https://web.datatree.com/?/property?propertyId=34137788")</f>
        <v>https://web.datatree.com/?/property?propertyId=34137788</v>
      </c>
      <c r="Q5415" t="s">
        <v>316</v>
      </c>
      <c>
        <v>0.23</v>
      </c>
      <c t="s">
        <v>22490</v>
      </c>
      <c t="s">
        <v>3797</v>
      </c>
      <c t="s">
        <v>12793</v>
      </c>
      <c t="s">
        <v>66538</v>
      </c>
      <c t="s">
        <v>12793</v>
      </c>
      <c t="s">
        <v>19609</v>
      </c>
      <c t="s">
        <v>53663</v>
      </c>
      <c t="s">
        <v>2517</v>
      </c>
      <c t="s">
        <v>39289</v>
      </c>
      <c>
        <v>33909</v>
      </c>
      <c t="s">
        <v>4239</v>
      </c>
      <c t="s">
        <v>48794</v>
      </c>
      <c t="s">
        <v>58447</v>
      </c>
      <c>
        <v>8961</v>
      </c>
      <c r="AI5415" t="s">
        <v>19732</v>
      </c>
      <c t="s">
        <v>39321</v>
      </c>
      <c r="AL5415" t="s">
        <v>55393</v>
      </c>
      <c r="AN5415" t="s">
        <v>39289</v>
      </c>
      <c t="s">
        <v>54694</v>
      </c>
      <c t="s">
        <v>6081</v>
      </c>
      <c t="s">
        <v>3093</v>
      </c>
      <c t="s">
        <v>1895</v>
      </c>
    </row>
    <row>
      <c t="s">
        <v>17594</v>
      </c>
      <c t="s">
        <v>59475</v>
      </c>
      <c t="s">
        <v>29761</v>
      </c>
      <c t="s">
        <v>2316</v>
      </c>
      <c t="s">
        <v>47190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416" s="1" t="str">
        <f ca="1">HYPERLINK("https://web.datatree.com/?/property?propertyId=34137847", "https://web.datatree.com/?/property?propertyId=34137847")</f>
        <v>https://web.datatree.com/?/property?propertyId=34137847</v>
      </c>
      <c r="Q5416" t="s">
        <v>316</v>
      </c>
      <c>
        <v>0.23</v>
      </c>
      <c t="s">
        <v>6175</v>
      </c>
      <c t="s">
        <v>16893</v>
      </c>
      <c t="s">
        <v>61789</v>
      </c>
      <c t="s">
        <v>56376</v>
      </c>
      <c t="s">
        <v>50204</v>
      </c>
      <c t="s">
        <v>48629</v>
      </c>
      <c t="s">
        <v>13829</v>
      </c>
      <c t="s">
        <v>2517</v>
      </c>
      <c t="s">
        <v>39289</v>
      </c>
      <c>
        <v>33909</v>
      </c>
      <c t="s">
        <v>61859</v>
      </c>
      <c t="s">
        <v>48794</v>
      </c>
      <c t="s">
        <v>31116</v>
      </c>
      <c>
        <v>4551</v>
      </c>
      <c r="AH5416" t="s">
        <v>52165</v>
      </c>
      <c t="s">
        <v>23937</v>
      </c>
      <c t="s">
        <v>45393</v>
      </c>
      <c r="AL5416" t="s">
        <v>63069</v>
      </c>
      <c r="AN5416" t="s">
        <v>18594</v>
      </c>
      <c t="s">
        <v>27307</v>
      </c>
      <c t="s">
        <v>52247</v>
      </c>
      <c t="s">
        <v>3093</v>
      </c>
      <c t="s">
        <v>51309</v>
      </c>
    </row>
    <row>
      <c t="s">
        <v>17594</v>
      </c>
      <c t="s">
        <v>54568</v>
      </c>
      <c t="s">
        <v>502</v>
      </c>
      <c t="s">
        <v>57091</v>
      </c>
      <c t="s">
        <v>30980</v>
      </c>
      <c s="3">
        <v>8400</v>
      </c>
      <c s="3">
        <v>8400</v>
      </c>
      <c s="3">
        <v>8400</v>
      </c>
      <c>
        <v>0</v>
      </c>
      <c s="3">
        <v>0</v>
      </c>
      <c s="3">
        <v>700.11</v>
      </c>
      <c s="3">
        <v>8400</v>
      </c>
      <c r="O5417" s="1" t="str">
        <f ca="1">HYPERLINK("https://web.datatree.com/?/property?propertyId=34138683", "https://web.datatree.com/?/property?propertyId=34138683")</f>
        <v>https://web.datatree.com/?/property?propertyId=34138683</v>
      </c>
      <c r="Q5417" t="s">
        <v>316</v>
      </c>
      <c>
        <v>0.244</v>
      </c>
      <c t="s">
        <v>6175</v>
      </c>
      <c t="s">
        <v>47441</v>
      </c>
      <c t="s">
        <v>39388</v>
      </c>
      <c t="s">
        <v>23811</v>
      </c>
      <c t="s">
        <v>35400</v>
      </c>
      <c t="s">
        <v>14306</v>
      </c>
      <c t="s">
        <v>61865</v>
      </c>
      <c t="s">
        <v>2517</v>
      </c>
      <c t="s">
        <v>39289</v>
      </c>
      <c>
        <v>33909</v>
      </c>
      <c t="s">
        <v>43059</v>
      </c>
      <c t="s">
        <v>48794</v>
      </c>
      <c t="s">
        <v>36578</v>
      </c>
      <c r="AI5417" t="s">
        <v>3151</v>
      </c>
      <c r="AK5417">
        <v>4</v>
      </c>
      <c t="s">
        <v>56412</v>
      </c>
      <c r="AN5417" t="s">
        <v>19878</v>
      </c>
      <c>
        <v>58444</v>
      </c>
      <c r="AR5417" t="s">
        <v>27465</v>
      </c>
    </row>
    <row>
      <c t="s">
        <v>17594</v>
      </c>
      <c t="s">
        <v>44244</v>
      </c>
      <c t="s">
        <v>22382</v>
      </c>
      <c t="s">
        <v>37578</v>
      </c>
      <c t="s">
        <v>1000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418" s="1" t="str">
        <f ca="1">HYPERLINK("https://web.datatree.com/?/property?propertyId=34138799", "https://web.datatree.com/?/property?propertyId=34138799")</f>
        <v>https://web.datatree.com/?/property?propertyId=34138799</v>
      </c>
      <c r="Q5418" t="s">
        <v>316</v>
      </c>
      <c>
        <v>0.23</v>
      </c>
      <c t="s">
        <v>6175</v>
      </c>
      <c t="s">
        <v>35571</v>
      </c>
      <c t="s">
        <v>61398</v>
      </c>
      <c r="X5418" t="s">
        <v>54441</v>
      </c>
      <c t="s">
        <v>47150</v>
      </c>
      <c t="s">
        <v>2517</v>
      </c>
      <c t="s">
        <v>39289</v>
      </c>
      <c>
        <v>33909</v>
      </c>
      <c t="s">
        <v>45907</v>
      </c>
      <c t="s">
        <v>48794</v>
      </c>
      <c t="s">
        <v>1208</v>
      </c>
      <c>
        <v>1311</v>
      </c>
      <c r="AH5418" t="s">
        <v>60953</v>
      </c>
      <c t="s">
        <v>60363</v>
      </c>
      <c t="s">
        <v>45393</v>
      </c>
      <c r="AL5418" t="s">
        <v>12829</v>
      </c>
      <c r="AN5418" t="s">
        <v>50829</v>
      </c>
      <c t="s">
        <v>13155</v>
      </c>
      <c t="s">
        <v>40645</v>
      </c>
      <c t="s">
        <v>3093</v>
      </c>
      <c t="s">
        <v>47451</v>
      </c>
    </row>
    <row>
      <c t="s">
        <v>17594</v>
      </c>
      <c t="s">
        <v>40944</v>
      </c>
      <c t="s">
        <v>13667</v>
      </c>
      <c t="s">
        <v>60890</v>
      </c>
      <c t="s">
        <v>62428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419" s="1" t="str">
        <f ca="1">HYPERLINK("https://web.datatree.com/?/property?propertyId=34139769", "https://web.datatree.com/?/property?propertyId=34139769")</f>
        <v>https://web.datatree.com/?/property?propertyId=34139769</v>
      </c>
      <c r="Q5419" t="s">
        <v>316</v>
      </c>
      <c>
        <v>0.23</v>
      </c>
      <c t="s">
        <v>6175</v>
      </c>
      <c t="s">
        <v>33720</v>
      </c>
      <c t="s">
        <v>52907</v>
      </c>
      <c r="X5419" t="s">
        <v>16710</v>
      </c>
      <c t="s">
        <v>49122</v>
      </c>
      <c t="s">
        <v>2517</v>
      </c>
      <c t="s">
        <v>39289</v>
      </c>
      <c>
        <v>33909</v>
      </c>
      <c t="s">
        <v>26181</v>
      </c>
      <c t="s">
        <v>48794</v>
      </c>
      <c t="s">
        <v>64209</v>
      </c>
      <c>
        <v>8427</v>
      </c>
      <c r="AI5419" t="s">
        <v>66335</v>
      </c>
      <c t="s">
        <v>45393</v>
      </c>
      <c r="AL5419" t="s">
        <v>4554</v>
      </c>
      <c r="AN5419" t="s">
        <v>50917</v>
      </c>
      <c t="s">
        <v>22618</v>
      </c>
      <c t="s">
        <v>49977</v>
      </c>
      <c t="s">
        <v>3093</v>
      </c>
      <c t="s">
        <v>41634</v>
      </c>
    </row>
    <row>
      <c t="s">
        <v>17594</v>
      </c>
      <c t="s">
        <v>24396</v>
      </c>
      <c t="s">
        <v>16253</v>
      </c>
      <c t="s">
        <v>28161</v>
      </c>
      <c t="s">
        <v>41302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5420" s="1" t="str">
        <f ca="1">HYPERLINK("https://web.datatree.com/?/property?propertyId=34140235", "https://web.datatree.com/?/property?propertyId=34140235")</f>
        <v>https://web.datatree.com/?/property?propertyId=34140235</v>
      </c>
      <c r="Q5420" t="s">
        <v>316</v>
      </c>
      <c>
        <v>0.244</v>
      </c>
      <c t="s">
        <v>6175</v>
      </c>
      <c t="s">
        <v>56333</v>
      </c>
      <c t="s">
        <v>20510</v>
      </c>
      <c t="s">
        <v>49559</v>
      </c>
      <c t="s">
        <v>20510</v>
      </c>
      <c t="s">
        <v>9921</v>
      </c>
      <c t="s">
        <v>47150</v>
      </c>
      <c t="s">
        <v>2517</v>
      </c>
      <c t="s">
        <v>39289</v>
      </c>
      <c>
        <v>33909</v>
      </c>
      <c t="s">
        <v>62459</v>
      </c>
      <c t="s">
        <v>48794</v>
      </c>
      <c t="s">
        <v>31739</v>
      </c>
      <c>
        <v>1823</v>
      </c>
      <c r="AI5420" t="s">
        <v>9447</v>
      </c>
      <c t="s">
        <v>20615</v>
      </c>
      <c r="AL5420" t="s">
        <v>61074</v>
      </c>
      <c r="AN5420" t="s">
        <v>19878</v>
      </c>
      <c t="s">
        <v>51925</v>
      </c>
      <c t="s">
        <v>14845</v>
      </c>
      <c t="s">
        <v>3093</v>
      </c>
      <c t="s">
        <v>26378</v>
      </c>
    </row>
    <row>
      <c t="s">
        <v>17594</v>
      </c>
      <c t="s">
        <v>47069</v>
      </c>
      <c t="s">
        <v>51040</v>
      </c>
      <c t="s">
        <v>23276</v>
      </c>
      <c t="s">
        <v>36758</v>
      </c>
      <c s="3">
        <v>7700</v>
      </c>
      <c s="3">
        <v>7700</v>
      </c>
      <c s="3">
        <v>7700</v>
      </c>
      <c>
        <v>0</v>
      </c>
      <c s="3">
        <v>0</v>
      </c>
      <c s="3">
        <v>574.97</v>
      </c>
      <c s="3">
        <v>7700</v>
      </c>
      <c r="O5421" s="1" t="str">
        <f ca="1">HYPERLINK("https://web.datatree.com/?/property?propertyId=34140318", "https://web.datatree.com/?/property?propertyId=34140318")</f>
        <v>https://web.datatree.com/?/property?propertyId=34140318</v>
      </c>
      <c r="Q5421" t="s">
        <v>316</v>
      </c>
      <c>
        <v>0.257</v>
      </c>
      <c t="s">
        <v>6175</v>
      </c>
      <c t="s">
        <v>11223</v>
      </c>
      <c t="s">
        <v>24467</v>
      </c>
      <c r="X5421" t="s">
        <v>12479</v>
      </c>
      <c t="s">
        <v>61850</v>
      </c>
      <c t="s">
        <v>2517</v>
      </c>
      <c t="s">
        <v>39289</v>
      </c>
      <c>
        <v>33909</v>
      </c>
      <c t="s">
        <v>35608</v>
      </c>
      <c t="s">
        <v>48794</v>
      </c>
      <c t="s">
        <v>39397</v>
      </c>
      <c>
        <v>8</v>
      </c>
      <c r="AI5421" t="s">
        <v>59032</v>
      </c>
      <c t="s">
        <v>32190</v>
      </c>
      <c r="AL5421" t="s">
        <v>2602</v>
      </c>
      <c r="AN5421" t="s">
        <v>10909</v>
      </c>
      <c t="s">
        <v>11116</v>
      </c>
      <c r="AQ5421" t="s">
        <v>27814</v>
      </c>
      <c t="s">
        <v>58788</v>
      </c>
    </row>
    <row>
      <c t="s">
        <v>42103</v>
      </c>
      <c t="s">
        <v>44182</v>
      </c>
      <c t="s">
        <v>63418</v>
      </c>
      <c t="s">
        <v>21301</v>
      </c>
      <c t="s">
        <v>38540</v>
      </c>
      <c s="3">
        <v>95396</v>
      </c>
      <c s="3">
        <v>94464</v>
      </c>
      <c s="3">
        <v>95396</v>
      </c>
      <c>
        <v>0</v>
      </c>
      <c s="3">
        <v>0</v>
      </c>
      <c s="3">
        <v>1302.33</v>
      </c>
      <c s="3">
        <v>95396</v>
      </c>
      <c r="O5422" s="1" t="str">
        <f ca="1">HYPERLINK("https://web.datatree.com/?/property?propertyId=34140429", "https://web.datatree.com/?/property?propertyId=34140429")</f>
        <v>https://web.datatree.com/?/property?propertyId=34140429</v>
      </c>
      <c r="Q5422" t="s">
        <v>316</v>
      </c>
      <c>
        <v>0.246</v>
      </c>
      <c t="s">
        <v>5471</v>
      </c>
      <c t="s">
        <v>2140</v>
      </c>
      <c t="s">
        <v>55068</v>
      </c>
      <c t="s">
        <v>59194</v>
      </c>
      <c t="s">
        <v>55068</v>
      </c>
      <c t="s">
        <v>27764</v>
      </c>
      <c t="s">
        <v>48352</v>
      </c>
      <c t="s">
        <v>65059</v>
      </c>
      <c t="s">
        <v>39289</v>
      </c>
      <c>
        <v>33905</v>
      </c>
      <c>
        <v>33905</v>
      </c>
      <c t="s">
        <v>48794</v>
      </c>
      <c t="s">
        <v>1641</v>
      </c>
      <c r="AI5422" t="s">
        <v>11881</v>
      </c>
      <c r="AL5422" t="s">
        <v>31086</v>
      </c>
      <c t="s">
        <v>31086</v>
      </c>
      <c t="s">
        <v>44551</v>
      </c>
      <c t="s">
        <v>7999</v>
      </c>
      <c t="s">
        <v>665</v>
      </c>
      <c t="s">
        <v>3093</v>
      </c>
      <c t="s">
        <v>38005</v>
      </c>
    </row>
    <row>
      <c t="s">
        <v>17594</v>
      </c>
      <c t="s">
        <v>53591</v>
      </c>
      <c t="s">
        <v>33431</v>
      </c>
      <c t="s">
        <v>41447</v>
      </c>
      <c t="s">
        <v>51072</v>
      </c>
      <c s="3">
        <v>12544</v>
      </c>
      <c s="3">
        <v>12544</v>
      </c>
      <c s="3">
        <v>4972</v>
      </c>
      <c>
        <v>0</v>
      </c>
      <c s="3">
        <v>0</v>
      </c>
      <c s="3">
        <v>320.56</v>
      </c>
      <c s="3">
        <v>12544</v>
      </c>
      <c r="O5423" s="1" t="str">
        <f ca="1">HYPERLINK("https://web.datatree.com/?/property?propertyId=34140879", "https://web.datatree.com/?/property?propertyId=34140879")</f>
        <v>https://web.datatree.com/?/property?propertyId=34140879</v>
      </c>
      <c r="Q5423" t="s">
        <v>316</v>
      </c>
      <c>
        <v>0.267</v>
      </c>
      <c t="s">
        <v>5471</v>
      </c>
      <c t="s">
        <v>57702</v>
      </c>
      <c t="s">
        <v>20341</v>
      </c>
      <c t="s">
        <v>52701</v>
      </c>
      <c t="s">
        <v>20341</v>
      </c>
      <c t="s">
        <v>52580</v>
      </c>
      <c t="s">
        <v>65695</v>
      </c>
      <c t="s">
        <v>65059</v>
      </c>
      <c t="s">
        <v>39289</v>
      </c>
      <c>
        <v>33905</v>
      </c>
      <c t="s">
        <v>33993</v>
      </c>
      <c t="s">
        <v>48794</v>
      </c>
      <c t="s">
        <v>48721</v>
      </c>
      <c>
        <v>10184</v>
      </c>
      <c r="AI5423" t="s">
        <v>63650</v>
      </c>
      <c t="s">
        <v>1671</v>
      </c>
      <c r="AL5423" t="s">
        <v>11713</v>
      </c>
      <c r="AN5423" t="s">
        <v>39289</v>
      </c>
      <c t="s">
        <v>3838</v>
      </c>
      <c t="s">
        <v>10873</v>
      </c>
      <c t="s">
        <v>3093</v>
      </c>
      <c t="s">
        <v>48074</v>
      </c>
    </row>
    <row>
      <c t="s">
        <v>17594</v>
      </c>
      <c t="s">
        <v>62407</v>
      </c>
      <c t="s">
        <v>42524</v>
      </c>
      <c t="s">
        <v>56190</v>
      </c>
      <c t="s">
        <v>7765</v>
      </c>
      <c s="3">
        <v>9879</v>
      </c>
      <c s="3">
        <v>9879</v>
      </c>
      <c s="3">
        <v>4169</v>
      </c>
      <c>
        <v>0</v>
      </c>
      <c s="3">
        <v>0</v>
      </c>
      <c s="3">
        <v>98.33</v>
      </c>
      <c s="3">
        <v>9879</v>
      </c>
      <c r="O5424" s="1" t="str">
        <f ca="1">HYPERLINK("https://web.datatree.com/?/property?propertyId=34141144", "https://web.datatree.com/?/property?propertyId=34141144")</f>
        <v>https://web.datatree.com/?/property?propertyId=34141144</v>
      </c>
      <c r="Q5424" t="s">
        <v>316</v>
      </c>
      <c>
        <v>0.148</v>
      </c>
      <c t="s">
        <v>5471</v>
      </c>
      <c t="s">
        <v>52701</v>
      </c>
      <c t="s">
        <v>58711</v>
      </c>
      <c r="X5424" t="s">
        <v>1704</v>
      </c>
      <c t="s">
        <v>60820</v>
      </c>
      <c t="s">
        <v>54524</v>
      </c>
      <c t="s">
        <v>39289</v>
      </c>
      <c>
        <v>33903</v>
      </c>
      <c t="s">
        <v>39100</v>
      </c>
      <c t="s">
        <v>48794</v>
      </c>
      <c t="s">
        <v>23593</v>
      </c>
      <c>
        <v>15931</v>
      </c>
      <c r="AI5424" t="s">
        <v>11711</v>
      </c>
      <c t="s">
        <v>39321</v>
      </c>
      <c r="AL5424" t="s">
        <v>55393</v>
      </c>
      <c r="AN5424" t="s">
        <v>39289</v>
      </c>
      <c t="s">
        <v>50353</v>
      </c>
      <c t="s">
        <v>3068</v>
      </c>
      <c t="s">
        <v>3093</v>
      </c>
      <c t="s">
        <v>66462</v>
      </c>
    </row>
    <row>
      <c t="s">
        <v>17594</v>
      </c>
      <c t="s">
        <v>26352</v>
      </c>
      <c t="s">
        <v>31509</v>
      </c>
      <c t="s">
        <v>60993</v>
      </c>
      <c t="s">
        <v>65076</v>
      </c>
      <c s="3">
        <v>22041</v>
      </c>
      <c s="3">
        <v>22041</v>
      </c>
      <c s="3">
        <v>10230</v>
      </c>
      <c>
        <v>0</v>
      </c>
      <c s="3">
        <v>0</v>
      </c>
      <c s="3">
        <v>588.37</v>
      </c>
      <c s="3">
        <v>22041</v>
      </c>
      <c r="O5425" s="1" t="str">
        <f ca="1">HYPERLINK("https://web.datatree.com/?/property?propertyId=34141500", "https://web.datatree.com/?/property?propertyId=34141500")</f>
        <v>https://web.datatree.com/?/property?propertyId=34141500</v>
      </c>
      <c r="Q5425" t="s">
        <v>316</v>
      </c>
      <c>
        <v>0.366</v>
      </c>
      <c t="s">
        <v>6175</v>
      </c>
      <c t="s">
        <v>50666</v>
      </c>
      <c t="s">
        <v>39198</v>
      </c>
      <c r="X5425" t="s">
        <v>19810</v>
      </c>
      <c t="s">
        <v>39832</v>
      </c>
      <c t="s">
        <v>2517</v>
      </c>
      <c t="s">
        <v>39289</v>
      </c>
      <c>
        <v>33909</v>
      </c>
      <c t="s">
        <v>33197</v>
      </c>
      <c t="s">
        <v>48794</v>
      </c>
      <c t="s">
        <v>29222</v>
      </c>
      <c>
        <v>14</v>
      </c>
      <c r="AI5425" t="s">
        <v>27143</v>
      </c>
      <c t="s">
        <v>24900</v>
      </c>
      <c r="AL5425" t="s">
        <v>33692</v>
      </c>
      <c t="s">
        <v>31284</v>
      </c>
      <c t="s">
        <v>64022</v>
      </c>
      <c t="s">
        <v>34452</v>
      </c>
      <c t="s">
        <v>62830</v>
      </c>
      <c t="s">
        <v>3093</v>
      </c>
      <c t="s">
        <v>9958</v>
      </c>
    </row>
    <row>
      <c t="s">
        <v>17594</v>
      </c>
      <c t="s">
        <v>9968</v>
      </c>
      <c t="s">
        <v>41587</v>
      </c>
      <c t="s">
        <v>37834</v>
      </c>
      <c t="s">
        <v>45935</v>
      </c>
      <c s="3">
        <v>54600</v>
      </c>
      <c s="3">
        <v>54600</v>
      </c>
      <c s="3">
        <v>24522</v>
      </c>
      <c>
        <v>0</v>
      </c>
      <c s="3">
        <v>0</v>
      </c>
      <c s="3">
        <v>967.52</v>
      </c>
      <c s="3">
        <v>54600</v>
      </c>
      <c r="O5426" s="1" t="str">
        <f ca="1">HYPERLINK("https://web.datatree.com/?/property?propertyId=34141684", "https://web.datatree.com/?/property?propertyId=34141684")</f>
        <v>https://web.datatree.com/?/property?propertyId=34141684</v>
      </c>
      <c r="Q5426" t="s">
        <v>316</v>
      </c>
      <c>
        <v>0.228</v>
      </c>
      <c t="s">
        <v>22490</v>
      </c>
      <c t="s">
        <v>52701</v>
      </c>
      <c t="s">
        <v>56451</v>
      </c>
      <c t="s">
        <v>13674</v>
      </c>
      <c t="s">
        <v>41539</v>
      </c>
      <c t="s">
        <v>26216</v>
      </c>
      <c t="s">
        <v>58797</v>
      </c>
      <c t="s">
        <v>2517</v>
      </c>
      <c t="s">
        <v>39289</v>
      </c>
      <c>
        <v>33909</v>
      </c>
      <c t="s">
        <v>65291</v>
      </c>
      <c t="s">
        <v>48794</v>
      </c>
      <c t="s">
        <v>44934</v>
      </c>
      <c>
        <v>3285</v>
      </c>
      <c r="AI5426" t="s">
        <v>36516</v>
      </c>
      <c t="s">
        <v>31192</v>
      </c>
      <c r="AL5426" t="s">
        <v>55489</v>
      </c>
      <c r="AN5426" t="s">
        <v>65451</v>
      </c>
      <c t="s">
        <v>50621</v>
      </c>
      <c t="s">
        <v>27410</v>
      </c>
      <c t="s">
        <v>3093</v>
      </c>
      <c t="s">
        <v>13401</v>
      </c>
    </row>
    <row>
      <c t="s">
        <v>17594</v>
      </c>
      <c s="2" t="s">
        <v>62651</v>
      </c>
      <c t="s">
        <v>40297</v>
      </c>
      <c t="s">
        <v>43557</v>
      </c>
      <c t="s">
        <v>5624</v>
      </c>
      <c s="3">
        <v>22874</v>
      </c>
      <c s="3">
        <v>22874</v>
      </c>
      <c s="3">
        <v>9433</v>
      </c>
      <c>
        <v>0</v>
      </c>
      <c s="3">
        <v>0</v>
      </c>
      <c s="3">
        <v>413.07</v>
      </c>
      <c s="3">
        <v>22874</v>
      </c>
      <c>
        <v>2021</v>
      </c>
      <c>
        <v>438.41</v>
      </c>
      <c s="1" t="str">
        <f ca="1">HYPERLINK("https://web.datatree.com/?/property?propertyId=34142217", "https://web.datatree.com/?/property?propertyId=34142217")</f>
        <v>https://web.datatree.com/?/property?propertyId=34142217</v>
      </c>
      <c r="Q5427" t="s">
        <v>316</v>
      </c>
      <c>
        <v>0.225</v>
      </c>
      <c t="s">
        <v>5471</v>
      </c>
      <c t="s">
        <v>40147</v>
      </c>
      <c t="s">
        <v>22788</v>
      </c>
      <c r="X5427" t="s">
        <v>65189</v>
      </c>
      <c t="s">
        <v>10601</v>
      </c>
      <c t="s">
        <v>65059</v>
      </c>
      <c t="s">
        <v>39289</v>
      </c>
      <c>
        <v>33905</v>
      </c>
      <c t="s">
        <v>41605</v>
      </c>
      <c t="s">
        <v>48794</v>
      </c>
      <c s="2" t="s">
        <v>20299</v>
      </c>
      <c>
        <v>4001</v>
      </c>
      <c r="AI5427" t="s">
        <v>64331</v>
      </c>
      <c t="s">
        <v>45393</v>
      </c>
      <c r="AL5427" t="s">
        <v>5488</v>
      </c>
      <c r="AN5427" t="s">
        <v>39289</v>
      </c>
      <c t="s">
        <v>5729</v>
      </c>
      <c t="s">
        <v>11138</v>
      </c>
      <c t="s">
        <v>3093</v>
      </c>
      <c t="s">
        <v>26191</v>
      </c>
    </row>
    <row>
      <c t="s">
        <v>17594</v>
      </c>
      <c t="s">
        <v>58622</v>
      </c>
      <c t="s">
        <v>11506</v>
      </c>
      <c t="s">
        <v>29972</v>
      </c>
      <c t="s">
        <v>44406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 r="O5428" s="1" t="str">
        <f ca="1">HYPERLINK("https://web.datatree.com/?/property?propertyId=34142821", "https://web.datatree.com/?/property?propertyId=34142821")</f>
        <v>https://web.datatree.com/?/property?propertyId=34142821</v>
      </c>
      <c r="Q5428" t="s">
        <v>316</v>
      </c>
      <c>
        <v>0.23</v>
      </c>
      <c t="s">
        <v>22490</v>
      </c>
      <c t="s">
        <v>36855</v>
      </c>
      <c t="s">
        <v>12755</v>
      </c>
      <c t="s">
        <v>34805</v>
      </c>
      <c t="s">
        <v>26015</v>
      </c>
      <c t="s">
        <v>38907</v>
      </c>
      <c t="s">
        <v>46469</v>
      </c>
      <c t="s">
        <v>2517</v>
      </c>
      <c t="s">
        <v>39289</v>
      </c>
      <c>
        <v>33909</v>
      </c>
      <c t="s">
        <v>11542</v>
      </c>
      <c t="s">
        <v>48794</v>
      </c>
      <c t="s">
        <v>39676</v>
      </c>
      <c>
        <v>418</v>
      </c>
      <c r="AI5428" t="s">
        <v>30983</v>
      </c>
      <c t="s">
        <v>45620</v>
      </c>
      <c r="AL5428" t="s">
        <v>37890</v>
      </c>
      <c t="s">
        <v>37890</v>
      </c>
      <c t="s">
        <v>50917</v>
      </c>
      <c t="s">
        <v>54965</v>
      </c>
      <c t="s">
        <v>1951</v>
      </c>
      <c t="s">
        <v>3093</v>
      </c>
      <c t="s">
        <v>51448</v>
      </c>
    </row>
    <row>
      <c t="s">
        <v>42103</v>
      </c>
      <c t="s">
        <v>18675</v>
      </c>
      <c t="s">
        <v>4252</v>
      </c>
      <c t="s">
        <v>40845</v>
      </c>
      <c t="s">
        <v>23171</v>
      </c>
      <c s="3">
        <v>72552</v>
      </c>
      <c s="3">
        <v>70733</v>
      </c>
      <c s="3">
        <v>69692</v>
      </c>
      <c>
        <v>0</v>
      </c>
      <c s="3">
        <v>0</v>
      </c>
      <c s="3">
        <v>1064.2</v>
      </c>
      <c s="3">
        <v>72552</v>
      </c>
      <c r="O5429" s="1" t="str">
        <f ca="1">HYPERLINK("https://web.datatree.com/?/property?propertyId=34142835", "https://web.datatree.com/?/property?propertyId=34142835")</f>
        <v>https://web.datatree.com/?/property?propertyId=34142835</v>
      </c>
      <c r="Q5429" t="s">
        <v>316</v>
      </c>
      <c>
        <v>0.095</v>
      </c>
      <c t="s">
        <v>26492</v>
      </c>
      <c t="s">
        <v>45883</v>
      </c>
      <c t="s">
        <v>47522</v>
      </c>
      <c t="s">
        <v>58927</v>
      </c>
      <c t="s">
        <v>47522</v>
      </c>
      <c t="s">
        <v>58800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16647</v>
      </c>
      <c r="AI5429" t="s">
        <v>31930</v>
      </c>
      <c r="AL5429" t="s">
        <v>18582</v>
      </c>
      <c t="s">
        <v>40227</v>
      </c>
      <c t="s">
        <v>51137</v>
      </c>
      <c>
        <v>49265</v>
      </c>
      <c t="s">
        <v>61509</v>
      </c>
      <c t="s">
        <v>3093</v>
      </c>
      <c t="s">
        <v>50668</v>
      </c>
    </row>
    <row>
      <c t="s">
        <v>17594</v>
      </c>
      <c t="s">
        <v>38274</v>
      </c>
      <c t="s">
        <v>8030</v>
      </c>
      <c t="s">
        <v>50815</v>
      </c>
      <c t="s">
        <v>32810</v>
      </c>
      <c s="3">
        <v>29109</v>
      </c>
      <c s="3">
        <v>29109</v>
      </c>
      <c s="3">
        <v>9079</v>
      </c>
      <c>
        <v>0</v>
      </c>
      <c s="3">
        <v>0</v>
      </c>
      <c s="3">
        <v>2968.56</v>
      </c>
      <c s="3">
        <v>29109</v>
      </c>
      <c r="O5430" s="1" t="str">
        <f ca="1">HYPERLINK("https://web.datatree.com/?/property?propertyId=34142864", "https://web.datatree.com/?/property?propertyId=34142864")</f>
        <v>https://web.datatree.com/?/property?propertyId=34142864</v>
      </c>
      <c r="Q5430" t="s">
        <v>316</v>
      </c>
      <c>
        <v>0.242</v>
      </c>
      <c t="s">
        <v>37741</v>
      </c>
      <c t="s">
        <v>33224</v>
      </c>
      <c t="s">
        <v>23863</v>
      </c>
      <c r="X5430" t="s">
        <v>56076</v>
      </c>
      <c t="s">
        <v>59356</v>
      </c>
      <c t="s">
        <v>2517</v>
      </c>
      <c t="s">
        <v>39289</v>
      </c>
      <c>
        <v>33909</v>
      </c>
      <c t="s">
        <v>20715</v>
      </c>
      <c t="s">
        <v>48794</v>
      </c>
      <c t="s">
        <v>53648</v>
      </c>
      <c>
        <v>8106</v>
      </c>
      <c r="AI5430" t="s">
        <v>22460</v>
      </c>
      <c t="s">
        <v>31192</v>
      </c>
      <c r="AL5430" t="s">
        <v>35792</v>
      </c>
      <c r="AN5430" t="s">
        <v>51087</v>
      </c>
      <c t="s">
        <v>40498</v>
      </c>
      <c t="s">
        <v>44573</v>
      </c>
      <c t="s">
        <v>3093</v>
      </c>
      <c t="s">
        <v>50013</v>
      </c>
    </row>
    <row>
      <c t="s">
        <v>17594</v>
      </c>
      <c t="s">
        <v>24053</v>
      </c>
      <c t="s">
        <v>62203</v>
      </c>
      <c t="s">
        <v>35014</v>
      </c>
      <c t="s">
        <v>564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>
        <v>2021</v>
      </c>
      <c>
        <v>578.21</v>
      </c>
      <c s="1" t="str">
        <f ca="1">HYPERLINK("https://web.datatree.com/?/property?propertyId=34144237", "https://web.datatree.com/?/property?propertyId=34144237")</f>
        <v>https://web.datatree.com/?/property?propertyId=34144237</v>
      </c>
      <c r="Q5431" t="s">
        <v>316</v>
      </c>
      <c>
        <v>0.23</v>
      </c>
      <c t="s">
        <v>22490</v>
      </c>
      <c t="s">
        <v>65497</v>
      </c>
      <c t="s">
        <v>54971</v>
      </c>
      <c r="X5431" t="s">
        <v>10712</v>
      </c>
      <c t="s">
        <v>24999</v>
      </c>
      <c t="s">
        <v>2517</v>
      </c>
      <c t="s">
        <v>39289</v>
      </c>
      <c>
        <v>33909</v>
      </c>
      <c t="s">
        <v>61205</v>
      </c>
      <c t="s">
        <v>48794</v>
      </c>
      <c t="s">
        <v>58631</v>
      </c>
      <c>
        <v>610</v>
      </c>
      <c r="AI5431" t="s">
        <v>5347</v>
      </c>
      <c t="s">
        <v>31192</v>
      </c>
      <c r="AL5431" t="s">
        <v>13109</v>
      </c>
      <c r="AN5431" t="s">
        <v>17134</v>
      </c>
      <c t="s">
        <v>36514</v>
      </c>
      <c t="s">
        <v>62830</v>
      </c>
      <c t="s">
        <v>3093</v>
      </c>
      <c t="s">
        <v>3718</v>
      </c>
    </row>
    <row>
      <c t="s">
        <v>17594</v>
      </c>
      <c t="s">
        <v>41717</v>
      </c>
      <c t="s">
        <v>59990</v>
      </c>
      <c t="s">
        <v>27773</v>
      </c>
      <c t="s">
        <v>11162</v>
      </c>
      <c s="3">
        <v>78474</v>
      </c>
      <c s="3">
        <v>67250</v>
      </c>
      <c s="3">
        <v>78474</v>
      </c>
      <c>
        <v>0</v>
      </c>
      <c s="3">
        <v>0</v>
      </c>
      <c s="3">
        <v>1179.78</v>
      </c>
      <c s="3">
        <v>78474</v>
      </c>
      <c r="O5432" s="1" t="str">
        <f ca="1">HYPERLINK("https://web.datatree.com/?/property?propertyId=34144243", "https://web.datatree.com/?/property?propertyId=34144243")</f>
        <v>https://web.datatree.com/?/property?propertyId=34144243</v>
      </c>
      <c r="Q5432" t="s">
        <v>316</v>
      </c>
      <c>
        <v>0.109</v>
      </c>
      <c t="s">
        <v>26492</v>
      </c>
      <c t="s">
        <v>30490</v>
      </c>
      <c t="s">
        <v>11693</v>
      </c>
      <c t="s">
        <v>3376</v>
      </c>
      <c t="s">
        <v>11693</v>
      </c>
      <c t="s">
        <v>41390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44926</v>
      </c>
      <c>
        <v>514</v>
      </c>
      <c r="AI5432" t="s">
        <v>5158</v>
      </c>
      <c t="s">
        <v>835</v>
      </c>
      <c>
        <v>13329</v>
      </c>
      <c t="s">
        <v>54625</v>
      </c>
      <c t="s">
        <v>54625</v>
      </c>
      <c t="s">
        <v>40451</v>
      </c>
      <c t="s">
        <v>28180</v>
      </c>
      <c t="s">
        <v>61280</v>
      </c>
      <c t="s">
        <v>3093</v>
      </c>
      <c t="s">
        <v>49261</v>
      </c>
    </row>
    <row>
      <c t="s">
        <v>42103</v>
      </c>
      <c t="s">
        <v>40107</v>
      </c>
      <c t="s">
        <v>52993</v>
      </c>
      <c t="s">
        <v>62934</v>
      </c>
      <c t="s">
        <v>22522</v>
      </c>
      <c s="3">
        <v>10000</v>
      </c>
      <c s="3">
        <v>10000</v>
      </c>
      <c s="3">
        <v>4992</v>
      </c>
      <c>
        <v>0</v>
      </c>
      <c s="3">
        <v>0</v>
      </c>
      <c s="3">
        <v>114.24</v>
      </c>
      <c s="3">
        <v>10000</v>
      </c>
      <c r="O5433" s="1" t="str">
        <f ca="1">HYPERLINK("https://web.datatree.com/?/property?propertyId=34144978", "https://web.datatree.com/?/property?propertyId=34144978")</f>
        <v>https://web.datatree.com/?/property?propertyId=34144978</v>
      </c>
      <c r="Q5433" t="s">
        <v>316</v>
      </c>
      <c>
        <v>0.159</v>
      </c>
      <c t="s">
        <v>66399</v>
      </c>
      <c t="s">
        <v>16483</v>
      </c>
      <c t="s">
        <v>67184</v>
      </c>
      <c t="s">
        <v>27351</v>
      </c>
      <c t="s">
        <v>67184</v>
      </c>
      <c t="s">
        <v>55767</v>
      </c>
      <c t="s">
        <v>61227</v>
      </c>
      <c t="s">
        <v>65059</v>
      </c>
      <c t="s">
        <v>39289</v>
      </c>
      <c>
        <v>33905</v>
      </c>
      <c>
        <v>33905</v>
      </c>
      <c t="s">
        <v>48794</v>
      </c>
      <c t="s">
        <v>37772</v>
      </c>
      <c r="AI5433" t="s">
        <v>34083</v>
      </c>
      <c r="AL5433" t="s">
        <v>9478</v>
      </c>
      <c t="s">
        <v>40227</v>
      </c>
      <c t="s">
        <v>10804</v>
      </c>
      <c>
        <v>28530</v>
      </c>
      <c t="s">
        <v>39363</v>
      </c>
      <c t="s">
        <v>3093</v>
      </c>
      <c t="s">
        <v>12828</v>
      </c>
    </row>
    <row>
      <c t="s">
        <v>17594</v>
      </c>
      <c t="s">
        <v>58246</v>
      </c>
      <c t="s">
        <v>62537</v>
      </c>
      <c t="s">
        <v>40658</v>
      </c>
      <c t="s">
        <v>35722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5434" s="1" t="str">
        <f ca="1">HYPERLINK("https://web.datatree.com/?/property?propertyId=34145014", "https://web.datatree.com/?/property?propertyId=34145014")</f>
        <v>https://web.datatree.com/?/property?propertyId=34145014</v>
      </c>
      <c r="Q5434" t="s">
        <v>316</v>
      </c>
      <c>
        <v>0.239</v>
      </c>
      <c t="s">
        <v>5471</v>
      </c>
      <c r="U5434" t="s">
        <v>12082</v>
      </c>
      <c r="X5434" t="s">
        <v>48451</v>
      </c>
      <c t="s">
        <v>48116</v>
      </c>
      <c t="s">
        <v>65059</v>
      </c>
      <c t="s">
        <v>39289</v>
      </c>
      <c>
        <v>33905</v>
      </c>
      <c t="s">
        <v>58591</v>
      </c>
      <c t="s">
        <v>48794</v>
      </c>
      <c t="s">
        <v>38427</v>
      </c>
      <c>
        <v>143</v>
      </c>
      <c r="AI5434" t="s">
        <v>40191</v>
      </c>
      <c t="s">
        <v>45620</v>
      </c>
      <c r="AL5434" t="s">
        <v>11713</v>
      </c>
      <c r="AN5434" t="s">
        <v>39289</v>
      </c>
      <c t="s">
        <v>62648</v>
      </c>
      <c t="s">
        <v>47183</v>
      </c>
      <c t="s">
        <v>3093</v>
      </c>
      <c t="s">
        <v>2917</v>
      </c>
    </row>
    <row>
      <c t="s">
        <v>17594</v>
      </c>
      <c t="s">
        <v>13600</v>
      </c>
      <c t="s">
        <v>37089</v>
      </c>
      <c t="s">
        <v>52152</v>
      </c>
      <c t="s">
        <v>66028</v>
      </c>
      <c s="3">
        <v>12743</v>
      </c>
      <c s="3">
        <v>12743</v>
      </c>
      <c s="3">
        <v>12743</v>
      </c>
      <c>
        <v>0</v>
      </c>
      <c s="3">
        <v>0</v>
      </c>
      <c s="3">
        <v>180.92</v>
      </c>
      <c s="3">
        <v>12743</v>
      </c>
      <c r="O5435" s="1" t="str">
        <f ca="1">HYPERLINK("https://web.datatree.com/?/property?propertyId=34145058", "https://web.datatree.com/?/property?propertyId=34145058")</f>
        <v>https://web.datatree.com/?/property?propertyId=34145058</v>
      </c>
      <c r="Q5435" t="s">
        <v>316</v>
      </c>
      <c>
        <v>0.197</v>
      </c>
      <c r="T5435" t="s">
        <v>52658</v>
      </c>
      <c t="s">
        <v>58485</v>
      </c>
      <c r="X5435" t="s">
        <v>22437</v>
      </c>
      <c t="s">
        <v>37372</v>
      </c>
      <c t="s">
        <v>65059</v>
      </c>
      <c t="s">
        <v>39289</v>
      </c>
      <c>
        <v>33907</v>
      </c>
      <c>
        <v>33907</v>
      </c>
      <c t="s">
        <v>48794</v>
      </c>
      <c t="s">
        <v>50915</v>
      </c>
      <c>
        <v>126</v>
      </c>
      <c r="AI5435" t="s">
        <v>40041</v>
      </c>
      <c t="s">
        <v>45620</v>
      </c>
      <c r="AL5435" t="s">
        <v>35519</v>
      </c>
      <c t="s">
        <v>19621</v>
      </c>
      <c t="s">
        <v>50917</v>
      </c>
      <c t="s">
        <v>46761</v>
      </c>
      <c t="s">
        <v>22455</v>
      </c>
      <c t="s">
        <v>3093</v>
      </c>
      <c t="s">
        <v>59437</v>
      </c>
    </row>
    <row>
      <c t="s">
        <v>17594</v>
      </c>
      <c t="s">
        <v>50521</v>
      </c>
      <c t="s">
        <v>38322</v>
      </c>
      <c t="s">
        <v>56783</v>
      </c>
      <c t="s">
        <v>63291</v>
      </c>
      <c s="3">
        <v>10257</v>
      </c>
      <c s="3">
        <v>10257</v>
      </c>
      <c s="3">
        <v>4180</v>
      </c>
      <c>
        <v>0</v>
      </c>
      <c s="3">
        <v>0</v>
      </c>
      <c s="3">
        <v>355.35</v>
      </c>
      <c s="3">
        <v>10257</v>
      </c>
      <c r="O5436" s="1" t="str">
        <f ca="1">HYPERLINK("https://web.datatree.com/?/property?propertyId=34145615", "https://web.datatree.com/?/property?propertyId=34145615")</f>
        <v>https://web.datatree.com/?/property?propertyId=34145615</v>
      </c>
      <c r="Q5436" t="s">
        <v>316</v>
      </c>
      <c>
        <v>0.115</v>
      </c>
      <c t="s">
        <v>6175</v>
      </c>
      <c t="s">
        <v>42212</v>
      </c>
      <c t="s">
        <v>45549</v>
      </c>
      <c r="X5436" t="s">
        <v>22818</v>
      </c>
      <c t="s">
        <v>60363</v>
      </c>
      <c t="s">
        <v>2517</v>
      </c>
      <c t="s">
        <v>39289</v>
      </c>
      <c>
        <v>33909</v>
      </c>
      <c t="s">
        <v>18620</v>
      </c>
      <c t="s">
        <v>48794</v>
      </c>
      <c t="s">
        <v>19407</v>
      </c>
      <c>
        <v>1621</v>
      </c>
      <c r="AI5436" t="s">
        <v>57610</v>
      </c>
      <c t="s">
        <v>40123</v>
      </c>
      <c r="AL5436" t="s">
        <v>33841</v>
      </c>
      <c r="AN5436" t="s">
        <v>64156</v>
      </c>
      <c t="s">
        <v>61454</v>
      </c>
      <c t="s">
        <v>60160</v>
      </c>
      <c t="s">
        <v>3093</v>
      </c>
      <c t="s">
        <v>39443</v>
      </c>
    </row>
    <row>
      <c t="s">
        <v>17594</v>
      </c>
      <c t="s">
        <v>35837</v>
      </c>
      <c t="s">
        <v>21855</v>
      </c>
      <c t="s">
        <v>66679</v>
      </c>
      <c t="s">
        <v>51524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2021</v>
      </c>
      <c>
        <v>535.19</v>
      </c>
      <c s="1" t="str">
        <f ca="1">HYPERLINK("https://web.datatree.com/?/property?propertyId=34146332", "https://web.datatree.com/?/property?propertyId=34146332")</f>
        <v>https://web.datatree.com/?/property?propertyId=34146332</v>
      </c>
      <c r="Q5437" t="s">
        <v>316</v>
      </c>
      <c>
        <v>0.229</v>
      </c>
      <c t="s">
        <v>42044</v>
      </c>
      <c t="s">
        <v>66240</v>
      </c>
      <c t="s">
        <v>19333</v>
      </c>
      <c t="s">
        <v>8031</v>
      </c>
      <c t="s">
        <v>19333</v>
      </c>
      <c t="s">
        <v>35653</v>
      </c>
      <c t="s">
        <v>61865</v>
      </c>
      <c t="s">
        <v>2517</v>
      </c>
      <c t="s">
        <v>39289</v>
      </c>
      <c>
        <v>33909</v>
      </c>
      <c t="s">
        <v>64773</v>
      </c>
      <c t="s">
        <v>48794</v>
      </c>
      <c t="s">
        <v>55971</v>
      </c>
      <c>
        <v>6775</v>
      </c>
      <c r="AI5437" t="s">
        <v>7281</v>
      </c>
      <c t="s">
        <v>24900</v>
      </c>
      <c r="AL5437" t="s">
        <v>55393</v>
      </c>
      <c r="AN5437" t="s">
        <v>39289</v>
      </c>
      <c t="s">
        <v>39917</v>
      </c>
      <c t="s">
        <v>15686</v>
      </c>
      <c t="s">
        <v>3093</v>
      </c>
      <c t="s">
        <v>22728</v>
      </c>
    </row>
    <row>
      <c t="s">
        <v>17594</v>
      </c>
      <c t="s">
        <v>31135</v>
      </c>
      <c t="s">
        <v>9886</v>
      </c>
      <c t="s">
        <v>38157</v>
      </c>
      <c t="s">
        <v>16286</v>
      </c>
      <c s="3">
        <v>26290</v>
      </c>
      <c s="3">
        <v>26290</v>
      </c>
      <c s="3">
        <v>26290</v>
      </c>
      <c>
        <v>0</v>
      </c>
      <c s="3">
        <v>0</v>
      </c>
      <c s="3">
        <v>793.79</v>
      </c>
      <c s="3">
        <v>26290</v>
      </c>
      <c r="O5438" s="1" t="str">
        <f ca="1">HYPERLINK("https://web.datatree.com/?/property?propertyId=34146679", "https://web.datatree.com/?/property?propertyId=34146679")</f>
        <v>https://web.datatree.com/?/property?propertyId=34146679</v>
      </c>
      <c r="Q5438" t="s">
        <v>316</v>
      </c>
      <c>
        <v>0.244</v>
      </c>
      <c t="s">
        <v>22490</v>
      </c>
      <c t="s">
        <v>15621</v>
      </c>
      <c t="s">
        <v>24508</v>
      </c>
      <c r="X5438" t="s">
        <v>10689</v>
      </c>
      <c t="s">
        <v>2626</v>
      </c>
      <c t="s">
        <v>2517</v>
      </c>
      <c t="s">
        <v>39289</v>
      </c>
      <c>
        <v>33909</v>
      </c>
      <c t="s">
        <v>45229</v>
      </c>
      <c t="s">
        <v>48794</v>
      </c>
      <c t="s">
        <v>37602</v>
      </c>
      <c>
        <v>22936</v>
      </c>
      <c r="AI5438" t="s">
        <v>7096</v>
      </c>
      <c t="s">
        <v>45620</v>
      </c>
      <c r="AL5438" t="s">
        <v>43844</v>
      </c>
      <c r="AN5438" t="s">
        <v>24792</v>
      </c>
      <c t="s">
        <v>47276</v>
      </c>
      <c t="s">
        <v>35354</v>
      </c>
      <c t="s">
        <v>3093</v>
      </c>
      <c t="s">
        <v>19010</v>
      </c>
    </row>
    <row>
      <c t="s">
        <v>17594</v>
      </c>
      <c t="s">
        <v>40114</v>
      </c>
      <c t="s">
        <v>44195</v>
      </c>
      <c t="s">
        <v>36389</v>
      </c>
      <c t="s">
        <v>7684</v>
      </c>
      <c s="3">
        <v>23673</v>
      </c>
      <c s="3">
        <v>23673</v>
      </c>
      <c s="3">
        <v>9570</v>
      </c>
      <c>
        <v>0</v>
      </c>
      <c s="3">
        <v>0</v>
      </c>
      <c s="3">
        <v>625.56</v>
      </c>
      <c s="3">
        <v>23673</v>
      </c>
      <c r="O5439" s="1" t="str">
        <f ca="1">HYPERLINK("https://web.datatree.com/?/property?propertyId=34146929", "https://web.datatree.com/?/property?propertyId=34146929")</f>
        <v>https://web.datatree.com/?/property?propertyId=34146929</v>
      </c>
      <c r="Q5439" t="s">
        <v>316</v>
      </c>
      <c>
        <v>0.255</v>
      </c>
      <c t="s">
        <v>22490</v>
      </c>
      <c t="s">
        <v>35069</v>
      </c>
      <c t="s">
        <v>59832</v>
      </c>
      <c r="X5439" t="s">
        <v>46472</v>
      </c>
      <c t="s">
        <v>22731</v>
      </c>
      <c t="s">
        <v>2517</v>
      </c>
      <c t="s">
        <v>39289</v>
      </c>
      <c>
        <v>33909</v>
      </c>
      <c t="s">
        <v>12017</v>
      </c>
      <c t="s">
        <v>48794</v>
      </c>
      <c t="s">
        <v>11841</v>
      </c>
      <c>
        <v>89</v>
      </c>
      <c r="AI5439" t="s">
        <v>5626</v>
      </c>
      <c t="s">
        <v>24900</v>
      </c>
      <c r="AL5439" t="s">
        <v>1153</v>
      </c>
      <c t="s">
        <v>1153</v>
      </c>
      <c t="s">
        <v>65451</v>
      </c>
      <c t="s">
        <v>65098</v>
      </c>
      <c t="s">
        <v>61719</v>
      </c>
      <c t="s">
        <v>3093</v>
      </c>
      <c t="s">
        <v>22447</v>
      </c>
    </row>
    <row>
      <c t="s">
        <v>17594</v>
      </c>
      <c t="s">
        <v>34719</v>
      </c>
      <c t="s">
        <v>24761</v>
      </c>
      <c t="s">
        <v>36240</v>
      </c>
      <c t="s">
        <v>47734</v>
      </c>
      <c s="3">
        <v>31592</v>
      </c>
      <c s="3">
        <v>31592</v>
      </c>
      <c s="3">
        <v>11858</v>
      </c>
      <c>
        <v>0</v>
      </c>
      <c s="3">
        <v>0</v>
      </c>
      <c s="3">
        <v>2953.84</v>
      </c>
      <c s="3">
        <v>31592</v>
      </c>
      <c r="O5440" s="1" t="str">
        <f ca="1">HYPERLINK("https://web.datatree.com/?/property?propertyId=34147260", "https://web.datatree.com/?/property?propertyId=34147260")</f>
        <v>https://web.datatree.com/?/property?propertyId=34147260</v>
      </c>
      <c r="Q5440" t="s">
        <v>316</v>
      </c>
      <c>
        <v>0.235</v>
      </c>
      <c t="s">
        <v>22490</v>
      </c>
      <c t="s">
        <v>62003</v>
      </c>
      <c t="s">
        <v>66416</v>
      </c>
      <c r="X5440" t="s">
        <v>18825</v>
      </c>
      <c t="s">
        <v>2626</v>
      </c>
      <c t="s">
        <v>2517</v>
      </c>
      <c t="s">
        <v>39289</v>
      </c>
      <c>
        <v>33909</v>
      </c>
      <c t="s">
        <v>38819</v>
      </c>
      <c t="s">
        <v>48794</v>
      </c>
      <c t="s">
        <v>8517</v>
      </c>
      <c>
        <v>198</v>
      </c>
      <c r="AI5440" t="s">
        <v>13787</v>
      </c>
      <c r="AL5440" t="s">
        <v>6808</v>
      </c>
      <c r="AN5440" t="s">
        <v>32840</v>
      </c>
      <c r="AR5440" t="s">
        <v>35825</v>
      </c>
    </row>
    <row>
      <c t="s">
        <v>17594</v>
      </c>
      <c t="s">
        <v>51322</v>
      </c>
      <c t="s">
        <v>26510</v>
      </c>
      <c t="s">
        <v>66069</v>
      </c>
      <c t="s">
        <v>31422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441" s="1" t="str">
        <f ca="1">HYPERLINK("https://web.datatree.com/?/property?propertyId=34149246", "https://web.datatree.com/?/property?propertyId=34149246")</f>
        <v>https://web.datatree.com/?/property?propertyId=34149246</v>
      </c>
      <c r="Q5441" t="s">
        <v>316</v>
      </c>
      <c>
        <v>0.23</v>
      </c>
      <c t="s">
        <v>6175</v>
      </c>
      <c t="s">
        <v>63182</v>
      </c>
      <c t="s">
        <v>62133</v>
      </c>
      <c t="s">
        <v>44541</v>
      </c>
      <c t="s">
        <v>62133</v>
      </c>
      <c t="s">
        <v>56114</v>
      </c>
      <c t="s">
        <v>30928</v>
      </c>
      <c t="s">
        <v>2517</v>
      </c>
      <c t="s">
        <v>39289</v>
      </c>
      <c>
        <v>33909</v>
      </c>
      <c t="s">
        <v>9114</v>
      </c>
      <c t="s">
        <v>48794</v>
      </c>
      <c t="s">
        <v>6383</v>
      </c>
      <c>
        <v>2622</v>
      </c>
      <c r="AI5441" t="s">
        <v>33235</v>
      </c>
      <c t="s">
        <v>24900</v>
      </c>
      <c r="AL5441" t="s">
        <v>31138</v>
      </c>
      <c t="s">
        <v>31138</v>
      </c>
      <c t="s">
        <v>50917</v>
      </c>
      <c t="s">
        <v>2894</v>
      </c>
      <c t="s">
        <v>7207</v>
      </c>
      <c t="s">
        <v>3093</v>
      </c>
      <c t="s">
        <v>13531</v>
      </c>
    </row>
    <row>
      <c t="s">
        <v>17594</v>
      </c>
      <c t="s">
        <v>1301</v>
      </c>
      <c t="s">
        <v>11580</v>
      </c>
      <c t="s">
        <v>31849</v>
      </c>
      <c t="s">
        <v>53838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5442" s="1" t="str">
        <f ca="1">HYPERLINK("https://web.datatree.com/?/property?propertyId=34151112", "https://web.datatree.com/?/property?propertyId=34151112")</f>
        <v>https://web.datatree.com/?/property?propertyId=34151112</v>
      </c>
      <c r="Q5442" t="s">
        <v>316</v>
      </c>
      <c>
        <v>0.244</v>
      </c>
      <c t="s">
        <v>42044</v>
      </c>
      <c t="s">
        <v>24179</v>
      </c>
      <c t="s">
        <v>22924</v>
      </c>
      <c r="X5442" t="s">
        <v>29828</v>
      </c>
      <c t="s">
        <v>61850</v>
      </c>
      <c t="s">
        <v>2517</v>
      </c>
      <c t="s">
        <v>39289</v>
      </c>
      <c>
        <v>33909</v>
      </c>
      <c t="s">
        <v>53830</v>
      </c>
      <c t="s">
        <v>48794</v>
      </c>
      <c t="s">
        <v>25798</v>
      </c>
      <c>
        <v>2491</v>
      </c>
      <c r="AI5442" t="s">
        <v>26288</v>
      </c>
      <c t="s">
        <v>55842</v>
      </c>
      <c>
        <v>1321</v>
      </c>
      <c t="s">
        <v>62986</v>
      </c>
      <c t="s">
        <v>62986</v>
      </c>
      <c t="s">
        <v>18236</v>
      </c>
      <c t="s">
        <v>61324</v>
      </c>
      <c t="s">
        <v>49695</v>
      </c>
      <c t="s">
        <v>3093</v>
      </c>
      <c t="s">
        <v>30719</v>
      </c>
    </row>
    <row>
      <c t="s">
        <v>17594</v>
      </c>
      <c t="s">
        <v>35436</v>
      </c>
      <c t="s">
        <v>37995</v>
      </c>
      <c t="s">
        <v>65324</v>
      </c>
      <c t="s">
        <v>43304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5443" s="1" t="str">
        <f ca="1">HYPERLINK("https://web.datatree.com/?/property?propertyId=34151623", "https://web.datatree.com/?/property?propertyId=34151623")</f>
        <v>https://web.datatree.com/?/property?propertyId=34151623</v>
      </c>
      <c r="Q5443" t="s">
        <v>316</v>
      </c>
      <c>
        <v>0.23</v>
      </c>
      <c t="s">
        <v>6175</v>
      </c>
      <c t="s">
        <v>16871</v>
      </c>
      <c t="s">
        <v>52915</v>
      </c>
      <c r="X5443" t="s">
        <v>66078</v>
      </c>
      <c t="s">
        <v>53675</v>
      </c>
      <c t="s">
        <v>2517</v>
      </c>
      <c t="s">
        <v>39289</v>
      </c>
      <c>
        <v>33909</v>
      </c>
      <c t="s">
        <v>4027</v>
      </c>
      <c t="s">
        <v>48794</v>
      </c>
      <c t="s">
        <v>11081</v>
      </c>
      <c>
        <v>34</v>
      </c>
      <c r="AI5443" t="s">
        <v>19861</v>
      </c>
      <c r="AK5443">
        <v>301</v>
      </c>
      <c t="s">
        <v>43880</v>
      </c>
      <c r="AN5443" t="s">
        <v>14798</v>
      </c>
      <c r="AR5443" t="s">
        <v>30384</v>
      </c>
    </row>
    <row>
      <c t="s">
        <v>17594</v>
      </c>
      <c t="s">
        <v>56153</v>
      </c>
      <c t="s">
        <v>30008</v>
      </c>
      <c t="s">
        <v>3111</v>
      </c>
      <c t="s">
        <v>17045</v>
      </c>
      <c s="3">
        <v>399793</v>
      </c>
      <c s="3">
        <v>399793</v>
      </c>
      <c s="3">
        <v>399793</v>
      </c>
      <c>
        <v>0</v>
      </c>
      <c s="3">
        <v>0</v>
      </c>
      <c s="3">
        <v>6636.76</v>
      </c>
      <c s="3">
        <v>399793</v>
      </c>
      <c r="O5444" s="1" t="str">
        <f ca="1">HYPERLINK("https://web.datatree.com/?/property?propertyId=34151672", "https://web.datatree.com/?/property?propertyId=34151672")</f>
        <v>https://web.datatree.com/?/property?propertyId=34151672</v>
      </c>
      <c r="Q5444" t="s">
        <v>316</v>
      </c>
      <c>
        <v>0.312</v>
      </c>
      <c t="s">
        <v>3410</v>
      </c>
      <c t="s">
        <v>8762</v>
      </c>
      <c t="s">
        <v>16003</v>
      </c>
      <c t="s">
        <v>32273</v>
      </c>
      <c t="s">
        <v>16003</v>
      </c>
      <c t="s">
        <v>40842</v>
      </c>
      <c t="s">
        <v>60943</v>
      </c>
      <c t="s">
        <v>2517</v>
      </c>
      <c t="s">
        <v>39289</v>
      </c>
      <c>
        <v>33904</v>
      </c>
      <c t="s">
        <v>35552</v>
      </c>
      <c t="s">
        <v>48794</v>
      </c>
      <c t="s">
        <v>7495</v>
      </c>
      <c>
        <v>1021</v>
      </c>
      <c r="AI5444" t="s">
        <v>60839</v>
      </c>
      <c t="s">
        <v>40123</v>
      </c>
      <c r="AL5444" t="s">
        <v>6911</v>
      </c>
      <c r="AN5444" t="s">
        <v>66651</v>
      </c>
      <c t="s">
        <v>19892</v>
      </c>
      <c t="s">
        <v>60160</v>
      </c>
      <c t="s">
        <v>3093</v>
      </c>
      <c t="s">
        <v>18449</v>
      </c>
    </row>
    <row>
      <c t="s">
        <v>17594</v>
      </c>
      <c t="s">
        <v>15778</v>
      </c>
      <c t="s">
        <v>27445</v>
      </c>
      <c t="s">
        <v>11409</v>
      </c>
      <c t="s">
        <v>23934</v>
      </c>
      <c s="3">
        <v>20580</v>
      </c>
      <c s="3">
        <v>20580</v>
      </c>
      <c s="3">
        <v>8591</v>
      </c>
      <c>
        <v>0</v>
      </c>
      <c s="3">
        <v>0</v>
      </c>
      <c s="3">
        <v>671.14</v>
      </c>
      <c s="3">
        <v>20580</v>
      </c>
      <c r="O5445" s="1" t="str">
        <f ca="1">HYPERLINK("https://web.datatree.com/?/property?propertyId=34152331", "https://web.datatree.com/?/property?propertyId=34152331")</f>
        <v>https://web.datatree.com/?/property?propertyId=34152331</v>
      </c>
      <c r="Q5445" t="s">
        <v>316</v>
      </c>
      <c>
        <v>0.344</v>
      </c>
      <c t="s">
        <v>6175</v>
      </c>
      <c t="s">
        <v>24692</v>
      </c>
      <c t="s">
        <v>11833</v>
      </c>
      <c t="s">
        <v>773</v>
      </c>
      <c t="s">
        <v>11833</v>
      </c>
      <c t="s">
        <v>29746</v>
      </c>
      <c t="s">
        <v>50440</v>
      </c>
      <c t="s">
        <v>2517</v>
      </c>
      <c t="s">
        <v>39289</v>
      </c>
      <c>
        <v>33909</v>
      </c>
      <c t="s">
        <v>3221</v>
      </c>
      <c t="s">
        <v>48794</v>
      </c>
      <c t="s">
        <v>31847</v>
      </c>
      <c>
        <v>705</v>
      </c>
      <c r="AI5445" t="s">
        <v>50661</v>
      </c>
      <c t="s">
        <v>835</v>
      </c>
      <c r="AL5445" t="s">
        <v>7331</v>
      </c>
      <c t="s">
        <v>7331</v>
      </c>
      <c t="s">
        <v>50917</v>
      </c>
      <c t="s">
        <v>17859</v>
      </c>
      <c t="s">
        <v>61719</v>
      </c>
      <c t="s">
        <v>3093</v>
      </c>
      <c t="s">
        <v>66042</v>
      </c>
    </row>
    <row>
      <c t="s">
        <v>17594</v>
      </c>
      <c t="s">
        <v>38886</v>
      </c>
      <c t="s">
        <v>55933</v>
      </c>
      <c t="s">
        <v>65734</v>
      </c>
      <c t="s">
        <v>62965</v>
      </c>
      <c s="3">
        <v>134700</v>
      </c>
      <c s="3">
        <v>134700</v>
      </c>
      <c s="3">
        <v>134700</v>
      </c>
      <c>
        <v>0</v>
      </c>
      <c s="3">
        <v>0</v>
      </c>
      <c s="3">
        <v>2421.68</v>
      </c>
      <c s="3">
        <v>134700</v>
      </c>
      <c r="O5446" s="1" t="str">
        <f ca="1">HYPERLINK("https://web.datatree.com/?/property?propertyId=34152433", "https://web.datatree.com/?/property?propertyId=34152433")</f>
        <v>https://web.datatree.com/?/property?propertyId=34152433</v>
      </c>
      <c r="Q5446" t="s">
        <v>316</v>
      </c>
      <c>
        <v>0.23</v>
      </c>
      <c t="s">
        <v>22490</v>
      </c>
      <c t="s">
        <v>40487</v>
      </c>
      <c t="s">
        <v>28260</v>
      </c>
      <c r="X5446" t="s">
        <v>19261</v>
      </c>
      <c t="s">
        <v>49074</v>
      </c>
      <c t="s">
        <v>2517</v>
      </c>
      <c t="s">
        <v>39289</v>
      </c>
      <c>
        <v>33904</v>
      </c>
      <c t="s">
        <v>2852</v>
      </c>
      <c t="s">
        <v>48794</v>
      </c>
      <c t="s">
        <v>26653</v>
      </c>
      <c>
        <v>501</v>
      </c>
      <c r="AI5446" t="s">
        <v>5105</v>
      </c>
      <c t="s">
        <v>45393</v>
      </c>
      <c>
        <v>108</v>
      </c>
      <c t="s">
        <v>21604</v>
      </c>
      <c t="s">
        <v>21604</v>
      </c>
      <c t="s">
        <v>50829</v>
      </c>
      <c t="s">
        <v>66866</v>
      </c>
      <c t="s">
        <v>11138</v>
      </c>
      <c t="s">
        <v>3093</v>
      </c>
      <c t="s">
        <v>55267</v>
      </c>
    </row>
    <row>
      <c t="s">
        <v>17594</v>
      </c>
      <c t="s">
        <v>56478</v>
      </c>
      <c t="s">
        <v>10893</v>
      </c>
      <c t="s">
        <v>11823</v>
      </c>
      <c t="s">
        <v>41265</v>
      </c>
      <c s="3">
        <v>17382</v>
      </c>
      <c s="3">
        <v>17382</v>
      </c>
      <c s="3">
        <v>17382</v>
      </c>
      <c>
        <v>0</v>
      </c>
      <c s="3">
        <v>0</v>
      </c>
      <c s="3">
        <v>601.67</v>
      </c>
      <c s="3">
        <v>17382</v>
      </c>
      <c>
        <v>2021</v>
      </c>
      <c>
        <v>593.96</v>
      </c>
      <c s="1" t="str">
        <f ca="1">HYPERLINK("https://web.datatree.com/?/property?propertyId=34153019", "https://web.datatree.com/?/property?propertyId=34153019")</f>
        <v>https://web.datatree.com/?/property?propertyId=34153019</v>
      </c>
      <c r="Q5447" t="s">
        <v>316</v>
      </c>
      <c>
        <v>0.23</v>
      </c>
      <c t="s">
        <v>6175</v>
      </c>
      <c t="s">
        <v>66002</v>
      </c>
      <c t="s">
        <v>13919</v>
      </c>
      <c r="X5447" t="s">
        <v>4167</v>
      </c>
      <c t="s">
        <v>10653</v>
      </c>
      <c t="s">
        <v>2517</v>
      </c>
      <c t="s">
        <v>39289</v>
      </c>
      <c>
        <v>33909</v>
      </c>
      <c t="s">
        <v>1646</v>
      </c>
      <c t="s">
        <v>48794</v>
      </c>
      <c t="s">
        <v>14187</v>
      </c>
      <c>
        <v>3706</v>
      </c>
      <c r="AI5447" t="s">
        <v>2646</v>
      </c>
      <c r="AK5447" t="s">
        <v>28898</v>
      </c>
      <c t="s">
        <v>21600</v>
      </c>
      <c r="AN5447" t="s">
        <v>65451</v>
      </c>
      <c t="s">
        <v>41121</v>
      </c>
      <c t="s">
        <v>43294</v>
      </c>
      <c t="s">
        <v>3093</v>
      </c>
      <c t="s">
        <v>1304</v>
      </c>
    </row>
    <row>
      <c t="s">
        <v>17594</v>
      </c>
      <c t="s">
        <v>18174</v>
      </c>
      <c t="s">
        <v>64783</v>
      </c>
      <c t="s">
        <v>23706</v>
      </c>
      <c t="s">
        <v>51411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>
        <v>2021</v>
      </c>
      <c>
        <v>527.13</v>
      </c>
      <c s="1" t="str">
        <f ca="1">HYPERLINK("https://web.datatree.com/?/property?propertyId=34153093", "https://web.datatree.com/?/property?propertyId=34153093")</f>
        <v>https://web.datatree.com/?/property?propertyId=34153093</v>
      </c>
      <c r="Q5448" t="s">
        <v>316</v>
      </c>
      <c>
        <v>0.23</v>
      </c>
      <c t="s">
        <v>6175</v>
      </c>
      <c t="s">
        <v>10361</v>
      </c>
      <c t="s">
        <v>39890</v>
      </c>
      <c r="X5448" t="s">
        <v>51884</v>
      </c>
      <c t="s">
        <v>50440</v>
      </c>
      <c t="s">
        <v>2517</v>
      </c>
      <c t="s">
        <v>39289</v>
      </c>
      <c>
        <v>33909</v>
      </c>
      <c t="s">
        <v>18259</v>
      </c>
      <c t="s">
        <v>48794</v>
      </c>
      <c t="s">
        <v>25462</v>
      </c>
      <c>
        <v>10944</v>
      </c>
      <c r="AI5448" t="s">
        <v>33686</v>
      </c>
      <c t="s">
        <v>45393</v>
      </c>
      <c r="AL5448" t="s">
        <v>67217</v>
      </c>
      <c r="AN5448" t="s">
        <v>50917</v>
      </c>
      <c t="s">
        <v>42931</v>
      </c>
      <c t="s">
        <v>21201</v>
      </c>
      <c t="s">
        <v>3093</v>
      </c>
      <c t="s">
        <v>53753</v>
      </c>
    </row>
    <row>
      <c t="s">
        <v>17594</v>
      </c>
      <c t="s">
        <v>8437</v>
      </c>
      <c t="s">
        <v>19935</v>
      </c>
      <c t="s">
        <v>34802</v>
      </c>
      <c t="s">
        <v>62936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5449" s="1" t="str">
        <f ca="1">HYPERLINK("https://web.datatree.com/?/property?propertyId=34154342", "https://web.datatree.com/?/property?propertyId=34154342")</f>
        <v>https://web.datatree.com/?/property?propertyId=34154342</v>
      </c>
      <c r="Q5449" t="s">
        <v>316</v>
      </c>
      <c>
        <v>0.23</v>
      </c>
      <c t="s">
        <v>22490</v>
      </c>
      <c t="s">
        <v>8423</v>
      </c>
      <c t="s">
        <v>7586</v>
      </c>
      <c r="X5449" t="s">
        <v>18857</v>
      </c>
      <c t="s">
        <v>47150</v>
      </c>
      <c t="s">
        <v>2517</v>
      </c>
      <c t="s">
        <v>39289</v>
      </c>
      <c>
        <v>33909</v>
      </c>
      <c t="s">
        <v>12002</v>
      </c>
      <c t="s">
        <v>48794</v>
      </c>
      <c t="s">
        <v>41734</v>
      </c>
      <c>
        <v>3505</v>
      </c>
      <c r="AI5449" t="s">
        <v>34269</v>
      </c>
      <c t="s">
        <v>45393</v>
      </c>
      <c r="AL5449" t="s">
        <v>29515</v>
      </c>
      <c t="s">
        <v>29515</v>
      </c>
      <c t="s">
        <v>39289</v>
      </c>
      <c t="s">
        <v>57415</v>
      </c>
      <c t="s">
        <v>4491</v>
      </c>
      <c t="s">
        <v>3093</v>
      </c>
      <c t="s">
        <v>65481</v>
      </c>
    </row>
    <row>
      <c t="s">
        <v>17594</v>
      </c>
      <c t="s">
        <v>27804</v>
      </c>
      <c t="s">
        <v>25322</v>
      </c>
      <c t="s">
        <v>64886</v>
      </c>
      <c t="s">
        <v>62202</v>
      </c>
      <c s="3">
        <v>47408</v>
      </c>
      <c s="3">
        <v>47408</v>
      </c>
      <c s="3">
        <v>41601</v>
      </c>
      <c>
        <v>0</v>
      </c>
      <c s="3">
        <v>0</v>
      </c>
      <c s="3">
        <v>1156.94</v>
      </c>
      <c s="3">
        <v>47408</v>
      </c>
      <c r="O5450" s="1" t="str">
        <f ca="1">HYPERLINK("https://web.datatree.com/?/property?propertyId=34155765", "https://web.datatree.com/?/property?propertyId=34155765")</f>
        <v>https://web.datatree.com/?/property?propertyId=34155765</v>
      </c>
      <c r="Q5450" t="s">
        <v>316</v>
      </c>
      <c>
        <v>0.263</v>
      </c>
      <c t="s">
        <v>22490</v>
      </c>
      <c t="s">
        <v>552</v>
      </c>
      <c t="s">
        <v>55646</v>
      </c>
      <c t="s">
        <v>65497</v>
      </c>
      <c t="s">
        <v>55646</v>
      </c>
      <c t="s">
        <v>48932</v>
      </c>
      <c t="s">
        <v>46469</v>
      </c>
      <c t="s">
        <v>2517</v>
      </c>
      <c t="s">
        <v>39289</v>
      </c>
      <c>
        <v>33909</v>
      </c>
      <c>
        <v>33909</v>
      </c>
      <c t="s">
        <v>48794</v>
      </c>
      <c t="s">
        <v>42508</v>
      </c>
      <c>
        <v>5826</v>
      </c>
      <c r="AI5450" t="s">
        <v>31848</v>
      </c>
      <c t="s">
        <v>31192</v>
      </c>
      <c r="AL5450" t="s">
        <v>21662</v>
      </c>
      <c r="AN5450" t="s">
        <v>51087</v>
      </c>
      <c t="s">
        <v>51834</v>
      </c>
      <c t="s">
        <v>4357</v>
      </c>
      <c t="s">
        <v>3093</v>
      </c>
      <c t="s">
        <v>52972</v>
      </c>
    </row>
    <row>
      <c t="s">
        <v>17594</v>
      </c>
      <c t="s">
        <v>13872</v>
      </c>
      <c t="s">
        <v>42570</v>
      </c>
      <c t="s">
        <v>23034</v>
      </c>
      <c t="s">
        <v>13058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451" s="1" t="str">
        <f ca="1">HYPERLINK("https://web.datatree.com/?/property?propertyId=34155868", "https://web.datatree.com/?/property?propertyId=34155868")</f>
        <v>https://web.datatree.com/?/property?propertyId=34155868</v>
      </c>
      <c r="Q5451" t="s">
        <v>316</v>
      </c>
      <c>
        <v>0.23</v>
      </c>
      <c t="s">
        <v>22490</v>
      </c>
      <c r="U5451" t="s">
        <v>5002</v>
      </c>
      <c r="W5451" t="s">
        <v>61553</v>
      </c>
      <c t="s">
        <v>27935</v>
      </c>
      <c t="s">
        <v>34136</v>
      </c>
      <c t="s">
        <v>2517</v>
      </c>
      <c t="s">
        <v>39289</v>
      </c>
      <c>
        <v>33904</v>
      </c>
      <c t="s">
        <v>19442</v>
      </c>
      <c t="s">
        <v>48794</v>
      </c>
      <c t="s">
        <v>8395</v>
      </c>
      <c>
        <v>9280</v>
      </c>
      <c r="AH5451" t="s">
        <v>60953</v>
      </c>
      <c t="s">
        <v>30928</v>
      </c>
      <c t="s">
        <v>24900</v>
      </c>
      <c r="AL5451" t="s">
        <v>3402</v>
      </c>
      <c r="AN5451" t="s">
        <v>39289</v>
      </c>
      <c t="s">
        <v>17236</v>
      </c>
      <c t="s">
        <v>21054</v>
      </c>
      <c t="s">
        <v>3093</v>
      </c>
      <c t="s">
        <v>26947</v>
      </c>
    </row>
    <row>
      <c t="s">
        <v>17594</v>
      </c>
      <c t="s">
        <v>12134</v>
      </c>
      <c t="s">
        <v>28854</v>
      </c>
      <c t="s">
        <v>9471</v>
      </c>
      <c t="s">
        <v>4358</v>
      </c>
      <c s="3">
        <v>24711</v>
      </c>
      <c s="3">
        <v>24711</v>
      </c>
      <c s="3">
        <v>9900</v>
      </c>
      <c>
        <v>0</v>
      </c>
      <c s="3">
        <v>0</v>
      </c>
      <c s="3">
        <v>613.14</v>
      </c>
      <c s="3">
        <v>24711</v>
      </c>
      <c r="O5452" s="1" t="str">
        <f ca="1">HYPERLINK("https://web.datatree.com/?/property?propertyId=34156507", "https://web.datatree.com/?/property?propertyId=34156507")</f>
        <v>https://web.datatree.com/?/property?propertyId=34156507</v>
      </c>
      <c r="Q5452" t="s">
        <v>316</v>
      </c>
      <c>
        <v>0.23</v>
      </c>
      <c t="s">
        <v>22490</v>
      </c>
      <c t="s">
        <v>37826</v>
      </c>
      <c t="s">
        <v>15107</v>
      </c>
      <c r="X5452" t="s">
        <v>52274</v>
      </c>
      <c t="s">
        <v>371</v>
      </c>
      <c t="s">
        <v>2517</v>
      </c>
      <c t="s">
        <v>39289</v>
      </c>
      <c>
        <v>33909</v>
      </c>
      <c t="s">
        <v>1440</v>
      </c>
      <c t="s">
        <v>48794</v>
      </c>
      <c t="s">
        <v>54394</v>
      </c>
      <c>
        <v>270</v>
      </c>
      <c r="AI5452" t="s">
        <v>5105</v>
      </c>
      <c t="s">
        <v>45393</v>
      </c>
      <c>
        <v>3</v>
      </c>
      <c t="s">
        <v>22842</v>
      </c>
      <c r="AN5452" t="s">
        <v>26016</v>
      </c>
      <c t="s">
        <v>25297</v>
      </c>
      <c t="s">
        <v>27780</v>
      </c>
      <c t="s">
        <v>3093</v>
      </c>
      <c t="s">
        <v>50523</v>
      </c>
    </row>
    <row>
      <c t="s">
        <v>17594</v>
      </c>
      <c t="s">
        <v>48541</v>
      </c>
      <c t="s">
        <v>12118</v>
      </c>
      <c t="s">
        <v>50900</v>
      </c>
      <c t="s">
        <v>13894</v>
      </c>
      <c s="3">
        <v>35296</v>
      </c>
      <c s="3">
        <v>35296</v>
      </c>
      <c s="3">
        <v>35196</v>
      </c>
      <c>
        <v>0</v>
      </c>
      <c s="3">
        <v>0</v>
      </c>
      <c s="3">
        <v>488.4</v>
      </c>
      <c s="3">
        <v>35296</v>
      </c>
      <c r="O5453" s="1" t="str">
        <f ca="1">HYPERLINK("https://web.datatree.com/?/property?propertyId=34156774", "https://web.datatree.com/?/property?propertyId=34156774")</f>
        <v>https://web.datatree.com/?/property?propertyId=34156774</v>
      </c>
      <c r="Q5453" t="s">
        <v>316</v>
      </c>
      <c>
        <v>0.06</v>
      </c>
      <c t="s">
        <v>54329</v>
      </c>
      <c t="s">
        <v>1859</v>
      </c>
      <c t="s">
        <v>19459</v>
      </c>
      <c t="s">
        <v>16893</v>
      </c>
      <c t="s">
        <v>19459</v>
      </c>
      <c t="s">
        <v>26482</v>
      </c>
      <c t="s">
        <v>65979</v>
      </c>
      <c t="s">
        <v>65059</v>
      </c>
      <c t="s">
        <v>39289</v>
      </c>
      <c>
        <v>33908</v>
      </c>
      <c>
        <v>33908</v>
      </c>
      <c t="s">
        <v>48794</v>
      </c>
      <c t="s">
        <v>21225</v>
      </c>
      <c>
        <v>34</v>
      </c>
      <c r="AI5453" t="s">
        <v>55715</v>
      </c>
      <c t="s">
        <v>26125</v>
      </c>
      <c r="AL5453" t="s">
        <v>56032</v>
      </c>
      <c t="s">
        <v>56032</v>
      </c>
      <c t="s">
        <v>27747</v>
      </c>
      <c t="s">
        <v>4365</v>
      </c>
      <c t="s">
        <v>61719</v>
      </c>
      <c t="s">
        <v>3093</v>
      </c>
      <c t="s">
        <v>45972</v>
      </c>
    </row>
    <row>
      <c t="s">
        <v>17594</v>
      </c>
      <c t="s">
        <v>21254</v>
      </c>
      <c t="s">
        <v>53689</v>
      </c>
      <c t="s">
        <v>36856</v>
      </c>
      <c t="s">
        <v>30949</v>
      </c>
      <c s="3">
        <v>20214</v>
      </c>
      <c s="3">
        <v>20214</v>
      </c>
      <c s="3">
        <v>8800</v>
      </c>
      <c>
        <v>0</v>
      </c>
      <c s="3">
        <v>0</v>
      </c>
      <c s="3">
        <v>594.3</v>
      </c>
      <c s="3">
        <v>20214</v>
      </c>
      <c r="O5454" s="1" t="str">
        <f ca="1">HYPERLINK("https://web.datatree.com/?/property?propertyId=34157475", "https://web.datatree.com/?/property?propertyId=34157475")</f>
        <v>https://web.datatree.com/?/property?propertyId=34157475</v>
      </c>
      <c r="Q5454" t="s">
        <v>316</v>
      </c>
      <c>
        <v>0.23</v>
      </c>
      <c t="s">
        <v>22490</v>
      </c>
      <c r="U5454" t="s">
        <v>25933</v>
      </c>
      <c r="W5454" t="s">
        <v>1728</v>
      </c>
      <c t="s">
        <v>46286</v>
      </c>
      <c t="s">
        <v>49122</v>
      </c>
      <c t="s">
        <v>2517</v>
      </c>
      <c t="s">
        <v>39289</v>
      </c>
      <c>
        <v>33909</v>
      </c>
      <c>
        <v>33909</v>
      </c>
      <c t="s">
        <v>48794</v>
      </c>
      <c t="s">
        <v>25018</v>
      </c>
      <c>
        <v>4507</v>
      </c>
      <c r="AI5454" t="s">
        <v>4904</v>
      </c>
      <c t="s">
        <v>31192</v>
      </c>
      <c r="AL5454" t="s">
        <v>16673</v>
      </c>
      <c r="AN5454" t="s">
        <v>65451</v>
      </c>
      <c t="s">
        <v>22863</v>
      </c>
      <c t="s">
        <v>23888</v>
      </c>
      <c t="s">
        <v>3093</v>
      </c>
      <c t="s">
        <v>15205</v>
      </c>
    </row>
    <row>
      <c t="s">
        <v>17594</v>
      </c>
      <c t="s">
        <v>27312</v>
      </c>
      <c t="s">
        <v>40298</v>
      </c>
      <c t="s">
        <v>51870</v>
      </c>
      <c t="s">
        <v>41421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>
        <v>2019</v>
      </c>
      <c>
        <v>2825.64</v>
      </c>
      <c s="1" t="str">
        <f ca="1">HYPERLINK("https://web.datatree.com/?/property?propertyId=34157690", "https://web.datatree.com/?/property?propertyId=34157690")</f>
        <v>https://web.datatree.com/?/property?propertyId=34157690</v>
      </c>
      <c r="Q5455" t="s">
        <v>316</v>
      </c>
      <c>
        <v>0.23</v>
      </c>
      <c t="s">
        <v>6175</v>
      </c>
      <c t="s">
        <v>3293</v>
      </c>
      <c t="s">
        <v>20551</v>
      </c>
      <c t="s">
        <v>65497</v>
      </c>
      <c t="s">
        <v>20551</v>
      </c>
      <c t="s">
        <v>34808</v>
      </c>
      <c t="s">
        <v>2619</v>
      </c>
      <c t="s">
        <v>2517</v>
      </c>
      <c t="s">
        <v>39289</v>
      </c>
      <c>
        <v>33909</v>
      </c>
      <c t="s">
        <v>6980</v>
      </c>
      <c t="s">
        <v>48794</v>
      </c>
      <c t="s">
        <v>35912</v>
      </c>
      <c>
        <v>5920</v>
      </c>
      <c r="AI5455" t="s">
        <v>50455</v>
      </c>
      <c t="s">
        <v>45393</v>
      </c>
      <c r="AL5455" t="s">
        <v>23972</v>
      </c>
      <c r="AN5455" t="s">
        <v>19878</v>
      </c>
      <c t="s">
        <v>53744</v>
      </c>
      <c t="s">
        <v>56186</v>
      </c>
      <c t="s">
        <v>3093</v>
      </c>
      <c t="s">
        <v>55012</v>
      </c>
    </row>
    <row>
      <c t="s">
        <v>17594</v>
      </c>
      <c t="s">
        <v>12048</v>
      </c>
      <c t="s">
        <v>59505</v>
      </c>
      <c t="s">
        <v>824</v>
      </c>
      <c t="s">
        <v>15600</v>
      </c>
      <c s="3">
        <v>51578</v>
      </c>
      <c s="3">
        <v>51578</v>
      </c>
      <c s="3">
        <v>37400</v>
      </c>
      <c>
        <v>0</v>
      </c>
      <c s="3">
        <v>0</v>
      </c>
      <c s="3">
        <v>601.33</v>
      </c>
      <c s="3">
        <v>51578</v>
      </c>
      <c r="O5456" s="1" t="str">
        <f ca="1">HYPERLINK("https://web.datatree.com/?/property?propertyId=34158000", "https://web.datatree.com/?/property?propertyId=34158000")</f>
        <v>https://web.datatree.com/?/property?propertyId=34158000</v>
      </c>
      <c r="Q5456" t="s">
        <v>316</v>
      </c>
      <c>
        <v>0.34</v>
      </c>
      <c t="s">
        <v>5471</v>
      </c>
      <c r="U5456" t="s">
        <v>62451</v>
      </c>
      <c r="W5456" t="s">
        <v>20818</v>
      </c>
      <c t="s">
        <v>32609</v>
      </c>
      <c t="s">
        <v>58278</v>
      </c>
      <c t="s">
        <v>65059</v>
      </c>
      <c t="s">
        <v>39289</v>
      </c>
      <c>
        <v>33908</v>
      </c>
      <c t="s">
        <v>34806</v>
      </c>
      <c t="s">
        <v>48794</v>
      </c>
      <c t="s">
        <v>22167</v>
      </c>
      <c>
        <v>5412</v>
      </c>
      <c r="AI5456" t="s">
        <v>64469</v>
      </c>
      <c r="AL5456" t="s">
        <v>46933</v>
      </c>
      <c r="AN5456" t="s">
        <v>58733</v>
      </c>
      <c t="s">
        <v>29028</v>
      </c>
      <c t="s">
        <v>51100</v>
      </c>
      <c t="s">
        <v>3093</v>
      </c>
      <c t="s">
        <v>34184</v>
      </c>
    </row>
    <row>
      <c t="s">
        <v>17594</v>
      </c>
      <c t="s">
        <v>35763</v>
      </c>
      <c t="s">
        <v>23137</v>
      </c>
      <c t="s">
        <v>60078</v>
      </c>
      <c t="s">
        <v>10730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5457" s="1" t="str">
        <f ca="1">HYPERLINK("https://web.datatree.com/?/property?propertyId=34158364", "https://web.datatree.com/?/property?propertyId=34158364")</f>
        <v>https://web.datatree.com/?/property?propertyId=34158364</v>
      </c>
      <c r="Q5457" t="s">
        <v>316</v>
      </c>
      <c>
        <v>0.244</v>
      </c>
      <c t="s">
        <v>28270</v>
      </c>
      <c t="s">
        <v>53790</v>
      </c>
      <c t="s">
        <v>64617</v>
      </c>
      <c t="s">
        <v>63047</v>
      </c>
      <c t="s">
        <v>64617</v>
      </c>
      <c t="s">
        <v>54380</v>
      </c>
      <c t="s">
        <v>39777</v>
      </c>
      <c t="s">
        <v>2517</v>
      </c>
      <c t="s">
        <v>39289</v>
      </c>
      <c>
        <v>33909</v>
      </c>
      <c t="s">
        <v>33501</v>
      </c>
      <c t="s">
        <v>48794</v>
      </c>
      <c t="s">
        <v>41863</v>
      </c>
      <c>
        <v>37618</v>
      </c>
      <c r="AI5457" t="s">
        <v>10305</v>
      </c>
      <c t="s">
        <v>45620</v>
      </c>
      <c r="AL5457" t="s">
        <v>41177</v>
      </c>
      <c t="s">
        <v>13731</v>
      </c>
      <c t="s">
        <v>51137</v>
      </c>
      <c t="s">
        <v>61851</v>
      </c>
      <c t="s">
        <v>60160</v>
      </c>
      <c t="s">
        <v>3093</v>
      </c>
      <c t="s">
        <v>22659</v>
      </c>
    </row>
    <row>
      <c t="s">
        <v>17594</v>
      </c>
      <c t="s">
        <v>35146</v>
      </c>
      <c t="s">
        <v>13108</v>
      </c>
      <c t="s">
        <v>15247</v>
      </c>
      <c t="s">
        <v>12540</v>
      </c>
      <c s="3">
        <v>8568</v>
      </c>
      <c s="3">
        <v>8568</v>
      </c>
      <c s="3">
        <v>7700</v>
      </c>
      <c>
        <v>0</v>
      </c>
      <c s="3">
        <v>0</v>
      </c>
      <c s="3">
        <v>127.8</v>
      </c>
      <c s="3">
        <v>8568</v>
      </c>
      <c r="O5458" s="1" t="str">
        <f ca="1">HYPERLINK("https://web.datatree.com/?/property?propertyId=34158369", "https://web.datatree.com/?/property?propertyId=34158369")</f>
        <v>https://web.datatree.com/?/property?propertyId=34158369</v>
      </c>
      <c r="Q5458" t="s">
        <v>316</v>
      </c>
      <c>
        <v>0.112</v>
      </c>
      <c t="s">
        <v>36917</v>
      </c>
      <c t="s">
        <v>7006</v>
      </c>
      <c t="s">
        <v>53968</v>
      </c>
      <c r="X5458" t="s">
        <v>28008</v>
      </c>
      <c t="s">
        <v>13255</v>
      </c>
      <c t="s">
        <v>54524</v>
      </c>
      <c t="s">
        <v>39289</v>
      </c>
      <c>
        <v>33903</v>
      </c>
      <c t="s">
        <v>53203</v>
      </c>
      <c t="s">
        <v>48794</v>
      </c>
      <c t="s">
        <v>44671</v>
      </c>
      <c>
        <v>71</v>
      </c>
      <c r="AI5458" t="s">
        <v>47657</v>
      </c>
      <c t="s">
        <v>29535</v>
      </c>
      <c r="AL5458" t="s">
        <v>31388</v>
      </c>
      <c r="AN5458" t="s">
        <v>58811</v>
      </c>
      <c t="s">
        <v>61559</v>
      </c>
      <c r="AQ5458" t="s">
        <v>27814</v>
      </c>
      <c t="s">
        <v>63002</v>
      </c>
    </row>
    <row>
      <c t="s">
        <v>17594</v>
      </c>
      <c t="s">
        <v>33340</v>
      </c>
      <c t="s">
        <v>48305</v>
      </c>
      <c t="s">
        <v>40421</v>
      </c>
      <c t="s">
        <v>22044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459" s="1" t="str">
        <f ca="1">HYPERLINK("https://web.datatree.com/?/property?propertyId=34159172", "https://web.datatree.com/?/property?propertyId=34159172")</f>
        <v>https://web.datatree.com/?/property?propertyId=34159172</v>
      </c>
      <c r="Q5459" t="s">
        <v>316</v>
      </c>
      <c>
        <v>0.23</v>
      </c>
      <c t="s">
        <v>42044</v>
      </c>
      <c t="s">
        <v>10361</v>
      </c>
      <c t="s">
        <v>63943</v>
      </c>
      <c r="X5459" t="s">
        <v>55181</v>
      </c>
      <c t="s">
        <v>13478</v>
      </c>
      <c t="s">
        <v>2517</v>
      </c>
      <c t="s">
        <v>39289</v>
      </c>
      <c>
        <v>33909</v>
      </c>
      <c t="s">
        <v>47940</v>
      </c>
      <c t="s">
        <v>48794</v>
      </c>
      <c t="s">
        <v>21689</v>
      </c>
      <c>
        <v>219</v>
      </c>
      <c r="AI5459" t="s">
        <v>61866</v>
      </c>
      <c t="s">
        <v>31192</v>
      </c>
      <c>
        <v>11974</v>
      </c>
      <c t="s">
        <v>23703</v>
      </c>
      <c r="AN5459" t="s">
        <v>18236</v>
      </c>
      <c t="s">
        <v>57526</v>
      </c>
      <c t="s">
        <v>18692</v>
      </c>
      <c t="s">
        <v>3093</v>
      </c>
      <c t="s">
        <v>23754</v>
      </c>
    </row>
    <row>
      <c t="s">
        <v>17594</v>
      </c>
      <c t="s">
        <v>15707</v>
      </c>
      <c t="s">
        <v>63991</v>
      </c>
      <c t="s">
        <v>3196</v>
      </c>
      <c t="s">
        <v>46858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460" s="1" t="str">
        <f ca="1">HYPERLINK("https://web.datatree.com/?/property?propertyId=34160168", "https://web.datatree.com/?/property?propertyId=34160168")</f>
        <v>https://web.datatree.com/?/property?propertyId=34160168</v>
      </c>
      <c r="Q5460" t="s">
        <v>316</v>
      </c>
      <c>
        <v>0.23</v>
      </c>
      <c t="s">
        <v>22490</v>
      </c>
      <c t="s">
        <v>40759</v>
      </c>
      <c t="s">
        <v>56047</v>
      </c>
      <c t="s">
        <v>25924</v>
      </c>
      <c t="s">
        <v>56047</v>
      </c>
      <c t="s">
        <v>55059</v>
      </c>
      <c t="s">
        <v>47150</v>
      </c>
      <c t="s">
        <v>2517</v>
      </c>
      <c t="s">
        <v>39289</v>
      </c>
      <c>
        <v>33909</v>
      </c>
      <c t="s">
        <v>34864</v>
      </c>
      <c t="s">
        <v>48794</v>
      </c>
      <c t="s">
        <v>59155</v>
      </c>
      <c>
        <v>12</v>
      </c>
      <c r="AI5460" t="s">
        <v>51840</v>
      </c>
      <c t="s">
        <v>45620</v>
      </c>
      <c r="AL5460" t="s">
        <v>37286</v>
      </c>
      <c t="s">
        <v>37286</v>
      </c>
      <c t="s">
        <v>26016</v>
      </c>
      <c t="s">
        <v>50285</v>
      </c>
      <c t="s">
        <v>41946</v>
      </c>
      <c t="s">
        <v>3093</v>
      </c>
      <c t="s">
        <v>53515</v>
      </c>
    </row>
    <row>
      <c t="s">
        <v>17594</v>
      </c>
      <c t="s">
        <v>42256</v>
      </c>
      <c t="s">
        <v>50877</v>
      </c>
      <c t="s">
        <v>13769</v>
      </c>
      <c t="s">
        <v>44727</v>
      </c>
      <c s="3">
        <v>28000</v>
      </c>
      <c s="3">
        <v>28000</v>
      </c>
      <c s="3">
        <v>28000</v>
      </c>
      <c>
        <v>0</v>
      </c>
      <c s="3">
        <v>0</v>
      </c>
      <c s="3">
        <v>842.37</v>
      </c>
      <c s="3">
        <v>28000</v>
      </c>
      <c>
        <v>2021</v>
      </c>
      <c>
        <v>612.9</v>
      </c>
      <c s="1" t="str">
        <f ca="1">HYPERLINK("https://web.datatree.com/?/property?propertyId=34160252", "https://web.datatree.com/?/property?propertyId=34160252")</f>
        <v>https://web.datatree.com/?/property?propertyId=34160252</v>
      </c>
      <c r="Q5461" t="s">
        <v>316</v>
      </c>
      <c>
        <v>0.258</v>
      </c>
      <c t="s">
        <v>6175</v>
      </c>
      <c t="s">
        <v>47754</v>
      </c>
      <c t="s">
        <v>36584</v>
      </c>
      <c r="X5461" t="s">
        <v>64680</v>
      </c>
      <c t="s">
        <v>39082</v>
      </c>
      <c t="s">
        <v>2517</v>
      </c>
      <c t="s">
        <v>39289</v>
      </c>
      <c>
        <v>33909</v>
      </c>
      <c t="s">
        <v>3749</v>
      </c>
      <c t="s">
        <v>48794</v>
      </c>
      <c t="s">
        <v>51885</v>
      </c>
      <c>
        <v>621</v>
      </c>
      <c r="AI5461" t="s">
        <v>34731</v>
      </c>
      <c t="s">
        <v>41372</v>
      </c>
      <c r="AL5461" t="s">
        <v>29515</v>
      </c>
      <c t="s">
        <v>29515</v>
      </c>
      <c t="s">
        <v>39289</v>
      </c>
      <c t="s">
        <v>65243</v>
      </c>
      <c t="s">
        <v>34162</v>
      </c>
      <c t="s">
        <v>3093</v>
      </c>
      <c t="s">
        <v>34787</v>
      </c>
    </row>
    <row>
      <c t="s">
        <v>17594</v>
      </c>
      <c t="s">
        <v>23838</v>
      </c>
      <c t="s">
        <v>29497</v>
      </c>
      <c t="s">
        <v>52435</v>
      </c>
      <c t="s">
        <v>22410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5462" s="1" t="str">
        <f ca="1">HYPERLINK("https://web.datatree.com/?/property?propertyId=34160254", "https://web.datatree.com/?/property?propertyId=34160254")</f>
        <v>https://web.datatree.com/?/property?propertyId=34160254</v>
      </c>
      <c r="Q5462" t="s">
        <v>316</v>
      </c>
      <c>
        <v>0.23</v>
      </c>
      <c t="s">
        <v>6175</v>
      </c>
      <c t="s">
        <v>24110</v>
      </c>
      <c t="s">
        <v>2122</v>
      </c>
      <c r="X5462" t="s">
        <v>15293</v>
      </c>
      <c t="s">
        <v>22731</v>
      </c>
      <c t="s">
        <v>2517</v>
      </c>
      <c t="s">
        <v>39289</v>
      </c>
      <c>
        <v>33909</v>
      </c>
      <c t="s">
        <v>7519</v>
      </c>
      <c t="s">
        <v>48794</v>
      </c>
      <c t="s">
        <v>1571</v>
      </c>
      <c>
        <v>1704</v>
      </c>
      <c r="AI5462" t="s">
        <v>26612</v>
      </c>
      <c t="s">
        <v>835</v>
      </c>
      <c r="AL5462" t="s">
        <v>38297</v>
      </c>
      <c t="s">
        <v>38297</v>
      </c>
      <c t="s">
        <v>27222</v>
      </c>
      <c t="s">
        <v>5724</v>
      </c>
      <c t="s">
        <v>23888</v>
      </c>
      <c t="s">
        <v>3093</v>
      </c>
      <c t="s">
        <v>37769</v>
      </c>
    </row>
    <row>
      <c t="s">
        <v>17594</v>
      </c>
      <c t="s">
        <v>22978</v>
      </c>
      <c t="s">
        <v>23526</v>
      </c>
      <c t="s">
        <v>14578</v>
      </c>
      <c t="s">
        <v>61906</v>
      </c>
      <c s="3">
        <v>210596</v>
      </c>
      <c s="3">
        <v>210596</v>
      </c>
      <c s="3">
        <v>210596</v>
      </c>
      <c>
        <v>0</v>
      </c>
      <c s="3">
        <v>0</v>
      </c>
      <c s="3">
        <v>3740.07</v>
      </c>
      <c s="3">
        <v>210596</v>
      </c>
      <c r="O5463" s="1" t="str">
        <f ca="1">HYPERLINK("https://web.datatree.com/?/property?propertyId=34160325", "https://web.datatree.com/?/property?propertyId=34160325")</f>
        <v>https://web.datatree.com/?/property?propertyId=34160325</v>
      </c>
      <c r="Q5463" t="s">
        <v>316</v>
      </c>
      <c>
        <v>0.23</v>
      </c>
      <c t="s">
        <v>22490</v>
      </c>
      <c t="s">
        <v>7107</v>
      </c>
      <c t="s">
        <v>25835</v>
      </c>
      <c r="X5463" t="s">
        <v>55671</v>
      </c>
      <c t="s">
        <v>53663</v>
      </c>
      <c t="s">
        <v>2517</v>
      </c>
      <c t="s">
        <v>39289</v>
      </c>
      <c>
        <v>33904</v>
      </c>
      <c t="s">
        <v>36587</v>
      </c>
      <c t="s">
        <v>48794</v>
      </c>
      <c t="s">
        <v>2785</v>
      </c>
      <c>
        <v>50</v>
      </c>
      <c r="AI5463" t="s">
        <v>22297</v>
      </c>
      <c t="s">
        <v>24900</v>
      </c>
      <c t="s">
        <v>55629</v>
      </c>
      <c t="s">
        <v>13397</v>
      </c>
      <c t="s">
        <v>13397</v>
      </c>
      <c t="s">
        <v>50917</v>
      </c>
      <c t="s">
        <v>62342</v>
      </c>
      <c t="s">
        <v>23744</v>
      </c>
      <c t="s">
        <v>3093</v>
      </c>
      <c t="s">
        <v>12672</v>
      </c>
    </row>
    <row>
      <c t="s">
        <v>17594</v>
      </c>
      <c t="s">
        <v>41445</v>
      </c>
      <c t="s">
        <v>5018</v>
      </c>
      <c t="s">
        <v>47891</v>
      </c>
      <c t="s">
        <v>53068</v>
      </c>
      <c s="3">
        <v>8000</v>
      </c>
      <c s="3">
        <v>8000</v>
      </c>
      <c s="3">
        <v>8000</v>
      </c>
      <c>
        <v>0</v>
      </c>
      <c s="3">
        <v>0</v>
      </c>
      <c s="3">
        <v>588.39</v>
      </c>
      <c s="3">
        <v>8000</v>
      </c>
      <c>
        <v>2020</v>
      </c>
      <c>
        <v>1763.39</v>
      </c>
      <c s="1" t="str">
        <f ca="1">HYPERLINK("https://web.datatree.com/?/property?propertyId=34161652", "https://web.datatree.com/?/property?propertyId=34161652")</f>
        <v>https://web.datatree.com/?/property?propertyId=34161652</v>
      </c>
      <c r="Q5464" t="s">
        <v>316</v>
      </c>
      <c>
        <v>0.241</v>
      </c>
      <c t="s">
        <v>22490</v>
      </c>
      <c t="s">
        <v>61844</v>
      </c>
      <c t="s">
        <v>26081</v>
      </c>
      <c r="X5464" t="s">
        <v>10016</v>
      </c>
      <c t="s">
        <v>38550</v>
      </c>
      <c t="s">
        <v>2517</v>
      </c>
      <c t="s">
        <v>39289</v>
      </c>
      <c>
        <v>33909</v>
      </c>
      <c t="s">
        <v>40205</v>
      </c>
      <c t="s">
        <v>48794</v>
      </c>
      <c t="s">
        <v>21491</v>
      </c>
      <c>
        <v>1</v>
      </c>
      <c r="AI5464" t="s">
        <v>63884</v>
      </c>
      <c t="s">
        <v>45620</v>
      </c>
      <c r="AL5464" t="s">
        <v>41064</v>
      </c>
      <c r="AN5464" t="s">
        <v>7234</v>
      </c>
      <c>
        <v>0</v>
      </c>
      <c r="AR5464" t="s">
        <v>8332</v>
      </c>
    </row>
    <row>
      <c t="s">
        <v>17594</v>
      </c>
      <c t="s">
        <v>37494</v>
      </c>
      <c t="s">
        <v>66566</v>
      </c>
      <c t="s">
        <v>2598</v>
      </c>
      <c t="s">
        <v>28721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5465" s="1" t="str">
        <f ca="1">HYPERLINK("https://web.datatree.com/?/property?propertyId=34161672", "https://web.datatree.com/?/property?propertyId=34161672")</f>
        <v>https://web.datatree.com/?/property?propertyId=34161672</v>
      </c>
      <c r="Q5465" t="s">
        <v>316</v>
      </c>
      <c>
        <v>0.244</v>
      </c>
      <c t="s">
        <v>6175</v>
      </c>
      <c t="s">
        <v>57851</v>
      </c>
      <c t="s">
        <v>55245</v>
      </c>
      <c t="s">
        <v>12173</v>
      </c>
      <c t="s">
        <v>55245</v>
      </c>
      <c t="s">
        <v>33074</v>
      </c>
      <c t="s">
        <v>18679</v>
      </c>
      <c t="s">
        <v>2517</v>
      </c>
      <c t="s">
        <v>39289</v>
      </c>
      <c>
        <v>33909</v>
      </c>
      <c t="s">
        <v>17583</v>
      </c>
      <c t="s">
        <v>48794</v>
      </c>
      <c t="s">
        <v>49225</v>
      </c>
      <c>
        <v>100</v>
      </c>
      <c r="AI5465" t="s">
        <v>7271</v>
      </c>
      <c t="s">
        <v>7412</v>
      </c>
      <c r="AL5465" t="s">
        <v>12742</v>
      </c>
      <c r="AN5465" t="s">
        <v>48152</v>
      </c>
      <c t="s">
        <v>65554</v>
      </c>
      <c t="s">
        <v>13315</v>
      </c>
      <c t="s">
        <v>3093</v>
      </c>
      <c t="s">
        <v>63368</v>
      </c>
    </row>
    <row>
      <c t="s">
        <v>17594</v>
      </c>
      <c t="s">
        <v>61440</v>
      </c>
      <c t="s">
        <v>55841</v>
      </c>
      <c t="s">
        <v>19857</v>
      </c>
      <c t="s">
        <v>32251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5466" s="1" t="str">
        <f ca="1">HYPERLINK("https://web.datatree.com/?/property?propertyId=34162089", "https://web.datatree.com/?/property?propertyId=34162089")</f>
        <v>https://web.datatree.com/?/property?propertyId=34162089</v>
      </c>
      <c r="Q5466" t="s">
        <v>316</v>
      </c>
      <c>
        <v>0.23</v>
      </c>
      <c t="s">
        <v>45031</v>
      </c>
      <c t="s">
        <v>578</v>
      </c>
      <c t="s">
        <v>43775</v>
      </c>
      <c r="X5466" t="s">
        <v>11365</v>
      </c>
      <c t="s">
        <v>10653</v>
      </c>
      <c t="s">
        <v>2517</v>
      </c>
      <c t="s">
        <v>39289</v>
      </c>
      <c>
        <v>33909</v>
      </c>
      <c t="s">
        <v>42017</v>
      </c>
      <c t="s">
        <v>48794</v>
      </c>
      <c t="s">
        <v>21340</v>
      </c>
      <c>
        <v>1906</v>
      </c>
      <c r="AH5466" t="s">
        <v>52165</v>
      </c>
      <c t="s">
        <v>66701</v>
      </c>
      <c t="s">
        <v>45393</v>
      </c>
      <c r="AL5466" t="s">
        <v>33575</v>
      </c>
      <c t="s">
        <v>33575</v>
      </c>
      <c t="s">
        <v>4477</v>
      </c>
      <c t="s">
        <v>64840</v>
      </c>
      <c t="s">
        <v>12241</v>
      </c>
      <c t="s">
        <v>3093</v>
      </c>
      <c t="s">
        <v>32543</v>
      </c>
    </row>
    <row>
      <c t="s">
        <v>17594</v>
      </c>
      <c t="s">
        <v>12905</v>
      </c>
      <c t="s">
        <v>18760</v>
      </c>
      <c t="s">
        <v>11880</v>
      </c>
      <c t="s">
        <v>52161</v>
      </c>
      <c s="3">
        <v>55793</v>
      </c>
      <c s="3">
        <v>55793</v>
      </c>
      <c s="3">
        <v>20543</v>
      </c>
      <c>
        <v>0</v>
      </c>
      <c s="3">
        <v>0</v>
      </c>
      <c s="3">
        <v>856.75</v>
      </c>
      <c s="3">
        <v>55793</v>
      </c>
      <c>
        <v>2021</v>
      </c>
      <c>
        <v>914.95</v>
      </c>
      <c s="1" t="str">
        <f ca="1">HYPERLINK("https://web.datatree.com/?/property?propertyId=34162093", "https://web.datatree.com/?/property?propertyId=34162093")</f>
        <v>https://web.datatree.com/?/property?propertyId=34162093</v>
      </c>
      <c r="Q5467" t="s">
        <v>316</v>
      </c>
      <c>
        <v>0.23</v>
      </c>
      <c t="s">
        <v>6175</v>
      </c>
      <c t="s">
        <v>44927</v>
      </c>
      <c t="s">
        <v>13943</v>
      </c>
      <c r="X5467" t="s">
        <v>10091</v>
      </c>
      <c t="s">
        <v>5115</v>
      </c>
      <c t="s">
        <v>2517</v>
      </c>
      <c t="s">
        <v>39289</v>
      </c>
      <c>
        <v>33904</v>
      </c>
      <c t="s">
        <v>56228</v>
      </c>
      <c t="s">
        <v>48794</v>
      </c>
      <c t="s">
        <v>17176</v>
      </c>
      <c>
        <v>1521</v>
      </c>
      <c r="AI5467" t="s">
        <v>64265</v>
      </c>
      <c t="s">
        <v>40123</v>
      </c>
      <c r="AL5467" t="s">
        <v>55393</v>
      </c>
      <c r="AN5467" t="s">
        <v>39289</v>
      </c>
      <c t="s">
        <v>35419</v>
      </c>
      <c t="s">
        <v>5800</v>
      </c>
      <c t="s">
        <v>3093</v>
      </c>
      <c t="s">
        <v>58773</v>
      </c>
    </row>
    <row>
      <c t="s">
        <v>42103</v>
      </c>
      <c t="s">
        <v>50541</v>
      </c>
      <c t="s">
        <v>17812</v>
      </c>
      <c t="s">
        <v>4116</v>
      </c>
      <c t="s">
        <v>53779</v>
      </c>
      <c s="3">
        <v>355237</v>
      </c>
      <c s="3">
        <v>351343</v>
      </c>
      <c s="3">
        <v>143433</v>
      </c>
      <c>
        <v>0</v>
      </c>
      <c s="3">
        <v>0</v>
      </c>
      <c s="3">
        <v>3418.15</v>
      </c>
      <c s="3">
        <v>355237</v>
      </c>
      <c r="O5468" s="1" t="str">
        <f ca="1">HYPERLINK("https://web.datatree.com/?/property?propertyId=34164165", "https://web.datatree.com/?/property?propertyId=34164165")</f>
        <v>https://web.datatree.com/?/property?propertyId=34164165</v>
      </c>
      <c r="Q5468" t="s">
        <v>316</v>
      </c>
      <c>
        <v>0.378</v>
      </c>
      <c t="s">
        <v>22490</v>
      </c>
      <c t="s">
        <v>2140</v>
      </c>
      <c t="s">
        <v>43598</v>
      </c>
      <c r="X5468" t="s">
        <v>36841</v>
      </c>
      <c t="s">
        <v>13065</v>
      </c>
      <c t="s">
        <v>2517</v>
      </c>
      <c t="s">
        <v>39289</v>
      </c>
      <c>
        <v>33904</v>
      </c>
      <c>
        <v>33904</v>
      </c>
      <c t="s">
        <v>48794</v>
      </c>
      <c t="s">
        <v>17830</v>
      </c>
      <c r="AI5468" t="s">
        <v>17913</v>
      </c>
      <c r="AL5468" t="s">
        <v>6263</v>
      </c>
      <c r="AN5468" t="s">
        <v>39289</v>
      </c>
      <c t="s">
        <v>12088</v>
      </c>
      <c t="s">
        <v>8251</v>
      </c>
      <c t="s">
        <v>3093</v>
      </c>
      <c t="s">
        <v>24142</v>
      </c>
    </row>
    <row>
      <c t="s">
        <v>17594</v>
      </c>
      <c t="s">
        <v>51371</v>
      </c>
      <c t="s">
        <v>13621</v>
      </c>
      <c t="s">
        <v>59774</v>
      </c>
      <c t="s">
        <v>8964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>
        <v>2019</v>
      </c>
      <c>
        <v>2785</v>
      </c>
      <c s="1" t="str">
        <f ca="1">HYPERLINK("https://web.datatree.com/?/property?propertyId=34164704", "https://web.datatree.com/?/property?propertyId=34164704")</f>
        <v>https://web.datatree.com/?/property?propertyId=34164704</v>
      </c>
      <c r="Q5469" t="s">
        <v>316</v>
      </c>
      <c>
        <v>0.23</v>
      </c>
      <c t="s">
        <v>42044</v>
      </c>
      <c t="s">
        <v>24179</v>
      </c>
      <c t="s">
        <v>28989</v>
      </c>
      <c r="X5469" t="s">
        <v>35888</v>
      </c>
      <c t="s">
        <v>61144</v>
      </c>
      <c t="s">
        <v>2517</v>
      </c>
      <c t="s">
        <v>39289</v>
      </c>
      <c>
        <v>33909</v>
      </c>
      <c t="s">
        <v>34574</v>
      </c>
      <c t="s">
        <v>48794</v>
      </c>
      <c t="s">
        <v>27648</v>
      </c>
      <c r="AI5469" t="s">
        <v>23396</v>
      </c>
      <c r="AL5469" t="s">
        <v>60998</v>
      </c>
      <c r="AN5469" t="s">
        <v>14798</v>
      </c>
      <c r="AR5469" t="s">
        <v>44613</v>
      </c>
    </row>
    <row>
      <c t="s">
        <v>17594</v>
      </c>
      <c t="s">
        <v>38656</v>
      </c>
      <c t="s">
        <v>66553</v>
      </c>
      <c t="s">
        <v>65352</v>
      </c>
      <c t="s">
        <v>15626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>
        <v>2021</v>
      </c>
      <c>
        <v>599.85</v>
      </c>
      <c s="1" t="str">
        <f ca="1">HYPERLINK("https://web.datatree.com/?/property?propertyId=34164904", "https://web.datatree.com/?/property?propertyId=34164904")</f>
        <v>https://web.datatree.com/?/property?propertyId=34164904</v>
      </c>
      <c r="Q5470" t="s">
        <v>316</v>
      </c>
      <c>
        <v>0.23</v>
      </c>
      <c t="s">
        <v>22490</v>
      </c>
      <c t="s">
        <v>17967</v>
      </c>
      <c t="s">
        <v>43850</v>
      </c>
      <c r="X5470" t="s">
        <v>56532</v>
      </c>
      <c t="s">
        <v>61850</v>
      </c>
      <c t="s">
        <v>2517</v>
      </c>
      <c t="s">
        <v>39289</v>
      </c>
      <c>
        <v>33909</v>
      </c>
      <c t="s">
        <v>35955</v>
      </c>
      <c t="s">
        <v>48794</v>
      </c>
      <c t="s">
        <v>22509</v>
      </c>
      <c>
        <v>6312</v>
      </c>
      <c r="AI5470" t="s">
        <v>11467</v>
      </c>
      <c t="s">
        <v>45620</v>
      </c>
      <c r="AL5470" t="s">
        <v>54743</v>
      </c>
      <c r="AN5470" t="s">
        <v>19878</v>
      </c>
      <c t="s">
        <v>359</v>
      </c>
      <c t="s">
        <v>64128</v>
      </c>
      <c t="s">
        <v>3093</v>
      </c>
      <c t="s">
        <v>1164</v>
      </c>
    </row>
    <row>
      <c t="s">
        <v>17594</v>
      </c>
      <c t="s">
        <v>30885</v>
      </c>
      <c t="s">
        <v>49821</v>
      </c>
      <c t="s">
        <v>5257</v>
      </c>
      <c t="s">
        <v>62728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471" s="1" t="str">
        <f ca="1">HYPERLINK("https://web.datatree.com/?/property?propertyId=34165529", "https://web.datatree.com/?/property?propertyId=34165529")</f>
        <v>https://web.datatree.com/?/property?propertyId=34165529</v>
      </c>
      <c r="Q5471" t="s">
        <v>316</v>
      </c>
      <c>
        <v>0.23</v>
      </c>
      <c t="s">
        <v>22490</v>
      </c>
      <c t="s">
        <v>1662</v>
      </c>
      <c t="s">
        <v>33331</v>
      </c>
      <c r="X5471" t="s">
        <v>21236</v>
      </c>
      <c t="s">
        <v>53675</v>
      </c>
      <c t="s">
        <v>2517</v>
      </c>
      <c t="s">
        <v>39289</v>
      </c>
      <c>
        <v>33909</v>
      </c>
      <c t="s">
        <v>31418</v>
      </c>
      <c t="s">
        <v>48794</v>
      </c>
      <c t="s">
        <v>36933</v>
      </c>
      <c>
        <v>26</v>
      </c>
      <c r="AI5471" t="s">
        <v>50238</v>
      </c>
      <c r="AL5471" t="s">
        <v>57122</v>
      </c>
      <c r="AN5471" t="s">
        <v>41825</v>
      </c>
      <c t="s">
        <v>45193</v>
      </c>
      <c r="AR5471" t="s">
        <v>36097</v>
      </c>
    </row>
    <row>
      <c t="s">
        <v>17594</v>
      </c>
      <c t="s">
        <v>19387</v>
      </c>
      <c t="s">
        <v>30258</v>
      </c>
      <c t="s">
        <v>58257</v>
      </c>
      <c t="s">
        <v>24721</v>
      </c>
      <c s="3">
        <v>137500</v>
      </c>
      <c s="3">
        <v>137500</v>
      </c>
      <c s="3">
        <v>121000</v>
      </c>
      <c>
        <v>0</v>
      </c>
      <c s="3">
        <v>0</v>
      </c>
      <c s="3">
        <v>2843.07</v>
      </c>
      <c s="3">
        <v>137500</v>
      </c>
      <c r="O5472" s="1" t="str">
        <f ca="1">HYPERLINK("https://web.datatree.com/?/property?propertyId=34166041", "https://web.datatree.com/?/property?propertyId=34166041")</f>
        <v>https://web.datatree.com/?/property?propertyId=34166041</v>
      </c>
      <c r="Q5472" t="s">
        <v>316</v>
      </c>
      <c>
        <v>0.23</v>
      </c>
      <c t="s">
        <v>22490</v>
      </c>
      <c t="s">
        <v>66812</v>
      </c>
      <c t="s">
        <v>14751</v>
      </c>
      <c t="s">
        <v>38408</v>
      </c>
      <c r="X5472" t="s">
        <v>43094</v>
      </c>
      <c t="s">
        <v>5115</v>
      </c>
      <c t="s">
        <v>2517</v>
      </c>
      <c t="s">
        <v>39289</v>
      </c>
      <c>
        <v>33904</v>
      </c>
      <c t="s">
        <v>13920</v>
      </c>
      <c t="s">
        <v>48794</v>
      </c>
      <c t="s">
        <v>9193</v>
      </c>
      <c>
        <v>12</v>
      </c>
      <c r="AI5472" t="s">
        <v>44554</v>
      </c>
      <c t="s">
        <v>45620</v>
      </c>
      <c r="AL5472" t="s">
        <v>1393</v>
      </c>
      <c t="s">
        <v>1393</v>
      </c>
      <c t="s">
        <v>27747</v>
      </c>
      <c t="s">
        <v>34401</v>
      </c>
      <c t="s">
        <v>48506</v>
      </c>
      <c t="s">
        <v>3093</v>
      </c>
      <c t="s">
        <v>48552</v>
      </c>
    </row>
    <row>
      <c t="s">
        <v>17594</v>
      </c>
      <c t="s">
        <v>33373</v>
      </c>
      <c t="s">
        <v>46817</v>
      </c>
      <c t="s">
        <v>44615</v>
      </c>
      <c t="s">
        <v>43758</v>
      </c>
      <c s="3">
        <v>29840</v>
      </c>
      <c s="3">
        <v>29840</v>
      </c>
      <c s="3">
        <v>8712</v>
      </c>
      <c>
        <v>0</v>
      </c>
      <c s="3">
        <v>0</v>
      </c>
      <c s="3">
        <v>2952</v>
      </c>
      <c s="3">
        <v>29840</v>
      </c>
      <c r="O5473" s="1" t="str">
        <f ca="1">HYPERLINK("https://web.datatree.com/?/property?propertyId=34166056", "https://web.datatree.com/?/property?propertyId=34166056")</f>
        <v>https://web.datatree.com/?/property?propertyId=34166056</v>
      </c>
      <c r="Q5473" t="s">
        <v>316</v>
      </c>
      <c>
        <v>0.255</v>
      </c>
      <c t="s">
        <v>6175</v>
      </c>
      <c t="s">
        <v>1272</v>
      </c>
      <c t="s">
        <v>50945</v>
      </c>
      <c r="X5473" t="s">
        <v>48815</v>
      </c>
      <c t="s">
        <v>59356</v>
      </c>
      <c t="s">
        <v>2517</v>
      </c>
      <c t="s">
        <v>39289</v>
      </c>
      <c>
        <v>33909</v>
      </c>
      <c t="s">
        <v>9460</v>
      </c>
      <c t="s">
        <v>48794</v>
      </c>
      <c t="s">
        <v>46353</v>
      </c>
      <c>
        <v>287</v>
      </c>
      <c r="AI5473" t="s">
        <v>4141</v>
      </c>
      <c t="s">
        <v>24900</v>
      </c>
      <c r="AL5473" t="s">
        <v>18221</v>
      </c>
      <c r="AN5473" t="s">
        <v>50917</v>
      </c>
      <c t="s">
        <v>47561</v>
      </c>
      <c t="s">
        <v>49977</v>
      </c>
      <c t="s">
        <v>3093</v>
      </c>
      <c t="s">
        <v>16969</v>
      </c>
    </row>
    <row>
      <c t="s">
        <v>17594</v>
      </c>
      <c t="s">
        <v>49744</v>
      </c>
      <c t="s">
        <v>39479</v>
      </c>
      <c t="s">
        <v>20377</v>
      </c>
      <c t="s">
        <v>21343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5474" s="1" t="str">
        <f ca="1">HYPERLINK("https://web.datatree.com/?/property?propertyId=34166133", "https://web.datatree.com/?/property?propertyId=34166133")</f>
        <v>https://web.datatree.com/?/property?propertyId=34166133</v>
      </c>
      <c r="Q5474" t="s">
        <v>316</v>
      </c>
      <c>
        <v>0.241</v>
      </c>
      <c t="s">
        <v>6175</v>
      </c>
      <c r="U5474" t="s">
        <v>30002</v>
      </c>
      <c r="W5474" t="s">
        <v>23438</v>
      </c>
      <c t="s">
        <v>35816</v>
      </c>
      <c t="s">
        <v>38550</v>
      </c>
      <c t="s">
        <v>2517</v>
      </c>
      <c t="s">
        <v>39289</v>
      </c>
      <c>
        <v>33909</v>
      </c>
      <c t="s">
        <v>64381</v>
      </c>
      <c t="s">
        <v>48794</v>
      </c>
      <c t="s">
        <v>53898</v>
      </c>
      <c>
        <v>105</v>
      </c>
      <c r="AI5474" t="s">
        <v>35578</v>
      </c>
      <c t="s">
        <v>31192</v>
      </c>
      <c r="AL5474" t="s">
        <v>45465</v>
      </c>
      <c r="AN5474" t="s">
        <v>27747</v>
      </c>
      <c t="s">
        <v>47320</v>
      </c>
      <c t="s">
        <v>52247</v>
      </c>
      <c t="s">
        <v>3093</v>
      </c>
      <c t="s">
        <v>35779</v>
      </c>
    </row>
    <row>
      <c t="s">
        <v>17594</v>
      </c>
      <c t="s">
        <v>49781</v>
      </c>
      <c t="s">
        <v>53443</v>
      </c>
      <c t="s">
        <v>2892</v>
      </c>
      <c t="s">
        <v>395</v>
      </c>
      <c s="3">
        <v>10600</v>
      </c>
      <c s="3">
        <v>10600</v>
      </c>
      <c s="3">
        <v>9339</v>
      </c>
      <c>
        <v>0</v>
      </c>
      <c s="3">
        <v>0</v>
      </c>
      <c s="3">
        <v>2880.21</v>
      </c>
      <c s="3">
        <v>10600</v>
      </c>
      <c r="O5475" s="1" t="str">
        <f ca="1">HYPERLINK("https://web.datatree.com/?/property?propertyId=34166300", "https://web.datatree.com/?/property?propertyId=34166300")</f>
        <v>https://web.datatree.com/?/property?propertyId=34166300</v>
      </c>
      <c r="Q5475" t="s">
        <v>316</v>
      </c>
      <c>
        <v>0.23</v>
      </c>
      <c t="s">
        <v>6175</v>
      </c>
      <c t="s">
        <v>6294</v>
      </c>
      <c t="s">
        <v>36961</v>
      </c>
      <c t="s">
        <v>3293</v>
      </c>
      <c t="s">
        <v>36961</v>
      </c>
      <c t="s">
        <v>40207</v>
      </c>
      <c t="s">
        <v>18679</v>
      </c>
      <c t="s">
        <v>2517</v>
      </c>
      <c t="s">
        <v>39289</v>
      </c>
      <c>
        <v>33909</v>
      </c>
      <c t="s">
        <v>38331</v>
      </c>
      <c t="s">
        <v>48794</v>
      </c>
      <c t="s">
        <v>40628</v>
      </c>
      <c>
        <v>223</v>
      </c>
      <c r="AI5475" t="s">
        <v>38261</v>
      </c>
      <c t="s">
        <v>30541</v>
      </c>
      <c r="AL5475" t="s">
        <v>20838</v>
      </c>
      <c r="AN5475" t="s">
        <v>32657</v>
      </c>
      <c t="s">
        <v>34891</v>
      </c>
      <c t="s">
        <v>54916</v>
      </c>
      <c t="s">
        <v>3093</v>
      </c>
      <c t="s">
        <v>58302</v>
      </c>
    </row>
    <row>
      <c t="s">
        <v>17594</v>
      </c>
      <c t="s">
        <v>58223</v>
      </c>
      <c t="s">
        <v>41880</v>
      </c>
      <c t="s">
        <v>31215</v>
      </c>
      <c t="s">
        <v>3727</v>
      </c>
      <c s="3">
        <v>79570</v>
      </c>
      <c s="3">
        <v>70500</v>
      </c>
      <c s="3">
        <v>76249</v>
      </c>
      <c>
        <v>0</v>
      </c>
      <c s="3">
        <v>0</v>
      </c>
      <c s="3">
        <v>1164.9</v>
      </c>
      <c s="3">
        <v>79570</v>
      </c>
      <c r="O5476" s="1" t="str">
        <f ca="1">HYPERLINK("https://web.datatree.com/?/property?propertyId=34167202", "https://web.datatree.com/?/property?propertyId=34167202")</f>
        <v>https://web.datatree.com/?/property?propertyId=34167202</v>
      </c>
      <c r="Q5476" t="s">
        <v>316</v>
      </c>
      <c>
        <v>0.105</v>
      </c>
      <c t="s">
        <v>26492</v>
      </c>
      <c t="s">
        <v>21379</v>
      </c>
      <c t="s">
        <v>13571</v>
      </c>
      <c r="X5476" t="s">
        <v>62394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22640</v>
      </c>
      <c>
        <v>315</v>
      </c>
      <c r="AI5476" t="s">
        <v>57782</v>
      </c>
      <c t="s">
        <v>45620</v>
      </c>
      <c r="AL5476" t="s">
        <v>1501</v>
      </c>
      <c t="s">
        <v>40227</v>
      </c>
      <c t="s">
        <v>5982</v>
      </c>
      <c t="s">
        <v>17358</v>
      </c>
      <c t="s">
        <v>52247</v>
      </c>
      <c t="s">
        <v>3093</v>
      </c>
      <c t="s">
        <v>9612</v>
      </c>
    </row>
    <row>
      <c t="s">
        <v>17594</v>
      </c>
      <c t="s">
        <v>31893</v>
      </c>
      <c t="s">
        <v>20171</v>
      </c>
      <c t="s">
        <v>60378</v>
      </c>
      <c t="s">
        <v>34004</v>
      </c>
      <c s="3">
        <v>39960</v>
      </c>
      <c s="3">
        <v>39960</v>
      </c>
      <c s="3">
        <v>28551</v>
      </c>
      <c>
        <v>0</v>
      </c>
      <c s="3">
        <v>0</v>
      </c>
      <c s="3">
        <v>460.06</v>
      </c>
      <c s="3">
        <v>39960</v>
      </c>
      <c r="O5477" s="1" t="str">
        <f ca="1">HYPERLINK("https://web.datatree.com/?/property?propertyId=34167314", "https://web.datatree.com/?/property?propertyId=34167314")</f>
        <v>https://web.datatree.com/?/property?propertyId=34167314</v>
      </c>
      <c r="Q5477" t="s">
        <v>316</v>
      </c>
      <c>
        <v>0.063</v>
      </c>
      <c t="s">
        <v>45526</v>
      </c>
      <c r="U5477" t="s">
        <v>37394</v>
      </c>
      <c t="s">
        <v>26502</v>
      </c>
      <c t="s">
        <v>27656</v>
      </c>
      <c t="s">
        <v>50964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6112</v>
      </c>
      <c>
        <v>1384</v>
      </c>
      <c r="AI5477" t="s">
        <v>40925</v>
      </c>
      <c t="s">
        <v>31192</v>
      </c>
      <c r="AL5477" t="s">
        <v>48396</v>
      </c>
      <c r="AN5477" t="s">
        <v>17134</v>
      </c>
      <c t="s">
        <v>56388</v>
      </c>
      <c t="s">
        <v>26242</v>
      </c>
      <c t="s">
        <v>3093</v>
      </c>
      <c t="s">
        <v>66532</v>
      </c>
    </row>
    <row>
      <c t="s">
        <v>17594</v>
      </c>
      <c t="s">
        <v>48424</v>
      </c>
      <c t="s">
        <v>66893</v>
      </c>
      <c t="s">
        <v>19111</v>
      </c>
      <c t="s">
        <v>47792</v>
      </c>
      <c s="3">
        <v>41344</v>
      </c>
      <c s="3">
        <v>41344</v>
      </c>
      <c s="3">
        <v>22824</v>
      </c>
      <c>
        <v>0</v>
      </c>
      <c s="3">
        <v>0</v>
      </c>
      <c s="3">
        <v>876.47</v>
      </c>
      <c s="3">
        <v>41344</v>
      </c>
      <c r="O5478" s="1" t="str">
        <f ca="1">HYPERLINK("https://web.datatree.com/?/property?propertyId=34168380", "https://web.datatree.com/?/property?propertyId=34168380")</f>
        <v>https://web.datatree.com/?/property?propertyId=34168380</v>
      </c>
      <c r="Q5478" t="s">
        <v>316</v>
      </c>
      <c>
        <v>0.23</v>
      </c>
      <c t="s">
        <v>6175</v>
      </c>
      <c t="s">
        <v>14100</v>
      </c>
      <c t="s">
        <v>6755</v>
      </c>
      <c t="s">
        <v>52701</v>
      </c>
      <c t="s">
        <v>2767</v>
      </c>
      <c t="s">
        <v>54707</v>
      </c>
      <c t="s">
        <v>55273</v>
      </c>
      <c t="s">
        <v>2517</v>
      </c>
      <c t="s">
        <v>39289</v>
      </c>
      <c>
        <v>33904</v>
      </c>
      <c t="s">
        <v>10889</v>
      </c>
      <c t="s">
        <v>48794</v>
      </c>
      <c t="s">
        <v>54310</v>
      </c>
      <c>
        <v>2728</v>
      </c>
      <c r="AH5478" t="s">
        <v>26580</v>
      </c>
      <c t="s">
        <v>14917</v>
      </c>
      <c t="s">
        <v>31192</v>
      </c>
      <c>
        <v>309</v>
      </c>
      <c t="s">
        <v>15179</v>
      </c>
      <c r="AN5478" t="s">
        <v>39289</v>
      </c>
      <c t="s">
        <v>50542</v>
      </c>
      <c t="s">
        <v>5800</v>
      </c>
      <c t="s">
        <v>3093</v>
      </c>
      <c t="s">
        <v>1202</v>
      </c>
    </row>
    <row>
      <c t="s">
        <v>17594</v>
      </c>
      <c t="s">
        <v>17276</v>
      </c>
      <c t="s">
        <v>18042</v>
      </c>
      <c t="s">
        <v>26211</v>
      </c>
      <c t="s">
        <v>3666</v>
      </c>
      <c s="3">
        <v>26290</v>
      </c>
      <c s="3">
        <v>26290</v>
      </c>
      <c s="3">
        <v>12650</v>
      </c>
      <c>
        <v>0</v>
      </c>
      <c s="3">
        <v>0</v>
      </c>
      <c s="3">
        <v>3035.77</v>
      </c>
      <c s="3">
        <v>26290</v>
      </c>
      <c>
        <v>2021</v>
      </c>
      <c>
        <v>3337.46</v>
      </c>
      <c s="1" t="str">
        <f ca="1">HYPERLINK("https://web.datatree.com/?/property?propertyId=34168532", "https://web.datatree.com/?/property?propertyId=34168532")</f>
        <v>https://web.datatree.com/?/property?propertyId=34168532</v>
      </c>
      <c r="Q5479" t="s">
        <v>316</v>
      </c>
      <c>
        <v>0.255</v>
      </c>
      <c t="s">
        <v>22490</v>
      </c>
      <c t="s">
        <v>8597</v>
      </c>
      <c t="s">
        <v>17730</v>
      </c>
      <c t="s">
        <v>7874</v>
      </c>
      <c t="s">
        <v>36719</v>
      </c>
      <c t="s">
        <v>52370</v>
      </c>
      <c t="s">
        <v>2626</v>
      </c>
      <c t="s">
        <v>2517</v>
      </c>
      <c t="s">
        <v>39289</v>
      </c>
      <c>
        <v>33909</v>
      </c>
      <c t="s">
        <v>4142</v>
      </c>
      <c t="s">
        <v>48794</v>
      </c>
      <c t="s">
        <v>17023</v>
      </c>
      <c>
        <v>857</v>
      </c>
      <c r="AI5479" t="s">
        <v>7086</v>
      </c>
      <c r="AL5479" t="s">
        <v>21424</v>
      </c>
      <c r="AN5479" t="s">
        <v>513</v>
      </c>
      <c r="AR5479" t="s">
        <v>66063</v>
      </c>
    </row>
    <row>
      <c t="s">
        <v>17594</v>
      </c>
      <c t="s">
        <v>9108</v>
      </c>
      <c t="s">
        <v>36690</v>
      </c>
      <c t="s">
        <v>29406</v>
      </c>
      <c t="s">
        <v>21818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480" s="1" t="str">
        <f ca="1">HYPERLINK("https://web.datatree.com/?/property?propertyId=34168686", "https://web.datatree.com/?/property?propertyId=34168686")</f>
        <v>https://web.datatree.com/?/property?propertyId=34168686</v>
      </c>
      <c r="Q5480" t="s">
        <v>316</v>
      </c>
      <c>
        <v>0.23</v>
      </c>
      <c t="s">
        <v>22490</v>
      </c>
      <c t="s">
        <v>16557</v>
      </c>
      <c t="s">
        <v>7030</v>
      </c>
      <c r="X5480" t="s">
        <v>14315</v>
      </c>
      <c t="s">
        <v>23517</v>
      </c>
      <c t="s">
        <v>2517</v>
      </c>
      <c t="s">
        <v>39289</v>
      </c>
      <c>
        <v>33909</v>
      </c>
      <c t="s">
        <v>29934</v>
      </c>
      <c t="s">
        <v>48794</v>
      </c>
      <c t="s">
        <v>573</v>
      </c>
      <c>
        <v>46</v>
      </c>
      <c r="AI5480" t="s">
        <v>37788</v>
      </c>
      <c t="s">
        <v>45393</v>
      </c>
      <c r="AL5480" t="s">
        <v>31436</v>
      </c>
      <c r="AN5480" t="s">
        <v>19878</v>
      </c>
      <c>
        <v>38523</v>
      </c>
      <c r="AR5480" t="s">
        <v>11384</v>
      </c>
    </row>
    <row>
      <c t="s">
        <v>17594</v>
      </c>
      <c t="s">
        <v>60520</v>
      </c>
      <c t="s">
        <v>25945</v>
      </c>
      <c t="s">
        <v>61620</v>
      </c>
      <c t="s">
        <v>13087</v>
      </c>
      <c s="3">
        <v>26290</v>
      </c>
      <c s="3">
        <v>26290</v>
      </c>
      <c s="3">
        <v>26290</v>
      </c>
      <c>
        <v>0</v>
      </c>
      <c s="3">
        <v>0</v>
      </c>
      <c s="3">
        <v>789.75</v>
      </c>
      <c s="3">
        <v>26290</v>
      </c>
      <c r="O5481" s="1" t="str">
        <f ca="1">HYPERLINK("https://web.datatree.com/?/property?propertyId=34170193", "https://web.datatree.com/?/property?propertyId=34170193")</f>
        <v>https://web.datatree.com/?/property?propertyId=34170193</v>
      </c>
      <c r="Q5481" t="s">
        <v>316</v>
      </c>
      <c>
        <v>0.23</v>
      </c>
      <c t="s">
        <v>22490</v>
      </c>
      <c t="s">
        <v>19277</v>
      </c>
      <c t="s">
        <v>8249</v>
      </c>
      <c r="X5481" t="s">
        <v>28063</v>
      </c>
      <c t="s">
        <v>53675</v>
      </c>
      <c t="s">
        <v>2517</v>
      </c>
      <c t="s">
        <v>39289</v>
      </c>
      <c>
        <v>33909</v>
      </c>
      <c t="s">
        <v>10538</v>
      </c>
      <c t="s">
        <v>48794</v>
      </c>
      <c t="s">
        <v>60369</v>
      </c>
      <c>
        <v>186</v>
      </c>
      <c r="AI5481" t="s">
        <v>56216</v>
      </c>
      <c t="s">
        <v>45393</v>
      </c>
      <c r="AL5481" t="s">
        <v>51363</v>
      </c>
      <c r="AN5481" t="s">
        <v>26016</v>
      </c>
      <c t="s">
        <v>21919</v>
      </c>
      <c t="s">
        <v>34342</v>
      </c>
      <c t="s">
        <v>3093</v>
      </c>
      <c t="s">
        <v>41159</v>
      </c>
    </row>
    <row>
      <c t="s">
        <v>17594</v>
      </c>
      <c t="s">
        <v>21112</v>
      </c>
      <c t="s">
        <v>22029</v>
      </c>
      <c t="s">
        <v>20365</v>
      </c>
      <c t="s">
        <v>49587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5482" s="1" t="str">
        <f ca="1">HYPERLINK("https://web.datatree.com/?/property?propertyId=34170345", "https://web.datatree.com/?/property?propertyId=34170345")</f>
        <v>https://web.datatree.com/?/property?propertyId=34170345</v>
      </c>
      <c r="Q5482" t="s">
        <v>316</v>
      </c>
      <c>
        <v>0.232</v>
      </c>
      <c t="s">
        <v>22490</v>
      </c>
      <c t="s">
        <v>22450</v>
      </c>
      <c t="s">
        <v>50441</v>
      </c>
      <c t="s">
        <v>46578</v>
      </c>
      <c t="s">
        <v>63405</v>
      </c>
      <c t="s">
        <v>9033</v>
      </c>
      <c t="s">
        <v>66701</v>
      </c>
      <c t="s">
        <v>2517</v>
      </c>
      <c t="s">
        <v>39289</v>
      </c>
      <c>
        <v>33909</v>
      </c>
      <c t="s">
        <v>8769</v>
      </c>
      <c t="s">
        <v>48794</v>
      </c>
      <c t="s">
        <v>37955</v>
      </c>
      <c>
        <v>6</v>
      </c>
      <c r="AI5482" t="s">
        <v>45231</v>
      </c>
      <c t="s">
        <v>45393</v>
      </c>
      <c r="AL5482" t="s">
        <v>5749</v>
      </c>
      <c r="AN5482" t="s">
        <v>14509</v>
      </c>
      <c t="s">
        <v>24907</v>
      </c>
      <c t="s">
        <v>42082</v>
      </c>
      <c t="s">
        <v>3093</v>
      </c>
      <c t="s">
        <v>40805</v>
      </c>
    </row>
    <row>
      <c t="s">
        <v>17594</v>
      </c>
      <c t="s">
        <v>19310</v>
      </c>
      <c t="s">
        <v>64025</v>
      </c>
      <c t="s">
        <v>44013</v>
      </c>
      <c t="s">
        <v>65413</v>
      </c>
      <c s="3">
        <v>159120</v>
      </c>
      <c s="3">
        <v>159120</v>
      </c>
      <c s="3">
        <v>159120</v>
      </c>
      <c>
        <v>0</v>
      </c>
      <c s="3">
        <v>0</v>
      </c>
      <c s="3">
        <v>2342.54</v>
      </c>
      <c s="3">
        <v>159120</v>
      </c>
      <c r="O5483" s="1" t="str">
        <f ca="1">HYPERLINK("https://web.datatree.com/?/property?propertyId=34170508", "https://web.datatree.com/?/property?propertyId=34170508")</f>
        <v>https://web.datatree.com/?/property?propertyId=34170508</v>
      </c>
      <c r="Q5483" t="s">
        <v>316</v>
      </c>
      <c>
        <v>0.278</v>
      </c>
      <c t="s">
        <v>5471</v>
      </c>
      <c t="s">
        <v>62125</v>
      </c>
      <c t="s">
        <v>18202</v>
      </c>
      <c t="s">
        <v>40397</v>
      </c>
      <c t="s">
        <v>18202</v>
      </c>
      <c t="s">
        <v>32099</v>
      </c>
      <c t="s">
        <v>26710</v>
      </c>
      <c t="s">
        <v>54524</v>
      </c>
      <c t="s">
        <v>39289</v>
      </c>
      <c>
        <v>33903</v>
      </c>
      <c t="s">
        <v>37012</v>
      </c>
      <c t="s">
        <v>48794</v>
      </c>
      <c t="s">
        <v>43423</v>
      </c>
      <c>
        <v>40682</v>
      </c>
      <c r="AI5483" t="s">
        <v>64039</v>
      </c>
      <c t="s">
        <v>45620</v>
      </c>
      <c r="AL5483" t="s">
        <v>31984</v>
      </c>
      <c r="AN5483" t="s">
        <v>51137</v>
      </c>
      <c t="s">
        <v>48128</v>
      </c>
      <c t="s">
        <v>14695</v>
      </c>
      <c t="s">
        <v>3093</v>
      </c>
      <c t="s">
        <v>29180</v>
      </c>
    </row>
    <row>
      <c t="s">
        <v>17594</v>
      </c>
      <c t="s">
        <v>63247</v>
      </c>
      <c t="s">
        <v>2382</v>
      </c>
      <c t="s">
        <v>37061</v>
      </c>
      <c t="s">
        <v>66764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484" s="1" t="str">
        <f ca="1">HYPERLINK("https://web.datatree.com/?/property?propertyId=34170867", "https://web.datatree.com/?/property?propertyId=34170867")</f>
        <v>https://web.datatree.com/?/property?propertyId=34170867</v>
      </c>
      <c r="Q5484" t="s">
        <v>316</v>
      </c>
      <c>
        <v>0.23</v>
      </c>
      <c t="s">
        <v>22490</v>
      </c>
      <c t="s">
        <v>64030</v>
      </c>
      <c t="s">
        <v>54546</v>
      </c>
      <c t="s">
        <v>66603</v>
      </c>
      <c t="s">
        <v>54546</v>
      </c>
      <c t="s">
        <v>36656</v>
      </c>
      <c t="s">
        <v>29190</v>
      </c>
      <c t="s">
        <v>2517</v>
      </c>
      <c t="s">
        <v>39289</v>
      </c>
      <c>
        <v>33909</v>
      </c>
      <c t="s">
        <v>15520</v>
      </c>
      <c t="s">
        <v>48794</v>
      </c>
      <c t="s">
        <v>63051</v>
      </c>
      <c>
        <v>4520</v>
      </c>
      <c r="AH5484" t="s">
        <v>12549</v>
      </c>
      <c t="s">
        <v>35482</v>
      </c>
      <c t="s">
        <v>24900</v>
      </c>
      <c r="AL5484" t="s">
        <v>61724</v>
      </c>
      <c r="AN5484" t="s">
        <v>39289</v>
      </c>
      <c t="s">
        <v>45188</v>
      </c>
      <c t="s">
        <v>44428</v>
      </c>
      <c t="s">
        <v>3093</v>
      </c>
      <c t="s">
        <v>29155</v>
      </c>
    </row>
    <row>
      <c t="s">
        <v>17594</v>
      </c>
      <c t="s">
        <v>16975</v>
      </c>
      <c t="s">
        <v>55893</v>
      </c>
      <c t="s">
        <v>41262</v>
      </c>
      <c t="s">
        <v>15674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5485" s="1" t="str">
        <f ca="1">HYPERLINK("https://web.datatree.com/?/property?propertyId=34171989", "https://web.datatree.com/?/property?propertyId=34171989")</f>
        <v>https://web.datatree.com/?/property?propertyId=34171989</v>
      </c>
      <c r="Q5485" t="s">
        <v>316</v>
      </c>
      <c>
        <v>0.241</v>
      </c>
      <c t="s">
        <v>6175</v>
      </c>
      <c t="s">
        <v>4558</v>
      </c>
      <c t="s">
        <v>10733</v>
      </c>
      <c t="s">
        <v>44610</v>
      </c>
      <c t="s">
        <v>10733</v>
      </c>
      <c t="s">
        <v>67146</v>
      </c>
      <c t="s">
        <v>29190</v>
      </c>
      <c t="s">
        <v>2517</v>
      </c>
      <c t="s">
        <v>39289</v>
      </c>
      <c>
        <v>33909</v>
      </c>
      <c t="s">
        <v>124</v>
      </c>
      <c t="s">
        <v>48794</v>
      </c>
      <c t="s">
        <v>16117</v>
      </c>
      <c>
        <v>1603</v>
      </c>
      <c r="AI5485" t="s">
        <v>36408</v>
      </c>
      <c t="s">
        <v>1671</v>
      </c>
      <c r="AL5485" t="s">
        <v>18092</v>
      </c>
      <c t="s">
        <v>18092</v>
      </c>
      <c t="s">
        <v>39289</v>
      </c>
      <c t="s">
        <v>38219</v>
      </c>
      <c t="s">
        <v>34162</v>
      </c>
      <c t="s">
        <v>3093</v>
      </c>
      <c t="s">
        <v>38428</v>
      </c>
    </row>
    <row>
      <c t="s">
        <v>17594</v>
      </c>
      <c t="s">
        <v>52544</v>
      </c>
      <c t="s">
        <v>60718</v>
      </c>
      <c t="s">
        <v>63138</v>
      </c>
      <c t="s">
        <v>36909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 r="O5486" s="1" t="str">
        <f ca="1">HYPERLINK("https://web.datatree.com/?/property?propertyId=34172443", "https://web.datatree.com/?/property?propertyId=34172443")</f>
        <v>https://web.datatree.com/?/property?propertyId=34172443</v>
      </c>
      <c r="Q5486" t="s">
        <v>316</v>
      </c>
      <c>
        <v>0.241</v>
      </c>
      <c t="s">
        <v>6175</v>
      </c>
      <c t="s">
        <v>63877</v>
      </c>
      <c t="s">
        <v>7506</v>
      </c>
      <c t="s">
        <v>39768</v>
      </c>
      <c t="s">
        <v>7506</v>
      </c>
      <c t="s">
        <v>28836</v>
      </c>
      <c t="s">
        <v>2619</v>
      </c>
      <c t="s">
        <v>2517</v>
      </c>
      <c t="s">
        <v>39289</v>
      </c>
      <c>
        <v>33909</v>
      </c>
      <c t="s">
        <v>51558</v>
      </c>
      <c t="s">
        <v>48794</v>
      </c>
      <c t="s">
        <v>58451</v>
      </c>
      <c>
        <v>19630</v>
      </c>
      <c r="AI5486" t="s">
        <v>29884</v>
      </c>
      <c t="s">
        <v>45620</v>
      </c>
      <c r="AL5486" t="s">
        <v>25362</v>
      </c>
      <c r="AN5486" t="s">
        <v>65467</v>
      </c>
      <c t="s">
        <v>24748</v>
      </c>
      <c t="s">
        <v>4797</v>
      </c>
      <c t="s">
        <v>3093</v>
      </c>
      <c t="s">
        <v>55695</v>
      </c>
    </row>
    <row>
      <c t="s">
        <v>17594</v>
      </c>
      <c t="s">
        <v>18576</v>
      </c>
      <c t="s">
        <v>29138</v>
      </c>
      <c t="s">
        <v>50548</v>
      </c>
      <c t="s">
        <v>35391</v>
      </c>
      <c s="3">
        <v>24450</v>
      </c>
      <c s="3">
        <v>24450</v>
      </c>
      <c s="3">
        <v>24450</v>
      </c>
      <c>
        <v>0</v>
      </c>
      <c s="3">
        <v>0</v>
      </c>
      <c s="3">
        <v>760.68</v>
      </c>
      <c s="3">
        <v>24450</v>
      </c>
      <c r="O5487" s="1" t="str">
        <f ca="1">HYPERLINK("https://web.datatree.com/?/property?propertyId=34172706", "https://web.datatree.com/?/property?propertyId=34172706")</f>
        <v>https://web.datatree.com/?/property?propertyId=34172706</v>
      </c>
      <c r="Q5487" t="s">
        <v>316</v>
      </c>
      <c>
        <v>0.23</v>
      </c>
      <c t="s">
        <v>22490</v>
      </c>
      <c t="s">
        <v>19923</v>
      </c>
      <c t="s">
        <v>56203</v>
      </c>
      <c r="X5487" t="s">
        <v>22665</v>
      </c>
      <c t="s">
        <v>53663</v>
      </c>
      <c t="s">
        <v>2517</v>
      </c>
      <c t="s">
        <v>39289</v>
      </c>
      <c>
        <v>33909</v>
      </c>
      <c t="s">
        <v>66676</v>
      </c>
      <c t="s">
        <v>48794</v>
      </c>
      <c t="s">
        <v>20262</v>
      </c>
      <c>
        <v>17541</v>
      </c>
      <c r="AI5487" t="s">
        <v>54608</v>
      </c>
      <c t="s">
        <v>24900</v>
      </c>
      <c r="AL5487" t="s">
        <v>41781</v>
      </c>
      <c r="AN5487" t="s">
        <v>39289</v>
      </c>
      <c t="s">
        <v>59440</v>
      </c>
      <c t="s">
        <v>26416</v>
      </c>
      <c t="s">
        <v>3093</v>
      </c>
      <c t="s">
        <v>6236</v>
      </c>
    </row>
    <row>
      <c t="s">
        <v>17594</v>
      </c>
      <c t="s">
        <v>4307</v>
      </c>
      <c t="s">
        <v>36905</v>
      </c>
      <c t="s">
        <v>31567</v>
      </c>
      <c t="s">
        <v>63897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5488" s="1" t="str">
        <f ca="1">HYPERLINK("https://web.datatree.com/?/property?propertyId=34172967", "https://web.datatree.com/?/property?propertyId=34172967")</f>
        <v>https://web.datatree.com/?/property?propertyId=34172967</v>
      </c>
      <c r="Q5488" t="s">
        <v>316</v>
      </c>
      <c>
        <v>0.23</v>
      </c>
      <c t="s">
        <v>6175</v>
      </c>
      <c t="s">
        <v>251</v>
      </c>
      <c t="s">
        <v>41554</v>
      </c>
      <c r="X5488" t="s">
        <v>59444</v>
      </c>
      <c t="s">
        <v>34136</v>
      </c>
      <c t="s">
        <v>2517</v>
      </c>
      <c t="s">
        <v>39289</v>
      </c>
      <c>
        <v>33909</v>
      </c>
      <c t="s">
        <v>48046</v>
      </c>
      <c t="s">
        <v>48794</v>
      </c>
      <c t="s">
        <v>24912</v>
      </c>
      <c>
        <v>3045</v>
      </c>
      <c r="AI5488" t="s">
        <v>17353</v>
      </c>
      <c t="s">
        <v>31192</v>
      </c>
      <c r="AL5488" t="s">
        <v>27398</v>
      </c>
      <c r="AN5488" t="s">
        <v>39289</v>
      </c>
      <c t="s">
        <v>43111</v>
      </c>
      <c t="s">
        <v>26416</v>
      </c>
      <c t="s">
        <v>3093</v>
      </c>
      <c t="s">
        <v>41299</v>
      </c>
    </row>
    <row>
      <c t="s">
        <v>17594</v>
      </c>
      <c t="s">
        <v>12748</v>
      </c>
      <c t="s">
        <v>11224</v>
      </c>
      <c t="s">
        <v>21876</v>
      </c>
      <c t="s">
        <v>4802</v>
      </c>
      <c s="3">
        <v>91555</v>
      </c>
      <c s="3">
        <v>91555</v>
      </c>
      <c s="3">
        <v>82280</v>
      </c>
      <c>
        <v>0</v>
      </c>
      <c s="3">
        <v>0</v>
      </c>
      <c s="3">
        <v>1286.3</v>
      </c>
      <c s="3">
        <v>91555</v>
      </c>
      <c>
        <v>2021</v>
      </c>
      <c>
        <v>1217.04</v>
      </c>
      <c s="1" t="str">
        <f ca="1">HYPERLINK("https://web.datatree.com/?/property?propertyId=34173170", "https://web.datatree.com/?/property?propertyId=34173170")</f>
        <v>https://web.datatree.com/?/property?propertyId=34173170</v>
      </c>
      <c r="Q5489" t="s">
        <v>316</v>
      </c>
      <c>
        <v>0.283</v>
      </c>
      <c t="s">
        <v>5471</v>
      </c>
      <c t="s">
        <v>54158</v>
      </c>
      <c t="s">
        <v>66354</v>
      </c>
      <c r="X5489" t="s">
        <v>53568</v>
      </c>
      <c t="s">
        <v>26710</v>
      </c>
      <c t="s">
        <v>54524</v>
      </c>
      <c t="s">
        <v>39289</v>
      </c>
      <c>
        <v>33903</v>
      </c>
      <c t="s">
        <v>41009</v>
      </c>
      <c t="s">
        <v>48794</v>
      </c>
      <c t="s">
        <v>15620</v>
      </c>
      <c>
        <v>1352</v>
      </c>
      <c r="AI5489" t="s">
        <v>41625</v>
      </c>
      <c t="s">
        <v>24900</v>
      </c>
      <c r="AL5489" t="s">
        <v>54287</v>
      </c>
      <c t="s">
        <v>54287</v>
      </c>
      <c t="s">
        <v>17134</v>
      </c>
      <c t="s">
        <v>18629</v>
      </c>
      <c t="s">
        <v>48506</v>
      </c>
      <c t="s">
        <v>3093</v>
      </c>
      <c t="s">
        <v>13758</v>
      </c>
    </row>
    <row>
      <c t="s">
        <v>42103</v>
      </c>
      <c t="s">
        <v>26466</v>
      </c>
      <c t="s">
        <v>735</v>
      </c>
      <c t="s">
        <v>65007</v>
      </c>
      <c t="s">
        <v>57376</v>
      </c>
      <c s="3">
        <v>12544</v>
      </c>
      <c s="3">
        <v>12544</v>
      </c>
      <c s="3">
        <v>6389</v>
      </c>
      <c>
        <v>0</v>
      </c>
      <c s="3">
        <v>0</v>
      </c>
      <c s="3">
        <v>325.76</v>
      </c>
      <c s="3">
        <v>12544</v>
      </c>
      <c r="O5490" s="1" t="str">
        <f ca="1">HYPERLINK("https://web.datatree.com/?/property?propertyId=34173737", "https://web.datatree.com/?/property?propertyId=34173737")</f>
        <v>https://web.datatree.com/?/property?propertyId=34173737</v>
      </c>
      <c r="Q5490" t="s">
        <v>316</v>
      </c>
      <c>
        <v>0.243</v>
      </c>
      <c t="s">
        <v>5471</v>
      </c>
      <c r="U5490" t="s">
        <v>22041</v>
      </c>
      <c r="W5490" t="s">
        <v>53552</v>
      </c>
      <c t="s">
        <v>49691</v>
      </c>
      <c t="s">
        <v>52508</v>
      </c>
      <c t="s">
        <v>65059</v>
      </c>
      <c t="s">
        <v>39289</v>
      </c>
      <c>
        <v>33905</v>
      </c>
      <c t="s">
        <v>66599</v>
      </c>
      <c t="s">
        <v>48794</v>
      </c>
      <c t="s">
        <v>19698</v>
      </c>
      <c r="AI5490" t="s">
        <v>3775</v>
      </c>
      <c r="AL5490" t="s">
        <v>22887</v>
      </c>
      <c t="s">
        <v>22887</v>
      </c>
      <c t="s">
        <v>51137</v>
      </c>
      <c>
        <v>48014</v>
      </c>
      <c t="s">
        <v>45279</v>
      </c>
      <c t="s">
        <v>3093</v>
      </c>
      <c t="s">
        <v>11225</v>
      </c>
    </row>
    <row>
      <c t="s">
        <v>17594</v>
      </c>
      <c t="s">
        <v>64476</v>
      </c>
      <c t="s">
        <v>27322</v>
      </c>
      <c t="s">
        <v>61390</v>
      </c>
      <c t="s">
        <v>56908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5491" s="1" t="str">
        <f ca="1">HYPERLINK("https://web.datatree.com/?/property?propertyId=34174220", "https://web.datatree.com/?/property?propertyId=34174220")</f>
        <v>https://web.datatree.com/?/property?propertyId=34174220</v>
      </c>
      <c r="Q5491" t="s">
        <v>316</v>
      </c>
      <c>
        <v>0.23</v>
      </c>
      <c t="s">
        <v>6175</v>
      </c>
      <c t="s">
        <v>56969</v>
      </c>
      <c t="s">
        <v>13210</v>
      </c>
      <c r="X5491" t="s">
        <v>51581</v>
      </c>
      <c t="s">
        <v>30928</v>
      </c>
      <c t="s">
        <v>2517</v>
      </c>
      <c t="s">
        <v>39289</v>
      </c>
      <c>
        <v>33909</v>
      </c>
      <c t="s">
        <v>46095</v>
      </c>
      <c t="s">
        <v>48794</v>
      </c>
      <c t="s">
        <v>22776</v>
      </c>
      <c>
        <v>3255</v>
      </c>
      <c r="AI5491" t="s">
        <v>32781</v>
      </c>
      <c t="s">
        <v>40123</v>
      </c>
      <c r="AL5491" t="s">
        <v>23323</v>
      </c>
      <c t="s">
        <v>23323</v>
      </c>
      <c t="s">
        <v>51087</v>
      </c>
      <c t="s">
        <v>23206</v>
      </c>
      <c t="s">
        <v>26242</v>
      </c>
      <c t="s">
        <v>3093</v>
      </c>
      <c t="s">
        <v>32150</v>
      </c>
    </row>
    <row>
      <c t="s">
        <v>17594</v>
      </c>
      <c t="s">
        <v>64290</v>
      </c>
      <c t="s">
        <v>57460</v>
      </c>
      <c t="s">
        <v>29392</v>
      </c>
      <c t="s">
        <v>19480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492" s="1" t="str">
        <f ca="1">HYPERLINK("https://web.datatree.com/?/property?propertyId=34176007", "https://web.datatree.com/?/property?propertyId=34176007")</f>
        <v>https://web.datatree.com/?/property?propertyId=34176007</v>
      </c>
      <c r="Q5492" t="s">
        <v>316</v>
      </c>
      <c>
        <v>0.235</v>
      </c>
      <c t="s">
        <v>22490</v>
      </c>
      <c t="s">
        <v>52880</v>
      </c>
      <c t="s">
        <v>34448</v>
      </c>
      <c t="s">
        <v>21379</v>
      </c>
      <c t="s">
        <v>34448</v>
      </c>
      <c t="s">
        <v>34346</v>
      </c>
      <c t="s">
        <v>41506</v>
      </c>
      <c t="s">
        <v>2517</v>
      </c>
      <c t="s">
        <v>39289</v>
      </c>
      <c>
        <v>33909</v>
      </c>
      <c t="s">
        <v>43020</v>
      </c>
      <c t="s">
        <v>48794</v>
      </c>
      <c t="s">
        <v>55042</v>
      </c>
      <c>
        <v>228</v>
      </c>
      <c r="AI5492" t="s">
        <v>19249</v>
      </c>
      <c t="s">
        <v>45393</v>
      </c>
      <c r="AL5492" t="s">
        <v>55252</v>
      </c>
      <c r="AN5492" t="s">
        <v>460</v>
      </c>
      <c t="s">
        <v>50400</v>
      </c>
      <c t="s">
        <v>702</v>
      </c>
      <c t="s">
        <v>3093</v>
      </c>
      <c t="s">
        <v>48895</v>
      </c>
    </row>
    <row>
      <c t="s">
        <v>17594</v>
      </c>
      <c t="s">
        <v>52964</v>
      </c>
      <c t="s">
        <v>65500</v>
      </c>
      <c t="s">
        <v>45730</v>
      </c>
      <c t="s">
        <v>22526</v>
      </c>
      <c s="3">
        <v>12544</v>
      </c>
      <c s="3">
        <v>12544</v>
      </c>
      <c s="3">
        <v>4952</v>
      </c>
      <c>
        <v>0</v>
      </c>
      <c s="3">
        <v>0</v>
      </c>
      <c s="3">
        <v>313.92</v>
      </c>
      <c s="3">
        <v>12544</v>
      </c>
      <c>
        <v>2021</v>
      </c>
      <c>
        <v>311.48</v>
      </c>
      <c s="1" t="str">
        <f ca="1">HYPERLINK("https://web.datatree.com/?/property?propertyId=34176304", "https://web.datatree.com/?/property?propertyId=34176304")</f>
        <v>https://web.datatree.com/?/property?propertyId=34176304</v>
      </c>
      <c r="Q5493" t="s">
        <v>316</v>
      </c>
      <c>
        <v>0.224</v>
      </c>
      <c t="s">
        <v>5471</v>
      </c>
      <c t="s">
        <v>60465</v>
      </c>
      <c t="s">
        <v>47094</v>
      </c>
      <c t="s">
        <v>56577</v>
      </c>
      <c t="s">
        <v>47094</v>
      </c>
      <c t="s">
        <v>51044</v>
      </c>
      <c t="s">
        <v>40660</v>
      </c>
      <c t="s">
        <v>65059</v>
      </c>
      <c t="s">
        <v>39289</v>
      </c>
      <c>
        <v>33905</v>
      </c>
      <c t="s">
        <v>48595</v>
      </c>
      <c t="s">
        <v>48794</v>
      </c>
      <c t="s">
        <v>57482</v>
      </c>
      <c>
        <v>7305</v>
      </c>
      <c r="AI5493" t="s">
        <v>60782</v>
      </c>
      <c t="s">
        <v>55842</v>
      </c>
      <c r="AL5493" t="s">
        <v>12112</v>
      </c>
      <c r="AN5493" t="s">
        <v>39289</v>
      </c>
      <c t="s">
        <v>20661</v>
      </c>
      <c t="s">
        <v>22152</v>
      </c>
      <c t="s">
        <v>3093</v>
      </c>
      <c t="s">
        <v>29278</v>
      </c>
    </row>
    <row>
      <c t="s">
        <v>17594</v>
      </c>
      <c t="s">
        <v>38574</v>
      </c>
      <c t="s">
        <v>14440</v>
      </c>
      <c t="s">
        <v>6643</v>
      </c>
      <c t="s">
        <v>53398</v>
      </c>
      <c s="3">
        <v>8000</v>
      </c>
      <c s="3">
        <v>8000</v>
      </c>
      <c s="3">
        <v>8000</v>
      </c>
      <c>
        <v>0</v>
      </c>
      <c s="3">
        <v>0</v>
      </c>
      <c s="3">
        <v>715.07</v>
      </c>
      <c s="3">
        <v>8000</v>
      </c>
      <c>
        <v>2021</v>
      </c>
      <c>
        <v>591.97</v>
      </c>
      <c s="1" t="str">
        <f ca="1">HYPERLINK("https://web.datatree.com/?/property?propertyId=34176620", "https://web.datatree.com/?/property?propertyId=34176620")</f>
        <v>https://web.datatree.com/?/property?propertyId=34176620</v>
      </c>
      <c r="Q5494" t="s">
        <v>316</v>
      </c>
      <c>
        <v>0.23</v>
      </c>
      <c t="s">
        <v>22490</v>
      </c>
      <c t="s">
        <v>7346</v>
      </c>
      <c t="s">
        <v>39982</v>
      </c>
      <c r="X5494" t="s">
        <v>557</v>
      </c>
      <c t="s">
        <v>34136</v>
      </c>
      <c t="s">
        <v>2517</v>
      </c>
      <c t="s">
        <v>39289</v>
      </c>
      <c>
        <v>33909</v>
      </c>
      <c t="s">
        <v>35247</v>
      </c>
      <c t="s">
        <v>48794</v>
      </c>
      <c t="s">
        <v>48704</v>
      </c>
      <c>
        <v>15018</v>
      </c>
      <c r="AI5494" t="s">
        <v>11544</v>
      </c>
      <c t="s">
        <v>1671</v>
      </c>
      <c r="AL5494" t="s">
        <v>11713</v>
      </c>
      <c t="s">
        <v>30396</v>
      </c>
      <c t="s">
        <v>39289</v>
      </c>
      <c t="s">
        <v>66878</v>
      </c>
      <c t="s">
        <v>56186</v>
      </c>
      <c t="s">
        <v>3093</v>
      </c>
      <c t="s">
        <v>28739</v>
      </c>
    </row>
    <row>
      <c t="s">
        <v>17594</v>
      </c>
      <c t="s">
        <v>20953</v>
      </c>
      <c t="s">
        <v>56506</v>
      </c>
      <c t="s">
        <v>23501</v>
      </c>
      <c t="s">
        <v>66312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5495" s="1" t="str">
        <f ca="1">HYPERLINK("https://web.datatree.com/?/property?propertyId=34176705", "https://web.datatree.com/?/property?propertyId=34176705")</f>
        <v>https://web.datatree.com/?/property?propertyId=34176705</v>
      </c>
      <c r="Q5495" t="s">
        <v>316</v>
      </c>
      <c>
        <v>0.241</v>
      </c>
      <c t="s">
        <v>6175</v>
      </c>
      <c t="s">
        <v>52880</v>
      </c>
      <c t="s">
        <v>50563</v>
      </c>
      <c r="X5495" t="s">
        <v>57642</v>
      </c>
      <c t="s">
        <v>50440</v>
      </c>
      <c t="s">
        <v>2517</v>
      </c>
      <c t="s">
        <v>39289</v>
      </c>
      <c>
        <v>33909</v>
      </c>
      <c t="s">
        <v>18774</v>
      </c>
      <c t="s">
        <v>48794</v>
      </c>
      <c t="s">
        <v>58440</v>
      </c>
      <c>
        <v>40</v>
      </c>
      <c r="AI5495" t="s">
        <v>21849</v>
      </c>
      <c t="s">
        <v>31192</v>
      </c>
      <c r="AL5495" t="s">
        <v>44240</v>
      </c>
      <c t="s">
        <v>44240</v>
      </c>
      <c t="s">
        <v>27747</v>
      </c>
      <c t="s">
        <v>61424</v>
      </c>
      <c t="s">
        <v>61719</v>
      </c>
      <c t="s">
        <v>3093</v>
      </c>
      <c t="s">
        <v>4738</v>
      </c>
    </row>
    <row>
      <c t="s">
        <v>17594</v>
      </c>
      <c t="s">
        <v>35428</v>
      </c>
      <c t="s">
        <v>39379</v>
      </c>
      <c t="s">
        <v>4739</v>
      </c>
      <c t="s">
        <v>25520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496" s="1" t="str">
        <f ca="1">HYPERLINK("https://web.datatree.com/?/property?propertyId=34176988", "https://web.datatree.com/?/property?propertyId=34176988")</f>
        <v>https://web.datatree.com/?/property?propertyId=34176988</v>
      </c>
      <c r="Q5496" t="s">
        <v>316</v>
      </c>
      <c>
        <v>0.23</v>
      </c>
      <c t="s">
        <v>6175</v>
      </c>
      <c t="s">
        <v>16380</v>
      </c>
      <c t="s">
        <v>11391</v>
      </c>
      <c r="X5496" t="s">
        <v>34735</v>
      </c>
      <c t="s">
        <v>57064</v>
      </c>
      <c t="s">
        <v>2517</v>
      </c>
      <c t="s">
        <v>39289</v>
      </c>
      <c>
        <v>33909</v>
      </c>
      <c t="s">
        <v>32674</v>
      </c>
      <c t="s">
        <v>48794</v>
      </c>
      <c t="s">
        <v>39102</v>
      </c>
      <c r="AI5496" t="s">
        <v>21928</v>
      </c>
      <c r="AL5496" t="s">
        <v>13615</v>
      </c>
      <c r="AN5496" t="s">
        <v>63985</v>
      </c>
      <c>
        <v>80803</v>
      </c>
      <c r="AR5496" t="s">
        <v>8357</v>
      </c>
    </row>
    <row>
      <c t="s">
        <v>17594</v>
      </c>
      <c t="s">
        <v>19167</v>
      </c>
      <c t="s">
        <v>33790</v>
      </c>
      <c t="s">
        <v>45673</v>
      </c>
      <c t="s">
        <v>12384</v>
      </c>
      <c s="3">
        <v>17741</v>
      </c>
      <c s="3">
        <v>17741</v>
      </c>
      <c s="3">
        <v>17741</v>
      </c>
      <c>
        <v>0</v>
      </c>
      <c s="3">
        <v>0</v>
      </c>
      <c s="3">
        <v>440.82</v>
      </c>
      <c s="3">
        <v>17741</v>
      </c>
      <c r="O5497" s="1" t="str">
        <f ca="1">HYPERLINK("https://web.datatree.com/?/property?propertyId=34177797", "https://web.datatree.com/?/property?propertyId=34177797")</f>
        <v>https://web.datatree.com/?/property?propertyId=34177797</v>
      </c>
      <c r="Q5497" t="s">
        <v>316</v>
      </c>
      <c>
        <v>0.23</v>
      </c>
      <c t="s">
        <v>6175</v>
      </c>
      <c t="s">
        <v>7704</v>
      </c>
      <c t="s">
        <v>62035</v>
      </c>
      <c t="s">
        <v>39210</v>
      </c>
      <c t="s">
        <v>29799</v>
      </c>
      <c t="s">
        <v>57733</v>
      </c>
      <c t="s">
        <v>44061</v>
      </c>
      <c t="s">
        <v>2517</v>
      </c>
      <c t="s">
        <v>39289</v>
      </c>
      <c>
        <v>33909</v>
      </c>
      <c t="s">
        <v>54932</v>
      </c>
      <c t="s">
        <v>48794</v>
      </c>
      <c t="s">
        <v>3259</v>
      </c>
      <c>
        <v>1421</v>
      </c>
      <c r="AI5497" t="s">
        <v>66335</v>
      </c>
      <c t="s">
        <v>24900</v>
      </c>
      <c>
        <v>189</v>
      </c>
      <c t="s">
        <v>55393</v>
      </c>
      <c t="s">
        <v>523</v>
      </c>
      <c t="s">
        <v>39289</v>
      </c>
      <c t="s">
        <v>53716</v>
      </c>
      <c t="s">
        <v>8434</v>
      </c>
      <c t="s">
        <v>3093</v>
      </c>
      <c t="s">
        <v>64996</v>
      </c>
    </row>
    <row>
      <c t="s">
        <v>17594</v>
      </c>
      <c t="s">
        <v>36883</v>
      </c>
      <c t="s">
        <v>50109</v>
      </c>
      <c t="s">
        <v>40957</v>
      </c>
      <c t="s">
        <v>12494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>
        <v>2021</v>
      </c>
      <c>
        <v>348.45</v>
      </c>
      <c s="1" t="str">
        <f ca="1">HYPERLINK("https://web.datatree.com/?/property?propertyId=34178185", "https://web.datatree.com/?/property?propertyId=34178185")</f>
        <v>https://web.datatree.com/?/property?propertyId=34178185</v>
      </c>
      <c r="Q5498" t="s">
        <v>316</v>
      </c>
      <c>
        <v>0.232</v>
      </c>
      <c t="s">
        <v>5471</v>
      </c>
      <c t="s">
        <v>63666</v>
      </c>
      <c t="s">
        <v>53226</v>
      </c>
      <c t="s">
        <v>64318</v>
      </c>
      <c t="s">
        <v>53226</v>
      </c>
      <c t="s">
        <v>19734</v>
      </c>
      <c t="s">
        <v>54532</v>
      </c>
      <c t="s">
        <v>65059</v>
      </c>
      <c t="s">
        <v>39289</v>
      </c>
      <c>
        <v>33905</v>
      </c>
      <c t="s">
        <v>19235</v>
      </c>
      <c t="s">
        <v>48794</v>
      </c>
      <c t="s">
        <v>43089</v>
      </c>
      <c>
        <v>585</v>
      </c>
      <c r="AI5498" t="s">
        <v>43162</v>
      </c>
      <c t="s">
        <v>24900</v>
      </c>
      <c>
        <v>357</v>
      </c>
      <c t="s">
        <v>28799</v>
      </c>
      <c r="AN5498" t="s">
        <v>50917</v>
      </c>
      <c t="s">
        <v>52216</v>
      </c>
      <c t="s">
        <v>44843</v>
      </c>
      <c t="s">
        <v>3093</v>
      </c>
      <c t="s">
        <v>48954</v>
      </c>
    </row>
    <row>
      <c t="s">
        <v>17594</v>
      </c>
      <c t="s">
        <v>38049</v>
      </c>
      <c t="s">
        <v>45408</v>
      </c>
      <c t="s">
        <v>33099</v>
      </c>
      <c t="s">
        <v>60590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5499" s="1" t="str">
        <f ca="1">HYPERLINK("https://web.datatree.com/?/property?propertyId=34178981", "https://web.datatree.com/?/property?propertyId=34178981")</f>
        <v>https://web.datatree.com/?/property?propertyId=34178981</v>
      </c>
      <c r="Q5499" t="s">
        <v>316</v>
      </c>
      <c>
        <v>0.229</v>
      </c>
      <c t="s">
        <v>22490</v>
      </c>
      <c t="s">
        <v>64413</v>
      </c>
      <c t="s">
        <v>38247</v>
      </c>
      <c r="X5499" t="s">
        <v>34154</v>
      </c>
      <c t="s">
        <v>34136</v>
      </c>
      <c t="s">
        <v>2517</v>
      </c>
      <c t="s">
        <v>39289</v>
      </c>
      <c>
        <v>33909</v>
      </c>
      <c t="s">
        <v>374</v>
      </c>
      <c t="s">
        <v>48794</v>
      </c>
      <c t="s">
        <v>28834</v>
      </c>
      <c>
        <v>2483</v>
      </c>
      <c r="AI5499" t="s">
        <v>61850</v>
      </c>
      <c t="s">
        <v>45393</v>
      </c>
      <c t="s">
        <v>33456</v>
      </c>
      <c t="s">
        <v>8109</v>
      </c>
      <c t="s">
        <v>13397</v>
      </c>
      <c t="s">
        <v>50917</v>
      </c>
      <c t="s">
        <v>18499</v>
      </c>
      <c t="s">
        <v>22613</v>
      </c>
      <c t="s">
        <v>3093</v>
      </c>
      <c t="s">
        <v>51903</v>
      </c>
    </row>
    <row>
      <c t="s">
        <v>17594</v>
      </c>
      <c t="s">
        <v>32164</v>
      </c>
      <c t="s">
        <v>11850</v>
      </c>
      <c t="s">
        <v>22841</v>
      </c>
      <c t="s">
        <v>32124</v>
      </c>
      <c s="3">
        <v>8400</v>
      </c>
      <c s="3">
        <v>8400</v>
      </c>
      <c s="3">
        <v>8400</v>
      </c>
      <c>
        <v>0</v>
      </c>
      <c s="3">
        <v>0</v>
      </c>
      <c s="3">
        <v>631.37</v>
      </c>
      <c s="3">
        <v>8400</v>
      </c>
      <c r="O5500" s="1" t="str">
        <f ca="1">HYPERLINK("https://web.datatree.com/?/property?propertyId=34181019", "https://web.datatree.com/?/property?propertyId=34181019")</f>
        <v>https://web.datatree.com/?/property?propertyId=34181019</v>
      </c>
      <c r="Q5500" t="s">
        <v>316</v>
      </c>
      <c>
        <v>0.294</v>
      </c>
      <c t="s">
        <v>22490</v>
      </c>
      <c t="s">
        <v>44319</v>
      </c>
      <c t="s">
        <v>841</v>
      </c>
      <c t="s">
        <v>10361</v>
      </c>
      <c t="s">
        <v>28747</v>
      </c>
      <c t="s">
        <v>66710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8171</v>
      </c>
      <c>
        <v>156</v>
      </c>
      <c r="AI5500" t="s">
        <v>8288</v>
      </c>
      <c t="s">
        <v>45620</v>
      </c>
      <c r="AL5500" t="s">
        <v>27984</v>
      </c>
      <c r="AN5500" t="s">
        <v>27747</v>
      </c>
      <c t="s">
        <v>1731</v>
      </c>
      <c t="s">
        <v>32895</v>
      </c>
      <c t="s">
        <v>3093</v>
      </c>
      <c t="s">
        <v>27411</v>
      </c>
    </row>
    <row>
      <c t="s">
        <v>17594</v>
      </c>
      <c t="s">
        <v>46557</v>
      </c>
      <c t="s">
        <v>44923</v>
      </c>
      <c t="s">
        <v>12108</v>
      </c>
      <c t="s">
        <v>29790</v>
      </c>
      <c s="3">
        <v>26290</v>
      </c>
      <c s="3">
        <v>26290</v>
      </c>
      <c s="3">
        <v>26290</v>
      </c>
      <c>
        <v>0</v>
      </c>
      <c s="3">
        <v>0</v>
      </c>
      <c s="3">
        <v>793.79</v>
      </c>
      <c s="3">
        <v>26290</v>
      </c>
      <c r="O5501" s="1" t="str">
        <f ca="1">HYPERLINK("https://web.datatree.com/?/property?propertyId=34181177", "https://web.datatree.com/?/property?propertyId=34181177")</f>
        <v>https://web.datatree.com/?/property?propertyId=34181177</v>
      </c>
      <c r="Q5501" t="s">
        <v>316</v>
      </c>
      <c>
        <v>0.244</v>
      </c>
      <c t="s">
        <v>22490</v>
      </c>
      <c t="s">
        <v>36748</v>
      </c>
      <c t="s">
        <v>40426</v>
      </c>
      <c r="X5501" t="s">
        <v>60499</v>
      </c>
      <c t="s">
        <v>2626</v>
      </c>
      <c t="s">
        <v>2517</v>
      </c>
      <c t="s">
        <v>39289</v>
      </c>
      <c>
        <v>33909</v>
      </c>
      <c t="s">
        <v>45229</v>
      </c>
      <c t="s">
        <v>48794</v>
      </c>
      <c t="s">
        <v>6394</v>
      </c>
      <c>
        <v>7952</v>
      </c>
      <c r="AI5501" t="s">
        <v>39832</v>
      </c>
      <c t="s">
        <v>55842</v>
      </c>
      <c r="AL5501" t="s">
        <v>29515</v>
      </c>
      <c t="s">
        <v>29515</v>
      </c>
      <c t="s">
        <v>39289</v>
      </c>
      <c t="s">
        <v>40695</v>
      </c>
      <c t="s">
        <v>30106</v>
      </c>
      <c t="s">
        <v>3093</v>
      </c>
      <c t="s">
        <v>51050</v>
      </c>
    </row>
    <row>
      <c t="s">
        <v>17594</v>
      </c>
      <c t="s">
        <v>66680</v>
      </c>
      <c t="s">
        <v>38289</v>
      </c>
      <c t="s">
        <v>64678</v>
      </c>
      <c t="s">
        <v>52917</v>
      </c>
      <c s="3">
        <v>41000</v>
      </c>
      <c s="3">
        <v>41000</v>
      </c>
      <c s="3">
        <v>13310</v>
      </c>
      <c>
        <v>0</v>
      </c>
      <c s="3">
        <v>0</v>
      </c>
      <c s="3">
        <v>738.57</v>
      </c>
      <c s="3">
        <v>41000</v>
      </c>
      <c r="O5502" s="1" t="str">
        <f ca="1">HYPERLINK("https://web.datatree.com/?/property?propertyId=34181292", "https://web.datatree.com/?/property?propertyId=34181292")</f>
        <v>https://web.datatree.com/?/property?propertyId=34181292</v>
      </c>
      <c r="Q5502" t="s">
        <v>316</v>
      </c>
      <c>
        <v>0.23</v>
      </c>
      <c t="s">
        <v>14479</v>
      </c>
      <c t="s">
        <v>32009</v>
      </c>
      <c t="s">
        <v>29718</v>
      </c>
      <c t="s">
        <v>24050</v>
      </c>
      <c r="X5502" t="s">
        <v>12288</v>
      </c>
      <c t="s">
        <v>39082</v>
      </c>
      <c t="s">
        <v>2517</v>
      </c>
      <c t="s">
        <v>39289</v>
      </c>
      <c>
        <v>33909</v>
      </c>
      <c t="s">
        <v>53408</v>
      </c>
      <c t="s">
        <v>48794</v>
      </c>
      <c t="s">
        <v>2911</v>
      </c>
      <c>
        <v>4112</v>
      </c>
      <c r="AI5502" t="s">
        <v>16704</v>
      </c>
      <c t="s">
        <v>24900</v>
      </c>
      <c r="AL5502" t="s">
        <v>18092</v>
      </c>
      <c t="s">
        <v>18092</v>
      </c>
      <c t="s">
        <v>39289</v>
      </c>
      <c t="s">
        <v>35574</v>
      </c>
      <c t="s">
        <v>61719</v>
      </c>
      <c t="s">
        <v>3093</v>
      </c>
      <c t="s">
        <v>40723</v>
      </c>
    </row>
    <row>
      <c t="s">
        <v>17594</v>
      </c>
      <c t="s">
        <v>24655</v>
      </c>
      <c t="s">
        <v>19652</v>
      </c>
      <c t="s">
        <v>40820</v>
      </c>
      <c t="s">
        <v>32573</v>
      </c>
      <c s="3">
        <v>4000</v>
      </c>
      <c s="3">
        <v>4000</v>
      </c>
      <c s="3">
        <v>3872</v>
      </c>
      <c>
        <v>0</v>
      </c>
      <c s="3">
        <v>0</v>
      </c>
      <c s="3">
        <v>58.7</v>
      </c>
      <c s="3">
        <v>4000</v>
      </c>
      <c>
        <v>2021</v>
      </c>
      <c>
        <v>98.2</v>
      </c>
      <c s="1" t="str">
        <f ca="1">HYPERLINK("https://web.datatree.com/?/property?propertyId=34181474", "https://web.datatree.com/?/property?propertyId=34181474")</f>
        <v>https://web.datatree.com/?/property?propertyId=34181474</v>
      </c>
      <c r="Q5503" t="s">
        <v>316</v>
      </c>
      <c>
        <v>0.12</v>
      </c>
      <c t="s">
        <v>23582</v>
      </c>
      <c t="s">
        <v>1011</v>
      </c>
      <c t="s">
        <v>2899</v>
      </c>
      <c t="s">
        <v>13780</v>
      </c>
      <c t="s">
        <v>2899</v>
      </c>
      <c t="s">
        <v>521</v>
      </c>
      <c t="s">
        <v>20881</v>
      </c>
      <c t="s">
        <v>65059</v>
      </c>
      <c t="s">
        <v>39289</v>
      </c>
      <c>
        <v>33905</v>
      </c>
      <c t="s">
        <v>29831</v>
      </c>
      <c t="s">
        <v>48794</v>
      </c>
      <c t="s">
        <v>27001</v>
      </c>
      <c>
        <v>1350</v>
      </c>
      <c r="AI5503" t="s">
        <v>37470</v>
      </c>
      <c t="s">
        <v>45393</v>
      </c>
      <c r="AL5503" t="s">
        <v>56874</v>
      </c>
      <c r="AN5503" t="s">
        <v>39289</v>
      </c>
      <c t="s">
        <v>4735</v>
      </c>
      <c t="s">
        <v>6042</v>
      </c>
      <c t="s">
        <v>3093</v>
      </c>
      <c t="s">
        <v>53313</v>
      </c>
    </row>
    <row>
      <c t="s">
        <v>17594</v>
      </c>
      <c t="s">
        <v>58431</v>
      </c>
      <c t="s">
        <v>1861</v>
      </c>
      <c t="s">
        <v>16630</v>
      </c>
      <c t="s">
        <v>13966</v>
      </c>
      <c s="3">
        <v>129360</v>
      </c>
      <c s="3">
        <v>129360</v>
      </c>
      <c s="3">
        <v>67760</v>
      </c>
      <c>
        <v>0</v>
      </c>
      <c s="3">
        <v>0</v>
      </c>
      <c s="3">
        <v>4250.92</v>
      </c>
      <c s="3">
        <v>129360</v>
      </c>
      <c r="O5504" s="1" t="str">
        <f ca="1">HYPERLINK("https://web.datatree.com/?/property?propertyId=34181480", "https://web.datatree.com/?/property?propertyId=34181480")</f>
        <v>https://web.datatree.com/?/property?propertyId=34181480</v>
      </c>
      <c r="Q5504" t="s">
        <v>316</v>
      </c>
      <c>
        <v>3.08</v>
      </c>
      <c t="s">
        <v>42438</v>
      </c>
      <c t="s">
        <v>33813</v>
      </c>
      <c t="s">
        <v>66715</v>
      </c>
      <c r="X5504" t="s">
        <v>20843</v>
      </c>
      <c t="s">
        <v>13829</v>
      </c>
      <c t="s">
        <v>2517</v>
      </c>
      <c t="s">
        <v>39289</v>
      </c>
      <c>
        <v>33909</v>
      </c>
      <c>
        <v>33909</v>
      </c>
      <c t="s">
        <v>48794</v>
      </c>
      <c t="s">
        <v>49778</v>
      </c>
      <c r="AI5504" t="s">
        <v>33892</v>
      </c>
      <c r="AK5504">
        <v>20</v>
      </c>
      <c t="s">
        <v>39871</v>
      </c>
      <c r="AN5504" t="s">
        <v>63985</v>
      </c>
      <c>
        <v>53797</v>
      </c>
      <c r="AR5504" t="s">
        <v>58967</v>
      </c>
    </row>
    <row>
      <c t="s">
        <v>17594</v>
      </c>
      <c t="s">
        <v>2338</v>
      </c>
      <c t="s">
        <v>765</v>
      </c>
      <c t="s">
        <v>5518</v>
      </c>
      <c t="s">
        <v>38762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582.14</v>
      </c>
      <c s="1" t="str">
        <f ca="1">HYPERLINK("https://web.datatree.com/?/property?propertyId=34181930", "https://web.datatree.com/?/property?propertyId=34181930")</f>
        <v>https://web.datatree.com/?/property?propertyId=34181930</v>
      </c>
      <c r="Q5505" t="s">
        <v>316</v>
      </c>
      <c>
        <v>0.23</v>
      </c>
      <c t="s">
        <v>6175</v>
      </c>
      <c t="s">
        <v>47922</v>
      </c>
      <c t="s">
        <v>31813</v>
      </c>
      <c r="X5505" t="s">
        <v>8454</v>
      </c>
      <c t="s">
        <v>66701</v>
      </c>
      <c t="s">
        <v>2517</v>
      </c>
      <c t="s">
        <v>39289</v>
      </c>
      <c>
        <v>33909</v>
      </c>
      <c t="s">
        <v>25534</v>
      </c>
      <c t="s">
        <v>48794</v>
      </c>
      <c t="s">
        <v>5430</v>
      </c>
      <c>
        <v>137</v>
      </c>
      <c r="AI5505" t="s">
        <v>25263</v>
      </c>
      <c t="s">
        <v>45393</v>
      </c>
      <c r="AL5505" t="s">
        <v>18490</v>
      </c>
      <c t="s">
        <v>18490</v>
      </c>
      <c t="s">
        <v>5859</v>
      </c>
      <c t="s">
        <v>24259</v>
      </c>
      <c t="s">
        <v>27780</v>
      </c>
      <c t="s">
        <v>3093</v>
      </c>
      <c t="s">
        <v>30001</v>
      </c>
    </row>
    <row>
      <c t="s">
        <v>17594</v>
      </c>
      <c t="s">
        <v>27159</v>
      </c>
      <c t="s">
        <v>31401</v>
      </c>
      <c t="s">
        <v>17543</v>
      </c>
      <c t="s">
        <v>50192</v>
      </c>
      <c s="3">
        <v>20002</v>
      </c>
      <c s="3">
        <v>20002</v>
      </c>
      <c s="3">
        <v>10450</v>
      </c>
      <c>
        <v>0</v>
      </c>
      <c s="3">
        <v>0</v>
      </c>
      <c s="3">
        <v>609.31</v>
      </c>
      <c s="3">
        <v>20002</v>
      </c>
      <c>
        <v>2021</v>
      </c>
      <c>
        <v>621.52</v>
      </c>
      <c s="1" t="str">
        <f ca="1">HYPERLINK("https://web.datatree.com/?/property?propertyId=34182253", "https://web.datatree.com/?/property?propertyId=34182253")</f>
        <v>https://web.datatree.com/?/property?propertyId=34182253</v>
      </c>
      <c r="Q5506" t="s">
        <v>316</v>
      </c>
      <c>
        <v>0.23</v>
      </c>
      <c t="s">
        <v>16350</v>
      </c>
      <c t="s">
        <v>50331</v>
      </c>
      <c t="s">
        <v>61808</v>
      </c>
      <c r="X5506" t="s">
        <v>60289</v>
      </c>
      <c t="s">
        <v>38550</v>
      </c>
      <c t="s">
        <v>2517</v>
      </c>
      <c t="s">
        <v>39289</v>
      </c>
      <c>
        <v>33909</v>
      </c>
      <c t="s">
        <v>26916</v>
      </c>
      <c t="s">
        <v>48794</v>
      </c>
      <c t="s">
        <v>42185</v>
      </c>
      <c>
        <v>260</v>
      </c>
      <c r="AI5506" t="s">
        <v>48582</v>
      </c>
      <c t="s">
        <v>31192</v>
      </c>
      <c r="AL5506" t="s">
        <v>22745</v>
      </c>
      <c r="AN5506" t="s">
        <v>51087</v>
      </c>
      <c t="s">
        <v>52765</v>
      </c>
      <c t="s">
        <v>52247</v>
      </c>
      <c t="s">
        <v>3093</v>
      </c>
      <c t="s">
        <v>1781</v>
      </c>
    </row>
    <row>
      <c t="s">
        <v>17594</v>
      </c>
      <c t="s">
        <v>38968</v>
      </c>
      <c t="s">
        <v>2475</v>
      </c>
      <c t="s">
        <v>5367</v>
      </c>
      <c t="s">
        <v>27065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5507" s="1" t="str">
        <f ca="1">HYPERLINK("https://web.datatree.com/?/property?propertyId=34182969", "https://web.datatree.com/?/property?propertyId=34182969")</f>
        <v>https://web.datatree.com/?/property?propertyId=34182969</v>
      </c>
      <c r="Q5507" t="s">
        <v>316</v>
      </c>
      <c>
        <v>0.23</v>
      </c>
      <c t="s">
        <v>6175</v>
      </c>
      <c t="s">
        <v>54069</v>
      </c>
      <c t="s">
        <v>61268</v>
      </c>
      <c t="s">
        <v>22450</v>
      </c>
      <c t="s">
        <v>61268</v>
      </c>
      <c t="s">
        <v>48213</v>
      </c>
      <c t="s">
        <v>2619</v>
      </c>
      <c t="s">
        <v>2517</v>
      </c>
      <c t="s">
        <v>39289</v>
      </c>
      <c>
        <v>33909</v>
      </c>
      <c t="s">
        <v>25157</v>
      </c>
      <c t="s">
        <v>48794</v>
      </c>
      <c t="s">
        <v>49384</v>
      </c>
      <c>
        <v>23</v>
      </c>
      <c r="AI5507" t="s">
        <v>53465</v>
      </c>
      <c t="s">
        <v>45620</v>
      </c>
      <c r="AL5507" t="s">
        <v>57023</v>
      </c>
      <c r="AN5507" t="s">
        <v>26016</v>
      </c>
      <c t="s">
        <v>61762</v>
      </c>
      <c t="s">
        <v>4797</v>
      </c>
      <c t="s">
        <v>3093</v>
      </c>
      <c t="s">
        <v>65590</v>
      </c>
    </row>
    <row>
      <c t="s">
        <v>17594</v>
      </c>
      <c t="s">
        <v>44022</v>
      </c>
      <c t="s">
        <v>19431</v>
      </c>
      <c t="s">
        <v>24870</v>
      </c>
      <c t="s">
        <v>64832</v>
      </c>
      <c s="3">
        <v>88257</v>
      </c>
      <c s="3">
        <v>78960</v>
      </c>
      <c s="3">
        <v>84043</v>
      </c>
      <c>
        <v>0</v>
      </c>
      <c s="3">
        <v>0</v>
      </c>
      <c s="3">
        <v>1255.72</v>
      </c>
      <c s="3">
        <v>88257</v>
      </c>
      <c r="O5508" s="1" t="str">
        <f ca="1">HYPERLINK("https://web.datatree.com/?/property?propertyId=34183116", "https://web.datatree.com/?/property?propertyId=34183116")</f>
        <v>https://web.datatree.com/?/property?propertyId=34183116</v>
      </c>
      <c r="Q5508" t="s">
        <v>316</v>
      </c>
      <c>
        <v>0.103</v>
      </c>
      <c t="s">
        <v>26492</v>
      </c>
      <c t="s">
        <v>61273</v>
      </c>
      <c t="s">
        <v>60074</v>
      </c>
      <c t="s">
        <v>26069</v>
      </c>
      <c t="s">
        <v>60074</v>
      </c>
      <c t="s">
        <v>13893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37972</v>
      </c>
      <c>
        <v>29145</v>
      </c>
      <c r="AI5508" t="s">
        <v>59739</v>
      </c>
      <c t="s">
        <v>24900</v>
      </c>
      <c r="AL5508" t="s">
        <v>48405</v>
      </c>
      <c t="s">
        <v>40227</v>
      </c>
      <c t="s">
        <v>26443</v>
      </c>
      <c t="s">
        <v>50520</v>
      </c>
      <c t="s">
        <v>22455</v>
      </c>
      <c t="s">
        <v>3093</v>
      </c>
      <c t="s">
        <v>40493</v>
      </c>
    </row>
    <row>
      <c t="s">
        <v>17594</v>
      </c>
      <c t="s">
        <v>28970</v>
      </c>
      <c t="s">
        <v>2195</v>
      </c>
      <c t="s">
        <v>35446</v>
      </c>
      <c t="s">
        <v>48843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509" s="1" t="str">
        <f ca="1">HYPERLINK("https://web.datatree.com/?/property?propertyId=34184249", "https://web.datatree.com/?/property?propertyId=34184249")</f>
        <v>https://web.datatree.com/?/property?propertyId=34184249</v>
      </c>
      <c r="Q5509" t="s">
        <v>316</v>
      </c>
      <c>
        <v>0.23</v>
      </c>
      <c t="s">
        <v>6175</v>
      </c>
      <c t="s">
        <v>44457</v>
      </c>
      <c t="s">
        <v>9687</v>
      </c>
      <c t="s">
        <v>52701</v>
      </c>
      <c t="s">
        <v>49098</v>
      </c>
      <c t="s">
        <v>65791</v>
      </c>
      <c t="s">
        <v>34731</v>
      </c>
      <c t="s">
        <v>2517</v>
      </c>
      <c t="s">
        <v>39289</v>
      </c>
      <c>
        <v>33909</v>
      </c>
      <c t="s">
        <v>36238</v>
      </c>
      <c t="s">
        <v>48794</v>
      </c>
      <c t="s">
        <v>5083</v>
      </c>
      <c>
        <v>8005</v>
      </c>
      <c r="AI5509" t="s">
        <v>26550</v>
      </c>
      <c t="s">
        <v>4985</v>
      </c>
      <c r="AL5509" t="s">
        <v>11207</v>
      </c>
      <c t="s">
        <v>32270</v>
      </c>
      <c t="s">
        <v>39289</v>
      </c>
      <c t="s">
        <v>58745</v>
      </c>
      <c t="s">
        <v>56186</v>
      </c>
      <c t="s">
        <v>3093</v>
      </c>
      <c t="s">
        <v>13820</v>
      </c>
    </row>
    <row>
      <c t="s">
        <v>17594</v>
      </c>
      <c t="s">
        <v>20072</v>
      </c>
      <c t="s">
        <v>17126</v>
      </c>
      <c t="s">
        <v>65216</v>
      </c>
      <c t="s">
        <v>39023</v>
      </c>
      <c s="3">
        <v>128500</v>
      </c>
      <c s="3">
        <v>128500</v>
      </c>
      <c s="3">
        <v>128500</v>
      </c>
      <c>
        <v>0</v>
      </c>
      <c s="3">
        <v>0</v>
      </c>
      <c s="3">
        <v>5504.37</v>
      </c>
      <c s="3">
        <v>128500</v>
      </c>
      <c r="O5510" s="1" t="str">
        <f ca="1">HYPERLINK("https://web.datatree.com/?/property?propertyId=34184447", "https://web.datatree.com/?/property?propertyId=34184447")</f>
        <v>https://web.datatree.com/?/property?propertyId=34184447</v>
      </c>
      <c r="Q5510" t="s">
        <v>316</v>
      </c>
      <c>
        <v>0.398</v>
      </c>
      <c t="s">
        <v>60849</v>
      </c>
      <c t="s">
        <v>37244</v>
      </c>
      <c t="s">
        <v>2963</v>
      </c>
      <c t="s">
        <v>22981</v>
      </c>
      <c t="s">
        <v>2963</v>
      </c>
      <c t="s">
        <v>15454</v>
      </c>
      <c t="s">
        <v>62467</v>
      </c>
      <c t="s">
        <v>65059</v>
      </c>
      <c t="s">
        <v>39289</v>
      </c>
      <c>
        <v>33905</v>
      </c>
      <c t="s">
        <v>48140</v>
      </c>
      <c t="s">
        <v>48794</v>
      </c>
      <c t="s">
        <v>65184</v>
      </c>
      <c>
        <v>101</v>
      </c>
      <c r="AI5510" t="s">
        <v>55130</v>
      </c>
      <c t="s">
        <v>24900</v>
      </c>
      <c r="AL5510" t="s">
        <v>22294</v>
      </c>
      <c t="s">
        <v>22294</v>
      </c>
      <c t="s">
        <v>26016</v>
      </c>
      <c t="s">
        <v>45317</v>
      </c>
      <c t="s">
        <v>41169</v>
      </c>
      <c t="s">
        <v>3093</v>
      </c>
      <c t="s">
        <v>36573</v>
      </c>
    </row>
    <row>
      <c t="s">
        <v>17594</v>
      </c>
      <c t="s">
        <v>33404</v>
      </c>
      <c t="s">
        <v>53378</v>
      </c>
      <c t="s">
        <v>9145</v>
      </c>
      <c t="s">
        <v>49438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5511" s="1" t="str">
        <f ca="1">HYPERLINK("https://web.datatree.com/?/property?propertyId=34185476", "https://web.datatree.com/?/property?propertyId=34185476")</f>
        <v>https://web.datatree.com/?/property?propertyId=34185476</v>
      </c>
      <c r="Q5511" t="s">
        <v>316</v>
      </c>
      <c>
        <v>0.23</v>
      </c>
      <c t="s">
        <v>58725</v>
      </c>
      <c t="s">
        <v>798</v>
      </c>
      <c t="s">
        <v>57781</v>
      </c>
      <c t="s">
        <v>45783</v>
      </c>
      <c t="s">
        <v>57781</v>
      </c>
      <c t="s">
        <v>4950</v>
      </c>
      <c t="s">
        <v>39082</v>
      </c>
      <c t="s">
        <v>2517</v>
      </c>
      <c t="s">
        <v>39289</v>
      </c>
      <c>
        <v>33909</v>
      </c>
      <c t="s">
        <v>26533</v>
      </c>
      <c t="s">
        <v>48794</v>
      </c>
      <c t="s">
        <v>2264</v>
      </c>
      <c>
        <v>1194</v>
      </c>
      <c r="AI5511" t="s">
        <v>64634</v>
      </c>
      <c r="AL5511" t="s">
        <v>2380</v>
      </c>
      <c r="AN5511" t="s">
        <v>32840</v>
      </c>
      <c r="AR5511" t="s">
        <v>11470</v>
      </c>
    </row>
    <row>
      <c t="s">
        <v>17594</v>
      </c>
      <c t="s">
        <v>65292</v>
      </c>
      <c t="s">
        <v>5313</v>
      </c>
      <c t="s">
        <v>28976</v>
      </c>
      <c t="s">
        <v>66714</v>
      </c>
      <c s="3">
        <v>24937</v>
      </c>
      <c s="3">
        <v>24937</v>
      </c>
      <c s="3">
        <v>9079</v>
      </c>
      <c>
        <v>0</v>
      </c>
      <c s="3">
        <v>0</v>
      </c>
      <c s="3">
        <v>3053.7</v>
      </c>
      <c s="3">
        <v>24937</v>
      </c>
      <c r="O5512" s="1" t="str">
        <f ca="1">HYPERLINK("https://web.datatree.com/?/property?propertyId=34185593", "https://web.datatree.com/?/property?propertyId=34185593")</f>
        <v>https://web.datatree.com/?/property?propertyId=34185593</v>
      </c>
      <c r="Q5512" t="s">
        <v>316</v>
      </c>
      <c>
        <v>0.258</v>
      </c>
      <c t="s">
        <v>6175</v>
      </c>
      <c t="s">
        <v>39483</v>
      </c>
      <c t="s">
        <v>7107</v>
      </c>
      <c t="s">
        <v>44541</v>
      </c>
      <c t="s">
        <v>17648</v>
      </c>
      <c t="s">
        <v>5753</v>
      </c>
      <c t="s">
        <v>58797</v>
      </c>
      <c t="s">
        <v>2517</v>
      </c>
      <c t="s">
        <v>39289</v>
      </c>
      <c>
        <v>33909</v>
      </c>
      <c t="s">
        <v>16733</v>
      </c>
      <c t="s">
        <v>48794</v>
      </c>
      <c t="s">
        <v>49849</v>
      </c>
      <c>
        <v>11550</v>
      </c>
      <c r="AI5512" t="s">
        <v>54928</v>
      </c>
      <c r="AL5512" t="s">
        <v>41133</v>
      </c>
      <c r="AN5512" t="s">
        <v>18236</v>
      </c>
      <c t="s">
        <v>54281</v>
      </c>
      <c t="s">
        <v>14695</v>
      </c>
      <c t="s">
        <v>3093</v>
      </c>
      <c t="s">
        <v>16150</v>
      </c>
    </row>
    <row>
      <c t="s">
        <v>17594</v>
      </c>
      <c t="s">
        <v>30562</v>
      </c>
      <c t="s">
        <v>53650</v>
      </c>
      <c t="s">
        <v>15731</v>
      </c>
      <c t="s">
        <v>19646</v>
      </c>
      <c s="3">
        <v>16783</v>
      </c>
      <c s="3">
        <v>16783</v>
      </c>
      <c s="3">
        <v>8470</v>
      </c>
      <c>
        <v>0</v>
      </c>
      <c s="3">
        <v>0</v>
      </c>
      <c s="3">
        <v>572.25</v>
      </c>
      <c s="3">
        <v>16783</v>
      </c>
      <c r="O5513" s="1" t="str">
        <f ca="1">HYPERLINK("https://web.datatree.com/?/property?propertyId=34185608", "https://web.datatree.com/?/property?propertyId=34185608")</f>
        <v>https://web.datatree.com/?/property?propertyId=34185608</v>
      </c>
      <c r="Q5513" t="s">
        <v>316</v>
      </c>
      <c>
        <v>0.232</v>
      </c>
      <c t="s">
        <v>6175</v>
      </c>
      <c t="s">
        <v>63</v>
      </c>
      <c t="s">
        <v>27688</v>
      </c>
      <c r="X5513" t="s">
        <v>32569</v>
      </c>
      <c t="s">
        <v>13829</v>
      </c>
      <c t="s">
        <v>2517</v>
      </c>
      <c t="s">
        <v>39289</v>
      </c>
      <c>
        <v>33909</v>
      </c>
      <c t="s">
        <v>39980</v>
      </c>
      <c t="s">
        <v>48794</v>
      </c>
      <c t="s">
        <v>28659</v>
      </c>
      <c>
        <v>3329</v>
      </c>
      <c r="AI5513" t="s">
        <v>26382</v>
      </c>
      <c t="s">
        <v>45393</v>
      </c>
      <c r="AL5513" t="s">
        <v>20423</v>
      </c>
      <c r="AN5513" t="s">
        <v>50917</v>
      </c>
      <c t="s">
        <v>66153</v>
      </c>
      <c t="s">
        <v>40645</v>
      </c>
      <c t="s">
        <v>3093</v>
      </c>
      <c t="s">
        <v>31964</v>
      </c>
    </row>
    <row>
      <c t="s">
        <v>17594</v>
      </c>
      <c t="s">
        <v>35470</v>
      </c>
      <c t="s">
        <v>36264</v>
      </c>
      <c t="s">
        <v>20918</v>
      </c>
      <c t="s">
        <v>20864</v>
      </c>
      <c s="3">
        <v>9900</v>
      </c>
      <c s="3">
        <v>9900</v>
      </c>
      <c s="3">
        <v>9900</v>
      </c>
      <c>
        <v>0</v>
      </c>
      <c s="3">
        <v>0</v>
      </c>
      <c s="3">
        <v>680.66</v>
      </c>
      <c s="3">
        <v>9900</v>
      </c>
      <c r="O5514" s="1" t="str">
        <f ca="1">HYPERLINK("https://web.datatree.com/?/property?propertyId=34186072", "https://web.datatree.com/?/property?propertyId=34186072")</f>
        <v>https://web.datatree.com/?/property?propertyId=34186072</v>
      </c>
      <c r="Q5514" t="s">
        <v>316</v>
      </c>
      <c>
        <v>0.344</v>
      </c>
      <c t="s">
        <v>33269</v>
      </c>
      <c t="s">
        <v>48794</v>
      </c>
      <c t="s">
        <v>13210</v>
      </c>
      <c r="X5514" t="s">
        <v>46287</v>
      </c>
      <c t="s">
        <v>41506</v>
      </c>
      <c t="s">
        <v>2517</v>
      </c>
      <c t="s">
        <v>39289</v>
      </c>
      <c>
        <v>33909</v>
      </c>
      <c t="s">
        <v>37855</v>
      </c>
      <c t="s">
        <v>48794</v>
      </c>
      <c t="s">
        <v>59940</v>
      </c>
      <c>
        <v>4319</v>
      </c>
      <c r="AI5514" t="s">
        <v>3579</v>
      </c>
      <c t="s">
        <v>40123</v>
      </c>
      <c r="AL5514" t="s">
        <v>50860</v>
      </c>
      <c t="s">
        <v>62717</v>
      </c>
      <c t="s">
        <v>51087</v>
      </c>
      <c t="s">
        <v>36340</v>
      </c>
      <c t="s">
        <v>19978</v>
      </c>
      <c t="s">
        <v>3093</v>
      </c>
      <c t="s">
        <v>1700</v>
      </c>
    </row>
    <row>
      <c t="s">
        <v>17594</v>
      </c>
      <c t="s">
        <v>6674</v>
      </c>
      <c t="s">
        <v>14064</v>
      </c>
      <c t="s">
        <v>28555</v>
      </c>
      <c t="s">
        <v>41937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>
        <v>2021</v>
      </c>
      <c>
        <v>605.74</v>
      </c>
      <c s="1" t="str">
        <f ca="1">HYPERLINK("https://web.datatree.com/?/property?propertyId=34186225", "https://web.datatree.com/?/property?propertyId=34186225")</f>
        <v>https://web.datatree.com/?/property?propertyId=34186225</v>
      </c>
      <c r="Q5515" t="s">
        <v>316</v>
      </c>
      <c>
        <v>0.23</v>
      </c>
      <c t="s">
        <v>6175</v>
      </c>
      <c t="s">
        <v>66240</v>
      </c>
      <c t="s">
        <v>27791</v>
      </c>
      <c r="W5515" t="s">
        <v>49409</v>
      </c>
      <c t="s">
        <v>13972</v>
      </c>
      <c t="s">
        <v>47150</v>
      </c>
      <c t="s">
        <v>2517</v>
      </c>
      <c t="s">
        <v>39289</v>
      </c>
      <c>
        <v>33909</v>
      </c>
      <c t="s">
        <v>51621</v>
      </c>
      <c t="s">
        <v>48794</v>
      </c>
      <c t="s">
        <v>50810</v>
      </c>
      <c>
        <v>1105</v>
      </c>
      <c r="AH5515" t="s">
        <v>26580</v>
      </c>
      <c t="s">
        <v>56489</v>
      </c>
      <c r="AK5515" t="s">
        <v>25384</v>
      </c>
      <c t="s">
        <v>17648</v>
      </c>
      <c r="AN5515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45951</v>
      </c>
      <c t="s">
        <v>50384</v>
      </c>
      <c t="s">
        <v>28305</v>
      </c>
      <c t="s">
        <v>2139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516" s="1" t="str">
        <f ca="1">HYPERLINK("https://web.datatree.com/?/property?propertyId=34186527", "https://web.datatree.com/?/property?propertyId=34186527")</f>
        <v>https://web.datatree.com/?/property?propertyId=34186527</v>
      </c>
      <c r="Q5516" t="s">
        <v>316</v>
      </c>
      <c>
        <v>0.235</v>
      </c>
      <c t="s">
        <v>22490</v>
      </c>
      <c t="s">
        <v>60693</v>
      </c>
      <c t="s">
        <v>33532</v>
      </c>
      <c t="s">
        <v>22788</v>
      </c>
      <c t="s">
        <v>33532</v>
      </c>
      <c t="s">
        <v>11234</v>
      </c>
      <c t="s">
        <v>22731</v>
      </c>
      <c t="s">
        <v>2517</v>
      </c>
      <c t="s">
        <v>39289</v>
      </c>
      <c>
        <v>33909</v>
      </c>
      <c t="s">
        <v>35927</v>
      </c>
      <c t="s">
        <v>48794</v>
      </c>
      <c t="s">
        <v>46288</v>
      </c>
      <c>
        <v>456</v>
      </c>
      <c r="AI5516" t="s">
        <v>63911</v>
      </c>
      <c r="AL5516" t="s">
        <v>51069</v>
      </c>
      <c t="s">
        <v>51069</v>
      </c>
      <c t="s">
        <v>66651</v>
      </c>
      <c>
        <v>30127</v>
      </c>
      <c r="AR5516" t="s">
        <v>13672</v>
      </c>
    </row>
    <row>
      <c t="s">
        <v>42103</v>
      </c>
      <c t="s">
        <v>14441</v>
      </c>
      <c t="s">
        <v>18591</v>
      </c>
      <c t="s">
        <v>30364</v>
      </c>
      <c t="s">
        <v>1696</v>
      </c>
      <c s="3">
        <v>26290</v>
      </c>
      <c s="3">
        <v>26290</v>
      </c>
      <c s="3">
        <v>12650</v>
      </c>
      <c>
        <v>0</v>
      </c>
      <c s="3">
        <v>0</v>
      </c>
      <c s="3">
        <v>2963.75</v>
      </c>
      <c s="3">
        <v>26290</v>
      </c>
      <c r="O5517" s="1" t="str">
        <f ca="1">HYPERLINK("https://web.datatree.com/?/property?propertyId=34186685", "https://web.datatree.com/?/property?propertyId=34186685")</f>
        <v>https://web.datatree.com/?/property?propertyId=34186685</v>
      </c>
      <c r="Q5517" t="s">
        <v>316</v>
      </c>
      <c>
        <v>0.241</v>
      </c>
      <c t="s">
        <v>22490</v>
      </c>
      <c t="s">
        <v>52407</v>
      </c>
      <c t="s">
        <v>31189</v>
      </c>
      <c r="X5517" t="s">
        <v>61694</v>
      </c>
      <c t="s">
        <v>25017</v>
      </c>
      <c t="s">
        <v>2517</v>
      </c>
      <c t="s">
        <v>39289</v>
      </c>
      <c>
        <v>33909</v>
      </c>
      <c t="s">
        <v>51954</v>
      </c>
      <c t="s">
        <v>48794</v>
      </c>
      <c t="s">
        <v>24108</v>
      </c>
      <c t="str">
        <f>"587-2050"</f>
        <v>587-2050</v>
      </c>
      <c r="AI5517" t="s">
        <v>12314</v>
      </c>
      <c r="AN5517" t="s">
        <v>52339</v>
      </c>
      <c r="AR5517" t="s">
        <v>43779</v>
      </c>
    </row>
    <row>
      <c t="s">
        <v>17594</v>
      </c>
      <c t="s">
        <v>13536</v>
      </c>
      <c t="s">
        <v>38105</v>
      </c>
      <c t="s">
        <v>49552</v>
      </c>
      <c t="s">
        <v>15064</v>
      </c>
      <c s="3">
        <v>20580</v>
      </c>
      <c s="3">
        <v>20580</v>
      </c>
      <c s="3">
        <v>8591</v>
      </c>
      <c>
        <v>0</v>
      </c>
      <c s="3">
        <v>0</v>
      </c>
      <c s="3">
        <v>671.14</v>
      </c>
      <c s="3">
        <v>20580</v>
      </c>
      <c r="O5518" s="1" t="str">
        <f ca="1">HYPERLINK("https://web.datatree.com/?/property?propertyId=34186923", "https://web.datatree.com/?/property?propertyId=34186923")</f>
        <v>https://web.datatree.com/?/property?propertyId=34186923</v>
      </c>
      <c r="Q5518" t="s">
        <v>316</v>
      </c>
      <c>
        <v>0.344</v>
      </c>
      <c t="s">
        <v>6175</v>
      </c>
      <c t="s">
        <v>62903</v>
      </c>
      <c t="s">
        <v>33920</v>
      </c>
      <c r="X5518" t="s">
        <v>52687</v>
      </c>
      <c t="s">
        <v>371</v>
      </c>
      <c t="s">
        <v>2517</v>
      </c>
      <c t="s">
        <v>39289</v>
      </c>
      <c>
        <v>33909</v>
      </c>
      <c t="s">
        <v>14699</v>
      </c>
      <c t="s">
        <v>48794</v>
      </c>
      <c t="s">
        <v>1419</v>
      </c>
      <c>
        <v>12702</v>
      </c>
      <c r="AI5518" t="s">
        <v>3567</v>
      </c>
      <c t="s">
        <v>31192</v>
      </c>
      <c r="AL5518" t="s">
        <v>21676</v>
      </c>
      <c t="s">
        <v>21676</v>
      </c>
      <c t="s">
        <v>39289</v>
      </c>
      <c t="s">
        <v>25182</v>
      </c>
      <c t="s">
        <v>19922</v>
      </c>
      <c t="s">
        <v>3093</v>
      </c>
      <c t="s">
        <v>60116</v>
      </c>
    </row>
    <row>
      <c t="s">
        <v>17594</v>
      </c>
      <c t="s">
        <v>17408</v>
      </c>
      <c t="s">
        <v>12408</v>
      </c>
      <c t="s">
        <v>39998</v>
      </c>
      <c t="s">
        <v>56426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5519" s="1" t="str">
        <f ca="1">HYPERLINK("https://web.datatree.com/?/property?propertyId=34187497", "https://web.datatree.com/?/property?propertyId=34187497")</f>
        <v>https://web.datatree.com/?/property?propertyId=34187497</v>
      </c>
      <c r="Q5519" t="s">
        <v>316</v>
      </c>
      <c>
        <v>0.244</v>
      </c>
      <c t="s">
        <v>6175</v>
      </c>
      <c t="s">
        <v>51229</v>
      </c>
      <c t="s">
        <v>25083</v>
      </c>
      <c t="s">
        <v>5592</v>
      </c>
      <c t="s">
        <v>25083</v>
      </c>
      <c t="s">
        <v>54850</v>
      </c>
      <c t="s">
        <v>33179</v>
      </c>
      <c t="s">
        <v>2517</v>
      </c>
      <c t="s">
        <v>39289</v>
      </c>
      <c>
        <v>33909</v>
      </c>
      <c t="s">
        <v>8333</v>
      </c>
      <c t="s">
        <v>48794</v>
      </c>
      <c t="s">
        <v>33572</v>
      </c>
      <c>
        <v>22102</v>
      </c>
      <c r="AI5519" t="s">
        <v>26112</v>
      </c>
      <c t="s">
        <v>24900</v>
      </c>
      <c r="AL5519" t="s">
        <v>23779</v>
      </c>
      <c r="AN5519" t="s">
        <v>50917</v>
      </c>
      <c t="s">
        <v>8718</v>
      </c>
      <c t="s">
        <v>51249</v>
      </c>
      <c t="s">
        <v>3093</v>
      </c>
      <c t="s">
        <v>10522</v>
      </c>
    </row>
    <row>
      <c t="s">
        <v>42103</v>
      </c>
      <c t="s">
        <v>21020</v>
      </c>
      <c t="s">
        <v>20790</v>
      </c>
      <c t="s">
        <v>7009</v>
      </c>
      <c t="s">
        <v>59320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5520" s="1" t="str">
        <f ca="1">HYPERLINK("https://web.datatree.com/?/property?propertyId=34188169", "https://web.datatree.com/?/property?propertyId=34188169")</f>
        <v>https://web.datatree.com/?/property?propertyId=34188169</v>
      </c>
      <c r="Q5520" t="s">
        <v>316</v>
      </c>
      <c>
        <v>0.23</v>
      </c>
      <c t="s">
        <v>22490</v>
      </c>
      <c t="s">
        <v>64649</v>
      </c>
      <c t="s">
        <v>63573</v>
      </c>
      <c t="s">
        <v>50331</v>
      </c>
      <c t="s">
        <v>41408</v>
      </c>
      <c t="s">
        <v>17181</v>
      </c>
      <c t="s">
        <v>10653</v>
      </c>
      <c t="s">
        <v>2517</v>
      </c>
      <c t="s">
        <v>39289</v>
      </c>
      <c>
        <v>33909</v>
      </c>
      <c t="s">
        <v>55553</v>
      </c>
      <c t="s">
        <v>48794</v>
      </c>
      <c t="s">
        <v>832</v>
      </c>
      <c r="AI5520" t="s">
        <v>4390</v>
      </c>
      <c r="AL5520" t="s">
        <v>30735</v>
      </c>
      <c r="AN5520" t="s">
        <v>7064</v>
      </c>
      <c t="s">
        <v>63443</v>
      </c>
      <c r="AQ5520" t="s">
        <v>27814</v>
      </c>
      <c t="s">
        <v>65050</v>
      </c>
    </row>
    <row>
      <c t="s">
        <v>42103</v>
      </c>
      <c t="s">
        <v>63525</v>
      </c>
      <c t="s">
        <v>22743</v>
      </c>
      <c t="s">
        <v>11474</v>
      </c>
      <c t="s">
        <v>45422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521" s="1" t="str">
        <f ca="1">HYPERLINK("https://web.datatree.com/?/property?propertyId=34188923", "https://web.datatree.com/?/property?propertyId=34188923")</f>
        <v>https://web.datatree.com/?/property?propertyId=34188923</v>
      </c>
      <c r="Q5521" t="s">
        <v>316</v>
      </c>
      <c>
        <v>0.233</v>
      </c>
      <c t="s">
        <v>22490</v>
      </c>
      <c r="U5521" t="s">
        <v>51939</v>
      </c>
      <c t="s">
        <v>64427</v>
      </c>
      <c t="s">
        <v>36623</v>
      </c>
      <c t="s">
        <v>11876</v>
      </c>
      <c t="s">
        <v>61850</v>
      </c>
      <c t="s">
        <v>2517</v>
      </c>
      <c t="s">
        <v>39289</v>
      </c>
      <c>
        <v>33909</v>
      </c>
      <c t="s">
        <v>55313</v>
      </c>
      <c t="s">
        <v>48794</v>
      </c>
      <c t="s">
        <v>30715</v>
      </c>
      <c r="AI5521" t="s">
        <v>946</v>
      </c>
      <c r="AL5521" t="s">
        <v>29857</v>
      </c>
      <c t="s">
        <v>29857</v>
      </c>
      <c t="s">
        <v>18236</v>
      </c>
      <c t="s">
        <v>6884</v>
      </c>
      <c t="s">
        <v>3030</v>
      </c>
      <c t="s">
        <v>3093</v>
      </c>
      <c t="s">
        <v>39501</v>
      </c>
    </row>
    <row>
      <c t="s">
        <v>17594</v>
      </c>
      <c t="s">
        <v>12036</v>
      </c>
      <c t="s">
        <v>22685</v>
      </c>
      <c t="s">
        <v>66726</v>
      </c>
      <c t="s">
        <v>51244</v>
      </c>
      <c s="3">
        <v>28000</v>
      </c>
      <c s="3">
        <v>28000</v>
      </c>
      <c s="3">
        <v>12100</v>
      </c>
      <c>
        <v>0</v>
      </c>
      <c s="3">
        <v>0</v>
      </c>
      <c s="3">
        <v>653.92</v>
      </c>
      <c s="3">
        <v>28000</v>
      </c>
      <c r="O5522" s="1" t="str">
        <f ca="1">HYPERLINK("https://web.datatree.com/?/property?propertyId=34189605", "https://web.datatree.com/?/property?propertyId=34189605")</f>
        <v>https://web.datatree.com/?/property?propertyId=34189605</v>
      </c>
      <c r="Q5522" t="s">
        <v>316</v>
      </c>
      <c>
        <v>0.23</v>
      </c>
      <c t="s">
        <v>45031</v>
      </c>
      <c t="s">
        <v>38259</v>
      </c>
      <c t="s">
        <v>49862</v>
      </c>
      <c t="s">
        <v>12240</v>
      </c>
      <c t="s">
        <v>49862</v>
      </c>
      <c t="s">
        <v>58561</v>
      </c>
      <c t="s">
        <v>39082</v>
      </c>
      <c t="s">
        <v>2517</v>
      </c>
      <c t="s">
        <v>39289</v>
      </c>
      <c>
        <v>33909</v>
      </c>
      <c t="s">
        <v>39205</v>
      </c>
      <c t="s">
        <v>48794</v>
      </c>
      <c t="s">
        <v>54988</v>
      </c>
      <c>
        <v>401</v>
      </c>
      <c r="AI5522" t="s">
        <v>66701</v>
      </c>
      <c t="s">
        <v>24900</v>
      </c>
      <c t="s">
        <v>65349</v>
      </c>
      <c t="s">
        <v>13397</v>
      </c>
      <c r="AN5522" t="s">
        <v>50917</v>
      </c>
      <c t="s">
        <v>20847</v>
      </c>
      <c t="s">
        <v>48506</v>
      </c>
      <c t="s">
        <v>3093</v>
      </c>
      <c t="s">
        <v>36793</v>
      </c>
    </row>
    <row>
      <c t="s">
        <v>17594</v>
      </c>
      <c t="s">
        <v>14601</v>
      </c>
      <c t="s">
        <v>50764</v>
      </c>
      <c t="s">
        <v>524</v>
      </c>
      <c t="s">
        <v>62700</v>
      </c>
      <c s="3">
        <v>18361</v>
      </c>
      <c s="3">
        <v>18361</v>
      </c>
      <c s="3">
        <v>9350</v>
      </c>
      <c>
        <v>0</v>
      </c>
      <c s="3">
        <v>0</v>
      </c>
      <c s="3">
        <v>576.1</v>
      </c>
      <c s="3">
        <v>18361</v>
      </c>
      <c r="O5523" s="1" t="str">
        <f ca="1">HYPERLINK("https://web.datatree.com/?/property?propertyId=34190315", "https://web.datatree.com/?/property?propertyId=34190315")</f>
        <v>https://web.datatree.com/?/property?propertyId=34190315</v>
      </c>
      <c r="Q5523" t="s">
        <v>316</v>
      </c>
      <c>
        <v>0.229</v>
      </c>
      <c t="s">
        <v>6175</v>
      </c>
      <c t="s">
        <v>45000</v>
      </c>
      <c t="s">
        <v>22228</v>
      </c>
      <c r="X5523" t="s">
        <v>60515</v>
      </c>
      <c t="s">
        <v>61850</v>
      </c>
      <c t="s">
        <v>2517</v>
      </c>
      <c t="s">
        <v>39289</v>
      </c>
      <c>
        <v>33909</v>
      </c>
      <c t="s">
        <v>6721</v>
      </c>
      <c t="s">
        <v>48794</v>
      </c>
      <c t="s">
        <v>31818</v>
      </c>
      <c>
        <v>6145</v>
      </c>
      <c r="AI5523" t="s">
        <v>53521</v>
      </c>
      <c t="s">
        <v>55842</v>
      </c>
      <c r="AL5523" t="s">
        <v>11713</v>
      </c>
      <c r="AN5523" t="s">
        <v>39289</v>
      </c>
      <c t="s">
        <v>66920</v>
      </c>
      <c t="s">
        <v>28833</v>
      </c>
      <c t="s">
        <v>3093</v>
      </c>
      <c t="s">
        <v>66612</v>
      </c>
    </row>
    <row>
      <c t="s">
        <v>17594</v>
      </c>
      <c t="s">
        <v>27586</v>
      </c>
      <c t="s">
        <v>14064</v>
      </c>
      <c t="s">
        <v>723</v>
      </c>
      <c t="s">
        <v>36878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524" s="1" t="str">
        <f ca="1">HYPERLINK("https://web.datatree.com/?/property?propertyId=34190399", "https://web.datatree.com/?/property?propertyId=34190399")</f>
        <v>https://web.datatree.com/?/property?propertyId=34190399</v>
      </c>
      <c r="Q5524" t="s">
        <v>316</v>
      </c>
      <c>
        <v>0.226</v>
      </c>
      <c t="s">
        <v>42044</v>
      </c>
      <c t="s">
        <v>21379</v>
      </c>
      <c t="s">
        <v>20604</v>
      </c>
      <c r="W5524" t="s">
        <v>21555</v>
      </c>
      <c t="s">
        <v>9795</v>
      </c>
      <c t="s">
        <v>61850</v>
      </c>
      <c t="s">
        <v>2517</v>
      </c>
      <c t="s">
        <v>39289</v>
      </c>
      <c>
        <v>33909</v>
      </c>
      <c t="s">
        <v>20091</v>
      </c>
      <c t="s">
        <v>48794</v>
      </c>
      <c t="s">
        <v>34653</v>
      </c>
      <c>
        <v>1105</v>
      </c>
      <c r="AH5524" t="s">
        <v>26580</v>
      </c>
      <c t="s">
        <v>56489</v>
      </c>
      <c r="AK5524" t="s">
        <v>25384</v>
      </c>
      <c t="s">
        <v>17648</v>
      </c>
      <c r="AN5524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33485</v>
      </c>
      <c t="s">
        <v>67173</v>
      </c>
      <c t="s">
        <v>47779</v>
      </c>
      <c t="s">
        <v>32237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525" s="1" t="str">
        <f ca="1">HYPERLINK("https://web.datatree.com/?/property?propertyId=34190757", "https://web.datatree.com/?/property?propertyId=34190757")</f>
        <v>https://web.datatree.com/?/property?propertyId=34190757</v>
      </c>
      <c r="Q5525" t="s">
        <v>316</v>
      </c>
      <c>
        <v>0.23</v>
      </c>
      <c t="s">
        <v>6175</v>
      </c>
      <c t="s">
        <v>28748</v>
      </c>
      <c t="s">
        <v>21668</v>
      </c>
      <c t="s">
        <v>25384</v>
      </c>
      <c t="s">
        <v>33868</v>
      </c>
      <c t="s">
        <v>58906</v>
      </c>
      <c t="s">
        <v>22731</v>
      </c>
      <c t="s">
        <v>2517</v>
      </c>
      <c t="s">
        <v>39289</v>
      </c>
      <c>
        <v>33909</v>
      </c>
      <c t="s">
        <v>20816</v>
      </c>
      <c t="s">
        <v>48794</v>
      </c>
      <c t="s">
        <v>59694</v>
      </c>
      <c>
        <v>4176</v>
      </c>
      <c r="AI5525" t="s">
        <v>51841</v>
      </c>
      <c t="s">
        <v>31192</v>
      </c>
      <c r="AL5525" t="s">
        <v>18092</v>
      </c>
      <c r="AN5525" t="s">
        <v>39289</v>
      </c>
      <c t="s">
        <v>37307</v>
      </c>
      <c t="s">
        <v>4480</v>
      </c>
      <c t="s">
        <v>3093</v>
      </c>
      <c t="s">
        <v>9198</v>
      </c>
    </row>
    <row>
      <c t="s">
        <v>17594</v>
      </c>
      <c t="s">
        <v>37174</v>
      </c>
      <c t="s">
        <v>39243</v>
      </c>
      <c t="s">
        <v>24443</v>
      </c>
      <c t="s">
        <v>58762</v>
      </c>
      <c s="3">
        <v>5201</v>
      </c>
      <c s="3">
        <v>5201</v>
      </c>
      <c s="3">
        <v>3300</v>
      </c>
      <c>
        <v>0</v>
      </c>
      <c s="3">
        <v>0</v>
      </c>
      <c s="3">
        <v>63.28</v>
      </c>
      <c s="3">
        <v>5201</v>
      </c>
      <c>
        <v>2021</v>
      </c>
      <c>
        <v>88.82</v>
      </c>
      <c s="1" t="str">
        <f ca="1">HYPERLINK("https://web.datatree.com/?/property?propertyId=34191231", "https://web.datatree.com/?/property?propertyId=34191231")</f>
        <v>https://web.datatree.com/?/property?propertyId=34191231</v>
      </c>
      <c r="Q5526" t="s">
        <v>316</v>
      </c>
      <c>
        <v>0.064</v>
      </c>
      <c t="s">
        <v>5471</v>
      </c>
      <c t="s">
        <v>54943</v>
      </c>
      <c t="s">
        <v>41362</v>
      </c>
      <c r="X5526" t="s">
        <v>20147</v>
      </c>
      <c t="s">
        <v>16673</v>
      </c>
      <c t="s">
        <v>54524</v>
      </c>
      <c t="s">
        <v>39289</v>
      </c>
      <c>
        <v>33903</v>
      </c>
      <c t="s">
        <v>8049</v>
      </c>
      <c t="s">
        <v>48794</v>
      </c>
      <c t="s">
        <v>15855</v>
      </c>
      <c>
        <v>1927</v>
      </c>
      <c r="AH5526" t="s">
        <v>15376</v>
      </c>
      <c t="s">
        <v>13964</v>
      </c>
      <c t="s">
        <v>45393</v>
      </c>
      <c r="AL5526" t="s">
        <v>11713</v>
      </c>
      <c t="s">
        <v>21507</v>
      </c>
      <c t="s">
        <v>39289</v>
      </c>
      <c t="s">
        <v>49662</v>
      </c>
      <c t="s">
        <v>14845</v>
      </c>
      <c t="s">
        <v>3093</v>
      </c>
      <c t="s">
        <v>38977</v>
      </c>
    </row>
    <row>
      <c t="s">
        <v>17594</v>
      </c>
      <c t="s">
        <v>5538</v>
      </c>
      <c t="s">
        <v>51689</v>
      </c>
      <c t="s">
        <v>9765</v>
      </c>
      <c t="s">
        <v>2445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527" s="1" t="str">
        <f ca="1">HYPERLINK("https://web.datatree.com/?/property?propertyId=34191587", "https://web.datatree.com/?/property?propertyId=34191587")</f>
        <v>https://web.datatree.com/?/property?propertyId=34191587</v>
      </c>
      <c r="Q5527" t="s">
        <v>316</v>
      </c>
      <c>
        <v>0.23</v>
      </c>
      <c t="s">
        <v>22490</v>
      </c>
      <c t="s">
        <v>36061</v>
      </c>
      <c t="s">
        <v>28262</v>
      </c>
      <c t="s">
        <v>20136</v>
      </c>
      <c t="s">
        <v>23326</v>
      </c>
      <c t="s">
        <v>8591</v>
      </c>
      <c t="s">
        <v>38550</v>
      </c>
      <c t="s">
        <v>2517</v>
      </c>
      <c t="s">
        <v>39289</v>
      </c>
      <c>
        <v>33909</v>
      </c>
      <c t="s">
        <v>50393</v>
      </c>
      <c t="s">
        <v>48794</v>
      </c>
      <c t="s">
        <v>60165</v>
      </c>
      <c>
        <v>19</v>
      </c>
      <c r="AI5527" t="s">
        <v>33964</v>
      </c>
      <c t="s">
        <v>45620</v>
      </c>
      <c r="AL5527" t="s">
        <v>10776</v>
      </c>
      <c r="AN5527" t="s">
        <v>50917</v>
      </c>
      <c t="s">
        <v>7566</v>
      </c>
      <c t="s">
        <v>25140</v>
      </c>
      <c t="s">
        <v>3093</v>
      </c>
      <c t="s">
        <v>38601</v>
      </c>
    </row>
    <row>
      <c t="s">
        <v>42103</v>
      </c>
      <c t="s">
        <v>39951</v>
      </c>
      <c t="s">
        <v>10069</v>
      </c>
      <c t="s">
        <v>27850</v>
      </c>
      <c t="s">
        <v>42086</v>
      </c>
      <c s="3">
        <v>12544</v>
      </c>
      <c s="3">
        <v>12544</v>
      </c>
      <c s="3">
        <v>12544</v>
      </c>
      <c>
        <v>0</v>
      </c>
      <c s="3">
        <v>0</v>
      </c>
      <c s="3">
        <v>371.7</v>
      </c>
      <c s="3">
        <v>12544</v>
      </c>
      <c>
        <v>2021</v>
      </c>
      <c>
        <v>358.78</v>
      </c>
      <c s="1" t="str">
        <f ca="1">HYPERLINK("https://web.datatree.com/?/property?propertyId=34191590", "https://web.datatree.com/?/property?propertyId=34191590")</f>
        <v>https://web.datatree.com/?/property?propertyId=34191590</v>
      </c>
      <c r="Q5528" t="s">
        <v>316</v>
      </c>
      <c>
        <v>0.294</v>
      </c>
      <c t="s">
        <v>5471</v>
      </c>
      <c t="s">
        <v>54926</v>
      </c>
      <c t="s">
        <v>63796</v>
      </c>
      <c t="s">
        <v>63182</v>
      </c>
      <c t="s">
        <v>37198</v>
      </c>
      <c t="s">
        <v>17554</v>
      </c>
      <c t="s">
        <v>3747</v>
      </c>
      <c t="s">
        <v>65059</v>
      </c>
      <c t="s">
        <v>39289</v>
      </c>
      <c>
        <v>33905</v>
      </c>
      <c t="s">
        <v>10948</v>
      </c>
      <c t="s">
        <v>48794</v>
      </c>
      <c t="s">
        <v>65</v>
      </c>
      <c r="AI5528" t="s">
        <v>16105</v>
      </c>
      <c r="AL5528" t="s">
        <v>34557</v>
      </c>
      <c t="s">
        <v>34557</v>
      </c>
      <c t="s">
        <v>65451</v>
      </c>
      <c t="s">
        <v>52490</v>
      </c>
      <c t="s">
        <v>33811</v>
      </c>
      <c t="s">
        <v>3093</v>
      </c>
      <c t="s">
        <v>58208</v>
      </c>
    </row>
    <row>
      <c t="s">
        <v>17594</v>
      </c>
      <c t="s">
        <v>51415</v>
      </c>
      <c t="s">
        <v>62259</v>
      </c>
      <c t="s">
        <v>44521</v>
      </c>
      <c t="s">
        <v>60601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5529" s="1" t="str">
        <f ca="1">HYPERLINK("https://web.datatree.com/?/property?propertyId=34191959", "https://web.datatree.com/?/property?propertyId=34191959")</f>
        <v>https://web.datatree.com/?/property?propertyId=34191959</v>
      </c>
      <c r="Q5529" t="s">
        <v>316</v>
      </c>
      <c>
        <v>0.23</v>
      </c>
      <c t="s">
        <v>22490</v>
      </c>
      <c t="s">
        <v>2140</v>
      </c>
      <c t="s">
        <v>66090</v>
      </c>
      <c t="s">
        <v>46572</v>
      </c>
      <c t="s">
        <v>66090</v>
      </c>
      <c t="s">
        <v>51516</v>
      </c>
      <c t="s">
        <v>66701</v>
      </c>
      <c t="s">
        <v>2517</v>
      </c>
      <c t="s">
        <v>39289</v>
      </c>
      <c>
        <v>33909</v>
      </c>
      <c t="s">
        <v>28086</v>
      </c>
      <c t="s">
        <v>48794</v>
      </c>
      <c t="s">
        <v>65883</v>
      </c>
      <c>
        <v>9</v>
      </c>
      <c r="AI5529" t="s">
        <v>38740</v>
      </c>
      <c r="AL5529" t="s">
        <v>46939</v>
      </c>
      <c t="s">
        <v>46939</v>
      </c>
      <c t="s">
        <v>18236</v>
      </c>
      <c>
        <v>75014</v>
      </c>
      <c r="AR5529" t="s">
        <v>31542</v>
      </c>
    </row>
    <row>
      <c t="s">
        <v>17594</v>
      </c>
      <c t="s">
        <v>62914</v>
      </c>
      <c t="s">
        <v>38178</v>
      </c>
      <c t="s">
        <v>16763</v>
      </c>
      <c t="s">
        <v>59736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 r="O5530" s="1" t="str">
        <f ca="1">HYPERLINK("https://web.datatree.com/?/property?propertyId=34192237", "https://web.datatree.com/?/property?propertyId=34192237")</f>
        <v>https://web.datatree.com/?/property?propertyId=34192237</v>
      </c>
      <c r="Q5530" t="s">
        <v>316</v>
      </c>
      <c>
        <v>0.344</v>
      </c>
      <c t="s">
        <v>6175</v>
      </c>
      <c t="s">
        <v>21384</v>
      </c>
      <c t="s">
        <v>61239</v>
      </c>
      <c t="s">
        <v>33738</v>
      </c>
      <c t="s">
        <v>61239</v>
      </c>
      <c t="s">
        <v>66648</v>
      </c>
      <c t="s">
        <v>29190</v>
      </c>
      <c t="s">
        <v>2517</v>
      </c>
      <c t="s">
        <v>39289</v>
      </c>
      <c>
        <v>33909</v>
      </c>
      <c t="s">
        <v>45704</v>
      </c>
      <c t="s">
        <v>48794</v>
      </c>
      <c t="s">
        <v>31936</v>
      </c>
      <c>
        <v>753</v>
      </c>
      <c r="AI5530" t="s">
        <v>46033</v>
      </c>
      <c t="s">
        <v>45620</v>
      </c>
      <c r="AL5530" t="s">
        <v>46033</v>
      </c>
      <c t="s">
        <v>46033</v>
      </c>
      <c t="s">
        <v>26016</v>
      </c>
      <c t="s">
        <v>20623</v>
      </c>
      <c t="s">
        <v>53660</v>
      </c>
      <c t="s">
        <v>3093</v>
      </c>
      <c t="s">
        <v>13284</v>
      </c>
    </row>
    <row>
      <c t="s">
        <v>17594</v>
      </c>
      <c t="s">
        <v>37737</v>
      </c>
      <c t="s">
        <v>35204</v>
      </c>
      <c t="s">
        <v>28082</v>
      </c>
      <c t="s">
        <v>42334</v>
      </c>
      <c s="3">
        <v>7300</v>
      </c>
      <c s="3">
        <v>7300</v>
      </c>
      <c s="3">
        <v>7300</v>
      </c>
      <c>
        <v>0</v>
      </c>
      <c s="3">
        <v>0</v>
      </c>
      <c s="3">
        <v>608.19</v>
      </c>
      <c s="3">
        <v>7300</v>
      </c>
      <c r="O5531" s="1" t="str">
        <f ca="1">HYPERLINK("https://web.datatree.com/?/property?propertyId=34192438", "https://web.datatree.com/?/property?propertyId=34192438")</f>
        <v>https://web.datatree.com/?/property?propertyId=34192438</v>
      </c>
      <c r="Q5531" t="s">
        <v>316</v>
      </c>
      <c>
        <v>0.28</v>
      </c>
      <c t="s">
        <v>22490</v>
      </c>
      <c t="s">
        <v>31337</v>
      </c>
      <c t="s">
        <v>65910</v>
      </c>
      <c r="X5531" t="s">
        <v>37157</v>
      </c>
      <c t="s">
        <v>47150</v>
      </c>
      <c t="s">
        <v>2517</v>
      </c>
      <c t="s">
        <v>39289</v>
      </c>
      <c>
        <v>33909</v>
      </c>
      <c t="s">
        <v>53531</v>
      </c>
      <c t="s">
        <v>48794</v>
      </c>
      <c t="s">
        <v>30709</v>
      </c>
      <c>
        <v>11835</v>
      </c>
      <c r="AI5531" t="s">
        <v>48717</v>
      </c>
      <c t="s">
        <v>55842</v>
      </c>
      <c r="AL5531" t="s">
        <v>45338</v>
      </c>
      <c r="AN5531" t="s">
        <v>18236</v>
      </c>
      <c t="s">
        <v>10535</v>
      </c>
      <c t="s">
        <v>32746</v>
      </c>
      <c t="s">
        <v>3093</v>
      </c>
      <c t="s">
        <v>33758</v>
      </c>
    </row>
    <row>
      <c t="s">
        <v>17594</v>
      </c>
      <c t="s">
        <v>55597</v>
      </c>
      <c t="s">
        <v>18844</v>
      </c>
      <c t="s">
        <v>20573</v>
      </c>
      <c t="s">
        <v>34812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532" s="1" t="str">
        <f ca="1">HYPERLINK("https://web.datatree.com/?/property?propertyId=34192555", "https://web.datatree.com/?/property?propertyId=34192555")</f>
        <v>https://web.datatree.com/?/property?propertyId=34192555</v>
      </c>
      <c r="Q5532" t="s">
        <v>316</v>
      </c>
      <c>
        <v>0.23</v>
      </c>
      <c t="s">
        <v>6175</v>
      </c>
      <c t="s">
        <v>63523</v>
      </c>
      <c t="s">
        <v>14528</v>
      </c>
      <c t="s">
        <v>45034</v>
      </c>
      <c t="s">
        <v>50920</v>
      </c>
      <c t="s">
        <v>42675</v>
      </c>
      <c t="s">
        <v>23517</v>
      </c>
      <c t="s">
        <v>2517</v>
      </c>
      <c t="s">
        <v>39289</v>
      </c>
      <c>
        <v>33909</v>
      </c>
      <c t="s">
        <v>66152</v>
      </c>
      <c t="s">
        <v>48794</v>
      </c>
      <c t="s">
        <v>31014</v>
      </c>
      <c>
        <v>3407</v>
      </c>
      <c r="AI5532" t="s">
        <v>2206</v>
      </c>
      <c t="s">
        <v>835</v>
      </c>
      <c r="AL5532" t="s">
        <v>63061</v>
      </c>
      <c t="s">
        <v>45242</v>
      </c>
      <c t="s">
        <v>39289</v>
      </c>
      <c t="s">
        <v>21354</v>
      </c>
      <c t="s">
        <v>702</v>
      </c>
      <c t="s">
        <v>3093</v>
      </c>
      <c t="s">
        <v>692</v>
      </c>
    </row>
    <row>
      <c t="s">
        <v>17594</v>
      </c>
      <c t="s">
        <v>62759</v>
      </c>
      <c t="s">
        <v>42572</v>
      </c>
      <c t="s">
        <v>58444</v>
      </c>
      <c t="s">
        <v>31294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>
        <v>2021</v>
      </c>
      <c>
        <v>542.5</v>
      </c>
      <c s="1" t="str">
        <f ca="1">HYPERLINK("https://web.datatree.com/?/property?propertyId=34193234", "https://web.datatree.com/?/property?propertyId=34193234")</f>
        <v>https://web.datatree.com/?/property?propertyId=34193234</v>
      </c>
      <c r="Q5533" t="s">
        <v>316</v>
      </c>
      <c>
        <v>0.23</v>
      </c>
      <c t="s">
        <v>54449</v>
      </c>
      <c t="s">
        <v>51968</v>
      </c>
      <c t="s">
        <v>27499</v>
      </c>
      <c r="X5533" t="s">
        <v>9511</v>
      </c>
      <c t="s">
        <v>39777</v>
      </c>
      <c t="s">
        <v>2517</v>
      </c>
      <c t="s">
        <v>39289</v>
      </c>
      <c>
        <v>33909</v>
      </c>
      <c>
        <v>33909</v>
      </c>
      <c t="s">
        <v>48794</v>
      </c>
      <c t="s">
        <v>63732</v>
      </c>
      <c>
        <v>6356</v>
      </c>
      <c r="AI5533" t="s">
        <v>66116</v>
      </c>
      <c t="s">
        <v>24900</v>
      </c>
      <c r="AL5533" t="s">
        <v>29523</v>
      </c>
      <c r="AN5533" t="s">
        <v>17134</v>
      </c>
      <c t="s">
        <v>63747</v>
      </c>
      <c t="s">
        <v>44428</v>
      </c>
      <c t="s">
        <v>3093</v>
      </c>
      <c t="s">
        <v>2165</v>
      </c>
    </row>
    <row>
      <c t="s">
        <v>17594</v>
      </c>
      <c t="s">
        <v>27792</v>
      </c>
      <c t="s">
        <v>22187</v>
      </c>
      <c t="s">
        <v>18782</v>
      </c>
      <c t="s">
        <v>54339</v>
      </c>
      <c s="3">
        <v>17781</v>
      </c>
      <c s="3">
        <v>17781</v>
      </c>
      <c s="3">
        <v>8910</v>
      </c>
      <c>
        <v>0</v>
      </c>
      <c s="3">
        <v>0</v>
      </c>
      <c s="3">
        <v>566.28</v>
      </c>
      <c s="3">
        <v>17781</v>
      </c>
      <c r="O5534" s="1" t="str">
        <f ca="1">HYPERLINK("https://web.datatree.com/?/property?propertyId=34193303", "https://web.datatree.com/?/property?propertyId=34193303")</f>
        <v>https://web.datatree.com/?/property?propertyId=34193303</v>
      </c>
      <c r="Q5534" t="s">
        <v>316</v>
      </c>
      <c>
        <v>0.241</v>
      </c>
      <c t="s">
        <v>6175</v>
      </c>
      <c t="s">
        <v>3172</v>
      </c>
      <c t="s">
        <v>46283</v>
      </c>
      <c r="X5534" t="s">
        <v>47420</v>
      </c>
      <c t="s">
        <v>23517</v>
      </c>
      <c t="s">
        <v>2517</v>
      </c>
      <c t="s">
        <v>39289</v>
      </c>
      <c>
        <v>33909</v>
      </c>
      <c t="s">
        <v>65350</v>
      </c>
      <c t="s">
        <v>48794</v>
      </c>
      <c t="s">
        <v>31235</v>
      </c>
      <c>
        <v>15525</v>
      </c>
      <c r="AI5534" t="s">
        <v>11416</v>
      </c>
      <c t="s">
        <v>40123</v>
      </c>
      <c r="AL5534" t="s">
        <v>1121</v>
      </c>
      <c t="s">
        <v>1121</v>
      </c>
      <c t="s">
        <v>39289</v>
      </c>
      <c t="s">
        <v>19215</v>
      </c>
      <c t="s">
        <v>46114</v>
      </c>
      <c t="s">
        <v>3093</v>
      </c>
      <c t="s">
        <v>5945</v>
      </c>
    </row>
    <row>
      <c t="s">
        <v>17594</v>
      </c>
      <c t="s">
        <v>60536</v>
      </c>
      <c t="s">
        <v>36134</v>
      </c>
      <c t="s">
        <v>55250</v>
      </c>
      <c t="s">
        <v>60991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>
        <v>2021</v>
      </c>
      <c>
        <v>599.85</v>
      </c>
      <c s="1" t="str">
        <f ca="1">HYPERLINK("https://web.datatree.com/?/property?propertyId=34193405", "https://web.datatree.com/?/property?propertyId=34193405")</f>
        <v>https://web.datatree.com/?/property?propertyId=34193405</v>
      </c>
      <c r="Q5535" t="s">
        <v>316</v>
      </c>
      <c>
        <v>0.23</v>
      </c>
      <c t="s">
        <v>22490</v>
      </c>
      <c r="U5535" t="s">
        <v>34222</v>
      </c>
      <c r="X5535" t="s">
        <v>45450</v>
      </c>
      <c t="s">
        <v>39082</v>
      </c>
      <c t="s">
        <v>2517</v>
      </c>
      <c t="s">
        <v>39289</v>
      </c>
      <c>
        <v>33909</v>
      </c>
      <c t="s">
        <v>16023</v>
      </c>
      <c t="s">
        <v>48794</v>
      </c>
      <c t="s">
        <v>42327</v>
      </c>
      <c>
        <v>2567</v>
      </c>
      <c r="AI5535" t="s">
        <v>9370</v>
      </c>
      <c t="s">
        <v>22297</v>
      </c>
      <c r="AL5535" t="s">
        <v>1709</v>
      </c>
      <c t="s">
        <v>1709</v>
      </c>
      <c t="s">
        <v>17134</v>
      </c>
      <c t="s">
        <v>65185</v>
      </c>
      <c t="s">
        <v>54916</v>
      </c>
      <c t="s">
        <v>3093</v>
      </c>
      <c t="s">
        <v>58784</v>
      </c>
    </row>
    <row>
      <c t="s">
        <v>17594</v>
      </c>
      <c t="s">
        <v>54266</v>
      </c>
      <c t="s">
        <v>61017</v>
      </c>
      <c t="s">
        <v>30594</v>
      </c>
      <c t="s">
        <v>21394</v>
      </c>
      <c s="3">
        <v>25610</v>
      </c>
      <c s="3">
        <v>25610</v>
      </c>
      <c s="3">
        <v>11000</v>
      </c>
      <c>
        <v>0</v>
      </c>
      <c s="3">
        <v>0</v>
      </c>
      <c s="3">
        <v>622.94</v>
      </c>
      <c s="3">
        <v>25610</v>
      </c>
      <c r="O5536" s="1" t="str">
        <f ca="1">HYPERLINK("https://web.datatree.com/?/property?propertyId=34193581", "https://web.datatree.com/?/property?propertyId=34193581")</f>
        <v>https://web.datatree.com/?/property?propertyId=34193581</v>
      </c>
      <c r="Q5536" t="s">
        <v>316</v>
      </c>
      <c>
        <v>0.23</v>
      </c>
      <c t="s">
        <v>22490</v>
      </c>
      <c t="s">
        <v>52701</v>
      </c>
      <c t="s">
        <v>32403</v>
      </c>
      <c r="X5536" t="s">
        <v>30748</v>
      </c>
      <c t="s">
        <v>25017</v>
      </c>
      <c t="s">
        <v>2517</v>
      </c>
      <c t="s">
        <v>39289</v>
      </c>
      <c>
        <v>33909</v>
      </c>
      <c t="s">
        <v>34289</v>
      </c>
      <c t="s">
        <v>48794</v>
      </c>
      <c t="s">
        <v>8836</v>
      </c>
      <c>
        <v>2380</v>
      </c>
      <c r="AI5536" t="s">
        <v>52608</v>
      </c>
      <c t="s">
        <v>45620</v>
      </c>
      <c r="AL5536" t="s">
        <v>23828</v>
      </c>
      <c t="s">
        <v>23828</v>
      </c>
      <c t="s">
        <v>39289</v>
      </c>
      <c>
        <v>33019</v>
      </c>
      <c r="AQ5536" t="s">
        <v>3093</v>
      </c>
      <c t="s">
        <v>29740</v>
      </c>
    </row>
    <row>
      <c t="s">
        <v>17594</v>
      </c>
      <c t="s">
        <v>43905</v>
      </c>
      <c t="s">
        <v>19664</v>
      </c>
      <c t="s">
        <v>36339</v>
      </c>
      <c t="s">
        <v>48747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537" s="1" t="str">
        <f ca="1">HYPERLINK("https://web.datatree.com/?/property?propertyId=34193909", "https://web.datatree.com/?/property?propertyId=34193909")</f>
        <v>https://web.datatree.com/?/property?propertyId=34193909</v>
      </c>
      <c r="Q5537" t="s">
        <v>316</v>
      </c>
      <c>
        <v>0.23</v>
      </c>
      <c t="s">
        <v>6175</v>
      </c>
      <c t="s">
        <v>66846</v>
      </c>
      <c t="s">
        <v>412</v>
      </c>
      <c t="s">
        <v>39768</v>
      </c>
      <c t="s">
        <v>412</v>
      </c>
      <c t="s">
        <v>35785</v>
      </c>
      <c t="s">
        <v>47150</v>
      </c>
      <c t="s">
        <v>2517</v>
      </c>
      <c t="s">
        <v>39289</v>
      </c>
      <c>
        <v>33909</v>
      </c>
      <c t="s">
        <v>994</v>
      </c>
      <c t="s">
        <v>48794</v>
      </c>
      <c t="s">
        <v>26594</v>
      </c>
      <c>
        <v>5817</v>
      </c>
      <c r="AI5537" t="s">
        <v>39099</v>
      </c>
      <c t="s">
        <v>45620</v>
      </c>
      <c r="AL5537" t="s">
        <v>43311</v>
      </c>
      <c t="s">
        <v>8628</v>
      </c>
      <c t="s">
        <v>10804</v>
      </c>
      <c t="s">
        <v>66820</v>
      </c>
      <c t="s">
        <v>22455</v>
      </c>
      <c t="s">
        <v>3093</v>
      </c>
      <c t="s">
        <v>10458</v>
      </c>
    </row>
    <row>
      <c t="s">
        <v>17594</v>
      </c>
      <c t="s">
        <v>285</v>
      </c>
      <c t="s">
        <v>14133</v>
      </c>
      <c t="s">
        <v>49467</v>
      </c>
      <c t="s">
        <v>62089</v>
      </c>
      <c s="3">
        <v>24937</v>
      </c>
      <c s="3">
        <v>24937</v>
      </c>
      <c s="3">
        <v>9079</v>
      </c>
      <c>
        <v>0</v>
      </c>
      <c s="3">
        <v>0</v>
      </c>
      <c s="3">
        <v>645.78</v>
      </c>
      <c s="3">
        <v>24937</v>
      </c>
      <c r="O5538" s="1" t="str">
        <f ca="1">HYPERLINK("https://web.datatree.com/?/property?propertyId=34193948", "https://web.datatree.com/?/property?propertyId=34193948")</f>
        <v>https://web.datatree.com/?/property?propertyId=34193948</v>
      </c>
      <c r="Q5538" t="s">
        <v>316</v>
      </c>
      <c>
        <v>0.23</v>
      </c>
      <c t="s">
        <v>6175</v>
      </c>
      <c r="U5538" t="s">
        <v>9165</v>
      </c>
      <c r="W5538" t="s">
        <v>55023</v>
      </c>
      <c t="s">
        <v>19206</v>
      </c>
      <c t="s">
        <v>66701</v>
      </c>
      <c t="s">
        <v>2517</v>
      </c>
      <c t="s">
        <v>39289</v>
      </c>
      <c>
        <v>33909</v>
      </c>
      <c t="s">
        <v>39237</v>
      </c>
      <c t="s">
        <v>48794</v>
      </c>
      <c t="s">
        <v>56699</v>
      </c>
      <c>
        <v>3341</v>
      </c>
      <c r="AI5538" t="s">
        <v>641</v>
      </c>
      <c t="s">
        <v>45620</v>
      </c>
      <c r="AL5538" t="s">
        <v>1941</v>
      </c>
      <c t="s">
        <v>1941</v>
      </c>
      <c t="s">
        <v>27481</v>
      </c>
      <c t="s">
        <v>25925</v>
      </c>
      <c t="s">
        <v>22455</v>
      </c>
      <c t="s">
        <v>3093</v>
      </c>
      <c t="s">
        <v>1919</v>
      </c>
    </row>
    <row>
      <c t="s">
        <v>17594</v>
      </c>
      <c t="s">
        <v>54108</v>
      </c>
      <c t="s">
        <v>65892</v>
      </c>
      <c t="s">
        <v>22108</v>
      </c>
      <c t="s">
        <v>36787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539" s="1" t="str">
        <f ca="1">HYPERLINK("https://web.datatree.com/?/property?propertyId=34194124", "https://web.datatree.com/?/property?propertyId=34194124")</f>
        <v>https://web.datatree.com/?/property?propertyId=34194124</v>
      </c>
      <c r="Q5539" t="s">
        <v>316</v>
      </c>
      <c>
        <v>0.23</v>
      </c>
      <c t="s">
        <v>6175</v>
      </c>
      <c t="s">
        <v>33280</v>
      </c>
      <c t="s">
        <v>26714</v>
      </c>
      <c t="s">
        <v>9265</v>
      </c>
      <c t="s">
        <v>26714</v>
      </c>
      <c t="s">
        <v>49883</v>
      </c>
      <c t="s">
        <v>15510</v>
      </c>
      <c t="s">
        <v>2517</v>
      </c>
      <c t="s">
        <v>39289</v>
      </c>
      <c>
        <v>33909</v>
      </c>
      <c t="s">
        <v>1853</v>
      </c>
      <c t="s">
        <v>48794</v>
      </c>
      <c t="s">
        <v>7051</v>
      </c>
      <c>
        <v>1</v>
      </c>
      <c r="AI5539" t="s">
        <v>64014</v>
      </c>
      <c t="s">
        <v>45620</v>
      </c>
      <c r="AL5539" t="s">
        <v>33242</v>
      </c>
      <c r="AN5539" t="s">
        <v>7234</v>
      </c>
      <c>
        <v>0</v>
      </c>
      <c r="AR5539" t="s">
        <v>43153</v>
      </c>
    </row>
    <row>
      <c t="s">
        <v>17594</v>
      </c>
      <c t="s">
        <v>19691</v>
      </c>
      <c t="s">
        <v>24573</v>
      </c>
      <c t="s">
        <v>47550</v>
      </c>
      <c t="s">
        <v>12657</v>
      </c>
      <c s="3">
        <v>17242</v>
      </c>
      <c s="3">
        <v>17242</v>
      </c>
      <c s="3">
        <v>8360</v>
      </c>
      <c>
        <v>0</v>
      </c>
      <c s="3">
        <v>0</v>
      </c>
      <c s="3">
        <v>556.09</v>
      </c>
      <c s="3">
        <v>17242</v>
      </c>
      <c r="O5540" s="1" t="str">
        <f ca="1">HYPERLINK("https://web.datatree.com/?/property?propertyId=34194164", "https://web.datatree.com/?/property?propertyId=34194164")</f>
        <v>https://web.datatree.com/?/property?propertyId=34194164</v>
      </c>
      <c r="Q5540" t="s">
        <v>316</v>
      </c>
      <c>
        <v>0.244</v>
      </c>
      <c t="s">
        <v>6175</v>
      </c>
      <c t="s">
        <v>54692</v>
      </c>
      <c t="s">
        <v>66968</v>
      </c>
      <c r="X5540" t="s">
        <v>45068</v>
      </c>
      <c t="s">
        <v>60363</v>
      </c>
      <c t="s">
        <v>2517</v>
      </c>
      <c t="s">
        <v>39289</v>
      </c>
      <c>
        <v>33909</v>
      </c>
      <c t="s">
        <v>60735</v>
      </c>
      <c t="s">
        <v>48794</v>
      </c>
      <c t="s">
        <v>45276</v>
      </c>
      <c>
        <v>19203</v>
      </c>
      <c r="AI5540" t="s">
        <v>44061</v>
      </c>
      <c t="s">
        <v>45393</v>
      </c>
      <c r="AL5540" t="s">
        <v>21676</v>
      </c>
      <c r="AN5540" t="s">
        <v>39289</v>
      </c>
      <c t="s">
        <v>26061</v>
      </c>
      <c t="s">
        <v>6928</v>
      </c>
      <c t="s">
        <v>3093</v>
      </c>
      <c t="s">
        <v>61475</v>
      </c>
    </row>
    <row>
      <c t="s">
        <v>17594</v>
      </c>
      <c t="s">
        <v>33740</v>
      </c>
      <c t="s">
        <v>48877</v>
      </c>
      <c t="s">
        <v>6454</v>
      </c>
      <c t="s">
        <v>38327</v>
      </c>
      <c s="3">
        <v>54000</v>
      </c>
      <c s="3">
        <v>54000</v>
      </c>
      <c s="3">
        <v>19344</v>
      </c>
      <c>
        <v>0</v>
      </c>
      <c s="3">
        <v>0</v>
      </c>
      <c s="3">
        <v>844.48</v>
      </c>
      <c s="3">
        <v>54000</v>
      </c>
      <c r="O5541" s="1" t="str">
        <f ca="1">HYPERLINK("https://web.datatree.com/?/property?propertyId=34194483", "https://web.datatree.com/?/property?propertyId=34194483")</f>
        <v>https://web.datatree.com/?/property?propertyId=34194483</v>
      </c>
      <c r="Q5541" t="s">
        <v>316</v>
      </c>
      <c>
        <v>0.23</v>
      </c>
      <c t="s">
        <v>6175</v>
      </c>
      <c t="s">
        <v>57374</v>
      </c>
      <c t="s">
        <v>24586</v>
      </c>
      <c r="X5541" t="s">
        <v>5880</v>
      </c>
      <c t="s">
        <v>24630</v>
      </c>
      <c t="s">
        <v>2517</v>
      </c>
      <c t="s">
        <v>39289</v>
      </c>
      <c>
        <v>33909</v>
      </c>
      <c t="s">
        <v>22568</v>
      </c>
      <c t="s">
        <v>48794</v>
      </c>
      <c t="s">
        <v>44413</v>
      </c>
      <c>
        <v>208</v>
      </c>
      <c r="AI5541" t="s">
        <v>25102</v>
      </c>
      <c t="s">
        <v>45393</v>
      </c>
      <c r="AL5541" t="s">
        <v>42423</v>
      </c>
      <c r="AN5541" t="s">
        <v>17134</v>
      </c>
      <c t="s">
        <v>5834</v>
      </c>
      <c t="s">
        <v>19978</v>
      </c>
      <c t="s">
        <v>3093</v>
      </c>
      <c t="s">
        <v>55708</v>
      </c>
    </row>
    <row>
      <c t="s">
        <v>17594</v>
      </c>
      <c t="s">
        <v>26527</v>
      </c>
      <c t="s">
        <v>37947</v>
      </c>
      <c t="s">
        <v>54845</v>
      </c>
      <c t="s">
        <v>66570</v>
      </c>
      <c s="3">
        <v>201292</v>
      </c>
      <c s="3">
        <v>201292</v>
      </c>
      <c s="3">
        <v>201292</v>
      </c>
      <c>
        <v>0</v>
      </c>
      <c s="3">
        <v>0</v>
      </c>
      <c s="3">
        <v>3593.08</v>
      </c>
      <c s="3">
        <v>201292</v>
      </c>
      <c r="O5542" s="1" t="str">
        <f ca="1">HYPERLINK("https://web.datatree.com/?/property?propertyId=34194945", "https://web.datatree.com/?/property?propertyId=34194945")</f>
        <v>https://web.datatree.com/?/property?propertyId=34194945</v>
      </c>
      <c r="Q5542" t="s">
        <v>316</v>
      </c>
      <c>
        <v>0.23</v>
      </c>
      <c t="s">
        <v>22490</v>
      </c>
      <c t="s">
        <v>16200</v>
      </c>
      <c t="s">
        <v>14529</v>
      </c>
      <c t="s">
        <v>47640</v>
      </c>
      <c t="s">
        <v>57932</v>
      </c>
      <c t="s">
        <v>32585</v>
      </c>
      <c t="s">
        <v>30928</v>
      </c>
      <c t="s">
        <v>2517</v>
      </c>
      <c t="s">
        <v>39289</v>
      </c>
      <c>
        <v>33904</v>
      </c>
      <c t="s">
        <v>28020</v>
      </c>
      <c t="s">
        <v>48794</v>
      </c>
      <c t="s">
        <v>38701</v>
      </c>
      <c>
        <v>6</v>
      </c>
      <c r="AI5542" t="s">
        <v>38536</v>
      </c>
      <c t="s">
        <v>41372</v>
      </c>
      <c r="AL5542" t="s">
        <v>42410</v>
      </c>
      <c t="s">
        <v>42410</v>
      </c>
      <c t="s">
        <v>26016</v>
      </c>
      <c t="s">
        <v>21754</v>
      </c>
      <c t="s">
        <v>12241</v>
      </c>
      <c t="s">
        <v>3093</v>
      </c>
      <c t="s">
        <v>5305</v>
      </c>
    </row>
    <row>
      <c t="s">
        <v>17594</v>
      </c>
      <c t="s">
        <v>1817</v>
      </c>
      <c t="s">
        <v>762</v>
      </c>
      <c t="s">
        <v>58669</v>
      </c>
      <c t="s">
        <v>33105</v>
      </c>
      <c s="3">
        <v>81088</v>
      </c>
      <c s="3">
        <v>70500</v>
      </c>
      <c s="3">
        <v>81088</v>
      </c>
      <c>
        <v>0</v>
      </c>
      <c s="3">
        <v>0</v>
      </c>
      <c s="3">
        <v>1218.91</v>
      </c>
      <c s="3">
        <v>81088</v>
      </c>
      <c r="O5543" s="1" t="str">
        <f ca="1">HYPERLINK("https://web.datatree.com/?/property?propertyId=34196556", "https://web.datatree.com/?/property?propertyId=34196556")</f>
        <v>https://web.datatree.com/?/property?propertyId=34196556</v>
      </c>
      <c r="Q5543" t="s">
        <v>316</v>
      </c>
      <c>
        <v>0.105</v>
      </c>
      <c t="s">
        <v>26492</v>
      </c>
      <c t="s">
        <v>24692</v>
      </c>
      <c t="s">
        <v>8558</v>
      </c>
      <c t="s">
        <v>26697</v>
      </c>
      <c t="s">
        <v>8558</v>
      </c>
      <c t="s">
        <v>47613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60878</v>
      </c>
      <c>
        <v>7660</v>
      </c>
      <c r="AI5543" t="s">
        <v>4209</v>
      </c>
      <c t="s">
        <v>45620</v>
      </c>
      <c r="AL5543" t="s">
        <v>51755</v>
      </c>
      <c t="s">
        <v>40227</v>
      </c>
      <c t="s">
        <v>22275</v>
      </c>
      <c t="s">
        <v>27035</v>
      </c>
      <c t="s">
        <v>14695</v>
      </c>
      <c t="s">
        <v>3093</v>
      </c>
      <c t="s">
        <v>8386</v>
      </c>
    </row>
    <row>
      <c t="s">
        <v>17594</v>
      </c>
      <c t="s">
        <v>60793</v>
      </c>
      <c t="s">
        <v>13636</v>
      </c>
      <c t="s">
        <v>20340</v>
      </c>
      <c t="s">
        <v>3752</v>
      </c>
      <c s="3">
        <v>18361</v>
      </c>
      <c s="3">
        <v>18361</v>
      </c>
      <c s="3">
        <v>9130</v>
      </c>
      <c>
        <v>0</v>
      </c>
      <c s="3">
        <v>0</v>
      </c>
      <c s="3">
        <v>581.68</v>
      </c>
      <c s="3">
        <v>18361</v>
      </c>
      <c r="O5544" s="1" t="str">
        <f ca="1">HYPERLINK("https://web.datatree.com/?/property?propertyId=34196797", "https://web.datatree.com/?/property?propertyId=34196797")</f>
        <v>https://web.datatree.com/?/property?propertyId=34196797</v>
      </c>
      <c r="Q5544" t="s">
        <v>316</v>
      </c>
      <c>
        <v>0.23</v>
      </c>
      <c t="s">
        <v>22490</v>
      </c>
      <c t="s">
        <v>24179</v>
      </c>
      <c t="s">
        <v>31808</v>
      </c>
      <c t="s">
        <v>38889</v>
      </c>
      <c t="s">
        <v>25202</v>
      </c>
      <c t="s">
        <v>21819</v>
      </c>
      <c t="s">
        <v>55273</v>
      </c>
      <c t="s">
        <v>2517</v>
      </c>
      <c t="s">
        <v>39289</v>
      </c>
      <c>
        <v>33909</v>
      </c>
      <c t="s">
        <v>55689</v>
      </c>
      <c t="s">
        <v>48794</v>
      </c>
      <c t="s">
        <v>26065</v>
      </c>
      <c>
        <v>6957</v>
      </c>
      <c r="AI5544" t="s">
        <v>66335</v>
      </c>
      <c t="s">
        <v>40123</v>
      </c>
      <c r="AL5544" t="s">
        <v>46703</v>
      </c>
      <c t="s">
        <v>46703</v>
      </c>
      <c t="s">
        <v>39289</v>
      </c>
      <c t="s">
        <v>57505</v>
      </c>
      <c t="s">
        <v>23888</v>
      </c>
      <c t="s">
        <v>3093</v>
      </c>
      <c t="s">
        <v>57552</v>
      </c>
    </row>
    <row>
      <c t="s">
        <v>17594</v>
      </c>
      <c t="s">
        <v>31101</v>
      </c>
      <c t="s">
        <v>19405</v>
      </c>
      <c t="s">
        <v>27861</v>
      </c>
      <c t="s">
        <v>54450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605.74</v>
      </c>
      <c s="1" t="str">
        <f ca="1">HYPERLINK("https://web.datatree.com/?/property?propertyId=34197182", "https://web.datatree.com/?/property?propertyId=34197182")</f>
        <v>https://web.datatree.com/?/property?propertyId=34197182</v>
      </c>
      <c r="Q5545" t="s">
        <v>316</v>
      </c>
      <c>
        <v>0.23</v>
      </c>
      <c t="s">
        <v>14479</v>
      </c>
      <c r="U5545" t="s">
        <v>30663</v>
      </c>
      <c r="W5545" t="s">
        <v>54695</v>
      </c>
      <c t="s">
        <v>9805</v>
      </c>
      <c t="s">
        <v>30928</v>
      </c>
      <c t="s">
        <v>2517</v>
      </c>
      <c t="s">
        <v>39289</v>
      </c>
      <c>
        <v>33909</v>
      </c>
      <c t="s">
        <v>49403</v>
      </c>
      <c t="s">
        <v>48794</v>
      </c>
      <c t="s">
        <v>60850</v>
      </c>
      <c>
        <v>1535</v>
      </c>
      <c r="AH5545" t="s">
        <v>52165</v>
      </c>
      <c t="s">
        <v>18263</v>
      </c>
      <c t="s">
        <v>4985</v>
      </c>
      <c>
        <v>264</v>
      </c>
      <c t="s">
        <v>51960</v>
      </c>
      <c t="s">
        <v>36436</v>
      </c>
      <c t="s">
        <v>39289</v>
      </c>
      <c t="s">
        <v>47104</v>
      </c>
      <c t="s">
        <v>45980</v>
      </c>
      <c t="s">
        <v>3093</v>
      </c>
      <c t="s">
        <v>3441</v>
      </c>
    </row>
    <row>
      <c t="s">
        <v>17594</v>
      </c>
      <c t="s">
        <v>49219</v>
      </c>
      <c t="s">
        <v>57875</v>
      </c>
      <c t="s">
        <v>23685</v>
      </c>
      <c t="s">
        <v>59366</v>
      </c>
      <c s="3">
        <v>19990</v>
      </c>
      <c s="3">
        <v>19990</v>
      </c>
      <c s="3">
        <v>19990</v>
      </c>
      <c>
        <v>0</v>
      </c>
      <c s="3">
        <v>0</v>
      </c>
      <c s="3">
        <v>704.58</v>
      </c>
      <c s="3">
        <v>19990</v>
      </c>
      <c r="O5546" s="1" t="str">
        <f ca="1">HYPERLINK("https://web.datatree.com/?/property?propertyId=34197479", "https://web.datatree.com/?/property?propertyId=34197479")</f>
        <v>https://web.datatree.com/?/property?propertyId=34197479</v>
      </c>
      <c r="Q5546" t="s">
        <v>316</v>
      </c>
      <c>
        <v>0.23</v>
      </c>
      <c t="s">
        <v>22490</v>
      </c>
      <c t="s">
        <v>18066</v>
      </c>
      <c t="s">
        <v>17785</v>
      </c>
      <c r="X5546" t="s">
        <v>6215</v>
      </c>
      <c t="s">
        <v>44061</v>
      </c>
      <c t="s">
        <v>2517</v>
      </c>
      <c t="s">
        <v>39289</v>
      </c>
      <c>
        <v>33909</v>
      </c>
      <c t="s">
        <v>57704</v>
      </c>
      <c t="s">
        <v>48794</v>
      </c>
      <c t="s">
        <v>7650</v>
      </c>
      <c>
        <v>5425</v>
      </c>
      <c r="AI5546" t="s">
        <v>66408</v>
      </c>
      <c t="s">
        <v>40123</v>
      </c>
      <c r="AL5546" t="s">
        <v>11713</v>
      </c>
      <c r="AN5546" t="s">
        <v>39289</v>
      </c>
      <c t="s">
        <v>2553</v>
      </c>
      <c t="s">
        <v>44275</v>
      </c>
      <c t="s">
        <v>3093</v>
      </c>
      <c t="s">
        <v>61566</v>
      </c>
    </row>
    <row>
      <c t="s">
        <v>17594</v>
      </c>
      <c t="s">
        <v>66182</v>
      </c>
      <c t="s">
        <v>64403</v>
      </c>
      <c t="s">
        <v>62621</v>
      </c>
      <c t="s">
        <v>49406</v>
      </c>
      <c s="3">
        <v>4250</v>
      </c>
      <c s="3">
        <v>4250</v>
      </c>
      <c s="3">
        <v>4250</v>
      </c>
      <c>
        <v>0</v>
      </c>
      <c s="3">
        <v>0</v>
      </c>
      <c s="3">
        <v>2280.9</v>
      </c>
      <c s="3">
        <v>4250</v>
      </c>
      <c r="O5547" s="1" t="str">
        <f ca="1">HYPERLINK("https://web.datatree.com/?/property?propertyId=34197511", "https://web.datatree.com/?/property?propertyId=34197511")</f>
        <v>https://web.datatree.com/?/property?propertyId=34197511</v>
      </c>
      <c r="Q5547" t="s">
        <v>316</v>
      </c>
      <c>
        <v>0.136</v>
      </c>
      <c t="s">
        <v>6175</v>
      </c>
      <c t="s">
        <v>38259</v>
      </c>
      <c t="s">
        <v>28448</v>
      </c>
      <c t="s">
        <v>33209</v>
      </c>
      <c t="s">
        <v>28448</v>
      </c>
      <c t="s">
        <v>47389</v>
      </c>
      <c t="s">
        <v>30928</v>
      </c>
      <c t="s">
        <v>2517</v>
      </c>
      <c t="s">
        <v>39289</v>
      </c>
      <c>
        <v>33909</v>
      </c>
      <c t="s">
        <v>40740</v>
      </c>
      <c t="s">
        <v>48794</v>
      </c>
      <c t="s">
        <v>37287</v>
      </c>
      <c>
        <v>13913</v>
      </c>
      <c r="AI5547" t="s">
        <v>66161</v>
      </c>
      <c t="s">
        <v>1671</v>
      </c>
      <c r="AL5547" t="s">
        <v>18092</v>
      </c>
      <c r="AN5547" t="s">
        <v>39289</v>
      </c>
      <c t="s">
        <v>17272</v>
      </c>
      <c t="s">
        <v>26242</v>
      </c>
      <c t="s">
        <v>3093</v>
      </c>
      <c t="s">
        <v>63960</v>
      </c>
    </row>
    <row>
      <c t="s">
        <v>17594</v>
      </c>
      <c t="s">
        <v>924</v>
      </c>
      <c t="s">
        <v>56399</v>
      </c>
      <c t="s">
        <v>22434</v>
      </c>
      <c t="s">
        <v>66484</v>
      </c>
      <c s="3">
        <v>24937</v>
      </c>
      <c s="3">
        <v>24937</v>
      </c>
      <c s="3">
        <v>12100</v>
      </c>
      <c>
        <v>0</v>
      </c>
      <c s="3">
        <v>0</v>
      </c>
      <c s="3">
        <v>2999.49</v>
      </c>
      <c s="3">
        <v>24937</v>
      </c>
      <c r="O5548" s="1" t="str">
        <f ca="1">HYPERLINK("https://web.datatree.com/?/property?propertyId=34198162", "https://web.datatree.com/?/property?propertyId=34198162")</f>
        <v>https://web.datatree.com/?/property?propertyId=34198162</v>
      </c>
      <c r="Q5548" t="s">
        <v>316</v>
      </c>
      <c>
        <v>0.244</v>
      </c>
      <c t="s">
        <v>6175</v>
      </c>
      <c t="s">
        <v>27417</v>
      </c>
      <c t="s">
        <v>63423</v>
      </c>
      <c r="X5548" t="s">
        <v>30554</v>
      </c>
      <c t="s">
        <v>58797</v>
      </c>
      <c t="s">
        <v>2517</v>
      </c>
      <c t="s">
        <v>39289</v>
      </c>
      <c>
        <v>33909</v>
      </c>
      <c t="s">
        <v>38541</v>
      </c>
      <c t="s">
        <v>48794</v>
      </c>
      <c t="s">
        <v>42881</v>
      </c>
      <c>
        <v>6503</v>
      </c>
      <c r="AI5548" t="s">
        <v>54504</v>
      </c>
      <c t="s">
        <v>56275</v>
      </c>
      <c>
        <v>3505</v>
      </c>
      <c t="s">
        <v>52434</v>
      </c>
      <c t="s">
        <v>52434</v>
      </c>
      <c t="s">
        <v>39289</v>
      </c>
      <c t="s">
        <v>11816</v>
      </c>
      <c t="s">
        <v>6081</v>
      </c>
      <c t="s">
        <v>3093</v>
      </c>
      <c t="s">
        <v>17340</v>
      </c>
    </row>
    <row>
      <c t="s">
        <v>17594</v>
      </c>
      <c t="s">
        <v>12909</v>
      </c>
      <c t="s">
        <v>56954</v>
      </c>
      <c t="s">
        <v>15268</v>
      </c>
      <c t="s">
        <v>47164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5549" s="1" t="str">
        <f ca="1">HYPERLINK("https://web.datatree.com/?/property?propertyId=34199490", "https://web.datatree.com/?/property?propertyId=34199490")</f>
        <v>https://web.datatree.com/?/property?propertyId=34199490</v>
      </c>
      <c r="Q5549" t="s">
        <v>316</v>
      </c>
      <c>
        <v>0.23</v>
      </c>
      <c t="s">
        <v>6175</v>
      </c>
      <c t="s">
        <v>35980</v>
      </c>
      <c t="s">
        <v>13824</v>
      </c>
      <c r="X5549" t="s">
        <v>17193</v>
      </c>
      <c t="s">
        <v>66701</v>
      </c>
      <c t="s">
        <v>2517</v>
      </c>
      <c t="s">
        <v>39289</v>
      </c>
      <c>
        <v>33909</v>
      </c>
      <c t="s">
        <v>48136</v>
      </c>
      <c t="s">
        <v>48794</v>
      </c>
      <c t="s">
        <v>1241</v>
      </c>
      <c>
        <v>13</v>
      </c>
      <c r="AI5549" t="s">
        <v>64923</v>
      </c>
      <c t="s">
        <v>40123</v>
      </c>
      <c r="AL5549" t="s">
        <v>64889</v>
      </c>
      <c r="AN5549" t="s">
        <v>50917</v>
      </c>
      <c t="s">
        <v>38439</v>
      </c>
      <c t="s">
        <v>34162</v>
      </c>
      <c t="s">
        <v>3093</v>
      </c>
      <c t="s">
        <v>50805</v>
      </c>
    </row>
    <row>
      <c t="s">
        <v>17594</v>
      </c>
      <c t="s">
        <v>23578</v>
      </c>
      <c t="s">
        <v>58286</v>
      </c>
      <c t="s">
        <v>52529</v>
      </c>
      <c t="s">
        <v>43886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550" s="1" t="str">
        <f ca="1">HYPERLINK("https://web.datatree.com/?/property?propertyId=34199853", "https://web.datatree.com/?/property?propertyId=34199853")</f>
        <v>https://web.datatree.com/?/property?propertyId=34199853</v>
      </c>
      <c r="Q5550" t="s">
        <v>316</v>
      </c>
      <c>
        <v>0.23</v>
      </c>
      <c t="s">
        <v>6175</v>
      </c>
      <c t="s">
        <v>20391</v>
      </c>
      <c t="s">
        <v>52405</v>
      </c>
      <c r="X5550" t="s">
        <v>63262</v>
      </c>
      <c t="s">
        <v>34731</v>
      </c>
      <c t="s">
        <v>2517</v>
      </c>
      <c t="s">
        <v>39289</v>
      </c>
      <c>
        <v>33909</v>
      </c>
      <c t="s">
        <v>18811</v>
      </c>
      <c t="s">
        <v>48794</v>
      </c>
      <c t="s">
        <v>26306</v>
      </c>
      <c>
        <v>6303</v>
      </c>
      <c r="AI5550" t="s">
        <v>26976</v>
      </c>
      <c t="s">
        <v>31192</v>
      </c>
      <c>
        <v>400</v>
      </c>
      <c t="s">
        <v>55393</v>
      </c>
      <c r="AN5550" t="s">
        <v>39289</v>
      </c>
      <c t="s">
        <v>24223</v>
      </c>
      <c t="s">
        <v>64128</v>
      </c>
      <c t="s">
        <v>3093</v>
      </c>
      <c t="s">
        <v>48803</v>
      </c>
    </row>
    <row>
      <c t="s">
        <v>42103</v>
      </c>
      <c t="s">
        <v>40046</v>
      </c>
      <c t="s">
        <v>65190</v>
      </c>
      <c t="s">
        <v>19198</v>
      </c>
      <c t="s">
        <v>31865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551" s="1" t="str">
        <f ca="1">HYPERLINK("https://web.datatree.com/?/property?propertyId=34199863", "https://web.datatree.com/?/property?propertyId=34199863")</f>
        <v>https://web.datatree.com/?/property?propertyId=34199863</v>
      </c>
      <c r="Q5551" t="s">
        <v>316</v>
      </c>
      <c>
        <v>0.23</v>
      </c>
      <c t="s">
        <v>6175</v>
      </c>
      <c t="s">
        <v>54692</v>
      </c>
      <c t="s">
        <v>61512</v>
      </c>
      <c r="X5551" t="s">
        <v>37464</v>
      </c>
      <c t="s">
        <v>55273</v>
      </c>
      <c t="s">
        <v>2517</v>
      </c>
      <c t="s">
        <v>39289</v>
      </c>
      <c>
        <v>33909</v>
      </c>
      <c t="s">
        <v>12421</v>
      </c>
      <c t="s">
        <v>48794</v>
      </c>
      <c t="s">
        <v>55544</v>
      </c>
      <c r="AI5551" t="s">
        <v>16412</v>
      </c>
      <c r="AL5551" t="s">
        <v>15</v>
      </c>
      <c r="AN5551" t="s">
        <v>5859</v>
      </c>
      <c>
        <v>2914</v>
      </c>
      <c t="s">
        <v>17273</v>
      </c>
      <c t="s">
        <v>3093</v>
      </c>
      <c t="s">
        <v>33943</v>
      </c>
    </row>
    <row>
      <c t="s">
        <v>17594</v>
      </c>
      <c t="s">
        <v>42676</v>
      </c>
      <c t="s">
        <v>24891</v>
      </c>
      <c t="s">
        <v>49276</v>
      </c>
      <c t="s">
        <v>53127</v>
      </c>
      <c s="3">
        <v>6935</v>
      </c>
      <c s="3">
        <v>6935</v>
      </c>
      <c s="3">
        <v>6935</v>
      </c>
      <c>
        <v>0</v>
      </c>
      <c s="3">
        <v>0</v>
      </c>
      <c s="3">
        <v>628.28</v>
      </c>
      <c s="3">
        <v>6935</v>
      </c>
      <c>
        <v>2021</v>
      </c>
      <c>
        <v>586.27</v>
      </c>
      <c s="1" t="str">
        <f ca="1">HYPERLINK("https://web.datatree.com/?/property?propertyId=34200442", "https://web.datatree.com/?/property?propertyId=34200442")</f>
        <v>https://web.datatree.com/?/property?propertyId=34200442</v>
      </c>
      <c r="Q5552" t="s">
        <v>316</v>
      </c>
      <c>
        <v>0.325</v>
      </c>
      <c t="s">
        <v>22490</v>
      </c>
      <c t="s">
        <v>1011</v>
      </c>
      <c t="s">
        <v>39164</v>
      </c>
      <c t="s">
        <v>8161</v>
      </c>
      <c t="s">
        <v>39164</v>
      </c>
      <c t="s">
        <v>16229</v>
      </c>
      <c t="s">
        <v>61144</v>
      </c>
      <c t="s">
        <v>2517</v>
      </c>
      <c t="s">
        <v>39289</v>
      </c>
      <c>
        <v>33909</v>
      </c>
      <c t="s">
        <v>18453</v>
      </c>
      <c t="s">
        <v>48794</v>
      </c>
      <c t="s">
        <v>5368</v>
      </c>
      <c>
        <v>173</v>
      </c>
      <c r="AI5552" t="s">
        <v>19753</v>
      </c>
      <c t="s">
        <v>24900</v>
      </c>
      <c r="AL5552" t="s">
        <v>61009</v>
      </c>
      <c r="AN5552" t="s">
        <v>26016</v>
      </c>
      <c t="s">
        <v>39708</v>
      </c>
      <c t="s">
        <v>24994</v>
      </c>
      <c t="s">
        <v>3093</v>
      </c>
      <c t="s">
        <v>20516</v>
      </c>
    </row>
    <row>
      <c t="s">
        <v>17594</v>
      </c>
      <c t="s">
        <v>37808</v>
      </c>
      <c t="s">
        <v>31574</v>
      </c>
      <c t="s">
        <v>48931</v>
      </c>
      <c t="s">
        <v>42844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553" s="1" t="str">
        <f ca="1">HYPERLINK("https://web.datatree.com/?/property?propertyId=34200812", "https://web.datatree.com/?/property?propertyId=34200812")</f>
        <v>https://web.datatree.com/?/property?propertyId=34200812</v>
      </c>
      <c r="Q5553" t="s">
        <v>316</v>
      </c>
      <c>
        <v>0.23</v>
      </c>
      <c t="s">
        <v>6175</v>
      </c>
      <c t="s">
        <v>43771</v>
      </c>
      <c t="s">
        <v>49949</v>
      </c>
      <c t="s">
        <v>60872</v>
      </c>
      <c t="s">
        <v>49949</v>
      </c>
      <c t="s">
        <v>63452</v>
      </c>
      <c t="s">
        <v>39832</v>
      </c>
      <c t="s">
        <v>2517</v>
      </c>
      <c t="s">
        <v>39289</v>
      </c>
      <c>
        <v>33909</v>
      </c>
      <c t="s">
        <v>46338</v>
      </c>
      <c t="s">
        <v>48794</v>
      </c>
      <c t="s">
        <v>4064</v>
      </c>
      <c>
        <v>3625</v>
      </c>
      <c r="AI5553" t="s">
        <v>40926</v>
      </c>
      <c t="s">
        <v>24900</v>
      </c>
      <c r="AL5553" t="s">
        <v>58557</v>
      </c>
      <c r="AN5553" t="s">
        <v>51087</v>
      </c>
      <c t="s">
        <v>50748</v>
      </c>
      <c t="s">
        <v>48506</v>
      </c>
      <c t="s">
        <v>3093</v>
      </c>
      <c t="s">
        <v>55390</v>
      </c>
    </row>
    <row>
      <c t="s">
        <v>17594</v>
      </c>
      <c t="s">
        <v>58407</v>
      </c>
      <c t="s">
        <v>23157</v>
      </c>
      <c t="s">
        <v>12722</v>
      </c>
      <c t="s">
        <v>22139</v>
      </c>
      <c s="3">
        <v>94522</v>
      </c>
      <c s="3">
        <v>85250</v>
      </c>
      <c s="3">
        <v>94522</v>
      </c>
      <c>
        <v>0</v>
      </c>
      <c s="3">
        <v>0</v>
      </c>
      <c s="3">
        <v>1420.05</v>
      </c>
      <c s="3">
        <v>94522</v>
      </c>
      <c r="O5554" s="1" t="str">
        <f ca="1">HYPERLINK("https://web.datatree.com/?/property?propertyId=34200882", "https://web.datatree.com/?/property?propertyId=34200882")</f>
        <v>https://web.datatree.com/?/property?propertyId=34200882</v>
      </c>
      <c r="Q5554" t="s">
        <v>316</v>
      </c>
      <c>
        <v>0.125</v>
      </c>
      <c t="s">
        <v>26492</v>
      </c>
      <c t="s">
        <v>50865</v>
      </c>
      <c t="s">
        <v>66024</v>
      </c>
      <c r="X5554" t="s">
        <v>27738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61970</v>
      </c>
      <c>
        <v>14</v>
      </c>
      <c r="AI5554" t="s">
        <v>11846</v>
      </c>
      <c t="s">
        <v>31192</v>
      </c>
      <c r="AL5554" t="s">
        <v>46307</v>
      </c>
      <c t="s">
        <v>40227</v>
      </c>
      <c t="s">
        <v>5982</v>
      </c>
      <c t="s">
        <v>40785</v>
      </c>
      <c t="s">
        <v>63972</v>
      </c>
      <c t="s">
        <v>3093</v>
      </c>
      <c t="s">
        <v>53564</v>
      </c>
    </row>
    <row>
      <c t="s">
        <v>17594</v>
      </c>
      <c t="s">
        <v>63603</v>
      </c>
      <c t="s">
        <v>57847</v>
      </c>
      <c t="s">
        <v>33311</v>
      </c>
      <c t="s">
        <v>15027</v>
      </c>
      <c s="3">
        <v>32597</v>
      </c>
      <c s="3">
        <v>32597</v>
      </c>
      <c s="3">
        <v>11858</v>
      </c>
      <c>
        <v>0</v>
      </c>
      <c s="3">
        <v>0</v>
      </c>
      <c s="3">
        <v>2994.2</v>
      </c>
      <c s="3">
        <v>32597</v>
      </c>
      <c r="O5555" s="1" t="str">
        <f ca="1">HYPERLINK("https://web.datatree.com/?/property?propertyId=34200927", "https://web.datatree.com/?/property?propertyId=34200927")</f>
        <v>https://web.datatree.com/?/property?propertyId=34200927</v>
      </c>
      <c r="Q5555" t="s">
        <v>316</v>
      </c>
      <c>
        <v>0.244</v>
      </c>
      <c t="s">
        <v>32050</v>
      </c>
      <c t="s">
        <v>58276</v>
      </c>
      <c t="s">
        <v>21476</v>
      </c>
      <c r="X5555" t="s">
        <v>23348</v>
      </c>
      <c t="s">
        <v>2626</v>
      </c>
      <c t="s">
        <v>2517</v>
      </c>
      <c t="s">
        <v>39289</v>
      </c>
      <c>
        <v>33909</v>
      </c>
      <c t="s">
        <v>57237</v>
      </c>
      <c t="s">
        <v>48794</v>
      </c>
      <c t="s">
        <v>6068</v>
      </c>
      <c>
        <v>635</v>
      </c>
      <c r="AI5555" t="s">
        <v>24709</v>
      </c>
      <c t="s">
        <v>24900</v>
      </c>
      <c r="AL5555" t="s">
        <v>37818</v>
      </c>
      <c r="AN5555" t="s">
        <v>50917</v>
      </c>
      <c t="s">
        <v>48712</v>
      </c>
      <c t="s">
        <v>4797</v>
      </c>
      <c t="s">
        <v>3093</v>
      </c>
      <c t="s">
        <v>6985</v>
      </c>
    </row>
    <row>
      <c t="s">
        <v>17594</v>
      </c>
      <c t="s">
        <v>29908</v>
      </c>
      <c t="s">
        <v>52652</v>
      </c>
      <c t="s">
        <v>64975</v>
      </c>
      <c t="s">
        <v>19209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 r="O5556" s="1" t="str">
        <f ca="1">HYPERLINK("https://web.datatree.com/?/property?propertyId=34200934", "https://web.datatree.com/?/property?propertyId=34200934")</f>
        <v>https://web.datatree.com/?/property?propertyId=34200934</v>
      </c>
      <c r="Q5556" t="s">
        <v>316</v>
      </c>
      <c>
        <v>0.299</v>
      </c>
      <c t="s">
        <v>5471</v>
      </c>
      <c t="s">
        <v>1859</v>
      </c>
      <c t="s">
        <v>26608</v>
      </c>
      <c t="s">
        <v>20358</v>
      </c>
      <c t="s">
        <v>26608</v>
      </c>
      <c t="s">
        <v>52650</v>
      </c>
      <c t="s">
        <v>6481</v>
      </c>
      <c t="s">
        <v>65059</v>
      </c>
      <c t="s">
        <v>39289</v>
      </c>
      <c>
        <v>33905</v>
      </c>
      <c t="s">
        <v>12286</v>
      </c>
      <c t="s">
        <v>48794</v>
      </c>
      <c t="s">
        <v>16758</v>
      </c>
      <c>
        <v>5548</v>
      </c>
      <c r="AI5556" t="s">
        <v>2731</v>
      </c>
      <c t="s">
        <v>31192</v>
      </c>
      <c r="AL5556" t="s">
        <v>51894</v>
      </c>
      <c r="AN5556" t="s">
        <v>22275</v>
      </c>
      <c t="s">
        <v>4337</v>
      </c>
      <c t="s">
        <v>52247</v>
      </c>
      <c t="s">
        <v>3093</v>
      </c>
      <c t="s">
        <v>47041</v>
      </c>
    </row>
    <row>
      <c t="s">
        <v>17594</v>
      </c>
      <c t="s">
        <v>38930</v>
      </c>
      <c t="s">
        <v>34112</v>
      </c>
      <c t="s">
        <v>4920</v>
      </c>
      <c t="s">
        <v>47665</v>
      </c>
      <c s="3">
        <v>35272</v>
      </c>
      <c s="3">
        <v>35272</v>
      </c>
      <c s="3">
        <v>22824</v>
      </c>
      <c>
        <v>0</v>
      </c>
      <c s="3">
        <v>0</v>
      </c>
      <c s="3">
        <v>842.73</v>
      </c>
      <c s="3">
        <v>35272</v>
      </c>
      <c r="O5557" s="1" t="str">
        <f ca="1">HYPERLINK("https://web.datatree.com/?/property?propertyId=34201047", "https://web.datatree.com/?/property?propertyId=34201047")</f>
        <v>https://web.datatree.com/?/property?propertyId=34201047</v>
      </c>
      <c r="Q5557" t="s">
        <v>316</v>
      </c>
      <c>
        <v>0.234</v>
      </c>
      <c t="s">
        <v>6175</v>
      </c>
      <c t="s">
        <v>60693</v>
      </c>
      <c t="s">
        <v>18899</v>
      </c>
      <c r="X5557" t="s">
        <v>29208</v>
      </c>
      <c t="s">
        <v>25988</v>
      </c>
      <c t="s">
        <v>2517</v>
      </c>
      <c t="s">
        <v>39289</v>
      </c>
      <c>
        <v>33904</v>
      </c>
      <c t="s">
        <v>223</v>
      </c>
      <c t="s">
        <v>48794</v>
      </c>
      <c t="s">
        <v>30564</v>
      </c>
      <c>
        <v>5</v>
      </c>
      <c r="AI5557" t="s">
        <v>59700</v>
      </c>
      <c r="AL5557" t="s">
        <v>2578</v>
      </c>
      <c r="AN5557" t="s">
        <v>6919</v>
      </c>
      <c>
        <v>83112</v>
      </c>
      <c r="AQ5557" t="s">
        <v>3093</v>
      </c>
      <c t="s">
        <v>5600</v>
      </c>
    </row>
    <row>
      <c t="s">
        <v>17594</v>
      </c>
      <c t="s">
        <v>6135</v>
      </c>
      <c t="s">
        <v>42780</v>
      </c>
      <c t="s">
        <v>31490</v>
      </c>
      <c t="s">
        <v>1485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558" s="1" t="str">
        <f ca="1">HYPERLINK("https://web.datatree.com/?/property?propertyId=34201267", "https://web.datatree.com/?/property?propertyId=34201267")</f>
        <v>https://web.datatree.com/?/property?propertyId=34201267</v>
      </c>
      <c r="Q5558" t="s">
        <v>316</v>
      </c>
      <c>
        <v>0.23</v>
      </c>
      <c t="s">
        <v>22490</v>
      </c>
      <c t="s">
        <v>47337</v>
      </c>
      <c t="s">
        <v>9457</v>
      </c>
      <c t="s">
        <v>62125</v>
      </c>
      <c t="s">
        <v>9457</v>
      </c>
      <c t="s">
        <v>63165</v>
      </c>
      <c t="s">
        <v>38550</v>
      </c>
      <c t="s">
        <v>2517</v>
      </c>
      <c t="s">
        <v>39289</v>
      </c>
      <c>
        <v>33909</v>
      </c>
      <c t="s">
        <v>50393</v>
      </c>
      <c t="s">
        <v>48794</v>
      </c>
      <c t="s">
        <v>35683</v>
      </c>
      <c>
        <v>17</v>
      </c>
      <c r="AI5558" t="s">
        <v>6230</v>
      </c>
      <c t="s">
        <v>40345</v>
      </c>
      <c r="AL5558" t="s">
        <v>64737</v>
      </c>
      <c r="AN5558" t="s">
        <v>10909</v>
      </c>
      <c t="s">
        <v>35703</v>
      </c>
      <c r="AQ5558" t="s">
        <v>27814</v>
      </c>
      <c t="s">
        <v>6192</v>
      </c>
    </row>
    <row>
      <c t="s">
        <v>17594</v>
      </c>
      <c t="s">
        <v>43992</v>
      </c>
      <c t="s">
        <v>42525</v>
      </c>
      <c t="s">
        <v>38034</v>
      </c>
      <c t="s">
        <v>51605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559" s="1" t="str">
        <f ca="1">HYPERLINK("https://web.datatree.com/?/property?propertyId=34201685", "https://web.datatree.com/?/property?propertyId=34201685")</f>
        <v>https://web.datatree.com/?/property?propertyId=34201685</v>
      </c>
      <c r="Q5559" t="s">
        <v>316</v>
      </c>
      <c>
        <v>0.23</v>
      </c>
      <c t="s">
        <v>6175</v>
      </c>
      <c t="s">
        <v>3238</v>
      </c>
      <c t="s">
        <v>49999</v>
      </c>
      <c t="s">
        <v>32675</v>
      </c>
      <c t="s">
        <v>13824</v>
      </c>
      <c t="s">
        <v>18205</v>
      </c>
      <c t="s">
        <v>24999</v>
      </c>
      <c t="s">
        <v>2517</v>
      </c>
      <c t="s">
        <v>39289</v>
      </c>
      <c>
        <v>33909</v>
      </c>
      <c t="s">
        <v>54405</v>
      </c>
      <c t="s">
        <v>48794</v>
      </c>
      <c t="s">
        <v>5743</v>
      </c>
      <c>
        <v>7916</v>
      </c>
      <c r="AI5559" t="s">
        <v>66116</v>
      </c>
      <c t="s">
        <v>24900</v>
      </c>
      <c r="AL5559" t="s">
        <v>16865</v>
      </c>
      <c r="AN5559" t="s">
        <v>27481</v>
      </c>
      <c t="s">
        <v>40367</v>
      </c>
      <c t="s">
        <v>51249</v>
      </c>
      <c t="s">
        <v>3093</v>
      </c>
      <c t="s">
        <v>42809</v>
      </c>
    </row>
    <row>
      <c t="s">
        <v>17594</v>
      </c>
      <c t="s">
        <v>28945</v>
      </c>
      <c t="s">
        <v>36826</v>
      </c>
      <c t="s">
        <v>19433</v>
      </c>
      <c t="s">
        <v>62002</v>
      </c>
      <c s="3">
        <v>89012</v>
      </c>
      <c s="3">
        <v>78960</v>
      </c>
      <c s="3">
        <v>88392</v>
      </c>
      <c>
        <v>0</v>
      </c>
      <c s="3">
        <v>0</v>
      </c>
      <c s="3">
        <v>1351.39</v>
      </c>
      <c s="3">
        <v>89012</v>
      </c>
      <c r="O5560" s="1" t="str">
        <f ca="1">HYPERLINK("https://web.datatree.com/?/property?propertyId=34201821", "https://web.datatree.com/?/property?propertyId=34201821")</f>
        <v>https://web.datatree.com/?/property?propertyId=34201821</v>
      </c>
      <c r="Q5560" t="s">
        <v>316</v>
      </c>
      <c>
        <v>0.098</v>
      </c>
      <c t="s">
        <v>26492</v>
      </c>
      <c t="s">
        <v>35571</v>
      </c>
      <c t="s">
        <v>53864</v>
      </c>
      <c t="s">
        <v>44851</v>
      </c>
      <c t="s">
        <v>53864</v>
      </c>
      <c t="s">
        <v>64814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6281</v>
      </c>
      <c>
        <v>18500</v>
      </c>
      <c r="AI5560" t="s">
        <v>19951</v>
      </c>
      <c r="AL5560" t="s">
        <v>49680</v>
      </c>
      <c t="s">
        <v>40227</v>
      </c>
      <c t="s">
        <v>10909</v>
      </c>
      <c t="s">
        <v>49912</v>
      </c>
      <c r="AQ5560" t="s">
        <v>27814</v>
      </c>
      <c t="s">
        <v>36227</v>
      </c>
    </row>
    <row>
      <c t="s">
        <v>17594</v>
      </c>
      <c t="s">
        <v>65149</v>
      </c>
      <c t="s">
        <v>23847</v>
      </c>
      <c t="s">
        <v>22076</v>
      </c>
      <c t="s">
        <v>46731</v>
      </c>
      <c s="3">
        <v>15788</v>
      </c>
      <c s="3">
        <v>15788</v>
      </c>
      <c s="3">
        <v>8250</v>
      </c>
      <c>
        <v>0</v>
      </c>
      <c s="3">
        <v>0</v>
      </c>
      <c s="3">
        <v>568.23</v>
      </c>
      <c s="3">
        <v>15788</v>
      </c>
      <c r="O5561" s="1" t="str">
        <f ca="1">HYPERLINK("https://web.datatree.com/?/property?propertyId=34202154", "https://web.datatree.com/?/property?propertyId=34202154")</f>
        <v>https://web.datatree.com/?/property?propertyId=34202154</v>
      </c>
      <c r="Q5561" t="s">
        <v>316</v>
      </c>
      <c>
        <v>0.254</v>
      </c>
      <c t="s">
        <v>6175</v>
      </c>
      <c t="s">
        <v>40397</v>
      </c>
      <c t="s">
        <v>50354</v>
      </c>
      <c r="X5561" t="s">
        <v>21443</v>
      </c>
      <c t="s">
        <v>39832</v>
      </c>
      <c t="s">
        <v>2517</v>
      </c>
      <c t="s">
        <v>39289</v>
      </c>
      <c>
        <v>33909</v>
      </c>
      <c t="s">
        <v>17572</v>
      </c>
      <c t="s">
        <v>48794</v>
      </c>
      <c t="s">
        <v>21008</v>
      </c>
      <c>
        <v>144</v>
      </c>
      <c r="AI5561" t="s">
        <v>67037</v>
      </c>
      <c t="s">
        <v>24900</v>
      </c>
      <c r="AL5561" t="s">
        <v>64737</v>
      </c>
      <c r="AN5561" t="s">
        <v>10909</v>
      </c>
      <c t="s">
        <v>56299</v>
      </c>
      <c r="AQ5561" t="s">
        <v>27814</v>
      </c>
      <c t="s">
        <v>3445</v>
      </c>
    </row>
    <row>
      <c t="s">
        <v>17594</v>
      </c>
      <c t="s">
        <v>23030</v>
      </c>
      <c t="s">
        <v>53667</v>
      </c>
      <c t="s">
        <v>8138</v>
      </c>
      <c t="s">
        <v>1974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5562" s="1" t="str">
        <f ca="1">HYPERLINK("https://web.datatree.com/?/property?propertyId=34202164", "https://web.datatree.com/?/property?propertyId=34202164")</f>
        <v>https://web.datatree.com/?/property?propertyId=34202164</v>
      </c>
      <c r="Q5562" t="s">
        <v>316</v>
      </c>
      <c>
        <v>0.23</v>
      </c>
      <c t="s">
        <v>22490</v>
      </c>
      <c t="s">
        <v>35571</v>
      </c>
      <c t="s">
        <v>20433</v>
      </c>
      <c r="X5562" t="s">
        <v>9225</v>
      </c>
      <c t="s">
        <v>49122</v>
      </c>
      <c t="s">
        <v>2517</v>
      </c>
      <c t="s">
        <v>39289</v>
      </c>
      <c>
        <v>33909</v>
      </c>
      <c t="s">
        <v>10614</v>
      </c>
      <c t="s">
        <v>48794</v>
      </c>
      <c t="s">
        <v>50328</v>
      </c>
      <c>
        <v>2163</v>
      </c>
      <c r="AI5562" t="s">
        <v>21424</v>
      </c>
      <c t="s">
        <v>63316</v>
      </c>
      <c r="AL5562" t="s">
        <v>52025</v>
      </c>
      <c t="s">
        <v>52025</v>
      </c>
      <c t="s">
        <v>18236</v>
      </c>
      <c t="s">
        <v>22843</v>
      </c>
      <c t="s">
        <v>44726</v>
      </c>
      <c t="s">
        <v>3093</v>
      </c>
      <c t="s">
        <v>52738</v>
      </c>
    </row>
    <row>
      <c t="s">
        <v>17594</v>
      </c>
      <c t="s">
        <v>37031</v>
      </c>
      <c s="4" t="s">
        <v>39573</v>
      </c>
      <c t="s">
        <v>49336</v>
      </c>
      <c t="s">
        <v>545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563" s="1" t="str">
        <f ca="1">HYPERLINK("https://web.datatree.com/?/property?propertyId=34202624", "https://web.datatree.com/?/property?propertyId=34202624")</f>
        <v>https://web.datatree.com/?/property?propertyId=34202624</v>
      </c>
      <c r="Q5563" t="s">
        <v>316</v>
      </c>
      <c>
        <v>0.23</v>
      </c>
      <c t="s">
        <v>45031</v>
      </c>
      <c t="s">
        <v>9157</v>
      </c>
      <c t="s">
        <v>32265</v>
      </c>
      <c t="s">
        <v>11839</v>
      </c>
      <c t="s">
        <v>32265</v>
      </c>
      <c t="s">
        <v>64217</v>
      </c>
      <c t="s">
        <v>46469</v>
      </c>
      <c t="s">
        <v>2517</v>
      </c>
      <c t="s">
        <v>39289</v>
      </c>
      <c>
        <v>33909</v>
      </c>
      <c t="s">
        <v>22858</v>
      </c>
      <c t="s">
        <v>48794</v>
      </c>
      <c t="s">
        <v>52814</v>
      </c>
      <c>
        <v>15</v>
      </c>
      <c r="AI5563" t="s">
        <v>20580</v>
      </c>
      <c r="AL5563" t="s">
        <v>23914</v>
      </c>
      <c t="s">
        <v>23914</v>
      </c>
      <c t="s">
        <v>10804</v>
      </c>
      <c>
        <v>28816</v>
      </c>
      <c r="AR5563" s="4" t="s">
        <v>58312</v>
      </c>
    </row>
    <row>
      <c t="s">
        <v>42103</v>
      </c>
      <c t="s">
        <v>48274</v>
      </c>
      <c t="s">
        <v>53554</v>
      </c>
      <c t="s">
        <v>38066</v>
      </c>
      <c t="s">
        <v>24911</v>
      </c>
      <c s="3">
        <v>26249</v>
      </c>
      <c s="3">
        <v>26249</v>
      </c>
      <c s="3">
        <v>9339</v>
      </c>
      <c>
        <v>0</v>
      </c>
      <c s="3">
        <v>0</v>
      </c>
      <c s="3">
        <v>2880.21</v>
      </c>
      <c s="3">
        <v>26249</v>
      </c>
      <c r="O5564" s="1" t="str">
        <f ca="1">HYPERLINK("https://web.datatree.com/?/property?propertyId=34203934", "https://web.datatree.com/?/property?propertyId=34203934")</f>
        <v>https://web.datatree.com/?/property?propertyId=34203934</v>
      </c>
      <c r="Q5564" t="s">
        <v>316</v>
      </c>
      <c>
        <v>0.23</v>
      </c>
      <c t="s">
        <v>6175</v>
      </c>
      <c r="U5564" t="s">
        <v>59920</v>
      </c>
      <c r="W5564" t="s">
        <v>12856</v>
      </c>
      <c t="s">
        <v>25225</v>
      </c>
      <c t="s">
        <v>53675</v>
      </c>
      <c t="s">
        <v>2517</v>
      </c>
      <c t="s">
        <v>39289</v>
      </c>
      <c>
        <v>33909</v>
      </c>
      <c t="s">
        <v>14938</v>
      </c>
      <c t="s">
        <v>48794</v>
      </c>
      <c t="s">
        <v>43221</v>
      </c>
      <c r="AI5564" t="s">
        <v>52655</v>
      </c>
      <c r="AL5564" t="s">
        <v>6449</v>
      </c>
      <c r="AN5564" t="s">
        <v>18236</v>
      </c>
      <c>
        <v>76094</v>
      </c>
      <c t="s">
        <v>31451</v>
      </c>
      <c t="s">
        <v>3093</v>
      </c>
      <c t="s">
        <v>10340</v>
      </c>
    </row>
    <row>
      <c t="s">
        <v>17594</v>
      </c>
      <c t="s">
        <v>52746</v>
      </c>
      <c t="s">
        <v>42733</v>
      </c>
      <c t="s">
        <v>38502</v>
      </c>
      <c t="s">
        <v>54147</v>
      </c>
      <c s="3">
        <v>23673</v>
      </c>
      <c s="3">
        <v>23673</v>
      </c>
      <c s="3">
        <v>23673</v>
      </c>
      <c>
        <v>0</v>
      </c>
      <c s="3">
        <v>0</v>
      </c>
      <c s="3">
        <v>756.46</v>
      </c>
      <c s="3">
        <v>23673</v>
      </c>
      <c r="O5565" s="1" t="str">
        <f ca="1">HYPERLINK("https://web.datatree.com/?/property?propertyId=34204413", "https://web.datatree.com/?/property?propertyId=34204413")</f>
        <v>https://web.datatree.com/?/property?propertyId=34204413</v>
      </c>
      <c r="Q5565" t="s">
        <v>316</v>
      </c>
      <c>
        <v>0.249</v>
      </c>
      <c t="s">
        <v>45031</v>
      </c>
      <c t="s">
        <v>51787</v>
      </c>
      <c t="s">
        <v>45794</v>
      </c>
      <c t="s">
        <v>51248</v>
      </c>
      <c t="s">
        <v>45794</v>
      </c>
      <c t="s">
        <v>19610</v>
      </c>
      <c t="s">
        <v>38550</v>
      </c>
      <c t="s">
        <v>2517</v>
      </c>
      <c t="s">
        <v>39289</v>
      </c>
      <c>
        <v>33909</v>
      </c>
      <c t="s">
        <v>1086</v>
      </c>
      <c t="s">
        <v>48794</v>
      </c>
      <c t="s">
        <v>27400</v>
      </c>
      <c>
        <v>16992</v>
      </c>
      <c r="AI5565" t="s">
        <v>9335</v>
      </c>
      <c t="s">
        <v>55842</v>
      </c>
      <c r="AL5565" t="s">
        <v>11871</v>
      </c>
      <c t="s">
        <v>36665</v>
      </c>
      <c t="s">
        <v>51087</v>
      </c>
      <c t="s">
        <v>16827</v>
      </c>
      <c t="s">
        <v>1951</v>
      </c>
      <c t="s">
        <v>3093</v>
      </c>
      <c t="s">
        <v>25969</v>
      </c>
    </row>
    <row>
      <c t="s">
        <v>17594</v>
      </c>
      <c t="s">
        <v>18370</v>
      </c>
      <c t="s">
        <v>22222</v>
      </c>
      <c t="s">
        <v>49714</v>
      </c>
      <c t="s">
        <v>54389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>
        <v>2021</v>
      </c>
      <c>
        <v>532.49</v>
      </c>
      <c s="1" t="str">
        <f ca="1">HYPERLINK("https://web.datatree.com/?/property?propertyId=34204544", "https://web.datatree.com/?/property?propertyId=34204544")</f>
        <v>https://web.datatree.com/?/property?propertyId=34204544</v>
      </c>
      <c r="Q5566" t="s">
        <v>316</v>
      </c>
      <c>
        <v>0.23</v>
      </c>
      <c t="s">
        <v>22490</v>
      </c>
      <c t="s">
        <v>8528</v>
      </c>
      <c t="s">
        <v>26559</v>
      </c>
      <c r="X5566" t="s">
        <v>52429</v>
      </c>
      <c t="s">
        <v>49674</v>
      </c>
      <c t="s">
        <v>2517</v>
      </c>
      <c t="s">
        <v>39289</v>
      </c>
      <c>
        <v>33909</v>
      </c>
      <c t="s">
        <v>20606</v>
      </c>
      <c t="s">
        <v>48794</v>
      </c>
      <c t="s">
        <v>45776</v>
      </c>
      <c>
        <v>6028</v>
      </c>
      <c r="AI5566" t="s">
        <v>26990</v>
      </c>
      <c t="s">
        <v>31192</v>
      </c>
      <c r="AL5566" t="s">
        <v>36080</v>
      </c>
      <c t="s">
        <v>30786</v>
      </c>
      <c t="s">
        <v>39289</v>
      </c>
      <c t="s">
        <v>29622</v>
      </c>
      <c t="s">
        <v>1951</v>
      </c>
      <c t="s">
        <v>3093</v>
      </c>
      <c t="s">
        <v>36011</v>
      </c>
    </row>
    <row>
      <c t="s">
        <v>17594</v>
      </c>
      <c t="s">
        <v>14129</v>
      </c>
      <c t="s">
        <v>23263</v>
      </c>
      <c t="s">
        <v>56104</v>
      </c>
      <c t="s">
        <v>25195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567" s="1" t="str">
        <f ca="1">HYPERLINK("https://web.datatree.com/?/property?propertyId=34205088", "https://web.datatree.com/?/property?propertyId=34205088")</f>
        <v>https://web.datatree.com/?/property?propertyId=34205088</v>
      </c>
      <c r="Q5567" t="s">
        <v>316</v>
      </c>
      <c>
        <v>0.23</v>
      </c>
      <c t="s">
        <v>6175</v>
      </c>
      <c t="s">
        <v>27704</v>
      </c>
      <c t="s">
        <v>46201</v>
      </c>
      <c t="s">
        <v>1599</v>
      </c>
      <c t="s">
        <v>46201</v>
      </c>
      <c t="s">
        <v>57269</v>
      </c>
      <c t="s">
        <v>55273</v>
      </c>
      <c t="s">
        <v>2517</v>
      </c>
      <c t="s">
        <v>39289</v>
      </c>
      <c>
        <v>33909</v>
      </c>
      <c t="s">
        <v>22501</v>
      </c>
      <c t="s">
        <v>48794</v>
      </c>
      <c t="s">
        <v>40975</v>
      </c>
      <c>
        <v>281</v>
      </c>
      <c r="AI5567" t="s">
        <v>6073</v>
      </c>
      <c t="s">
        <v>45393</v>
      </c>
      <c r="AL5567" t="s">
        <v>8109</v>
      </c>
      <c t="s">
        <v>13397</v>
      </c>
      <c t="s">
        <v>50917</v>
      </c>
      <c t="s">
        <v>30185</v>
      </c>
      <c t="s">
        <v>22613</v>
      </c>
      <c t="s">
        <v>3093</v>
      </c>
      <c t="s">
        <v>64079</v>
      </c>
    </row>
    <row>
      <c t="s">
        <v>17594</v>
      </c>
      <c t="s">
        <v>25874</v>
      </c>
      <c t="s">
        <v>22502</v>
      </c>
      <c t="s">
        <v>44289</v>
      </c>
      <c t="s">
        <v>18847</v>
      </c>
      <c s="3">
        <v>8777</v>
      </c>
      <c s="3">
        <v>8777</v>
      </c>
      <c s="3">
        <v>4972</v>
      </c>
      <c>
        <v>0</v>
      </c>
      <c s="3">
        <v>0</v>
      </c>
      <c s="3">
        <v>323.16</v>
      </c>
      <c s="3">
        <v>8777</v>
      </c>
      <c r="O5568" s="1" t="str">
        <f ca="1">HYPERLINK("https://web.datatree.com/?/property?propertyId=34205790", "https://web.datatree.com/?/property?propertyId=34205790")</f>
        <v>https://web.datatree.com/?/property?propertyId=34205790</v>
      </c>
      <c r="Q5568" t="s">
        <v>316</v>
      </c>
      <c>
        <v>0.286</v>
      </c>
      <c t="s">
        <v>37489</v>
      </c>
      <c t="s">
        <v>38760</v>
      </c>
      <c t="s">
        <v>20542</v>
      </c>
      <c r="X5568" t="s">
        <v>39116</v>
      </c>
      <c t="s">
        <v>10854</v>
      </c>
      <c t="s">
        <v>65059</v>
      </c>
      <c t="s">
        <v>39289</v>
      </c>
      <c>
        <v>33905</v>
      </c>
      <c t="s">
        <v>16535</v>
      </c>
      <c t="s">
        <v>48794</v>
      </c>
      <c t="s">
        <v>57009</v>
      </c>
      <c>
        <v>111</v>
      </c>
      <c r="AI5568" t="s">
        <v>7943</v>
      </c>
      <c t="s">
        <v>45393</v>
      </c>
      <c>
        <v>2</v>
      </c>
      <c t="s">
        <v>13397</v>
      </c>
      <c r="AN5568" t="s">
        <v>50917</v>
      </c>
      <c t="s">
        <v>48268</v>
      </c>
      <c t="s">
        <v>34162</v>
      </c>
      <c t="s">
        <v>3093</v>
      </c>
      <c t="s">
        <v>46149</v>
      </c>
    </row>
    <row>
      <c t="s">
        <v>17594</v>
      </c>
      <c t="s">
        <v>15595</v>
      </c>
      <c t="s">
        <v>58464</v>
      </c>
      <c t="s">
        <v>63444</v>
      </c>
      <c t="s">
        <v>53875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569" s="1" t="str">
        <f ca="1">HYPERLINK("https://web.datatree.com/?/property?propertyId=34206192", "https://web.datatree.com/?/property?propertyId=34206192")</f>
        <v>https://web.datatree.com/?/property?propertyId=34206192</v>
      </c>
      <c r="Q5569" t="s">
        <v>316</v>
      </c>
      <c>
        <v>0.23</v>
      </c>
      <c t="s">
        <v>6175</v>
      </c>
      <c r="U5569" t="s">
        <v>53815</v>
      </c>
      <c t="s">
        <v>42532</v>
      </c>
      <c t="s">
        <v>24163</v>
      </c>
      <c t="s">
        <v>24879</v>
      </c>
      <c t="s">
        <v>64331</v>
      </c>
      <c t="s">
        <v>2517</v>
      </c>
      <c t="s">
        <v>39289</v>
      </c>
      <c>
        <v>33909</v>
      </c>
      <c t="s">
        <v>39060</v>
      </c>
      <c t="s">
        <v>48794</v>
      </c>
      <c t="s">
        <v>20639</v>
      </c>
      <c>
        <v>8880</v>
      </c>
      <c r="AI5569" t="s">
        <v>18704</v>
      </c>
      <c t="s">
        <v>45620</v>
      </c>
      <c>
        <v>250</v>
      </c>
      <c t="s">
        <v>38297</v>
      </c>
      <c r="AN5569" t="s">
        <v>27222</v>
      </c>
      <c t="s">
        <v>2778</v>
      </c>
      <c t="s">
        <v>35508</v>
      </c>
      <c t="s">
        <v>3093</v>
      </c>
      <c t="s">
        <v>13643</v>
      </c>
    </row>
    <row>
      <c t="s">
        <v>17594</v>
      </c>
      <c t="s">
        <v>16581</v>
      </c>
      <c t="s">
        <v>55949</v>
      </c>
      <c t="s">
        <v>21442</v>
      </c>
      <c t="s">
        <v>30493</v>
      </c>
      <c s="3">
        <v>31592</v>
      </c>
      <c s="3">
        <v>31592</v>
      </c>
      <c s="3">
        <v>11858</v>
      </c>
      <c>
        <v>0</v>
      </c>
      <c s="3">
        <v>0</v>
      </c>
      <c s="3">
        <v>1584.02</v>
      </c>
      <c s="3">
        <v>31592</v>
      </c>
      <c r="O5570" s="1" t="str">
        <f ca="1">HYPERLINK("https://web.datatree.com/?/property?propertyId=34206228", "https://web.datatree.com/?/property?propertyId=34206228")</f>
        <v>https://web.datatree.com/?/property?propertyId=34206228</v>
      </c>
      <c r="Q5570" t="s">
        <v>316</v>
      </c>
      <c>
        <v>0.23</v>
      </c>
      <c t="s">
        <v>32050</v>
      </c>
      <c t="s">
        <v>44541</v>
      </c>
      <c t="s">
        <v>4652</v>
      </c>
      <c r="X5570" t="s">
        <v>12723</v>
      </c>
      <c t="s">
        <v>2626</v>
      </c>
      <c t="s">
        <v>2517</v>
      </c>
      <c t="s">
        <v>39289</v>
      </c>
      <c>
        <v>33909</v>
      </c>
      <c t="s">
        <v>45563</v>
      </c>
      <c t="s">
        <v>48794</v>
      </c>
      <c t="s">
        <v>9653</v>
      </c>
      <c>
        <v>1004</v>
      </c>
      <c r="AI5570" t="s">
        <v>61865</v>
      </c>
      <c t="s">
        <v>45393</v>
      </c>
      <c r="AL5570" t="s">
        <v>61938</v>
      </c>
      <c r="AN5570" t="s">
        <v>65451</v>
      </c>
      <c t="s">
        <v>51975</v>
      </c>
      <c t="s">
        <v>53800</v>
      </c>
      <c t="s">
        <v>3093</v>
      </c>
      <c t="s">
        <v>5822</v>
      </c>
    </row>
    <row>
      <c t="s">
        <v>17594</v>
      </c>
      <c t="s">
        <v>1169</v>
      </c>
      <c t="s">
        <v>28910</v>
      </c>
      <c t="s">
        <v>52060</v>
      </c>
      <c t="s">
        <v>64390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5571" s="1" t="str">
        <f ca="1">HYPERLINK("https://web.datatree.com/?/property?propertyId=34206324", "https://web.datatree.com/?/property?propertyId=34206324")</f>
        <v>https://web.datatree.com/?/property?propertyId=34206324</v>
      </c>
      <c r="Q5571" t="s">
        <v>316</v>
      </c>
      <c>
        <v>0.23</v>
      </c>
      <c t="s">
        <v>22490</v>
      </c>
      <c t="s">
        <v>49741</v>
      </c>
      <c t="s">
        <v>38961</v>
      </c>
      <c r="X5571" t="s">
        <v>58154</v>
      </c>
      <c t="s">
        <v>39082</v>
      </c>
      <c t="s">
        <v>2517</v>
      </c>
      <c t="s">
        <v>39289</v>
      </c>
      <c>
        <v>33909</v>
      </c>
      <c>
        <v>33909</v>
      </c>
      <c t="s">
        <v>48794</v>
      </c>
      <c t="s">
        <v>54606</v>
      </c>
      <c>
        <v>973</v>
      </c>
      <c r="AI5571" t="s">
        <v>27195</v>
      </c>
      <c t="s">
        <v>40123</v>
      </c>
      <c r="AL5571" t="s">
        <v>55393</v>
      </c>
      <c r="AN5571" t="s">
        <v>39289</v>
      </c>
      <c t="s">
        <v>15050</v>
      </c>
      <c t="s">
        <v>63810</v>
      </c>
      <c t="s">
        <v>3093</v>
      </c>
      <c t="s">
        <v>62348</v>
      </c>
    </row>
    <row>
      <c t="s">
        <v>17594</v>
      </c>
      <c t="s">
        <v>64909</v>
      </c>
      <c t="s">
        <v>25884</v>
      </c>
      <c t="s">
        <v>39621</v>
      </c>
      <c t="s">
        <v>57500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572" s="1" t="str">
        <f ca="1">HYPERLINK("https://web.datatree.com/?/property?propertyId=34206520", "https://web.datatree.com/?/property?propertyId=34206520")</f>
        <v>https://web.datatree.com/?/property?propertyId=34206520</v>
      </c>
      <c r="Q5572" t="s">
        <v>316</v>
      </c>
      <c>
        <v>0.23</v>
      </c>
      <c t="s">
        <v>6175</v>
      </c>
      <c t="s">
        <v>58699</v>
      </c>
      <c t="s">
        <v>10904</v>
      </c>
      <c t="s">
        <v>58575</v>
      </c>
      <c t="s">
        <v>10904</v>
      </c>
      <c t="s">
        <v>47424</v>
      </c>
      <c t="s">
        <v>22731</v>
      </c>
      <c t="s">
        <v>2517</v>
      </c>
      <c t="s">
        <v>39289</v>
      </c>
      <c>
        <v>33909</v>
      </c>
      <c>
        <v>33909</v>
      </c>
      <c t="s">
        <v>48794</v>
      </c>
      <c t="s">
        <v>60086</v>
      </c>
      <c>
        <v>71</v>
      </c>
      <c r="AI5572" t="s">
        <v>5105</v>
      </c>
      <c t="s">
        <v>45393</v>
      </c>
      <c r="AL5572" t="s">
        <v>12075</v>
      </c>
      <c r="AN5572" t="s">
        <v>10909</v>
      </c>
      <c t="s">
        <v>35787</v>
      </c>
      <c r="AQ5572" t="s">
        <v>27814</v>
      </c>
      <c t="s">
        <v>29909</v>
      </c>
    </row>
    <row>
      <c t="s">
        <v>17594</v>
      </c>
      <c t="s">
        <v>40600</v>
      </c>
      <c t="s">
        <v>63035</v>
      </c>
      <c t="s">
        <v>21906</v>
      </c>
      <c t="s">
        <v>2761</v>
      </c>
      <c s="3">
        <v>34005</v>
      </c>
      <c s="3">
        <v>34005</v>
      </c>
      <c s="3">
        <v>34005</v>
      </c>
      <c>
        <v>0</v>
      </c>
      <c s="3">
        <v>0</v>
      </c>
      <c s="3">
        <v>3771.24</v>
      </c>
      <c s="3">
        <v>34005</v>
      </c>
      <c r="O5573" s="1" t="str">
        <f ca="1">HYPERLINK("https://web.datatree.com/?/property?propertyId=34206894", "https://web.datatree.com/?/property?propertyId=34206894")</f>
        <v>https://web.datatree.com/?/property?propertyId=34206894</v>
      </c>
      <c r="Q5573" t="s">
        <v>316</v>
      </c>
      <c>
        <v>0.352</v>
      </c>
      <c t="s">
        <v>6175</v>
      </c>
      <c t="s">
        <v>54921</v>
      </c>
      <c t="s">
        <v>53790</v>
      </c>
      <c r="X5573" t="s">
        <v>14088</v>
      </c>
      <c t="s">
        <v>61865</v>
      </c>
      <c t="s">
        <v>2517</v>
      </c>
      <c t="s">
        <v>39289</v>
      </c>
      <c>
        <v>33909</v>
      </c>
      <c t="s">
        <v>16913</v>
      </c>
      <c t="s">
        <v>48794</v>
      </c>
      <c t="s">
        <v>9556</v>
      </c>
      <c>
        <v>3101</v>
      </c>
      <c r="AI5573" t="s">
        <v>41142</v>
      </c>
      <c t="s">
        <v>31192</v>
      </c>
      <c>
        <v>3003</v>
      </c>
      <c t="s">
        <v>23828</v>
      </c>
      <c t="s">
        <v>23828</v>
      </c>
      <c t="s">
        <v>39289</v>
      </c>
      <c t="s">
        <v>45429</v>
      </c>
      <c t="s">
        <v>26416</v>
      </c>
      <c t="s">
        <v>3093</v>
      </c>
      <c t="s">
        <v>16844</v>
      </c>
    </row>
    <row>
      <c t="s">
        <v>17594</v>
      </c>
      <c t="s">
        <v>36604</v>
      </c>
      <c t="s">
        <v>33006</v>
      </c>
      <c t="s">
        <v>65569</v>
      </c>
      <c t="s">
        <v>61587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5574" s="1" t="str">
        <f ca="1">HYPERLINK("https://web.datatree.com/?/property?propertyId=34207517", "https://web.datatree.com/?/property?propertyId=34207517")</f>
        <v>https://web.datatree.com/?/property?propertyId=34207517</v>
      </c>
      <c r="Q5574" t="s">
        <v>316</v>
      </c>
      <c>
        <v>0.23</v>
      </c>
      <c t="s">
        <v>6175</v>
      </c>
      <c t="s">
        <v>44541</v>
      </c>
      <c t="s">
        <v>4451</v>
      </c>
      <c t="s">
        <v>24588</v>
      </c>
      <c t="s">
        <v>4451</v>
      </c>
      <c t="s">
        <v>11879</v>
      </c>
      <c t="s">
        <v>34731</v>
      </c>
      <c t="s">
        <v>2517</v>
      </c>
      <c t="s">
        <v>39289</v>
      </c>
      <c>
        <v>33909</v>
      </c>
      <c t="s">
        <v>9807</v>
      </c>
      <c t="s">
        <v>48794</v>
      </c>
      <c t="s">
        <v>36642</v>
      </c>
      <c>
        <v>111</v>
      </c>
      <c r="AI5574" t="s">
        <v>16908</v>
      </c>
      <c t="s">
        <v>40123</v>
      </c>
      <c r="AL5574" t="s">
        <v>11713</v>
      </c>
      <c t="s">
        <v>19479</v>
      </c>
      <c t="s">
        <v>39289</v>
      </c>
      <c t="s">
        <v>7359</v>
      </c>
      <c t="s">
        <v>23888</v>
      </c>
      <c t="s">
        <v>3093</v>
      </c>
      <c t="s">
        <v>60632</v>
      </c>
    </row>
    <row>
      <c t="s">
        <v>17594</v>
      </c>
      <c t="s">
        <v>42976</v>
      </c>
      <c t="s">
        <v>1266</v>
      </c>
      <c t="s">
        <v>42803</v>
      </c>
      <c t="s">
        <v>7658</v>
      </c>
      <c s="3">
        <v>8400</v>
      </c>
      <c s="3">
        <v>8400</v>
      </c>
      <c s="3">
        <v>8400</v>
      </c>
      <c>
        <v>0</v>
      </c>
      <c s="3">
        <v>0</v>
      </c>
      <c s="3">
        <v>690.23</v>
      </c>
      <c s="3">
        <v>8400</v>
      </c>
      <c r="O5575" s="1" t="str">
        <f ca="1">HYPERLINK("https://web.datatree.com/?/property?propertyId=34208204", "https://web.datatree.com/?/property?propertyId=34208204")</f>
        <v>https://web.datatree.com/?/property?propertyId=34208204</v>
      </c>
      <c r="Q5575" t="s">
        <v>316</v>
      </c>
      <c>
        <v>0.23</v>
      </c>
      <c t="s">
        <v>22490</v>
      </c>
      <c t="s">
        <v>2463</v>
      </c>
      <c t="s">
        <v>35541</v>
      </c>
      <c r="X5575" t="s">
        <v>2175</v>
      </c>
      <c t="s">
        <v>52171</v>
      </c>
      <c t="s">
        <v>2517</v>
      </c>
      <c t="s">
        <v>39289</v>
      </c>
      <c>
        <v>33909</v>
      </c>
      <c t="s">
        <v>24609</v>
      </c>
      <c t="s">
        <v>48794</v>
      </c>
      <c t="s">
        <v>54581</v>
      </c>
      <c>
        <v>720</v>
      </c>
      <c r="AI5575" t="s">
        <v>52918</v>
      </c>
      <c t="s">
        <v>31192</v>
      </c>
      <c r="AL5575" t="s">
        <v>50860</v>
      </c>
      <c t="s">
        <v>50860</v>
      </c>
      <c t="s">
        <v>51087</v>
      </c>
      <c t="s">
        <v>6634</v>
      </c>
      <c t="s">
        <v>19978</v>
      </c>
      <c t="s">
        <v>3093</v>
      </c>
      <c t="s">
        <v>14005</v>
      </c>
    </row>
    <row>
      <c t="s">
        <v>17594</v>
      </c>
      <c t="s">
        <v>58828</v>
      </c>
      <c t="s">
        <v>12491</v>
      </c>
      <c t="s">
        <v>30777</v>
      </c>
      <c t="s">
        <v>50143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576" s="1" t="str">
        <f ca="1">HYPERLINK("https://web.datatree.com/?/property?propertyId=34209013", "https://web.datatree.com/?/property?propertyId=34209013")</f>
        <v>https://web.datatree.com/?/property?propertyId=34209013</v>
      </c>
      <c r="Q5576" t="s">
        <v>316</v>
      </c>
      <c>
        <v>0.23</v>
      </c>
      <c t="s">
        <v>22490</v>
      </c>
      <c t="s">
        <v>33213</v>
      </c>
      <c t="s">
        <v>20828</v>
      </c>
      <c t="s">
        <v>5941</v>
      </c>
      <c t="s">
        <v>3135</v>
      </c>
      <c t="s">
        <v>34195</v>
      </c>
      <c t="s">
        <v>41506</v>
      </c>
      <c t="s">
        <v>2517</v>
      </c>
      <c t="s">
        <v>39289</v>
      </c>
      <c>
        <v>33909</v>
      </c>
      <c t="s">
        <v>5577</v>
      </c>
      <c t="s">
        <v>48794</v>
      </c>
      <c t="s">
        <v>37811</v>
      </c>
      <c>
        <v>745</v>
      </c>
      <c r="AI5576" t="s">
        <v>8353</v>
      </c>
      <c t="s">
        <v>55910</v>
      </c>
      <c r="AL5576" t="s">
        <v>27095</v>
      </c>
      <c t="s">
        <v>27095</v>
      </c>
      <c t="s">
        <v>66651</v>
      </c>
      <c t="s">
        <v>25967</v>
      </c>
      <c t="s">
        <v>35205</v>
      </c>
      <c t="s">
        <v>3093</v>
      </c>
      <c t="s">
        <v>23437</v>
      </c>
    </row>
    <row>
      <c t="s">
        <v>17594</v>
      </c>
      <c t="s">
        <v>4006</v>
      </c>
      <c t="s">
        <v>62118</v>
      </c>
      <c t="s">
        <v>49460</v>
      </c>
      <c t="s">
        <v>19049</v>
      </c>
      <c s="3">
        <v>15574</v>
      </c>
      <c s="3">
        <v>15574</v>
      </c>
      <c s="3">
        <v>9075</v>
      </c>
      <c>
        <v>0</v>
      </c>
      <c s="3">
        <v>0</v>
      </c>
      <c s="3">
        <v>557.94</v>
      </c>
      <c s="3">
        <v>15574</v>
      </c>
      <c r="O5577" s="1" t="str">
        <f ca="1">HYPERLINK("https://web.datatree.com/?/property?propertyId=34209073", "https://web.datatree.com/?/property?propertyId=34209073")</f>
        <v>https://web.datatree.com/?/property?propertyId=34209073</v>
      </c>
      <c r="Q5577" t="s">
        <v>316</v>
      </c>
      <c>
        <v>0.241</v>
      </c>
      <c t="s">
        <v>65422</v>
      </c>
      <c t="s">
        <v>12996</v>
      </c>
      <c t="s">
        <v>46201</v>
      </c>
      <c r="X5577" t="s">
        <v>4685</v>
      </c>
      <c t="s">
        <v>13478</v>
      </c>
      <c t="s">
        <v>2517</v>
      </c>
      <c t="s">
        <v>39289</v>
      </c>
      <c>
        <v>33909</v>
      </c>
      <c t="s">
        <v>10764</v>
      </c>
      <c t="s">
        <v>48794</v>
      </c>
      <c t="s">
        <v>3750</v>
      </c>
      <c>
        <v>1108</v>
      </c>
      <c r="AI5577" t="s">
        <v>57671</v>
      </c>
      <c t="s">
        <v>40123</v>
      </c>
      <c r="AL5577" t="s">
        <v>26045</v>
      </c>
      <c r="AN5577" t="s">
        <v>51087</v>
      </c>
      <c t="s">
        <v>11959</v>
      </c>
      <c t="s">
        <v>40645</v>
      </c>
      <c t="s">
        <v>3093</v>
      </c>
      <c t="s">
        <v>55006</v>
      </c>
    </row>
    <row>
      <c t="s">
        <v>17594</v>
      </c>
      <c t="s">
        <v>50247</v>
      </c>
      <c t="s">
        <v>45874</v>
      </c>
      <c t="s">
        <v>58115</v>
      </c>
      <c t="s">
        <v>55418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578" s="1" t="str">
        <f ca="1">HYPERLINK("https://web.datatree.com/?/property?propertyId=34209619", "https://web.datatree.com/?/property?propertyId=34209619")</f>
        <v>https://web.datatree.com/?/property?propertyId=34209619</v>
      </c>
      <c r="Q5578" t="s">
        <v>316</v>
      </c>
      <c>
        <v>0.23</v>
      </c>
      <c t="s">
        <v>22490</v>
      </c>
      <c t="s">
        <v>44541</v>
      </c>
      <c t="s">
        <v>65617</v>
      </c>
      <c t="s">
        <v>21668</v>
      </c>
      <c t="s">
        <v>66247</v>
      </c>
      <c t="s">
        <v>47456</v>
      </c>
      <c t="s">
        <v>47150</v>
      </c>
      <c t="s">
        <v>2517</v>
      </c>
      <c t="s">
        <v>39289</v>
      </c>
      <c>
        <v>33909</v>
      </c>
      <c t="s">
        <v>40314</v>
      </c>
      <c t="s">
        <v>48794</v>
      </c>
      <c t="s">
        <v>67118</v>
      </c>
      <c>
        <v>1468</v>
      </c>
      <c r="AI5578" t="s">
        <v>5866</v>
      </c>
      <c t="s">
        <v>45620</v>
      </c>
      <c r="AL5578" t="s">
        <v>28704</v>
      </c>
      <c r="AN5578" t="s">
        <v>22275</v>
      </c>
      <c t="s">
        <v>34142</v>
      </c>
      <c t="s">
        <v>14695</v>
      </c>
      <c t="s">
        <v>3093</v>
      </c>
      <c t="s">
        <v>33894</v>
      </c>
    </row>
    <row>
      <c t="s">
        <v>17594</v>
      </c>
      <c t="s">
        <v>33391</v>
      </c>
      <c t="s">
        <v>9959</v>
      </c>
      <c t="s">
        <v>3662</v>
      </c>
      <c t="s">
        <v>59858</v>
      </c>
      <c s="3">
        <v>59616</v>
      </c>
      <c s="3">
        <v>59616</v>
      </c>
      <c s="3">
        <v>45256</v>
      </c>
      <c>
        <v>0</v>
      </c>
      <c s="3">
        <v>0</v>
      </c>
      <c s="3">
        <v>1256.86</v>
      </c>
      <c s="3">
        <v>59616</v>
      </c>
      <c r="O5579" s="1" t="str">
        <f ca="1">HYPERLINK("https://web.datatree.com/?/property?propertyId=34209734", "https://web.datatree.com/?/property?propertyId=34209734")</f>
        <v>https://web.datatree.com/?/property?propertyId=34209734</v>
      </c>
      <c r="Q5579" t="s">
        <v>316</v>
      </c>
      <c>
        <v>0.344</v>
      </c>
      <c t="s">
        <v>14479</v>
      </c>
      <c t="s">
        <v>59101</v>
      </c>
      <c t="s">
        <v>56439</v>
      </c>
      <c r="X5579" t="s">
        <v>39790</v>
      </c>
      <c t="s">
        <v>25017</v>
      </c>
      <c t="s">
        <v>2517</v>
      </c>
      <c t="s">
        <v>39289</v>
      </c>
      <c>
        <v>33909</v>
      </c>
      <c t="s">
        <v>20318</v>
      </c>
      <c t="s">
        <v>48794</v>
      </c>
      <c t="s">
        <v>28687</v>
      </c>
      <c>
        <v>3465</v>
      </c>
      <c r="AI5579" t="s">
        <v>58797</v>
      </c>
      <c t="s">
        <v>24900</v>
      </c>
      <c r="AL5579" t="s">
        <v>55393</v>
      </c>
      <c r="AN5579" t="s">
        <v>39289</v>
      </c>
      <c t="s">
        <v>46035</v>
      </c>
      <c t="s">
        <v>61719</v>
      </c>
      <c t="s">
        <v>3093</v>
      </c>
      <c t="s">
        <v>30241</v>
      </c>
    </row>
    <row>
      <c t="s">
        <v>17594</v>
      </c>
      <c t="s">
        <v>22672</v>
      </c>
      <c t="s">
        <v>51609</v>
      </c>
      <c t="s">
        <v>31140</v>
      </c>
      <c t="s">
        <v>34633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>
        <v>2020</v>
      </c>
      <c>
        <v>1704.02</v>
      </c>
      <c s="1" t="str">
        <f ca="1">HYPERLINK("https://web.datatree.com/?/property?propertyId=34209815", "https://web.datatree.com/?/property?propertyId=34209815")</f>
        <v>https://web.datatree.com/?/property?propertyId=34209815</v>
      </c>
      <c r="Q5580" t="s">
        <v>316</v>
      </c>
      <c>
        <v>0.241</v>
      </c>
      <c t="s">
        <v>6175</v>
      </c>
      <c t="s">
        <v>47922</v>
      </c>
      <c t="s">
        <v>49265</v>
      </c>
      <c t="s">
        <v>52701</v>
      </c>
      <c t="s">
        <v>49265</v>
      </c>
      <c t="s">
        <v>34161</v>
      </c>
      <c t="s">
        <v>14917</v>
      </c>
      <c t="s">
        <v>2517</v>
      </c>
      <c t="s">
        <v>39289</v>
      </c>
      <c>
        <v>33909</v>
      </c>
      <c>
        <v>33909</v>
      </c>
      <c t="s">
        <v>48794</v>
      </c>
      <c t="s">
        <v>23257</v>
      </c>
      <c>
        <v>104</v>
      </c>
      <c r="AI5580" t="s">
        <v>56612</v>
      </c>
      <c t="s">
        <v>31192</v>
      </c>
      <c r="AL5580" t="s">
        <v>11369</v>
      </c>
      <c r="AN5580" t="s">
        <v>39289</v>
      </c>
      <c t="s">
        <v>17592</v>
      </c>
      <c t="s">
        <v>48506</v>
      </c>
      <c t="s">
        <v>3093</v>
      </c>
      <c t="s">
        <v>2365</v>
      </c>
    </row>
    <row>
      <c t="s">
        <v>17594</v>
      </c>
      <c t="s">
        <v>15407</v>
      </c>
      <c t="s">
        <v>29777</v>
      </c>
      <c t="s">
        <v>2008</v>
      </c>
      <c t="s">
        <v>5680</v>
      </c>
      <c s="3">
        <v>13346</v>
      </c>
      <c s="3">
        <v>13346</v>
      </c>
      <c s="3">
        <v>4730</v>
      </c>
      <c>
        <v>0</v>
      </c>
      <c s="3">
        <v>0</v>
      </c>
      <c s="3">
        <v>115.05</v>
      </c>
      <c s="3">
        <v>13346</v>
      </c>
      <c r="O5581" s="1" t="str">
        <f ca="1">HYPERLINK("https://web.datatree.com/?/property?propertyId=34210051", "https://web.datatree.com/?/property?propertyId=34210051")</f>
        <v>https://web.datatree.com/?/property?propertyId=34210051</v>
      </c>
      <c r="Q5581" t="s">
        <v>316</v>
      </c>
      <c>
        <v>0.138</v>
      </c>
      <c r="U5581" t="s">
        <v>57309</v>
      </c>
      <c r="W5581" t="s">
        <v>62977</v>
      </c>
      <c t="s">
        <v>53677</v>
      </c>
      <c t="s">
        <v>44379</v>
      </c>
      <c t="s">
        <v>65059</v>
      </c>
      <c t="s">
        <v>39289</v>
      </c>
      <c>
        <v>33907</v>
      </c>
      <c>
        <v>33907</v>
      </c>
      <c t="s">
        <v>48794</v>
      </c>
      <c t="s">
        <v>51280</v>
      </c>
      <c>
        <v>12081</v>
      </c>
      <c r="AI5581" t="s">
        <v>62827</v>
      </c>
      <c t="s">
        <v>20615</v>
      </c>
      <c>
        <v>437</v>
      </c>
      <c t="s">
        <v>2960</v>
      </c>
      <c t="s">
        <v>19621</v>
      </c>
      <c t="s">
        <v>14798</v>
      </c>
      <c t="s">
        <v>9298</v>
      </c>
      <c t="s">
        <v>8434</v>
      </c>
      <c t="s">
        <v>3093</v>
      </c>
      <c t="s">
        <v>15122</v>
      </c>
    </row>
    <row>
      <c t="s">
        <v>17594</v>
      </c>
      <c t="s">
        <v>8300</v>
      </c>
      <c t="s">
        <v>13146</v>
      </c>
      <c t="s">
        <v>27002</v>
      </c>
      <c t="s">
        <v>6325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2019</v>
      </c>
      <c>
        <v>2790.54</v>
      </c>
      <c s="1" t="str">
        <f ca="1">HYPERLINK("https://web.datatree.com/?/property?propertyId=34210149", "https://web.datatree.com/?/property?propertyId=34210149")</f>
        <v>https://web.datatree.com/?/property?propertyId=34210149</v>
      </c>
      <c r="Q5582" t="s">
        <v>316</v>
      </c>
      <c>
        <v>0.23</v>
      </c>
      <c t="s">
        <v>6175</v>
      </c>
      <c t="s">
        <v>42212</v>
      </c>
      <c t="s">
        <v>44980</v>
      </c>
      <c t="s">
        <v>22788</v>
      </c>
      <c t="s">
        <v>44980</v>
      </c>
      <c t="s">
        <v>51821</v>
      </c>
      <c t="s">
        <v>25017</v>
      </c>
      <c t="s">
        <v>2517</v>
      </c>
      <c t="s">
        <v>39289</v>
      </c>
      <c>
        <v>33909</v>
      </c>
      <c t="s">
        <v>47131</v>
      </c>
      <c t="s">
        <v>48794</v>
      </c>
      <c t="s">
        <v>65487</v>
      </c>
      <c>
        <v>15696</v>
      </c>
      <c r="AI5582" t="s">
        <v>15362</v>
      </c>
      <c t="s">
        <v>45393</v>
      </c>
      <c r="AL5582" t="s">
        <v>26354</v>
      </c>
      <c r="AN5582" t="s">
        <v>50829</v>
      </c>
      <c t="s">
        <v>4229</v>
      </c>
      <c t="s">
        <v>22455</v>
      </c>
      <c t="s">
        <v>3093</v>
      </c>
      <c t="s">
        <v>50046</v>
      </c>
    </row>
    <row>
      <c t="s">
        <v>17594</v>
      </c>
      <c t="s">
        <v>24087</v>
      </c>
      <c t="s">
        <v>13885</v>
      </c>
      <c t="s">
        <v>60172</v>
      </c>
      <c t="s">
        <v>28961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5583" s="1" t="str">
        <f ca="1">HYPERLINK("https://web.datatree.com/?/property?propertyId=34210274", "https://web.datatree.com/?/property?propertyId=34210274")</f>
        <v>https://web.datatree.com/?/property?propertyId=34210274</v>
      </c>
      <c r="Q5583" t="s">
        <v>316</v>
      </c>
      <c>
        <v>0.244</v>
      </c>
      <c t="s">
        <v>6175</v>
      </c>
      <c t="s">
        <v>2140</v>
      </c>
      <c t="s">
        <v>47908</v>
      </c>
      <c t="s">
        <v>66761</v>
      </c>
      <c t="s">
        <v>47908</v>
      </c>
      <c t="s">
        <v>62117</v>
      </c>
      <c t="s">
        <v>49122</v>
      </c>
      <c t="s">
        <v>2517</v>
      </c>
      <c t="s">
        <v>39289</v>
      </c>
      <c>
        <v>33909</v>
      </c>
      <c t="s">
        <v>6975</v>
      </c>
      <c t="s">
        <v>48794</v>
      </c>
      <c t="s">
        <v>23798</v>
      </c>
      <c>
        <v>3411</v>
      </c>
      <c r="AI5583" t="s">
        <v>49772</v>
      </c>
      <c t="s">
        <v>24900</v>
      </c>
      <c r="AL5583" t="s">
        <v>63097</v>
      </c>
      <c r="AN5583" t="s">
        <v>22275</v>
      </c>
      <c t="s">
        <v>48691</v>
      </c>
      <c t="s">
        <v>53800</v>
      </c>
      <c t="s">
        <v>3093</v>
      </c>
      <c t="s">
        <v>47272</v>
      </c>
    </row>
    <row>
      <c t="s">
        <v>42103</v>
      </c>
      <c t="s">
        <v>7486</v>
      </c>
      <c t="s">
        <v>51397</v>
      </c>
      <c t="s">
        <v>51519</v>
      </c>
      <c t="s">
        <v>10760</v>
      </c>
      <c s="3">
        <v>7700</v>
      </c>
      <c s="3">
        <v>7700</v>
      </c>
      <c s="3">
        <v>7700</v>
      </c>
      <c>
        <v>0</v>
      </c>
      <c s="3">
        <v>0</v>
      </c>
      <c s="3">
        <v>561.47</v>
      </c>
      <c s="3">
        <v>7700</v>
      </c>
      <c r="O5584" s="1" t="str">
        <f ca="1">HYPERLINK("https://web.datatree.com/?/property?propertyId=34210448", "https://web.datatree.com/?/property?propertyId=34210448")</f>
        <v>https://web.datatree.com/?/property?propertyId=34210448</v>
      </c>
      <c r="Q5584" t="s">
        <v>316</v>
      </c>
      <c>
        <v>0.249</v>
      </c>
      <c t="s">
        <v>6175</v>
      </c>
      <c t="s">
        <v>49241</v>
      </c>
      <c t="s">
        <v>50067</v>
      </c>
      <c r="X5584" t="s">
        <v>57753</v>
      </c>
      <c t="s">
        <v>14534</v>
      </c>
      <c t="s">
        <v>2517</v>
      </c>
      <c t="s">
        <v>39289</v>
      </c>
      <c>
        <v>33909</v>
      </c>
      <c t="s">
        <v>59709</v>
      </c>
      <c t="s">
        <v>48794</v>
      </c>
      <c t="s">
        <v>1205</v>
      </c>
      <c r="AI5584" t="s">
        <v>11718</v>
      </c>
      <c r="AL5584" t="s">
        <v>48984</v>
      </c>
      <c r="AN5584" t="s">
        <v>26016</v>
      </c>
      <c t="s">
        <v>31021</v>
      </c>
      <c t="s">
        <v>22417</v>
      </c>
      <c t="s">
        <v>3093</v>
      </c>
      <c t="s">
        <v>52199</v>
      </c>
    </row>
    <row>
      <c t="s">
        <v>17594</v>
      </c>
      <c t="s">
        <v>24546</v>
      </c>
      <c t="s">
        <v>1583</v>
      </c>
      <c t="s">
        <v>20062</v>
      </c>
      <c t="s">
        <v>32340</v>
      </c>
      <c s="3">
        <v>9240</v>
      </c>
      <c s="3">
        <v>9240</v>
      </c>
      <c s="3">
        <v>9240</v>
      </c>
      <c>
        <v>0</v>
      </c>
      <c s="3">
        <v>0</v>
      </c>
      <c s="3">
        <v>773.04</v>
      </c>
      <c s="3">
        <v>9240</v>
      </c>
      <c r="O5585" s="1" t="str">
        <f ca="1">HYPERLINK("https://web.datatree.com/?/property?propertyId=34211149", "https://web.datatree.com/?/property?propertyId=34211149")</f>
        <v>https://web.datatree.com/?/property?propertyId=34211149</v>
      </c>
      <c r="Q5585" t="s">
        <v>316</v>
      </c>
      <c>
        <v>0.301</v>
      </c>
      <c t="s">
        <v>22490</v>
      </c>
      <c t="s">
        <v>50366</v>
      </c>
      <c t="s">
        <v>9201</v>
      </c>
      <c t="s">
        <v>50366</v>
      </c>
      <c r="X5585" t="s">
        <v>14208</v>
      </c>
      <c t="s">
        <v>13829</v>
      </c>
      <c t="s">
        <v>2517</v>
      </c>
      <c t="s">
        <v>39289</v>
      </c>
      <c>
        <v>33909</v>
      </c>
      <c>
        <v>33909</v>
      </c>
      <c t="s">
        <v>48794</v>
      </c>
      <c t="s">
        <v>33585</v>
      </c>
      <c>
        <v>1511</v>
      </c>
      <c r="AH5585" t="s">
        <v>15376</v>
      </c>
      <c t="s">
        <v>61850</v>
      </c>
      <c t="s">
        <v>24900</v>
      </c>
      <c r="AL5585" t="s">
        <v>11713</v>
      </c>
      <c r="AN5585" t="s">
        <v>39289</v>
      </c>
      <c t="s">
        <v>16296</v>
      </c>
      <c t="s">
        <v>53350</v>
      </c>
      <c t="s">
        <v>3093</v>
      </c>
      <c t="s">
        <v>39020</v>
      </c>
    </row>
    <row>
      <c t="s">
        <v>17594</v>
      </c>
      <c t="s">
        <v>9431</v>
      </c>
      <c t="s">
        <v>40566</v>
      </c>
      <c t="s">
        <v>31333</v>
      </c>
      <c t="s">
        <v>14283</v>
      </c>
      <c s="3">
        <v>11250</v>
      </c>
      <c s="3">
        <v>11250</v>
      </c>
      <c s="3">
        <v>5309</v>
      </c>
      <c>
        <v>0</v>
      </c>
      <c s="3">
        <v>0</v>
      </c>
      <c s="3">
        <v>105.54</v>
      </c>
      <c s="3">
        <v>11250</v>
      </c>
      <c r="O5586" s="1" t="str">
        <f ca="1">HYPERLINK("https://web.datatree.com/?/property?propertyId=34211156", "https://web.datatree.com/?/property?propertyId=34211156")</f>
        <v>https://web.datatree.com/?/property?propertyId=34211156</v>
      </c>
      <c r="Q5586" t="s">
        <v>316</v>
      </c>
      <c>
        <v>0.184</v>
      </c>
      <c t="s">
        <v>30497</v>
      </c>
      <c t="s">
        <v>61517</v>
      </c>
      <c t="s">
        <v>18163</v>
      </c>
      <c r="X5586" t="s">
        <v>5290</v>
      </c>
      <c t="s">
        <v>45355</v>
      </c>
      <c t="s">
        <v>65059</v>
      </c>
      <c t="s">
        <v>39289</v>
      </c>
      <c>
        <v>33905</v>
      </c>
      <c>
        <v>33905</v>
      </c>
      <c t="s">
        <v>48794</v>
      </c>
      <c t="s">
        <v>20830</v>
      </c>
      <c>
        <v>8051</v>
      </c>
      <c r="AI5586" t="s">
        <v>17585</v>
      </c>
      <c t="s">
        <v>55842</v>
      </c>
      <c r="AL5586" t="s">
        <v>11713</v>
      </c>
      <c t="s">
        <v>40227</v>
      </c>
      <c t="s">
        <v>39289</v>
      </c>
      <c t="s">
        <v>13744</v>
      </c>
      <c t="s">
        <v>53476</v>
      </c>
      <c t="s">
        <v>3093</v>
      </c>
      <c t="s">
        <v>33305</v>
      </c>
    </row>
    <row>
      <c t="s">
        <v>17594</v>
      </c>
      <c t="s">
        <v>6207</v>
      </c>
      <c t="s">
        <v>5554</v>
      </c>
      <c t="s">
        <v>4482</v>
      </c>
      <c t="s">
        <v>66778</v>
      </c>
      <c s="3">
        <v>8471</v>
      </c>
      <c s="3">
        <v>8471</v>
      </c>
      <c s="3">
        <v>4972</v>
      </c>
      <c>
        <v>0</v>
      </c>
      <c s="3">
        <v>0</v>
      </c>
      <c s="3">
        <v>317.96</v>
      </c>
      <c s="3">
        <v>8471</v>
      </c>
      <c r="O5587" s="1" t="str">
        <f ca="1">HYPERLINK("https://web.datatree.com/?/property?propertyId=34211476", "https://web.datatree.com/?/property?propertyId=34211476")</f>
        <v>https://web.datatree.com/?/property?propertyId=34211476</v>
      </c>
      <c r="Q5587" t="s">
        <v>316</v>
      </c>
      <c>
        <v>0.246</v>
      </c>
      <c t="s">
        <v>5471</v>
      </c>
      <c t="s">
        <v>64043</v>
      </c>
      <c t="s">
        <v>14149</v>
      </c>
      <c r="X5587" t="s">
        <v>38763</v>
      </c>
      <c t="s">
        <v>4082</v>
      </c>
      <c t="s">
        <v>65059</v>
      </c>
      <c t="s">
        <v>39289</v>
      </c>
      <c>
        <v>33905</v>
      </c>
      <c t="s">
        <v>9868</v>
      </c>
      <c t="s">
        <v>48794</v>
      </c>
      <c t="s">
        <v>50870</v>
      </c>
      <c>
        <v>2602</v>
      </c>
      <c r="AI5587" t="s">
        <v>29355</v>
      </c>
      <c t="s">
        <v>41372</v>
      </c>
      <c r="AL5587" t="s">
        <v>25777</v>
      </c>
      <c r="AN5587" t="s">
        <v>39289</v>
      </c>
      <c t="s">
        <v>31837</v>
      </c>
      <c t="s">
        <v>38014</v>
      </c>
      <c t="s">
        <v>3093</v>
      </c>
      <c t="s">
        <v>31523</v>
      </c>
    </row>
    <row>
      <c t="s">
        <v>17594</v>
      </c>
      <c t="s">
        <v>3117</v>
      </c>
      <c t="s">
        <v>56721</v>
      </c>
      <c t="s">
        <v>14106</v>
      </c>
      <c t="s">
        <v>36804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588" s="1" t="str">
        <f ca="1">HYPERLINK("https://web.datatree.com/?/property?propertyId=34211778", "https://web.datatree.com/?/property?propertyId=34211778")</f>
        <v>https://web.datatree.com/?/property?propertyId=34211778</v>
      </c>
      <c r="Q5588" t="s">
        <v>316</v>
      </c>
      <c>
        <v>0.23</v>
      </c>
      <c t="s">
        <v>6175</v>
      </c>
      <c r="U5588" t="s">
        <v>38925</v>
      </c>
      <c t="s">
        <v>46939</v>
      </c>
      <c t="s">
        <v>39927</v>
      </c>
      <c t="s">
        <v>1184</v>
      </c>
      <c t="s">
        <v>34731</v>
      </c>
      <c t="s">
        <v>2517</v>
      </c>
      <c t="s">
        <v>39289</v>
      </c>
      <c>
        <v>33909</v>
      </c>
      <c t="s">
        <v>13166</v>
      </c>
      <c t="s">
        <v>48794</v>
      </c>
      <c t="s">
        <v>48221</v>
      </c>
      <c>
        <v>7539</v>
      </c>
      <c r="AI5588" t="s">
        <v>53258</v>
      </c>
      <c t="s">
        <v>45393</v>
      </c>
      <c r="AL5588" t="s">
        <v>5341</v>
      </c>
      <c t="s">
        <v>13397</v>
      </c>
      <c t="s">
        <v>50917</v>
      </c>
      <c t="s">
        <v>38503</v>
      </c>
      <c t="s">
        <v>31626</v>
      </c>
      <c t="s">
        <v>3093</v>
      </c>
      <c t="s">
        <v>54290</v>
      </c>
    </row>
    <row>
      <c t="s">
        <v>17594</v>
      </c>
      <c t="s">
        <v>22199</v>
      </c>
      <c t="s">
        <v>15385</v>
      </c>
      <c t="s">
        <v>11258</v>
      </c>
      <c t="s">
        <v>34143</v>
      </c>
      <c s="3">
        <v>43230</v>
      </c>
      <c s="3">
        <v>43230</v>
      </c>
      <c s="3">
        <v>15563</v>
      </c>
      <c>
        <v>0</v>
      </c>
      <c s="3">
        <v>0</v>
      </c>
      <c s="3">
        <v>975.41</v>
      </c>
      <c s="3">
        <v>43230</v>
      </c>
      <c r="O5589" s="1" t="str">
        <f ca="1">HYPERLINK("https://web.datatree.com/?/property?propertyId=34212303", "https://web.datatree.com/?/property?propertyId=34212303")</f>
        <v>https://web.datatree.com/?/property?propertyId=34212303</v>
      </c>
      <c r="Q5589" t="s">
        <v>316</v>
      </c>
      <c>
        <v>0.355</v>
      </c>
      <c t="s">
        <v>6175</v>
      </c>
      <c t="s">
        <v>53030</v>
      </c>
      <c t="s">
        <v>46043</v>
      </c>
      <c t="s">
        <v>13844</v>
      </c>
      <c t="s">
        <v>46043</v>
      </c>
      <c t="s">
        <v>31933</v>
      </c>
      <c t="s">
        <v>53663</v>
      </c>
      <c t="s">
        <v>2517</v>
      </c>
      <c t="s">
        <v>39289</v>
      </c>
      <c>
        <v>33909</v>
      </c>
      <c t="s">
        <v>56358</v>
      </c>
      <c t="s">
        <v>48794</v>
      </c>
      <c t="s">
        <v>47158</v>
      </c>
      <c>
        <v>18</v>
      </c>
      <c r="AI5589" t="s">
        <v>60030</v>
      </c>
      <c t="s">
        <v>24900</v>
      </c>
      <c r="AL5589" t="s">
        <v>38829</v>
      </c>
      <c r="AN5589" t="s">
        <v>27747</v>
      </c>
      <c t="s">
        <v>59784</v>
      </c>
      <c t="s">
        <v>27780</v>
      </c>
      <c t="s">
        <v>3093</v>
      </c>
      <c t="s">
        <v>46750</v>
      </c>
    </row>
    <row>
      <c t="s">
        <v>17594</v>
      </c>
      <c t="s">
        <v>39345</v>
      </c>
      <c t="s">
        <v>37816</v>
      </c>
      <c t="s">
        <v>41466</v>
      </c>
      <c t="s">
        <v>35593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590" s="1" t="str">
        <f ca="1">HYPERLINK("https://web.datatree.com/?/property?propertyId=34212539", "https://web.datatree.com/?/property?propertyId=34212539")</f>
        <v>https://web.datatree.com/?/property?propertyId=34212539</v>
      </c>
      <c r="Q5590" t="s">
        <v>316</v>
      </c>
      <c>
        <v>0.23</v>
      </c>
      <c t="s">
        <v>6175</v>
      </c>
      <c t="s">
        <v>19060</v>
      </c>
      <c t="s">
        <v>32403</v>
      </c>
      <c t="s">
        <v>44457</v>
      </c>
      <c t="s">
        <v>32403</v>
      </c>
      <c t="s">
        <v>42760</v>
      </c>
      <c t="s">
        <v>53675</v>
      </c>
      <c t="s">
        <v>2517</v>
      </c>
      <c t="s">
        <v>39289</v>
      </c>
      <c>
        <v>33909</v>
      </c>
      <c t="s">
        <v>63468</v>
      </c>
      <c t="s">
        <v>48794</v>
      </c>
      <c t="s">
        <v>38956</v>
      </c>
      <c t="s">
        <v>46766</v>
      </c>
      <c r="AI5590" t="s">
        <v>62987</v>
      </c>
      <c r="AL5590" t="s">
        <v>19762</v>
      </c>
      <c t="s">
        <v>19762</v>
      </c>
      <c t="s">
        <v>9533</v>
      </c>
      <c t="s">
        <v>50003</v>
      </c>
      <c t="s">
        <v>18692</v>
      </c>
      <c t="s">
        <v>3093</v>
      </c>
      <c t="s">
        <v>38296</v>
      </c>
    </row>
    <row>
      <c t="s">
        <v>17594</v>
      </c>
      <c t="s">
        <v>28197</v>
      </c>
      <c t="s">
        <v>40136</v>
      </c>
      <c t="s">
        <v>60772</v>
      </c>
      <c t="s">
        <v>61616</v>
      </c>
      <c s="3">
        <v>8400</v>
      </c>
      <c s="3">
        <v>8400</v>
      </c>
      <c s="3">
        <v>8400</v>
      </c>
      <c>
        <v>0</v>
      </c>
      <c s="3">
        <v>0</v>
      </c>
      <c s="3">
        <v>683.32</v>
      </c>
      <c s="3">
        <v>8400</v>
      </c>
      <c r="O5591" s="1" t="str">
        <f ca="1">HYPERLINK("https://web.datatree.com/?/property?propertyId=34213066", "https://web.datatree.com/?/property?propertyId=34213066")</f>
        <v>https://web.datatree.com/?/property?propertyId=34213066</v>
      </c>
      <c r="Q5591" t="s">
        <v>316</v>
      </c>
      <c>
        <v>0.23</v>
      </c>
      <c t="s">
        <v>6175</v>
      </c>
      <c t="s">
        <v>7107</v>
      </c>
      <c t="s">
        <v>48896</v>
      </c>
      <c t="s">
        <v>26023</v>
      </c>
      <c t="s">
        <v>48896</v>
      </c>
      <c t="s">
        <v>66988</v>
      </c>
      <c t="s">
        <v>39777</v>
      </c>
      <c t="s">
        <v>2517</v>
      </c>
      <c t="s">
        <v>39289</v>
      </c>
      <c>
        <v>33909</v>
      </c>
      <c t="s">
        <v>1753</v>
      </c>
      <c t="s">
        <v>48794</v>
      </c>
      <c t="s">
        <v>33643</v>
      </c>
      <c>
        <v>209</v>
      </c>
      <c r="AI5591" t="s">
        <v>20824</v>
      </c>
      <c r="AL5591" t="s">
        <v>38164</v>
      </c>
      <c r="AN5591" t="s">
        <v>18236</v>
      </c>
      <c t="s">
        <v>6208</v>
      </c>
      <c t="s">
        <v>35354</v>
      </c>
      <c t="s">
        <v>3093</v>
      </c>
      <c t="s">
        <v>2056</v>
      </c>
    </row>
    <row>
      <c t="s">
        <v>17594</v>
      </c>
      <c t="s">
        <v>61627</v>
      </c>
      <c t="s">
        <v>65447</v>
      </c>
      <c t="s">
        <v>29489</v>
      </c>
      <c t="s">
        <v>1732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592" s="1" t="str">
        <f ca="1">HYPERLINK("https://web.datatree.com/?/property?propertyId=34213896", "https://web.datatree.com/?/property?propertyId=34213896")</f>
        <v>https://web.datatree.com/?/property?propertyId=34213896</v>
      </c>
      <c r="Q5592" t="s">
        <v>316</v>
      </c>
      <c>
        <v>0.229</v>
      </c>
      <c t="s">
        <v>42044</v>
      </c>
      <c t="s">
        <v>66842</v>
      </c>
      <c t="s">
        <v>20063</v>
      </c>
      <c t="s">
        <v>36061</v>
      </c>
      <c t="s">
        <v>20063</v>
      </c>
      <c t="s">
        <v>52795</v>
      </c>
      <c t="s">
        <v>61865</v>
      </c>
      <c t="s">
        <v>2517</v>
      </c>
      <c t="s">
        <v>39289</v>
      </c>
      <c>
        <v>33909</v>
      </c>
      <c t="s">
        <v>8689</v>
      </c>
      <c t="s">
        <v>48794</v>
      </c>
      <c t="s">
        <v>54098</v>
      </c>
      <c>
        <v>965</v>
      </c>
      <c r="AI5592" t="s">
        <v>53986</v>
      </c>
      <c t="s">
        <v>55842</v>
      </c>
      <c r="AL5592" t="s">
        <v>6492</v>
      </c>
      <c r="AN5592" t="s">
        <v>32657</v>
      </c>
      <c t="s">
        <v>53574</v>
      </c>
      <c t="s">
        <v>11950</v>
      </c>
      <c t="s">
        <v>3093</v>
      </c>
      <c t="s">
        <v>32539</v>
      </c>
    </row>
    <row>
      <c t="s">
        <v>17594</v>
      </c>
      <c t="s">
        <v>8541</v>
      </c>
      <c t="s">
        <v>61886</v>
      </c>
      <c t="s">
        <v>60554</v>
      </c>
      <c t="s">
        <v>32413</v>
      </c>
      <c s="3">
        <v>20472</v>
      </c>
      <c s="3">
        <v>20472</v>
      </c>
      <c s="3">
        <v>9130</v>
      </c>
      <c>
        <v>0</v>
      </c>
      <c s="3">
        <v>0</v>
      </c>
      <c s="3">
        <v>585.72</v>
      </c>
      <c s="3">
        <v>20472</v>
      </c>
      <c r="O5593" s="1" t="str">
        <f ca="1">HYPERLINK("https://web.datatree.com/?/property?propertyId=34213997", "https://web.datatree.com/?/property?propertyId=34213997")</f>
        <v>https://web.datatree.com/?/property?propertyId=34213997</v>
      </c>
      <c r="Q5593" t="s">
        <v>316</v>
      </c>
      <c>
        <v>0.237</v>
      </c>
      <c t="s">
        <v>45031</v>
      </c>
      <c t="s">
        <v>25010</v>
      </c>
      <c t="s">
        <v>45794</v>
      </c>
      <c r="X5593" t="s">
        <v>6457</v>
      </c>
      <c t="s">
        <v>47150</v>
      </c>
      <c t="s">
        <v>2517</v>
      </c>
      <c t="s">
        <v>39289</v>
      </c>
      <c>
        <v>33909</v>
      </c>
      <c t="s">
        <v>63619</v>
      </c>
      <c t="s">
        <v>48794</v>
      </c>
      <c t="s">
        <v>38528</v>
      </c>
      <c>
        <v>1554</v>
      </c>
      <c r="AI5593" t="s">
        <v>58404</v>
      </c>
      <c t="s">
        <v>24900</v>
      </c>
      <c r="AL5593" t="s">
        <v>11145</v>
      </c>
      <c t="s">
        <v>11145</v>
      </c>
      <c t="s">
        <v>65451</v>
      </c>
      <c t="s">
        <v>6965</v>
      </c>
      <c t="s">
        <v>12399</v>
      </c>
      <c t="s">
        <v>3093</v>
      </c>
      <c t="s">
        <v>27452</v>
      </c>
    </row>
    <row>
      <c t="s">
        <v>17594</v>
      </c>
      <c t="s">
        <v>18944</v>
      </c>
      <c t="s">
        <v>40899</v>
      </c>
      <c t="s">
        <v>27372</v>
      </c>
      <c t="s">
        <v>1997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5594" s="1" t="str">
        <f ca="1">HYPERLINK("https://web.datatree.com/?/property?propertyId=34214237", "https://web.datatree.com/?/property?propertyId=34214237")</f>
        <v>https://web.datatree.com/?/property?propertyId=34214237</v>
      </c>
      <c r="Q5594" t="s">
        <v>316</v>
      </c>
      <c>
        <v>0.259</v>
      </c>
      <c t="s">
        <v>5471</v>
      </c>
      <c t="s">
        <v>15214</v>
      </c>
      <c t="s">
        <v>40821</v>
      </c>
      <c t="s">
        <v>23659</v>
      </c>
      <c t="s">
        <v>40821</v>
      </c>
      <c t="s">
        <v>57440</v>
      </c>
      <c t="s">
        <v>58047</v>
      </c>
      <c t="s">
        <v>65059</v>
      </c>
      <c t="s">
        <v>39289</v>
      </c>
      <c>
        <v>33905</v>
      </c>
      <c t="s">
        <v>4662</v>
      </c>
      <c t="s">
        <v>48794</v>
      </c>
      <c t="s">
        <v>52452</v>
      </c>
      <c>
        <v>6755</v>
      </c>
      <c r="AI5594" t="s">
        <v>40312</v>
      </c>
      <c t="s">
        <v>45393</v>
      </c>
      <c t="s">
        <v>25384</v>
      </c>
      <c t="s">
        <v>29515</v>
      </c>
      <c r="AN5594" t="s">
        <v>39289</v>
      </c>
      <c t="s">
        <v>9050</v>
      </c>
      <c t="s">
        <v>3364</v>
      </c>
      <c t="s">
        <v>3093</v>
      </c>
      <c t="s">
        <v>19736</v>
      </c>
    </row>
    <row>
      <c t="s">
        <v>17594</v>
      </c>
      <c t="s">
        <v>5262</v>
      </c>
      <c t="s">
        <v>34501</v>
      </c>
      <c t="s">
        <v>37260</v>
      </c>
      <c t="s">
        <v>23465</v>
      </c>
      <c s="3">
        <v>77968</v>
      </c>
      <c s="3">
        <v>70500</v>
      </c>
      <c s="3">
        <v>74215</v>
      </c>
      <c>
        <v>0</v>
      </c>
      <c s="3">
        <v>0</v>
      </c>
      <c s="3">
        <v>1136.87</v>
      </c>
      <c s="3">
        <v>77968</v>
      </c>
      <c r="O5595" s="1" t="str">
        <f ca="1">HYPERLINK("https://web.datatree.com/?/property?propertyId=34214293", "https://web.datatree.com/?/property?propertyId=34214293")</f>
        <v>https://web.datatree.com/?/property?propertyId=34214293</v>
      </c>
      <c r="Q5595" t="s">
        <v>316</v>
      </c>
      <c>
        <v>0.095</v>
      </c>
      <c t="s">
        <v>26492</v>
      </c>
      <c t="s">
        <v>2140</v>
      </c>
      <c t="s">
        <v>37541</v>
      </c>
      <c t="s">
        <v>4868</v>
      </c>
      <c t="s">
        <v>37541</v>
      </c>
      <c t="s">
        <v>19435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22827</v>
      </c>
      <c>
        <v>6289</v>
      </c>
      <c r="AI5595" t="s">
        <v>66628</v>
      </c>
      <c t="s">
        <v>45620</v>
      </c>
      <c r="AL5595" t="s">
        <v>62170</v>
      </c>
      <c t="s">
        <v>40227</v>
      </c>
      <c t="s">
        <v>51137</v>
      </c>
      <c t="s">
        <v>58008</v>
      </c>
      <c t="s">
        <v>38014</v>
      </c>
      <c t="s">
        <v>3093</v>
      </c>
      <c t="s">
        <v>35774</v>
      </c>
    </row>
    <row>
      <c t="s">
        <v>17594</v>
      </c>
      <c t="s">
        <v>23451</v>
      </c>
      <c t="s">
        <v>2157</v>
      </c>
      <c t="s">
        <v>40027</v>
      </c>
      <c t="s">
        <v>31938</v>
      </c>
      <c s="3">
        <v>12544</v>
      </c>
      <c s="3">
        <v>12544</v>
      </c>
      <c s="3">
        <v>7700</v>
      </c>
      <c>
        <v>0</v>
      </c>
      <c s="3">
        <v>0</v>
      </c>
      <c s="3">
        <v>343.25</v>
      </c>
      <c s="3">
        <v>12544</v>
      </c>
      <c r="O5596" s="1" t="str">
        <f ca="1">HYPERLINK("https://web.datatree.com/?/property?propertyId=34214978", "https://web.datatree.com/?/property?propertyId=34214978")</f>
        <v>https://web.datatree.com/?/property?propertyId=34214978</v>
      </c>
      <c r="Q5596" t="s">
        <v>316</v>
      </c>
      <c>
        <v>0.309</v>
      </c>
      <c t="s">
        <v>37489</v>
      </c>
      <c t="s">
        <v>60465</v>
      </c>
      <c t="s">
        <v>50417</v>
      </c>
      <c r="X5596" t="s">
        <v>55605</v>
      </c>
      <c t="s">
        <v>20086</v>
      </c>
      <c t="s">
        <v>65059</v>
      </c>
      <c t="s">
        <v>39289</v>
      </c>
      <c>
        <v>33905</v>
      </c>
      <c>
        <v>33905</v>
      </c>
      <c t="s">
        <v>48794</v>
      </c>
      <c t="s">
        <v>33327</v>
      </c>
      <c>
        <v>7550</v>
      </c>
      <c r="AI5596" t="s">
        <v>20141</v>
      </c>
      <c t="s">
        <v>835</v>
      </c>
      <c>
        <v>1</v>
      </c>
      <c t="s">
        <v>63982</v>
      </c>
      <c t="s">
        <v>63982</v>
      </c>
      <c t="s">
        <v>65451</v>
      </c>
      <c t="s">
        <v>22676</v>
      </c>
      <c t="s">
        <v>53350</v>
      </c>
      <c t="s">
        <v>3093</v>
      </c>
      <c t="s">
        <v>6450</v>
      </c>
    </row>
    <row>
      <c t="s">
        <v>17594</v>
      </c>
      <c t="s">
        <v>55214</v>
      </c>
      <c t="s">
        <v>40365</v>
      </c>
      <c t="s">
        <v>24366</v>
      </c>
      <c t="s">
        <v>54278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5597" s="1" t="str">
        <f ca="1">HYPERLINK("https://web.datatree.com/?/property?propertyId=34215263", "https://web.datatree.com/?/property?propertyId=34215263")</f>
        <v>https://web.datatree.com/?/property?propertyId=34215263</v>
      </c>
      <c r="Q5597" t="s">
        <v>316</v>
      </c>
      <c>
        <v>0.23</v>
      </c>
      <c t="s">
        <v>6175</v>
      </c>
      <c t="s">
        <v>55372</v>
      </c>
      <c t="s">
        <v>24967</v>
      </c>
      <c r="X5597" t="s">
        <v>10084</v>
      </c>
      <c t="s">
        <v>60363</v>
      </c>
      <c t="s">
        <v>2517</v>
      </c>
      <c t="s">
        <v>39289</v>
      </c>
      <c>
        <v>33909</v>
      </c>
      <c t="s">
        <v>28206</v>
      </c>
      <c t="s">
        <v>48794</v>
      </c>
      <c t="s">
        <v>54067</v>
      </c>
      <c>
        <v>10622</v>
      </c>
      <c r="AI5597" t="s">
        <v>47121</v>
      </c>
      <c t="s">
        <v>45393</v>
      </c>
      <c r="AL5597" t="s">
        <v>31245</v>
      </c>
      <c r="AN5597" t="s">
        <v>65451</v>
      </c>
      <c t="s">
        <v>53323</v>
      </c>
      <c t="s">
        <v>61719</v>
      </c>
      <c t="s">
        <v>3093</v>
      </c>
      <c t="s">
        <v>19258</v>
      </c>
    </row>
    <row>
      <c t="s">
        <v>17594</v>
      </c>
      <c t="s">
        <v>57913</v>
      </c>
      <c t="s">
        <v>41582</v>
      </c>
      <c t="s">
        <v>59500</v>
      </c>
      <c t="s">
        <v>23666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5598" s="1" t="str">
        <f ca="1">HYPERLINK("https://web.datatree.com/?/property?propertyId=34215749", "https://web.datatree.com/?/property?propertyId=34215749")</f>
        <v>https://web.datatree.com/?/property?propertyId=34215749</v>
      </c>
      <c r="Q5598" t="s">
        <v>316</v>
      </c>
      <c>
        <v>0.239</v>
      </c>
      <c t="s">
        <v>5471</v>
      </c>
      <c t="s">
        <v>552</v>
      </c>
      <c t="s">
        <v>26380</v>
      </c>
      <c t="s">
        <v>52248</v>
      </c>
      <c t="s">
        <v>26380</v>
      </c>
      <c t="s">
        <v>1112</v>
      </c>
      <c t="s">
        <v>7871</v>
      </c>
      <c t="s">
        <v>65059</v>
      </c>
      <c t="s">
        <v>39289</v>
      </c>
      <c>
        <v>33905</v>
      </c>
      <c t="s">
        <v>15421</v>
      </c>
      <c t="s">
        <v>48794</v>
      </c>
      <c t="s">
        <v>33012</v>
      </c>
      <c>
        <v>14637</v>
      </c>
      <c r="AI5598" t="s">
        <v>29738</v>
      </c>
      <c t="s">
        <v>40123</v>
      </c>
      <c r="AL5598" t="s">
        <v>55393</v>
      </c>
      <c r="AN5598" t="s">
        <v>39289</v>
      </c>
      <c t="s">
        <v>18371</v>
      </c>
      <c t="s">
        <v>37774</v>
      </c>
      <c t="s">
        <v>3093</v>
      </c>
      <c t="s">
        <v>34622</v>
      </c>
    </row>
    <row>
      <c t="s">
        <v>17594</v>
      </c>
      <c t="s">
        <v>8810</v>
      </c>
      <c s="7" t="s">
        <v>14325</v>
      </c>
      <c t="s">
        <v>52815</v>
      </c>
      <c t="s">
        <v>2582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5599" s="1" t="str">
        <f ca="1">HYPERLINK("https://web.datatree.com/?/property?propertyId=34215781", "https://web.datatree.com/?/property?propertyId=34215781")</f>
        <v>https://web.datatree.com/?/property?propertyId=34215781</v>
      </c>
      <c r="Q5599" t="s">
        <v>316</v>
      </c>
      <c>
        <v>0.23</v>
      </c>
      <c t="s">
        <v>6175</v>
      </c>
      <c t="s">
        <v>35571</v>
      </c>
      <c t="s">
        <v>33422</v>
      </c>
      <c r="X5599" t="s">
        <v>47127</v>
      </c>
      <c t="s">
        <v>2626</v>
      </c>
      <c t="s">
        <v>2517</v>
      </c>
      <c t="s">
        <v>39289</v>
      </c>
      <c>
        <v>33909</v>
      </c>
      <c t="s">
        <v>26230</v>
      </c>
      <c t="s">
        <v>48794</v>
      </c>
      <c t="s">
        <v>45458</v>
      </c>
      <c>
        <v>5</v>
      </c>
      <c r="AI5599" t="s">
        <v>16164</v>
      </c>
      <c t="s">
        <v>31192</v>
      </c>
      <c r="AL5599" t="s">
        <v>27522</v>
      </c>
      <c r="AN5599" t="s">
        <v>26016</v>
      </c>
      <c t="s">
        <v>59307</v>
      </c>
      <c t="s">
        <v>62830</v>
      </c>
      <c t="s">
        <v>3093</v>
      </c>
      <c s="7" t="s">
        <v>42052</v>
      </c>
    </row>
    <row>
      <c t="s">
        <v>17594</v>
      </c>
      <c t="s">
        <v>2038</v>
      </c>
      <c t="s">
        <v>28734</v>
      </c>
      <c t="s">
        <v>25313</v>
      </c>
      <c t="s">
        <v>38195</v>
      </c>
      <c s="3">
        <v>39960</v>
      </c>
      <c s="3">
        <v>39960</v>
      </c>
      <c s="3">
        <v>28551</v>
      </c>
      <c>
        <v>0</v>
      </c>
      <c s="3">
        <v>0</v>
      </c>
      <c s="3">
        <v>460.06</v>
      </c>
      <c s="3">
        <v>39960</v>
      </c>
      <c r="O5600" s="1" t="str">
        <f ca="1">HYPERLINK("https://web.datatree.com/?/property?propertyId=34215848", "https://web.datatree.com/?/property?propertyId=34215848")</f>
        <v>https://web.datatree.com/?/property?propertyId=34215848</v>
      </c>
      <c r="Q5600" t="s">
        <v>316</v>
      </c>
      <c>
        <v>0.041</v>
      </c>
      <c t="s">
        <v>45526</v>
      </c>
      <c t="s">
        <v>10451</v>
      </c>
      <c t="s">
        <v>52128</v>
      </c>
      <c t="s">
        <v>45627</v>
      </c>
      <c t="s">
        <v>35298</v>
      </c>
      <c t="s">
        <v>10511</v>
      </c>
      <c t="s">
        <v>33750</v>
      </c>
      <c t="s">
        <v>65059</v>
      </c>
      <c t="s">
        <v>39289</v>
      </c>
      <c>
        <v>33908</v>
      </c>
      <c t="s">
        <v>5938</v>
      </c>
      <c t="s">
        <v>48794</v>
      </c>
      <c t="s">
        <v>13732</v>
      </c>
      <c>
        <v>1216</v>
      </c>
      <c r="AI5600" t="s">
        <v>42856</v>
      </c>
      <c t="s">
        <v>55910</v>
      </c>
      <c r="AL5600" t="s">
        <v>24954</v>
      </c>
      <c t="s">
        <v>24954</v>
      </c>
      <c t="s">
        <v>19878</v>
      </c>
      <c t="s">
        <v>9016</v>
      </c>
      <c t="s">
        <v>64128</v>
      </c>
      <c t="s">
        <v>3093</v>
      </c>
      <c t="s">
        <v>15359</v>
      </c>
    </row>
    <row>
      <c t="s">
        <v>17594</v>
      </c>
      <c t="s">
        <v>58839</v>
      </c>
      <c t="s">
        <v>15040</v>
      </c>
      <c t="s">
        <v>18016</v>
      </c>
      <c t="s">
        <v>12198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5601" s="1" t="str">
        <f ca="1">HYPERLINK("https://web.datatree.com/?/property?propertyId=34215853", "https://web.datatree.com/?/property?propertyId=34215853")</f>
        <v>https://web.datatree.com/?/property?propertyId=34215853</v>
      </c>
      <c r="Q5601" t="s">
        <v>316</v>
      </c>
      <c>
        <v>0.23</v>
      </c>
      <c t="s">
        <v>6175</v>
      </c>
      <c r="U5601" t="s">
        <v>47952</v>
      </c>
      <c r="W5601" t="s">
        <v>49429</v>
      </c>
      <c t="s">
        <v>17041</v>
      </c>
      <c t="s">
        <v>34731</v>
      </c>
      <c t="s">
        <v>2517</v>
      </c>
      <c t="s">
        <v>39289</v>
      </c>
      <c>
        <v>33909</v>
      </c>
      <c t="s">
        <v>47439</v>
      </c>
      <c t="s">
        <v>48794</v>
      </c>
      <c t="s">
        <v>24828</v>
      </c>
      <c>
        <v>1475</v>
      </c>
      <c r="AI5601" t="s">
        <v>28692</v>
      </c>
      <c t="s">
        <v>31192</v>
      </c>
      <c r="AL5601" t="s">
        <v>10990</v>
      </c>
      <c t="s">
        <v>51399</v>
      </c>
      <c t="s">
        <v>17134</v>
      </c>
      <c t="s">
        <v>61629</v>
      </c>
      <c t="s">
        <v>61719</v>
      </c>
      <c t="s">
        <v>3093</v>
      </c>
      <c t="s">
        <v>55822</v>
      </c>
    </row>
    <row>
      <c t="s">
        <v>17594</v>
      </c>
      <c t="s">
        <v>35707</v>
      </c>
      <c t="s">
        <v>22691</v>
      </c>
      <c t="s">
        <v>43206</v>
      </c>
      <c t="s">
        <v>41116</v>
      </c>
      <c s="3">
        <v>8700</v>
      </c>
      <c s="3">
        <v>8700</v>
      </c>
      <c s="3">
        <v>8700</v>
      </c>
      <c>
        <v>0</v>
      </c>
      <c s="3">
        <v>0</v>
      </c>
      <c s="3">
        <v>585.26</v>
      </c>
      <c s="3">
        <v>8700</v>
      </c>
      <c r="O5602" s="1" t="str">
        <f ca="1">HYPERLINK("https://web.datatree.com/?/property?propertyId=34216091", "https://web.datatree.com/?/property?propertyId=34216091")</f>
        <v>https://web.datatree.com/?/property?propertyId=34216091</v>
      </c>
      <c r="Q5602" t="s">
        <v>316</v>
      </c>
      <c>
        <v>0.241</v>
      </c>
      <c t="s">
        <v>6175</v>
      </c>
      <c t="s">
        <v>32228</v>
      </c>
      <c t="s">
        <v>18006</v>
      </c>
      <c r="X5602" t="s">
        <v>65716</v>
      </c>
      <c t="s">
        <v>2619</v>
      </c>
      <c t="s">
        <v>2517</v>
      </c>
      <c t="s">
        <v>39289</v>
      </c>
      <c>
        <v>33909</v>
      </c>
      <c t="s">
        <v>49196</v>
      </c>
      <c t="s">
        <v>48794</v>
      </c>
      <c t="s">
        <v>27173</v>
      </c>
      <c>
        <v>8787</v>
      </c>
      <c r="AI5602" t="s">
        <v>9770</v>
      </c>
      <c t="s">
        <v>31192</v>
      </c>
      <c>
        <v>3000</v>
      </c>
      <c t="s">
        <v>11713</v>
      </c>
      <c t="s">
        <v>21149</v>
      </c>
      <c t="s">
        <v>39289</v>
      </c>
      <c>
        <v>34108</v>
      </c>
      <c t="s">
        <v>12241</v>
      </c>
      <c t="s">
        <v>3093</v>
      </c>
      <c t="s">
        <v>20220</v>
      </c>
    </row>
    <row>
      <c t="s">
        <v>17594</v>
      </c>
      <c t="s">
        <v>12807</v>
      </c>
      <c t="s">
        <v>46411</v>
      </c>
      <c t="s">
        <v>27936</v>
      </c>
      <c t="s">
        <v>663</v>
      </c>
      <c s="3">
        <v>9900</v>
      </c>
      <c s="3">
        <v>9900</v>
      </c>
      <c s="3">
        <v>9599</v>
      </c>
      <c>
        <v>0</v>
      </c>
      <c s="3">
        <v>0</v>
      </c>
      <c s="3">
        <v>669.91</v>
      </c>
      <c s="3">
        <v>9900</v>
      </c>
      <c r="O5603" s="1" t="str">
        <f ca="1">HYPERLINK("https://web.datatree.com/?/property?propertyId=34216232", "https://web.datatree.com/?/property?propertyId=34216232")</f>
        <v>https://web.datatree.com/?/property?propertyId=34216232</v>
      </c>
      <c r="Q5603" t="s">
        <v>316</v>
      </c>
      <c>
        <v>0.344</v>
      </c>
      <c t="s">
        <v>33269</v>
      </c>
      <c r="U5603" t="s">
        <v>9541</v>
      </c>
      <c r="W5603" t="s">
        <v>10589</v>
      </c>
      <c t="s">
        <v>29652</v>
      </c>
      <c t="s">
        <v>13478</v>
      </c>
      <c t="s">
        <v>2517</v>
      </c>
      <c t="s">
        <v>39289</v>
      </c>
      <c>
        <v>33909</v>
      </c>
      <c t="s">
        <v>13630</v>
      </c>
      <c t="s">
        <v>48794</v>
      </c>
      <c t="s">
        <v>29367</v>
      </c>
      <c>
        <v>20803</v>
      </c>
      <c r="AI5603" t="s">
        <v>47912</v>
      </c>
      <c t="s">
        <v>4985</v>
      </c>
      <c>
        <v>301</v>
      </c>
      <c t="s">
        <v>55393</v>
      </c>
      <c r="AN5603" t="s">
        <v>39289</v>
      </c>
      <c t="s">
        <v>52919</v>
      </c>
      <c t="s">
        <v>35375</v>
      </c>
      <c t="s">
        <v>3093</v>
      </c>
      <c t="s">
        <v>50906</v>
      </c>
    </row>
    <row>
      <c t="s">
        <v>17594</v>
      </c>
      <c t="s">
        <v>61109</v>
      </c>
      <c t="s">
        <v>56109</v>
      </c>
      <c t="s">
        <v>3452</v>
      </c>
      <c t="s">
        <v>14905</v>
      </c>
      <c s="3">
        <v>23012</v>
      </c>
      <c s="3">
        <v>23012</v>
      </c>
      <c s="3">
        <v>23012</v>
      </c>
      <c>
        <v>0</v>
      </c>
      <c s="3">
        <v>0</v>
      </c>
      <c s="3">
        <v>737.96</v>
      </c>
      <c s="3">
        <v>23012</v>
      </c>
      <c>
        <v>2021</v>
      </c>
      <c>
        <v>559.29</v>
      </c>
      <c s="1" t="str">
        <f ca="1">HYPERLINK("https://web.datatree.com/?/property?propertyId=34216437", "https://web.datatree.com/?/property?propertyId=34216437")</f>
        <v>https://web.datatree.com/?/property?propertyId=34216437</v>
      </c>
      <c r="Q5604" t="s">
        <v>316</v>
      </c>
      <c>
        <v>0.23</v>
      </c>
      <c t="s">
        <v>45031</v>
      </c>
      <c r="U5604" t="s">
        <v>7895</v>
      </c>
      <c r="X5604" t="s">
        <v>41085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44721</v>
      </c>
      <c>
        <v>621</v>
      </c>
      <c r="AH5604" t="s">
        <v>60953</v>
      </c>
      <c t="s">
        <v>38550</v>
      </c>
      <c t="s">
        <v>45393</v>
      </c>
      <c r="AL5604" t="s">
        <v>11713</v>
      </c>
      <c r="AN5604" t="s">
        <v>39289</v>
      </c>
      <c t="s">
        <v>38836</v>
      </c>
      <c t="s">
        <v>49695</v>
      </c>
      <c t="s">
        <v>3093</v>
      </c>
      <c t="s">
        <v>66718</v>
      </c>
    </row>
    <row>
      <c t="s">
        <v>17594</v>
      </c>
      <c t="s">
        <v>10992</v>
      </c>
      <c t="s">
        <v>12913</v>
      </c>
      <c t="s">
        <v>42482</v>
      </c>
      <c t="s">
        <v>50358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605" s="1" t="str">
        <f ca="1">HYPERLINK("https://web.datatree.com/?/property?propertyId=34216813", "https://web.datatree.com/?/property?propertyId=34216813")</f>
        <v>https://web.datatree.com/?/property?propertyId=34216813</v>
      </c>
      <c r="Q5605" t="s">
        <v>316</v>
      </c>
      <c>
        <v>0.23</v>
      </c>
      <c t="s">
        <v>22490</v>
      </c>
      <c t="s">
        <v>981</v>
      </c>
      <c t="s">
        <v>20611</v>
      </c>
      <c t="s">
        <v>18053</v>
      </c>
      <c t="s">
        <v>20611</v>
      </c>
      <c t="s">
        <v>59146</v>
      </c>
      <c t="s">
        <v>29190</v>
      </c>
      <c t="s">
        <v>2517</v>
      </c>
      <c t="s">
        <v>39289</v>
      </c>
      <c>
        <v>33909</v>
      </c>
      <c t="s">
        <v>57204</v>
      </c>
      <c t="s">
        <v>48794</v>
      </c>
      <c t="s">
        <v>6601</v>
      </c>
      <c>
        <v>25</v>
      </c>
      <c r="AI5605" t="s">
        <v>15765</v>
      </c>
      <c r="AL5605" t="s">
        <v>43053</v>
      </c>
      <c r="AN5605" t="s">
        <v>32840</v>
      </c>
      <c r="AR5605" t="s">
        <v>10492</v>
      </c>
    </row>
    <row>
      <c t="s">
        <v>17594</v>
      </c>
      <c t="s">
        <v>53761</v>
      </c>
      <c t="s">
        <v>51794</v>
      </c>
      <c t="s">
        <v>52670</v>
      </c>
      <c t="s">
        <v>13616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5606" s="1" t="str">
        <f ca="1">HYPERLINK("https://web.datatree.com/?/property?propertyId=34217192", "https://web.datatree.com/?/property?propertyId=34217192")</f>
        <v>https://web.datatree.com/?/property?propertyId=34217192</v>
      </c>
      <c r="Q5606" t="s">
        <v>316</v>
      </c>
      <c>
        <v>0.23</v>
      </c>
      <c t="s">
        <v>6175</v>
      </c>
      <c t="s">
        <v>50331</v>
      </c>
      <c t="s">
        <v>63970</v>
      </c>
      <c t="s">
        <v>65792</v>
      </c>
      <c t="s">
        <v>63970</v>
      </c>
      <c t="s">
        <v>44305</v>
      </c>
      <c t="s">
        <v>14534</v>
      </c>
      <c t="s">
        <v>2517</v>
      </c>
      <c t="s">
        <v>39289</v>
      </c>
      <c>
        <v>33909</v>
      </c>
      <c t="s">
        <v>37582</v>
      </c>
      <c t="s">
        <v>48794</v>
      </c>
      <c t="s">
        <v>38897</v>
      </c>
      <c>
        <v>5850</v>
      </c>
      <c r="AH5606" t="s">
        <v>6851</v>
      </c>
      <c t="s">
        <v>11572</v>
      </c>
      <c t="s">
        <v>45620</v>
      </c>
      <c r="AL5606" t="s">
        <v>16321</v>
      </c>
      <c r="AN5606" t="s">
        <v>56163</v>
      </c>
      <c t="s">
        <v>28935</v>
      </c>
      <c t="s">
        <v>30106</v>
      </c>
      <c t="s">
        <v>3093</v>
      </c>
      <c t="s">
        <v>59748</v>
      </c>
    </row>
    <row>
      <c t="s">
        <v>17594</v>
      </c>
      <c t="s">
        <v>22729</v>
      </c>
      <c t="s">
        <v>32913</v>
      </c>
      <c t="s">
        <v>66911</v>
      </c>
      <c t="s">
        <v>11385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607" s="1" t="str">
        <f ca="1">HYPERLINK("https://web.datatree.com/?/property?propertyId=34218677", "https://web.datatree.com/?/property?propertyId=34218677")</f>
        <v>https://web.datatree.com/?/property?propertyId=34218677</v>
      </c>
      <c r="Q5607" t="s">
        <v>316</v>
      </c>
      <c>
        <v>0.23</v>
      </c>
      <c t="s">
        <v>22490</v>
      </c>
      <c t="s">
        <v>37826</v>
      </c>
      <c t="s">
        <v>15107</v>
      </c>
      <c t="s">
        <v>10998</v>
      </c>
      <c t="s">
        <v>62119</v>
      </c>
      <c t="s">
        <v>49962</v>
      </c>
      <c t="s">
        <v>22731</v>
      </c>
      <c t="s">
        <v>2517</v>
      </c>
      <c t="s">
        <v>39289</v>
      </c>
      <c>
        <v>33909</v>
      </c>
      <c t="s">
        <v>8445</v>
      </c>
      <c t="s">
        <v>48794</v>
      </c>
      <c t="s">
        <v>26980</v>
      </c>
      <c>
        <v>4</v>
      </c>
      <c r="AI5607" t="s">
        <v>39605</v>
      </c>
      <c t="s">
        <v>31192</v>
      </c>
      <c r="AL5607" t="s">
        <v>23703</v>
      </c>
      <c r="AN5607" t="s">
        <v>26016</v>
      </c>
      <c t="s">
        <v>22116</v>
      </c>
      <c t="s">
        <v>62830</v>
      </c>
      <c t="s">
        <v>3093</v>
      </c>
      <c t="s">
        <v>20172</v>
      </c>
    </row>
    <row>
      <c t="s">
        <v>17594</v>
      </c>
      <c t="s">
        <v>59948</v>
      </c>
      <c t="s">
        <v>43478</v>
      </c>
      <c t="s">
        <v>47976</v>
      </c>
      <c t="s">
        <v>17284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>
        <v>2020</v>
      </c>
      <c>
        <v>1712.91</v>
      </c>
      <c s="1" t="str">
        <f ca="1">HYPERLINK("https://web.datatree.com/?/property?propertyId=34218753", "https://web.datatree.com/?/property?propertyId=34218753")</f>
        <v>https://web.datatree.com/?/property?propertyId=34218753</v>
      </c>
      <c r="Q5608" t="s">
        <v>316</v>
      </c>
      <c>
        <v>0.241</v>
      </c>
      <c t="s">
        <v>6175</v>
      </c>
      <c t="s">
        <v>30490</v>
      </c>
      <c t="s">
        <v>36594</v>
      </c>
      <c t="s">
        <v>19357</v>
      </c>
      <c t="s">
        <v>36594</v>
      </c>
      <c t="s">
        <v>33565</v>
      </c>
      <c t="s">
        <v>55273</v>
      </c>
      <c t="s">
        <v>2517</v>
      </c>
      <c t="s">
        <v>39289</v>
      </c>
      <c>
        <v>33909</v>
      </c>
      <c t="s">
        <v>25254</v>
      </c>
      <c t="s">
        <v>48794</v>
      </c>
      <c t="s">
        <v>22151</v>
      </c>
      <c>
        <v>4505</v>
      </c>
      <c r="AI5608" t="s">
        <v>47150</v>
      </c>
      <c t="s">
        <v>55842</v>
      </c>
      <c r="AL5608" t="s">
        <v>29515</v>
      </c>
      <c t="s">
        <v>29515</v>
      </c>
      <c t="s">
        <v>39289</v>
      </c>
      <c t="s">
        <v>53799</v>
      </c>
      <c t="s">
        <v>51249</v>
      </c>
      <c t="s">
        <v>3093</v>
      </c>
      <c t="s">
        <v>39885</v>
      </c>
    </row>
    <row>
      <c t="s">
        <v>17594</v>
      </c>
      <c t="s">
        <v>41997</v>
      </c>
      <c s="7" t="s">
        <v>15925</v>
      </c>
      <c t="s">
        <v>37598</v>
      </c>
      <c t="s">
        <v>43920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5609" s="1" t="str">
        <f ca="1">HYPERLINK("https://web.datatree.com/?/property?propertyId=34218937", "https://web.datatree.com/?/property?propertyId=34218937")</f>
        <v>https://web.datatree.com/?/property?propertyId=34218937</v>
      </c>
      <c r="Q5609" t="s">
        <v>316</v>
      </c>
      <c>
        <v>0.23</v>
      </c>
      <c t="s">
        <v>6175</v>
      </c>
      <c r="U5609" t="s">
        <v>46696</v>
      </c>
      <c r="W5609" t="s">
        <v>36986</v>
      </c>
      <c t="s">
        <v>2881</v>
      </c>
      <c t="s">
        <v>53675</v>
      </c>
      <c t="s">
        <v>2517</v>
      </c>
      <c t="s">
        <v>39289</v>
      </c>
      <c>
        <v>33909</v>
      </c>
      <c t="s">
        <v>40727</v>
      </c>
      <c t="s">
        <v>48794</v>
      </c>
      <c t="s">
        <v>30024</v>
      </c>
      <c>
        <v>10</v>
      </c>
      <c r="AI5609" t="s">
        <v>31825</v>
      </c>
      <c t="s">
        <v>45393</v>
      </c>
      <c>
        <v>263</v>
      </c>
      <c t="s">
        <v>56008</v>
      </c>
      <c r="AN5609" t="s">
        <v>64022</v>
      </c>
      <c t="s">
        <v>55986</v>
      </c>
      <c t="s">
        <v>31626</v>
      </c>
      <c t="s">
        <v>3093</v>
      </c>
      <c s="7" t="s">
        <v>44771</v>
      </c>
    </row>
    <row>
      <c t="s">
        <v>17594</v>
      </c>
      <c t="s">
        <v>8551</v>
      </c>
      <c t="s">
        <v>45509</v>
      </c>
      <c t="s">
        <v>50609</v>
      </c>
      <c t="s">
        <v>4835</v>
      </c>
      <c s="3">
        <v>92648</v>
      </c>
      <c s="3">
        <v>82500</v>
      </c>
      <c s="3">
        <v>92648</v>
      </c>
      <c>
        <v>0</v>
      </c>
      <c s="3">
        <v>0</v>
      </c>
      <c s="3">
        <v>1391.98</v>
      </c>
      <c s="3">
        <v>92648</v>
      </c>
      <c r="O5610" s="1" t="str">
        <f ca="1">HYPERLINK("https://web.datatree.com/?/property?propertyId=34220613", "https://web.datatree.com/?/property?propertyId=34220613")</f>
        <v>https://web.datatree.com/?/property?propertyId=34220613</v>
      </c>
      <c r="Q5610" t="s">
        <v>316</v>
      </c>
      <c>
        <v>0.1</v>
      </c>
      <c t="s">
        <v>26492</v>
      </c>
      <c t="s">
        <v>24692</v>
      </c>
      <c t="s">
        <v>41697</v>
      </c>
      <c t="s">
        <v>21981</v>
      </c>
      <c t="s">
        <v>41697</v>
      </c>
      <c t="s">
        <v>21891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40409</v>
      </c>
      <c>
        <v>6558</v>
      </c>
      <c r="AI5610" t="s">
        <v>34196</v>
      </c>
      <c t="s">
        <v>45620</v>
      </c>
      <c r="AL5610" t="s">
        <v>30613</v>
      </c>
      <c t="s">
        <v>40227</v>
      </c>
      <c t="s">
        <v>3034</v>
      </c>
      <c t="s">
        <v>20548</v>
      </c>
      <c t="s">
        <v>22455</v>
      </c>
      <c t="s">
        <v>3093</v>
      </c>
      <c t="s">
        <v>42680</v>
      </c>
    </row>
    <row>
      <c t="s">
        <v>17594</v>
      </c>
      <c t="s">
        <v>33357</v>
      </c>
      <c t="s">
        <v>8072</v>
      </c>
      <c t="s">
        <v>43868</v>
      </c>
      <c t="s">
        <v>2134</v>
      </c>
      <c s="3">
        <v>23310</v>
      </c>
      <c s="3">
        <v>23310</v>
      </c>
      <c s="3">
        <v>23310</v>
      </c>
      <c>
        <v>0</v>
      </c>
      <c s="3">
        <v>0</v>
      </c>
      <c s="3">
        <v>837.06</v>
      </c>
      <c s="3">
        <v>23310</v>
      </c>
      <c r="O5611" s="1" t="str">
        <f ca="1">HYPERLINK("https://web.datatree.com/?/property?propertyId=34220752", "https://web.datatree.com/?/property?propertyId=34220752")</f>
        <v>https://web.datatree.com/?/property?propertyId=34220752</v>
      </c>
      <c r="Q5611" t="s">
        <v>316</v>
      </c>
      <c>
        <v>0.344</v>
      </c>
      <c t="s">
        <v>6175</v>
      </c>
      <c t="s">
        <v>55572</v>
      </c>
      <c t="s">
        <v>55791</v>
      </c>
      <c r="X5611" t="s">
        <v>63242</v>
      </c>
      <c t="s">
        <v>66701</v>
      </c>
      <c t="s">
        <v>2517</v>
      </c>
      <c t="s">
        <v>39289</v>
      </c>
      <c>
        <v>33909</v>
      </c>
      <c t="s">
        <v>1603</v>
      </c>
      <c t="s">
        <v>48794</v>
      </c>
      <c t="s">
        <v>26176</v>
      </c>
      <c>
        <v>13863</v>
      </c>
      <c r="AI5611" t="s">
        <v>11005</v>
      </c>
      <c t="s">
        <v>39321</v>
      </c>
      <c r="AL5611" t="s">
        <v>55393</v>
      </c>
      <c t="s">
        <v>49823</v>
      </c>
      <c t="s">
        <v>39289</v>
      </c>
      <c t="s">
        <v>23306</v>
      </c>
      <c t="s">
        <v>61719</v>
      </c>
      <c t="s">
        <v>3093</v>
      </c>
      <c t="s">
        <v>45366</v>
      </c>
    </row>
    <row>
      <c t="s">
        <v>17594</v>
      </c>
      <c t="s">
        <v>14846</v>
      </c>
      <c t="s">
        <v>10169</v>
      </c>
      <c t="s">
        <v>33118</v>
      </c>
      <c t="s">
        <v>9787</v>
      </c>
      <c s="3">
        <v>7200</v>
      </c>
      <c s="3">
        <v>7200</v>
      </c>
      <c s="3">
        <v>7200</v>
      </c>
      <c>
        <v>0</v>
      </c>
      <c s="3">
        <v>0</v>
      </c>
      <c s="3">
        <v>496.24</v>
      </c>
      <c s="3">
        <v>7200</v>
      </c>
      <c r="O5612" s="1" t="str">
        <f ca="1">HYPERLINK("https://web.datatree.com/?/property?propertyId=34221626", "https://web.datatree.com/?/property?propertyId=34221626")</f>
        <v>https://web.datatree.com/?/property?propertyId=34221626</v>
      </c>
      <c r="Q5612" t="s">
        <v>316</v>
      </c>
      <c>
        <v>0.249</v>
      </c>
      <c t="s">
        <v>6175</v>
      </c>
      <c t="s">
        <v>56674</v>
      </c>
      <c t="s">
        <v>31394</v>
      </c>
      <c r="X5612" t="s">
        <v>28675</v>
      </c>
      <c t="s">
        <v>55273</v>
      </c>
      <c t="s">
        <v>2517</v>
      </c>
      <c t="s">
        <v>39289</v>
      </c>
      <c>
        <v>33909</v>
      </c>
      <c>
        <v>33909</v>
      </c>
      <c t="s">
        <v>48794</v>
      </c>
      <c t="s">
        <v>30986</v>
      </c>
      <c>
        <v>520</v>
      </c>
      <c r="AI5612" t="s">
        <v>452</v>
      </c>
      <c t="s">
        <v>31192</v>
      </c>
      <c r="AL5612" t="s">
        <v>3906</v>
      </c>
      <c t="s">
        <v>3906</v>
      </c>
      <c t="s">
        <v>39289</v>
      </c>
      <c t="s">
        <v>53342</v>
      </c>
      <c t="s">
        <v>40826</v>
      </c>
      <c t="s">
        <v>3093</v>
      </c>
      <c t="s">
        <v>52190</v>
      </c>
    </row>
    <row>
      <c t="s">
        <v>42103</v>
      </c>
      <c t="s">
        <v>47617</v>
      </c>
      <c t="s">
        <v>12237</v>
      </c>
      <c t="s">
        <v>48891</v>
      </c>
      <c t="s">
        <v>11451</v>
      </c>
      <c s="3">
        <v>7929</v>
      </c>
      <c s="3">
        <v>7929</v>
      </c>
      <c s="3">
        <v>3678</v>
      </c>
      <c>
        <v>0</v>
      </c>
      <c s="3">
        <v>0</v>
      </c>
      <c s="3">
        <v>78.81</v>
      </c>
      <c s="3">
        <v>7929</v>
      </c>
      <c r="O5613" s="1" t="str">
        <f ca="1">HYPERLINK("https://web.datatree.com/?/property?propertyId=34222574", "https://web.datatree.com/?/property?propertyId=34222574")</f>
        <v>https://web.datatree.com/?/property?propertyId=34222574</v>
      </c>
      <c r="Q5613" t="s">
        <v>316</v>
      </c>
      <c>
        <v>0.189</v>
      </c>
      <c t="s">
        <v>66399</v>
      </c>
      <c t="s">
        <v>56142</v>
      </c>
      <c t="s">
        <v>18470</v>
      </c>
      <c r="X5613" t="s">
        <v>2851</v>
      </c>
      <c t="s">
        <v>13397</v>
      </c>
      <c t="s">
        <v>65059</v>
      </c>
      <c t="s">
        <v>39289</v>
      </c>
      <c>
        <v>33905</v>
      </c>
      <c t="s">
        <v>4102</v>
      </c>
      <c t="s">
        <v>48794</v>
      </c>
      <c t="s">
        <v>28952</v>
      </c>
      <c r="AI5613" t="s">
        <v>55980</v>
      </c>
      <c r="AL5613" t="s">
        <v>55279</v>
      </c>
      <c r="AN5613" t="s">
        <v>65451</v>
      </c>
      <c t="s">
        <v>36425</v>
      </c>
      <c t="s">
        <v>61509</v>
      </c>
      <c t="s">
        <v>3093</v>
      </c>
      <c t="s">
        <v>43666</v>
      </c>
    </row>
    <row>
      <c t="s">
        <v>17594</v>
      </c>
      <c t="s">
        <v>64547</v>
      </c>
      <c t="s">
        <v>52181</v>
      </c>
      <c t="s">
        <v>6900</v>
      </c>
      <c t="s">
        <v>45419</v>
      </c>
      <c s="3">
        <v>12544</v>
      </c>
      <c s="3">
        <v>12544</v>
      </c>
      <c s="3">
        <v>4972</v>
      </c>
      <c>
        <v>0</v>
      </c>
      <c s="3">
        <v>0</v>
      </c>
      <c s="3">
        <v>319.26</v>
      </c>
      <c s="3">
        <v>12544</v>
      </c>
      <c r="O5614" s="1" t="str">
        <f ca="1">HYPERLINK("https://web.datatree.com/?/property?propertyId=34223074", "https://web.datatree.com/?/property?propertyId=34223074")</f>
        <v>https://web.datatree.com/?/property?propertyId=34223074</v>
      </c>
      <c r="Q5614" t="s">
        <v>316</v>
      </c>
      <c>
        <v>0.261</v>
      </c>
      <c t="s">
        <v>5471</v>
      </c>
      <c t="s">
        <v>65826</v>
      </c>
      <c t="s">
        <v>54247</v>
      </c>
      <c t="s">
        <v>56223</v>
      </c>
      <c t="s">
        <v>15952</v>
      </c>
      <c t="s">
        <v>16026</v>
      </c>
      <c t="s">
        <v>16121</v>
      </c>
      <c t="s">
        <v>65059</v>
      </c>
      <c t="s">
        <v>39289</v>
      </c>
      <c>
        <v>33905</v>
      </c>
      <c t="s">
        <v>30912</v>
      </c>
      <c t="s">
        <v>48794</v>
      </c>
      <c t="s">
        <v>7088</v>
      </c>
      <c>
        <v>5990</v>
      </c>
      <c r="AI5614" t="s">
        <v>5105</v>
      </c>
      <c t="s">
        <v>45393</v>
      </c>
      <c r="AL5614" t="s">
        <v>50120</v>
      </c>
      <c t="s">
        <v>50120</v>
      </c>
      <c t="s">
        <v>14509</v>
      </c>
      <c t="s">
        <v>25600</v>
      </c>
      <c t="s">
        <v>55071</v>
      </c>
      <c t="s">
        <v>3093</v>
      </c>
      <c t="s">
        <v>43015</v>
      </c>
    </row>
    <row>
      <c t="s">
        <v>17594</v>
      </c>
      <c t="s">
        <v>21471</v>
      </c>
      <c t="s">
        <v>43444</v>
      </c>
      <c t="s">
        <v>12242</v>
      </c>
      <c t="s">
        <v>18941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5615" s="1" t="str">
        <f ca="1">HYPERLINK("https://web.datatree.com/?/property?propertyId=34224012", "https://web.datatree.com/?/property?propertyId=34224012")</f>
        <v>https://web.datatree.com/?/property?propertyId=34224012</v>
      </c>
      <c r="Q5615" t="s">
        <v>316</v>
      </c>
      <c>
        <v>0.23</v>
      </c>
      <c t="s">
        <v>22490</v>
      </c>
      <c t="s">
        <v>28873</v>
      </c>
      <c t="s">
        <v>5267</v>
      </c>
      <c r="X5615" t="s">
        <v>45164</v>
      </c>
      <c t="s">
        <v>52171</v>
      </c>
      <c t="s">
        <v>2517</v>
      </c>
      <c t="s">
        <v>39289</v>
      </c>
      <c>
        <v>33909</v>
      </c>
      <c t="s">
        <v>33914</v>
      </c>
      <c t="s">
        <v>48794</v>
      </c>
      <c t="s">
        <v>3883</v>
      </c>
      <c r="AI5615" t="s">
        <v>44351</v>
      </c>
      <c t="s">
        <v>22297</v>
      </c>
      <c r="AL5615" t="s">
        <v>54287</v>
      </c>
      <c t="s">
        <v>36001</v>
      </c>
      <c t="s">
        <v>17134</v>
      </c>
      <c>
        <v>45231</v>
      </c>
      <c r="AQ5615" t="s">
        <v>3093</v>
      </c>
      <c t="s">
        <v>14417</v>
      </c>
    </row>
    <row>
      <c t="s">
        <v>17594</v>
      </c>
      <c t="s">
        <v>1375</v>
      </c>
      <c t="s">
        <v>39085</v>
      </c>
      <c t="s">
        <v>55945</v>
      </c>
      <c t="s">
        <v>59501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>
        <v>2021</v>
      </c>
      <c>
        <v>599.85</v>
      </c>
      <c s="1" t="str">
        <f ca="1">HYPERLINK("https://web.datatree.com/?/property?propertyId=34224288", "https://web.datatree.com/?/property?propertyId=34224288")</f>
        <v>https://web.datatree.com/?/property?propertyId=34224288</v>
      </c>
      <c r="Q5616" t="s">
        <v>316</v>
      </c>
      <c>
        <v>0.23</v>
      </c>
      <c t="s">
        <v>22490</v>
      </c>
      <c t="s">
        <v>50795</v>
      </c>
      <c t="s">
        <v>8073</v>
      </c>
      <c r="X5616" t="s">
        <v>18035</v>
      </c>
      <c t="s">
        <v>2619</v>
      </c>
      <c t="s">
        <v>2517</v>
      </c>
      <c t="s">
        <v>39289</v>
      </c>
      <c>
        <v>33909</v>
      </c>
      <c>
        <v>33909</v>
      </c>
      <c t="s">
        <v>48794</v>
      </c>
      <c t="s">
        <v>13336</v>
      </c>
      <c>
        <v>1027</v>
      </c>
      <c r="AI5616" t="s">
        <v>43940</v>
      </c>
      <c t="s">
        <v>31192</v>
      </c>
      <c r="AL5616" t="s">
        <v>24417</v>
      </c>
      <c t="s">
        <v>24417</v>
      </c>
      <c t="s">
        <v>19878</v>
      </c>
      <c t="s">
        <v>54270</v>
      </c>
      <c t="s">
        <v>26242</v>
      </c>
      <c t="s">
        <v>3093</v>
      </c>
      <c t="s">
        <v>9832</v>
      </c>
    </row>
    <row>
      <c t="s">
        <v>17594</v>
      </c>
      <c t="s">
        <v>3314</v>
      </c>
      <c t="s">
        <v>30475</v>
      </c>
      <c t="s">
        <v>39024</v>
      </c>
      <c t="s">
        <v>5901</v>
      </c>
      <c s="3">
        <v>23310</v>
      </c>
      <c s="3">
        <v>23310</v>
      </c>
      <c s="3">
        <v>9599</v>
      </c>
      <c>
        <v>0</v>
      </c>
      <c s="3">
        <v>0</v>
      </c>
      <c s="3">
        <v>696.63</v>
      </c>
      <c s="3">
        <v>23310</v>
      </c>
      <c>
        <v>2021</v>
      </c>
      <c>
        <v>726.17</v>
      </c>
      <c s="1" t="str">
        <f ca="1">HYPERLINK("https://web.datatree.com/?/property?propertyId=34224499", "https://web.datatree.com/?/property?propertyId=34224499")</f>
        <v>https://web.datatree.com/?/property?propertyId=34224499</v>
      </c>
      <c r="Q5617" t="s">
        <v>316</v>
      </c>
      <c>
        <v>0.344</v>
      </c>
      <c t="s">
        <v>6175</v>
      </c>
      <c t="s">
        <v>52701</v>
      </c>
      <c t="s">
        <v>41342</v>
      </c>
      <c t="s">
        <v>24409</v>
      </c>
      <c t="s">
        <v>41342</v>
      </c>
      <c t="s">
        <v>6961</v>
      </c>
      <c t="s">
        <v>33179</v>
      </c>
      <c t="s">
        <v>2517</v>
      </c>
      <c t="s">
        <v>39289</v>
      </c>
      <c>
        <v>33909</v>
      </c>
      <c t="s">
        <v>4461</v>
      </c>
      <c t="s">
        <v>48794</v>
      </c>
      <c t="s">
        <v>35705</v>
      </c>
      <c>
        <v>1675</v>
      </c>
      <c r="AI5617" t="s">
        <v>66701</v>
      </c>
      <c t="s">
        <v>45393</v>
      </c>
      <c r="AL5617" t="s">
        <v>55393</v>
      </c>
      <c r="AN5617" t="s">
        <v>39289</v>
      </c>
      <c t="s">
        <v>17395</v>
      </c>
      <c t="s">
        <v>636</v>
      </c>
      <c t="s">
        <v>3093</v>
      </c>
      <c t="s">
        <v>1455</v>
      </c>
    </row>
    <row>
      <c t="s">
        <v>17594</v>
      </c>
      <c t="s">
        <v>2509</v>
      </c>
      <c t="s">
        <v>23484</v>
      </c>
      <c t="s">
        <v>24120</v>
      </c>
      <c t="s">
        <v>25227</v>
      </c>
      <c s="3">
        <v>47586</v>
      </c>
      <c s="3">
        <v>47586</v>
      </c>
      <c s="3">
        <v>20986</v>
      </c>
      <c>
        <v>0</v>
      </c>
      <c s="3">
        <v>0</v>
      </c>
      <c s="3">
        <v>892.33</v>
      </c>
      <c s="3">
        <v>47586</v>
      </c>
      <c r="O5618" s="1" t="str">
        <f ca="1">HYPERLINK("https://web.datatree.com/?/property?propertyId=34225079", "https://web.datatree.com/?/property?propertyId=34225079")</f>
        <v>https://web.datatree.com/?/property?propertyId=34225079</v>
      </c>
      <c r="Q5618" t="s">
        <v>316</v>
      </c>
      <c>
        <v>0.226</v>
      </c>
      <c t="s">
        <v>6175</v>
      </c>
      <c t="s">
        <v>44541</v>
      </c>
      <c t="s">
        <v>56439</v>
      </c>
      <c t="s">
        <v>66704</v>
      </c>
      <c t="s">
        <v>56439</v>
      </c>
      <c t="s">
        <v>17216</v>
      </c>
      <c t="s">
        <v>17022</v>
      </c>
      <c t="s">
        <v>2517</v>
      </c>
      <c t="s">
        <v>39289</v>
      </c>
      <c>
        <v>33904</v>
      </c>
      <c t="s">
        <v>21832</v>
      </c>
      <c t="s">
        <v>48794</v>
      </c>
      <c t="s">
        <v>34277</v>
      </c>
      <c r="AI5618" t="s">
        <v>18345</v>
      </c>
      <c t="s">
        <v>45072</v>
      </c>
      <c r="AL5618" t="s">
        <v>1486</v>
      </c>
      <c t="s">
        <v>1486</v>
      </c>
      <c t="s">
        <v>9533</v>
      </c>
      <c>
        <v>738</v>
      </c>
      <c r="AQ5618" t="s">
        <v>3093</v>
      </c>
      <c t="s">
        <v>7827</v>
      </c>
    </row>
    <row>
      <c t="s">
        <v>17594</v>
      </c>
      <c t="s">
        <v>17613</v>
      </c>
      <c t="s">
        <v>16249</v>
      </c>
      <c t="s">
        <v>41436</v>
      </c>
      <c t="s">
        <v>504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619" s="1" t="str">
        <f ca="1">HYPERLINK("https://web.datatree.com/?/property?propertyId=34225164", "https://web.datatree.com/?/property?propertyId=34225164")</f>
        <v>https://web.datatree.com/?/property?propertyId=34225164</v>
      </c>
      <c r="Q5619" t="s">
        <v>316</v>
      </c>
      <c>
        <v>0.23</v>
      </c>
      <c t="s">
        <v>6175</v>
      </c>
      <c r="U5619" t="s">
        <v>22551</v>
      </c>
      <c r="W5619" t="s">
        <v>19900</v>
      </c>
      <c t="s">
        <v>22551</v>
      </c>
      <c t="s">
        <v>30928</v>
      </c>
      <c t="s">
        <v>2517</v>
      </c>
      <c t="s">
        <v>39289</v>
      </c>
      <c>
        <v>33909</v>
      </c>
      <c t="s">
        <v>53824</v>
      </c>
      <c t="s">
        <v>48794</v>
      </c>
      <c t="s">
        <v>65191</v>
      </c>
      <c>
        <v>678</v>
      </c>
      <c r="AI5619" t="s">
        <v>61865</v>
      </c>
      <c t="s">
        <v>24900</v>
      </c>
      <c r="AL5619" t="s">
        <v>52434</v>
      </c>
      <c t="s">
        <v>52434</v>
      </c>
      <c t="s">
        <v>39289</v>
      </c>
      <c t="s">
        <v>42057</v>
      </c>
      <c t="s">
        <v>39566</v>
      </c>
      <c t="s">
        <v>3093</v>
      </c>
      <c t="s">
        <v>20026</v>
      </c>
    </row>
    <row>
      <c t="s">
        <v>17594</v>
      </c>
      <c t="s">
        <v>24700</v>
      </c>
      <c t="s">
        <v>14131</v>
      </c>
      <c t="s">
        <v>55694</v>
      </c>
      <c t="s">
        <v>30556</v>
      </c>
      <c s="3">
        <v>33600</v>
      </c>
      <c s="3">
        <v>33600</v>
      </c>
      <c s="3">
        <v>13310</v>
      </c>
      <c>
        <v>0</v>
      </c>
      <c s="3">
        <v>0</v>
      </c>
      <c s="3">
        <v>791.83</v>
      </c>
      <c s="3">
        <v>33600</v>
      </c>
      <c r="O5620" s="1" t="str">
        <f ca="1">HYPERLINK("https://web.datatree.com/?/property?propertyId=34225502", "https://web.datatree.com/?/property?propertyId=34225502")</f>
        <v>https://web.datatree.com/?/property?propertyId=34225502</v>
      </c>
      <c r="Q5620" t="s">
        <v>316</v>
      </c>
      <c>
        <v>0.344</v>
      </c>
      <c t="s">
        <v>45031</v>
      </c>
      <c t="s">
        <v>42959</v>
      </c>
      <c t="s">
        <v>47264</v>
      </c>
      <c t="s">
        <v>2474</v>
      </c>
      <c t="s">
        <v>47264</v>
      </c>
      <c t="s">
        <v>37988</v>
      </c>
      <c t="s">
        <v>10653</v>
      </c>
      <c t="s">
        <v>2517</v>
      </c>
      <c t="s">
        <v>39289</v>
      </c>
      <c>
        <v>33909</v>
      </c>
      <c t="s">
        <v>59662</v>
      </c>
      <c t="s">
        <v>48794</v>
      </c>
      <c t="s">
        <v>33167</v>
      </c>
      <c>
        <v>8416</v>
      </c>
      <c r="AI5620" t="s">
        <v>16147</v>
      </c>
      <c t="s">
        <v>24900</v>
      </c>
      <c r="AL5620" t="s">
        <v>58116</v>
      </c>
      <c r="AN5620" t="s">
        <v>19878</v>
      </c>
      <c t="s">
        <v>33090</v>
      </c>
      <c t="s">
        <v>61719</v>
      </c>
      <c t="s">
        <v>3093</v>
      </c>
      <c t="s">
        <v>13112</v>
      </c>
    </row>
    <row>
      <c t="s">
        <v>17594</v>
      </c>
      <c t="s">
        <v>24411</v>
      </c>
      <c t="s">
        <v>31665</v>
      </c>
      <c t="s">
        <v>15726</v>
      </c>
      <c t="s">
        <v>56083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621" s="1" t="str">
        <f ca="1">HYPERLINK("https://web.datatree.com/?/property?propertyId=34226307", "https://web.datatree.com/?/property?propertyId=34226307")</f>
        <v>https://web.datatree.com/?/property?propertyId=34226307</v>
      </c>
      <c r="Q5621" t="s">
        <v>316</v>
      </c>
      <c>
        <v>0.23</v>
      </c>
      <c t="s">
        <v>42044</v>
      </c>
      <c t="s">
        <v>48755</v>
      </c>
      <c t="s">
        <v>59446</v>
      </c>
      <c t="s">
        <v>30591</v>
      </c>
      <c t="s">
        <v>59446</v>
      </c>
      <c t="s">
        <v>54061</v>
      </c>
      <c t="s">
        <v>64331</v>
      </c>
      <c t="s">
        <v>2517</v>
      </c>
      <c t="s">
        <v>39289</v>
      </c>
      <c>
        <v>33909</v>
      </c>
      <c>
        <v>33909</v>
      </c>
      <c t="s">
        <v>48794</v>
      </c>
      <c t="s">
        <v>1858</v>
      </c>
      <c>
        <v>40</v>
      </c>
      <c r="AI5621" t="s">
        <v>18716</v>
      </c>
      <c t="s">
        <v>45393</v>
      </c>
      <c r="AL5621" t="s">
        <v>13883</v>
      </c>
      <c r="AN5621" t="s">
        <v>10909</v>
      </c>
      <c t="s">
        <v>27740</v>
      </c>
      <c r="AQ5621" t="s">
        <v>27814</v>
      </c>
      <c t="s">
        <v>7128</v>
      </c>
    </row>
    <row>
      <c t="s">
        <v>17594</v>
      </c>
      <c t="s">
        <v>9838</v>
      </c>
      <c t="s">
        <v>32947</v>
      </c>
      <c t="s">
        <v>52481</v>
      </c>
      <c t="s">
        <v>57474</v>
      </c>
      <c s="3">
        <v>26290</v>
      </c>
      <c s="3">
        <v>26290</v>
      </c>
      <c s="3">
        <v>12650</v>
      </c>
      <c>
        <v>0</v>
      </c>
      <c s="3">
        <v>0</v>
      </c>
      <c s="3">
        <v>2522.97</v>
      </c>
      <c s="3">
        <v>26290</v>
      </c>
      <c r="O5622" s="1" t="str">
        <f ca="1">HYPERLINK("https://web.datatree.com/?/property?propertyId=34226525", "https://web.datatree.com/?/property?propertyId=34226525")</f>
        <v>https://web.datatree.com/?/property?propertyId=34226525</v>
      </c>
      <c r="Q5622" t="s">
        <v>316</v>
      </c>
      <c>
        <v>0.244</v>
      </c>
      <c t="s">
        <v>22490</v>
      </c>
      <c t="s">
        <v>26069</v>
      </c>
      <c t="s">
        <v>22080</v>
      </c>
      <c t="s">
        <v>25238</v>
      </c>
      <c t="s">
        <v>22080</v>
      </c>
      <c t="s">
        <v>8048</v>
      </c>
      <c t="s">
        <v>2626</v>
      </c>
      <c t="s">
        <v>2517</v>
      </c>
      <c t="s">
        <v>39289</v>
      </c>
      <c>
        <v>33909</v>
      </c>
      <c t="s">
        <v>4142</v>
      </c>
      <c t="s">
        <v>48794</v>
      </c>
      <c t="s">
        <v>3691</v>
      </c>
      <c>
        <v>4520</v>
      </c>
      <c r="AI5622" t="s">
        <v>13552</v>
      </c>
      <c t="s">
        <v>45620</v>
      </c>
      <c r="AL5622" t="s">
        <v>45216</v>
      </c>
      <c r="AN5622" t="s">
        <v>27481</v>
      </c>
      <c t="s">
        <v>51251</v>
      </c>
      <c t="s">
        <v>702</v>
      </c>
      <c t="s">
        <v>3093</v>
      </c>
      <c t="s">
        <v>5165</v>
      </c>
    </row>
    <row>
      <c t="s">
        <v>17594</v>
      </c>
      <c t="s">
        <v>12260</v>
      </c>
      <c t="s">
        <v>54051</v>
      </c>
      <c t="s">
        <v>53130</v>
      </c>
      <c t="s">
        <v>10164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623" s="1" t="str">
        <f ca="1">HYPERLINK("https://web.datatree.com/?/property?propertyId=34226972", "https://web.datatree.com/?/property?propertyId=34226972")</f>
        <v>https://web.datatree.com/?/property?propertyId=34226972</v>
      </c>
      <c r="Q5623" t="s">
        <v>316</v>
      </c>
      <c>
        <v>0.23</v>
      </c>
      <c t="s">
        <v>6175</v>
      </c>
      <c t="s">
        <v>50366</v>
      </c>
      <c t="s">
        <v>37625</v>
      </c>
      <c t="s">
        <v>32675</v>
      </c>
      <c t="s">
        <v>37625</v>
      </c>
      <c t="s">
        <v>60198</v>
      </c>
      <c t="s">
        <v>2619</v>
      </c>
      <c t="s">
        <v>2517</v>
      </c>
      <c t="s">
        <v>39289</v>
      </c>
      <c>
        <v>33909</v>
      </c>
      <c t="s">
        <v>6980</v>
      </c>
      <c t="s">
        <v>48794</v>
      </c>
      <c t="s">
        <v>9039</v>
      </c>
      <c>
        <v>571</v>
      </c>
      <c r="AI5623" t="s">
        <v>46128</v>
      </c>
      <c t="s">
        <v>24900</v>
      </c>
      <c t="s">
        <v>63669</v>
      </c>
      <c t="s">
        <v>25857</v>
      </c>
      <c r="AN5623" t="s">
        <v>39289</v>
      </c>
      <c t="s">
        <v>42023</v>
      </c>
      <c t="s">
        <v>35375</v>
      </c>
      <c t="s">
        <v>3093</v>
      </c>
      <c t="s">
        <v>787</v>
      </c>
    </row>
    <row>
      <c t="s">
        <v>17594</v>
      </c>
      <c t="s">
        <v>29038</v>
      </c>
      <c t="s">
        <v>23669</v>
      </c>
      <c t="s">
        <v>36519</v>
      </c>
      <c t="s">
        <v>3136</v>
      </c>
      <c s="3">
        <v>8400</v>
      </c>
      <c s="3">
        <v>8400</v>
      </c>
      <c s="3">
        <v>8400</v>
      </c>
      <c>
        <v>0</v>
      </c>
      <c s="3">
        <v>0</v>
      </c>
      <c s="3">
        <v>683.32</v>
      </c>
      <c s="3">
        <v>8400</v>
      </c>
      <c r="O5624" s="1" t="str">
        <f ca="1">HYPERLINK("https://web.datatree.com/?/property?propertyId=34227142", "https://web.datatree.com/?/property?propertyId=34227142")</f>
        <v>https://web.datatree.com/?/property?propertyId=34227142</v>
      </c>
      <c r="Q5624" t="s">
        <v>316</v>
      </c>
      <c>
        <v>0.23</v>
      </c>
      <c t="s">
        <v>6175</v>
      </c>
      <c t="s">
        <v>13273</v>
      </c>
      <c t="s">
        <v>21975</v>
      </c>
      <c t="s">
        <v>1949</v>
      </c>
      <c t="s">
        <v>21975</v>
      </c>
      <c t="s">
        <v>14142</v>
      </c>
      <c t="s">
        <v>39777</v>
      </c>
      <c t="s">
        <v>2517</v>
      </c>
      <c t="s">
        <v>39289</v>
      </c>
      <c>
        <v>33909</v>
      </c>
      <c t="s">
        <v>20017</v>
      </c>
      <c t="s">
        <v>48794</v>
      </c>
      <c t="s">
        <v>18080</v>
      </c>
      <c>
        <v>2031</v>
      </c>
      <c r="AI5624" t="s">
        <v>29618</v>
      </c>
      <c t="s">
        <v>40123</v>
      </c>
      <c r="AL5624" t="s">
        <v>55393</v>
      </c>
      <c r="AN5624" t="s">
        <v>39289</v>
      </c>
      <c t="s">
        <v>45553</v>
      </c>
      <c t="s">
        <v>21201</v>
      </c>
      <c t="s">
        <v>3093</v>
      </c>
      <c t="s">
        <v>11777</v>
      </c>
    </row>
    <row>
      <c t="s">
        <v>17594</v>
      </c>
      <c t="s">
        <v>41771</v>
      </c>
      <c t="s">
        <v>17219</v>
      </c>
      <c t="s">
        <v>28280</v>
      </c>
      <c t="s">
        <v>18253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5625" s="1" t="str">
        <f ca="1">HYPERLINK("https://web.datatree.com/?/property?propertyId=34227289", "https://web.datatree.com/?/property?propertyId=34227289")</f>
        <v>https://web.datatree.com/?/property?propertyId=34227289</v>
      </c>
      <c r="Q5625" t="s">
        <v>316</v>
      </c>
      <c>
        <v>0.23</v>
      </c>
      <c t="s">
        <v>22490</v>
      </c>
      <c t="s">
        <v>35571</v>
      </c>
      <c t="s">
        <v>56357</v>
      </c>
      <c r="X5625" t="s">
        <v>49469</v>
      </c>
      <c t="s">
        <v>66701</v>
      </c>
      <c t="s">
        <v>2517</v>
      </c>
      <c t="s">
        <v>39289</v>
      </c>
      <c>
        <v>33909</v>
      </c>
      <c t="s">
        <v>16369</v>
      </c>
      <c t="s">
        <v>48794</v>
      </c>
      <c t="s">
        <v>52203</v>
      </c>
      <c>
        <v>22</v>
      </c>
      <c r="AI5625" t="s">
        <v>60657</v>
      </c>
      <c t="s">
        <v>45393</v>
      </c>
      <c r="AL5625" t="s">
        <v>34634</v>
      </c>
      <c r="AN5625" t="s">
        <v>63985</v>
      </c>
      <c>
        <v>83487</v>
      </c>
      <c r="AR5625" t="s">
        <v>22602</v>
      </c>
    </row>
    <row>
      <c t="s">
        <v>17594</v>
      </c>
      <c t="s">
        <v>44020</v>
      </c>
      <c t="s">
        <v>45309</v>
      </c>
      <c t="s">
        <v>13095</v>
      </c>
      <c t="s">
        <v>54338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5626" s="1" t="str">
        <f ca="1">HYPERLINK("https://web.datatree.com/?/property?propertyId=34227607", "https://web.datatree.com/?/property?propertyId=34227607")</f>
        <v>https://web.datatree.com/?/property?propertyId=34227607</v>
      </c>
      <c r="Q5626" t="s">
        <v>316</v>
      </c>
      <c>
        <v>0.23</v>
      </c>
      <c t="s">
        <v>6175</v>
      </c>
      <c t="s">
        <v>20673</v>
      </c>
      <c t="s">
        <v>53164</v>
      </c>
      <c r="X5626" t="s">
        <v>33604</v>
      </c>
      <c t="s">
        <v>23517</v>
      </c>
      <c t="s">
        <v>2517</v>
      </c>
      <c t="s">
        <v>39289</v>
      </c>
      <c>
        <v>33909</v>
      </c>
      <c t="s">
        <v>25791</v>
      </c>
      <c t="s">
        <v>48794</v>
      </c>
      <c t="s">
        <v>9562</v>
      </c>
      <c>
        <v>3211</v>
      </c>
      <c r="AI5626" t="s">
        <v>55898</v>
      </c>
      <c t="s">
        <v>24900</v>
      </c>
      <c t="s">
        <v>65349</v>
      </c>
      <c t="s">
        <v>23972</v>
      </c>
      <c t="s">
        <v>23972</v>
      </c>
      <c t="s">
        <v>19878</v>
      </c>
      <c t="s">
        <v>4976</v>
      </c>
      <c t="s">
        <v>25140</v>
      </c>
      <c t="s">
        <v>3093</v>
      </c>
      <c t="s">
        <v>39585</v>
      </c>
    </row>
    <row>
      <c t="s">
        <v>17594</v>
      </c>
      <c t="s">
        <v>66589</v>
      </c>
      <c t="s">
        <v>31941</v>
      </c>
      <c t="s">
        <v>45709</v>
      </c>
      <c t="s">
        <v>41747</v>
      </c>
      <c s="3">
        <v>24450</v>
      </c>
      <c s="3">
        <v>24450</v>
      </c>
      <c s="3">
        <v>11000</v>
      </c>
      <c>
        <v>0</v>
      </c>
      <c s="3">
        <v>0</v>
      </c>
      <c s="3">
        <v>626.98</v>
      </c>
      <c s="3">
        <v>24450</v>
      </c>
      <c r="O5627" s="1" t="str">
        <f ca="1">HYPERLINK("https://web.datatree.com/?/property?propertyId=34227788", "https://web.datatree.com/?/property?propertyId=34227788")</f>
        <v>https://web.datatree.com/?/property?propertyId=34227788</v>
      </c>
      <c r="Q5627" t="s">
        <v>316</v>
      </c>
      <c>
        <v>0.244</v>
      </c>
      <c t="s">
        <v>22490</v>
      </c>
      <c t="s">
        <v>552</v>
      </c>
      <c t="s">
        <v>23102</v>
      </c>
      <c t="s">
        <v>4590</v>
      </c>
      <c t="s">
        <v>23102</v>
      </c>
      <c t="s">
        <v>16550</v>
      </c>
      <c t="s">
        <v>2626</v>
      </c>
      <c t="s">
        <v>2517</v>
      </c>
      <c t="s">
        <v>39289</v>
      </c>
      <c>
        <v>33909</v>
      </c>
      <c t="s">
        <v>19381</v>
      </c>
      <c t="s">
        <v>48794</v>
      </c>
      <c t="s">
        <v>66769</v>
      </c>
      <c>
        <v>1047</v>
      </c>
      <c r="AI5627" t="s">
        <v>13419</v>
      </c>
      <c t="s">
        <v>24900</v>
      </c>
      <c r="AL5627" t="s">
        <v>51149</v>
      </c>
      <c r="AN5627" t="s">
        <v>22275</v>
      </c>
      <c t="s">
        <v>43361</v>
      </c>
      <c t="s">
        <v>2477</v>
      </c>
      <c t="s">
        <v>3093</v>
      </c>
      <c t="s">
        <v>4610</v>
      </c>
    </row>
    <row>
      <c t="s">
        <v>17594</v>
      </c>
      <c t="s">
        <v>6297</v>
      </c>
      <c t="s">
        <v>51945</v>
      </c>
      <c t="s">
        <v>16552</v>
      </c>
      <c t="s">
        <v>2462</v>
      </c>
      <c s="3">
        <v>15788</v>
      </c>
      <c s="3">
        <v>15788</v>
      </c>
      <c s="3">
        <v>15788</v>
      </c>
      <c>
        <v>0</v>
      </c>
      <c s="3">
        <v>0</v>
      </c>
      <c s="3">
        <v>556.55</v>
      </c>
      <c s="3">
        <v>15788</v>
      </c>
      <c r="O5628" s="1" t="str">
        <f ca="1">HYPERLINK("https://web.datatree.com/?/property?propertyId=34227978", "https://web.datatree.com/?/property?propertyId=34227978")</f>
        <v>https://web.datatree.com/?/property?propertyId=34227978</v>
      </c>
      <c r="Q5628" t="s">
        <v>316</v>
      </c>
      <c>
        <v>0.255</v>
      </c>
      <c t="s">
        <v>6175</v>
      </c>
      <c t="s">
        <v>16200</v>
      </c>
      <c t="s">
        <v>34145</v>
      </c>
      <c t="s">
        <v>38815</v>
      </c>
      <c t="s">
        <v>34145</v>
      </c>
      <c t="s">
        <v>11140</v>
      </c>
      <c t="s">
        <v>61865</v>
      </c>
      <c t="s">
        <v>2517</v>
      </c>
      <c t="s">
        <v>39289</v>
      </c>
      <c>
        <v>33909</v>
      </c>
      <c t="s">
        <v>730</v>
      </c>
      <c t="s">
        <v>48794</v>
      </c>
      <c t="s">
        <v>48400</v>
      </c>
      <c>
        <v>2720</v>
      </c>
      <c r="AH5628" t="s">
        <v>52165</v>
      </c>
      <c t="s">
        <v>61865</v>
      </c>
      <c t="s">
        <v>41372</v>
      </c>
      <c r="AL5628" t="s">
        <v>33507</v>
      </c>
      <c t="s">
        <v>33507</v>
      </c>
      <c t="s">
        <v>17331</v>
      </c>
      <c t="s">
        <v>26627</v>
      </c>
      <c t="s">
        <v>60333</v>
      </c>
      <c t="s">
        <v>3093</v>
      </c>
      <c t="s">
        <v>48098</v>
      </c>
    </row>
    <row>
      <c t="s">
        <v>17594</v>
      </c>
      <c t="s">
        <v>13037</v>
      </c>
      <c t="s">
        <v>20095</v>
      </c>
      <c t="s">
        <v>43315</v>
      </c>
      <c t="s">
        <v>19491</v>
      </c>
      <c s="3">
        <v>36210</v>
      </c>
      <c s="3">
        <v>36210</v>
      </c>
      <c s="3">
        <v>36210</v>
      </c>
      <c>
        <v>0</v>
      </c>
      <c s="3">
        <v>0</v>
      </c>
      <c s="3">
        <v>1040.87</v>
      </c>
      <c s="3">
        <v>36210</v>
      </c>
      <c r="O5629" s="1" t="str">
        <f ca="1">HYPERLINK("https://web.datatree.com/?/property?propertyId=34228174", "https://web.datatree.com/?/property?propertyId=34228174")</f>
        <v>https://web.datatree.com/?/property?propertyId=34228174</v>
      </c>
      <c r="Q5629" t="s">
        <v>316</v>
      </c>
      <c>
        <v>0.344</v>
      </c>
      <c t="s">
        <v>65422</v>
      </c>
      <c t="s">
        <v>54943</v>
      </c>
      <c t="s">
        <v>50511</v>
      </c>
      <c t="s">
        <v>30246</v>
      </c>
      <c t="s">
        <v>50511</v>
      </c>
      <c t="s">
        <v>11312</v>
      </c>
      <c t="s">
        <v>8669</v>
      </c>
      <c t="s">
        <v>2517</v>
      </c>
      <c t="s">
        <v>39289</v>
      </c>
      <c>
        <v>33909</v>
      </c>
      <c t="s">
        <v>24379</v>
      </c>
      <c t="s">
        <v>48794</v>
      </c>
      <c t="s">
        <v>47039</v>
      </c>
      <c>
        <v>1701</v>
      </c>
      <c r="AI5629" t="s">
        <v>13876</v>
      </c>
      <c t="s">
        <v>24900</v>
      </c>
      <c r="AL5629" t="s">
        <v>37512</v>
      </c>
      <c t="s">
        <v>37512</v>
      </c>
      <c t="s">
        <v>19878</v>
      </c>
      <c t="s">
        <v>34151</v>
      </c>
      <c t="s">
        <v>40826</v>
      </c>
      <c t="s">
        <v>3093</v>
      </c>
      <c t="s">
        <v>16482</v>
      </c>
    </row>
    <row>
      <c t="s">
        <v>17594</v>
      </c>
      <c t="s">
        <v>38606</v>
      </c>
      <c t="s">
        <v>37007</v>
      </c>
      <c t="s">
        <v>7628</v>
      </c>
      <c t="s">
        <v>32610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5630" s="1" t="str">
        <f ca="1">HYPERLINK("https://web.datatree.com/?/property?propertyId=34229690", "https://web.datatree.com/?/property?propertyId=34229690")</f>
        <v>https://web.datatree.com/?/property?propertyId=34229690</v>
      </c>
      <c r="Q5630" t="s">
        <v>316</v>
      </c>
      <c>
        <v>0.23</v>
      </c>
      <c t="s">
        <v>22490</v>
      </c>
      <c t="s">
        <v>1499</v>
      </c>
      <c t="s">
        <v>39666</v>
      </c>
      <c r="X5630" t="s">
        <v>47294</v>
      </c>
      <c t="s">
        <v>47150</v>
      </c>
      <c t="s">
        <v>2517</v>
      </c>
      <c t="s">
        <v>39289</v>
      </c>
      <c>
        <v>33909</v>
      </c>
      <c t="s">
        <v>12002</v>
      </c>
      <c t="s">
        <v>48794</v>
      </c>
      <c t="s">
        <v>51281</v>
      </c>
      <c>
        <v>339</v>
      </c>
      <c r="AI5630" t="s">
        <v>61132</v>
      </c>
      <c t="s">
        <v>24900</v>
      </c>
      <c r="AL5630" t="s">
        <v>3170</v>
      </c>
      <c r="AN5630" t="s">
        <v>50917</v>
      </c>
      <c t="s">
        <v>13981</v>
      </c>
      <c t="s">
        <v>54916</v>
      </c>
      <c t="s">
        <v>3093</v>
      </c>
      <c t="s">
        <v>35749</v>
      </c>
    </row>
    <row>
      <c t="s">
        <v>17594</v>
      </c>
      <c t="s">
        <v>57210</v>
      </c>
      <c t="s">
        <v>66629</v>
      </c>
      <c t="s">
        <v>40245</v>
      </c>
      <c t="s">
        <v>59910</v>
      </c>
      <c s="3">
        <v>91287</v>
      </c>
      <c s="3">
        <v>91287</v>
      </c>
      <c s="3">
        <v>88579</v>
      </c>
      <c>
        <v>0</v>
      </c>
      <c s="3">
        <v>0</v>
      </c>
      <c s="3">
        <v>1189.56</v>
      </c>
      <c s="3">
        <v>91287</v>
      </c>
      <c r="O5631" s="1" t="str">
        <f ca="1">HYPERLINK("https://web.datatree.com/?/property?propertyId=34229950", "https://web.datatree.com/?/property?propertyId=34229950")</f>
        <v>https://web.datatree.com/?/property?propertyId=34229950</v>
      </c>
      <c r="Q5631" t="s">
        <v>316</v>
      </c>
      <c>
        <v>0.266</v>
      </c>
      <c t="s">
        <v>5471</v>
      </c>
      <c t="s">
        <v>1613</v>
      </c>
      <c t="s">
        <v>10280</v>
      </c>
      <c t="s">
        <v>51891</v>
      </c>
      <c r="X5631" t="s">
        <v>50968</v>
      </c>
      <c t="s">
        <v>45340</v>
      </c>
      <c t="s">
        <v>65059</v>
      </c>
      <c t="s">
        <v>39289</v>
      </c>
      <c>
        <v>33905</v>
      </c>
      <c t="s">
        <v>57228</v>
      </c>
      <c t="s">
        <v>48794</v>
      </c>
      <c t="s">
        <v>17252</v>
      </c>
      <c>
        <v>1390</v>
      </c>
      <c r="AH5631" t="s">
        <v>12549</v>
      </c>
      <c t="s">
        <v>46379</v>
      </c>
      <c t="s">
        <v>24900</v>
      </c>
      <c r="AL5631" t="s">
        <v>3906</v>
      </c>
      <c t="s">
        <v>60962</v>
      </c>
      <c t="s">
        <v>50829</v>
      </c>
      <c t="s">
        <v>35617</v>
      </c>
      <c t="s">
        <v>14695</v>
      </c>
      <c t="s">
        <v>3093</v>
      </c>
      <c t="s">
        <v>2374</v>
      </c>
    </row>
    <row>
      <c t="s">
        <v>17594</v>
      </c>
      <c t="s">
        <v>5291</v>
      </c>
      <c t="s">
        <v>11015</v>
      </c>
      <c t="s">
        <v>45325</v>
      </c>
      <c t="s">
        <v>29404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632" s="1" t="str">
        <f ca="1">HYPERLINK("https://web.datatree.com/?/property?propertyId=34231469", "https://web.datatree.com/?/property?propertyId=34231469")</f>
        <v>https://web.datatree.com/?/property?propertyId=34231469</v>
      </c>
      <c r="Q5632" t="s">
        <v>316</v>
      </c>
      <c>
        <v>0.23</v>
      </c>
      <c t="s">
        <v>16350</v>
      </c>
      <c t="s">
        <v>48320</v>
      </c>
      <c t="s">
        <v>51665</v>
      </c>
      <c r="X5632" t="s">
        <v>34907</v>
      </c>
      <c t="s">
        <v>38550</v>
      </c>
      <c t="s">
        <v>2517</v>
      </c>
      <c t="s">
        <v>39289</v>
      </c>
      <c>
        <v>33909</v>
      </c>
      <c t="s">
        <v>37536</v>
      </c>
      <c t="s">
        <v>48794</v>
      </c>
      <c t="s">
        <v>52785</v>
      </c>
      <c>
        <v>228</v>
      </c>
      <c r="AI5632" t="s">
        <v>38550</v>
      </c>
      <c t="s">
        <v>45393</v>
      </c>
      <c r="AL5632" t="s">
        <v>1484</v>
      </c>
      <c r="AN5632" t="s">
        <v>26016</v>
      </c>
      <c t="s">
        <v>22330</v>
      </c>
      <c t="s">
        <v>61410</v>
      </c>
      <c t="s">
        <v>3093</v>
      </c>
      <c t="s">
        <v>11537</v>
      </c>
    </row>
    <row>
      <c t="s">
        <v>17594</v>
      </c>
      <c t="s">
        <v>31258</v>
      </c>
      <c t="s">
        <v>43576</v>
      </c>
      <c t="s">
        <v>20665</v>
      </c>
      <c t="s">
        <v>26643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5633" s="1" t="str">
        <f ca="1">HYPERLINK("https://web.datatree.com/?/property?propertyId=34231646", "https://web.datatree.com/?/property?propertyId=34231646")</f>
        <v>https://web.datatree.com/?/property?propertyId=34231646</v>
      </c>
      <c r="Q5633" t="s">
        <v>316</v>
      </c>
      <c>
        <v>0.23</v>
      </c>
      <c t="s">
        <v>54449</v>
      </c>
      <c t="s">
        <v>5588</v>
      </c>
      <c t="s">
        <v>27274</v>
      </c>
      <c r="X5633" t="s">
        <v>38633</v>
      </c>
      <c t="s">
        <v>38550</v>
      </c>
      <c t="s">
        <v>2517</v>
      </c>
      <c t="s">
        <v>39289</v>
      </c>
      <c>
        <v>33909</v>
      </c>
      <c t="s">
        <v>34695</v>
      </c>
      <c t="s">
        <v>48794</v>
      </c>
      <c t="s">
        <v>64503</v>
      </c>
      <c>
        <v>20</v>
      </c>
      <c r="AI5633" t="s">
        <v>23192</v>
      </c>
      <c t="s">
        <v>31192</v>
      </c>
      <c r="AL5633" t="s">
        <v>18701</v>
      </c>
      <c r="AN5633" t="s">
        <v>26016</v>
      </c>
      <c t="s">
        <v>22970</v>
      </c>
      <c t="s">
        <v>5800</v>
      </c>
      <c t="s">
        <v>3093</v>
      </c>
      <c t="s">
        <v>25846</v>
      </c>
    </row>
    <row>
      <c t="s">
        <v>17594</v>
      </c>
      <c t="s">
        <v>3563</v>
      </c>
      <c t="s">
        <v>36407</v>
      </c>
      <c t="s">
        <v>8925</v>
      </c>
      <c t="s">
        <v>66350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5634" s="1" t="str">
        <f ca="1">HYPERLINK("https://web.datatree.com/?/property?propertyId=34231913", "https://web.datatree.com/?/property?propertyId=34231913")</f>
        <v>https://web.datatree.com/?/property?propertyId=34231913</v>
      </c>
      <c r="Q5634" t="s">
        <v>316</v>
      </c>
      <c>
        <v>0.244</v>
      </c>
      <c t="s">
        <v>6175</v>
      </c>
      <c t="s">
        <v>49385</v>
      </c>
      <c t="s">
        <v>31551</v>
      </c>
      <c t="s">
        <v>36243</v>
      </c>
      <c t="s">
        <v>31551</v>
      </c>
      <c t="s">
        <v>32857</v>
      </c>
      <c t="s">
        <v>61865</v>
      </c>
      <c t="s">
        <v>2517</v>
      </c>
      <c t="s">
        <v>39289</v>
      </c>
      <c>
        <v>33909</v>
      </c>
      <c t="s">
        <v>5161</v>
      </c>
      <c t="s">
        <v>48794</v>
      </c>
      <c t="s">
        <v>19618</v>
      </c>
      <c>
        <v>333</v>
      </c>
      <c r="AI5634" t="s">
        <v>8604</v>
      </c>
      <c t="s">
        <v>45393</v>
      </c>
      <c t="s">
        <v>52971</v>
      </c>
      <c t="s">
        <v>13397</v>
      </c>
      <c r="AN5634" t="s">
        <v>50917</v>
      </c>
      <c t="s">
        <v>49699</v>
      </c>
      <c t="s">
        <v>49977</v>
      </c>
      <c t="s">
        <v>3093</v>
      </c>
      <c t="s">
        <v>51435</v>
      </c>
    </row>
    <row>
      <c t="s">
        <v>17594</v>
      </c>
      <c t="s">
        <v>35649</v>
      </c>
      <c t="s">
        <v>20587</v>
      </c>
      <c t="s">
        <v>57736</v>
      </c>
      <c t="s">
        <v>18614</v>
      </c>
      <c s="3">
        <v>7300</v>
      </c>
      <c s="3">
        <v>7300</v>
      </c>
      <c s="3">
        <v>7300</v>
      </c>
      <c>
        <v>0</v>
      </c>
      <c s="3">
        <v>0</v>
      </c>
      <c s="3">
        <v>682.49</v>
      </c>
      <c s="3">
        <v>7300</v>
      </c>
      <c r="O5635" s="1" t="str">
        <f ca="1">HYPERLINK("https://web.datatree.com/?/property?propertyId=34232462", "https://web.datatree.com/?/property?propertyId=34232462")</f>
        <v>https://web.datatree.com/?/property?propertyId=34232462</v>
      </c>
      <c r="Q5635" t="s">
        <v>316</v>
      </c>
      <c>
        <v>0.23</v>
      </c>
      <c t="s">
        <v>22490</v>
      </c>
      <c t="s">
        <v>12659</v>
      </c>
      <c t="s">
        <v>40827</v>
      </c>
      <c t="s">
        <v>67028</v>
      </c>
      <c t="s">
        <v>40827</v>
      </c>
      <c t="s">
        <v>5716</v>
      </c>
      <c t="s">
        <v>15510</v>
      </c>
      <c t="s">
        <v>2517</v>
      </c>
      <c t="s">
        <v>39289</v>
      </c>
      <c>
        <v>33909</v>
      </c>
      <c t="s">
        <v>1853</v>
      </c>
      <c t="s">
        <v>48794</v>
      </c>
      <c t="s">
        <v>3442</v>
      </c>
      <c>
        <v>3307</v>
      </c>
      <c r="AI5635" t="s">
        <v>7205</v>
      </c>
      <c t="s">
        <v>31192</v>
      </c>
      <c r="AL5635" t="s">
        <v>51404</v>
      </c>
      <c t="s">
        <v>51404</v>
      </c>
      <c t="s">
        <v>48152</v>
      </c>
      <c t="s">
        <v>37309</v>
      </c>
      <c t="s">
        <v>53800</v>
      </c>
      <c t="s">
        <v>3093</v>
      </c>
      <c t="s">
        <v>49694</v>
      </c>
    </row>
    <row>
      <c t="s">
        <v>17594</v>
      </c>
      <c t="s">
        <v>5153</v>
      </c>
      <c t="s">
        <v>43820</v>
      </c>
      <c t="s">
        <v>51758</v>
      </c>
      <c t="s">
        <v>55172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5636" s="1" t="str">
        <f ca="1">HYPERLINK("https://web.datatree.com/?/property?propertyId=34234013", "https://web.datatree.com/?/property?propertyId=34234013")</f>
        <v>https://web.datatree.com/?/property?propertyId=34234013</v>
      </c>
      <c r="Q5636" t="s">
        <v>316</v>
      </c>
      <c>
        <v>0.23</v>
      </c>
      <c t="s">
        <v>22490</v>
      </c>
      <c t="s">
        <v>2140</v>
      </c>
      <c t="s">
        <v>46872</v>
      </c>
      <c r="X5636" t="s">
        <v>47609</v>
      </c>
      <c t="s">
        <v>53675</v>
      </c>
      <c t="s">
        <v>2517</v>
      </c>
      <c t="s">
        <v>39289</v>
      </c>
      <c>
        <v>33909</v>
      </c>
      <c t="s">
        <v>44506</v>
      </c>
      <c t="s">
        <v>48794</v>
      </c>
      <c t="s">
        <v>17450</v>
      </c>
      <c>
        <v>107</v>
      </c>
      <c r="AI5636" t="s">
        <v>50361</v>
      </c>
      <c t="s">
        <v>45393</v>
      </c>
      <c r="AL5636" t="s">
        <v>65081</v>
      </c>
      <c r="AN5636" t="s">
        <v>19878</v>
      </c>
      <c t="s">
        <v>10002</v>
      </c>
      <c t="s">
        <v>23888</v>
      </c>
      <c t="s">
        <v>3093</v>
      </c>
      <c t="s">
        <v>22554</v>
      </c>
    </row>
    <row>
      <c t="s">
        <v>17594</v>
      </c>
      <c t="s">
        <v>66952</v>
      </c>
      <c t="s">
        <v>42181</v>
      </c>
      <c t="s">
        <v>56361</v>
      </c>
      <c t="s">
        <v>58395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637" s="1" t="str">
        <f ca="1">HYPERLINK("https://web.datatree.com/?/property?propertyId=34234193", "https://web.datatree.com/?/property?propertyId=34234193")</f>
        <v>https://web.datatree.com/?/property?propertyId=34234193</v>
      </c>
      <c r="Q5637" t="s">
        <v>316</v>
      </c>
      <c>
        <v>0.23</v>
      </c>
      <c t="s">
        <v>6175</v>
      </c>
      <c t="s">
        <v>63182</v>
      </c>
      <c t="s">
        <v>34198</v>
      </c>
      <c r="X5637" t="s">
        <v>48092</v>
      </c>
      <c t="s">
        <v>41506</v>
      </c>
      <c t="s">
        <v>2517</v>
      </c>
      <c t="s">
        <v>39289</v>
      </c>
      <c>
        <v>33909</v>
      </c>
      <c t="s">
        <v>36270</v>
      </c>
      <c t="s">
        <v>48794</v>
      </c>
      <c t="s">
        <v>57593</v>
      </c>
      <c>
        <v>6170</v>
      </c>
      <c r="AI5637" t="s">
        <v>51665</v>
      </c>
      <c t="s">
        <v>45393</v>
      </c>
      <c r="AL5637" t="s">
        <v>29573</v>
      </c>
      <c r="AN5637" t="s">
        <v>39289</v>
      </c>
      <c t="s">
        <v>51367</v>
      </c>
      <c t="s">
        <v>49084</v>
      </c>
      <c t="s">
        <v>3093</v>
      </c>
      <c t="s">
        <v>47300</v>
      </c>
    </row>
    <row>
      <c t="s">
        <v>17594</v>
      </c>
      <c t="s">
        <v>20511</v>
      </c>
      <c t="s">
        <v>14348</v>
      </c>
      <c t="s">
        <v>51620</v>
      </c>
      <c t="s">
        <v>9991</v>
      </c>
      <c s="3">
        <v>70849</v>
      </c>
      <c s="3">
        <v>63500</v>
      </c>
      <c s="3">
        <v>67484</v>
      </c>
      <c>
        <v>0</v>
      </c>
      <c s="3">
        <v>0</v>
      </c>
      <c s="3">
        <v>1033.95</v>
      </c>
      <c s="3">
        <v>70849</v>
      </c>
      <c r="O5638" s="1" t="str">
        <f ca="1">HYPERLINK("https://web.datatree.com/?/property?propertyId=34236273", "https://web.datatree.com/?/property?propertyId=34236273")</f>
        <v>https://web.datatree.com/?/property?propertyId=34236273</v>
      </c>
      <c r="Q5638" t="s">
        <v>316</v>
      </c>
      <c>
        <v>0.096</v>
      </c>
      <c t="s">
        <v>26492</v>
      </c>
      <c r="U5638" t="s">
        <v>15041</v>
      </c>
      <c r="W5638" t="s">
        <v>51320</v>
      </c>
      <c t="s">
        <v>4826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3821</v>
      </c>
      <c>
        <v>7550</v>
      </c>
      <c r="AI5638" t="s">
        <v>11464</v>
      </c>
      <c t="s">
        <v>705</v>
      </c>
      <c r="AL5638" t="s">
        <v>17179</v>
      </c>
      <c t="s">
        <v>40227</v>
      </c>
      <c t="s">
        <v>49572</v>
      </c>
      <c t="s">
        <v>49729</v>
      </c>
      <c t="s">
        <v>30106</v>
      </c>
      <c t="s">
        <v>3093</v>
      </c>
      <c t="s">
        <v>49720</v>
      </c>
    </row>
    <row>
      <c t="s">
        <v>17594</v>
      </c>
      <c t="s">
        <v>37804</v>
      </c>
      <c t="s">
        <v>35691</v>
      </c>
      <c t="s">
        <v>12315</v>
      </c>
      <c t="s">
        <v>28931</v>
      </c>
      <c s="3">
        <v>9528</v>
      </c>
      <c s="3">
        <v>9528</v>
      </c>
      <c s="3">
        <v>4972</v>
      </c>
      <c>
        <v>0</v>
      </c>
      <c s="3">
        <v>0</v>
      </c>
      <c s="3">
        <v>329.67</v>
      </c>
      <c s="3">
        <v>9528</v>
      </c>
      <c r="O5639" s="1" t="str">
        <f ca="1">HYPERLINK("https://web.datatree.com/?/property?propertyId=34236357", "https://web.datatree.com/?/property?propertyId=34236357")</f>
        <v>https://web.datatree.com/?/property?propertyId=34236357</v>
      </c>
      <c r="Q5639" t="s">
        <v>316</v>
      </c>
      <c>
        <v>0.337</v>
      </c>
      <c t="s">
        <v>5471</v>
      </c>
      <c t="s">
        <v>21945</v>
      </c>
      <c t="s">
        <v>18891</v>
      </c>
      <c r="X5639" t="s">
        <v>12818</v>
      </c>
      <c t="s">
        <v>17039</v>
      </c>
      <c t="s">
        <v>65059</v>
      </c>
      <c t="s">
        <v>39289</v>
      </c>
      <c>
        <v>33905</v>
      </c>
      <c>
        <v>33905</v>
      </c>
      <c t="s">
        <v>48794</v>
      </c>
      <c t="s">
        <v>56383</v>
      </c>
      <c>
        <v>225</v>
      </c>
      <c r="AI5639" t="s">
        <v>20973</v>
      </c>
      <c t="s">
        <v>45620</v>
      </c>
      <c r="AL5639" t="s">
        <v>51149</v>
      </c>
      <c t="s">
        <v>40227</v>
      </c>
      <c t="s">
        <v>27747</v>
      </c>
      <c t="s">
        <v>57591</v>
      </c>
      <c t="s">
        <v>14695</v>
      </c>
      <c t="s">
        <v>3093</v>
      </c>
      <c t="s">
        <v>64552</v>
      </c>
    </row>
    <row>
      <c t="s">
        <v>17594</v>
      </c>
      <c t="s">
        <v>10532</v>
      </c>
      <c t="s">
        <v>65961</v>
      </c>
      <c t="s">
        <v>48862</v>
      </c>
      <c t="s">
        <v>9313</v>
      </c>
      <c s="3">
        <v>31592</v>
      </c>
      <c s="3">
        <v>31592</v>
      </c>
      <c s="3">
        <v>11858</v>
      </c>
      <c>
        <v>0</v>
      </c>
      <c s="3">
        <v>0</v>
      </c>
      <c s="3">
        <v>2935.69</v>
      </c>
      <c s="3">
        <v>31592</v>
      </c>
      <c r="O5640" s="1" t="str">
        <f ca="1">HYPERLINK("https://web.datatree.com/?/property?propertyId=34236508", "https://web.datatree.com/?/property?propertyId=34236508")</f>
        <v>https://web.datatree.com/?/property?propertyId=34236508</v>
      </c>
      <c r="Q5640" t="s">
        <v>316</v>
      </c>
      <c>
        <v>0.23</v>
      </c>
      <c t="s">
        <v>22490</v>
      </c>
      <c t="s">
        <v>49814</v>
      </c>
      <c t="s">
        <v>4317</v>
      </c>
      <c t="s">
        <v>9598</v>
      </c>
      <c t="s">
        <v>4317</v>
      </c>
      <c t="s">
        <v>28975</v>
      </c>
      <c t="s">
        <v>25017</v>
      </c>
      <c t="s">
        <v>2517</v>
      </c>
      <c t="s">
        <v>39289</v>
      </c>
      <c>
        <v>33909</v>
      </c>
      <c t="s">
        <v>20883</v>
      </c>
      <c t="s">
        <v>48794</v>
      </c>
      <c t="s">
        <v>10860</v>
      </c>
      <c>
        <v>61</v>
      </c>
      <c r="AI5640" t="s">
        <v>62192</v>
      </c>
      <c r="AL5640" t="s">
        <v>46988</v>
      </c>
      <c r="AN5640" t="s">
        <v>63985</v>
      </c>
      <c>
        <v>73035</v>
      </c>
      <c r="AR5640" t="s">
        <v>22941</v>
      </c>
    </row>
    <row>
      <c t="s">
        <v>17594</v>
      </c>
      <c t="s">
        <v>60217</v>
      </c>
      <c t="s">
        <v>53679</v>
      </c>
      <c t="s">
        <v>46363</v>
      </c>
      <c t="s">
        <v>40679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>
        <v>2021</v>
      </c>
      <c>
        <v>527.13</v>
      </c>
      <c s="1" t="str">
        <f ca="1">HYPERLINK("https://web.datatree.com/?/property?propertyId=34236873", "https://web.datatree.com/?/property?propertyId=34236873")</f>
        <v>https://web.datatree.com/?/property?propertyId=34236873</v>
      </c>
      <c r="Q5641" t="s">
        <v>316</v>
      </c>
      <c>
        <v>0.23</v>
      </c>
      <c t="s">
        <v>6175</v>
      </c>
      <c t="s">
        <v>32675</v>
      </c>
      <c t="s">
        <v>50301</v>
      </c>
      <c r="X5641" t="s">
        <v>22883</v>
      </c>
      <c t="s">
        <v>14534</v>
      </c>
      <c t="s">
        <v>2517</v>
      </c>
      <c t="s">
        <v>39289</v>
      </c>
      <c>
        <v>33909</v>
      </c>
      <c t="s">
        <v>61067</v>
      </c>
      <c t="s">
        <v>48794</v>
      </c>
      <c t="s">
        <v>28039</v>
      </c>
      <c>
        <v>2207</v>
      </c>
      <c r="AI5641" t="s">
        <v>30646</v>
      </c>
      <c t="s">
        <v>45620</v>
      </c>
      <c r="AL5641" t="s">
        <v>18662</v>
      </c>
      <c t="s">
        <v>46192</v>
      </c>
      <c t="s">
        <v>26016</v>
      </c>
      <c t="s">
        <v>943</v>
      </c>
      <c t="s">
        <v>31626</v>
      </c>
      <c t="s">
        <v>3093</v>
      </c>
      <c t="s">
        <v>12252</v>
      </c>
    </row>
    <row>
      <c t="s">
        <v>17594</v>
      </c>
      <c t="s">
        <v>34605</v>
      </c>
      <c t="s">
        <v>14064</v>
      </c>
      <c t="s">
        <v>44083</v>
      </c>
      <c t="s">
        <v>36450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5642" s="1" t="str">
        <f ca="1">HYPERLINK("https://web.datatree.com/?/property?propertyId=34237175", "https://web.datatree.com/?/property?propertyId=34237175")</f>
        <v>https://web.datatree.com/?/property?propertyId=34237175</v>
      </c>
      <c r="Q5642" t="s">
        <v>316</v>
      </c>
      <c>
        <v>0.244</v>
      </c>
      <c t="s">
        <v>6175</v>
      </c>
      <c t="s">
        <v>60243</v>
      </c>
      <c t="s">
        <v>14591</v>
      </c>
      <c r="W5642" t="s">
        <v>2105</v>
      </c>
      <c t="s">
        <v>5187</v>
      </c>
      <c t="s">
        <v>25017</v>
      </c>
      <c t="s">
        <v>2517</v>
      </c>
      <c t="s">
        <v>39289</v>
      </c>
      <c>
        <v>33909</v>
      </c>
      <c t="s">
        <v>5385</v>
      </c>
      <c t="s">
        <v>48794</v>
      </c>
      <c t="s">
        <v>21854</v>
      </c>
      <c>
        <v>1105</v>
      </c>
      <c r="AH5642" t="s">
        <v>26580</v>
      </c>
      <c t="s">
        <v>56489</v>
      </c>
      <c r="AK5642" t="s">
        <v>25384</v>
      </c>
      <c t="s">
        <v>17648</v>
      </c>
      <c r="AN5642" t="s">
        <v>3034</v>
      </c>
      <c t="s">
        <v>7785</v>
      </c>
      <c t="s">
        <v>27410</v>
      </c>
      <c t="s">
        <v>3093</v>
      </c>
      <c t="s">
        <v>38766</v>
      </c>
    </row>
    <row>
      <c t="s">
        <v>17594</v>
      </c>
      <c t="s">
        <v>45233</v>
      </c>
      <c t="s">
        <v>54792</v>
      </c>
      <c t="s">
        <v>45687</v>
      </c>
      <c t="s">
        <v>22826</v>
      </c>
      <c s="3">
        <v>71324</v>
      </c>
      <c s="3">
        <v>63500</v>
      </c>
      <c s="3">
        <v>68006</v>
      </c>
      <c>
        <v>0</v>
      </c>
      <c s="3">
        <v>0</v>
      </c>
      <c s="3">
        <v>1041.49</v>
      </c>
      <c s="3">
        <v>71324</v>
      </c>
      <c r="O5643" s="1" t="str">
        <f ca="1">HYPERLINK("https://web.datatree.com/?/property?propertyId=34237310", "https://web.datatree.com/?/property?propertyId=34237310")</f>
        <v>https://web.datatree.com/?/property?propertyId=34237310</v>
      </c>
      <c r="Q5643" t="s">
        <v>316</v>
      </c>
      <c>
        <v>0.096</v>
      </c>
      <c t="s">
        <v>26492</v>
      </c>
      <c t="s">
        <v>32248</v>
      </c>
      <c t="s">
        <v>37951</v>
      </c>
      <c t="s">
        <v>21670</v>
      </c>
      <c t="s">
        <v>37951</v>
      </c>
      <c t="s">
        <v>57390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28321</v>
      </c>
      <c>
        <v>6801</v>
      </c>
      <c r="AI5643" t="s">
        <v>53902</v>
      </c>
      <c t="s">
        <v>45620</v>
      </c>
      <c r="AL5643" t="s">
        <v>35285</v>
      </c>
      <c t="s">
        <v>40227</v>
      </c>
      <c t="s">
        <v>51137</v>
      </c>
      <c t="s">
        <v>16454</v>
      </c>
      <c t="s">
        <v>57360</v>
      </c>
      <c t="s">
        <v>3093</v>
      </c>
      <c t="s">
        <v>48885</v>
      </c>
    </row>
    <row>
      <c t="s">
        <v>17594</v>
      </c>
      <c t="s">
        <v>3898</v>
      </c>
      <c t="s">
        <v>15685</v>
      </c>
      <c t="s">
        <v>60676</v>
      </c>
      <c t="s">
        <v>37594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644" s="1" t="str">
        <f ca="1">HYPERLINK("https://web.datatree.com/?/property?propertyId=34237370", "https://web.datatree.com/?/property?propertyId=34237370")</f>
        <v>https://web.datatree.com/?/property?propertyId=34237370</v>
      </c>
      <c r="Q5644" t="s">
        <v>316</v>
      </c>
      <c>
        <v>0.23</v>
      </c>
      <c t="s">
        <v>6175</v>
      </c>
      <c t="s">
        <v>33614</v>
      </c>
      <c t="s">
        <v>21746</v>
      </c>
      <c t="s">
        <v>18479</v>
      </c>
      <c r="X5644" t="s">
        <v>63476</v>
      </c>
      <c t="s">
        <v>53663</v>
      </c>
      <c t="s">
        <v>2517</v>
      </c>
      <c t="s">
        <v>39289</v>
      </c>
      <c>
        <v>33909</v>
      </c>
      <c t="s">
        <v>23883</v>
      </c>
      <c t="s">
        <v>48794</v>
      </c>
      <c t="s">
        <v>50616</v>
      </c>
      <c>
        <v>1135</v>
      </c>
      <c r="AI5644" t="s">
        <v>60074</v>
      </c>
      <c t="s">
        <v>45620</v>
      </c>
      <c r="AL5644" t="s">
        <v>62170</v>
      </c>
      <c r="AN5644" t="s">
        <v>51137</v>
      </c>
      <c t="s">
        <v>66253</v>
      </c>
      <c t="s">
        <v>56028</v>
      </c>
      <c t="s">
        <v>3093</v>
      </c>
      <c t="s">
        <v>42909</v>
      </c>
    </row>
    <row>
      <c t="s">
        <v>17594</v>
      </c>
      <c t="s">
        <v>62421</v>
      </c>
      <c t="s">
        <v>55036</v>
      </c>
      <c t="s">
        <v>25821</v>
      </c>
      <c t="s">
        <v>22619</v>
      </c>
      <c s="3">
        <v>28727</v>
      </c>
      <c s="3">
        <v>28727</v>
      </c>
      <c s="3">
        <v>10077</v>
      </c>
      <c>
        <v>0</v>
      </c>
      <c s="3">
        <v>0</v>
      </c>
      <c s="3">
        <v>842.35</v>
      </c>
      <c s="3">
        <v>28727</v>
      </c>
      <c r="O5645" s="1" t="str">
        <f ca="1">HYPERLINK("https://web.datatree.com/?/property?propertyId=34238046", "https://web.datatree.com/?/property?propertyId=34238046")</f>
        <v>https://web.datatree.com/?/property?propertyId=34238046</v>
      </c>
      <c r="Q5645" t="s">
        <v>316</v>
      </c>
      <c>
        <v>0.413</v>
      </c>
      <c t="s">
        <v>42044</v>
      </c>
      <c t="s">
        <v>65497</v>
      </c>
      <c t="s">
        <v>51964</v>
      </c>
      <c r="X5645" t="s">
        <v>35136</v>
      </c>
      <c t="s">
        <v>8669</v>
      </c>
      <c t="s">
        <v>2517</v>
      </c>
      <c t="s">
        <v>39289</v>
      </c>
      <c>
        <v>33909</v>
      </c>
      <c>
        <v>33909</v>
      </c>
      <c t="s">
        <v>48794</v>
      </c>
      <c t="s">
        <v>37243</v>
      </c>
      <c>
        <v>1055</v>
      </c>
      <c r="AI5645" t="s">
        <v>58353</v>
      </c>
      <c t="s">
        <v>45393</v>
      </c>
      <c r="AL5645" t="s">
        <v>1854</v>
      </c>
      <c r="AN5645" t="s">
        <v>50917</v>
      </c>
      <c t="s">
        <v>10557</v>
      </c>
      <c t="s">
        <v>12241</v>
      </c>
      <c t="s">
        <v>3093</v>
      </c>
      <c t="s">
        <v>35030</v>
      </c>
    </row>
    <row>
      <c t="s">
        <v>17594</v>
      </c>
      <c t="s">
        <v>37888</v>
      </c>
      <c t="s">
        <v>28267</v>
      </c>
      <c t="s">
        <v>26564</v>
      </c>
      <c t="s">
        <v>26385</v>
      </c>
      <c s="3">
        <v>22874</v>
      </c>
      <c s="3">
        <v>22874</v>
      </c>
      <c s="3">
        <v>9433</v>
      </c>
      <c>
        <v>0</v>
      </c>
      <c s="3">
        <v>0</v>
      </c>
      <c s="3">
        <v>414.38</v>
      </c>
      <c s="3">
        <v>22874</v>
      </c>
      <c r="O5646" s="1" t="str">
        <f ca="1">HYPERLINK("https://web.datatree.com/?/property?propertyId=34238983", "https://web.datatree.com/?/property?propertyId=34238983")</f>
        <v>https://web.datatree.com/?/property?propertyId=34238983</v>
      </c>
      <c r="Q5646" t="s">
        <v>316</v>
      </c>
      <c>
        <v>0.237</v>
      </c>
      <c t="s">
        <v>5471</v>
      </c>
      <c t="s">
        <v>1370</v>
      </c>
      <c t="s">
        <v>18512</v>
      </c>
      <c r="X5646" t="s">
        <v>48732</v>
      </c>
      <c t="s">
        <v>43940</v>
      </c>
      <c t="s">
        <v>65059</v>
      </c>
      <c t="s">
        <v>39289</v>
      </c>
      <c>
        <v>33905</v>
      </c>
      <c t="s">
        <v>42584</v>
      </c>
      <c t="s">
        <v>48794</v>
      </c>
      <c t="s">
        <v>56432</v>
      </c>
      <c>
        <v>2050</v>
      </c>
      <c r="AI5646" t="s">
        <v>52928</v>
      </c>
      <c t="s">
        <v>45393</v>
      </c>
      <c r="AL5646" t="s">
        <v>23695</v>
      </c>
      <c r="AN5646" t="s">
        <v>39289</v>
      </c>
      <c t="s">
        <v>39224</v>
      </c>
      <c t="s">
        <v>11138</v>
      </c>
      <c t="s">
        <v>3093</v>
      </c>
      <c t="s">
        <v>5587</v>
      </c>
    </row>
    <row>
      <c t="s">
        <v>17594</v>
      </c>
      <c t="s">
        <v>38430</v>
      </c>
      <c t="s">
        <v>9011</v>
      </c>
      <c t="s">
        <v>19437</v>
      </c>
      <c t="s">
        <v>7544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>
        <v>2020</v>
      </c>
      <c>
        <v>1175.84</v>
      </c>
      <c s="1" t="str">
        <f ca="1">HYPERLINK("https://web.datatree.com/?/property?propertyId=34239319", "https://web.datatree.com/?/property?propertyId=34239319")</f>
        <v>https://web.datatree.com/?/property?propertyId=34239319</v>
      </c>
      <c r="Q5647" t="s">
        <v>316</v>
      </c>
      <c>
        <v>0.23</v>
      </c>
      <c t="s">
        <v>22490</v>
      </c>
      <c t="s">
        <v>54926</v>
      </c>
      <c t="s">
        <v>26555</v>
      </c>
      <c t="s">
        <v>2565</v>
      </c>
      <c t="s">
        <v>26555</v>
      </c>
      <c t="s">
        <v>59405</v>
      </c>
      <c t="s">
        <v>57064</v>
      </c>
      <c t="s">
        <v>2517</v>
      </c>
      <c t="s">
        <v>39289</v>
      </c>
      <c>
        <v>33909</v>
      </c>
      <c t="s">
        <v>33252</v>
      </c>
      <c t="s">
        <v>48794</v>
      </c>
      <c t="s">
        <v>18942</v>
      </c>
      <c>
        <v>28</v>
      </c>
      <c r="AI5647" t="s">
        <v>39296</v>
      </c>
      <c r="AL5647" t="s">
        <v>56233</v>
      </c>
      <c r="AN5647" t="s">
        <v>32840</v>
      </c>
      <c r="AR5647" t="s">
        <v>2804</v>
      </c>
    </row>
    <row>
      <c t="s">
        <v>17594</v>
      </c>
      <c t="s">
        <v>2768</v>
      </c>
      <c t="s">
        <v>18069</v>
      </c>
      <c t="s">
        <v>18367</v>
      </c>
      <c t="s">
        <v>21456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5648" s="1" t="str">
        <f ca="1">HYPERLINK("https://web.datatree.com/?/property?propertyId=34239595", "https://web.datatree.com/?/property?propertyId=34239595")</f>
        <v>https://web.datatree.com/?/property?propertyId=34239595</v>
      </c>
      <c r="Q5648" t="s">
        <v>316</v>
      </c>
      <c>
        <v>0.23</v>
      </c>
      <c t="s">
        <v>22490</v>
      </c>
      <c t="s">
        <v>42793</v>
      </c>
      <c t="s">
        <v>19806</v>
      </c>
      <c t="s">
        <v>51344</v>
      </c>
      <c t="s">
        <v>19806</v>
      </c>
      <c t="s">
        <v>43634</v>
      </c>
      <c t="s">
        <v>49674</v>
      </c>
      <c t="s">
        <v>2517</v>
      </c>
      <c t="s">
        <v>39289</v>
      </c>
      <c>
        <v>33909</v>
      </c>
      <c t="s">
        <v>64835</v>
      </c>
      <c t="s">
        <v>48794</v>
      </c>
      <c t="s">
        <v>32921</v>
      </c>
      <c>
        <v>70</v>
      </c>
      <c r="AI5648" t="s">
        <v>32884</v>
      </c>
      <c t="s">
        <v>31192</v>
      </c>
      <c r="AL5648" t="s">
        <v>34793</v>
      </c>
      <c r="AN5648" t="s">
        <v>27747</v>
      </c>
      <c t="s">
        <v>26740</v>
      </c>
      <c t="s">
        <v>44428</v>
      </c>
      <c t="s">
        <v>3093</v>
      </c>
      <c t="s">
        <v>22120</v>
      </c>
    </row>
    <row>
      <c t="s">
        <v>17594</v>
      </c>
      <c t="s">
        <v>3688</v>
      </c>
      <c t="s">
        <v>3937</v>
      </c>
      <c t="s">
        <v>34692</v>
      </c>
      <c t="s">
        <v>2738</v>
      </c>
      <c s="3">
        <v>26290</v>
      </c>
      <c s="3">
        <v>26290</v>
      </c>
      <c s="3">
        <v>12650</v>
      </c>
      <c>
        <v>0</v>
      </c>
      <c s="3">
        <v>0</v>
      </c>
      <c s="3">
        <v>654.09</v>
      </c>
      <c s="3">
        <v>26290</v>
      </c>
      <c r="O5649" s="1" t="str">
        <f ca="1">HYPERLINK("https://web.datatree.com/?/property?propertyId=34239969", "https://web.datatree.com/?/property?propertyId=34239969")</f>
        <v>https://web.datatree.com/?/property?propertyId=34239969</v>
      </c>
      <c r="Q5649" t="s">
        <v>316</v>
      </c>
      <c>
        <v>0.244</v>
      </c>
      <c t="s">
        <v>22490</v>
      </c>
      <c t="s">
        <v>53563</v>
      </c>
      <c t="s">
        <v>44857</v>
      </c>
      <c r="X5649" t="s">
        <v>39518</v>
      </c>
      <c t="s">
        <v>66701</v>
      </c>
      <c t="s">
        <v>2517</v>
      </c>
      <c t="s">
        <v>39289</v>
      </c>
      <c>
        <v>33909</v>
      </c>
      <c>
        <v>33909</v>
      </c>
      <c t="s">
        <v>48794</v>
      </c>
      <c t="s">
        <v>14739</v>
      </c>
      <c>
        <v>546</v>
      </c>
      <c r="AI5649" t="s">
        <v>43965</v>
      </c>
      <c t="s">
        <v>31192</v>
      </c>
      <c r="AL5649" t="s">
        <v>43974</v>
      </c>
      <c r="AN5649" t="s">
        <v>50917</v>
      </c>
      <c t="s">
        <v>11017</v>
      </c>
      <c t="s">
        <v>42082</v>
      </c>
      <c t="s">
        <v>3093</v>
      </c>
      <c t="s">
        <v>48963</v>
      </c>
    </row>
    <row>
      <c t="s">
        <v>17594</v>
      </c>
      <c t="s">
        <v>36498</v>
      </c>
      <c t="s">
        <v>18805</v>
      </c>
      <c t="s">
        <v>39830</v>
      </c>
      <c t="s">
        <v>4747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650" s="1" t="str">
        <f ca="1">HYPERLINK("https://web.datatree.com/?/property?propertyId=34240551", "https://web.datatree.com/?/property?propertyId=34240551")</f>
        <v>https://web.datatree.com/?/property?propertyId=34240551</v>
      </c>
      <c r="Q5650" t="s">
        <v>316</v>
      </c>
      <c>
        <v>0.23</v>
      </c>
      <c t="s">
        <v>6175</v>
      </c>
      <c t="s">
        <v>64427</v>
      </c>
      <c t="s">
        <v>37991</v>
      </c>
      <c r="X5650" t="s">
        <v>62376</v>
      </c>
      <c t="s">
        <v>53663</v>
      </c>
      <c t="s">
        <v>2517</v>
      </c>
      <c t="s">
        <v>39289</v>
      </c>
      <c>
        <v>33909</v>
      </c>
      <c t="s">
        <v>57342</v>
      </c>
      <c t="s">
        <v>48794</v>
      </c>
      <c t="s">
        <v>49377</v>
      </c>
      <c>
        <v>9501</v>
      </c>
      <c r="AI5650" t="s">
        <v>47283</v>
      </c>
      <c t="s">
        <v>45393</v>
      </c>
      <c r="AL5650" t="s">
        <v>55393</v>
      </c>
      <c r="AN5650" t="s">
        <v>39289</v>
      </c>
      <c t="s">
        <v>26377</v>
      </c>
      <c t="s">
        <v>60333</v>
      </c>
      <c t="s">
        <v>3093</v>
      </c>
      <c t="s">
        <v>56345</v>
      </c>
    </row>
    <row>
      <c t="s">
        <v>17594</v>
      </c>
      <c t="s">
        <v>48000</v>
      </c>
      <c t="s">
        <v>12277</v>
      </c>
      <c t="s">
        <v>55240</v>
      </c>
      <c t="s">
        <v>51493</v>
      </c>
      <c s="3">
        <v>195866</v>
      </c>
      <c s="3">
        <v>195866</v>
      </c>
      <c s="3">
        <v>167433</v>
      </c>
      <c>
        <v>0</v>
      </c>
      <c s="3">
        <v>0</v>
      </c>
      <c s="3">
        <v>3273.01</v>
      </c>
      <c s="3">
        <v>195866</v>
      </c>
      <c r="O5651" s="1" t="str">
        <f ca="1">HYPERLINK("https://web.datatree.com/?/property?propertyId=34240561", "https://web.datatree.com/?/property?propertyId=34240561")</f>
        <v>https://web.datatree.com/?/property?propertyId=34240561</v>
      </c>
      <c r="Q5651" t="s">
        <v>316</v>
      </c>
      <c>
        <v>0.286</v>
      </c>
      <c t="s">
        <v>22490</v>
      </c>
      <c t="s">
        <v>10361</v>
      </c>
      <c t="s">
        <v>47660</v>
      </c>
      <c r="X5651" t="s">
        <v>45395</v>
      </c>
      <c t="s">
        <v>40043</v>
      </c>
      <c t="s">
        <v>2517</v>
      </c>
      <c t="s">
        <v>39289</v>
      </c>
      <c>
        <v>33904</v>
      </c>
      <c>
        <v>33904</v>
      </c>
      <c t="s">
        <v>48794</v>
      </c>
      <c t="s">
        <v>45791</v>
      </c>
      <c>
        <v>28</v>
      </c>
      <c r="AI5651" t="s">
        <v>10655</v>
      </c>
      <c t="s">
        <v>31192</v>
      </c>
      <c r="AL5651" t="s">
        <v>63445</v>
      </c>
      <c t="s">
        <v>63445</v>
      </c>
      <c t="s">
        <v>14509</v>
      </c>
      <c t="s">
        <v>61223</v>
      </c>
      <c t="s">
        <v>60333</v>
      </c>
      <c t="s">
        <v>3093</v>
      </c>
      <c t="s">
        <v>66060</v>
      </c>
    </row>
    <row>
      <c t="s">
        <v>17594</v>
      </c>
      <c t="s">
        <v>44291</v>
      </c>
      <c t="s">
        <v>33499</v>
      </c>
      <c t="s">
        <v>39653</v>
      </c>
      <c t="s">
        <v>43182</v>
      </c>
      <c s="3">
        <v>24100</v>
      </c>
      <c s="3">
        <v>20002</v>
      </c>
      <c s="3">
        <v>15091</v>
      </c>
      <c>
        <v>0</v>
      </c>
      <c s="3">
        <v>0</v>
      </c>
      <c s="3">
        <v>679.61</v>
      </c>
      <c s="3">
        <v>24100</v>
      </c>
      <c>
        <v>2021</v>
      </c>
      <c>
        <v>704.57</v>
      </c>
      <c s="1" t="str">
        <f ca="1">HYPERLINK("https://web.datatree.com/?/property?propertyId=34241039", "https://web.datatree.com/?/property?propertyId=34241039")</f>
        <v>https://web.datatree.com/?/property?propertyId=34241039</v>
      </c>
      <c r="Q5652" t="s">
        <v>316</v>
      </c>
      <c>
        <v>0.23</v>
      </c>
      <c t="s">
        <v>22490</v>
      </c>
      <c t="s">
        <v>35936</v>
      </c>
      <c t="s">
        <v>10719</v>
      </c>
      <c r="X5652" t="s">
        <v>53956</v>
      </c>
      <c t="s">
        <v>47150</v>
      </c>
      <c t="s">
        <v>2517</v>
      </c>
      <c t="s">
        <v>39289</v>
      </c>
      <c>
        <v>33909</v>
      </c>
      <c>
        <v>33909</v>
      </c>
      <c t="s">
        <v>48794</v>
      </c>
      <c t="s">
        <v>16911</v>
      </c>
      <c>
        <v>2652</v>
      </c>
      <c r="AI5652" t="s">
        <v>51195</v>
      </c>
      <c t="s">
        <v>31192</v>
      </c>
      <c r="AL5652" t="s">
        <v>17856</v>
      </c>
      <c r="AN5652" t="s">
        <v>50829</v>
      </c>
      <c t="s">
        <v>22886</v>
      </c>
      <c t="s">
        <v>27780</v>
      </c>
      <c t="s">
        <v>3093</v>
      </c>
      <c t="s">
        <v>60869</v>
      </c>
    </row>
    <row>
      <c t="s">
        <v>17594</v>
      </c>
      <c t="s">
        <v>49370</v>
      </c>
      <c t="s">
        <v>38443</v>
      </c>
      <c t="s">
        <v>15486</v>
      </c>
      <c t="s">
        <v>4988</v>
      </c>
      <c s="3">
        <v>94369</v>
      </c>
      <c s="3">
        <v>94369</v>
      </c>
      <c s="3">
        <v>86505</v>
      </c>
      <c>
        <v>0</v>
      </c>
      <c s="3">
        <v>0</v>
      </c>
      <c s="3">
        <v>1338.85</v>
      </c>
      <c s="3">
        <v>94369</v>
      </c>
      <c r="O5653" s="1" t="str">
        <f ca="1">HYPERLINK("https://web.datatree.com/?/property?propertyId=34241896", "https://web.datatree.com/?/property?propertyId=34241896")</f>
        <v>https://web.datatree.com/?/property?propertyId=34241896</v>
      </c>
      <c r="Q5653" t="s">
        <v>316</v>
      </c>
      <c>
        <v>0.592</v>
      </c>
      <c t="s">
        <v>30497</v>
      </c>
      <c t="s">
        <v>18093</v>
      </c>
      <c t="s">
        <v>53656</v>
      </c>
      <c r="X5653" t="s">
        <v>43778</v>
      </c>
      <c t="s">
        <v>57283</v>
      </c>
      <c t="s">
        <v>65059</v>
      </c>
      <c t="s">
        <v>39289</v>
      </c>
      <c>
        <v>33905</v>
      </c>
      <c t="s">
        <v>65870</v>
      </c>
      <c t="s">
        <v>48794</v>
      </c>
      <c t="s">
        <v>46969</v>
      </c>
      <c>
        <v>1042</v>
      </c>
      <c r="AI5653" t="s">
        <v>45637</v>
      </c>
      <c t="s">
        <v>31192</v>
      </c>
      <c r="AL5653" t="s">
        <v>11713</v>
      </c>
      <c r="AN5653" t="s">
        <v>39289</v>
      </c>
      <c t="s">
        <v>3565</v>
      </c>
      <c t="s">
        <v>1951</v>
      </c>
      <c t="s">
        <v>3093</v>
      </c>
      <c t="s">
        <v>49447</v>
      </c>
    </row>
    <row>
      <c t="s">
        <v>17594</v>
      </c>
      <c t="s">
        <v>15909</v>
      </c>
      <c t="s">
        <v>4422</v>
      </c>
      <c t="s">
        <v>25810</v>
      </c>
      <c t="s">
        <v>11894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5654" s="1" t="str">
        <f ca="1">HYPERLINK("https://web.datatree.com/?/property?propertyId=34241972", "https://web.datatree.com/?/property?propertyId=34241972")</f>
        <v>https://web.datatree.com/?/property?propertyId=34241972</v>
      </c>
      <c r="Q5654" t="s">
        <v>316</v>
      </c>
      <c>
        <v>0.23</v>
      </c>
      <c t="s">
        <v>42044</v>
      </c>
      <c t="s">
        <v>10070</v>
      </c>
      <c t="s">
        <v>3309</v>
      </c>
      <c t="s">
        <v>36531</v>
      </c>
      <c t="s">
        <v>43030</v>
      </c>
      <c t="s">
        <v>31630</v>
      </c>
      <c t="s">
        <v>13478</v>
      </c>
      <c t="s">
        <v>2517</v>
      </c>
      <c t="s">
        <v>39289</v>
      </c>
      <c>
        <v>33909</v>
      </c>
      <c t="s">
        <v>12020</v>
      </c>
      <c t="s">
        <v>48794</v>
      </c>
      <c t="s">
        <v>4283</v>
      </c>
      <c>
        <v>24871</v>
      </c>
      <c r="AI5654" t="s">
        <v>59330</v>
      </c>
      <c t="s">
        <v>31192</v>
      </c>
      <c r="AL5654" t="s">
        <v>49614</v>
      </c>
      <c t="s">
        <v>25539</v>
      </c>
      <c t="s">
        <v>51087</v>
      </c>
      <c t="s">
        <v>60399</v>
      </c>
      <c t="s">
        <v>37774</v>
      </c>
      <c t="s">
        <v>3093</v>
      </c>
      <c t="s">
        <v>48030</v>
      </c>
    </row>
    <row>
      <c t="s">
        <v>17594</v>
      </c>
      <c t="s">
        <v>20910</v>
      </c>
      <c t="s">
        <v>44356</v>
      </c>
      <c t="s">
        <v>41300</v>
      </c>
      <c t="s">
        <v>22114</v>
      </c>
      <c s="3">
        <v>17906</v>
      </c>
      <c s="3">
        <v>17906</v>
      </c>
      <c s="3">
        <v>13421</v>
      </c>
      <c>
        <v>0</v>
      </c>
      <c s="3">
        <v>0</v>
      </c>
      <c s="3">
        <v>217.54</v>
      </c>
      <c s="3">
        <v>17906</v>
      </c>
      <c r="O5655" s="1" t="str">
        <f ca="1">HYPERLINK("https://web.datatree.com/?/property?propertyId=34242163", "https://web.datatree.com/?/property?propertyId=34242163")</f>
        <v>https://web.datatree.com/?/property?propertyId=34242163</v>
      </c>
      <c r="Q5655" t="s">
        <v>316</v>
      </c>
      <c>
        <v>0.146</v>
      </c>
      <c t="s">
        <v>36917</v>
      </c>
      <c t="s">
        <v>4629</v>
      </c>
      <c t="s">
        <v>59135</v>
      </c>
      <c r="X5655" t="s">
        <v>32039</v>
      </c>
      <c t="s">
        <v>51665</v>
      </c>
      <c t="s">
        <v>65059</v>
      </c>
      <c t="s">
        <v>39289</v>
      </c>
      <c>
        <v>33908</v>
      </c>
      <c t="s">
        <v>8124</v>
      </c>
      <c t="s">
        <v>48794</v>
      </c>
      <c t="s">
        <v>20342</v>
      </c>
      <c>
        <v>6139</v>
      </c>
      <c r="AI5655" t="s">
        <v>31246</v>
      </c>
      <c t="s">
        <v>31192</v>
      </c>
      <c r="AL5655" t="s">
        <v>63523</v>
      </c>
      <c t="s">
        <v>63523</v>
      </c>
      <c t="s">
        <v>17134</v>
      </c>
      <c t="s">
        <v>12518</v>
      </c>
      <c t="s">
        <v>35354</v>
      </c>
      <c t="s">
        <v>3093</v>
      </c>
      <c t="s">
        <v>25470</v>
      </c>
    </row>
    <row>
      <c t="s">
        <v>17594</v>
      </c>
      <c t="s">
        <v>41205</v>
      </c>
      <c t="s">
        <v>57330</v>
      </c>
      <c t="s">
        <v>61575</v>
      </c>
      <c t="s">
        <v>48251</v>
      </c>
      <c s="3">
        <v>17741</v>
      </c>
      <c s="3">
        <v>17741</v>
      </c>
      <c s="3">
        <v>7865</v>
      </c>
      <c>
        <v>0</v>
      </c>
      <c s="3">
        <v>0</v>
      </c>
      <c s="3">
        <v>488.16</v>
      </c>
      <c s="3">
        <v>17741</v>
      </c>
      <c r="O5656" s="1" t="str">
        <f ca="1">HYPERLINK("https://web.datatree.com/?/property?propertyId=34242193", "https://web.datatree.com/?/property?propertyId=34242193")</f>
        <v>https://web.datatree.com/?/property?propertyId=34242193</v>
      </c>
      <c r="Q5656" t="s">
        <v>316</v>
      </c>
      <c>
        <v>0.23</v>
      </c>
      <c t="s">
        <v>6175</v>
      </c>
      <c t="s">
        <v>3581</v>
      </c>
      <c t="s">
        <v>16367</v>
      </c>
      <c r="X5656" t="s">
        <v>19645</v>
      </c>
      <c t="s">
        <v>50440</v>
      </c>
      <c t="s">
        <v>2517</v>
      </c>
      <c t="s">
        <v>39289</v>
      </c>
      <c>
        <v>33909</v>
      </c>
      <c t="s">
        <v>18774</v>
      </c>
      <c t="s">
        <v>48794</v>
      </c>
      <c t="s">
        <v>11028</v>
      </c>
      <c>
        <v>26089</v>
      </c>
      <c r="AI5656" t="s">
        <v>54872</v>
      </c>
      <c t="s">
        <v>56275</v>
      </c>
      <c r="AL5656" t="s">
        <v>14873</v>
      </c>
      <c r="AN5656" t="s">
        <v>18236</v>
      </c>
      <c t="s">
        <v>31516</v>
      </c>
      <c t="s">
        <v>41776</v>
      </c>
      <c t="s">
        <v>3093</v>
      </c>
      <c t="s">
        <v>45562</v>
      </c>
    </row>
    <row>
      <c t="s">
        <v>17594</v>
      </c>
      <c t="s">
        <v>61305</v>
      </c>
      <c t="s">
        <v>12850</v>
      </c>
      <c t="s">
        <v>6569</v>
      </c>
      <c t="s">
        <v>25827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5657" s="1" t="str">
        <f ca="1">HYPERLINK("https://web.datatree.com/?/property?propertyId=34242213", "https://web.datatree.com/?/property?propertyId=34242213")</f>
        <v>https://web.datatree.com/?/property?propertyId=34242213</v>
      </c>
      <c r="Q5657" t="s">
        <v>316</v>
      </c>
      <c>
        <v>0.23</v>
      </c>
      <c t="s">
        <v>22490</v>
      </c>
      <c t="s">
        <v>62380</v>
      </c>
      <c t="s">
        <v>1877</v>
      </c>
      <c r="X5657" t="s">
        <v>53343</v>
      </c>
      <c t="s">
        <v>24999</v>
      </c>
      <c t="s">
        <v>2517</v>
      </c>
      <c t="s">
        <v>39289</v>
      </c>
      <c>
        <v>33909</v>
      </c>
      <c t="s">
        <v>61205</v>
      </c>
      <c t="s">
        <v>48794</v>
      </c>
      <c t="s">
        <v>26719</v>
      </c>
      <c>
        <v>215</v>
      </c>
      <c r="AI5657" t="s">
        <v>32018</v>
      </c>
      <c t="s">
        <v>45393</v>
      </c>
      <c r="AL5657" t="s">
        <v>52495</v>
      </c>
      <c r="AN5657" t="s">
        <v>27747</v>
      </c>
      <c t="s">
        <v>4599</v>
      </c>
      <c t="s">
        <v>52247</v>
      </c>
      <c t="s">
        <v>3093</v>
      </c>
      <c t="s">
        <v>36209</v>
      </c>
    </row>
    <row>
      <c t="s">
        <v>42103</v>
      </c>
      <c t="s">
        <v>65740</v>
      </c>
      <c t="s">
        <v>31857</v>
      </c>
      <c t="s">
        <v>25849</v>
      </c>
      <c t="s">
        <v>39074</v>
      </c>
      <c s="3">
        <v>17800</v>
      </c>
      <c s="3">
        <v>17800</v>
      </c>
      <c s="3">
        <v>8360</v>
      </c>
      <c>
        <v>0</v>
      </c>
      <c s="3">
        <v>0</v>
      </c>
      <c s="3">
        <v>573.63</v>
      </c>
      <c s="3">
        <v>17800</v>
      </c>
      <c r="O5658" s="1" t="str">
        <f ca="1">HYPERLINK("https://web.datatree.com/?/property?propertyId=34243441", "https://web.datatree.com/?/property?propertyId=34243441")</f>
        <v>https://web.datatree.com/?/property?propertyId=34243441</v>
      </c>
      <c r="Q5658" t="s">
        <v>316</v>
      </c>
      <c>
        <v>0.256</v>
      </c>
      <c t="s">
        <v>6175</v>
      </c>
      <c t="s">
        <v>5745</v>
      </c>
      <c t="s">
        <v>48315</v>
      </c>
      <c r="X5658" t="s">
        <v>10553</v>
      </c>
      <c t="s">
        <v>60363</v>
      </c>
      <c t="s">
        <v>2517</v>
      </c>
      <c t="s">
        <v>39289</v>
      </c>
      <c>
        <v>33909</v>
      </c>
      <c t="s">
        <v>18620</v>
      </c>
      <c t="s">
        <v>48794</v>
      </c>
      <c t="s">
        <v>24054</v>
      </c>
      <c r="AI5658" t="s">
        <v>41056</v>
      </c>
      <c r="AL5658" t="s">
        <v>60792</v>
      </c>
      <c r="AN5658" t="s">
        <v>56163</v>
      </c>
      <c>
        <v>97443</v>
      </c>
      <c t="s">
        <v>61509</v>
      </c>
      <c t="s">
        <v>3093</v>
      </c>
      <c t="s">
        <v>59269</v>
      </c>
    </row>
    <row>
      <c t="s">
        <v>17594</v>
      </c>
      <c t="s">
        <v>49103</v>
      </c>
      <c t="s">
        <v>50008</v>
      </c>
      <c t="s">
        <v>59159</v>
      </c>
      <c t="s">
        <v>19386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659" s="1" t="str">
        <f ca="1">HYPERLINK("https://web.datatree.com/?/property?propertyId=34245095", "https://web.datatree.com/?/property?propertyId=34245095")</f>
        <v>https://web.datatree.com/?/property?propertyId=34245095</v>
      </c>
      <c r="Q5659" t="s">
        <v>316</v>
      </c>
      <c>
        <v>0.23</v>
      </c>
      <c t="s">
        <v>22490</v>
      </c>
      <c t="s">
        <v>34140</v>
      </c>
      <c t="s">
        <v>52994</v>
      </c>
      <c r="X5659" t="s">
        <v>21193</v>
      </c>
      <c t="s">
        <v>53675</v>
      </c>
      <c t="s">
        <v>2517</v>
      </c>
      <c t="s">
        <v>39289</v>
      </c>
      <c>
        <v>33909</v>
      </c>
      <c t="s">
        <v>29773</v>
      </c>
      <c t="s">
        <v>48794</v>
      </c>
      <c t="s">
        <v>55249</v>
      </c>
      <c>
        <v>1714</v>
      </c>
      <c r="AI5659" t="s">
        <v>3567</v>
      </c>
      <c t="s">
        <v>24900</v>
      </c>
      <c r="AL5659" t="s">
        <v>23828</v>
      </c>
      <c t="s">
        <v>23828</v>
      </c>
      <c t="s">
        <v>39289</v>
      </c>
      <c t="s">
        <v>42430</v>
      </c>
      <c t="s">
        <v>18692</v>
      </c>
      <c t="s">
        <v>3093</v>
      </c>
      <c t="s">
        <v>30039</v>
      </c>
    </row>
    <row>
      <c t="s">
        <v>17594</v>
      </c>
      <c t="s">
        <v>24914</v>
      </c>
      <c t="s">
        <v>32748</v>
      </c>
      <c t="s">
        <v>61600</v>
      </c>
      <c t="s">
        <v>62943</v>
      </c>
      <c s="3">
        <v>31592</v>
      </c>
      <c s="3">
        <v>31592</v>
      </c>
      <c s="3">
        <v>11858</v>
      </c>
      <c>
        <v>0</v>
      </c>
      <c s="3">
        <v>0</v>
      </c>
      <c s="3">
        <v>3016.37</v>
      </c>
      <c s="3">
        <v>31592</v>
      </c>
      <c r="O5660" s="1" t="str">
        <f ca="1">HYPERLINK("https://web.datatree.com/?/property?propertyId=34245337", "https://web.datatree.com/?/property?propertyId=34245337")</f>
        <v>https://web.datatree.com/?/property?propertyId=34245337</v>
      </c>
      <c r="Q5660" t="s">
        <v>316</v>
      </c>
      <c>
        <v>0.248</v>
      </c>
      <c t="s">
        <v>32050</v>
      </c>
      <c r="U5660" t="s">
        <v>6539</v>
      </c>
      <c r="W5660" t="s">
        <v>63701</v>
      </c>
      <c t="s">
        <v>4510</v>
      </c>
      <c t="s">
        <v>2626</v>
      </c>
      <c t="s">
        <v>2517</v>
      </c>
      <c t="s">
        <v>39289</v>
      </c>
      <c>
        <v>33909</v>
      </c>
      <c t="s">
        <v>4007</v>
      </c>
      <c t="s">
        <v>48794</v>
      </c>
      <c t="s">
        <v>29879</v>
      </c>
      <c>
        <v>207</v>
      </c>
      <c r="AI5660" t="s">
        <v>67247</v>
      </c>
      <c t="s">
        <v>24900</v>
      </c>
      <c t="s">
        <v>24926</v>
      </c>
      <c t="s">
        <v>51404</v>
      </c>
      <c r="AN5660" t="s">
        <v>48152</v>
      </c>
      <c t="s">
        <v>39803</v>
      </c>
      <c t="s">
        <v>47183</v>
      </c>
      <c t="s">
        <v>3093</v>
      </c>
      <c t="s">
        <v>10029</v>
      </c>
    </row>
    <row>
      <c t="s">
        <v>17594</v>
      </c>
      <c t="s">
        <v>52723</v>
      </c>
      <c t="s">
        <v>63179</v>
      </c>
      <c t="s">
        <v>53093</v>
      </c>
      <c t="s">
        <v>21731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>
        <v>2021</v>
      </c>
      <c>
        <v>594.94</v>
      </c>
      <c s="1" t="str">
        <f ca="1">HYPERLINK("https://web.datatree.com/?/property?propertyId=34245389", "https://web.datatree.com/?/property?propertyId=34245389")</f>
        <v>https://web.datatree.com/?/property?propertyId=34245389</v>
      </c>
      <c r="Q5661" t="s">
        <v>316</v>
      </c>
      <c>
        <v>0.23</v>
      </c>
      <c t="s">
        <v>6175</v>
      </c>
      <c t="s">
        <v>8604</v>
      </c>
      <c t="s">
        <v>36522</v>
      </c>
      <c r="X5661" t="s">
        <v>32260</v>
      </c>
      <c t="s">
        <v>10653</v>
      </c>
      <c t="s">
        <v>2517</v>
      </c>
      <c t="s">
        <v>39289</v>
      </c>
      <c>
        <v>33909</v>
      </c>
      <c t="s">
        <v>65652</v>
      </c>
      <c t="s">
        <v>48794</v>
      </c>
      <c t="s">
        <v>7242</v>
      </c>
      <c>
        <v>5212</v>
      </c>
      <c r="AI5661" t="s">
        <v>64379</v>
      </c>
      <c t="s">
        <v>24900</v>
      </c>
      <c r="AL5661" t="s">
        <v>8109</v>
      </c>
      <c r="AN5661" t="s">
        <v>50917</v>
      </c>
      <c t="s">
        <v>7687</v>
      </c>
      <c t="s">
        <v>39566</v>
      </c>
      <c t="s">
        <v>3093</v>
      </c>
      <c t="s">
        <v>6396</v>
      </c>
    </row>
    <row>
      <c t="s">
        <v>17594</v>
      </c>
      <c t="s">
        <v>58541</v>
      </c>
      <c t="s">
        <v>30053</v>
      </c>
      <c t="s">
        <v>10286</v>
      </c>
      <c t="s">
        <v>14934</v>
      </c>
      <c s="3">
        <v>10600</v>
      </c>
      <c s="3">
        <v>10600</v>
      </c>
      <c s="3">
        <v>10600</v>
      </c>
      <c>
        <v>0</v>
      </c>
      <c s="3">
        <v>0</v>
      </c>
      <c s="3">
        <v>639.71</v>
      </c>
      <c s="3">
        <v>10600</v>
      </c>
      <c r="O5662" s="1" t="str">
        <f ca="1">HYPERLINK("https://web.datatree.com/?/property?propertyId=34245503", "https://web.datatree.com/?/property?propertyId=34245503")</f>
        <v>https://web.datatree.com/?/property?propertyId=34245503</v>
      </c>
      <c r="Q5662" t="s">
        <v>316</v>
      </c>
      <c>
        <v>0.23</v>
      </c>
      <c t="s">
        <v>6175</v>
      </c>
      <c t="s">
        <v>11343</v>
      </c>
      <c t="s">
        <v>27594</v>
      </c>
      <c t="s">
        <v>11809</v>
      </c>
      <c t="s">
        <v>27594</v>
      </c>
      <c t="s">
        <v>60370</v>
      </c>
      <c t="s">
        <v>53675</v>
      </c>
      <c t="s">
        <v>2517</v>
      </c>
      <c t="s">
        <v>39289</v>
      </c>
      <c>
        <v>33909</v>
      </c>
      <c t="s">
        <v>2252</v>
      </c>
      <c t="s">
        <v>48794</v>
      </c>
      <c t="s">
        <v>27737</v>
      </c>
      <c>
        <v>605</v>
      </c>
      <c r="AI5662" t="s">
        <v>24041</v>
      </c>
      <c t="s">
        <v>31192</v>
      </c>
      <c r="AL5662" t="s">
        <v>11743</v>
      </c>
      <c t="s">
        <v>29805</v>
      </c>
      <c t="s">
        <v>3034</v>
      </c>
      <c t="s">
        <v>2856</v>
      </c>
      <c t="s">
        <v>30106</v>
      </c>
      <c t="s">
        <v>3093</v>
      </c>
      <c t="s">
        <v>23945</v>
      </c>
    </row>
    <row>
      <c t="s">
        <v>17594</v>
      </c>
      <c t="s">
        <v>45079</v>
      </c>
      <c t="s">
        <v>18251</v>
      </c>
      <c t="s">
        <v>64130</v>
      </c>
      <c t="s">
        <v>40196</v>
      </c>
      <c s="3">
        <v>7700</v>
      </c>
      <c s="3">
        <v>7700</v>
      </c>
      <c s="3">
        <v>7700</v>
      </c>
      <c>
        <v>0</v>
      </c>
      <c s="3">
        <v>0</v>
      </c>
      <c s="3">
        <v>690.23</v>
      </c>
      <c s="3">
        <v>7700</v>
      </c>
      <c r="O5663" s="1" t="str">
        <f ca="1">HYPERLINK("https://web.datatree.com/?/property?propertyId=34245709", "https://web.datatree.com/?/property?propertyId=34245709")</f>
        <v>https://web.datatree.com/?/property?propertyId=34245709</v>
      </c>
      <c r="Q5663" t="s">
        <v>316</v>
      </c>
      <c>
        <v>0.229</v>
      </c>
      <c t="s">
        <v>6175</v>
      </c>
      <c t="s">
        <v>9003</v>
      </c>
      <c t="s">
        <v>56522</v>
      </c>
      <c t="s">
        <v>43364</v>
      </c>
      <c t="s">
        <v>30452</v>
      </c>
      <c t="s">
        <v>34779</v>
      </c>
      <c t="s">
        <v>14917</v>
      </c>
      <c t="s">
        <v>2517</v>
      </c>
      <c t="s">
        <v>39289</v>
      </c>
      <c>
        <v>33909</v>
      </c>
      <c t="s">
        <v>12914</v>
      </c>
      <c t="s">
        <v>48794</v>
      </c>
      <c t="s">
        <v>8791</v>
      </c>
      <c>
        <v>82</v>
      </c>
      <c r="AI5663" t="s">
        <v>58481</v>
      </c>
      <c t="s">
        <v>45393</v>
      </c>
      <c r="AL5663" t="s">
        <v>57305</v>
      </c>
      <c t="s">
        <v>57305</v>
      </c>
      <c t="s">
        <v>17134</v>
      </c>
      <c>
        <v>45360</v>
      </c>
      <c r="AQ5663" t="s">
        <v>3093</v>
      </c>
      <c t="s">
        <v>57535</v>
      </c>
    </row>
    <row>
      <c t="s">
        <v>17594</v>
      </c>
      <c t="s">
        <v>9689</v>
      </c>
      <c t="s">
        <v>59876</v>
      </c>
      <c t="s">
        <v>16693</v>
      </c>
      <c t="s">
        <v>66786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664" s="1" t="str">
        <f ca="1">HYPERLINK("https://web.datatree.com/?/property?propertyId=34245779", "https://web.datatree.com/?/property?propertyId=34245779")</f>
        <v>https://web.datatree.com/?/property?propertyId=34245779</v>
      </c>
      <c r="Q5664" t="s">
        <v>316</v>
      </c>
      <c>
        <v>0.23</v>
      </c>
      <c t="s">
        <v>6175</v>
      </c>
      <c t="s">
        <v>10361</v>
      </c>
      <c t="s">
        <v>2653</v>
      </c>
      <c t="s">
        <v>57316</v>
      </c>
      <c t="s">
        <v>2653</v>
      </c>
      <c t="s">
        <v>59218</v>
      </c>
      <c t="s">
        <v>15510</v>
      </c>
      <c t="s">
        <v>2517</v>
      </c>
      <c t="s">
        <v>39289</v>
      </c>
      <c>
        <v>33909</v>
      </c>
      <c t="s">
        <v>16385</v>
      </c>
      <c t="s">
        <v>48794</v>
      </c>
      <c t="s">
        <v>34350</v>
      </c>
      <c>
        <v>9310</v>
      </c>
      <c r="AI5664" t="s">
        <v>62445</v>
      </c>
      <c t="s">
        <v>31192</v>
      </c>
      <c r="AL5664" t="s">
        <v>15179</v>
      </c>
      <c r="AN5664" t="s">
        <v>39289</v>
      </c>
      <c t="s">
        <v>39273</v>
      </c>
      <c t="s">
        <v>15686</v>
      </c>
      <c t="s">
        <v>3093</v>
      </c>
      <c t="s">
        <v>45646</v>
      </c>
    </row>
    <row>
      <c t="s">
        <v>17594</v>
      </c>
      <c t="s">
        <v>56773</v>
      </c>
      <c t="s">
        <v>22936</v>
      </c>
      <c t="s">
        <v>38102</v>
      </c>
      <c t="s">
        <v>3343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5665" s="1" t="str">
        <f ca="1">HYPERLINK("https://web.datatree.com/?/property?propertyId=34246170", "https://web.datatree.com/?/property?propertyId=34246170")</f>
        <v>https://web.datatree.com/?/property?propertyId=34246170</v>
      </c>
      <c r="Q5665" t="s">
        <v>316</v>
      </c>
      <c>
        <v>0.23</v>
      </c>
      <c t="s">
        <v>22490</v>
      </c>
      <c t="s">
        <v>65344</v>
      </c>
      <c t="s">
        <v>29148</v>
      </c>
      <c r="X5665" t="s">
        <v>27633</v>
      </c>
      <c t="s">
        <v>2626</v>
      </c>
      <c t="s">
        <v>2517</v>
      </c>
      <c t="s">
        <v>39289</v>
      </c>
      <c>
        <v>33909</v>
      </c>
      <c t="s">
        <v>42247</v>
      </c>
      <c t="s">
        <v>48794</v>
      </c>
      <c t="s">
        <v>62015</v>
      </c>
      <c>
        <v>2911</v>
      </c>
      <c r="AI5665" t="s">
        <v>8420</v>
      </c>
      <c t="s">
        <v>55842</v>
      </c>
      <c r="AL5665" t="s">
        <v>27584</v>
      </c>
      <c r="AN5665" t="s">
        <v>18236</v>
      </c>
      <c t="s">
        <v>38871</v>
      </c>
      <c t="s">
        <v>23435</v>
      </c>
      <c t="s">
        <v>3093</v>
      </c>
      <c t="s">
        <v>2823</v>
      </c>
    </row>
    <row>
      <c t="s">
        <v>17594</v>
      </c>
      <c t="s">
        <v>18784</v>
      </c>
      <c t="s">
        <v>6384</v>
      </c>
      <c t="s">
        <v>43097</v>
      </c>
      <c t="s">
        <v>48671</v>
      </c>
      <c s="3">
        <v>67640</v>
      </c>
      <c s="3">
        <v>67640</v>
      </c>
      <c s="3">
        <v>67640</v>
      </c>
      <c>
        <v>0</v>
      </c>
      <c s="3">
        <v>0</v>
      </c>
      <c s="3">
        <v>923.41</v>
      </c>
      <c s="3">
        <v>67640</v>
      </c>
      <c r="O5666" s="1" t="str">
        <f ca="1">HYPERLINK("https://web.datatree.com/?/property?propertyId=34246185", "https://web.datatree.com/?/property?propertyId=34246185")</f>
        <v>https://web.datatree.com/?/property?propertyId=34246185</v>
      </c>
      <c r="Q5666" t="s">
        <v>316</v>
      </c>
      <c>
        <v>0.193</v>
      </c>
      <c t="s">
        <v>5471</v>
      </c>
      <c t="s">
        <v>63228</v>
      </c>
      <c t="s">
        <v>24430</v>
      </c>
      <c t="s">
        <v>61409</v>
      </c>
      <c t="s">
        <v>24430</v>
      </c>
      <c t="s">
        <v>31973</v>
      </c>
      <c t="s">
        <v>63132</v>
      </c>
      <c t="s">
        <v>65059</v>
      </c>
      <c t="s">
        <v>39289</v>
      </c>
      <c>
        <v>33905</v>
      </c>
      <c>
        <v>33905</v>
      </c>
      <c t="s">
        <v>48794</v>
      </c>
      <c t="s">
        <v>20167</v>
      </c>
      <c>
        <v>6650</v>
      </c>
      <c r="AI5666" t="s">
        <v>25268</v>
      </c>
      <c t="s">
        <v>24900</v>
      </c>
      <c r="AL5666" t="s">
        <v>55393</v>
      </c>
      <c t="s">
        <v>40227</v>
      </c>
      <c t="s">
        <v>39289</v>
      </c>
      <c t="s">
        <v>18690</v>
      </c>
      <c t="s">
        <v>42082</v>
      </c>
      <c t="s">
        <v>3093</v>
      </c>
      <c t="s">
        <v>24773</v>
      </c>
    </row>
    <row>
      <c t="s">
        <v>17594</v>
      </c>
      <c t="s">
        <v>15003</v>
      </c>
      <c t="s">
        <v>30231</v>
      </c>
      <c t="s">
        <v>4986</v>
      </c>
      <c t="s">
        <v>58988</v>
      </c>
      <c s="3">
        <v>4420</v>
      </c>
      <c s="3">
        <v>4420</v>
      </c>
      <c s="3">
        <v>310</v>
      </c>
      <c>
        <v>0</v>
      </c>
      <c s="3">
        <v>0</v>
      </c>
      <c s="3">
        <v>251.7</v>
      </c>
      <c s="3">
        <v>4420</v>
      </c>
      <c>
        <v>2014</v>
      </c>
      <c>
        <v>4283.34</v>
      </c>
      <c s="1" t="str">
        <f ca="1">HYPERLINK("https://web.datatree.com/?/property?propertyId=34246630", "https://web.datatree.com/?/property?propertyId=34246630")</f>
        <v>https://web.datatree.com/?/property?propertyId=34246630</v>
      </c>
      <c r="Q5667" t="s">
        <v>316</v>
      </c>
      <c>
        <v>0.072</v>
      </c>
      <c t="s">
        <v>42044</v>
      </c>
      <c t="s">
        <v>3293</v>
      </c>
      <c t="s">
        <v>46201</v>
      </c>
      <c r="X5667" t="s">
        <v>7657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9122</v>
      </c>
      <c r="AI5667" t="s">
        <v>34136</v>
      </c>
      <c t="s">
        <v>40123</v>
      </c>
      <c r="AL5667" t="s">
        <v>65608</v>
      </c>
      <c t="s">
        <v>65608</v>
      </c>
      <c t="s">
        <v>39289</v>
      </c>
      <c t="s">
        <v>35971</v>
      </c>
      <c t="s">
        <v>42082</v>
      </c>
      <c t="s">
        <v>3093</v>
      </c>
      <c t="s">
        <v>65471</v>
      </c>
    </row>
    <row>
      <c t="s">
        <v>17594</v>
      </c>
      <c t="s">
        <v>7771</v>
      </c>
      <c t="s">
        <v>62929</v>
      </c>
      <c t="s">
        <v>38009</v>
      </c>
      <c t="s">
        <v>52317</v>
      </c>
      <c s="3">
        <v>6935</v>
      </c>
      <c s="3">
        <v>6935</v>
      </c>
      <c s="3">
        <v>6935</v>
      </c>
      <c>
        <v>0</v>
      </c>
      <c s="3">
        <v>0</v>
      </c>
      <c s="3">
        <v>757.43</v>
      </c>
      <c s="3">
        <v>6935</v>
      </c>
      <c r="O5668" s="1" t="str">
        <f ca="1">HYPERLINK("https://web.datatree.com/?/property?propertyId=34246690", "https://web.datatree.com/?/property?propertyId=34246690")</f>
        <v>https://web.datatree.com/?/property?propertyId=34246690</v>
      </c>
      <c r="Q5668" t="s">
        <v>316</v>
      </c>
      <c>
        <v>0.332</v>
      </c>
      <c t="s">
        <v>22490</v>
      </c>
      <c t="s">
        <v>57817</v>
      </c>
      <c t="s">
        <v>43112</v>
      </c>
      <c r="X5668" t="s">
        <v>10386</v>
      </c>
      <c t="s">
        <v>23517</v>
      </c>
      <c t="s">
        <v>2517</v>
      </c>
      <c t="s">
        <v>39289</v>
      </c>
      <c>
        <v>33909</v>
      </c>
      <c t="s">
        <v>29709</v>
      </c>
      <c t="s">
        <v>48794</v>
      </c>
      <c t="s">
        <v>12847</v>
      </c>
      <c>
        <v>1840</v>
      </c>
      <c r="AI5668" t="s">
        <v>35295</v>
      </c>
      <c t="s">
        <v>31192</v>
      </c>
      <c>
        <v>2323</v>
      </c>
      <c t="s">
        <v>32381</v>
      </c>
      <c t="s">
        <v>32381</v>
      </c>
      <c t="s">
        <v>39289</v>
      </c>
      <c t="s">
        <v>12119</v>
      </c>
      <c t="s">
        <v>65450</v>
      </c>
      <c t="s">
        <v>3093</v>
      </c>
      <c t="s">
        <v>37844</v>
      </c>
    </row>
    <row>
      <c t="s">
        <v>17594</v>
      </c>
      <c t="s">
        <v>22586</v>
      </c>
      <c t="s">
        <v>56342</v>
      </c>
      <c t="s">
        <v>57531</v>
      </c>
      <c t="s">
        <v>44261</v>
      </c>
      <c s="3">
        <v>8454</v>
      </c>
      <c s="3">
        <v>8454</v>
      </c>
      <c s="3">
        <v>4952</v>
      </c>
      <c>
        <v>0</v>
      </c>
      <c s="3">
        <v>0</v>
      </c>
      <c s="3">
        <v>315.22</v>
      </c>
      <c s="3">
        <v>8454</v>
      </c>
      <c r="O5669" s="1" t="str">
        <f ca="1">HYPERLINK("https://web.datatree.com/?/property?propertyId=34246778", "https://web.datatree.com/?/property?propertyId=34246778")</f>
        <v>https://web.datatree.com/?/property?propertyId=34246778</v>
      </c>
      <c r="Q5669" t="s">
        <v>316</v>
      </c>
      <c>
        <v>0.225</v>
      </c>
      <c t="s">
        <v>5471</v>
      </c>
      <c t="s">
        <v>58113</v>
      </c>
      <c t="s">
        <v>47804</v>
      </c>
      <c r="X5669" t="s">
        <v>48376</v>
      </c>
      <c t="s">
        <v>58506</v>
      </c>
      <c t="s">
        <v>65059</v>
      </c>
      <c t="s">
        <v>39289</v>
      </c>
      <c>
        <v>33905</v>
      </c>
      <c t="s">
        <v>47192</v>
      </c>
      <c t="s">
        <v>48794</v>
      </c>
      <c t="s">
        <v>11036</v>
      </c>
      <c>
        <v>191</v>
      </c>
      <c r="AI5669" t="s">
        <v>23425</v>
      </c>
      <c t="s">
        <v>24900</v>
      </c>
      <c t="s">
        <v>57285</v>
      </c>
      <c t="s">
        <v>13397</v>
      </c>
      <c t="s">
        <v>40227</v>
      </c>
      <c t="s">
        <v>50917</v>
      </c>
      <c t="s">
        <v>7741</v>
      </c>
      <c t="s">
        <v>42082</v>
      </c>
      <c t="s">
        <v>3093</v>
      </c>
      <c t="s">
        <v>22748</v>
      </c>
    </row>
    <row>
      <c t="s">
        <v>17594</v>
      </c>
      <c t="s">
        <v>15003</v>
      </c>
      <c t="s">
        <v>32815</v>
      </c>
      <c t="s">
        <v>16333</v>
      </c>
      <c t="s">
        <v>50489</v>
      </c>
      <c s="3">
        <v>2100</v>
      </c>
      <c s="3">
        <v>2100</v>
      </c>
      <c s="3">
        <v>310</v>
      </c>
      <c>
        <v>0</v>
      </c>
      <c s="3">
        <v>0</v>
      </c>
      <c s="3">
        <v>251.7</v>
      </c>
      <c s="3">
        <v>2100</v>
      </c>
      <c r="O5670" s="1" t="str">
        <f ca="1">HYPERLINK("https://web.datatree.com/?/property?propertyId=34247184", "https://web.datatree.com/?/property?propertyId=34247184")</f>
        <v>https://web.datatree.com/?/property?propertyId=34247184</v>
      </c>
      <c r="Q5670" t="s">
        <v>316</v>
      </c>
      <c>
        <v>0.072</v>
      </c>
      <c t="s">
        <v>42044</v>
      </c>
      <c r="U5670" t="s">
        <v>59836</v>
      </c>
      <c r="W5670" t="s">
        <v>18248</v>
      </c>
      <c t="s">
        <v>38920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>
        <v>3212</v>
      </c>
      <c r="AI5670" t="s">
        <v>58435</v>
      </c>
      <c t="s">
        <v>31192</v>
      </c>
      <c r="AL5670" t="s">
        <v>26045</v>
      </c>
      <c r="AN5670" t="s">
        <v>51087</v>
      </c>
      <c t="s">
        <v>19196</v>
      </c>
      <c t="s">
        <v>13449</v>
      </c>
      <c t="s">
        <v>3093</v>
      </c>
      <c t="s">
        <v>20067</v>
      </c>
    </row>
    <row>
      <c t="s">
        <v>17594</v>
      </c>
      <c t="s">
        <v>34355</v>
      </c>
      <c t="s">
        <v>45787</v>
      </c>
      <c t="s">
        <v>55469</v>
      </c>
      <c t="s">
        <v>2993</v>
      </c>
      <c s="3">
        <v>26250</v>
      </c>
      <c s="3">
        <v>26250</v>
      </c>
      <c s="3">
        <v>18975</v>
      </c>
      <c>
        <v>0</v>
      </c>
      <c s="3">
        <v>0</v>
      </c>
      <c s="3">
        <v>467.13</v>
      </c>
      <c s="3">
        <v>26250</v>
      </c>
      <c r="O5671" s="1" t="str">
        <f ca="1">HYPERLINK("https://web.datatree.com/?/property?propertyId=34247576", "https://web.datatree.com/?/property?propertyId=34247576")</f>
        <v>https://web.datatree.com/?/property?propertyId=34247576</v>
      </c>
      <c r="Q5671" t="s">
        <v>316</v>
      </c>
      <c>
        <v>0.229</v>
      </c>
      <c t="s">
        <v>5471</v>
      </c>
      <c t="s">
        <v>35138</v>
      </c>
      <c t="s">
        <v>542</v>
      </c>
      <c t="s">
        <v>59909</v>
      </c>
      <c t="s">
        <v>20405</v>
      </c>
      <c t="s">
        <v>25609</v>
      </c>
      <c t="s">
        <v>42879</v>
      </c>
      <c t="s">
        <v>65059</v>
      </c>
      <c t="s">
        <v>39289</v>
      </c>
      <c>
        <v>33905</v>
      </c>
      <c t="s">
        <v>44096</v>
      </c>
      <c t="s">
        <v>48794</v>
      </c>
      <c t="s">
        <v>45581</v>
      </c>
      <c>
        <v>1</v>
      </c>
      <c r="AI5671" t="s">
        <v>42817</v>
      </c>
      <c t="s">
        <v>31192</v>
      </c>
      <c r="AL5671" t="s">
        <v>40165</v>
      </c>
      <c t="s">
        <v>54253</v>
      </c>
      <c t="s">
        <v>26016</v>
      </c>
      <c t="s">
        <v>27713</v>
      </c>
      <c t="s">
        <v>49977</v>
      </c>
      <c t="s">
        <v>3093</v>
      </c>
      <c t="s">
        <v>34614</v>
      </c>
    </row>
    <row>
      <c t="s">
        <v>17594</v>
      </c>
      <c t="s">
        <v>56235</v>
      </c>
      <c t="s">
        <v>17237</v>
      </c>
      <c t="s">
        <v>2665</v>
      </c>
      <c t="s">
        <v>54667</v>
      </c>
      <c s="3">
        <v>8100</v>
      </c>
      <c s="3">
        <v>8100</v>
      </c>
      <c s="3">
        <v>8100</v>
      </c>
      <c>
        <v>0</v>
      </c>
      <c s="3">
        <v>0</v>
      </c>
      <c s="3">
        <v>581.73</v>
      </c>
      <c s="3">
        <v>8100</v>
      </c>
      <c r="O5672" s="1" t="str">
        <f ca="1">HYPERLINK("https://web.datatree.com/?/property?propertyId=34247774", "https://web.datatree.com/?/property?propertyId=34247774")</f>
        <v>https://web.datatree.com/?/property?propertyId=34247774</v>
      </c>
      <c r="Q5672" t="s">
        <v>316</v>
      </c>
      <c>
        <v>0.256</v>
      </c>
      <c t="s">
        <v>6175</v>
      </c>
      <c t="s">
        <v>11810</v>
      </c>
      <c t="s">
        <v>20391</v>
      </c>
      <c t="s">
        <v>32675</v>
      </c>
      <c t="s">
        <v>20391</v>
      </c>
      <c t="s">
        <v>31614</v>
      </c>
      <c t="s">
        <v>2619</v>
      </c>
      <c t="s">
        <v>2517</v>
      </c>
      <c t="s">
        <v>39289</v>
      </c>
      <c>
        <v>33909</v>
      </c>
      <c t="s">
        <v>52457</v>
      </c>
      <c t="s">
        <v>48794</v>
      </c>
      <c t="s">
        <v>53047</v>
      </c>
      <c>
        <v>3127</v>
      </c>
      <c r="AI5672" t="s">
        <v>2619</v>
      </c>
      <c t="s">
        <v>24900</v>
      </c>
      <c>
        <v>244</v>
      </c>
      <c t="s">
        <v>54859</v>
      </c>
      <c t="s">
        <v>54859</v>
      </c>
      <c t="s">
        <v>26304</v>
      </c>
      <c t="s">
        <v>22500</v>
      </c>
      <c t="s">
        <v>4660</v>
      </c>
      <c t="s">
        <v>3093</v>
      </c>
      <c t="s">
        <v>61897</v>
      </c>
    </row>
    <row>
      <c t="s">
        <v>17594</v>
      </c>
      <c t="s">
        <v>11279</v>
      </c>
      <c t="s">
        <v>31483</v>
      </c>
      <c t="s">
        <v>66440</v>
      </c>
      <c t="s">
        <v>53359</v>
      </c>
      <c s="3">
        <v>24937</v>
      </c>
      <c s="3">
        <v>24937</v>
      </c>
      <c s="3">
        <v>12100</v>
      </c>
      <c>
        <v>0</v>
      </c>
      <c s="3">
        <v>0</v>
      </c>
      <c s="3">
        <v>3021.66</v>
      </c>
      <c s="3">
        <v>24937</v>
      </c>
      <c r="O5673" s="1" t="str">
        <f ca="1">HYPERLINK("https://web.datatree.com/?/property?propertyId=34247885", "https://web.datatree.com/?/property?propertyId=34247885")</f>
        <v>https://web.datatree.com/?/property?propertyId=34247885</v>
      </c>
      <c r="Q5673" t="s">
        <v>316</v>
      </c>
      <c>
        <v>0.248</v>
      </c>
      <c t="s">
        <v>6175</v>
      </c>
      <c t="s">
        <v>33213</v>
      </c>
      <c t="s">
        <v>32964</v>
      </c>
      <c t="s">
        <v>64736</v>
      </c>
      <c t="s">
        <v>45445</v>
      </c>
      <c t="s">
        <v>56604</v>
      </c>
      <c t="s">
        <v>13478</v>
      </c>
      <c t="s">
        <v>2517</v>
      </c>
      <c t="s">
        <v>39289</v>
      </c>
      <c>
        <v>33909</v>
      </c>
      <c t="s">
        <v>21011</v>
      </c>
      <c t="s">
        <v>48794</v>
      </c>
      <c t="s">
        <v>29471</v>
      </c>
      <c>
        <v>24301</v>
      </c>
      <c r="AI5673" t="s">
        <v>53258</v>
      </c>
      <c t="s">
        <v>24900</v>
      </c>
      <c r="AL5673" t="s">
        <v>30396</v>
      </c>
      <c r="AN5673" t="s">
        <v>39289</v>
      </c>
      <c t="s">
        <v>38744</v>
      </c>
      <c t="s">
        <v>22455</v>
      </c>
      <c t="s">
        <v>3093</v>
      </c>
      <c t="s">
        <v>7447</v>
      </c>
    </row>
    <row>
      <c t="s">
        <v>17594</v>
      </c>
      <c t="s">
        <v>66604</v>
      </c>
      <c t="s">
        <v>55771</v>
      </c>
      <c t="s">
        <v>47980</v>
      </c>
      <c t="s">
        <v>9933</v>
      </c>
      <c s="3">
        <v>8760</v>
      </c>
      <c s="3">
        <v>8760</v>
      </c>
      <c s="3">
        <v>8760</v>
      </c>
      <c>
        <v>0</v>
      </c>
      <c s="3">
        <v>0</v>
      </c>
      <c s="3">
        <v>715.06</v>
      </c>
      <c s="3">
        <v>8760</v>
      </c>
      <c r="O5674" s="1" t="str">
        <f ca="1">HYPERLINK("https://web.datatree.com/?/property?propertyId=34247965", "https://web.datatree.com/?/property?propertyId=34247965")</f>
        <v>https://web.datatree.com/?/property?propertyId=34247965</v>
      </c>
      <c r="Q5674" t="s">
        <v>316</v>
      </c>
      <c>
        <v>0.359</v>
      </c>
      <c t="s">
        <v>22490</v>
      </c>
      <c t="s">
        <v>48664</v>
      </c>
      <c t="s">
        <v>9592</v>
      </c>
      <c r="X5674" t="s">
        <v>30479</v>
      </c>
      <c t="s">
        <v>39082</v>
      </c>
      <c t="s">
        <v>2517</v>
      </c>
      <c t="s">
        <v>39289</v>
      </c>
      <c>
        <v>33909</v>
      </c>
      <c t="s">
        <v>47718</v>
      </c>
      <c t="s">
        <v>48794</v>
      </c>
      <c t="s">
        <v>26760</v>
      </c>
      <c>
        <v>811</v>
      </c>
      <c r="AI5674" t="s">
        <v>17720</v>
      </c>
      <c t="s">
        <v>24900</v>
      </c>
      <c r="AL5674" t="s">
        <v>39486</v>
      </c>
      <c t="s">
        <v>39486</v>
      </c>
      <c t="s">
        <v>26016</v>
      </c>
      <c t="s">
        <v>40682</v>
      </c>
      <c t="s">
        <v>34162</v>
      </c>
      <c t="s">
        <v>3093</v>
      </c>
      <c t="s">
        <v>64447</v>
      </c>
    </row>
    <row>
      <c t="s">
        <v>17594</v>
      </c>
      <c t="s">
        <v>62657</v>
      </c>
      <c t="s">
        <v>42406</v>
      </c>
      <c t="s">
        <v>7078</v>
      </c>
      <c t="s">
        <v>40127</v>
      </c>
      <c s="3">
        <v>670995</v>
      </c>
      <c s="3">
        <v>670995</v>
      </c>
      <c s="3">
        <v>643500</v>
      </c>
      <c>
        <v>0</v>
      </c>
      <c s="3">
        <v>0</v>
      </c>
      <c s="3">
        <v>10653.25</v>
      </c>
      <c s="3">
        <v>670995</v>
      </c>
      <c r="O5675" s="1" t="str">
        <f ca="1">HYPERLINK("https://web.datatree.com/?/property?propertyId=34248084", "https://web.datatree.com/?/property?propertyId=34248084")</f>
        <v>https://web.datatree.com/?/property?propertyId=34248084</v>
      </c>
      <c r="Q5675" t="s">
        <v>316</v>
      </c>
      <c>
        <v>0.316</v>
      </c>
      <c t="s">
        <v>22490</v>
      </c>
      <c t="s">
        <v>16064</v>
      </c>
      <c t="s">
        <v>65222</v>
      </c>
      <c t="s">
        <v>61273</v>
      </c>
      <c t="s">
        <v>65222</v>
      </c>
      <c t="s">
        <v>48256</v>
      </c>
      <c t="s">
        <v>63872</v>
      </c>
      <c t="s">
        <v>2517</v>
      </c>
      <c t="s">
        <v>39289</v>
      </c>
      <c>
        <v>33904</v>
      </c>
      <c t="s">
        <v>60469</v>
      </c>
      <c t="s">
        <v>48794</v>
      </c>
      <c t="s">
        <v>39167</v>
      </c>
      <c>
        <v>8907</v>
      </c>
      <c r="AI5675" t="s">
        <v>50120</v>
      </c>
      <c t="s">
        <v>14116</v>
      </c>
      <c r="AL5675" t="s">
        <v>21604</v>
      </c>
      <c t="s">
        <v>60007</v>
      </c>
      <c t="s">
        <v>50829</v>
      </c>
      <c t="s">
        <v>13909</v>
      </c>
      <c t="s">
        <v>40826</v>
      </c>
      <c t="s">
        <v>3093</v>
      </c>
      <c t="s">
        <v>49434</v>
      </c>
    </row>
    <row>
      <c t="s">
        <v>17594</v>
      </c>
      <c t="s">
        <v>2808</v>
      </c>
      <c t="s">
        <v>381</v>
      </c>
      <c t="s">
        <v>37305</v>
      </c>
      <c t="s">
        <v>30420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5676" s="1" t="str">
        <f ca="1">HYPERLINK("https://web.datatree.com/?/property?propertyId=34248461", "https://web.datatree.com/?/property?propertyId=34248461")</f>
        <v>https://web.datatree.com/?/property?propertyId=34248461</v>
      </c>
      <c r="Q5676" t="s">
        <v>316</v>
      </c>
      <c>
        <v>0.253</v>
      </c>
      <c t="s">
        <v>6175</v>
      </c>
      <c t="s">
        <v>59171</v>
      </c>
      <c t="s">
        <v>43112</v>
      </c>
      <c t="s">
        <v>32228</v>
      </c>
      <c t="s">
        <v>43112</v>
      </c>
      <c t="s">
        <v>47033</v>
      </c>
      <c t="s">
        <v>34731</v>
      </c>
      <c t="s">
        <v>2517</v>
      </c>
      <c t="s">
        <v>39289</v>
      </c>
      <c>
        <v>33909</v>
      </c>
      <c t="s">
        <v>55969</v>
      </c>
      <c t="s">
        <v>48794</v>
      </c>
      <c t="s">
        <v>3378</v>
      </c>
      <c>
        <v>1220</v>
      </c>
      <c r="AI5676" t="s">
        <v>24472</v>
      </c>
      <c t="s">
        <v>24900</v>
      </c>
      <c r="AL5676" t="s">
        <v>55393</v>
      </c>
      <c r="AN5676" t="s">
        <v>39289</v>
      </c>
      <c t="s">
        <v>24319</v>
      </c>
      <c t="s">
        <v>27553</v>
      </c>
      <c t="s">
        <v>3093</v>
      </c>
      <c t="s">
        <v>31906</v>
      </c>
    </row>
    <row>
      <c t="s">
        <v>17594</v>
      </c>
      <c t="s">
        <v>37925</v>
      </c>
      <c t="s">
        <v>19412</v>
      </c>
      <c t="s">
        <v>14327</v>
      </c>
      <c t="s">
        <v>30</v>
      </c>
      <c s="3">
        <v>12544</v>
      </c>
      <c s="3">
        <v>12544</v>
      </c>
      <c s="3">
        <v>4972</v>
      </c>
      <c>
        <v>0</v>
      </c>
      <c s="3">
        <v>0</v>
      </c>
      <c s="3">
        <v>324.47</v>
      </c>
      <c s="3">
        <v>12544</v>
      </c>
      <c r="O5677" s="1" t="str">
        <f ca="1">HYPERLINK("https://web.datatree.com/?/property?propertyId=34248823", "https://web.datatree.com/?/property?propertyId=34248823")</f>
        <v>https://web.datatree.com/?/property?propertyId=34248823</v>
      </c>
      <c r="Q5677" t="s">
        <v>316</v>
      </c>
      <c>
        <v>0.298</v>
      </c>
      <c t="s">
        <v>5471</v>
      </c>
      <c t="s">
        <v>1599</v>
      </c>
      <c t="s">
        <v>10530</v>
      </c>
      <c r="X5677" t="s">
        <v>42231</v>
      </c>
      <c t="s">
        <v>43060</v>
      </c>
      <c t="s">
        <v>65059</v>
      </c>
      <c t="s">
        <v>39289</v>
      </c>
      <c>
        <v>33905</v>
      </c>
      <c t="s">
        <v>43998</v>
      </c>
      <c t="s">
        <v>48794</v>
      </c>
      <c t="s">
        <v>1335</v>
      </c>
      <c>
        <v>5935</v>
      </c>
      <c r="AI5677" t="s">
        <v>13964</v>
      </c>
      <c t="s">
        <v>55842</v>
      </c>
      <c r="AL5677" t="s">
        <v>62149</v>
      </c>
      <c t="s">
        <v>62149</v>
      </c>
      <c t="s">
        <v>39289</v>
      </c>
      <c t="s">
        <v>20912</v>
      </c>
      <c t="s">
        <v>14845</v>
      </c>
      <c t="s">
        <v>3093</v>
      </c>
      <c t="s">
        <v>54544</v>
      </c>
    </row>
    <row>
      <c t="s">
        <v>17594</v>
      </c>
      <c t="s">
        <v>38151</v>
      </c>
      <c t="s">
        <v>38943</v>
      </c>
      <c t="s">
        <v>162</v>
      </c>
      <c t="s">
        <v>46231</v>
      </c>
      <c s="3">
        <v>23310</v>
      </c>
      <c s="3">
        <v>23310</v>
      </c>
      <c s="3">
        <v>10467</v>
      </c>
      <c>
        <v>0</v>
      </c>
      <c s="3">
        <v>0</v>
      </c>
      <c s="3">
        <v>705.52</v>
      </c>
      <c s="3">
        <v>23310</v>
      </c>
      <c r="O5678" s="1" t="str">
        <f ca="1">HYPERLINK("https://web.datatree.com/?/property?propertyId=34248932", "https://web.datatree.com/?/property?propertyId=34248932")</f>
        <v>https://web.datatree.com/?/property?propertyId=34248932</v>
      </c>
      <c r="Q5678" t="s">
        <v>316</v>
      </c>
      <c>
        <v>0.344</v>
      </c>
      <c t="s">
        <v>6175</v>
      </c>
      <c t="s">
        <v>23108</v>
      </c>
      <c t="s">
        <v>63166</v>
      </c>
      <c t="s">
        <v>5459</v>
      </c>
      <c t="s">
        <v>63166</v>
      </c>
      <c t="s">
        <v>29722</v>
      </c>
      <c t="s">
        <v>61865</v>
      </c>
      <c t="s">
        <v>2517</v>
      </c>
      <c t="s">
        <v>39289</v>
      </c>
      <c>
        <v>33909</v>
      </c>
      <c t="s">
        <v>66740</v>
      </c>
      <c t="s">
        <v>48794</v>
      </c>
      <c t="s">
        <v>5598</v>
      </c>
      <c>
        <v>197</v>
      </c>
      <c r="AI5678" t="s">
        <v>51827</v>
      </c>
      <c t="s">
        <v>1671</v>
      </c>
      <c r="AL5678" t="s">
        <v>64639</v>
      </c>
      <c t="s">
        <v>64639</v>
      </c>
      <c t="s">
        <v>19878</v>
      </c>
      <c t="s">
        <v>24059</v>
      </c>
      <c t="s">
        <v>24842</v>
      </c>
      <c t="s">
        <v>3093</v>
      </c>
      <c t="s">
        <v>35099</v>
      </c>
    </row>
    <row>
      <c t="s">
        <v>17594</v>
      </c>
      <c t="s">
        <v>27060</v>
      </c>
      <c t="s">
        <v>3173</v>
      </c>
      <c t="s">
        <v>51313</v>
      </c>
      <c t="s">
        <v>40135</v>
      </c>
      <c s="3">
        <v>12743</v>
      </c>
      <c s="3">
        <v>12743</v>
      </c>
      <c s="3">
        <v>6921</v>
      </c>
      <c>
        <v>0</v>
      </c>
      <c s="3">
        <v>0</v>
      </c>
      <c s="3">
        <v>130.62</v>
      </c>
      <c s="3">
        <v>12743</v>
      </c>
      <c r="O5679" s="1" t="str">
        <f ca="1">HYPERLINK("https://web.datatree.com/?/property?propertyId=34249589", "https://web.datatree.com/?/property?propertyId=34249589")</f>
        <v>https://web.datatree.com/?/property?propertyId=34249589</v>
      </c>
      <c r="Q5679" t="s">
        <v>316</v>
      </c>
      <c>
        <v>0.134</v>
      </c>
      <c r="T5679" t="s">
        <v>45579</v>
      </c>
      <c t="s">
        <v>15922</v>
      </c>
      <c t="s">
        <v>52254</v>
      </c>
      <c t="s">
        <v>15922</v>
      </c>
      <c t="s">
        <v>34302</v>
      </c>
      <c t="s">
        <v>32992</v>
      </c>
      <c t="s">
        <v>65059</v>
      </c>
      <c t="s">
        <v>39289</v>
      </c>
      <c>
        <v>33907</v>
      </c>
      <c>
        <v>33907</v>
      </c>
      <c t="s">
        <v>48794</v>
      </c>
      <c t="s">
        <v>42394</v>
      </c>
      <c>
        <v>790</v>
      </c>
      <c r="AH5679" t="s">
        <v>26580</v>
      </c>
      <c t="s">
        <v>33686</v>
      </c>
      <c t="s">
        <v>24900</v>
      </c>
      <c r="AL5679" t="s">
        <v>11713</v>
      </c>
      <c t="s">
        <v>50509</v>
      </c>
      <c t="s">
        <v>39289</v>
      </c>
      <c t="s">
        <v>51420</v>
      </c>
      <c t="s">
        <v>51100</v>
      </c>
      <c t="s">
        <v>3093</v>
      </c>
      <c t="s">
        <v>64511</v>
      </c>
    </row>
    <row>
      <c t="s">
        <v>17594</v>
      </c>
      <c t="s">
        <v>23647</v>
      </c>
      <c t="s">
        <v>8001</v>
      </c>
      <c t="s">
        <v>25187</v>
      </c>
      <c t="s">
        <v>11226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5680" s="1" t="str">
        <f ca="1">HYPERLINK("https://web.datatree.com/?/property?propertyId=34249636", "https://web.datatree.com/?/property?propertyId=34249636")</f>
        <v>https://web.datatree.com/?/property?propertyId=34249636</v>
      </c>
      <c r="Q5680" t="s">
        <v>316</v>
      </c>
      <c>
        <v>0.23</v>
      </c>
      <c t="s">
        <v>6175</v>
      </c>
      <c t="s">
        <v>10361</v>
      </c>
      <c t="s">
        <v>29771</v>
      </c>
      <c r="X5680" t="s">
        <v>65358</v>
      </c>
      <c t="s">
        <v>23517</v>
      </c>
      <c t="s">
        <v>2517</v>
      </c>
      <c t="s">
        <v>39289</v>
      </c>
      <c>
        <v>33909</v>
      </c>
      <c t="s">
        <v>47999</v>
      </c>
      <c t="s">
        <v>48794</v>
      </c>
      <c t="s">
        <v>28255</v>
      </c>
      <c>
        <v>1529</v>
      </c>
      <c r="AI5680" t="s">
        <v>7551</v>
      </c>
      <c t="s">
        <v>31192</v>
      </c>
      <c r="AL5680" t="s">
        <v>63537</v>
      </c>
      <c r="AN5680" t="s">
        <v>49572</v>
      </c>
      <c t="s">
        <v>50934</v>
      </c>
      <c t="s">
        <v>4480</v>
      </c>
      <c t="s">
        <v>3093</v>
      </c>
      <c t="s">
        <v>50510</v>
      </c>
    </row>
    <row>
      <c t="s">
        <v>17594</v>
      </c>
      <c t="s">
        <v>47532</v>
      </c>
      <c t="s">
        <v>31075</v>
      </c>
      <c t="s">
        <v>53807</v>
      </c>
      <c t="s">
        <v>40164</v>
      </c>
      <c s="3">
        <v>25500</v>
      </c>
      <c s="3">
        <v>25500</v>
      </c>
      <c s="3">
        <v>25500</v>
      </c>
      <c>
        <v>0</v>
      </c>
      <c s="3">
        <v>0</v>
      </c>
      <c s="3">
        <v>1370.13</v>
      </c>
      <c s="3">
        <v>25500</v>
      </c>
      <c r="O5681" s="1" t="str">
        <f ca="1">HYPERLINK("https://web.datatree.com/?/property?propertyId=34250018", "https://web.datatree.com/?/property?propertyId=34250018")</f>
        <v>https://web.datatree.com/?/property?propertyId=34250018</v>
      </c>
      <c r="Q5681" t="s">
        <v>316</v>
      </c>
      <c>
        <v>0.689</v>
      </c>
      <c t="s">
        <v>6175</v>
      </c>
      <c t="s">
        <v>12659</v>
      </c>
      <c t="s">
        <v>59761</v>
      </c>
      <c t="s">
        <v>39668</v>
      </c>
      <c t="s">
        <v>59761</v>
      </c>
      <c t="s">
        <v>31175</v>
      </c>
      <c t="s">
        <v>39082</v>
      </c>
      <c t="s">
        <v>2517</v>
      </c>
      <c t="s">
        <v>39289</v>
      </c>
      <c>
        <v>33909</v>
      </c>
      <c t="s">
        <v>23098</v>
      </c>
      <c t="s">
        <v>48794</v>
      </c>
      <c t="s">
        <v>44280</v>
      </c>
      <c>
        <v>2340</v>
      </c>
      <c r="AI5681" t="s">
        <v>60363</v>
      </c>
      <c t="s">
        <v>45393</v>
      </c>
      <c r="AL5681" t="s">
        <v>17217</v>
      </c>
      <c r="AN5681" t="s">
        <v>50917</v>
      </c>
      <c t="s">
        <v>41954</v>
      </c>
      <c t="s">
        <v>12241</v>
      </c>
      <c t="s">
        <v>3093</v>
      </c>
      <c t="s">
        <v>31221</v>
      </c>
    </row>
    <row>
      <c t="s">
        <v>17594</v>
      </c>
      <c t="s">
        <v>59310</v>
      </c>
      <c t="s">
        <v>3353</v>
      </c>
      <c t="s">
        <v>10940</v>
      </c>
      <c t="s">
        <v>41134</v>
      </c>
      <c s="3">
        <v>12544</v>
      </c>
      <c s="3">
        <v>12544</v>
      </c>
      <c s="3">
        <v>4972</v>
      </c>
      <c>
        <v>0</v>
      </c>
      <c s="3">
        <v>0</v>
      </c>
      <c s="3">
        <v>315.35</v>
      </c>
      <c s="3">
        <v>12544</v>
      </c>
      <c r="O5682" s="1" t="str">
        <f ca="1">HYPERLINK("https://web.datatree.com/?/property?propertyId=34250363", "https://web.datatree.com/?/property?propertyId=34250363")</f>
        <v>https://web.datatree.com/?/property?propertyId=34250363</v>
      </c>
      <c r="Q5682" t="s">
        <v>316</v>
      </c>
      <c>
        <v>0.228</v>
      </c>
      <c t="s">
        <v>5471</v>
      </c>
      <c t="s">
        <v>2140</v>
      </c>
      <c t="s">
        <v>51746</v>
      </c>
      <c r="X5682" t="s">
        <v>32970</v>
      </c>
      <c t="s">
        <v>58657</v>
      </c>
      <c t="s">
        <v>65059</v>
      </c>
      <c t="s">
        <v>39289</v>
      </c>
      <c>
        <v>33905</v>
      </c>
      <c t="s">
        <v>57179</v>
      </c>
      <c t="s">
        <v>48794</v>
      </c>
      <c t="s">
        <v>5493</v>
      </c>
      <c>
        <v>4150</v>
      </c>
      <c r="AI5682" t="s">
        <v>11952</v>
      </c>
      <c t="s">
        <v>45620</v>
      </c>
      <c r="AL5682" t="s">
        <v>61981</v>
      </c>
      <c r="AN5682" t="s">
        <v>22275</v>
      </c>
      <c t="s">
        <v>1874</v>
      </c>
      <c t="s">
        <v>27410</v>
      </c>
      <c t="s">
        <v>3093</v>
      </c>
      <c t="s">
        <v>48879</v>
      </c>
    </row>
    <row>
      <c t="s">
        <v>17594</v>
      </c>
      <c t="s">
        <v>32688</v>
      </c>
      <c t="s">
        <v>18049</v>
      </c>
      <c t="s">
        <v>22801</v>
      </c>
      <c t="s">
        <v>58569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683" s="1" t="str">
        <f ca="1">HYPERLINK("https://web.datatree.com/?/property?propertyId=34250387", "https://web.datatree.com/?/property?propertyId=34250387")</f>
        <v>https://web.datatree.com/?/property?propertyId=34250387</v>
      </c>
      <c r="Q5683" t="s">
        <v>316</v>
      </c>
      <c>
        <v>0.23</v>
      </c>
      <c t="s">
        <v>6175</v>
      </c>
      <c t="s">
        <v>44610</v>
      </c>
      <c t="s">
        <v>24432</v>
      </c>
      <c t="s">
        <v>56498</v>
      </c>
      <c t="s">
        <v>58767</v>
      </c>
      <c t="s">
        <v>35697</v>
      </c>
      <c t="s">
        <v>39082</v>
      </c>
      <c t="s">
        <v>2517</v>
      </c>
      <c t="s">
        <v>39289</v>
      </c>
      <c>
        <v>33909</v>
      </c>
      <c t="s">
        <v>32155</v>
      </c>
      <c t="s">
        <v>48794</v>
      </c>
      <c t="s">
        <v>56560</v>
      </c>
      <c>
        <v>1656</v>
      </c>
      <c r="AI5683" t="s">
        <v>6073</v>
      </c>
      <c t="s">
        <v>39321</v>
      </c>
      <c r="AL5683" t="s">
        <v>29515</v>
      </c>
      <c t="s">
        <v>54251</v>
      </c>
      <c t="s">
        <v>39289</v>
      </c>
      <c t="s">
        <v>32400</v>
      </c>
      <c t="s">
        <v>34162</v>
      </c>
      <c t="s">
        <v>3093</v>
      </c>
      <c t="s">
        <v>44282</v>
      </c>
    </row>
    <row>
      <c t="s">
        <v>17594</v>
      </c>
      <c t="s">
        <v>8349</v>
      </c>
      <c t="s">
        <v>2051</v>
      </c>
      <c t="s">
        <v>42306</v>
      </c>
      <c t="s">
        <v>53646</v>
      </c>
      <c s="3">
        <v>17341</v>
      </c>
      <c s="3">
        <v>17341</v>
      </c>
      <c s="3">
        <v>8470</v>
      </c>
      <c>
        <v>0</v>
      </c>
      <c s="3">
        <v>0</v>
      </c>
      <c s="3">
        <v>574.97</v>
      </c>
      <c s="3">
        <v>17341</v>
      </c>
      <c r="O5684" s="1" t="str">
        <f ca="1">HYPERLINK("https://web.datatree.com/?/property?propertyId=34250956", "https://web.datatree.com/?/property?propertyId=34250956")</f>
        <v>https://web.datatree.com/?/property?propertyId=34250956</v>
      </c>
      <c r="Q5684" t="s">
        <v>316</v>
      </c>
      <c>
        <v>0.251</v>
      </c>
      <c t="s">
        <v>15461</v>
      </c>
      <c t="s">
        <v>2140</v>
      </c>
      <c t="s">
        <v>29360</v>
      </c>
      <c r="X5684" t="s">
        <v>30136</v>
      </c>
      <c t="s">
        <v>5115</v>
      </c>
      <c t="s">
        <v>2517</v>
      </c>
      <c t="s">
        <v>39289</v>
      </c>
      <c>
        <v>33909</v>
      </c>
      <c t="s">
        <v>46602</v>
      </c>
      <c t="s">
        <v>48794</v>
      </c>
      <c t="s">
        <v>44801</v>
      </c>
      <c>
        <v>7946</v>
      </c>
      <c r="AI5684" t="s">
        <v>53170</v>
      </c>
      <c t="s">
        <v>31192</v>
      </c>
      <c r="AL5684" t="s">
        <v>48094</v>
      </c>
      <c r="AN5684" t="s">
        <v>19878</v>
      </c>
      <c t="s">
        <v>39320</v>
      </c>
      <c t="s">
        <v>32746</v>
      </c>
      <c t="s">
        <v>3093</v>
      </c>
      <c t="s">
        <v>24369</v>
      </c>
    </row>
    <row>
      <c t="s">
        <v>17594</v>
      </c>
      <c t="s">
        <v>6668</v>
      </c>
      <c t="s">
        <v>1263</v>
      </c>
      <c t="s">
        <v>16143</v>
      </c>
      <c t="s">
        <v>27744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685" s="1" t="str">
        <f ca="1">HYPERLINK("https://web.datatree.com/?/property?propertyId=34251056", "https://web.datatree.com/?/property?propertyId=34251056")</f>
        <v>https://web.datatree.com/?/property?propertyId=34251056</v>
      </c>
      <c r="Q5685" t="s">
        <v>316</v>
      </c>
      <c>
        <v>0.23</v>
      </c>
      <c t="s">
        <v>6175</v>
      </c>
      <c t="s">
        <v>37470</v>
      </c>
      <c t="s">
        <v>50283</v>
      </c>
      <c r="X5685" t="s">
        <v>39340</v>
      </c>
      <c t="s">
        <v>47150</v>
      </c>
      <c t="s">
        <v>2517</v>
      </c>
      <c t="s">
        <v>39289</v>
      </c>
      <c>
        <v>33909</v>
      </c>
      <c t="s">
        <v>27608</v>
      </c>
      <c t="s">
        <v>48794</v>
      </c>
      <c t="s">
        <v>49368</v>
      </c>
      <c>
        <v>2945</v>
      </c>
      <c r="AI5685" t="s">
        <v>19464</v>
      </c>
      <c r="AL5685" t="s">
        <v>44639</v>
      </c>
      <c r="AN5685" t="s">
        <v>18236</v>
      </c>
      <c t="s">
        <v>40295</v>
      </c>
      <c t="s">
        <v>14695</v>
      </c>
      <c t="s">
        <v>3093</v>
      </c>
      <c t="s">
        <v>36962</v>
      </c>
    </row>
    <row>
      <c t="s">
        <v>17594</v>
      </c>
      <c t="s">
        <v>39086</v>
      </c>
      <c t="s">
        <v>2210</v>
      </c>
      <c t="s">
        <v>61572</v>
      </c>
      <c t="s">
        <v>25459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597.9</v>
      </c>
      <c s="1" t="str">
        <f ca="1">HYPERLINK("https://web.datatree.com/?/property?propertyId=34251435", "https://web.datatree.com/?/property?propertyId=34251435")</f>
        <v>https://web.datatree.com/?/property?propertyId=34251435</v>
      </c>
      <c r="Q5686" t="s">
        <v>316</v>
      </c>
      <c>
        <v>0.23</v>
      </c>
      <c t="s">
        <v>6175</v>
      </c>
      <c t="s">
        <v>7996</v>
      </c>
      <c t="s">
        <v>55125</v>
      </c>
      <c r="X5686" t="s">
        <v>21120</v>
      </c>
      <c t="s">
        <v>29190</v>
      </c>
      <c t="s">
        <v>2517</v>
      </c>
      <c t="s">
        <v>39289</v>
      </c>
      <c>
        <v>33909</v>
      </c>
      <c t="s">
        <v>35118</v>
      </c>
      <c t="s">
        <v>48794</v>
      </c>
      <c t="s">
        <v>62106</v>
      </c>
      <c>
        <v>6941</v>
      </c>
      <c r="AI5686" t="s">
        <v>66701</v>
      </c>
      <c t="s">
        <v>40123</v>
      </c>
      <c r="AL5686" t="s">
        <v>25857</v>
      </c>
      <c r="AN5686" t="s">
        <v>39289</v>
      </c>
      <c t="s">
        <v>16311</v>
      </c>
      <c t="s">
        <v>17380</v>
      </c>
      <c t="s">
        <v>3093</v>
      </c>
      <c t="s">
        <v>9947</v>
      </c>
    </row>
    <row>
      <c t="s">
        <v>42103</v>
      </c>
      <c t="s">
        <v>35673</v>
      </c>
      <c t="s">
        <v>31751</v>
      </c>
      <c t="s">
        <v>26463</v>
      </c>
      <c t="s">
        <v>3264</v>
      </c>
      <c s="3">
        <v>20742</v>
      </c>
      <c s="3">
        <v>20742</v>
      </c>
      <c s="3">
        <v>9599</v>
      </c>
      <c>
        <v>0</v>
      </c>
      <c s="3">
        <v>0</v>
      </c>
      <c s="3">
        <v>666.16</v>
      </c>
      <c s="3">
        <v>20742</v>
      </c>
      <c r="O5687" s="1" t="str">
        <f ca="1">HYPERLINK("https://web.datatree.com/?/property?propertyId=34251659", "https://web.datatree.com/?/property?propertyId=34251659")</f>
        <v>https://web.datatree.com/?/property?propertyId=34251659</v>
      </c>
      <c r="Q5687" t="s">
        <v>316</v>
      </c>
      <c>
        <v>0.356</v>
      </c>
      <c t="s">
        <v>6175</v>
      </c>
      <c t="s">
        <v>55067</v>
      </c>
      <c t="s">
        <v>63115</v>
      </c>
      <c r="X5687" t="s">
        <v>42335</v>
      </c>
      <c t="s">
        <v>14534</v>
      </c>
      <c t="s">
        <v>2517</v>
      </c>
      <c t="s">
        <v>39289</v>
      </c>
      <c>
        <v>33909</v>
      </c>
      <c>
        <v>33909</v>
      </c>
      <c t="s">
        <v>48794</v>
      </c>
      <c t="s">
        <v>22216</v>
      </c>
      <c r="AI5687" t="s">
        <v>18691</v>
      </c>
      <c r="AL5687" t="s">
        <v>7233</v>
      </c>
      <c r="AN5687" t="s">
        <v>460</v>
      </c>
      <c>
        <v>5670</v>
      </c>
      <c t="s">
        <v>61207</v>
      </c>
      <c t="s">
        <v>3093</v>
      </c>
      <c t="s">
        <v>15057</v>
      </c>
    </row>
    <row>
      <c t="s">
        <v>17594</v>
      </c>
      <c t="s">
        <v>23960</v>
      </c>
      <c t="s">
        <v>34999</v>
      </c>
      <c t="s">
        <v>25722</v>
      </c>
      <c t="s">
        <v>36912</v>
      </c>
      <c s="3">
        <v>25088</v>
      </c>
      <c s="3">
        <v>25088</v>
      </c>
      <c s="3">
        <v>9939</v>
      </c>
      <c>
        <v>0</v>
      </c>
      <c s="3">
        <v>0</v>
      </c>
      <c s="3">
        <v>468.97</v>
      </c>
      <c s="3">
        <v>25088</v>
      </c>
      <c r="O5688" s="1" t="str">
        <f ca="1">HYPERLINK("https://web.datatree.com/?/property?propertyId=34252837", "https://web.datatree.com/?/property?propertyId=34252837")</f>
        <v>https://web.datatree.com/?/property?propertyId=34252837</v>
      </c>
      <c r="Q5688" t="s">
        <v>316</v>
      </c>
      <c>
        <v>0.627</v>
      </c>
      <c t="s">
        <v>5471</v>
      </c>
      <c t="s">
        <v>54158</v>
      </c>
      <c t="s">
        <v>57654</v>
      </c>
      <c t="s">
        <v>22138</v>
      </c>
      <c t="s">
        <v>57654</v>
      </c>
      <c t="s">
        <v>21536</v>
      </c>
      <c t="s">
        <v>65695</v>
      </c>
      <c t="s">
        <v>65059</v>
      </c>
      <c t="s">
        <v>39289</v>
      </c>
      <c>
        <v>33905</v>
      </c>
      <c t="s">
        <v>18376</v>
      </c>
      <c t="s">
        <v>48794</v>
      </c>
      <c t="s">
        <v>26490</v>
      </c>
      <c>
        <v>525</v>
      </c>
      <c r="AI5688" t="s">
        <v>13347</v>
      </c>
      <c t="s">
        <v>24900</v>
      </c>
      <c r="AL5688" t="s">
        <v>29912</v>
      </c>
      <c r="AN5688" t="s">
        <v>26016</v>
      </c>
      <c t="s">
        <v>33869</v>
      </c>
      <c t="s">
        <v>49977</v>
      </c>
      <c t="s">
        <v>3093</v>
      </c>
      <c t="s">
        <v>3623</v>
      </c>
    </row>
    <row>
      <c t="s">
        <v>17594</v>
      </c>
      <c t="s">
        <v>38552</v>
      </c>
      <c t="s">
        <v>21141</v>
      </c>
      <c t="s">
        <v>31543</v>
      </c>
      <c t="s">
        <v>57368</v>
      </c>
      <c s="3">
        <v>10600</v>
      </c>
      <c s="3">
        <v>10600</v>
      </c>
      <c s="3">
        <v>9680</v>
      </c>
      <c>
        <v>0</v>
      </c>
      <c s="3">
        <v>0</v>
      </c>
      <c s="3">
        <v>619.43</v>
      </c>
      <c s="3">
        <v>10600</v>
      </c>
      <c r="O5689" s="1" t="str">
        <f ca="1">HYPERLINK("https://web.datatree.com/?/property?propertyId=34253209", "https://web.datatree.com/?/property?propertyId=34253209")</f>
        <v>https://web.datatree.com/?/property?propertyId=34253209</v>
      </c>
      <c r="Q5689" t="s">
        <v>316</v>
      </c>
      <c>
        <v>0.227</v>
      </c>
      <c t="s">
        <v>6175</v>
      </c>
      <c t="s">
        <v>64201</v>
      </c>
      <c t="s">
        <v>33570</v>
      </c>
      <c r="X5689" t="s">
        <v>10067</v>
      </c>
      <c t="s">
        <v>18679</v>
      </c>
      <c t="s">
        <v>2517</v>
      </c>
      <c t="s">
        <v>39289</v>
      </c>
      <c>
        <v>33909</v>
      </c>
      <c t="s">
        <v>50873</v>
      </c>
      <c t="s">
        <v>48794</v>
      </c>
      <c t="s">
        <v>48652</v>
      </c>
      <c>
        <v>220</v>
      </c>
      <c r="AI5689" t="s">
        <v>22085</v>
      </c>
      <c t="s">
        <v>45620</v>
      </c>
      <c r="AL5689" t="s">
        <v>53335</v>
      </c>
      <c r="AN5689" t="s">
        <v>22275</v>
      </c>
      <c t="s">
        <v>9663</v>
      </c>
      <c t="s">
        <v>35354</v>
      </c>
      <c t="s">
        <v>3093</v>
      </c>
      <c t="s">
        <v>29378</v>
      </c>
    </row>
    <row>
      <c t="s">
        <v>42103</v>
      </c>
      <c t="s">
        <v>43234</v>
      </c>
      <c t="s">
        <v>27255</v>
      </c>
      <c t="s">
        <v>46727</v>
      </c>
      <c t="s">
        <v>10108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>
        <v>2021</v>
      </c>
      <c>
        <v>580.1</v>
      </c>
      <c s="1" t="str">
        <f ca="1">HYPERLINK("https://web.datatree.com/?/property?propertyId=34253226", "https://web.datatree.com/?/property?propertyId=34253226")</f>
        <v>https://web.datatree.com/?/property?propertyId=34253226</v>
      </c>
      <c r="Q5690" t="s">
        <v>316</v>
      </c>
      <c>
        <v>0.236</v>
      </c>
      <c t="s">
        <v>6175</v>
      </c>
      <c t="s">
        <v>24464</v>
      </c>
      <c t="s">
        <v>4190</v>
      </c>
      <c t="s">
        <v>21852</v>
      </c>
      <c t="s">
        <v>4190</v>
      </c>
      <c t="s">
        <v>53260</v>
      </c>
      <c t="s">
        <v>39082</v>
      </c>
      <c t="s">
        <v>2517</v>
      </c>
      <c t="s">
        <v>39289</v>
      </c>
      <c>
        <v>33909</v>
      </c>
      <c t="s">
        <v>14613</v>
      </c>
      <c t="s">
        <v>48794</v>
      </c>
      <c t="s">
        <v>16136</v>
      </c>
      <c r="AI5690" t="s">
        <v>15958</v>
      </c>
      <c r="AL5690" t="s">
        <v>8000</v>
      </c>
      <c t="s">
        <v>8000</v>
      </c>
      <c t="s">
        <v>9533</v>
      </c>
      <c>
        <v>977</v>
      </c>
      <c t="s">
        <v>61509</v>
      </c>
      <c t="s">
        <v>3093</v>
      </c>
      <c t="s">
        <v>27769</v>
      </c>
    </row>
    <row>
      <c t="s">
        <v>17594</v>
      </c>
      <c t="s">
        <v>50695</v>
      </c>
      <c t="s">
        <v>28914</v>
      </c>
      <c t="s">
        <v>46037</v>
      </c>
      <c t="s">
        <v>419</v>
      </c>
      <c s="3">
        <v>28000</v>
      </c>
      <c s="3">
        <v>28000</v>
      </c>
      <c s="3">
        <v>12100</v>
      </c>
      <c>
        <v>0</v>
      </c>
      <c s="3">
        <v>0</v>
      </c>
      <c s="3">
        <v>657.96</v>
      </c>
      <c s="3">
        <v>28000</v>
      </c>
      <c r="O5691" s="1" t="str">
        <f ca="1">HYPERLINK("https://web.datatree.com/?/property?propertyId=34253511", "https://web.datatree.com/?/property?propertyId=34253511")</f>
        <v>https://web.datatree.com/?/property?propertyId=34253511</v>
      </c>
      <c r="Q5691" t="s">
        <v>316</v>
      </c>
      <c>
        <v>0.244</v>
      </c>
      <c t="s">
        <v>22490</v>
      </c>
      <c t="s">
        <v>17266</v>
      </c>
      <c t="s">
        <v>49799</v>
      </c>
      <c t="s">
        <v>54158</v>
      </c>
      <c t="s">
        <v>49799</v>
      </c>
      <c t="s">
        <v>49183</v>
      </c>
      <c t="s">
        <v>47150</v>
      </c>
      <c t="s">
        <v>2517</v>
      </c>
      <c t="s">
        <v>39289</v>
      </c>
      <c>
        <v>33909</v>
      </c>
      <c t="s">
        <v>7595</v>
      </c>
      <c t="s">
        <v>48794</v>
      </c>
      <c t="s">
        <v>62205</v>
      </c>
      <c>
        <v>33</v>
      </c>
      <c r="AI5691" t="s">
        <v>4617</v>
      </c>
      <c t="s">
        <v>31192</v>
      </c>
      <c r="AL5691" t="s">
        <v>3707</v>
      </c>
      <c r="AN5691" t="s">
        <v>22275</v>
      </c>
      <c t="s">
        <v>23277</v>
      </c>
      <c t="s">
        <v>6081</v>
      </c>
      <c t="s">
        <v>3093</v>
      </c>
      <c t="s">
        <v>37101</v>
      </c>
    </row>
    <row>
      <c t="s">
        <v>17594</v>
      </c>
      <c t="s">
        <v>7847</v>
      </c>
      <c t="s">
        <v>38287</v>
      </c>
      <c t="s">
        <v>53717</v>
      </c>
      <c t="s">
        <v>49455</v>
      </c>
      <c s="3">
        <v>8100</v>
      </c>
      <c s="3">
        <v>8100</v>
      </c>
      <c s="3">
        <v>8100</v>
      </c>
      <c>
        <v>0</v>
      </c>
      <c s="3">
        <v>0</v>
      </c>
      <c s="3">
        <v>521.85</v>
      </c>
      <c s="3">
        <v>8100</v>
      </c>
      <c>
        <v>2019</v>
      </c>
      <c>
        <v>2634.53</v>
      </c>
      <c s="1" t="str">
        <f ca="1">HYPERLINK("https://web.datatree.com/?/property?propertyId=34253596", "https://web.datatree.com/?/property?propertyId=34253596")</f>
        <v>https://web.datatree.com/?/property?propertyId=34253596</v>
      </c>
      <c r="Q5692" t="s">
        <v>316</v>
      </c>
      <c>
        <v>0.244</v>
      </c>
      <c t="s">
        <v>6175</v>
      </c>
      <c t="s">
        <v>38760</v>
      </c>
      <c t="s">
        <v>17165</v>
      </c>
      <c t="s">
        <v>10451</v>
      </c>
      <c t="s">
        <v>17165</v>
      </c>
      <c t="s">
        <v>62814</v>
      </c>
      <c t="s">
        <v>2619</v>
      </c>
      <c t="s">
        <v>2517</v>
      </c>
      <c t="s">
        <v>39289</v>
      </c>
      <c>
        <v>33909</v>
      </c>
      <c t="s">
        <v>6980</v>
      </c>
      <c t="s">
        <v>48794</v>
      </c>
      <c t="s">
        <v>5528</v>
      </c>
      <c>
        <v>5100</v>
      </c>
      <c r="AI5692" t="s">
        <v>14673</v>
      </c>
      <c t="s">
        <v>45393</v>
      </c>
      <c r="AL5692" t="s">
        <v>21729</v>
      </c>
      <c r="AN5692" t="s">
        <v>65467</v>
      </c>
      <c t="s">
        <v>53048</v>
      </c>
      <c t="s">
        <v>62830</v>
      </c>
      <c t="s">
        <v>3093</v>
      </c>
      <c t="s">
        <v>54141</v>
      </c>
    </row>
    <row>
      <c t="s">
        <v>17594</v>
      </c>
      <c t="s">
        <v>40917</v>
      </c>
      <c t="s">
        <v>12295</v>
      </c>
      <c t="s">
        <v>1443</v>
      </c>
      <c t="s">
        <v>45964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5693" s="1" t="str">
        <f ca="1">HYPERLINK("https://web.datatree.com/?/property?propertyId=34254047", "https://web.datatree.com/?/property?propertyId=34254047")</f>
        <v>https://web.datatree.com/?/property?propertyId=34254047</v>
      </c>
      <c r="Q5693" t="s">
        <v>316</v>
      </c>
      <c>
        <v>0.23</v>
      </c>
      <c t="s">
        <v>22490</v>
      </c>
      <c t="s">
        <v>64649</v>
      </c>
      <c t="s">
        <v>15238</v>
      </c>
      <c r="X5693" t="s">
        <v>60264</v>
      </c>
      <c t="s">
        <v>24999</v>
      </c>
      <c t="s">
        <v>2517</v>
      </c>
      <c t="s">
        <v>39289</v>
      </c>
      <c>
        <v>33904</v>
      </c>
      <c t="s">
        <v>14253</v>
      </c>
      <c t="s">
        <v>48794</v>
      </c>
      <c t="s">
        <v>62968</v>
      </c>
      <c>
        <v>68</v>
      </c>
      <c r="AI5693" t="s">
        <v>25488</v>
      </c>
      <c t="s">
        <v>24900</v>
      </c>
      <c r="AL5693" t="s">
        <v>31664</v>
      </c>
      <c r="AN5693" t="s">
        <v>50917</v>
      </c>
      <c t="s">
        <v>61354</v>
      </c>
      <c t="s">
        <v>40645</v>
      </c>
      <c t="s">
        <v>3093</v>
      </c>
      <c t="s">
        <v>35279</v>
      </c>
    </row>
    <row>
      <c t="s">
        <v>17594</v>
      </c>
      <c t="s">
        <v>6711</v>
      </c>
      <c t="s">
        <v>43795</v>
      </c>
      <c t="s">
        <v>53501</v>
      </c>
      <c t="s">
        <v>36183</v>
      </c>
      <c s="3">
        <v>23673</v>
      </c>
      <c s="3">
        <v>23673</v>
      </c>
      <c s="3">
        <v>9570</v>
      </c>
      <c>
        <v>0</v>
      </c>
      <c s="3">
        <v>0</v>
      </c>
      <c s="3">
        <v>651.18</v>
      </c>
      <c s="3">
        <v>23673</v>
      </c>
      <c r="O5694" s="1" t="str">
        <f ca="1">HYPERLINK("https://web.datatree.com/?/property?propertyId=34254599", "https://web.datatree.com/?/property?propertyId=34254599")</f>
        <v>https://web.datatree.com/?/property?propertyId=34254599</v>
      </c>
      <c r="Q5694" t="s">
        <v>316</v>
      </c>
      <c>
        <v>0.287</v>
      </c>
      <c t="s">
        <v>22490</v>
      </c>
      <c t="s">
        <v>13316</v>
      </c>
      <c t="s">
        <v>42494</v>
      </c>
      <c t="s">
        <v>66594</v>
      </c>
      <c t="s">
        <v>42494</v>
      </c>
      <c t="s">
        <v>18816</v>
      </c>
      <c t="s">
        <v>41506</v>
      </c>
      <c t="s">
        <v>2517</v>
      </c>
      <c t="s">
        <v>39289</v>
      </c>
      <c>
        <v>33909</v>
      </c>
      <c t="s">
        <v>5577</v>
      </c>
      <c t="s">
        <v>48794</v>
      </c>
      <c t="s">
        <v>42534</v>
      </c>
      <c>
        <v>6930</v>
      </c>
      <c r="AI5694" t="s">
        <v>38877</v>
      </c>
      <c t="s">
        <v>24900</v>
      </c>
      <c r="AL5694" t="s">
        <v>63025</v>
      </c>
      <c t="s">
        <v>63025</v>
      </c>
      <c t="s">
        <v>19878</v>
      </c>
      <c t="s">
        <v>31689</v>
      </c>
      <c t="s">
        <v>65563</v>
      </c>
      <c t="s">
        <v>3093</v>
      </c>
      <c t="s">
        <v>12535</v>
      </c>
    </row>
    <row>
      <c t="s">
        <v>17594</v>
      </c>
      <c t="s">
        <v>28647</v>
      </c>
      <c t="s">
        <v>22556</v>
      </c>
      <c t="s">
        <v>10116</v>
      </c>
      <c t="s">
        <v>37482</v>
      </c>
      <c s="3">
        <v>66658</v>
      </c>
      <c s="3">
        <v>66658</v>
      </c>
      <c s="3">
        <v>34824</v>
      </c>
      <c>
        <v>0</v>
      </c>
      <c s="3">
        <v>0</v>
      </c>
      <c s="3">
        <v>779.79</v>
      </c>
      <c s="3">
        <v>66658</v>
      </c>
      <c r="O5695" s="1" t="str">
        <f ca="1">HYPERLINK("https://web.datatree.com/?/property?propertyId=34255558", "https://web.datatree.com/?/property?propertyId=34255558")</f>
        <v>https://web.datatree.com/?/property?propertyId=34255558</v>
      </c>
      <c r="Q5695" t="s">
        <v>316</v>
      </c>
      <c>
        <v>0.287</v>
      </c>
      <c t="s">
        <v>45402</v>
      </c>
      <c r="U5695" t="s">
        <v>33971</v>
      </c>
      <c r="X5695" t="s">
        <v>37166</v>
      </c>
      <c t="s">
        <v>34731</v>
      </c>
      <c t="s">
        <v>65059</v>
      </c>
      <c t="s">
        <v>39289</v>
      </c>
      <c>
        <v>33901</v>
      </c>
      <c t="s">
        <v>8156</v>
      </c>
      <c t="s">
        <v>48794</v>
      </c>
      <c t="s">
        <v>38109</v>
      </c>
      <c>
        <v>1</v>
      </c>
      <c r="AI5695" t="s">
        <v>65207</v>
      </c>
      <c t="s">
        <v>41372</v>
      </c>
      <c r="AL5695" t="s">
        <v>46764</v>
      </c>
      <c t="s">
        <v>46764</v>
      </c>
      <c t="s">
        <v>27747</v>
      </c>
      <c t="s">
        <v>28244</v>
      </c>
      <c t="s">
        <v>48506</v>
      </c>
      <c t="s">
        <v>3093</v>
      </c>
      <c t="s">
        <v>11504</v>
      </c>
    </row>
    <row>
      <c t="s">
        <v>17594</v>
      </c>
      <c t="s">
        <v>20098</v>
      </c>
      <c t="s">
        <v>63485</v>
      </c>
      <c t="s">
        <v>64628</v>
      </c>
      <c t="s">
        <v>53104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696" s="1" t="str">
        <f ca="1">HYPERLINK("https://web.datatree.com/?/property?propertyId=34256405", "https://web.datatree.com/?/property?propertyId=34256405")</f>
        <v>https://web.datatree.com/?/property?propertyId=34256405</v>
      </c>
      <c r="Q5696" t="s">
        <v>316</v>
      </c>
      <c>
        <v>0.23</v>
      </c>
      <c t="s">
        <v>6175</v>
      </c>
      <c t="s">
        <v>22067</v>
      </c>
      <c t="s">
        <v>22876</v>
      </c>
      <c r="X5696" t="s">
        <v>8896</v>
      </c>
      <c t="s">
        <v>33179</v>
      </c>
      <c t="s">
        <v>2517</v>
      </c>
      <c t="s">
        <v>39289</v>
      </c>
      <c>
        <v>33909</v>
      </c>
      <c t="s">
        <v>33678</v>
      </c>
      <c t="s">
        <v>48794</v>
      </c>
      <c t="s">
        <v>56072</v>
      </c>
      <c>
        <v>904</v>
      </c>
      <c r="AI5696" t="s">
        <v>20462</v>
      </c>
      <c r="AL5696" t="s">
        <v>64119</v>
      </c>
      <c r="AN5696" t="s">
        <v>50917</v>
      </c>
      <c t="s">
        <v>66790</v>
      </c>
      <c t="s">
        <v>22152</v>
      </c>
      <c t="s">
        <v>3093</v>
      </c>
      <c t="s">
        <v>1959</v>
      </c>
    </row>
    <row>
      <c t="s">
        <v>17594</v>
      </c>
      <c t="s">
        <v>50679</v>
      </c>
      <c t="s">
        <v>31092</v>
      </c>
      <c t="s">
        <v>39747</v>
      </c>
      <c t="s">
        <v>54407</v>
      </c>
      <c s="3">
        <v>145261</v>
      </c>
      <c s="3">
        <v>145261</v>
      </c>
      <c s="3">
        <v>145261</v>
      </c>
      <c>
        <v>0</v>
      </c>
      <c s="3">
        <v>0</v>
      </c>
      <c s="3">
        <v>2588.54</v>
      </c>
      <c s="3">
        <v>145261</v>
      </c>
      <c r="O5697" s="1" t="str">
        <f ca="1">HYPERLINK("https://web.datatree.com/?/property?propertyId=34256891", "https://web.datatree.com/?/property?propertyId=34256891")</f>
        <v>https://web.datatree.com/?/property?propertyId=34256891</v>
      </c>
      <c r="Q5697" t="s">
        <v>316</v>
      </c>
      <c>
        <v>0.23</v>
      </c>
      <c t="s">
        <v>22490</v>
      </c>
      <c t="s">
        <v>41812</v>
      </c>
      <c t="s">
        <v>6587</v>
      </c>
      <c r="X5697" t="s">
        <v>39489</v>
      </c>
      <c t="s">
        <v>55273</v>
      </c>
      <c t="s">
        <v>2517</v>
      </c>
      <c t="s">
        <v>39289</v>
      </c>
      <c>
        <v>33904</v>
      </c>
      <c t="s">
        <v>8552</v>
      </c>
      <c t="s">
        <v>48794</v>
      </c>
      <c t="s">
        <v>41497</v>
      </c>
      <c r="AI5697" t="s">
        <v>27721</v>
      </c>
      <c r="AK5697">
        <v>11</v>
      </c>
      <c t="s">
        <v>65787</v>
      </c>
      <c r="AN5697" t="s">
        <v>63985</v>
      </c>
      <c>
        <v>77736</v>
      </c>
      <c r="AR5697" t="s">
        <v>64175</v>
      </c>
    </row>
    <row>
      <c t="s">
        <v>17594</v>
      </c>
      <c t="s">
        <v>6632</v>
      </c>
      <c t="s">
        <v>64183</v>
      </c>
      <c t="s">
        <v>6076</v>
      </c>
      <c t="s">
        <v>54173</v>
      </c>
      <c s="3">
        <v>72324</v>
      </c>
      <c s="3">
        <v>63500</v>
      </c>
      <c s="3">
        <v>70291</v>
      </c>
      <c>
        <v>0</v>
      </c>
      <c s="3">
        <v>0</v>
      </c>
      <c s="3">
        <v>1068.56</v>
      </c>
      <c s="3">
        <v>72324</v>
      </c>
      <c r="O5698" s="1" t="str">
        <f ca="1">HYPERLINK("https://web.datatree.com/?/property?propertyId=34257091", "https://web.datatree.com/?/property?propertyId=34257091")</f>
        <v>https://web.datatree.com/?/property?propertyId=34257091</v>
      </c>
      <c r="Q5698" t="s">
        <v>316</v>
      </c>
      <c>
        <v>0.096</v>
      </c>
      <c t="s">
        <v>26492</v>
      </c>
      <c t="s">
        <v>552</v>
      </c>
      <c t="s">
        <v>4017</v>
      </c>
      <c t="s">
        <v>64698</v>
      </c>
      <c t="s">
        <v>50127</v>
      </c>
      <c t="s">
        <v>42582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5826</v>
      </c>
      <c>
        <v>890</v>
      </c>
      <c r="AI5698" t="s">
        <v>45782</v>
      </c>
      <c t="s">
        <v>45620</v>
      </c>
      <c r="AL5698" t="s">
        <v>49547</v>
      </c>
      <c t="s">
        <v>40227</v>
      </c>
      <c t="s">
        <v>27747</v>
      </c>
      <c t="s">
        <v>34091</v>
      </c>
      <c t="s">
        <v>12241</v>
      </c>
      <c t="s">
        <v>3093</v>
      </c>
      <c t="s">
        <v>30530</v>
      </c>
    </row>
    <row>
      <c t="s">
        <v>17594</v>
      </c>
      <c t="s">
        <v>20280</v>
      </c>
      <c t="s">
        <v>32990</v>
      </c>
      <c t="s">
        <v>12697</v>
      </c>
      <c t="s">
        <v>26852</v>
      </c>
      <c s="3">
        <v>13610</v>
      </c>
      <c s="3">
        <v>13610</v>
      </c>
      <c s="3">
        <v>13610</v>
      </c>
      <c>
        <v>0</v>
      </c>
      <c s="3">
        <v>0</v>
      </c>
      <c s="3">
        <v>217.4</v>
      </c>
      <c s="3">
        <v>13610</v>
      </c>
      <c r="O5699" s="1" t="str">
        <f ca="1">HYPERLINK("https://web.datatree.com/?/property?propertyId=34258370", "https://web.datatree.com/?/property?propertyId=34258370")</f>
        <v>https://web.datatree.com/?/property?propertyId=34258370</v>
      </c>
      <c r="Q5699" t="s">
        <v>316</v>
      </c>
      <c>
        <v>0.228</v>
      </c>
      <c t="s">
        <v>5471</v>
      </c>
      <c t="s">
        <v>50561</v>
      </c>
      <c t="s">
        <v>20068</v>
      </c>
      <c r="X5699" t="s">
        <v>4534</v>
      </c>
      <c t="s">
        <v>13255</v>
      </c>
      <c t="s">
        <v>54524</v>
      </c>
      <c t="s">
        <v>39289</v>
      </c>
      <c>
        <v>33903</v>
      </c>
      <c t="s">
        <v>12844</v>
      </c>
      <c t="s">
        <v>48794</v>
      </c>
      <c t="s">
        <v>18028</v>
      </c>
      <c>
        <v>411</v>
      </c>
      <c r="AI5699" t="s">
        <v>48388</v>
      </c>
      <c t="s">
        <v>45393</v>
      </c>
      <c r="AL5699" t="s">
        <v>26023</v>
      </c>
      <c t="s">
        <v>26023</v>
      </c>
      <c t="s">
        <v>26016</v>
      </c>
      <c t="s">
        <v>66241</v>
      </c>
      <c t="s">
        <v>48506</v>
      </c>
      <c t="s">
        <v>3093</v>
      </c>
      <c t="s">
        <v>23012</v>
      </c>
    </row>
    <row>
      <c t="s">
        <v>42103</v>
      </c>
      <c t="s">
        <v>12885</v>
      </c>
      <c t="s">
        <v>63116</v>
      </c>
      <c t="s">
        <v>35264</v>
      </c>
      <c t="s">
        <v>1094</v>
      </c>
      <c s="3">
        <v>26249</v>
      </c>
      <c s="3">
        <v>26249</v>
      </c>
      <c s="3">
        <v>9339</v>
      </c>
      <c>
        <v>0</v>
      </c>
      <c s="3">
        <v>0</v>
      </c>
      <c s="3">
        <v>615.94</v>
      </c>
      <c s="3">
        <v>26249</v>
      </c>
      <c r="O5700" s="1" t="str">
        <f ca="1">HYPERLINK("https://web.datatree.com/?/property?propertyId=34258476", "https://web.datatree.com/?/property?propertyId=34258476")</f>
        <v>https://web.datatree.com/?/property?propertyId=34258476</v>
      </c>
      <c r="Q5700" t="s">
        <v>316</v>
      </c>
      <c>
        <v>0.23</v>
      </c>
      <c t="s">
        <v>6175</v>
      </c>
      <c t="s">
        <v>16893</v>
      </c>
      <c t="s">
        <v>64169</v>
      </c>
      <c r="X5700" t="s">
        <v>65814</v>
      </c>
      <c t="s">
        <v>53675</v>
      </c>
      <c t="s">
        <v>2517</v>
      </c>
      <c t="s">
        <v>39289</v>
      </c>
      <c>
        <v>33909</v>
      </c>
      <c t="s">
        <v>37934</v>
      </c>
      <c t="s">
        <v>48794</v>
      </c>
      <c t="s">
        <v>26246</v>
      </c>
      <c r="AI5700" t="s">
        <v>32054</v>
      </c>
      <c r="AL5700" t="s">
        <v>31106</v>
      </c>
      <c r="AN5700" t="s">
        <v>39289</v>
      </c>
      <c>
        <v>32658</v>
      </c>
      <c t="s">
        <v>61509</v>
      </c>
      <c t="s">
        <v>3093</v>
      </c>
      <c t="s">
        <v>42922</v>
      </c>
    </row>
    <row>
      <c t="s">
        <v>17594</v>
      </c>
      <c t="s">
        <v>34230</v>
      </c>
      <c t="s">
        <v>11947</v>
      </c>
      <c t="s">
        <v>17101</v>
      </c>
      <c t="s">
        <v>12684</v>
      </c>
      <c s="3">
        <v>22041</v>
      </c>
      <c s="3">
        <v>22041</v>
      </c>
      <c s="3">
        <v>9599</v>
      </c>
      <c>
        <v>0</v>
      </c>
      <c s="3">
        <v>0</v>
      </c>
      <c s="3">
        <v>689.58</v>
      </c>
      <c s="3">
        <v>22041</v>
      </c>
      <c r="O5701" s="1" t="str">
        <f ca="1">HYPERLINK("https://web.datatree.com/?/property?propertyId=34258835", "https://web.datatree.com/?/property?propertyId=34258835")</f>
        <v>https://web.datatree.com/?/property?propertyId=34258835</v>
      </c>
      <c r="Q5701" t="s">
        <v>316</v>
      </c>
      <c>
        <v>0.344</v>
      </c>
      <c t="s">
        <v>42044</v>
      </c>
      <c t="s">
        <v>42987</v>
      </c>
      <c t="s">
        <v>37991</v>
      </c>
      <c t="s">
        <v>19454</v>
      </c>
      <c t="s">
        <v>37991</v>
      </c>
      <c t="s">
        <v>64969</v>
      </c>
      <c t="s">
        <v>61144</v>
      </c>
      <c t="s">
        <v>2517</v>
      </c>
      <c t="s">
        <v>39289</v>
      </c>
      <c>
        <v>33909</v>
      </c>
      <c t="s">
        <v>34574</v>
      </c>
      <c t="s">
        <v>48794</v>
      </c>
      <c t="s">
        <v>64720</v>
      </c>
      <c>
        <v>1821</v>
      </c>
      <c r="AI5701" t="s">
        <v>13065</v>
      </c>
      <c t="s">
        <v>39321</v>
      </c>
      <c r="AL5701" t="s">
        <v>55393</v>
      </c>
      <c r="AN5701" t="s">
        <v>39289</v>
      </c>
      <c t="s">
        <v>28502</v>
      </c>
      <c t="s">
        <v>61410</v>
      </c>
      <c t="s">
        <v>3093</v>
      </c>
      <c t="s">
        <v>64112</v>
      </c>
    </row>
    <row>
      <c t="s">
        <v>17594</v>
      </c>
      <c t="s">
        <v>292</v>
      </c>
      <c t="s">
        <v>60148</v>
      </c>
      <c t="s">
        <v>28188</v>
      </c>
      <c t="s">
        <v>62465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5702" s="1" t="str">
        <f ca="1">HYPERLINK("https://web.datatree.com/?/property?propertyId=34259027", "https://web.datatree.com/?/property?propertyId=34259027")</f>
        <v>https://web.datatree.com/?/property?propertyId=34259027</v>
      </c>
      <c r="Q5702" t="s">
        <v>316</v>
      </c>
      <c>
        <v>0.23</v>
      </c>
      <c t="s">
        <v>6175</v>
      </c>
      <c t="s">
        <v>18281</v>
      </c>
      <c t="s">
        <v>63694</v>
      </c>
      <c r="X5702" t="s">
        <v>8703</v>
      </c>
      <c t="s">
        <v>53675</v>
      </c>
      <c t="s">
        <v>2517</v>
      </c>
      <c t="s">
        <v>39289</v>
      </c>
      <c>
        <v>33909</v>
      </c>
      <c t="s">
        <v>63550</v>
      </c>
      <c t="s">
        <v>48794</v>
      </c>
      <c t="s">
        <v>33387</v>
      </c>
      <c>
        <v>17</v>
      </c>
      <c r="AI5702" t="s">
        <v>18704</v>
      </c>
      <c t="s">
        <v>31192</v>
      </c>
      <c r="AL5702" t="s">
        <v>61057</v>
      </c>
      <c r="AN5702" t="s">
        <v>50917</v>
      </c>
      <c t="s">
        <v>47445</v>
      </c>
      <c t="s">
        <v>26242</v>
      </c>
      <c t="s">
        <v>3093</v>
      </c>
      <c t="s">
        <v>65476</v>
      </c>
    </row>
    <row>
      <c t="s">
        <v>17594</v>
      </c>
      <c t="s">
        <v>38294</v>
      </c>
      <c t="s">
        <v>12867</v>
      </c>
      <c t="s">
        <v>26460</v>
      </c>
      <c t="s">
        <v>14671</v>
      </c>
      <c s="3">
        <v>21918</v>
      </c>
      <c s="3">
        <v>21918</v>
      </c>
      <c s="3">
        <v>9599</v>
      </c>
      <c>
        <v>0</v>
      </c>
      <c s="3">
        <v>0</v>
      </c>
      <c s="3">
        <v>680.91</v>
      </c>
      <c s="3">
        <v>21918</v>
      </c>
      <c r="O5703" s="1" t="str">
        <f ca="1">HYPERLINK("https://web.datatree.com/?/property?propertyId=34259397", "https://web.datatree.com/?/property?propertyId=34259397")</f>
        <v>https://web.datatree.com/?/property?propertyId=34259397</v>
      </c>
      <c r="Q5703" t="s">
        <v>316</v>
      </c>
      <c>
        <v>0.344</v>
      </c>
      <c t="s">
        <v>6175</v>
      </c>
      <c t="s">
        <v>52701</v>
      </c>
      <c t="s">
        <v>62925</v>
      </c>
      <c t="s">
        <v>12933</v>
      </c>
      <c t="s">
        <v>1756</v>
      </c>
      <c t="s">
        <v>61841</v>
      </c>
      <c t="s">
        <v>23517</v>
      </c>
      <c t="s">
        <v>2517</v>
      </c>
      <c t="s">
        <v>39289</v>
      </c>
      <c>
        <v>33909</v>
      </c>
      <c t="s">
        <v>47999</v>
      </c>
      <c t="s">
        <v>48794</v>
      </c>
      <c t="s">
        <v>57536</v>
      </c>
      <c>
        <v>1209</v>
      </c>
      <c r="AI5703" t="s">
        <v>55273</v>
      </c>
      <c t="s">
        <v>45393</v>
      </c>
      <c>
        <v>5</v>
      </c>
      <c t="s">
        <v>40928</v>
      </c>
      <c r="AN5703" t="s">
        <v>26016</v>
      </c>
      <c t="s">
        <v>49291</v>
      </c>
      <c t="s">
        <v>26242</v>
      </c>
      <c t="s">
        <v>3093</v>
      </c>
      <c t="s">
        <v>64663</v>
      </c>
    </row>
    <row>
      <c t="s">
        <v>17594</v>
      </c>
      <c t="s">
        <v>21430</v>
      </c>
      <c t="s">
        <v>27460</v>
      </c>
      <c t="s">
        <v>19089</v>
      </c>
      <c t="s">
        <v>48243</v>
      </c>
      <c s="3">
        <v>7700</v>
      </c>
      <c s="3">
        <v>7700</v>
      </c>
      <c s="3">
        <v>7700</v>
      </c>
      <c>
        <v>0</v>
      </c>
      <c s="3">
        <v>0</v>
      </c>
      <c s="3">
        <v>576.29</v>
      </c>
      <c s="3">
        <v>7700</v>
      </c>
      <c r="O5704" s="1" t="str">
        <f ca="1">HYPERLINK("https://web.datatree.com/?/property?propertyId=34260125", "https://web.datatree.com/?/property?propertyId=34260125")</f>
        <v>https://web.datatree.com/?/property?propertyId=34260125</v>
      </c>
      <c r="Q5704" t="s">
        <v>316</v>
      </c>
      <c>
        <v>0.241</v>
      </c>
      <c t="s">
        <v>6175</v>
      </c>
      <c t="s">
        <v>19454</v>
      </c>
      <c t="s">
        <v>33917</v>
      </c>
      <c t="s">
        <v>37985</v>
      </c>
      <c t="s">
        <v>9592</v>
      </c>
      <c t="s">
        <v>35822</v>
      </c>
      <c t="s">
        <v>33893</v>
      </c>
      <c t="s">
        <v>2517</v>
      </c>
      <c t="s">
        <v>39289</v>
      </c>
      <c>
        <v>33909</v>
      </c>
      <c t="s">
        <v>66244</v>
      </c>
      <c t="s">
        <v>48794</v>
      </c>
      <c t="s">
        <v>39436</v>
      </c>
      <c>
        <v>1012</v>
      </c>
      <c r="AI5704" t="s">
        <v>47626</v>
      </c>
      <c t="s">
        <v>45393</v>
      </c>
      <c t="s">
        <v>44336</v>
      </c>
      <c t="s">
        <v>60431</v>
      </c>
      <c r="AN5704" t="s">
        <v>50917</v>
      </c>
      <c t="s">
        <v>48826</v>
      </c>
      <c t="s">
        <v>19978</v>
      </c>
      <c t="s">
        <v>3093</v>
      </c>
      <c t="s">
        <v>7061</v>
      </c>
    </row>
    <row>
      <c t="s">
        <v>17594</v>
      </c>
      <c t="s">
        <v>22357</v>
      </c>
      <c t="s">
        <v>202</v>
      </c>
      <c t="s">
        <v>25284</v>
      </c>
      <c t="s">
        <v>30524</v>
      </c>
      <c s="3">
        <v>10600</v>
      </c>
      <c s="3">
        <v>10600</v>
      </c>
      <c s="3">
        <v>9339</v>
      </c>
      <c>
        <v>0</v>
      </c>
      <c s="3">
        <v>0</v>
      </c>
      <c s="3">
        <v>2880.21</v>
      </c>
      <c s="3">
        <v>10600</v>
      </c>
      <c r="O5705" s="1" t="str">
        <f ca="1">HYPERLINK("https://web.datatree.com/?/property?propertyId=34260688", "https://web.datatree.com/?/property?propertyId=34260688")</f>
        <v>https://web.datatree.com/?/property?propertyId=34260688</v>
      </c>
      <c r="Q5705" t="s">
        <v>316</v>
      </c>
      <c>
        <v>0.23</v>
      </c>
      <c t="s">
        <v>6175</v>
      </c>
      <c t="s">
        <v>47667</v>
      </c>
      <c t="s">
        <v>64287</v>
      </c>
      <c t="s">
        <v>44290</v>
      </c>
      <c t="s">
        <v>64287</v>
      </c>
      <c t="s">
        <v>1602</v>
      </c>
      <c t="s">
        <v>18679</v>
      </c>
      <c t="s">
        <v>2517</v>
      </c>
      <c t="s">
        <v>39289</v>
      </c>
      <c>
        <v>33909</v>
      </c>
      <c t="s">
        <v>45838</v>
      </c>
      <c t="s">
        <v>48794</v>
      </c>
      <c t="s">
        <v>47313</v>
      </c>
      <c>
        <v>331</v>
      </c>
      <c r="AI5705" t="s">
        <v>49399</v>
      </c>
      <c t="s">
        <v>45620</v>
      </c>
      <c r="AL5705" t="s">
        <v>1307</v>
      </c>
      <c r="AN5705" t="s">
        <v>26016</v>
      </c>
      <c t="s">
        <v>57967</v>
      </c>
      <c t="s">
        <v>30106</v>
      </c>
      <c t="s">
        <v>3093</v>
      </c>
      <c t="s">
        <v>28397</v>
      </c>
    </row>
    <row>
      <c t="s">
        <v>17594</v>
      </c>
      <c t="s">
        <v>47959</v>
      </c>
      <c t="s">
        <v>65331</v>
      </c>
      <c t="s">
        <v>57988</v>
      </c>
      <c t="s">
        <v>11838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>
        <v>2019</v>
      </c>
      <c>
        <v>2246.95</v>
      </c>
      <c s="1" t="str">
        <f ca="1">HYPERLINK("https://web.datatree.com/?/property?propertyId=34261836", "https://web.datatree.com/?/property?propertyId=34261836")</f>
        <v>https://web.datatree.com/?/property?propertyId=34261836</v>
      </c>
      <c r="Q5706" t="s">
        <v>316</v>
      </c>
      <c>
        <v>0.244</v>
      </c>
      <c t="s">
        <v>6175</v>
      </c>
      <c t="s">
        <v>1859</v>
      </c>
      <c t="s">
        <v>11396</v>
      </c>
      <c t="s">
        <v>27351</v>
      </c>
      <c t="s">
        <v>11396</v>
      </c>
      <c t="s">
        <v>50954</v>
      </c>
      <c t="s">
        <v>14534</v>
      </c>
      <c t="s">
        <v>2517</v>
      </c>
      <c t="s">
        <v>39289</v>
      </c>
      <c>
        <v>33909</v>
      </c>
      <c t="s">
        <v>9067</v>
      </c>
      <c t="s">
        <v>48794</v>
      </c>
      <c t="s">
        <v>33215</v>
      </c>
      <c>
        <v>1361</v>
      </c>
      <c r="AI5706" t="s">
        <v>10986</v>
      </c>
      <c t="s">
        <v>1289</v>
      </c>
      <c t="s">
        <v>35442</v>
      </c>
      <c t="s">
        <v>2939</v>
      </c>
      <c r="AN5706" t="s">
        <v>39289</v>
      </c>
      <c t="s">
        <v>66670</v>
      </c>
      <c t="s">
        <v>4797</v>
      </c>
      <c t="s">
        <v>3093</v>
      </c>
      <c t="s">
        <v>64017</v>
      </c>
    </row>
    <row>
      <c t="s">
        <v>17594</v>
      </c>
      <c t="s">
        <v>4359</v>
      </c>
      <c t="s">
        <v>28938</v>
      </c>
      <c t="s">
        <v>57599</v>
      </c>
      <c t="s">
        <v>21214</v>
      </c>
      <c s="3">
        <v>18350</v>
      </c>
      <c s="3">
        <v>18350</v>
      </c>
      <c s="3">
        <v>8360</v>
      </c>
      <c>
        <v>0</v>
      </c>
      <c s="3">
        <v>0</v>
      </c>
      <c s="3">
        <v>577.67</v>
      </c>
      <c s="3">
        <v>18350</v>
      </c>
      <c r="O5707" s="1" t="str">
        <f ca="1">HYPERLINK("https://web.datatree.com/?/property?propertyId=34262295", "https://web.datatree.com/?/property?propertyId=34262295")</f>
        <v>https://web.datatree.com/?/property?propertyId=34262295</v>
      </c>
      <c r="Q5707" t="s">
        <v>316</v>
      </c>
      <c>
        <v>0.266</v>
      </c>
      <c t="s">
        <v>6175</v>
      </c>
      <c t="s">
        <v>40380</v>
      </c>
      <c t="s">
        <v>58928</v>
      </c>
      <c r="X5707" t="s">
        <v>43318</v>
      </c>
      <c t="s">
        <v>23517</v>
      </c>
      <c t="s">
        <v>2517</v>
      </c>
      <c t="s">
        <v>39289</v>
      </c>
      <c>
        <v>33909</v>
      </c>
      <c t="s">
        <v>55853</v>
      </c>
      <c t="s">
        <v>48794</v>
      </c>
      <c t="s">
        <v>1849</v>
      </c>
      <c>
        <v>12203</v>
      </c>
      <c r="AI5707" t="s">
        <v>65316</v>
      </c>
      <c t="s">
        <v>55842</v>
      </c>
      <c r="AL5707" t="s">
        <v>29018</v>
      </c>
      <c r="AN5707" t="s">
        <v>24792</v>
      </c>
      <c t="s">
        <v>34441</v>
      </c>
      <c t="s">
        <v>44428</v>
      </c>
      <c t="s">
        <v>3093</v>
      </c>
      <c t="s">
        <v>29702</v>
      </c>
    </row>
    <row>
      <c t="s">
        <v>17594</v>
      </c>
      <c t="s">
        <v>38431</v>
      </c>
      <c t="s">
        <v>24152</v>
      </c>
      <c t="s">
        <v>3171</v>
      </c>
      <c t="s">
        <v>48716</v>
      </c>
      <c s="3">
        <v>7125</v>
      </c>
      <c s="3">
        <v>7125</v>
      </c>
      <c s="3">
        <v>7125</v>
      </c>
      <c>
        <v>0</v>
      </c>
      <c s="3">
        <v>0</v>
      </c>
      <c s="3">
        <v>542.07</v>
      </c>
      <c s="3">
        <v>7125</v>
      </c>
      <c r="O5708" s="1" t="str">
        <f ca="1">HYPERLINK("https://web.datatree.com/?/property?propertyId=34263180", "https://web.datatree.com/?/property?propertyId=34263180")</f>
        <v>https://web.datatree.com/?/property?propertyId=34263180</v>
      </c>
      <c r="Q5708" t="s">
        <v>316</v>
      </c>
      <c>
        <v>0.239</v>
      </c>
      <c t="s">
        <v>42044</v>
      </c>
      <c t="s">
        <v>34124</v>
      </c>
      <c t="s">
        <v>23439</v>
      </c>
      <c t="s">
        <v>65985</v>
      </c>
      <c t="s">
        <v>23439</v>
      </c>
      <c t="s">
        <v>2151</v>
      </c>
      <c t="s">
        <v>61865</v>
      </c>
      <c t="s">
        <v>2517</v>
      </c>
      <c t="s">
        <v>39289</v>
      </c>
      <c>
        <v>33909</v>
      </c>
      <c t="s">
        <v>46189</v>
      </c>
      <c t="s">
        <v>48794</v>
      </c>
      <c t="s">
        <v>29487</v>
      </c>
      <c>
        <v>43</v>
      </c>
      <c r="AI5708" t="s">
        <v>40188</v>
      </c>
      <c t="s">
        <v>24900</v>
      </c>
      <c r="AL5708" t="s">
        <v>48950</v>
      </c>
      <c r="AN5708" t="s">
        <v>27747</v>
      </c>
      <c t="s">
        <v>62418</v>
      </c>
      <c t="s">
        <v>26242</v>
      </c>
      <c t="s">
        <v>3093</v>
      </c>
      <c t="s">
        <v>20491</v>
      </c>
    </row>
    <row>
      <c t="s">
        <v>17594</v>
      </c>
      <c t="s">
        <v>61133</v>
      </c>
      <c t="s">
        <v>42923</v>
      </c>
      <c t="s">
        <v>44455</v>
      </c>
      <c t="s">
        <v>20173</v>
      </c>
      <c s="3">
        <v>19990</v>
      </c>
      <c s="3">
        <v>19990</v>
      </c>
      <c s="3">
        <v>9240</v>
      </c>
      <c>
        <v>0</v>
      </c>
      <c s="3">
        <v>0</v>
      </c>
      <c s="3">
        <v>580.14</v>
      </c>
      <c s="3">
        <v>19990</v>
      </c>
      <c r="O5709" s="1" t="str">
        <f ca="1">HYPERLINK("https://web.datatree.com/?/property?propertyId=34263683", "https://web.datatree.com/?/property?propertyId=34263683")</f>
        <v>https://web.datatree.com/?/property?propertyId=34263683</v>
      </c>
      <c r="Q5709" t="s">
        <v>316</v>
      </c>
      <c>
        <v>0.23</v>
      </c>
      <c t="s">
        <v>22490</v>
      </c>
      <c t="s">
        <v>62125</v>
      </c>
      <c t="s">
        <v>37481</v>
      </c>
      <c r="X5709" t="s">
        <v>36571</v>
      </c>
      <c t="s">
        <v>55273</v>
      </c>
      <c t="s">
        <v>2517</v>
      </c>
      <c t="s">
        <v>39289</v>
      </c>
      <c>
        <v>33909</v>
      </c>
      <c>
        <v>33909</v>
      </c>
      <c t="s">
        <v>48794</v>
      </c>
      <c t="s">
        <v>51239</v>
      </c>
      <c>
        <v>974</v>
      </c>
      <c r="AH5709" t="s">
        <v>60953</v>
      </c>
      <c t="s">
        <v>30386</v>
      </c>
      <c t="s">
        <v>31192</v>
      </c>
      <c r="AL5709" t="s">
        <v>16806</v>
      </c>
      <c r="AN5709" t="s">
        <v>39289</v>
      </c>
      <c t="s">
        <v>42629</v>
      </c>
      <c t="s">
        <v>3068</v>
      </c>
      <c t="s">
        <v>3093</v>
      </c>
      <c t="s">
        <v>66550</v>
      </c>
    </row>
    <row>
      <c t="s">
        <v>17594</v>
      </c>
      <c t="s">
        <v>21911</v>
      </c>
      <c t="s">
        <v>66855</v>
      </c>
      <c t="s">
        <v>55161</v>
      </c>
      <c t="s">
        <v>57083</v>
      </c>
      <c s="3">
        <v>71299</v>
      </c>
      <c s="3">
        <v>71299</v>
      </c>
      <c s="3">
        <v>35369</v>
      </c>
      <c>
        <v>0</v>
      </c>
      <c s="3">
        <v>0</v>
      </c>
      <c s="3">
        <v>684.98</v>
      </c>
      <c s="3">
        <v>71299</v>
      </c>
      <c r="O5710" s="1" t="str">
        <f ca="1">HYPERLINK("https://web.datatree.com/?/property?propertyId=34263834", "https://web.datatree.com/?/property?propertyId=34263834")</f>
        <v>https://web.datatree.com/?/property?propertyId=34263834</v>
      </c>
      <c r="Q5710" t="s">
        <v>316</v>
      </c>
      <c>
        <v>0.364</v>
      </c>
      <c t="s">
        <v>5471</v>
      </c>
      <c t="s">
        <v>15804</v>
      </c>
      <c t="s">
        <v>25427</v>
      </c>
      <c r="X5710" t="s">
        <v>19938</v>
      </c>
      <c t="s">
        <v>23807</v>
      </c>
      <c t="s">
        <v>65059</v>
      </c>
      <c t="s">
        <v>39289</v>
      </c>
      <c>
        <v>33908</v>
      </c>
      <c>
        <v>33908</v>
      </c>
      <c t="s">
        <v>48794</v>
      </c>
      <c t="s">
        <v>41158</v>
      </c>
      <c>
        <v>1572</v>
      </c>
      <c r="AI5710" t="s">
        <v>43773</v>
      </c>
      <c t="s">
        <v>4985</v>
      </c>
      <c r="AL5710" t="s">
        <v>2602</v>
      </c>
      <c r="AN5710" t="s">
        <v>10909</v>
      </c>
      <c t="s">
        <v>26438</v>
      </c>
      <c r="AQ5710" t="s">
        <v>27814</v>
      </c>
      <c t="s">
        <v>11247</v>
      </c>
    </row>
    <row>
      <c t="s">
        <v>17594</v>
      </c>
      <c t="s">
        <v>48309</v>
      </c>
      <c t="s">
        <v>49319</v>
      </c>
      <c t="s">
        <v>14675</v>
      </c>
      <c t="s">
        <v>22740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5711" s="1" t="str">
        <f ca="1">HYPERLINK("https://web.datatree.com/?/property?propertyId=34263944", "https://web.datatree.com/?/property?propertyId=34263944")</f>
        <v>https://web.datatree.com/?/property?propertyId=34263944</v>
      </c>
      <c r="Q5711" t="s">
        <v>316</v>
      </c>
      <c>
        <v>0.23</v>
      </c>
      <c t="s">
        <v>22490</v>
      </c>
      <c t="s">
        <v>1599</v>
      </c>
      <c t="s">
        <v>29940</v>
      </c>
      <c r="X5711" t="s">
        <v>41098</v>
      </c>
      <c t="s">
        <v>29190</v>
      </c>
      <c t="s">
        <v>2517</v>
      </c>
      <c t="s">
        <v>39289</v>
      </c>
      <c>
        <v>33909</v>
      </c>
      <c t="s">
        <v>66884</v>
      </c>
      <c t="s">
        <v>48794</v>
      </c>
      <c t="s">
        <v>66050</v>
      </c>
      <c r="AI5711" t="s">
        <v>54803</v>
      </c>
      <c r="AL5711" t="s">
        <v>46429</v>
      </c>
      <c r="AN5711" t="s">
        <v>32840</v>
      </c>
      <c r="AR5711" t="s">
        <v>30072</v>
      </c>
    </row>
    <row>
      <c t="s">
        <v>17594</v>
      </c>
      <c t="s">
        <v>3719</v>
      </c>
      <c t="s">
        <v>31468</v>
      </c>
      <c t="s">
        <v>36851</v>
      </c>
      <c t="s">
        <v>14031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5712" s="1" t="str">
        <f ca="1">HYPERLINK("https://web.datatree.com/?/property?propertyId=34264050", "https://web.datatree.com/?/property?propertyId=34264050")</f>
        <v>https://web.datatree.com/?/property?propertyId=34264050</v>
      </c>
      <c r="Q5712" t="s">
        <v>316</v>
      </c>
      <c>
        <v>0.23</v>
      </c>
      <c t="s">
        <v>6175</v>
      </c>
      <c t="s">
        <v>21852</v>
      </c>
      <c t="s">
        <v>12516</v>
      </c>
      <c r="X5712" t="s">
        <v>29660</v>
      </c>
      <c t="s">
        <v>46469</v>
      </c>
      <c t="s">
        <v>2517</v>
      </c>
      <c t="s">
        <v>39289</v>
      </c>
      <c>
        <v>33909</v>
      </c>
      <c t="s">
        <v>19347</v>
      </c>
      <c t="s">
        <v>48794</v>
      </c>
      <c t="s">
        <v>66583</v>
      </c>
      <c>
        <v>637</v>
      </c>
      <c r="AI5712" t="s">
        <v>30764</v>
      </c>
      <c t="s">
        <v>40123</v>
      </c>
      <c r="AL5712" t="s">
        <v>30396</v>
      </c>
      <c t="s">
        <v>30396</v>
      </c>
      <c t="s">
        <v>39289</v>
      </c>
      <c t="s">
        <v>13272</v>
      </c>
      <c t="s">
        <v>61410</v>
      </c>
      <c t="s">
        <v>3093</v>
      </c>
      <c t="s">
        <v>32170</v>
      </c>
    </row>
    <row>
      <c t="s">
        <v>17594</v>
      </c>
      <c t="s">
        <v>64333</v>
      </c>
      <c t="s">
        <v>24765</v>
      </c>
      <c t="s">
        <v>8695</v>
      </c>
      <c t="s">
        <v>53713</v>
      </c>
      <c s="3">
        <v>29912</v>
      </c>
      <c s="3">
        <v>29912</v>
      </c>
      <c s="3">
        <v>27534</v>
      </c>
      <c>
        <v>0</v>
      </c>
      <c s="3">
        <v>0</v>
      </c>
      <c s="3">
        <v>425.43</v>
      </c>
      <c s="3">
        <v>29912</v>
      </c>
      <c r="O5713" s="1" t="str">
        <f ca="1">HYPERLINK("https://web.datatree.com/?/property?propertyId=34264121", "https://web.datatree.com/?/property?propertyId=34264121")</f>
        <v>https://web.datatree.com/?/property?propertyId=34264121</v>
      </c>
      <c r="Q5713" t="s">
        <v>316</v>
      </c>
      <c>
        <v>0.66</v>
      </c>
      <c t="s">
        <v>30497</v>
      </c>
      <c t="s">
        <v>25282</v>
      </c>
      <c t="s">
        <v>54943</v>
      </c>
      <c t="s">
        <v>2140</v>
      </c>
      <c t="s">
        <v>54943</v>
      </c>
      <c t="s">
        <v>21038</v>
      </c>
      <c t="s">
        <v>16048</v>
      </c>
      <c t="s">
        <v>65059</v>
      </c>
      <c t="s">
        <v>39289</v>
      </c>
      <c>
        <v>33905</v>
      </c>
      <c t="s">
        <v>35661</v>
      </c>
      <c t="s">
        <v>48794</v>
      </c>
      <c t="s">
        <v>63869</v>
      </c>
      <c>
        <v>1536</v>
      </c>
      <c r="AI5713" t="s">
        <v>17816</v>
      </c>
      <c t="s">
        <v>31192</v>
      </c>
      <c r="AL5713" t="s">
        <v>40199</v>
      </c>
      <c t="s">
        <v>40227</v>
      </c>
      <c t="s">
        <v>49730</v>
      </c>
      <c t="s">
        <v>15659</v>
      </c>
      <c t="s">
        <v>27410</v>
      </c>
      <c t="s">
        <v>3093</v>
      </c>
      <c t="s">
        <v>24303</v>
      </c>
    </row>
    <row>
      <c t="s">
        <v>17594</v>
      </c>
      <c t="s">
        <v>3495</v>
      </c>
      <c t="s">
        <v>57338</v>
      </c>
      <c t="s">
        <v>32090</v>
      </c>
      <c t="s">
        <v>64881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 r="O5714" s="1" t="str">
        <f ca="1">HYPERLINK("https://web.datatree.com/?/property?propertyId=34265558", "https://web.datatree.com/?/property?propertyId=34265558")</f>
        <v>https://web.datatree.com/?/property?propertyId=34265558</v>
      </c>
      <c r="Q5714" t="s">
        <v>316</v>
      </c>
      <c>
        <v>0.236</v>
      </c>
      <c t="s">
        <v>5471</v>
      </c>
      <c r="U5714" t="s">
        <v>46542</v>
      </c>
      <c r="W5714" t="s">
        <v>55972</v>
      </c>
      <c t="s">
        <v>66478</v>
      </c>
      <c t="s">
        <v>43940</v>
      </c>
      <c t="s">
        <v>65059</v>
      </c>
      <c t="s">
        <v>39289</v>
      </c>
      <c>
        <v>33905</v>
      </c>
      <c t="s">
        <v>55364</v>
      </c>
      <c t="s">
        <v>48794</v>
      </c>
      <c t="s">
        <v>282</v>
      </c>
      <c>
        <v>11438</v>
      </c>
      <c r="AI5714" t="s">
        <v>7445</v>
      </c>
      <c t="s">
        <v>45393</v>
      </c>
      <c r="AL5714" t="s">
        <v>53428</v>
      </c>
      <c r="AN5714" t="s">
        <v>50917</v>
      </c>
      <c t="s">
        <v>21138</v>
      </c>
      <c t="s">
        <v>33029</v>
      </c>
      <c t="s">
        <v>3093</v>
      </c>
      <c t="s">
        <v>39721</v>
      </c>
    </row>
    <row>
      <c t="s">
        <v>17594</v>
      </c>
      <c t="s">
        <v>55251</v>
      </c>
      <c t="s">
        <v>22391</v>
      </c>
      <c t="s">
        <v>4691</v>
      </c>
      <c t="s">
        <v>35892</v>
      </c>
      <c s="3">
        <v>12544</v>
      </c>
      <c s="3">
        <v>12544</v>
      </c>
      <c s="3">
        <v>4972</v>
      </c>
      <c>
        <v>0</v>
      </c>
      <c s="3">
        <v>0</v>
      </c>
      <c s="3">
        <v>316.66</v>
      </c>
      <c s="3">
        <v>12544</v>
      </c>
      <c r="O5715" s="1" t="str">
        <f ca="1">HYPERLINK("https://web.datatree.com/?/property?propertyId=34266039", "https://web.datatree.com/?/property?propertyId=34266039")</f>
        <v>https://web.datatree.com/?/property?propertyId=34266039</v>
      </c>
      <c r="Q5715" t="s">
        <v>316</v>
      </c>
      <c>
        <v>0.235</v>
      </c>
      <c t="s">
        <v>5471</v>
      </c>
      <c r="U5715" t="s">
        <v>48940</v>
      </c>
      <c r="W5715" t="s">
        <v>54026</v>
      </c>
      <c t="s">
        <v>11735</v>
      </c>
      <c t="s">
        <v>15518</v>
      </c>
      <c t="s">
        <v>65059</v>
      </c>
      <c t="s">
        <v>39289</v>
      </c>
      <c>
        <v>33905</v>
      </c>
      <c t="s">
        <v>34623</v>
      </c>
      <c t="s">
        <v>48794</v>
      </c>
      <c t="s">
        <v>26258</v>
      </c>
      <c>
        <v>9</v>
      </c>
      <c r="AI5715" t="s">
        <v>48985</v>
      </c>
      <c t="s">
        <v>31192</v>
      </c>
      <c r="AL5715" t="s">
        <v>51013</v>
      </c>
      <c r="AN5715" t="s">
        <v>26016</v>
      </c>
      <c t="s">
        <v>33963</v>
      </c>
      <c t="s">
        <v>43294</v>
      </c>
      <c t="s">
        <v>3093</v>
      </c>
      <c t="s">
        <v>23794</v>
      </c>
    </row>
    <row>
      <c t="s">
        <v>17594</v>
      </c>
      <c t="s">
        <v>3927</v>
      </c>
      <c t="s">
        <v>21936</v>
      </c>
      <c t="s">
        <v>54148</v>
      </c>
      <c t="s">
        <v>36427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>
        <v>2021</v>
      </c>
      <c>
        <v>525.35</v>
      </c>
      <c s="1" t="str">
        <f ca="1">HYPERLINK("https://web.datatree.com/?/property?propertyId=34267763", "https://web.datatree.com/?/property?propertyId=34267763")</f>
        <v>https://web.datatree.com/?/property?propertyId=34267763</v>
      </c>
      <c r="Q5716" t="s">
        <v>316</v>
      </c>
      <c>
        <v>0.23</v>
      </c>
      <c t="s">
        <v>6175</v>
      </c>
      <c t="s">
        <v>66812</v>
      </c>
      <c t="s">
        <v>17204</v>
      </c>
      <c t="s">
        <v>52057</v>
      </c>
      <c t="s">
        <v>17204</v>
      </c>
      <c t="s">
        <v>53731</v>
      </c>
      <c t="s">
        <v>23517</v>
      </c>
      <c t="s">
        <v>2517</v>
      </c>
      <c t="s">
        <v>39289</v>
      </c>
      <c>
        <v>33909</v>
      </c>
      <c t="s">
        <v>55853</v>
      </c>
      <c t="s">
        <v>48794</v>
      </c>
      <c t="s">
        <v>14931</v>
      </c>
      <c>
        <v>11</v>
      </c>
      <c r="AI5716" t="s">
        <v>24284</v>
      </c>
      <c t="s">
        <v>45620</v>
      </c>
      <c r="AL5716" t="s">
        <v>15524</v>
      </c>
      <c r="AN5716" t="s">
        <v>27747</v>
      </c>
      <c t="s">
        <v>38932</v>
      </c>
      <c t="s">
        <v>14695</v>
      </c>
      <c t="s">
        <v>3093</v>
      </c>
      <c t="s">
        <v>60352</v>
      </c>
    </row>
    <row>
      <c t="s">
        <v>17594</v>
      </c>
      <c t="s">
        <v>65441</v>
      </c>
      <c t="s">
        <v>6477</v>
      </c>
      <c t="s">
        <v>19374</v>
      </c>
      <c t="s">
        <v>62141</v>
      </c>
      <c s="3">
        <v>12544</v>
      </c>
      <c s="3">
        <v>12544</v>
      </c>
      <c s="3">
        <v>6389</v>
      </c>
      <c>
        <v>0</v>
      </c>
      <c s="3">
        <v>0</v>
      </c>
      <c s="3">
        <v>341.37</v>
      </c>
      <c s="3">
        <v>12544</v>
      </c>
      <c r="O5717" s="1" t="str">
        <f ca="1">HYPERLINK("https://web.datatree.com/?/property?propertyId=34268429", "https://web.datatree.com/?/property?propertyId=34268429")</f>
        <v>https://web.datatree.com/?/property?propertyId=34268429</v>
      </c>
      <c r="Q5717" t="s">
        <v>316</v>
      </c>
      <c>
        <v>0.361</v>
      </c>
      <c t="s">
        <v>37489</v>
      </c>
      <c t="s">
        <v>7043</v>
      </c>
      <c t="s">
        <v>40483</v>
      </c>
      <c r="X5717" t="s">
        <v>27119</v>
      </c>
      <c t="s">
        <v>10854</v>
      </c>
      <c t="s">
        <v>65059</v>
      </c>
      <c t="s">
        <v>39289</v>
      </c>
      <c>
        <v>33905</v>
      </c>
      <c t="s">
        <v>16535</v>
      </c>
      <c t="s">
        <v>48794</v>
      </c>
      <c t="s">
        <v>26091</v>
      </c>
      <c>
        <v>2430</v>
      </c>
      <c r="AI5717" t="s">
        <v>17171</v>
      </c>
      <c t="s">
        <v>45620</v>
      </c>
      <c r="AL5717" t="s">
        <v>30138</v>
      </c>
      <c r="AN5717" t="s">
        <v>18236</v>
      </c>
      <c t="s">
        <v>25530</v>
      </c>
      <c t="s">
        <v>5652</v>
      </c>
      <c t="s">
        <v>3093</v>
      </c>
      <c t="s">
        <v>9007</v>
      </c>
    </row>
    <row>
      <c t="s">
        <v>17594</v>
      </c>
      <c t="s">
        <v>26334</v>
      </c>
      <c t="s">
        <v>13264</v>
      </c>
      <c t="s">
        <v>55958</v>
      </c>
      <c t="s">
        <v>54271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718" s="1" t="str">
        <f ca="1">HYPERLINK("https://web.datatree.com/?/property?propertyId=34268809", "https://web.datatree.com/?/property?propertyId=34268809")</f>
        <v>https://web.datatree.com/?/property?propertyId=34268809</v>
      </c>
      <c r="Q5718" t="s">
        <v>316</v>
      </c>
      <c>
        <v>0.23</v>
      </c>
      <c t="s">
        <v>6175</v>
      </c>
      <c r="U5718" t="s">
        <v>35921</v>
      </c>
      <c r="W5718" t="s">
        <v>21290</v>
      </c>
      <c t="s">
        <v>44294</v>
      </c>
      <c t="s">
        <v>64331</v>
      </c>
      <c t="s">
        <v>2517</v>
      </c>
      <c t="s">
        <v>39289</v>
      </c>
      <c>
        <v>33909</v>
      </c>
      <c t="s">
        <v>19613</v>
      </c>
      <c t="s">
        <v>48794</v>
      </c>
      <c t="s">
        <v>38290</v>
      </c>
      <c>
        <v>4350</v>
      </c>
      <c r="AI5718" t="s">
        <v>16704</v>
      </c>
      <c t="s">
        <v>40123</v>
      </c>
      <c r="AL5718" t="s">
        <v>55393</v>
      </c>
      <c t="s">
        <v>16890</v>
      </c>
      <c t="s">
        <v>39289</v>
      </c>
      <c t="s">
        <v>41636</v>
      </c>
      <c t="s">
        <v>62983</v>
      </c>
      <c t="s">
        <v>3093</v>
      </c>
      <c t="s">
        <v>24005</v>
      </c>
    </row>
    <row>
      <c t="s">
        <v>17594</v>
      </c>
      <c t="s">
        <v>14199</v>
      </c>
      <c t="s">
        <v>44407</v>
      </c>
      <c t="s">
        <v>7663</v>
      </c>
      <c t="s">
        <v>43402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5719" s="1" t="str">
        <f ca="1">HYPERLINK("https://web.datatree.com/?/property?propertyId=34268823", "https://web.datatree.com/?/property?propertyId=34268823")</f>
        <v>https://web.datatree.com/?/property?propertyId=34268823</v>
      </c>
      <c r="Q5719" t="s">
        <v>316</v>
      </c>
      <c>
        <v>0.23</v>
      </c>
      <c t="s">
        <v>22490</v>
      </c>
      <c t="s">
        <v>65572</v>
      </c>
      <c t="s">
        <v>48794</v>
      </c>
      <c r="X5719" t="s">
        <v>51510</v>
      </c>
      <c t="s">
        <v>49122</v>
      </c>
      <c t="s">
        <v>2517</v>
      </c>
      <c t="s">
        <v>39289</v>
      </c>
      <c>
        <v>33909</v>
      </c>
      <c t="s">
        <v>66432</v>
      </c>
      <c t="s">
        <v>48794</v>
      </c>
      <c t="s">
        <v>48255</v>
      </c>
      <c>
        <v>113</v>
      </c>
      <c r="AI5719" t="s">
        <v>38748</v>
      </c>
      <c t="s">
        <v>31192</v>
      </c>
      <c r="AL5719" t="s">
        <v>42449</v>
      </c>
      <c r="AN5719" t="s">
        <v>27747</v>
      </c>
      <c t="s">
        <v>26761</v>
      </c>
      <c t="s">
        <v>17380</v>
      </c>
      <c t="s">
        <v>3093</v>
      </c>
      <c t="s">
        <v>17841</v>
      </c>
    </row>
    <row>
      <c t="s">
        <v>42103</v>
      </c>
      <c t="s">
        <v>5937</v>
      </c>
      <c t="s">
        <v>18595</v>
      </c>
      <c t="s">
        <v>27798</v>
      </c>
      <c t="s">
        <v>21700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5720" s="1" t="str">
        <f ca="1">HYPERLINK("https://web.datatree.com/?/property?propertyId=34269304", "https://web.datatree.com/?/property?propertyId=34269304")</f>
        <v>https://web.datatree.com/?/property?propertyId=34269304</v>
      </c>
      <c r="Q5720" t="s">
        <v>316</v>
      </c>
      <c>
        <v>0.23</v>
      </c>
      <c t="s">
        <v>6175</v>
      </c>
      <c t="s">
        <v>56498</v>
      </c>
      <c t="s">
        <v>63478</v>
      </c>
      <c t="s">
        <v>2140</v>
      </c>
      <c t="s">
        <v>63478</v>
      </c>
      <c t="s">
        <v>22383</v>
      </c>
      <c t="s">
        <v>13829</v>
      </c>
      <c t="s">
        <v>2517</v>
      </c>
      <c t="s">
        <v>39289</v>
      </c>
      <c>
        <v>33909</v>
      </c>
      <c t="s">
        <v>66196</v>
      </c>
      <c t="s">
        <v>48794</v>
      </c>
      <c t="s">
        <v>24790</v>
      </c>
      <c r="AI5720" t="s">
        <v>15146</v>
      </c>
      <c r="AL5720" t="s">
        <v>7543</v>
      </c>
      <c r="AN5720" t="s">
        <v>64022</v>
      </c>
      <c>
        <v>3037</v>
      </c>
      <c t="s">
        <v>15796</v>
      </c>
      <c t="s">
        <v>3093</v>
      </c>
      <c t="s">
        <v>50808</v>
      </c>
    </row>
    <row>
      <c t="s">
        <v>17594</v>
      </c>
      <c t="s">
        <v>36761</v>
      </c>
      <c t="s">
        <v>36223</v>
      </c>
      <c t="s">
        <v>7389</v>
      </c>
      <c t="s">
        <v>23409</v>
      </c>
      <c s="3">
        <v>24450</v>
      </c>
      <c s="3">
        <v>24450</v>
      </c>
      <c s="3">
        <v>11000</v>
      </c>
      <c>
        <v>0</v>
      </c>
      <c s="3">
        <v>0</v>
      </c>
      <c s="3">
        <v>622.94</v>
      </c>
      <c s="3">
        <v>24450</v>
      </c>
      <c r="O5721" s="1" t="str">
        <f ca="1">HYPERLINK("https://web.datatree.com/?/property?propertyId=34269660", "https://web.datatree.com/?/property?propertyId=34269660")</f>
        <v>https://web.datatree.com/?/property?propertyId=34269660</v>
      </c>
      <c r="Q5721" t="s">
        <v>316</v>
      </c>
      <c>
        <v>0.23</v>
      </c>
      <c t="s">
        <v>22490</v>
      </c>
      <c t="s">
        <v>57816</v>
      </c>
      <c t="s">
        <v>21590</v>
      </c>
      <c r="X5721" t="s">
        <v>12124</v>
      </c>
      <c t="s">
        <v>66701</v>
      </c>
      <c t="s">
        <v>2517</v>
      </c>
      <c t="s">
        <v>39289</v>
      </c>
      <c>
        <v>33909</v>
      </c>
      <c t="s">
        <v>43268</v>
      </c>
      <c t="s">
        <v>48794</v>
      </c>
      <c t="s">
        <v>4381</v>
      </c>
      <c>
        <v>10932</v>
      </c>
      <c r="AI5721" t="s">
        <v>26912</v>
      </c>
      <c t="s">
        <v>31192</v>
      </c>
      <c r="AL5721" t="s">
        <v>29964</v>
      </c>
      <c r="AN5721" t="s">
        <v>51137</v>
      </c>
      <c t="s">
        <v>12296</v>
      </c>
      <c t="s">
        <v>27410</v>
      </c>
      <c t="s">
        <v>3093</v>
      </c>
      <c t="s">
        <v>31806</v>
      </c>
    </row>
    <row>
      <c t="s">
        <v>17594</v>
      </c>
      <c t="s">
        <v>11689</v>
      </c>
      <c t="s">
        <v>57801</v>
      </c>
      <c t="s">
        <v>30661</v>
      </c>
      <c t="s">
        <v>57466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722" s="1" t="str">
        <f ca="1">HYPERLINK("https://web.datatree.com/?/property?propertyId=34269862", "https://web.datatree.com/?/property?propertyId=34269862")</f>
        <v>https://web.datatree.com/?/property?propertyId=34269862</v>
      </c>
      <c r="Q5722" t="s">
        <v>316</v>
      </c>
      <c>
        <v>0.233</v>
      </c>
      <c t="s">
        <v>22490</v>
      </c>
      <c r="U5722" t="s">
        <v>11476</v>
      </c>
      <c t="s">
        <v>56162</v>
      </c>
      <c t="s">
        <v>33966</v>
      </c>
      <c t="s">
        <v>10816</v>
      </c>
      <c t="s">
        <v>61850</v>
      </c>
      <c t="s">
        <v>2517</v>
      </c>
      <c t="s">
        <v>39289</v>
      </c>
      <c>
        <v>33909</v>
      </c>
      <c t="s">
        <v>55313</v>
      </c>
      <c t="s">
        <v>48794</v>
      </c>
      <c t="s">
        <v>22073</v>
      </c>
      <c>
        <v>100</v>
      </c>
      <c r="AI5722" t="s">
        <v>64656</v>
      </c>
      <c t="s">
        <v>24900</v>
      </c>
      <c>
        <v>650</v>
      </c>
      <c t="s">
        <v>17107</v>
      </c>
      <c t="s">
        <v>17107</v>
      </c>
      <c t="s">
        <v>65451</v>
      </c>
      <c t="s">
        <v>36524</v>
      </c>
      <c t="s">
        <v>22613</v>
      </c>
      <c t="s">
        <v>3093</v>
      </c>
      <c t="s">
        <v>7730</v>
      </c>
    </row>
    <row>
      <c t="s">
        <v>17594</v>
      </c>
      <c t="s">
        <v>30492</v>
      </c>
      <c t="s">
        <v>46934</v>
      </c>
      <c t="s">
        <v>16276</v>
      </c>
      <c t="s">
        <v>50252</v>
      </c>
      <c s="3">
        <v>101519</v>
      </c>
      <c s="3">
        <v>90000</v>
      </c>
      <c s="3">
        <v>101519</v>
      </c>
      <c>
        <v>0</v>
      </c>
      <c s="3">
        <v>0</v>
      </c>
      <c s="3">
        <v>1524.81</v>
      </c>
      <c s="3">
        <v>101519</v>
      </c>
      <c r="O5723" s="1" t="str">
        <f ca="1">HYPERLINK("https://web.datatree.com/?/property?propertyId=34270251", "https://web.datatree.com/?/property?propertyId=34270251")</f>
        <v>https://web.datatree.com/?/property?propertyId=34270251</v>
      </c>
      <c r="Q5723" t="s">
        <v>316</v>
      </c>
      <c>
        <v>0.099</v>
      </c>
      <c t="s">
        <v>26492</v>
      </c>
      <c t="s">
        <v>552</v>
      </c>
      <c t="s">
        <v>1007</v>
      </c>
      <c t="s">
        <v>46605</v>
      </c>
      <c t="s">
        <v>1007</v>
      </c>
      <c t="s">
        <v>616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49000</v>
      </c>
      <c>
        <v>800</v>
      </c>
      <c r="AI5723" t="s">
        <v>43017</v>
      </c>
      <c t="s">
        <v>45393</v>
      </c>
      <c>
        <v>330</v>
      </c>
      <c t="s">
        <v>46989</v>
      </c>
      <c t="s">
        <v>46989</v>
      </c>
      <c t="s">
        <v>39289</v>
      </c>
      <c t="s">
        <v>60248</v>
      </c>
      <c t="s">
        <v>1951</v>
      </c>
      <c t="s">
        <v>3093</v>
      </c>
      <c t="s">
        <v>46243</v>
      </c>
    </row>
    <row>
      <c t="s">
        <v>17594</v>
      </c>
      <c t="s">
        <v>22980</v>
      </c>
      <c t="s">
        <v>25336</v>
      </c>
      <c t="s">
        <v>41569</v>
      </c>
      <c t="s">
        <v>27774</v>
      </c>
      <c s="3">
        <v>23100</v>
      </c>
      <c s="3">
        <v>23100</v>
      </c>
      <c s="3">
        <v>12884</v>
      </c>
      <c>
        <v>0</v>
      </c>
      <c s="3">
        <v>0</v>
      </c>
      <c s="3">
        <v>232.65</v>
      </c>
      <c s="3">
        <v>23100</v>
      </c>
      <c r="O5724" s="1" t="str">
        <f ca="1">HYPERLINK("https://web.datatree.com/?/property?propertyId=34270518", "https://web.datatree.com/?/property?propertyId=34270518")</f>
        <v>https://web.datatree.com/?/property?propertyId=34270518</v>
      </c>
      <c r="Q5724" t="s">
        <v>316</v>
      </c>
      <c>
        <v>0.234</v>
      </c>
      <c t="s">
        <v>5471</v>
      </c>
      <c t="s">
        <v>15051</v>
      </c>
      <c t="s">
        <v>61296</v>
      </c>
      <c r="X5724" t="s">
        <v>6447</v>
      </c>
      <c t="s">
        <v>40859</v>
      </c>
      <c t="s">
        <v>65059</v>
      </c>
      <c t="s">
        <v>39289</v>
      </c>
      <c>
        <v>33905</v>
      </c>
      <c t="s">
        <v>54574</v>
      </c>
      <c t="s">
        <v>48794</v>
      </c>
      <c t="s">
        <v>21520</v>
      </c>
      <c>
        <v>246</v>
      </c>
      <c r="AI5724" t="s">
        <v>38161</v>
      </c>
      <c t="s">
        <v>45393</v>
      </c>
      <c r="AL5724" t="s">
        <v>26964</v>
      </c>
      <c t="s">
        <v>26964</v>
      </c>
      <c t="s">
        <v>17134</v>
      </c>
      <c t="s">
        <v>17249</v>
      </c>
      <c t="s">
        <v>25140</v>
      </c>
      <c t="s">
        <v>3093</v>
      </c>
      <c t="s">
        <v>48860</v>
      </c>
    </row>
    <row>
      <c t="s">
        <v>17594</v>
      </c>
      <c t="s">
        <v>48067</v>
      </c>
      <c t="s">
        <v>29095</v>
      </c>
      <c t="s">
        <v>43589</v>
      </c>
      <c t="s">
        <v>19569</v>
      </c>
      <c s="3">
        <v>39191</v>
      </c>
      <c s="3">
        <v>39191</v>
      </c>
      <c s="3">
        <v>19143</v>
      </c>
      <c>
        <v>0</v>
      </c>
      <c s="3">
        <v>0</v>
      </c>
      <c s="3">
        <v>717.51</v>
      </c>
      <c s="3">
        <v>39191</v>
      </c>
      <c r="O5725" s="1" t="str">
        <f ca="1">HYPERLINK("https://web.datatree.com/?/property?propertyId=34270620", "https://web.datatree.com/?/property?propertyId=34270620")</f>
        <v>https://web.datatree.com/?/property?propertyId=34270620</v>
      </c>
      <c r="Q5725" t="s">
        <v>316</v>
      </c>
      <c>
        <v>0.23</v>
      </c>
      <c t="s">
        <v>6175</v>
      </c>
      <c t="s">
        <v>39668</v>
      </c>
      <c t="s">
        <v>58941</v>
      </c>
      <c r="X5725" t="s">
        <v>43903</v>
      </c>
      <c t="s">
        <v>66701</v>
      </c>
      <c t="s">
        <v>2517</v>
      </c>
      <c t="s">
        <v>39289</v>
      </c>
      <c>
        <v>33909</v>
      </c>
      <c t="s">
        <v>30923</v>
      </c>
      <c t="s">
        <v>48794</v>
      </c>
      <c t="s">
        <v>27994</v>
      </c>
      <c>
        <v>4836</v>
      </c>
      <c r="AI5725" t="s">
        <v>7183</v>
      </c>
      <c t="s">
        <v>1671</v>
      </c>
      <c r="AL5725" t="s">
        <v>36970</v>
      </c>
      <c r="AN5725" t="s">
        <v>39289</v>
      </c>
      <c t="s">
        <v>61199</v>
      </c>
      <c t="s">
        <v>45852</v>
      </c>
      <c t="s">
        <v>3093</v>
      </c>
      <c t="s">
        <v>29268</v>
      </c>
    </row>
    <row>
      <c t="s">
        <v>17594</v>
      </c>
      <c t="s">
        <v>11606</v>
      </c>
      <c t="s">
        <v>58925</v>
      </c>
      <c t="s">
        <v>24427</v>
      </c>
      <c t="s">
        <v>17328</v>
      </c>
      <c s="3">
        <v>25057</v>
      </c>
      <c s="3">
        <v>25057</v>
      </c>
      <c s="3">
        <v>9599</v>
      </c>
      <c>
        <v>0</v>
      </c>
      <c s="3">
        <v>0</v>
      </c>
      <c s="3">
        <v>714.8</v>
      </c>
      <c s="3">
        <v>25057</v>
      </c>
      <c r="O5726" s="1" t="str">
        <f ca="1">HYPERLINK("https://web.datatree.com/?/property?propertyId=34271812", "https://web.datatree.com/?/property?propertyId=34271812")</f>
        <v>https://web.datatree.com/?/property?propertyId=34271812</v>
      </c>
      <c r="Q5726" t="s">
        <v>316</v>
      </c>
      <c>
        <v>0.344</v>
      </c>
      <c t="s">
        <v>6175</v>
      </c>
      <c t="s">
        <v>4098</v>
      </c>
      <c t="s">
        <v>2369</v>
      </c>
      <c r="X5726" t="s">
        <v>36422</v>
      </c>
      <c t="s">
        <v>61850</v>
      </c>
      <c t="s">
        <v>2517</v>
      </c>
      <c t="s">
        <v>39289</v>
      </c>
      <c>
        <v>33909</v>
      </c>
      <c t="s">
        <v>22118</v>
      </c>
      <c t="s">
        <v>48794</v>
      </c>
      <c t="s">
        <v>21824</v>
      </c>
      <c>
        <v>52</v>
      </c>
      <c r="AI5726" t="s">
        <v>43526</v>
      </c>
      <c t="s">
        <v>31192</v>
      </c>
      <c r="AL5726" t="s">
        <v>20637</v>
      </c>
      <c r="AN5726" t="s">
        <v>26016</v>
      </c>
      <c t="s">
        <v>44896</v>
      </c>
      <c t="s">
        <v>51100</v>
      </c>
      <c t="s">
        <v>3093</v>
      </c>
      <c t="s">
        <v>6723</v>
      </c>
    </row>
    <row>
      <c t="s">
        <v>42103</v>
      </c>
      <c t="s">
        <v>33027</v>
      </c>
      <c t="s">
        <v>33477</v>
      </c>
      <c t="s">
        <v>61985</v>
      </c>
      <c t="s">
        <v>65376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727" s="1" t="str">
        <f ca="1">HYPERLINK("https://web.datatree.com/?/property?propertyId=34272014", "https://web.datatree.com/?/property?propertyId=34272014")</f>
        <v>https://web.datatree.com/?/property?propertyId=34272014</v>
      </c>
      <c r="Q5727" t="s">
        <v>316</v>
      </c>
      <c>
        <v>0.23</v>
      </c>
      <c t="s">
        <v>22490</v>
      </c>
      <c t="s">
        <v>1145</v>
      </c>
      <c t="s">
        <v>27387</v>
      </c>
      <c r="X5727" t="s">
        <v>11360</v>
      </c>
      <c t="s">
        <v>24999</v>
      </c>
      <c t="s">
        <v>2517</v>
      </c>
      <c t="s">
        <v>39289</v>
      </c>
      <c>
        <v>33909</v>
      </c>
      <c t="s">
        <v>19283</v>
      </c>
      <c t="s">
        <v>48794</v>
      </c>
      <c t="s">
        <v>29283</v>
      </c>
      <c r="AI5727" t="s">
        <v>20470</v>
      </c>
      <c r="AN5727" t="s">
        <v>19878</v>
      </c>
      <c>
        <v>38523</v>
      </c>
      <c r="AR5727" t="s">
        <v>41955</v>
      </c>
    </row>
    <row>
      <c t="s">
        <v>17594</v>
      </c>
      <c t="s">
        <v>59934</v>
      </c>
      <c t="s">
        <v>39069</v>
      </c>
      <c t="s">
        <v>62152</v>
      </c>
      <c t="s">
        <v>20499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728" s="1" t="str">
        <f ca="1">HYPERLINK("https://web.datatree.com/?/property?propertyId=34272466", "https://web.datatree.com/?/property?propertyId=34272466")</f>
        <v>https://web.datatree.com/?/property?propertyId=34272466</v>
      </c>
      <c r="Q5728" t="s">
        <v>316</v>
      </c>
      <c>
        <v>0.23</v>
      </c>
      <c t="s">
        <v>6175</v>
      </c>
      <c t="s">
        <v>44457</v>
      </c>
      <c t="s">
        <v>2899</v>
      </c>
      <c t="s">
        <v>981</v>
      </c>
      <c t="s">
        <v>7622</v>
      </c>
      <c t="s">
        <v>50219</v>
      </c>
      <c t="s">
        <v>61144</v>
      </c>
      <c t="s">
        <v>2517</v>
      </c>
      <c t="s">
        <v>39289</v>
      </c>
      <c>
        <v>33909</v>
      </c>
      <c t="s">
        <v>26052</v>
      </c>
      <c t="s">
        <v>48794</v>
      </c>
      <c t="s">
        <v>26144</v>
      </c>
      <c>
        <v>6670</v>
      </c>
      <c r="AI5728" t="s">
        <v>48337</v>
      </c>
      <c t="s">
        <v>24900</v>
      </c>
      <c>
        <v>607</v>
      </c>
      <c t="s">
        <v>46703</v>
      </c>
      <c r="AN5728" t="s">
        <v>39289</v>
      </c>
      <c t="s">
        <v>40202</v>
      </c>
      <c t="s">
        <v>56964</v>
      </c>
      <c t="s">
        <v>3093</v>
      </c>
      <c t="s">
        <v>41721</v>
      </c>
    </row>
    <row>
      <c t="s">
        <v>17594</v>
      </c>
      <c t="s">
        <v>11546</v>
      </c>
      <c t="s">
        <v>36745</v>
      </c>
      <c t="s">
        <v>24397</v>
      </c>
      <c t="s">
        <v>65474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 r="O5729" s="1" t="str">
        <f ca="1">HYPERLINK("https://web.datatree.com/?/property?propertyId=34272607", "https://web.datatree.com/?/property?propertyId=34272607")</f>
        <v>https://web.datatree.com/?/property?propertyId=34272607</v>
      </c>
      <c r="Q5729" t="s">
        <v>316</v>
      </c>
      <c>
        <v>0.23</v>
      </c>
      <c t="s">
        <v>6175</v>
      </c>
      <c t="s">
        <v>36738</v>
      </c>
      <c t="s">
        <v>27508</v>
      </c>
      <c r="X5729" t="s">
        <v>28441</v>
      </c>
      <c t="s">
        <v>49122</v>
      </c>
      <c t="s">
        <v>2517</v>
      </c>
      <c t="s">
        <v>39289</v>
      </c>
      <c>
        <v>33909</v>
      </c>
      <c t="s">
        <v>47080</v>
      </c>
      <c t="s">
        <v>48794</v>
      </c>
      <c t="s">
        <v>43486</v>
      </c>
      <c>
        <v>133</v>
      </c>
      <c r="AI5729" t="s">
        <v>57676</v>
      </c>
      <c t="s">
        <v>7646</v>
      </c>
      <c r="AL5729" t="s">
        <v>35792</v>
      </c>
      <c t="s">
        <v>35792</v>
      </c>
      <c t="s">
        <v>27747</v>
      </c>
      <c>
        <v>1101</v>
      </c>
      <c r="AR5729" t="s">
        <v>64257</v>
      </c>
    </row>
    <row>
      <c t="s">
        <v>17594</v>
      </c>
      <c t="s">
        <v>65077</v>
      </c>
      <c t="s">
        <v>25599</v>
      </c>
      <c t="s">
        <v>43347</v>
      </c>
      <c t="s">
        <v>45351</v>
      </c>
      <c s="3">
        <v>17859</v>
      </c>
      <c s="3">
        <v>17859</v>
      </c>
      <c s="3">
        <v>8910</v>
      </c>
      <c>
        <v>0</v>
      </c>
      <c s="3">
        <v>0</v>
      </c>
      <c s="3">
        <v>566.28</v>
      </c>
      <c s="3">
        <v>17859</v>
      </c>
      <c r="O5730" s="1" t="str">
        <f ca="1">HYPERLINK("https://web.datatree.com/?/property?propertyId=34272779", "https://web.datatree.com/?/property?propertyId=34272779")</f>
        <v>https://web.datatree.com/?/property?propertyId=34272779</v>
      </c>
      <c r="Q5730" t="s">
        <v>316</v>
      </c>
      <c>
        <v>0.244</v>
      </c>
      <c t="s">
        <v>6175</v>
      </c>
      <c t="s">
        <v>47754</v>
      </c>
      <c t="s">
        <v>13824</v>
      </c>
      <c r="X5730" t="s">
        <v>16546</v>
      </c>
      <c t="s">
        <v>15510</v>
      </c>
      <c t="s">
        <v>2517</v>
      </c>
      <c t="s">
        <v>39289</v>
      </c>
      <c>
        <v>33909</v>
      </c>
      <c t="s">
        <v>54661</v>
      </c>
      <c t="s">
        <v>48794</v>
      </c>
      <c t="s">
        <v>55056</v>
      </c>
      <c>
        <v>2518</v>
      </c>
      <c r="AI5730" t="s">
        <v>30832</v>
      </c>
      <c t="s">
        <v>45393</v>
      </c>
      <c r="AL5730" t="s">
        <v>23828</v>
      </c>
      <c t="s">
        <v>23828</v>
      </c>
      <c t="s">
        <v>39289</v>
      </c>
      <c t="s">
        <v>50108</v>
      </c>
      <c t="s">
        <v>25140</v>
      </c>
      <c t="s">
        <v>3093</v>
      </c>
      <c t="s">
        <v>10467</v>
      </c>
    </row>
    <row>
      <c t="s">
        <v>17594</v>
      </c>
      <c t="s">
        <v>30597</v>
      </c>
      <c t="s">
        <v>800</v>
      </c>
      <c t="s">
        <v>27353</v>
      </c>
      <c t="s">
        <v>23766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>
        <v>2015</v>
      </c>
      <c>
        <v>8685.59</v>
      </c>
      <c s="1" t="str">
        <f ca="1">HYPERLINK("https://web.datatree.com/?/property?propertyId=34273750", "https://web.datatree.com/?/property?propertyId=34273750")</f>
        <v>https://web.datatree.com/?/property?propertyId=34273750</v>
      </c>
      <c r="Q5731" t="s">
        <v>316</v>
      </c>
      <c>
        <v>0.244</v>
      </c>
      <c t="s">
        <v>6175</v>
      </c>
      <c t="s">
        <v>58276</v>
      </c>
      <c t="s">
        <v>18172</v>
      </c>
      <c r="X5731" t="s">
        <v>16037</v>
      </c>
      <c t="s">
        <v>22731</v>
      </c>
      <c t="s">
        <v>2517</v>
      </c>
      <c t="s">
        <v>39289</v>
      </c>
      <c>
        <v>33909</v>
      </c>
      <c t="s">
        <v>61526</v>
      </c>
      <c t="s">
        <v>48794</v>
      </c>
      <c t="s">
        <v>457</v>
      </c>
      <c>
        <v>314</v>
      </c>
      <c r="AI5731" t="s">
        <v>57064</v>
      </c>
      <c t="s">
        <v>45393</v>
      </c>
      <c>
        <v>2</v>
      </c>
      <c t="s">
        <v>60419</v>
      </c>
      <c t="s">
        <v>60419</v>
      </c>
      <c t="s">
        <v>65467</v>
      </c>
      <c t="s">
        <v>15805</v>
      </c>
      <c t="s">
        <v>38085</v>
      </c>
      <c t="s">
        <v>3093</v>
      </c>
      <c t="s">
        <v>26812</v>
      </c>
    </row>
    <row>
      <c t="s">
        <v>17594</v>
      </c>
      <c t="s">
        <v>1797</v>
      </c>
      <c t="s">
        <v>12769</v>
      </c>
      <c t="s">
        <v>37715</v>
      </c>
      <c t="s">
        <v>15733</v>
      </c>
      <c s="3">
        <v>8600</v>
      </c>
      <c s="3">
        <v>8600</v>
      </c>
      <c s="3">
        <v>8600</v>
      </c>
      <c>
        <v>0</v>
      </c>
      <c s="3">
        <v>0</v>
      </c>
      <c s="3">
        <v>573.95</v>
      </c>
      <c s="3">
        <v>8600</v>
      </c>
      <c r="O5732" s="1" t="str">
        <f ca="1">HYPERLINK("https://web.datatree.com/?/property?propertyId=34274170", "https://web.datatree.com/?/property?propertyId=34274170")</f>
        <v>https://web.datatree.com/?/property?propertyId=34274170</v>
      </c>
      <c r="Q5732" t="s">
        <v>316</v>
      </c>
      <c>
        <v>0.23</v>
      </c>
      <c t="s">
        <v>6175</v>
      </c>
      <c t="s">
        <v>30261</v>
      </c>
      <c t="s">
        <v>41554</v>
      </c>
      <c r="X5732" t="s">
        <v>42381</v>
      </c>
      <c t="s">
        <v>2626</v>
      </c>
      <c t="s">
        <v>2517</v>
      </c>
      <c t="s">
        <v>39289</v>
      </c>
      <c>
        <v>33909</v>
      </c>
      <c t="s">
        <v>46634</v>
      </c>
      <c t="s">
        <v>48794</v>
      </c>
      <c t="s">
        <v>47763</v>
      </c>
      <c>
        <v>131</v>
      </c>
      <c r="AI5732" t="s">
        <v>8240</v>
      </c>
      <c t="s">
        <v>45393</v>
      </c>
      <c t="s">
        <v>28819</v>
      </c>
      <c t="s">
        <v>66317</v>
      </c>
      <c t="s">
        <v>13397</v>
      </c>
      <c t="s">
        <v>50917</v>
      </c>
      <c t="s">
        <v>10699</v>
      </c>
      <c t="s">
        <v>27780</v>
      </c>
      <c t="s">
        <v>3093</v>
      </c>
      <c t="s">
        <v>2535</v>
      </c>
    </row>
    <row>
      <c t="s">
        <v>17594</v>
      </c>
      <c t="s">
        <v>59591</v>
      </c>
      <c t="s">
        <v>56630</v>
      </c>
      <c t="s">
        <v>54551</v>
      </c>
      <c t="s">
        <v>39891</v>
      </c>
      <c s="3">
        <v>131946</v>
      </c>
      <c s="3">
        <v>131946</v>
      </c>
      <c s="3">
        <v>131946</v>
      </c>
      <c>
        <v>0</v>
      </c>
      <c s="3">
        <v>0</v>
      </c>
      <c s="3">
        <v>2528.91</v>
      </c>
      <c s="3">
        <v>131946</v>
      </c>
      <c r="O5733" s="1" t="str">
        <f ca="1">HYPERLINK("https://web.datatree.com/?/property?propertyId=34274551", "https://web.datatree.com/?/property?propertyId=34274551")</f>
        <v>https://web.datatree.com/?/property?propertyId=34274551</v>
      </c>
      <c r="Q5733" t="s">
        <v>316</v>
      </c>
      <c>
        <v>0.266</v>
      </c>
      <c t="s">
        <v>22490</v>
      </c>
      <c t="s">
        <v>54943</v>
      </c>
      <c t="s">
        <v>41658</v>
      </c>
      <c t="s">
        <v>29735</v>
      </c>
      <c t="s">
        <v>41658</v>
      </c>
      <c t="s">
        <v>49292</v>
      </c>
      <c t="s">
        <v>57064</v>
      </c>
      <c t="s">
        <v>2517</v>
      </c>
      <c t="s">
        <v>39289</v>
      </c>
      <c>
        <v>33904</v>
      </c>
      <c t="s">
        <v>50010</v>
      </c>
      <c t="s">
        <v>48794</v>
      </c>
      <c t="s">
        <v>12289</v>
      </c>
      <c>
        <v>7525</v>
      </c>
      <c r="AH5733" t="s">
        <v>60953</v>
      </c>
      <c t="s">
        <v>39541</v>
      </c>
      <c t="s">
        <v>45393</v>
      </c>
      <c r="AL5733" t="s">
        <v>42130</v>
      </c>
      <c r="AN5733" t="s">
        <v>50829</v>
      </c>
      <c t="s">
        <v>17565</v>
      </c>
      <c t="s">
        <v>14695</v>
      </c>
      <c t="s">
        <v>3093</v>
      </c>
      <c t="s">
        <v>38448</v>
      </c>
    </row>
    <row>
      <c t="s">
        <v>17594</v>
      </c>
      <c t="s">
        <v>1616</v>
      </c>
      <c t="s">
        <v>59660</v>
      </c>
      <c t="s">
        <v>16755</v>
      </c>
      <c t="s">
        <v>16864</v>
      </c>
      <c s="3">
        <v>39022</v>
      </c>
      <c s="3">
        <v>38833</v>
      </c>
      <c s="3">
        <v>29849</v>
      </c>
      <c>
        <v>0</v>
      </c>
      <c s="3">
        <v>0</v>
      </c>
      <c s="3">
        <v>472.9</v>
      </c>
      <c s="3">
        <v>39022</v>
      </c>
      <c r="O5734" s="1" t="str">
        <f ca="1">HYPERLINK("https://web.datatree.com/?/property?propertyId=34274967", "https://web.datatree.com/?/property?propertyId=34274967")</f>
        <v>https://web.datatree.com/?/property?propertyId=34274967</v>
      </c>
      <c>
        <v>758</v>
      </c>
      <c t="s">
        <v>316</v>
      </c>
      <c>
        <v>0.09</v>
      </c>
      <c t="s">
        <v>54329</v>
      </c>
      <c t="s">
        <v>19357</v>
      </c>
      <c t="s">
        <v>8558</v>
      </c>
      <c t="s">
        <v>13235</v>
      </c>
      <c t="s">
        <v>8558</v>
      </c>
      <c t="s">
        <v>3312</v>
      </c>
      <c t="s">
        <v>63015</v>
      </c>
      <c t="s">
        <v>65059</v>
      </c>
      <c t="s">
        <v>39289</v>
      </c>
      <c>
        <v>33908</v>
      </c>
      <c>
        <v>33908</v>
      </c>
      <c t="s">
        <v>48794</v>
      </c>
      <c t="s">
        <v>50617</v>
      </c>
      <c>
        <v>5213</v>
      </c>
      <c r="AI5734" t="s">
        <v>48597</v>
      </c>
      <c t="s">
        <v>45620</v>
      </c>
      <c r="AL5734" t="s">
        <v>33679</v>
      </c>
      <c r="AN5734" t="s">
        <v>22275</v>
      </c>
      <c t="s">
        <v>66031</v>
      </c>
      <c t="s">
        <v>44428</v>
      </c>
      <c t="s">
        <v>3093</v>
      </c>
      <c t="s">
        <v>30107</v>
      </c>
      <c>
        <v>1986</v>
      </c>
    </row>
    <row>
      <c t="s">
        <v>17594</v>
      </c>
      <c t="s">
        <v>15543</v>
      </c>
      <c t="s">
        <v>54379</v>
      </c>
      <c t="s">
        <v>21049</v>
      </c>
      <c t="s">
        <v>7692</v>
      </c>
      <c s="3">
        <v>72055</v>
      </c>
      <c s="3">
        <v>63500</v>
      </c>
      <c s="3">
        <v>70214</v>
      </c>
      <c>
        <v>0</v>
      </c>
      <c s="3">
        <v>0</v>
      </c>
      <c s="3">
        <v>1066.36</v>
      </c>
      <c s="3">
        <v>72055</v>
      </c>
      <c r="O5735" s="1" t="str">
        <f ca="1">HYPERLINK("https://web.datatree.com/?/property?propertyId=34275811", "https://web.datatree.com/?/property?propertyId=34275811")</f>
        <v>https://web.datatree.com/?/property?propertyId=34275811</v>
      </c>
      <c r="Q5735" t="s">
        <v>316</v>
      </c>
      <c>
        <v>0.095</v>
      </c>
      <c t="s">
        <v>26492</v>
      </c>
      <c r="U5735" t="s">
        <v>58504</v>
      </c>
      <c r="W5735" t="s">
        <v>43143</v>
      </c>
      <c t="s">
        <v>13505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8323</v>
      </c>
      <c>
        <v>215</v>
      </c>
      <c r="AI5735" t="s">
        <v>48986</v>
      </c>
      <c t="s">
        <v>31192</v>
      </c>
      <c r="AL5735" t="s">
        <v>61087</v>
      </c>
      <c t="s">
        <v>31841</v>
      </c>
      <c t="s">
        <v>49572</v>
      </c>
      <c t="s">
        <v>42206</v>
      </c>
      <c t="s">
        <v>42082</v>
      </c>
      <c t="s">
        <v>3093</v>
      </c>
      <c t="s">
        <v>65873</v>
      </c>
    </row>
    <row>
      <c t="s">
        <v>17594</v>
      </c>
      <c t="s">
        <v>58907</v>
      </c>
      <c t="s">
        <v>15085</v>
      </c>
      <c t="s">
        <v>32632</v>
      </c>
      <c t="s">
        <v>66760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 r="O5736" s="1" t="str">
        <f ca="1">HYPERLINK("https://web.datatree.com/?/property?propertyId=34276428", "https://web.datatree.com/?/property?propertyId=34276428")</f>
        <v>https://web.datatree.com/?/property?propertyId=34276428</v>
      </c>
      <c r="Q5736" t="s">
        <v>316</v>
      </c>
      <c>
        <v>0.244</v>
      </c>
      <c t="s">
        <v>6175</v>
      </c>
      <c t="s">
        <v>62125</v>
      </c>
      <c t="s">
        <v>43850</v>
      </c>
      <c t="s">
        <v>35872</v>
      </c>
      <c t="s">
        <v>43850</v>
      </c>
      <c t="s">
        <v>37742</v>
      </c>
      <c t="s">
        <v>13065</v>
      </c>
      <c t="s">
        <v>2517</v>
      </c>
      <c t="s">
        <v>39289</v>
      </c>
      <c>
        <v>33909</v>
      </c>
      <c t="s">
        <v>28657</v>
      </c>
      <c t="s">
        <v>48794</v>
      </c>
      <c t="s">
        <v>1259</v>
      </c>
      <c>
        <v>50</v>
      </c>
      <c r="AI5736" t="s">
        <v>55273</v>
      </c>
      <c t="s">
        <v>45393</v>
      </c>
      <c r="AL5736" t="s">
        <v>63698</v>
      </c>
      <c r="AN5736" t="s">
        <v>39289</v>
      </c>
      <c t="s">
        <v>45127</v>
      </c>
      <c t="s">
        <v>4797</v>
      </c>
      <c t="s">
        <v>3093</v>
      </c>
      <c t="s">
        <v>21820</v>
      </c>
    </row>
    <row>
      <c t="s">
        <v>17594</v>
      </c>
      <c t="s">
        <v>10723</v>
      </c>
      <c t="s">
        <v>27979</v>
      </c>
      <c t="s">
        <v>2334</v>
      </c>
      <c t="s">
        <v>23820</v>
      </c>
      <c s="3">
        <v>8085</v>
      </c>
      <c s="3">
        <v>8085</v>
      </c>
      <c s="3">
        <v>8085</v>
      </c>
      <c>
        <v>0</v>
      </c>
      <c s="3">
        <v>0</v>
      </c>
      <c s="3">
        <v>672.5</v>
      </c>
      <c s="3">
        <v>8085</v>
      </c>
      <c>
        <v>2020</v>
      </c>
      <c>
        <v>1996.26</v>
      </c>
      <c s="1" t="str">
        <f ca="1">HYPERLINK("https://web.datatree.com/?/property?propertyId=34276488", "https://web.datatree.com/?/property?propertyId=34276488")</f>
        <v>https://web.datatree.com/?/property?propertyId=34276488</v>
      </c>
      <c r="Q5737" t="s">
        <v>316</v>
      </c>
      <c>
        <v>0.337</v>
      </c>
      <c t="s">
        <v>6175</v>
      </c>
      <c t="s">
        <v>59107</v>
      </c>
      <c t="s">
        <v>59961</v>
      </c>
      <c r="X5737" t="s">
        <v>46662</v>
      </c>
      <c t="s">
        <v>14534</v>
      </c>
      <c t="s">
        <v>2517</v>
      </c>
      <c t="s">
        <v>39289</v>
      </c>
      <c>
        <v>33909</v>
      </c>
      <c t="s">
        <v>49124</v>
      </c>
      <c t="s">
        <v>48794</v>
      </c>
      <c t="s">
        <v>20502</v>
      </c>
      <c>
        <v>70</v>
      </c>
      <c r="AI5737" t="s">
        <v>37548</v>
      </c>
      <c t="s">
        <v>45620</v>
      </c>
      <c r="AL5737" t="s">
        <v>11531</v>
      </c>
      <c r="AN5737" t="s">
        <v>14509</v>
      </c>
      <c t="s">
        <v>20523</v>
      </c>
      <c t="s">
        <v>4797</v>
      </c>
      <c t="s">
        <v>3093</v>
      </c>
      <c t="s">
        <v>33797</v>
      </c>
    </row>
    <row>
      <c t="s">
        <v>42103</v>
      </c>
      <c t="s">
        <v>21288</v>
      </c>
      <c t="s">
        <v>15463</v>
      </c>
      <c t="s">
        <v>26137</v>
      </c>
      <c t="s">
        <v>51232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>
        <v>2021</v>
      </c>
      <c>
        <v>534.29</v>
      </c>
      <c s="1" t="str">
        <f ca="1">HYPERLINK("https://web.datatree.com/?/property?propertyId=34276810", "https://web.datatree.com/?/property?propertyId=34276810")</f>
        <v>https://web.datatree.com/?/property?propertyId=34276810</v>
      </c>
      <c r="Q5738" t="s">
        <v>316</v>
      </c>
      <c>
        <v>0.23</v>
      </c>
      <c t="s">
        <v>6175</v>
      </c>
      <c t="s">
        <v>64201</v>
      </c>
      <c t="s">
        <v>2614</v>
      </c>
      <c r="X5738" t="s">
        <v>53881</v>
      </c>
      <c t="s">
        <v>17022</v>
      </c>
      <c t="s">
        <v>2517</v>
      </c>
      <c t="s">
        <v>39289</v>
      </c>
      <c>
        <v>33909</v>
      </c>
      <c t="s">
        <v>53701</v>
      </c>
      <c t="s">
        <v>48794</v>
      </c>
      <c t="s">
        <v>11208</v>
      </c>
      <c r="AI5738" t="s">
        <v>31355</v>
      </c>
      <c r="AL5738" t="s">
        <v>38441</v>
      </c>
      <c t="s">
        <v>38441</v>
      </c>
      <c t="s">
        <v>17134</v>
      </c>
      <c>
        <v>45832</v>
      </c>
      <c t="s">
        <v>39363</v>
      </c>
      <c t="s">
        <v>3093</v>
      </c>
      <c t="s">
        <v>58735</v>
      </c>
    </row>
    <row>
      <c t="s">
        <v>17594</v>
      </c>
      <c t="s">
        <v>10095</v>
      </c>
      <c t="s">
        <v>39179</v>
      </c>
      <c t="s">
        <v>50415</v>
      </c>
      <c t="s">
        <v>8728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739" s="1" t="str">
        <f ca="1">HYPERLINK("https://web.datatree.com/?/property?propertyId=34277214", "https://web.datatree.com/?/property?propertyId=34277214")</f>
        <v>https://web.datatree.com/?/property?propertyId=34277214</v>
      </c>
      <c r="Q5739" t="s">
        <v>316</v>
      </c>
      <c>
        <v>0.229</v>
      </c>
      <c t="s">
        <v>22490</v>
      </c>
      <c t="s">
        <v>25477</v>
      </c>
      <c t="s">
        <v>8633</v>
      </c>
      <c r="X5739" t="s">
        <v>39311</v>
      </c>
      <c t="s">
        <v>52171</v>
      </c>
      <c t="s">
        <v>2517</v>
      </c>
      <c t="s">
        <v>39289</v>
      </c>
      <c>
        <v>33909</v>
      </c>
      <c>
        <v>33909</v>
      </c>
      <c t="s">
        <v>48794</v>
      </c>
      <c t="s">
        <v>17238</v>
      </c>
      <c t="s">
        <v>30316</v>
      </c>
      <c r="AI5739" t="s">
        <v>51373</v>
      </c>
      <c r="AK5739">
        <v>205</v>
      </c>
      <c t="s">
        <v>67253</v>
      </c>
      <c r="AN5739" t="s">
        <v>14798</v>
      </c>
      <c r="AR5739" t="s">
        <v>29676</v>
      </c>
    </row>
    <row>
      <c t="s">
        <v>17594</v>
      </c>
      <c t="s">
        <v>41575</v>
      </c>
      <c t="s">
        <v>62470</v>
      </c>
      <c t="s">
        <v>44060</v>
      </c>
      <c t="s">
        <v>23699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5740" s="1" t="str">
        <f ca="1">HYPERLINK("https://web.datatree.com/?/property?propertyId=34277818", "https://web.datatree.com/?/property?propertyId=34277818")</f>
        <v>https://web.datatree.com/?/property?propertyId=34277818</v>
      </c>
      <c r="Q5740" t="s">
        <v>316</v>
      </c>
      <c>
        <v>0.23</v>
      </c>
      <c t="s">
        <v>6175</v>
      </c>
      <c t="s">
        <v>62098</v>
      </c>
      <c t="s">
        <v>47447</v>
      </c>
      <c t="s">
        <v>45085</v>
      </c>
      <c t="s">
        <v>47447</v>
      </c>
      <c t="s">
        <v>28784</v>
      </c>
      <c t="s">
        <v>53663</v>
      </c>
      <c t="s">
        <v>2517</v>
      </c>
      <c t="s">
        <v>39289</v>
      </c>
      <c>
        <v>33909</v>
      </c>
      <c t="s">
        <v>62234</v>
      </c>
      <c t="s">
        <v>48794</v>
      </c>
      <c t="s">
        <v>40885</v>
      </c>
      <c>
        <v>1065</v>
      </c>
      <c r="AI5740" t="s">
        <v>29275</v>
      </c>
      <c t="s">
        <v>31192</v>
      </c>
      <c r="AL5740" t="s">
        <v>414</v>
      </c>
      <c r="AN5740" t="s">
        <v>50917</v>
      </c>
      <c t="s">
        <v>13768</v>
      </c>
      <c t="s">
        <v>4797</v>
      </c>
      <c t="s">
        <v>3093</v>
      </c>
      <c t="s">
        <v>2855</v>
      </c>
    </row>
    <row>
      <c t="s">
        <v>17594</v>
      </c>
      <c t="s">
        <v>12602</v>
      </c>
      <c t="s">
        <v>14971</v>
      </c>
      <c t="s">
        <v>59359</v>
      </c>
      <c t="s">
        <v>35213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741" s="1" t="str">
        <f ca="1">HYPERLINK("https://web.datatree.com/?/property?propertyId=34277929", "https://web.datatree.com/?/property?propertyId=34277929")</f>
        <v>https://web.datatree.com/?/property?propertyId=34277929</v>
      </c>
      <c r="Q5741" t="s">
        <v>316</v>
      </c>
      <c>
        <v>0.23</v>
      </c>
      <c t="s">
        <v>6175</v>
      </c>
      <c t="s">
        <v>35852</v>
      </c>
      <c t="s">
        <v>66592</v>
      </c>
      <c r="X5741" t="s">
        <v>9454</v>
      </c>
      <c t="s">
        <v>34731</v>
      </c>
      <c t="s">
        <v>2517</v>
      </c>
      <c t="s">
        <v>39289</v>
      </c>
      <c>
        <v>33909</v>
      </c>
      <c t="s">
        <v>39589</v>
      </c>
      <c t="s">
        <v>48794</v>
      </c>
      <c t="s">
        <v>30702</v>
      </c>
      <c>
        <v>569</v>
      </c>
      <c r="AI5741" t="s">
        <v>47252</v>
      </c>
      <c t="s">
        <v>45393</v>
      </c>
      <c r="AL5741" t="s">
        <v>5293</v>
      </c>
      <c r="AN5741" t="s">
        <v>27747</v>
      </c>
      <c t="s">
        <v>66765</v>
      </c>
      <c t="s">
        <v>22455</v>
      </c>
      <c t="s">
        <v>3093</v>
      </c>
      <c t="s">
        <v>3197</v>
      </c>
    </row>
    <row>
      <c t="s">
        <v>17594</v>
      </c>
      <c t="s">
        <v>7524</v>
      </c>
      <c t="s">
        <v>39351</v>
      </c>
      <c t="s">
        <v>47967</v>
      </c>
      <c t="s">
        <v>35325</v>
      </c>
      <c s="3">
        <v>7700</v>
      </c>
      <c s="3">
        <v>7700</v>
      </c>
      <c s="3">
        <v>7700</v>
      </c>
      <c>
        <v>0</v>
      </c>
      <c s="3">
        <v>0</v>
      </c>
      <c s="3">
        <v>644.68</v>
      </c>
      <c s="3">
        <v>7700</v>
      </c>
      <c r="O5742" s="1" t="str">
        <f ca="1">HYPERLINK("https://web.datatree.com/?/property?propertyId=34278443", "https://web.datatree.com/?/property?propertyId=34278443")</f>
        <v>https://web.datatree.com/?/property?propertyId=34278443</v>
      </c>
      <c r="Q5742" t="s">
        <v>316</v>
      </c>
      <c>
        <v>0.247</v>
      </c>
      <c t="s">
        <v>6175</v>
      </c>
      <c t="s">
        <v>3293</v>
      </c>
      <c t="s">
        <v>19891</v>
      </c>
      <c r="X5742" t="s">
        <v>24137</v>
      </c>
      <c t="s">
        <v>61850</v>
      </c>
      <c t="s">
        <v>2517</v>
      </c>
      <c t="s">
        <v>39289</v>
      </c>
      <c>
        <v>33909</v>
      </c>
      <c t="s">
        <v>13173</v>
      </c>
      <c t="s">
        <v>48794</v>
      </c>
      <c t="s">
        <v>6792</v>
      </c>
      <c>
        <v>11338</v>
      </c>
      <c r="AI5742" t="s">
        <v>24049</v>
      </c>
      <c t="s">
        <v>45620</v>
      </c>
      <c r="AL5742" t="s">
        <v>18231</v>
      </c>
      <c r="AN5742" t="s">
        <v>65467</v>
      </c>
      <c t="s">
        <v>12851</v>
      </c>
      <c t="s">
        <v>24756</v>
      </c>
      <c t="s">
        <v>3093</v>
      </c>
      <c t="s">
        <v>23530</v>
      </c>
    </row>
    <row>
      <c t="s">
        <v>17594</v>
      </c>
      <c t="s">
        <v>18411</v>
      </c>
      <c t="s">
        <v>57344</v>
      </c>
      <c t="s">
        <v>29177</v>
      </c>
      <c t="s">
        <v>355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5743" s="1" t="str">
        <f ca="1">HYPERLINK("https://web.datatree.com/?/property?propertyId=34278875", "https://web.datatree.com/?/property?propertyId=34278875")</f>
        <v>https://web.datatree.com/?/property?propertyId=34278875</v>
      </c>
      <c r="Q5743" t="s">
        <v>316</v>
      </c>
      <c>
        <v>0.233</v>
      </c>
      <c t="s">
        <v>6175</v>
      </c>
      <c t="s">
        <v>56684</v>
      </c>
      <c t="s">
        <v>52105</v>
      </c>
      <c t="s">
        <v>11762</v>
      </c>
      <c t="s">
        <v>52105</v>
      </c>
      <c t="s">
        <v>21127</v>
      </c>
      <c t="s">
        <v>22731</v>
      </c>
      <c t="s">
        <v>2517</v>
      </c>
      <c t="s">
        <v>39289</v>
      </c>
      <c>
        <v>33909</v>
      </c>
      <c t="s">
        <v>12094</v>
      </c>
      <c t="s">
        <v>48794</v>
      </c>
      <c t="s">
        <v>64285</v>
      </c>
      <c>
        <v>38787</v>
      </c>
      <c r="AI5743" t="s">
        <v>51841</v>
      </c>
      <c t="s">
        <v>31192</v>
      </c>
      <c r="AL5743" t="s">
        <v>9238</v>
      </c>
      <c r="AN5743" t="s">
        <v>51137</v>
      </c>
      <c t="s">
        <v>12298</v>
      </c>
      <c t="s">
        <v>22613</v>
      </c>
      <c t="s">
        <v>3093</v>
      </c>
      <c t="s">
        <v>19438</v>
      </c>
    </row>
    <row>
      <c t="s">
        <v>17594</v>
      </c>
      <c t="s">
        <v>6434</v>
      </c>
      <c t="s">
        <v>52558</v>
      </c>
      <c t="s">
        <v>63130</v>
      </c>
      <c t="s">
        <v>49404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5744" s="1" t="str">
        <f ca="1">HYPERLINK("https://web.datatree.com/?/property?propertyId=34279316", "https://web.datatree.com/?/property?propertyId=34279316")</f>
        <v>https://web.datatree.com/?/property?propertyId=34279316</v>
      </c>
      <c r="Q5744" t="s">
        <v>316</v>
      </c>
      <c>
        <v>0.23</v>
      </c>
      <c t="s">
        <v>22490</v>
      </c>
      <c t="s">
        <v>23094</v>
      </c>
      <c t="s">
        <v>52091</v>
      </c>
      <c t="s">
        <v>66812</v>
      </c>
      <c t="s">
        <v>9592</v>
      </c>
      <c t="s">
        <v>44646</v>
      </c>
      <c t="s">
        <v>49674</v>
      </c>
      <c t="s">
        <v>2517</v>
      </c>
      <c t="s">
        <v>39289</v>
      </c>
      <c>
        <v>33909</v>
      </c>
      <c t="s">
        <v>4274</v>
      </c>
      <c t="s">
        <v>48794</v>
      </c>
      <c t="s">
        <v>181</v>
      </c>
      <c>
        <v>1165</v>
      </c>
      <c r="AH5744" t="s">
        <v>26580</v>
      </c>
      <c t="s">
        <v>11288</v>
      </c>
      <c t="s">
        <v>4985</v>
      </c>
      <c r="AL5744" t="s">
        <v>11713</v>
      </c>
      <c r="AN5744" t="s">
        <v>39289</v>
      </c>
      <c t="s">
        <v>6541</v>
      </c>
      <c t="s">
        <v>19154</v>
      </c>
      <c t="s">
        <v>3093</v>
      </c>
      <c t="s">
        <v>20501</v>
      </c>
    </row>
    <row>
      <c t="s">
        <v>17594</v>
      </c>
      <c t="s">
        <v>16318</v>
      </c>
      <c t="s">
        <v>39438</v>
      </c>
      <c t="s">
        <v>34803</v>
      </c>
      <c t="s">
        <v>48969</v>
      </c>
      <c s="3">
        <v>151588</v>
      </c>
      <c s="3">
        <v>151588</v>
      </c>
      <c s="3">
        <v>151588</v>
      </c>
      <c>
        <v>0</v>
      </c>
      <c s="3">
        <v>0</v>
      </c>
      <c s="3">
        <v>2807.84</v>
      </c>
      <c s="3">
        <v>151588</v>
      </c>
      <c r="O5745" s="1" t="str">
        <f ca="1">HYPERLINK("https://web.datatree.com/?/property?propertyId=34279702", "https://web.datatree.com/?/property?propertyId=34279702")</f>
        <v>https://web.datatree.com/?/property?propertyId=34279702</v>
      </c>
      <c r="Q5745" t="s">
        <v>316</v>
      </c>
      <c>
        <v>0.23</v>
      </c>
      <c t="s">
        <v>22490</v>
      </c>
      <c t="s">
        <v>5578</v>
      </c>
      <c t="s">
        <v>37717</v>
      </c>
      <c t="s">
        <v>6153</v>
      </c>
      <c t="s">
        <v>37717</v>
      </c>
      <c t="s">
        <v>12262</v>
      </c>
      <c t="s">
        <v>49074</v>
      </c>
      <c t="s">
        <v>2517</v>
      </c>
      <c t="s">
        <v>39289</v>
      </c>
      <c>
        <v>33904</v>
      </c>
      <c>
        <v>33904</v>
      </c>
      <c t="s">
        <v>48794</v>
      </c>
      <c t="s">
        <v>59807</v>
      </c>
      <c>
        <v>11500</v>
      </c>
      <c r="AH5745" t="s">
        <v>26580</v>
      </c>
      <c t="s">
        <v>55616</v>
      </c>
      <c t="s">
        <v>20615</v>
      </c>
      <c>
        <v>3141</v>
      </c>
      <c t="s">
        <v>49353</v>
      </c>
      <c t="s">
        <v>49353</v>
      </c>
      <c t="s">
        <v>50829</v>
      </c>
      <c t="s">
        <v>20958</v>
      </c>
      <c t="s">
        <v>56028</v>
      </c>
      <c t="s">
        <v>3093</v>
      </c>
      <c t="s">
        <v>51748</v>
      </c>
    </row>
    <row>
      <c t="s">
        <v>17594</v>
      </c>
      <c t="s">
        <v>63829</v>
      </c>
      <c t="s">
        <v>43950</v>
      </c>
      <c t="s">
        <v>6160</v>
      </c>
      <c t="s">
        <v>2313</v>
      </c>
      <c s="3">
        <v>16561</v>
      </c>
      <c s="3">
        <v>16561</v>
      </c>
      <c s="3">
        <v>8360</v>
      </c>
      <c>
        <v>0</v>
      </c>
      <c s="3">
        <v>0</v>
      </c>
      <c s="3">
        <v>552.05</v>
      </c>
      <c s="3">
        <v>16561</v>
      </c>
      <c r="O5746" s="1" t="str">
        <f ca="1">HYPERLINK("https://web.datatree.com/?/property?propertyId=34279802", "https://web.datatree.com/?/property?propertyId=34279802")</f>
        <v>https://web.datatree.com/?/property?propertyId=34279802</v>
      </c>
      <c r="Q5746" t="s">
        <v>316</v>
      </c>
      <c>
        <v>0.23</v>
      </c>
      <c t="s">
        <v>6175</v>
      </c>
      <c t="s">
        <v>3954</v>
      </c>
      <c t="s">
        <v>66345</v>
      </c>
      <c r="X5746" t="s">
        <v>65807</v>
      </c>
      <c t="s">
        <v>60363</v>
      </c>
      <c t="s">
        <v>2517</v>
      </c>
      <c t="s">
        <v>39289</v>
      </c>
      <c>
        <v>33909</v>
      </c>
      <c t="s">
        <v>6502</v>
      </c>
      <c t="s">
        <v>48794</v>
      </c>
      <c t="s">
        <v>34241</v>
      </c>
      <c>
        <v>425</v>
      </c>
      <c r="AI5746" t="s">
        <v>60552</v>
      </c>
      <c t="s">
        <v>4985</v>
      </c>
      <c>
        <v>75</v>
      </c>
      <c t="s">
        <v>2602</v>
      </c>
      <c r="AN5746" t="s">
        <v>10909</v>
      </c>
      <c t="s">
        <v>55630</v>
      </c>
      <c r="AQ5746" t="s">
        <v>27814</v>
      </c>
      <c t="s">
        <v>23380</v>
      </c>
    </row>
    <row>
      <c t="s">
        <v>17594</v>
      </c>
      <c t="s">
        <v>53760</v>
      </c>
      <c t="s">
        <v>36337</v>
      </c>
      <c t="s">
        <v>12001</v>
      </c>
      <c t="s">
        <v>65518</v>
      </c>
      <c s="3">
        <v>51624</v>
      </c>
      <c s="3">
        <v>51624</v>
      </c>
      <c s="3">
        <v>51624</v>
      </c>
      <c>
        <v>0</v>
      </c>
      <c s="3">
        <v>0</v>
      </c>
      <c s="3">
        <v>1189.98</v>
      </c>
      <c s="3">
        <v>51624</v>
      </c>
      <c r="O5747" s="1" t="str">
        <f ca="1">HYPERLINK("https://web.datatree.com/?/property?propertyId=34281270", "https://web.datatree.com/?/property?propertyId=34281270")</f>
        <v>https://web.datatree.com/?/property?propertyId=34281270</v>
      </c>
      <c r="Q5747" t="s">
        <v>316</v>
      </c>
      <c>
        <v>0.23</v>
      </c>
      <c t="s">
        <v>22490</v>
      </c>
      <c t="s">
        <v>6698</v>
      </c>
      <c t="s">
        <v>27594</v>
      </c>
      <c r="X5747" t="s">
        <v>21478</v>
      </c>
      <c t="s">
        <v>2619</v>
      </c>
      <c t="s">
        <v>2517</v>
      </c>
      <c t="s">
        <v>39289</v>
      </c>
      <c>
        <v>33909</v>
      </c>
      <c t="s">
        <v>17763</v>
      </c>
      <c t="s">
        <v>48794</v>
      </c>
      <c t="s">
        <v>34816</v>
      </c>
      <c>
        <v>3445</v>
      </c>
      <c r="AI5747" t="s">
        <v>41141</v>
      </c>
      <c t="s">
        <v>45393</v>
      </c>
      <c r="AL5747" t="s">
        <v>25610</v>
      </c>
      <c t="s">
        <v>25610</v>
      </c>
      <c t="s">
        <v>4477</v>
      </c>
      <c t="s">
        <v>22536</v>
      </c>
      <c t="s">
        <v>52247</v>
      </c>
      <c t="s">
        <v>3093</v>
      </c>
      <c t="s">
        <v>31155</v>
      </c>
    </row>
    <row>
      <c t="s">
        <v>17594</v>
      </c>
      <c t="s">
        <v>52510</v>
      </c>
      <c t="s">
        <v>38461</v>
      </c>
      <c t="s">
        <v>56676</v>
      </c>
      <c t="s">
        <v>28411</v>
      </c>
      <c s="3">
        <v>22231</v>
      </c>
      <c s="3">
        <v>22231</v>
      </c>
      <c s="3">
        <v>6839</v>
      </c>
      <c>
        <v>0</v>
      </c>
      <c s="3">
        <v>0</v>
      </c>
      <c s="3">
        <v>387.96</v>
      </c>
      <c s="3">
        <v>22231</v>
      </c>
      <c r="O5748" s="1" t="str">
        <f ca="1">HYPERLINK("https://web.datatree.com/?/property?propertyId=34281860", "https://web.datatree.com/?/property?propertyId=34281860")</f>
        <v>https://web.datatree.com/?/property?propertyId=34281860</v>
      </c>
      <c r="Q5748" t="s">
        <v>316</v>
      </c>
      <c>
        <v>0.391</v>
      </c>
      <c t="s">
        <v>37489</v>
      </c>
      <c t="s">
        <v>15209</v>
      </c>
      <c t="s">
        <v>66394</v>
      </c>
      <c r="X5748" t="s">
        <v>15693</v>
      </c>
      <c t="s">
        <v>18019</v>
      </c>
      <c t="s">
        <v>65059</v>
      </c>
      <c t="s">
        <v>39289</v>
      </c>
      <c>
        <v>33905</v>
      </c>
      <c t="s">
        <v>47423</v>
      </c>
      <c t="s">
        <v>48794</v>
      </c>
      <c t="s">
        <v>11000</v>
      </c>
      <c>
        <v>232</v>
      </c>
      <c r="AI5748" t="s">
        <v>34954</v>
      </c>
      <c t="s">
        <v>45620</v>
      </c>
      <c r="AL5748" t="s">
        <v>61009</v>
      </c>
      <c r="AN5748" t="s">
        <v>26016</v>
      </c>
      <c t="s">
        <v>20201</v>
      </c>
      <c t="s">
        <v>47183</v>
      </c>
      <c t="s">
        <v>3093</v>
      </c>
      <c t="s">
        <v>64971</v>
      </c>
    </row>
    <row>
      <c t="s">
        <v>17594</v>
      </c>
      <c t="s">
        <v>14877</v>
      </c>
      <c t="s">
        <v>17103</v>
      </c>
      <c t="s">
        <v>25132</v>
      </c>
      <c t="s">
        <v>5515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749" s="1" t="str">
        <f ca="1">HYPERLINK("https://web.datatree.com/?/property?propertyId=34281936", "https://web.datatree.com/?/property?propertyId=34281936")</f>
        <v>https://web.datatree.com/?/property?propertyId=34281936</v>
      </c>
      <c r="Q5749" t="s">
        <v>316</v>
      </c>
      <c>
        <v>0.23</v>
      </c>
      <c t="s">
        <v>6175</v>
      </c>
      <c t="s">
        <v>43527</v>
      </c>
      <c t="s">
        <v>32038</v>
      </c>
      <c t="s">
        <v>21852</v>
      </c>
      <c t="s">
        <v>32038</v>
      </c>
      <c t="s">
        <v>24394</v>
      </c>
      <c t="s">
        <v>34731</v>
      </c>
      <c t="s">
        <v>2517</v>
      </c>
      <c t="s">
        <v>39289</v>
      </c>
      <c>
        <v>33909</v>
      </c>
      <c t="s">
        <v>41543</v>
      </c>
      <c t="s">
        <v>48794</v>
      </c>
      <c t="s">
        <v>48126</v>
      </c>
      <c>
        <v>404</v>
      </c>
      <c r="AI5749" t="s">
        <v>13202</v>
      </c>
      <c t="s">
        <v>45393</v>
      </c>
      <c r="AL5749" t="s">
        <v>19286</v>
      </c>
      <c t="s">
        <v>10214</v>
      </c>
      <c t="s">
        <v>39289</v>
      </c>
      <c t="s">
        <v>34977</v>
      </c>
      <c t="s">
        <v>864</v>
      </c>
      <c t="s">
        <v>3093</v>
      </c>
      <c t="s">
        <v>61217</v>
      </c>
    </row>
    <row>
      <c t="s">
        <v>17594</v>
      </c>
      <c t="s">
        <v>13387</v>
      </c>
      <c t="s">
        <v>35788</v>
      </c>
      <c t="s">
        <v>35515</v>
      </c>
      <c t="s">
        <v>29401</v>
      </c>
      <c s="3">
        <v>8600</v>
      </c>
      <c s="3">
        <v>8600</v>
      </c>
      <c s="3">
        <v>8600</v>
      </c>
      <c>
        <v>0</v>
      </c>
      <c s="3">
        <v>0</v>
      </c>
      <c s="3">
        <v>570.32</v>
      </c>
      <c s="3">
        <v>8600</v>
      </c>
      <c r="O5750" s="1" t="str">
        <f ca="1">HYPERLINK("https://web.datatree.com/?/property?propertyId=34282234", "https://web.datatree.com/?/property?propertyId=34282234")</f>
        <v>https://web.datatree.com/?/property?propertyId=34282234</v>
      </c>
      <c r="Q5750" t="s">
        <v>316</v>
      </c>
      <c>
        <v>0.241</v>
      </c>
      <c t="s">
        <v>6175</v>
      </c>
      <c t="s">
        <v>49393</v>
      </c>
      <c t="s">
        <v>35819</v>
      </c>
      <c r="X5750" t="s">
        <v>29019</v>
      </c>
      <c t="s">
        <v>55273</v>
      </c>
      <c t="s">
        <v>2517</v>
      </c>
      <c t="s">
        <v>39289</v>
      </c>
      <c>
        <v>33909</v>
      </c>
      <c t="s">
        <v>43472</v>
      </c>
      <c t="s">
        <v>48794</v>
      </c>
      <c t="s">
        <v>9103</v>
      </c>
      <c>
        <v>263</v>
      </c>
      <c r="AI5750" t="s">
        <v>29533</v>
      </c>
      <c r="AL5750" t="s">
        <v>43682</v>
      </c>
      <c r="AN5750" t="s">
        <v>513</v>
      </c>
      <c r="AR5750" t="s">
        <v>20732</v>
      </c>
    </row>
    <row>
      <c t="s">
        <v>17594</v>
      </c>
      <c t="s">
        <v>31191</v>
      </c>
      <c t="s">
        <v>38333</v>
      </c>
      <c t="s">
        <v>7605</v>
      </c>
      <c t="s">
        <v>25856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>
        <v>2020</v>
      </c>
      <c>
        <v>1736.39</v>
      </c>
      <c s="1" t="str">
        <f ca="1">HYPERLINK("https://web.datatree.com/?/property?propertyId=34282416", "https://web.datatree.com/?/property?propertyId=34282416")</f>
        <v>https://web.datatree.com/?/property?propertyId=34282416</v>
      </c>
      <c r="Q5751" t="s">
        <v>316</v>
      </c>
      <c>
        <v>0.244</v>
      </c>
      <c t="s">
        <v>6175</v>
      </c>
      <c r="U5751" t="s">
        <v>1947</v>
      </c>
      <c r="W5751" t="s">
        <v>23403</v>
      </c>
      <c t="s">
        <v>34577</v>
      </c>
      <c t="s">
        <v>18679</v>
      </c>
      <c t="s">
        <v>2517</v>
      </c>
      <c t="s">
        <v>39289</v>
      </c>
      <c>
        <v>33909</v>
      </c>
      <c t="s">
        <v>25376</v>
      </c>
      <c t="s">
        <v>48794</v>
      </c>
      <c t="s">
        <v>3289</v>
      </c>
      <c>
        <v>145</v>
      </c>
      <c r="AI5751" t="s">
        <v>41142</v>
      </c>
      <c t="s">
        <v>24900</v>
      </c>
      <c>
        <v>404</v>
      </c>
      <c t="s">
        <v>25114</v>
      </c>
      <c t="s">
        <v>25114</v>
      </c>
      <c t="s">
        <v>39289</v>
      </c>
      <c t="s">
        <v>53945</v>
      </c>
      <c t="s">
        <v>49977</v>
      </c>
      <c t="s">
        <v>3093</v>
      </c>
      <c t="s">
        <v>44180</v>
      </c>
    </row>
    <row>
      <c t="s">
        <v>17594</v>
      </c>
      <c t="s">
        <v>44284</v>
      </c>
      <c t="s">
        <v>28503</v>
      </c>
      <c t="s">
        <v>61826</v>
      </c>
      <c t="s">
        <v>46732</v>
      </c>
      <c s="3">
        <v>7700</v>
      </c>
      <c s="3">
        <v>7700</v>
      </c>
      <c s="3">
        <v>7700</v>
      </c>
      <c>
        <v>0</v>
      </c>
      <c s="3">
        <v>0</v>
      </c>
      <c s="3">
        <v>597.87</v>
      </c>
      <c s="3">
        <v>7700</v>
      </c>
      <c r="O5752" s="1" t="str">
        <f ca="1">HYPERLINK("https://web.datatree.com/?/property?propertyId=34283297", "https://web.datatree.com/?/property?propertyId=34283297")</f>
        <v>https://web.datatree.com/?/property?propertyId=34283297</v>
      </c>
      <c r="Q5752" t="s">
        <v>316</v>
      </c>
      <c>
        <v>0.261</v>
      </c>
      <c t="s">
        <v>6175</v>
      </c>
      <c t="s">
        <v>18547</v>
      </c>
      <c t="s">
        <v>39666</v>
      </c>
      <c t="s">
        <v>52701</v>
      </c>
      <c t="s">
        <v>39666</v>
      </c>
      <c t="s">
        <v>54404</v>
      </c>
      <c t="s">
        <v>22731</v>
      </c>
      <c t="s">
        <v>2517</v>
      </c>
      <c t="s">
        <v>39289</v>
      </c>
      <c>
        <v>33909</v>
      </c>
      <c t="s">
        <v>24031</v>
      </c>
      <c t="s">
        <v>48794</v>
      </c>
      <c t="s">
        <v>29036</v>
      </c>
      <c>
        <v>7234</v>
      </c>
      <c r="AI5752" t="s">
        <v>16451</v>
      </c>
      <c t="s">
        <v>41372</v>
      </c>
      <c r="AL5752" t="s">
        <v>15127</v>
      </c>
      <c r="AN5752" t="s">
        <v>50917</v>
      </c>
      <c t="s">
        <v>23264</v>
      </c>
      <c t="s">
        <v>22613</v>
      </c>
      <c t="s">
        <v>3093</v>
      </c>
      <c t="s">
        <v>7648</v>
      </c>
    </row>
    <row>
      <c t="s">
        <v>17594</v>
      </c>
      <c t="s">
        <v>56529</v>
      </c>
      <c t="s">
        <v>46401</v>
      </c>
      <c t="s">
        <v>436</v>
      </c>
      <c t="s">
        <v>12281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753" s="1" t="str">
        <f ca="1">HYPERLINK("https://web.datatree.com/?/property?propertyId=34283361", "https://web.datatree.com/?/property?propertyId=34283361")</f>
        <v>https://web.datatree.com/?/property?propertyId=34283361</v>
      </c>
      <c r="Q5753" t="s">
        <v>316</v>
      </c>
      <c>
        <v>0.23</v>
      </c>
      <c t="s">
        <v>22490</v>
      </c>
      <c t="s">
        <v>44541</v>
      </c>
      <c t="s">
        <v>52260</v>
      </c>
      <c t="s">
        <v>44610</v>
      </c>
      <c t="s">
        <v>52260</v>
      </c>
      <c t="s">
        <v>59069</v>
      </c>
      <c t="s">
        <v>29190</v>
      </c>
      <c t="s">
        <v>2517</v>
      </c>
      <c t="s">
        <v>39289</v>
      </c>
      <c>
        <v>33909</v>
      </c>
      <c t="s">
        <v>15216</v>
      </c>
      <c t="s">
        <v>48794</v>
      </c>
      <c t="s">
        <v>30151</v>
      </c>
      <c>
        <v>11</v>
      </c>
      <c r="AI5753" t="s">
        <v>62357</v>
      </c>
      <c t="s">
        <v>45393</v>
      </c>
      <c r="AL5753" t="s">
        <v>37569</v>
      </c>
      <c r="AN5753" t="s">
        <v>26016</v>
      </c>
      <c t="s">
        <v>7323</v>
      </c>
      <c t="s">
        <v>57614</v>
      </c>
      <c t="s">
        <v>3093</v>
      </c>
      <c t="s">
        <v>51856</v>
      </c>
    </row>
    <row>
      <c t="s">
        <v>17594</v>
      </c>
      <c t="s">
        <v>24277</v>
      </c>
      <c t="s">
        <v>50355</v>
      </c>
      <c t="s">
        <v>38142</v>
      </c>
      <c t="s">
        <v>19043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754" s="1" t="str">
        <f ca="1">HYPERLINK("https://web.datatree.com/?/property?propertyId=34283550", "https://web.datatree.com/?/property?propertyId=34283550")</f>
        <v>https://web.datatree.com/?/property?propertyId=34283550</v>
      </c>
      <c r="Q5754" t="s">
        <v>316</v>
      </c>
      <c>
        <v>0.23</v>
      </c>
      <c t="s">
        <v>6175</v>
      </c>
      <c t="s">
        <v>58380</v>
      </c>
      <c t="s">
        <v>7301</v>
      </c>
      <c r="X5754" t="s">
        <v>26882</v>
      </c>
      <c t="s">
        <v>24999</v>
      </c>
      <c t="s">
        <v>2517</v>
      </c>
      <c t="s">
        <v>39289</v>
      </c>
      <c>
        <v>33909</v>
      </c>
      <c t="s">
        <v>59699</v>
      </c>
      <c t="s">
        <v>48794</v>
      </c>
      <c t="s">
        <v>42974</v>
      </c>
      <c>
        <v>3729</v>
      </c>
      <c r="AI5754" t="s">
        <v>19236</v>
      </c>
      <c t="s">
        <v>24900</v>
      </c>
      <c r="AL5754" t="s">
        <v>23972</v>
      </c>
      <c r="AN5754" t="s">
        <v>19878</v>
      </c>
      <c t="s">
        <v>52983</v>
      </c>
      <c t="s">
        <v>46114</v>
      </c>
      <c t="s">
        <v>3093</v>
      </c>
      <c t="s">
        <v>37093</v>
      </c>
    </row>
    <row>
      <c t="s">
        <v>17594</v>
      </c>
      <c t="s">
        <v>61770</v>
      </c>
      <c t="s">
        <v>3682</v>
      </c>
      <c t="s">
        <v>51475</v>
      </c>
      <c t="s">
        <v>20073</v>
      </c>
      <c s="3">
        <v>25610</v>
      </c>
      <c s="3">
        <v>25610</v>
      </c>
      <c s="3">
        <v>11000</v>
      </c>
      <c>
        <v>0</v>
      </c>
      <c s="3">
        <v>0</v>
      </c>
      <c s="3">
        <v>626.98</v>
      </c>
      <c s="3">
        <v>25610</v>
      </c>
      <c r="O5755" s="1" t="str">
        <f ca="1">HYPERLINK("https://web.datatree.com/?/property?propertyId=34283739", "https://web.datatree.com/?/property?propertyId=34283739")</f>
        <v>https://web.datatree.com/?/property?propertyId=34283739</v>
      </c>
      <c r="Q5755" t="s">
        <v>316</v>
      </c>
      <c>
        <v>0.244</v>
      </c>
      <c t="s">
        <v>22490</v>
      </c>
      <c t="s">
        <v>3293</v>
      </c>
      <c t="s">
        <v>15020</v>
      </c>
      <c r="X5755" t="s">
        <v>7642</v>
      </c>
      <c t="s">
        <v>25017</v>
      </c>
      <c t="s">
        <v>2517</v>
      </c>
      <c t="s">
        <v>39289</v>
      </c>
      <c>
        <v>33909</v>
      </c>
      <c t="s">
        <v>59207</v>
      </c>
      <c t="s">
        <v>48794</v>
      </c>
      <c t="s">
        <v>18319</v>
      </c>
      <c>
        <v>2138</v>
      </c>
      <c r="AI5755" t="s">
        <v>24511</v>
      </c>
      <c r="AL5755" t="s">
        <v>39985</v>
      </c>
      <c r="AN5755" t="s">
        <v>50917</v>
      </c>
      <c t="s">
        <v>42299</v>
      </c>
      <c t="s">
        <v>36638</v>
      </c>
      <c t="s">
        <v>3093</v>
      </c>
      <c t="s">
        <v>48355</v>
      </c>
    </row>
    <row>
      <c t="s">
        <v>17594</v>
      </c>
      <c t="s">
        <v>29941</v>
      </c>
      <c t="s">
        <v>65865</v>
      </c>
      <c t="s">
        <v>64967</v>
      </c>
      <c t="s">
        <v>54802</v>
      </c>
      <c s="3">
        <v>7200</v>
      </c>
      <c s="3">
        <v>7200</v>
      </c>
      <c s="3">
        <v>7200</v>
      </c>
      <c>
        <v>0</v>
      </c>
      <c s="3">
        <v>0</v>
      </c>
      <c s="3">
        <v>492.2</v>
      </c>
      <c s="3">
        <v>7200</v>
      </c>
      <c r="O5756" s="1" t="str">
        <f ca="1">HYPERLINK("https://web.datatree.com/?/property?propertyId=34283903", "https://web.datatree.com/?/property?propertyId=34283903")</f>
        <v>https://web.datatree.com/?/property?propertyId=34283903</v>
      </c>
      <c r="Q5756" t="s">
        <v>316</v>
      </c>
      <c>
        <v>0.241</v>
      </c>
      <c t="s">
        <v>6175</v>
      </c>
      <c t="s">
        <v>10410</v>
      </c>
      <c t="s">
        <v>37991</v>
      </c>
      <c r="X5756" t="s">
        <v>16963</v>
      </c>
      <c t="s">
        <v>18679</v>
      </c>
      <c t="s">
        <v>2517</v>
      </c>
      <c t="s">
        <v>39289</v>
      </c>
      <c>
        <v>33909</v>
      </c>
      <c t="s">
        <v>21359</v>
      </c>
      <c t="s">
        <v>48794</v>
      </c>
      <c t="s">
        <v>54435</v>
      </c>
      <c>
        <v>120</v>
      </c>
      <c r="AI5756" t="s">
        <v>23646</v>
      </c>
      <c t="s">
        <v>24900</v>
      </c>
      <c t="s">
        <v>65849</v>
      </c>
      <c t="s">
        <v>55393</v>
      </c>
      <c t="s">
        <v>18365</v>
      </c>
      <c t="s">
        <v>39289</v>
      </c>
      <c t="s">
        <v>57058</v>
      </c>
      <c t="s">
        <v>34342</v>
      </c>
      <c t="s">
        <v>3093</v>
      </c>
      <c t="s">
        <v>1056</v>
      </c>
    </row>
    <row>
      <c t="s">
        <v>17594</v>
      </c>
      <c t="s">
        <v>32028</v>
      </c>
      <c t="s">
        <v>14079</v>
      </c>
      <c t="s">
        <v>35350</v>
      </c>
      <c t="s">
        <v>39766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 r="O5757" s="1" t="str">
        <f ca="1">HYPERLINK("https://web.datatree.com/?/property?propertyId=34284649", "https://web.datatree.com/?/property?propertyId=34284649")</f>
        <v>https://web.datatree.com/?/property?propertyId=34284649</v>
      </c>
      <c r="Q5757" t="s">
        <v>316</v>
      </c>
      <c>
        <v>0.244</v>
      </c>
      <c t="s">
        <v>6175</v>
      </c>
      <c t="s">
        <v>45377</v>
      </c>
      <c t="s">
        <v>39982</v>
      </c>
      <c r="X5757" t="s">
        <v>37222</v>
      </c>
      <c t="s">
        <v>2626</v>
      </c>
      <c t="s">
        <v>2517</v>
      </c>
      <c t="s">
        <v>39289</v>
      </c>
      <c>
        <v>33909</v>
      </c>
      <c t="s">
        <v>22258</v>
      </c>
      <c t="s">
        <v>48794</v>
      </c>
      <c t="s">
        <v>5907</v>
      </c>
      <c>
        <v>2321</v>
      </c>
      <c r="AH5757" t="s">
        <v>15376</v>
      </c>
      <c t="s">
        <v>22731</v>
      </c>
      <c t="s">
        <v>45393</v>
      </c>
      <c r="AL5757" t="s">
        <v>11713</v>
      </c>
      <c r="AN5757" t="s">
        <v>39289</v>
      </c>
      <c t="s">
        <v>7426</v>
      </c>
      <c t="s">
        <v>13315</v>
      </c>
      <c t="s">
        <v>3093</v>
      </c>
      <c t="s">
        <v>40460</v>
      </c>
    </row>
    <row>
      <c t="s">
        <v>17594</v>
      </c>
      <c t="s">
        <v>37917</v>
      </c>
      <c t="s">
        <v>42304</v>
      </c>
      <c t="s">
        <v>22418</v>
      </c>
      <c t="s">
        <v>52012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758" s="1" t="str">
        <f ca="1">HYPERLINK("https://web.datatree.com/?/property?propertyId=34284790", "https://web.datatree.com/?/property?propertyId=34284790")</f>
        <v>https://web.datatree.com/?/property?propertyId=34284790</v>
      </c>
      <c r="Q5758" t="s">
        <v>316</v>
      </c>
      <c>
        <v>0.23</v>
      </c>
      <c t="s">
        <v>42044</v>
      </c>
      <c r="U5758" t="s">
        <v>11030</v>
      </c>
      <c r="W5758" t="s">
        <v>42033</v>
      </c>
      <c t="s">
        <v>54261</v>
      </c>
      <c t="s">
        <v>13478</v>
      </c>
      <c t="s">
        <v>2517</v>
      </c>
      <c t="s">
        <v>39289</v>
      </c>
      <c>
        <v>33909</v>
      </c>
      <c t="s">
        <v>6193</v>
      </c>
      <c t="s">
        <v>48794</v>
      </c>
      <c t="s">
        <v>5986</v>
      </c>
      <c>
        <v>286</v>
      </c>
      <c r="AI5758" t="s">
        <v>42453</v>
      </c>
      <c t="s">
        <v>31192</v>
      </c>
      <c r="AL5758" t="s">
        <v>34655</v>
      </c>
      <c r="AN5758" t="s">
        <v>39289</v>
      </c>
      <c t="s">
        <v>26142</v>
      </c>
      <c t="s">
        <v>27264</v>
      </c>
      <c t="s">
        <v>3093</v>
      </c>
      <c t="s">
        <v>22547</v>
      </c>
    </row>
    <row>
      <c t="s">
        <v>17594</v>
      </c>
      <c t="s">
        <v>59286</v>
      </c>
      <c t="s">
        <v>13923</v>
      </c>
      <c t="s">
        <v>22763</v>
      </c>
      <c t="s">
        <v>11699</v>
      </c>
      <c s="3">
        <v>92552</v>
      </c>
      <c s="3">
        <v>90733</v>
      </c>
      <c s="3">
        <v>85139</v>
      </c>
      <c>
        <v>0</v>
      </c>
      <c s="3">
        <v>0</v>
      </c>
      <c s="3">
        <v>1320.75</v>
      </c>
      <c s="3">
        <v>92552</v>
      </c>
      <c r="O5759" s="1" t="str">
        <f ca="1">HYPERLINK("https://web.datatree.com/?/property?propertyId=34285422", "https://web.datatree.com/?/property?propertyId=34285422")</f>
        <v>https://web.datatree.com/?/property?propertyId=34285422</v>
      </c>
      <c r="Q5759" t="s">
        <v>316</v>
      </c>
      <c>
        <v>0.104</v>
      </c>
      <c t="s">
        <v>26492</v>
      </c>
      <c r="U5759" t="s">
        <v>52808</v>
      </c>
      <c r="W5759" t="s">
        <v>23475</v>
      </c>
      <c t="s">
        <v>52808</v>
      </c>
      <c t="s">
        <v>12184</v>
      </c>
      <c t="s">
        <v>65059</v>
      </c>
      <c t="s">
        <v>39289</v>
      </c>
      <c>
        <v>33905</v>
      </c>
      <c>
        <v>33905</v>
      </c>
      <c t="s">
        <v>48794</v>
      </c>
      <c t="s">
        <v>13118</v>
      </c>
      <c>
        <v>6416</v>
      </c>
      <c r="AI5759" t="s">
        <v>23045</v>
      </c>
      <c t="s">
        <v>38868</v>
      </c>
      <c r="AL5759" t="s">
        <v>17625</v>
      </c>
      <c t="s">
        <v>40227</v>
      </c>
      <c t="s">
        <v>51137</v>
      </c>
      <c t="s">
        <v>52107</v>
      </c>
      <c t="s">
        <v>30106</v>
      </c>
      <c t="s">
        <v>3093</v>
      </c>
      <c t="s">
        <v>36910</v>
      </c>
    </row>
    <row>
      <c t="s">
        <v>17594</v>
      </c>
      <c t="s">
        <v>16389</v>
      </c>
      <c t="s">
        <v>40192</v>
      </c>
      <c t="s">
        <v>31577</v>
      </c>
      <c t="s">
        <v>45103</v>
      </c>
      <c s="3">
        <v>96192</v>
      </c>
      <c s="3">
        <v>86250</v>
      </c>
      <c s="3">
        <v>96192</v>
      </c>
      <c>
        <v>0</v>
      </c>
      <c s="3">
        <v>0</v>
      </c>
      <c s="3">
        <v>1445.04</v>
      </c>
      <c s="3">
        <v>96192</v>
      </c>
      <c r="O5760" s="1" t="str">
        <f ca="1">HYPERLINK("https://web.datatree.com/?/property?propertyId=34285706", "https://web.datatree.com/?/property?propertyId=34285706")</f>
        <v>https://web.datatree.com/?/property?propertyId=34285706</v>
      </c>
      <c r="Q5760" t="s">
        <v>316</v>
      </c>
      <c>
        <v>0.095</v>
      </c>
      <c t="s">
        <v>26492</v>
      </c>
      <c t="s">
        <v>6613</v>
      </c>
      <c t="s">
        <v>38456</v>
      </c>
      <c t="s">
        <v>64201</v>
      </c>
      <c t="s">
        <v>38456</v>
      </c>
      <c t="s">
        <v>58878</v>
      </c>
      <c t="s">
        <v>59898</v>
      </c>
      <c t="s">
        <v>65059</v>
      </c>
      <c t="s">
        <v>39289</v>
      </c>
      <c>
        <v>33905</v>
      </c>
      <c>
        <v>33905</v>
      </c>
      <c t="s">
        <v>48794</v>
      </c>
      <c t="s">
        <v>60743</v>
      </c>
      <c>
        <v>415</v>
      </c>
      <c r="AI5760" t="s">
        <v>5105</v>
      </c>
      <c t="s">
        <v>45393</v>
      </c>
      <c r="AL5760" t="s">
        <v>13280</v>
      </c>
      <c t="s">
        <v>13280</v>
      </c>
      <c t="s">
        <v>40451</v>
      </c>
      <c t="s">
        <v>8634</v>
      </c>
      <c t="s">
        <v>4797</v>
      </c>
      <c t="s">
        <v>3093</v>
      </c>
      <c t="s">
        <v>44127</v>
      </c>
      <c>
        <v>2005</v>
      </c>
    </row>
    <row>
      <c t="s">
        <v>17594</v>
      </c>
      <c t="s">
        <v>31884</v>
      </c>
      <c t="s">
        <v>17643</v>
      </c>
      <c t="s">
        <v>29425</v>
      </c>
      <c t="s">
        <v>51678</v>
      </c>
      <c s="3">
        <v>21563</v>
      </c>
      <c s="3">
        <v>21563</v>
      </c>
      <c s="3">
        <v>8800</v>
      </c>
      <c>
        <v>0</v>
      </c>
      <c s="3">
        <v>0</v>
      </c>
      <c s="3">
        <v>584.35</v>
      </c>
      <c s="3">
        <v>21563</v>
      </c>
      <c r="O5761" s="1" t="str">
        <f ca="1">HYPERLINK("https://web.datatree.com/?/property?propertyId=34286103", "https://web.datatree.com/?/property?propertyId=34286103")</f>
        <v>https://web.datatree.com/?/property?propertyId=34286103</v>
      </c>
      <c r="Q5761" t="s">
        <v>316</v>
      </c>
      <c>
        <v>0.23</v>
      </c>
      <c t="s">
        <v>22490</v>
      </c>
      <c t="s">
        <v>38626</v>
      </c>
      <c t="s">
        <v>10439</v>
      </c>
      <c r="X5761" t="s">
        <v>61162</v>
      </c>
      <c t="s">
        <v>46469</v>
      </c>
      <c t="s">
        <v>2517</v>
      </c>
      <c t="s">
        <v>39289</v>
      </c>
      <c>
        <v>33909</v>
      </c>
      <c t="s">
        <v>21737</v>
      </c>
      <c t="s">
        <v>48794</v>
      </c>
      <c t="s">
        <v>60948</v>
      </c>
      <c>
        <v>14</v>
      </c>
      <c r="AI5761" t="s">
        <v>33765</v>
      </c>
      <c r="AL5761" t="s">
        <v>18930</v>
      </c>
      <c r="AN5761" t="s">
        <v>32840</v>
      </c>
      <c r="AR5761" t="s">
        <v>47047</v>
      </c>
    </row>
    <row>
      <c t="s">
        <v>17594</v>
      </c>
      <c t="s">
        <v>20221</v>
      </c>
      <c t="s">
        <v>49669</v>
      </c>
      <c t="s">
        <v>27886</v>
      </c>
      <c t="s">
        <v>34201</v>
      </c>
      <c s="3">
        <v>17781</v>
      </c>
      <c s="3">
        <v>17781</v>
      </c>
      <c s="3">
        <v>8910</v>
      </c>
      <c>
        <v>0</v>
      </c>
      <c s="3">
        <v>0</v>
      </c>
      <c s="3">
        <v>566.28</v>
      </c>
      <c s="3">
        <v>17781</v>
      </c>
      <c>
        <v>2021</v>
      </c>
      <c>
        <v>538.37</v>
      </c>
      <c s="1" t="str">
        <f ca="1">HYPERLINK("https://web.datatree.com/?/property?propertyId=34286278", "https://web.datatree.com/?/property?propertyId=34286278")</f>
        <v>https://web.datatree.com/?/property?propertyId=34286278</v>
      </c>
      <c r="Q5762" t="s">
        <v>316</v>
      </c>
      <c>
        <v>0.241</v>
      </c>
      <c t="s">
        <v>6175</v>
      </c>
      <c t="s">
        <v>22803</v>
      </c>
      <c t="s">
        <v>29132</v>
      </c>
      <c r="X5762" t="s">
        <v>17015</v>
      </c>
      <c t="s">
        <v>49122</v>
      </c>
      <c t="s">
        <v>2517</v>
      </c>
      <c t="s">
        <v>39289</v>
      </c>
      <c>
        <v>33909</v>
      </c>
      <c t="s">
        <v>66543</v>
      </c>
      <c t="s">
        <v>48794</v>
      </c>
      <c t="s">
        <v>58728</v>
      </c>
      <c>
        <v>747</v>
      </c>
      <c r="AI5762" t="s">
        <v>61530</v>
      </c>
      <c t="s">
        <v>45620</v>
      </c>
      <c r="AL5762" t="s">
        <v>40199</v>
      </c>
      <c r="AN5762" t="s">
        <v>49730</v>
      </c>
      <c t="s">
        <v>66763</v>
      </c>
      <c t="s">
        <v>43446</v>
      </c>
      <c t="s">
        <v>3093</v>
      </c>
      <c t="s">
        <v>35333</v>
      </c>
    </row>
    <row>
      <c t="s">
        <v>42103</v>
      </c>
      <c t="s">
        <v>20001</v>
      </c>
      <c t="s">
        <v>19915</v>
      </c>
      <c t="s">
        <v>2749</v>
      </c>
      <c t="s">
        <v>4009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763" s="1" t="str">
        <f ca="1">HYPERLINK("https://web.datatree.com/?/property?propertyId=34286383", "https://web.datatree.com/?/property?propertyId=34286383")</f>
        <v>https://web.datatree.com/?/property?propertyId=34286383</v>
      </c>
      <c r="Q5763" t="s">
        <v>316</v>
      </c>
      <c>
        <v>0.23</v>
      </c>
      <c t="s">
        <v>6175</v>
      </c>
      <c t="s">
        <v>24409</v>
      </c>
      <c t="s">
        <v>8835</v>
      </c>
      <c t="s">
        <v>1479</v>
      </c>
      <c t="s">
        <v>8835</v>
      </c>
      <c t="s">
        <v>47219</v>
      </c>
      <c t="s">
        <v>22731</v>
      </c>
      <c t="s">
        <v>2517</v>
      </c>
      <c t="s">
        <v>39289</v>
      </c>
      <c>
        <v>33909</v>
      </c>
      <c t="s">
        <v>29468</v>
      </c>
      <c t="s">
        <v>48794</v>
      </c>
      <c t="s">
        <v>35567</v>
      </c>
      <c r="AI5763" t="s">
        <v>31962</v>
      </c>
      <c r="AL5763" t="s">
        <v>19848</v>
      </c>
      <c r="AN5763" t="s">
        <v>27481</v>
      </c>
      <c>
        <v>54512</v>
      </c>
      <c t="s">
        <v>7011</v>
      </c>
      <c t="s">
        <v>3093</v>
      </c>
      <c t="s">
        <v>45137</v>
      </c>
    </row>
    <row>
      <c t="s">
        <v>17594</v>
      </c>
      <c t="s">
        <v>24825</v>
      </c>
      <c t="s">
        <v>38994</v>
      </c>
      <c t="s">
        <v>8892</v>
      </c>
      <c t="s">
        <v>38007</v>
      </c>
      <c s="3">
        <v>7984</v>
      </c>
      <c s="3">
        <v>7984</v>
      </c>
      <c s="3">
        <v>4972</v>
      </c>
      <c>
        <v>0</v>
      </c>
      <c s="3">
        <v>0</v>
      </c>
      <c s="3">
        <v>317.96</v>
      </c>
      <c s="3">
        <v>7984</v>
      </c>
      <c r="O5764" s="1" t="str">
        <f ca="1">HYPERLINK("https://web.datatree.com/?/property?propertyId=34287557", "https://web.datatree.com/?/property?propertyId=34287557")</f>
        <v>https://web.datatree.com/?/property?propertyId=34287557</v>
      </c>
      <c r="Q5764" t="s">
        <v>316</v>
      </c>
      <c>
        <v>0.249</v>
      </c>
      <c t="s">
        <v>5471</v>
      </c>
      <c t="s">
        <v>2474</v>
      </c>
      <c t="s">
        <v>55077</v>
      </c>
      <c r="X5764" t="s">
        <v>10117</v>
      </c>
      <c t="s">
        <v>61415</v>
      </c>
      <c t="s">
        <v>65059</v>
      </c>
      <c t="s">
        <v>39289</v>
      </c>
      <c>
        <v>33905</v>
      </c>
      <c t="s">
        <v>56759</v>
      </c>
      <c t="s">
        <v>48794</v>
      </c>
      <c t="s">
        <v>48517</v>
      </c>
      <c>
        <v>4</v>
      </c>
      <c r="AI5764" t="s">
        <v>53362</v>
      </c>
      <c t="s">
        <v>55842</v>
      </c>
      <c r="AL5764" t="s">
        <v>61458</v>
      </c>
      <c r="AN5764" t="s">
        <v>14509</v>
      </c>
      <c t="s">
        <v>23442</v>
      </c>
      <c t="s">
        <v>19978</v>
      </c>
      <c t="s">
        <v>3093</v>
      </c>
      <c t="s">
        <v>57923</v>
      </c>
    </row>
    <row>
      <c t="s">
        <v>17594</v>
      </c>
      <c t="s">
        <v>2763</v>
      </c>
      <c t="s">
        <v>59999</v>
      </c>
      <c t="s">
        <v>53526</v>
      </c>
      <c t="s">
        <v>27018</v>
      </c>
      <c s="3">
        <v>94711</v>
      </c>
      <c s="3">
        <v>94711</v>
      </c>
      <c s="3">
        <v>94711</v>
      </c>
      <c>
        <v>0</v>
      </c>
      <c s="3">
        <v>0</v>
      </c>
      <c s="3">
        <v>1292.98</v>
      </c>
      <c s="3">
        <v>94711</v>
      </c>
      <c r="O5765" s="1" t="str">
        <f ca="1">HYPERLINK("https://web.datatree.com/?/property?propertyId=34288221", "https://web.datatree.com/?/property?propertyId=34288221")</f>
        <v>https://web.datatree.com/?/property?propertyId=34288221</v>
      </c>
      <c r="Q5765" t="s">
        <v>316</v>
      </c>
      <c>
        <v>0.182</v>
      </c>
      <c t="s">
        <v>5471</v>
      </c>
      <c r="U5765" t="s">
        <v>51022</v>
      </c>
      <c r="W5765" t="s">
        <v>3629</v>
      </c>
      <c t="s">
        <v>21492</v>
      </c>
      <c t="s">
        <v>7937</v>
      </c>
      <c t="s">
        <v>65059</v>
      </c>
      <c t="s">
        <v>39289</v>
      </c>
      <c>
        <v>33905</v>
      </c>
      <c>
        <v>33905</v>
      </c>
      <c t="s">
        <v>48794</v>
      </c>
      <c t="s">
        <v>27212</v>
      </c>
      <c>
        <v>411</v>
      </c>
      <c r="AI5765" t="s">
        <v>22464</v>
      </c>
      <c t="s">
        <v>45393</v>
      </c>
      <c>
        <v>13857</v>
      </c>
      <c t="s">
        <v>61590</v>
      </c>
      <c t="s">
        <v>61590</v>
      </c>
      <c t="s">
        <v>39289</v>
      </c>
      <c t="s">
        <v>55522</v>
      </c>
      <c t="s">
        <v>57971</v>
      </c>
      <c t="s">
        <v>3093</v>
      </c>
      <c t="s">
        <v>54481</v>
      </c>
    </row>
    <row>
      <c t="s">
        <v>17594</v>
      </c>
      <c t="s">
        <v>10891</v>
      </c>
      <c t="s">
        <v>12645</v>
      </c>
      <c t="s">
        <v>8280</v>
      </c>
      <c t="s">
        <v>4792</v>
      </c>
      <c s="3">
        <v>26250</v>
      </c>
      <c s="3">
        <v>26250</v>
      </c>
      <c s="3">
        <v>9433</v>
      </c>
      <c>
        <v>0</v>
      </c>
      <c s="3">
        <v>0</v>
      </c>
      <c s="3">
        <v>414.38</v>
      </c>
      <c s="3">
        <v>26250</v>
      </c>
      <c>
        <v>2019</v>
      </c>
      <c>
        <v>1827.96</v>
      </c>
      <c s="1" t="str">
        <f ca="1">HYPERLINK("https://web.datatree.com/?/property?propertyId=34288359", "https://web.datatree.com/?/property?propertyId=34288359")</f>
        <v>https://web.datatree.com/?/property?propertyId=34288359</v>
      </c>
      <c r="Q5766" t="s">
        <v>316</v>
      </c>
      <c>
        <v>0.242</v>
      </c>
      <c t="s">
        <v>5471</v>
      </c>
      <c t="s">
        <v>56743</v>
      </c>
      <c t="s">
        <v>54514</v>
      </c>
      <c t="s">
        <v>16200</v>
      </c>
      <c t="s">
        <v>47899</v>
      </c>
      <c t="s">
        <v>8306</v>
      </c>
      <c t="s">
        <v>2642</v>
      </c>
      <c t="s">
        <v>65059</v>
      </c>
      <c t="s">
        <v>39289</v>
      </c>
      <c>
        <v>33905</v>
      </c>
      <c t="s">
        <v>49199</v>
      </c>
      <c t="s">
        <v>48794</v>
      </c>
      <c t="s">
        <v>41601</v>
      </c>
      <c>
        <v>3277</v>
      </c>
      <c r="AH5766" t="s">
        <v>26580</v>
      </c>
      <c t="s">
        <v>27572</v>
      </c>
      <c t="s">
        <v>1671</v>
      </c>
      <c>
        <v>110</v>
      </c>
      <c t="s">
        <v>5977</v>
      </c>
      <c r="AN5766" t="s">
        <v>39289</v>
      </c>
      <c t="s">
        <v>39027</v>
      </c>
      <c t="s">
        <v>66797</v>
      </c>
      <c t="s">
        <v>3093</v>
      </c>
      <c t="s">
        <v>26280</v>
      </c>
    </row>
    <row>
      <c t="s">
        <v>17594</v>
      </c>
      <c t="s">
        <v>52749</v>
      </c>
      <c t="s">
        <v>60566</v>
      </c>
      <c t="s">
        <v>13513</v>
      </c>
      <c t="s">
        <v>20094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5767" s="1" t="str">
        <f ca="1">HYPERLINK("https://web.datatree.com/?/property?propertyId=34288813", "https://web.datatree.com/?/property?propertyId=34288813")</f>
        <v>https://web.datatree.com/?/property?propertyId=34288813</v>
      </c>
      <c r="Q5767" t="s">
        <v>316</v>
      </c>
      <c>
        <v>0.255</v>
      </c>
      <c t="s">
        <v>6175</v>
      </c>
      <c t="s">
        <v>44541</v>
      </c>
      <c t="s">
        <v>63212</v>
      </c>
      <c t="s">
        <v>25924</v>
      </c>
      <c t="s">
        <v>51213</v>
      </c>
      <c t="s">
        <v>27756</v>
      </c>
      <c t="s">
        <v>61865</v>
      </c>
      <c t="s">
        <v>2517</v>
      </c>
      <c t="s">
        <v>39289</v>
      </c>
      <c>
        <v>33909</v>
      </c>
      <c t="s">
        <v>45967</v>
      </c>
      <c t="s">
        <v>48794</v>
      </c>
      <c t="s">
        <v>43753</v>
      </c>
      <c>
        <v>809</v>
      </c>
      <c r="AI5767" t="s">
        <v>35760</v>
      </c>
      <c t="s">
        <v>31192</v>
      </c>
      <c r="AL5767" t="s">
        <v>52609</v>
      </c>
      <c r="AN5767" t="s">
        <v>65467</v>
      </c>
      <c t="s">
        <v>30144</v>
      </c>
      <c t="s">
        <v>702</v>
      </c>
      <c t="s">
        <v>3093</v>
      </c>
      <c t="s">
        <v>522</v>
      </c>
    </row>
    <row>
      <c t="s">
        <v>17594</v>
      </c>
      <c t="s">
        <v>12410</v>
      </c>
      <c t="s">
        <v>42189</v>
      </c>
      <c t="s">
        <v>37687</v>
      </c>
      <c t="s">
        <v>49848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5768" s="1" t="str">
        <f ca="1">HYPERLINK("https://web.datatree.com/?/property?propertyId=34289059", "https://web.datatree.com/?/property?propertyId=34289059")</f>
        <v>https://web.datatree.com/?/property?propertyId=34289059</v>
      </c>
      <c r="Q5768" t="s">
        <v>316</v>
      </c>
      <c>
        <v>0.23</v>
      </c>
      <c t="s">
        <v>6175</v>
      </c>
      <c r="U5768" t="s">
        <v>44222</v>
      </c>
      <c r="W5768" t="s">
        <v>29491</v>
      </c>
      <c t="s">
        <v>37545</v>
      </c>
      <c t="s">
        <v>53675</v>
      </c>
      <c t="s">
        <v>2517</v>
      </c>
      <c t="s">
        <v>39289</v>
      </c>
      <c>
        <v>33909</v>
      </c>
      <c t="s">
        <v>45607</v>
      </c>
      <c t="s">
        <v>48794</v>
      </c>
      <c t="s">
        <v>36499</v>
      </c>
      <c>
        <v>4127</v>
      </c>
      <c r="AI5768" t="s">
        <v>15117</v>
      </c>
      <c t="s">
        <v>45620</v>
      </c>
      <c r="AL5768" t="s">
        <v>1741</v>
      </c>
      <c r="AN5768" t="s">
        <v>10804</v>
      </c>
      <c t="s">
        <v>20851</v>
      </c>
      <c t="s">
        <v>44428</v>
      </c>
      <c t="s">
        <v>3093</v>
      </c>
      <c t="s">
        <v>39474</v>
      </c>
    </row>
    <row>
      <c t="s">
        <v>17594</v>
      </c>
      <c t="s">
        <v>5039</v>
      </c>
      <c t="s">
        <v>63489</v>
      </c>
      <c t="s">
        <v>6527</v>
      </c>
      <c t="s">
        <v>64268</v>
      </c>
      <c s="3">
        <v>7700</v>
      </c>
      <c s="3">
        <v>7700</v>
      </c>
      <c s="3">
        <v>7700</v>
      </c>
      <c>
        <v>0</v>
      </c>
      <c s="3">
        <v>0</v>
      </c>
      <c s="3">
        <v>555.82</v>
      </c>
      <c s="3">
        <v>7700</v>
      </c>
      <c>
        <v>2021</v>
      </c>
      <c>
        <v>527.13</v>
      </c>
      <c s="1" t="str">
        <f ca="1">HYPERLINK("https://web.datatree.com/?/property?propertyId=34289200", "https://web.datatree.com/?/property?propertyId=34289200")</f>
        <v>https://web.datatree.com/?/property?propertyId=34289200</v>
      </c>
      <c r="Q5769" t="s">
        <v>316</v>
      </c>
      <c>
        <v>0.23</v>
      </c>
      <c t="s">
        <v>6175</v>
      </c>
      <c t="s">
        <v>7559</v>
      </c>
      <c t="s">
        <v>13824</v>
      </c>
      <c r="X5769" t="s">
        <v>45877</v>
      </c>
      <c t="s">
        <v>14534</v>
      </c>
      <c t="s">
        <v>2517</v>
      </c>
      <c t="s">
        <v>39289</v>
      </c>
      <c>
        <v>33909</v>
      </c>
      <c t="s">
        <v>14188</v>
      </c>
      <c t="s">
        <v>48794</v>
      </c>
      <c t="s">
        <v>4946</v>
      </c>
      <c>
        <v>15031</v>
      </c>
      <c r="AI5769" t="s">
        <v>8362</v>
      </c>
      <c t="s">
        <v>45393</v>
      </c>
      <c r="AL5769" t="s">
        <v>6796</v>
      </c>
      <c t="s">
        <v>59496</v>
      </c>
      <c t="s">
        <v>39289</v>
      </c>
      <c t="s">
        <v>950</v>
      </c>
      <c t="s">
        <v>14695</v>
      </c>
      <c t="s">
        <v>3093</v>
      </c>
      <c t="s">
        <v>4289</v>
      </c>
    </row>
    <row>
      <c t="s">
        <v>17594</v>
      </c>
      <c t="s">
        <v>59323</v>
      </c>
      <c t="s">
        <v>43214</v>
      </c>
      <c t="s">
        <v>5722</v>
      </c>
      <c t="s">
        <v>17062</v>
      </c>
      <c s="3">
        <v>28407</v>
      </c>
      <c s="3">
        <v>28407</v>
      </c>
      <c s="3">
        <v>11484</v>
      </c>
      <c>
        <v>0</v>
      </c>
      <c s="3">
        <v>0</v>
      </c>
      <c s="3">
        <v>744.28</v>
      </c>
      <c s="3">
        <v>28407</v>
      </c>
      <c>
        <v>2021</v>
      </c>
      <c>
        <v>744.03</v>
      </c>
      <c s="1" t="str">
        <f ca="1">HYPERLINK("https://web.datatree.com/?/property?propertyId=34290149", "https://web.datatree.com/?/property?propertyId=34290149")</f>
        <v>https://web.datatree.com/?/property?propertyId=34290149</v>
      </c>
      <c r="Q5770" t="s">
        <v>316</v>
      </c>
      <c>
        <v>0.348</v>
      </c>
      <c t="s">
        <v>22490</v>
      </c>
      <c t="s">
        <v>36748</v>
      </c>
      <c t="s">
        <v>4772</v>
      </c>
      <c r="X5770" t="s">
        <v>50737</v>
      </c>
      <c t="s">
        <v>22731</v>
      </c>
      <c t="s">
        <v>2517</v>
      </c>
      <c t="s">
        <v>39289</v>
      </c>
      <c>
        <v>33909</v>
      </c>
      <c t="s">
        <v>26131</v>
      </c>
      <c t="s">
        <v>48794</v>
      </c>
      <c t="s">
        <v>44557</v>
      </c>
      <c>
        <v>4</v>
      </c>
      <c r="AI5770" t="s">
        <v>38369</v>
      </c>
      <c t="s">
        <v>45620</v>
      </c>
      <c r="AL5770" t="s">
        <v>54786</v>
      </c>
      <c t="s">
        <v>54786</v>
      </c>
      <c t="s">
        <v>27747</v>
      </c>
      <c>
        <v>1757</v>
      </c>
      <c r="AR5770" t="s">
        <v>17031</v>
      </c>
    </row>
    <row>
      <c t="s">
        <v>17594</v>
      </c>
      <c t="s">
        <v>60182</v>
      </c>
      <c t="s">
        <v>21521</v>
      </c>
      <c t="s">
        <v>20841</v>
      </c>
      <c t="s">
        <v>54346</v>
      </c>
      <c s="3">
        <v>354705</v>
      </c>
      <c s="3">
        <v>354705</v>
      </c>
      <c s="3">
        <v>280500</v>
      </c>
      <c>
        <v>0</v>
      </c>
      <c s="3">
        <v>0</v>
      </c>
      <c s="3">
        <v>5256.82</v>
      </c>
      <c s="3">
        <v>354705</v>
      </c>
      <c r="O5771" s="1" t="str">
        <f ca="1">HYPERLINK("https://web.datatree.com/?/property?propertyId=34291960", "https://web.datatree.com/?/property?propertyId=34291960")</f>
        <v>https://web.datatree.com/?/property?propertyId=34291960</v>
      </c>
      <c r="Q5771" t="s">
        <v>316</v>
      </c>
      <c>
        <v>0.23</v>
      </c>
      <c t="s">
        <v>22490</v>
      </c>
      <c r="U5771" t="s">
        <v>50820</v>
      </c>
      <c r="W5771" t="s">
        <v>40034</v>
      </c>
      <c t="s">
        <v>207</v>
      </c>
      <c t="s">
        <v>50069</v>
      </c>
      <c t="s">
        <v>2517</v>
      </c>
      <c t="s">
        <v>39289</v>
      </c>
      <c>
        <v>33904</v>
      </c>
      <c t="s">
        <v>26272</v>
      </c>
      <c t="s">
        <v>48794</v>
      </c>
      <c t="s">
        <v>19139</v>
      </c>
      <c>
        <v>11416</v>
      </c>
      <c r="AI5771" t="s">
        <v>58253</v>
      </c>
      <c t="s">
        <v>45620</v>
      </c>
      <c r="AL5771" t="s">
        <v>57278</v>
      </c>
      <c r="AN5771" t="s">
        <v>51137</v>
      </c>
      <c t="s">
        <v>24780</v>
      </c>
      <c t="s">
        <v>14845</v>
      </c>
      <c t="s">
        <v>3093</v>
      </c>
      <c t="s">
        <v>13417</v>
      </c>
    </row>
    <row>
      <c t="s">
        <v>42103</v>
      </c>
      <c t="s">
        <v>1524</v>
      </c>
      <c t="s">
        <v>25022</v>
      </c>
      <c t="s">
        <v>58118</v>
      </c>
      <c t="s">
        <v>6912</v>
      </c>
      <c s="3">
        <v>12544</v>
      </c>
      <c s="3">
        <v>12544</v>
      </c>
      <c s="3">
        <v>4952</v>
      </c>
      <c>
        <v>0</v>
      </c>
      <c s="3">
        <v>0</v>
      </c>
      <c s="3">
        <v>315.22</v>
      </c>
      <c s="3">
        <v>12544</v>
      </c>
      <c r="O5772" s="1" t="str">
        <f ca="1">HYPERLINK("https://web.datatree.com/?/property?propertyId=34292123", "https://web.datatree.com/?/property?propertyId=34292123")</f>
        <v>https://web.datatree.com/?/property?propertyId=34292123</v>
      </c>
      <c r="Q5772" t="s">
        <v>316</v>
      </c>
      <c>
        <v>0.226</v>
      </c>
      <c t="s">
        <v>5471</v>
      </c>
      <c t="s">
        <v>4814</v>
      </c>
      <c t="s">
        <v>32402</v>
      </c>
      <c t="s">
        <v>7869</v>
      </c>
      <c t="s">
        <v>32402</v>
      </c>
      <c t="s">
        <v>52040</v>
      </c>
      <c t="s">
        <v>55985</v>
      </c>
      <c t="s">
        <v>65059</v>
      </c>
      <c t="s">
        <v>39289</v>
      </c>
      <c>
        <v>33905</v>
      </c>
      <c t="s">
        <v>36598</v>
      </c>
      <c t="s">
        <v>48794</v>
      </c>
      <c t="s">
        <v>51797</v>
      </c>
      <c r="AI5772" t="s">
        <v>38963</v>
      </c>
      <c r="AL5772" t="s">
        <v>55130</v>
      </c>
      <c r="AN5772" t="s">
        <v>32657</v>
      </c>
      <c>
        <v>37065</v>
      </c>
      <c t="s">
        <v>61207</v>
      </c>
      <c t="s">
        <v>3093</v>
      </c>
      <c t="s">
        <v>19905</v>
      </c>
    </row>
    <row>
      <c t="s">
        <v>17594</v>
      </c>
      <c t="s">
        <v>39912</v>
      </c>
      <c t="s">
        <v>62321</v>
      </c>
      <c t="s">
        <v>9494</v>
      </c>
      <c t="s">
        <v>43832</v>
      </c>
      <c s="3">
        <v>86616</v>
      </c>
      <c s="3">
        <v>86616</v>
      </c>
      <c s="3">
        <v>25106</v>
      </c>
      <c>
        <v>0</v>
      </c>
      <c s="3">
        <v>0</v>
      </c>
      <c s="3">
        <v>1099.7</v>
      </c>
      <c s="3">
        <v>86616</v>
      </c>
      <c r="O5773" s="1" t="str">
        <f ca="1">HYPERLINK("https://web.datatree.com/?/property?propertyId=34292345", "https://web.datatree.com/?/property?propertyId=34292345")</f>
        <v>https://web.datatree.com/?/property?propertyId=34292345</v>
      </c>
      <c r="Q5773" t="s">
        <v>316</v>
      </c>
      <c>
        <v>0.341</v>
      </c>
      <c t="s">
        <v>6175</v>
      </c>
      <c t="s">
        <v>16200</v>
      </c>
      <c t="s">
        <v>66252</v>
      </c>
      <c r="X5773" t="s">
        <v>31814</v>
      </c>
      <c t="s">
        <v>15510</v>
      </c>
      <c t="s">
        <v>2517</v>
      </c>
      <c t="s">
        <v>39289</v>
      </c>
      <c>
        <v>33904</v>
      </c>
      <c t="s">
        <v>7375</v>
      </c>
      <c t="s">
        <v>48794</v>
      </c>
      <c t="s">
        <v>54864</v>
      </c>
      <c>
        <v>4900</v>
      </c>
      <c r="AI5773" t="s">
        <v>47912</v>
      </c>
      <c t="s">
        <v>31192</v>
      </c>
      <c>
        <v>7</v>
      </c>
      <c t="s">
        <v>11713</v>
      </c>
      <c r="AN5773" t="s">
        <v>39289</v>
      </c>
      <c t="s">
        <v>38466</v>
      </c>
      <c t="s">
        <v>11138</v>
      </c>
      <c t="s">
        <v>3093</v>
      </c>
      <c t="s">
        <v>55724</v>
      </c>
    </row>
    <row>
      <c t="s">
        <v>17594</v>
      </c>
      <c t="s">
        <v>720</v>
      </c>
      <c s="4" t="s">
        <v>28152</v>
      </c>
      <c t="s">
        <v>50495</v>
      </c>
      <c t="s">
        <v>40149</v>
      </c>
      <c s="3">
        <v>20900</v>
      </c>
      <c s="3">
        <v>20900</v>
      </c>
      <c s="3">
        <v>20900</v>
      </c>
      <c>
        <v>0</v>
      </c>
      <c s="3">
        <v>0</v>
      </c>
      <c s="3">
        <v>704.58</v>
      </c>
      <c s="3">
        <v>20900</v>
      </c>
      <c r="O5774" s="1" t="str">
        <f ca="1">HYPERLINK("https://web.datatree.com/?/property?propertyId=34293006", "https://web.datatree.com/?/property?propertyId=34293006")</f>
        <v>https://web.datatree.com/?/property?propertyId=34293006</v>
      </c>
      <c r="Q5774" t="s">
        <v>316</v>
      </c>
      <c>
        <v>0.23</v>
      </c>
      <c t="s">
        <v>22490</v>
      </c>
      <c t="s">
        <v>9157</v>
      </c>
      <c t="s">
        <v>32265</v>
      </c>
      <c t="s">
        <v>11839</v>
      </c>
      <c t="s">
        <v>32265</v>
      </c>
      <c t="s">
        <v>64217</v>
      </c>
      <c t="s">
        <v>23050</v>
      </c>
      <c t="s">
        <v>2517</v>
      </c>
      <c t="s">
        <v>39289</v>
      </c>
      <c>
        <v>33909</v>
      </c>
      <c>
        <v>33909</v>
      </c>
      <c t="s">
        <v>48794</v>
      </c>
      <c t="s">
        <v>33468</v>
      </c>
      <c>
        <v>15</v>
      </c>
      <c r="AI5774" t="s">
        <v>63276</v>
      </c>
      <c t="s">
        <v>45393</v>
      </c>
      <c r="AL5774" t="s">
        <v>23914</v>
      </c>
      <c t="s">
        <v>23914</v>
      </c>
      <c t="s">
        <v>10804</v>
      </c>
      <c>
        <v>28816</v>
      </c>
      <c r="AR5774" s="4" t="s">
        <v>54228</v>
      </c>
    </row>
    <row>
      <c t="s">
        <v>17594</v>
      </c>
      <c t="s">
        <v>11588</v>
      </c>
      <c t="s">
        <v>8054</v>
      </c>
      <c t="s">
        <v>31771</v>
      </c>
      <c t="s">
        <v>28719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775" s="1" t="str">
        <f ca="1">HYPERLINK("https://web.datatree.com/?/property?propertyId=34293213", "https://web.datatree.com/?/property?propertyId=34293213")</f>
        <v>https://web.datatree.com/?/property?propertyId=34293213</v>
      </c>
      <c r="Q5775" t="s">
        <v>316</v>
      </c>
      <c>
        <v>0.23</v>
      </c>
      <c t="s">
        <v>6175</v>
      </c>
      <c t="s">
        <v>1599</v>
      </c>
      <c t="s">
        <v>27165</v>
      </c>
      <c r="X5775" t="s">
        <v>35236</v>
      </c>
      <c t="s">
        <v>53675</v>
      </c>
      <c t="s">
        <v>2517</v>
      </c>
      <c t="s">
        <v>39289</v>
      </c>
      <c>
        <v>33909</v>
      </c>
      <c t="s">
        <v>21510</v>
      </c>
      <c t="s">
        <v>48794</v>
      </c>
      <c t="s">
        <v>15327</v>
      </c>
      <c>
        <v>683</v>
      </c>
      <c r="AH5775" t="s">
        <v>6851</v>
      </c>
      <c t="s">
        <v>43884</v>
      </c>
      <c t="s">
        <v>45620</v>
      </c>
      <c r="AL5775" t="s">
        <v>49178</v>
      </c>
      <c t="s">
        <v>16251</v>
      </c>
      <c t="s">
        <v>17331</v>
      </c>
      <c t="s">
        <v>6575</v>
      </c>
      <c t="s">
        <v>35354</v>
      </c>
      <c t="s">
        <v>3093</v>
      </c>
      <c t="s">
        <v>55835</v>
      </c>
    </row>
    <row>
      <c t="s">
        <v>17594</v>
      </c>
      <c t="s">
        <v>62940</v>
      </c>
      <c t="s">
        <v>7653</v>
      </c>
      <c t="s">
        <v>65996</v>
      </c>
      <c t="s">
        <v>24088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776" s="1" t="str">
        <f ca="1">HYPERLINK("https://web.datatree.com/?/property?propertyId=34293250", "https://web.datatree.com/?/property?propertyId=34293250")</f>
        <v>https://web.datatree.com/?/property?propertyId=34293250</v>
      </c>
      <c r="Q5776" t="s">
        <v>316</v>
      </c>
      <c>
        <v>0.23</v>
      </c>
      <c t="s">
        <v>6175</v>
      </c>
      <c t="s">
        <v>52701</v>
      </c>
      <c t="s">
        <v>41956</v>
      </c>
      <c r="X5776" t="s">
        <v>52285</v>
      </c>
      <c t="s">
        <v>49122</v>
      </c>
      <c t="s">
        <v>2517</v>
      </c>
      <c t="s">
        <v>39289</v>
      </c>
      <c>
        <v>33909</v>
      </c>
      <c t="s">
        <v>57416</v>
      </c>
      <c t="s">
        <v>48794</v>
      </c>
      <c t="s">
        <v>48667</v>
      </c>
      <c>
        <v>27</v>
      </c>
      <c r="AI5776" t="s">
        <v>31415</v>
      </c>
      <c r="AL5776" t="s">
        <v>5401</v>
      </c>
      <c r="AN5776" t="s">
        <v>27747</v>
      </c>
      <c>
        <v>1010</v>
      </c>
      <c r="AR5776" t="s">
        <v>31754</v>
      </c>
    </row>
    <row>
      <c t="s">
        <v>17594</v>
      </c>
      <c t="s">
        <v>9551</v>
      </c>
      <c t="s">
        <v>44343</v>
      </c>
      <c t="s">
        <v>20038</v>
      </c>
      <c t="s">
        <v>13354</v>
      </c>
      <c s="3">
        <v>8700</v>
      </c>
      <c s="3">
        <v>8700</v>
      </c>
      <c s="3">
        <v>8700</v>
      </c>
      <c>
        <v>0</v>
      </c>
      <c s="3">
        <v>0</v>
      </c>
      <c s="3">
        <v>583.58</v>
      </c>
      <c s="3">
        <v>8700</v>
      </c>
      <c r="O5777" s="1" t="str">
        <f ca="1">HYPERLINK("https://web.datatree.com/?/property?propertyId=34293834", "https://web.datatree.com/?/property?propertyId=34293834")</f>
        <v>https://web.datatree.com/?/property?propertyId=34293834</v>
      </c>
      <c r="Q5777" t="s">
        <v>316</v>
      </c>
      <c>
        <v>0.23</v>
      </c>
      <c t="s">
        <v>6175</v>
      </c>
      <c t="s">
        <v>3556</v>
      </c>
      <c t="s">
        <v>35876</v>
      </c>
      <c t="s">
        <v>44457</v>
      </c>
      <c t="s">
        <v>9733</v>
      </c>
      <c t="s">
        <v>35695</v>
      </c>
      <c t="s">
        <v>53675</v>
      </c>
      <c t="s">
        <v>2517</v>
      </c>
      <c t="s">
        <v>39289</v>
      </c>
      <c>
        <v>33909</v>
      </c>
      <c t="s">
        <v>63468</v>
      </c>
      <c t="s">
        <v>48794</v>
      </c>
      <c t="s">
        <v>61394</v>
      </c>
      <c>
        <v>1305</v>
      </c>
      <c r="AI5777" t="s">
        <v>4039</v>
      </c>
      <c t="s">
        <v>45393</v>
      </c>
      <c r="AL5777" t="s">
        <v>5212</v>
      </c>
      <c t="s">
        <v>4897</v>
      </c>
      <c t="s">
        <v>27481</v>
      </c>
      <c t="s">
        <v>64845</v>
      </c>
      <c t="s">
        <v>38085</v>
      </c>
      <c t="s">
        <v>3093</v>
      </c>
      <c t="s">
        <v>16128</v>
      </c>
    </row>
    <row>
      <c t="s">
        <v>17594</v>
      </c>
      <c t="s">
        <v>13586</v>
      </c>
      <c t="s">
        <v>3991</v>
      </c>
      <c t="s">
        <v>38937</v>
      </c>
      <c t="s">
        <v>48943</v>
      </c>
      <c s="3">
        <v>158125</v>
      </c>
      <c s="3">
        <v>158125</v>
      </c>
      <c s="3">
        <v>158125</v>
      </c>
      <c>
        <v>0</v>
      </c>
      <c s="3">
        <v>0</v>
      </c>
      <c s="3">
        <v>4420.11</v>
      </c>
      <c s="3">
        <v>158125</v>
      </c>
      <c r="O5778" s="1" t="str">
        <f ca="1">HYPERLINK("https://web.datatree.com/?/property?propertyId=34293858", "https://web.datatree.com/?/property?propertyId=34293858")</f>
        <v>https://web.datatree.com/?/property?propertyId=34293858</v>
      </c>
      <c r="Q5778" t="s">
        <v>316</v>
      </c>
      <c>
        <v>0.344</v>
      </c>
      <c t="s">
        <v>22490</v>
      </c>
      <c t="s">
        <v>11199</v>
      </c>
      <c t="s">
        <v>30503</v>
      </c>
      <c t="s">
        <v>56645</v>
      </c>
      <c t="s">
        <v>16166</v>
      </c>
      <c t="s">
        <v>60338</v>
      </c>
      <c t="s">
        <v>22731</v>
      </c>
      <c t="s">
        <v>2517</v>
      </c>
      <c t="s">
        <v>39289</v>
      </c>
      <c>
        <v>33904</v>
      </c>
      <c t="s">
        <v>21694</v>
      </c>
      <c t="s">
        <v>48794</v>
      </c>
      <c t="s">
        <v>59377</v>
      </c>
      <c>
        <v>1710</v>
      </c>
      <c r="AI5778" t="s">
        <v>55082</v>
      </c>
      <c t="s">
        <v>20615</v>
      </c>
      <c r="AL5778" t="s">
        <v>2517</v>
      </c>
      <c r="AN5778" t="s">
        <v>39289</v>
      </c>
      <c t="s">
        <v>23569</v>
      </c>
      <c t="s">
        <v>32746</v>
      </c>
      <c t="s">
        <v>3093</v>
      </c>
      <c t="s">
        <v>7003</v>
      </c>
    </row>
    <row>
      <c t="s">
        <v>17594</v>
      </c>
      <c t="s">
        <v>11575</v>
      </c>
      <c t="s">
        <v>47168</v>
      </c>
      <c t="s">
        <v>52006</v>
      </c>
      <c t="s">
        <v>40602</v>
      </c>
      <c s="3">
        <v>17781</v>
      </c>
      <c s="3">
        <v>17781</v>
      </c>
      <c s="3">
        <v>8910</v>
      </c>
      <c>
        <v>0</v>
      </c>
      <c s="3">
        <v>0</v>
      </c>
      <c s="3">
        <v>566.28</v>
      </c>
      <c s="3">
        <v>17781</v>
      </c>
      <c r="O5779" s="1" t="str">
        <f ca="1">HYPERLINK("https://web.datatree.com/?/property?propertyId=34293994", "https://web.datatree.com/?/property?propertyId=34293994")</f>
        <v>https://web.datatree.com/?/property?propertyId=34293994</v>
      </c>
      <c r="Q5779" t="s">
        <v>316</v>
      </c>
      <c>
        <v>0.241</v>
      </c>
      <c t="s">
        <v>6175</v>
      </c>
      <c t="s">
        <v>39574</v>
      </c>
      <c t="s">
        <v>60049</v>
      </c>
      <c r="X5779" t="s">
        <v>56749</v>
      </c>
      <c t="s">
        <v>13829</v>
      </c>
      <c t="s">
        <v>2517</v>
      </c>
      <c t="s">
        <v>39289</v>
      </c>
      <c>
        <v>33909</v>
      </c>
      <c t="s">
        <v>18755</v>
      </c>
      <c t="s">
        <v>48794</v>
      </c>
      <c t="s">
        <v>20039</v>
      </c>
      <c>
        <v>3534</v>
      </c>
      <c r="AI5779" t="s">
        <v>31553</v>
      </c>
      <c t="s">
        <v>31192</v>
      </c>
      <c r="AL5779" t="s">
        <v>61724</v>
      </c>
      <c r="AN5779" t="s">
        <v>39289</v>
      </c>
      <c t="s">
        <v>39230</v>
      </c>
      <c t="s">
        <v>12241</v>
      </c>
      <c t="s">
        <v>3093</v>
      </c>
      <c t="s">
        <v>22488</v>
      </c>
    </row>
    <row>
      <c t="s">
        <v>17594</v>
      </c>
      <c t="s">
        <v>32556</v>
      </c>
      <c t="s">
        <v>24552</v>
      </c>
      <c t="s">
        <v>61118</v>
      </c>
      <c t="s">
        <v>62732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5780" s="1" t="str">
        <f ca="1">HYPERLINK("https://web.datatree.com/?/property?propertyId=34294224", "https://web.datatree.com/?/property?propertyId=34294224")</f>
        <v>https://web.datatree.com/?/property?propertyId=34294224</v>
      </c>
      <c r="Q5780" t="s">
        <v>316</v>
      </c>
      <c>
        <v>0.23</v>
      </c>
      <c t="s">
        <v>6175</v>
      </c>
      <c r="U5780" t="s">
        <v>17852</v>
      </c>
      <c t="s">
        <v>18547</v>
      </c>
      <c t="s">
        <v>32643</v>
      </c>
      <c t="s">
        <v>54321</v>
      </c>
      <c t="s">
        <v>30928</v>
      </c>
      <c t="s">
        <v>2517</v>
      </c>
      <c t="s">
        <v>39289</v>
      </c>
      <c>
        <v>33909</v>
      </c>
      <c t="s">
        <v>45135</v>
      </c>
      <c t="s">
        <v>48794</v>
      </c>
      <c t="s">
        <v>31473</v>
      </c>
      <c>
        <v>2700</v>
      </c>
      <c r="AI5780" t="s">
        <v>9315</v>
      </c>
      <c t="s">
        <v>45393</v>
      </c>
      <c r="AL5780" t="s">
        <v>29515</v>
      </c>
      <c t="s">
        <v>29515</v>
      </c>
      <c t="s">
        <v>39289</v>
      </c>
      <c t="s">
        <v>38725</v>
      </c>
      <c t="s">
        <v>61564</v>
      </c>
      <c t="s">
        <v>3093</v>
      </c>
      <c t="s">
        <v>31295</v>
      </c>
    </row>
    <row>
      <c t="s">
        <v>17594</v>
      </c>
      <c t="s">
        <v>22206</v>
      </c>
      <c t="s">
        <v>35063</v>
      </c>
      <c t="s">
        <v>17424</v>
      </c>
      <c t="s">
        <v>20349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5781" s="1" t="str">
        <f ca="1">HYPERLINK("https://web.datatree.com/?/property?propertyId=34294433", "https://web.datatree.com/?/property?propertyId=34294433")</f>
        <v>https://web.datatree.com/?/property?propertyId=34294433</v>
      </c>
      <c r="Q5781" t="s">
        <v>316</v>
      </c>
      <c>
        <v>0.23</v>
      </c>
      <c t="s">
        <v>22490</v>
      </c>
      <c t="s">
        <v>47941</v>
      </c>
      <c t="s">
        <v>54500</v>
      </c>
      <c r="X5781" t="s">
        <v>32070</v>
      </c>
      <c t="s">
        <v>49122</v>
      </c>
      <c t="s">
        <v>2517</v>
      </c>
      <c t="s">
        <v>39289</v>
      </c>
      <c>
        <v>33909</v>
      </c>
      <c t="s">
        <v>447</v>
      </c>
      <c t="s">
        <v>48794</v>
      </c>
      <c t="s">
        <v>62643</v>
      </c>
      <c>
        <v>5718</v>
      </c>
      <c r="AI5781" t="s">
        <v>58797</v>
      </c>
      <c t="s">
        <v>41372</v>
      </c>
      <c>
        <v>2</v>
      </c>
      <c t="s">
        <v>27902</v>
      </c>
      <c t="s">
        <v>27902</v>
      </c>
      <c t="s">
        <v>4477</v>
      </c>
      <c t="s">
        <v>5902</v>
      </c>
      <c t="s">
        <v>53660</v>
      </c>
      <c t="s">
        <v>3093</v>
      </c>
      <c t="s">
        <v>63752</v>
      </c>
    </row>
    <row>
      <c t="s">
        <v>17594</v>
      </c>
      <c t="s">
        <v>48828</v>
      </c>
      <c t="s">
        <v>7112</v>
      </c>
      <c t="s">
        <v>64127</v>
      </c>
      <c t="s">
        <v>32117</v>
      </c>
      <c s="3">
        <v>9445</v>
      </c>
      <c s="3">
        <v>9445</v>
      </c>
      <c s="3">
        <v>4972</v>
      </c>
      <c>
        <v>0</v>
      </c>
      <c s="3">
        <v>0</v>
      </c>
      <c s="3">
        <v>324.47</v>
      </c>
      <c s="3">
        <v>9445</v>
      </c>
      <c r="O5782" s="1" t="str">
        <f ca="1">HYPERLINK("https://web.datatree.com/?/property?propertyId=34294634", "https://web.datatree.com/?/property?propertyId=34294634")</f>
        <v>https://web.datatree.com/?/property?propertyId=34294634</v>
      </c>
      <c r="Q5782" t="s">
        <v>316</v>
      </c>
      <c>
        <v>0.297</v>
      </c>
      <c t="s">
        <v>5471</v>
      </c>
      <c t="s">
        <v>7704</v>
      </c>
      <c t="s">
        <v>10835</v>
      </c>
      <c r="X5782" t="s">
        <v>22652</v>
      </c>
      <c t="s">
        <v>19394</v>
      </c>
      <c t="s">
        <v>65059</v>
      </c>
      <c t="s">
        <v>39289</v>
      </c>
      <c>
        <v>33905</v>
      </c>
      <c t="s">
        <v>602</v>
      </c>
      <c t="s">
        <v>48794</v>
      </c>
      <c t="s">
        <v>16466</v>
      </c>
      <c>
        <v>200</v>
      </c>
      <c r="AI5782" t="s">
        <v>16451</v>
      </c>
      <c t="s">
        <v>24900</v>
      </c>
      <c r="AL5782" t="s">
        <v>23828</v>
      </c>
      <c t="s">
        <v>23828</v>
      </c>
      <c t="s">
        <v>39289</v>
      </c>
      <c t="s">
        <v>33726</v>
      </c>
      <c t="s">
        <v>33029</v>
      </c>
      <c t="s">
        <v>3093</v>
      </c>
      <c t="s">
        <v>36482</v>
      </c>
    </row>
    <row>
      <c t="s">
        <v>17594</v>
      </c>
      <c t="s">
        <v>35283</v>
      </c>
      <c t="s">
        <v>42207</v>
      </c>
      <c t="s">
        <v>57874</v>
      </c>
      <c t="s">
        <v>26119</v>
      </c>
      <c s="3">
        <v>81492</v>
      </c>
      <c s="3">
        <v>74250</v>
      </c>
      <c s="3">
        <v>77517</v>
      </c>
      <c>
        <v>0</v>
      </c>
      <c s="3">
        <v>0</v>
      </c>
      <c s="3">
        <v>1187.52</v>
      </c>
      <c s="3">
        <v>81492</v>
      </c>
      <c r="O5783" s="1" t="str">
        <f ca="1">HYPERLINK("https://web.datatree.com/?/property?propertyId=34294776", "https://web.datatree.com/?/property?propertyId=34294776")</f>
        <v>https://web.datatree.com/?/property?propertyId=34294776</v>
      </c>
      <c r="Q5783" t="s">
        <v>316</v>
      </c>
      <c>
        <v>0.095</v>
      </c>
      <c t="s">
        <v>26492</v>
      </c>
      <c t="s">
        <v>40088</v>
      </c>
      <c t="s">
        <v>47742</v>
      </c>
      <c t="s">
        <v>50865</v>
      </c>
      <c t="s">
        <v>47742</v>
      </c>
      <c t="s">
        <v>50466</v>
      </c>
      <c t="s">
        <v>60094</v>
      </c>
      <c t="s">
        <v>65059</v>
      </c>
      <c t="s">
        <v>39289</v>
      </c>
      <c>
        <v>33905</v>
      </c>
      <c>
        <v>33905</v>
      </c>
      <c t="s">
        <v>48794</v>
      </c>
      <c t="s">
        <v>37732</v>
      </c>
      <c>
        <v>221</v>
      </c>
      <c r="AI5783" t="s">
        <v>46260</v>
      </c>
      <c t="s">
        <v>39321</v>
      </c>
      <c r="AL5783" t="s">
        <v>19595</v>
      </c>
      <c t="s">
        <v>40227</v>
      </c>
      <c t="s">
        <v>22275</v>
      </c>
      <c t="s">
        <v>34228</v>
      </c>
      <c t="s">
        <v>60333</v>
      </c>
      <c t="s">
        <v>3093</v>
      </c>
      <c t="s">
        <v>66386</v>
      </c>
    </row>
    <row>
      <c t="s">
        <v>17594</v>
      </c>
      <c t="s">
        <v>47221</v>
      </c>
      <c t="s">
        <v>32047</v>
      </c>
      <c t="s">
        <v>40801</v>
      </c>
      <c t="s">
        <v>64660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784" s="1" t="str">
        <f ca="1">HYPERLINK("https://web.datatree.com/?/property?propertyId=34295172", "https://web.datatree.com/?/property?propertyId=34295172")</f>
        <v>https://web.datatree.com/?/property?propertyId=34295172</v>
      </c>
      <c r="Q5784" t="s">
        <v>316</v>
      </c>
      <c>
        <v>0.23</v>
      </c>
      <c t="s">
        <v>6175</v>
      </c>
      <c r="U5784" t="s">
        <v>855</v>
      </c>
      <c t="s">
        <v>59594</v>
      </c>
      <c t="s">
        <v>54899</v>
      </c>
      <c t="s">
        <v>39188</v>
      </c>
      <c t="s">
        <v>2626</v>
      </c>
      <c t="s">
        <v>2517</v>
      </c>
      <c t="s">
        <v>39289</v>
      </c>
      <c>
        <v>33909</v>
      </c>
      <c t="s">
        <v>2752</v>
      </c>
      <c t="s">
        <v>48794</v>
      </c>
      <c t="s">
        <v>9992</v>
      </c>
      <c>
        <v>515</v>
      </c>
      <c r="AI5784" t="s">
        <v>46281</v>
      </c>
      <c t="s">
        <v>1671</v>
      </c>
      <c r="AL5784" t="s">
        <v>23695</v>
      </c>
      <c t="s">
        <v>11555</v>
      </c>
      <c t="s">
        <v>39289</v>
      </c>
      <c t="s">
        <v>993</v>
      </c>
      <c t="s">
        <v>26242</v>
      </c>
      <c t="s">
        <v>3093</v>
      </c>
      <c t="s">
        <v>51381</v>
      </c>
    </row>
    <row>
      <c t="s">
        <v>17594</v>
      </c>
      <c t="s">
        <v>51813</v>
      </c>
      <c t="s">
        <v>16770</v>
      </c>
      <c t="s">
        <v>47099</v>
      </c>
      <c t="s">
        <v>16439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>
        <v>2021</v>
      </c>
      <c>
        <v>582.14</v>
      </c>
      <c s="1" t="str">
        <f ca="1">HYPERLINK("https://web.datatree.com/?/property?propertyId=34295238", "https://web.datatree.com/?/property?propertyId=34295238")</f>
        <v>https://web.datatree.com/?/property?propertyId=34295238</v>
      </c>
      <c r="Q5785" t="s">
        <v>316</v>
      </c>
      <c>
        <v>0.23</v>
      </c>
      <c t="s">
        <v>42044</v>
      </c>
      <c t="s">
        <v>53241</v>
      </c>
      <c t="s">
        <v>40081</v>
      </c>
      <c t="s">
        <v>42801</v>
      </c>
      <c t="s">
        <v>48538</v>
      </c>
      <c t="s">
        <v>46102</v>
      </c>
      <c t="s">
        <v>61144</v>
      </c>
      <c t="s">
        <v>2517</v>
      </c>
      <c t="s">
        <v>39289</v>
      </c>
      <c>
        <v>33909</v>
      </c>
      <c t="s">
        <v>10212</v>
      </c>
      <c t="s">
        <v>48794</v>
      </c>
      <c t="s">
        <v>36486</v>
      </c>
      <c>
        <v>242</v>
      </c>
      <c r="AI5785" t="s">
        <v>48917</v>
      </c>
      <c t="s">
        <v>1671</v>
      </c>
      <c r="AL5785" t="s">
        <v>39506</v>
      </c>
      <c r="AN5785" t="s">
        <v>50917</v>
      </c>
      <c t="s">
        <v>5214</v>
      </c>
      <c t="s">
        <v>22455</v>
      </c>
      <c t="s">
        <v>3093</v>
      </c>
      <c t="s">
        <v>32977</v>
      </c>
    </row>
    <row>
      <c t="s">
        <v>17594</v>
      </c>
      <c t="s">
        <v>7694</v>
      </c>
      <c t="s">
        <v>60560</v>
      </c>
      <c t="s">
        <v>32922</v>
      </c>
      <c t="s">
        <v>14023</v>
      </c>
      <c s="3">
        <v>45000</v>
      </c>
      <c s="3">
        <v>45000</v>
      </c>
      <c s="3">
        <v>45000</v>
      </c>
      <c>
        <v>0</v>
      </c>
      <c s="3">
        <v>0</v>
      </c>
      <c s="3">
        <v>1085.34</v>
      </c>
      <c s="3">
        <v>45000</v>
      </c>
      <c r="O5786" s="1" t="str">
        <f ca="1">HYPERLINK("https://web.datatree.com/?/property?propertyId=34295980", "https://web.datatree.com/?/property?propertyId=34295980")</f>
        <v>https://web.datatree.com/?/property?propertyId=34295980</v>
      </c>
      <c r="Q5786" t="s">
        <v>316</v>
      </c>
      <c>
        <v>0.23</v>
      </c>
      <c t="s">
        <v>22490</v>
      </c>
      <c t="s">
        <v>66545</v>
      </c>
      <c t="s">
        <v>36031</v>
      </c>
      <c r="X5786" t="s">
        <v>32600</v>
      </c>
      <c t="s">
        <v>53675</v>
      </c>
      <c t="s">
        <v>2517</v>
      </c>
      <c t="s">
        <v>39289</v>
      </c>
      <c>
        <v>33909</v>
      </c>
      <c t="s">
        <v>62395</v>
      </c>
      <c t="s">
        <v>48794</v>
      </c>
      <c t="s">
        <v>35863</v>
      </c>
      <c>
        <v>84</v>
      </c>
      <c r="AI5786" t="s">
        <v>44906</v>
      </c>
      <c t="s">
        <v>40123</v>
      </c>
      <c t="s">
        <v>63047</v>
      </c>
      <c t="s">
        <v>21849</v>
      </c>
      <c t="s">
        <v>21849</v>
      </c>
      <c t="s">
        <v>58733</v>
      </c>
      <c t="s">
        <v>7211</v>
      </c>
      <c t="s">
        <v>15686</v>
      </c>
      <c t="s">
        <v>3093</v>
      </c>
      <c t="s">
        <v>57764</v>
      </c>
    </row>
    <row>
      <c t="s">
        <v>42103</v>
      </c>
      <c t="s">
        <v>55391</v>
      </c>
      <c t="s">
        <v>35780</v>
      </c>
      <c t="s">
        <v>64974</v>
      </c>
      <c t="s">
        <v>63925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787" s="1" t="str">
        <f ca="1">HYPERLINK("https://web.datatree.com/?/property?propertyId=34297310", "https://web.datatree.com/?/property?propertyId=34297310")</f>
        <v>https://web.datatree.com/?/property?propertyId=34297310</v>
      </c>
      <c r="Q5787" t="s">
        <v>316</v>
      </c>
      <c>
        <v>0.23</v>
      </c>
      <c t="s">
        <v>6175</v>
      </c>
      <c t="s">
        <v>31950</v>
      </c>
      <c t="s">
        <v>66506</v>
      </c>
      <c r="X5787" t="s">
        <v>58795</v>
      </c>
      <c t="s">
        <v>34731</v>
      </c>
      <c t="s">
        <v>2517</v>
      </c>
      <c t="s">
        <v>39289</v>
      </c>
      <c>
        <v>33909</v>
      </c>
      <c t="s">
        <v>67002</v>
      </c>
      <c t="s">
        <v>48794</v>
      </c>
      <c t="s">
        <v>19829</v>
      </c>
      <c r="AI5787" t="s">
        <v>26673</v>
      </c>
      <c r="AL5787" t="s">
        <v>6144</v>
      </c>
      <c r="AN5787" t="s">
        <v>50917</v>
      </c>
      <c>
        <v>10469</v>
      </c>
      <c t="s">
        <v>15796</v>
      </c>
      <c t="s">
        <v>3093</v>
      </c>
      <c t="s">
        <v>61396</v>
      </c>
    </row>
    <row>
      <c t="s">
        <v>17594</v>
      </c>
      <c t="s">
        <v>37420</v>
      </c>
      <c t="s">
        <v>27197</v>
      </c>
      <c t="s">
        <v>19727</v>
      </c>
      <c t="s">
        <v>1264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>
        <v>2021</v>
      </c>
      <c>
        <v>559.29</v>
      </c>
      <c s="1" t="str">
        <f ca="1">HYPERLINK("https://web.datatree.com/?/property?propertyId=34297416", "https://web.datatree.com/?/property?propertyId=34297416")</f>
        <v>https://web.datatree.com/?/property?propertyId=34297416</v>
      </c>
      <c r="Q5788" t="s">
        <v>316</v>
      </c>
      <c>
        <v>0.23</v>
      </c>
      <c t="s">
        <v>22490</v>
      </c>
      <c t="s">
        <v>2140</v>
      </c>
      <c t="s">
        <v>4037</v>
      </c>
      <c t="s">
        <v>35618</v>
      </c>
      <c t="s">
        <v>4037</v>
      </c>
      <c t="s">
        <v>17014</v>
      </c>
      <c t="s">
        <v>47150</v>
      </c>
      <c t="s">
        <v>2517</v>
      </c>
      <c t="s">
        <v>39289</v>
      </c>
      <c>
        <v>33909</v>
      </c>
      <c t="s">
        <v>10082</v>
      </c>
      <c t="s">
        <v>48794</v>
      </c>
      <c t="s">
        <v>35926</v>
      </c>
      <c>
        <v>29</v>
      </c>
      <c r="AI5788" t="s">
        <v>46201</v>
      </c>
      <c t="s">
        <v>45393</v>
      </c>
      <c r="AL5788" t="s">
        <v>40235</v>
      </c>
      <c r="AN5788" t="s">
        <v>50917</v>
      </c>
      <c t="s">
        <v>9969</v>
      </c>
      <c t="s">
        <v>17380</v>
      </c>
      <c t="s">
        <v>3093</v>
      </c>
      <c t="s">
        <v>65638</v>
      </c>
    </row>
    <row>
      <c t="s">
        <v>17594</v>
      </c>
      <c t="s">
        <v>14247</v>
      </c>
      <c t="s">
        <v>12452</v>
      </c>
      <c t="s">
        <v>24082</v>
      </c>
      <c t="s">
        <v>12073</v>
      </c>
      <c s="3">
        <v>72676</v>
      </c>
      <c s="3">
        <v>63500</v>
      </c>
      <c s="3">
        <v>70898</v>
      </c>
      <c>
        <v>0</v>
      </c>
      <c s="3">
        <v>0</v>
      </c>
      <c s="3">
        <v>1076.23</v>
      </c>
      <c s="3">
        <v>72676</v>
      </c>
      <c r="O5789" s="1" t="str">
        <f ca="1">HYPERLINK("https://web.datatree.com/?/property?propertyId=34298164", "https://web.datatree.com/?/property?propertyId=34298164")</f>
        <v>https://web.datatree.com/?/property?propertyId=34298164</v>
      </c>
      <c r="Q5789" t="s">
        <v>316</v>
      </c>
      <c>
        <v>0.109</v>
      </c>
      <c t="s">
        <v>26492</v>
      </c>
      <c t="s">
        <v>19357</v>
      </c>
      <c t="s">
        <v>65175</v>
      </c>
      <c t="s">
        <v>66761</v>
      </c>
      <c t="s">
        <v>65175</v>
      </c>
      <c t="s">
        <v>32567</v>
      </c>
      <c t="s">
        <v>20873</v>
      </c>
      <c t="s">
        <v>65059</v>
      </c>
      <c t="s">
        <v>39289</v>
      </c>
      <c>
        <v>33905</v>
      </c>
      <c>
        <v>33905</v>
      </c>
      <c t="s">
        <v>48794</v>
      </c>
      <c t="s">
        <v>38926</v>
      </c>
      <c>
        <v>6308</v>
      </c>
      <c r="AI5789" t="s">
        <v>30396</v>
      </c>
      <c t="s">
        <v>40123</v>
      </c>
      <c r="AL5789" t="s">
        <v>34318</v>
      </c>
      <c t="s">
        <v>40227</v>
      </c>
      <c t="s">
        <v>49572</v>
      </c>
      <c t="s">
        <v>13389</v>
      </c>
      <c t="s">
        <v>22152</v>
      </c>
      <c t="s">
        <v>3093</v>
      </c>
      <c t="s">
        <v>25870</v>
      </c>
    </row>
    <row>
      <c t="s">
        <v>17594</v>
      </c>
      <c t="s">
        <v>24563</v>
      </c>
      <c t="s">
        <v>53002</v>
      </c>
      <c t="s">
        <v>45692</v>
      </c>
      <c t="s">
        <v>4648</v>
      </c>
      <c s="3">
        <v>33389</v>
      </c>
      <c s="3">
        <v>33389</v>
      </c>
      <c s="3">
        <v>33389</v>
      </c>
      <c>
        <v>0</v>
      </c>
      <c s="3">
        <v>0</v>
      </c>
      <c s="3">
        <v>463.04</v>
      </c>
      <c s="3">
        <v>33389</v>
      </c>
      <c r="O5790" s="1" t="str">
        <f ca="1">HYPERLINK("https://web.datatree.com/?/property?propertyId=34298629", "https://web.datatree.com/?/property?propertyId=34298629")</f>
        <v>https://web.datatree.com/?/property?propertyId=34298629</v>
      </c>
      <c r="Q5790" t="s">
        <v>316</v>
      </c>
      <c>
        <v>0.047</v>
      </c>
      <c t="s">
        <v>54329</v>
      </c>
      <c t="s">
        <v>16200</v>
      </c>
      <c t="s">
        <v>65985</v>
      </c>
      <c t="s">
        <v>56498</v>
      </c>
      <c t="s">
        <v>65985</v>
      </c>
      <c t="s">
        <v>16009</v>
      </c>
      <c t="s">
        <v>63770</v>
      </c>
      <c t="s">
        <v>65059</v>
      </c>
      <c t="s">
        <v>39289</v>
      </c>
      <c>
        <v>33908</v>
      </c>
      <c t="s">
        <v>62485</v>
      </c>
      <c t="s">
        <v>48794</v>
      </c>
      <c t="s">
        <v>19503</v>
      </c>
      <c>
        <v>8509</v>
      </c>
      <c r="AI5790" t="s">
        <v>53583</v>
      </c>
      <c t="s">
        <v>45620</v>
      </c>
      <c r="AL5790" t="s">
        <v>36309</v>
      </c>
      <c t="s">
        <v>53482</v>
      </c>
      <c t="s">
        <v>51137</v>
      </c>
      <c t="s">
        <v>14025</v>
      </c>
      <c t="s">
        <v>44428</v>
      </c>
      <c t="s">
        <v>3093</v>
      </c>
      <c t="s">
        <v>28736</v>
      </c>
    </row>
    <row>
      <c t="s">
        <v>17594</v>
      </c>
      <c t="s">
        <v>2783</v>
      </c>
      <c t="s">
        <v>7386</v>
      </c>
      <c t="s">
        <v>32578</v>
      </c>
      <c t="s">
        <v>37851</v>
      </c>
      <c s="3">
        <v>20900</v>
      </c>
      <c s="3">
        <v>20900</v>
      </c>
      <c s="3">
        <v>10450</v>
      </c>
      <c>
        <v>0</v>
      </c>
      <c s="3">
        <v>0</v>
      </c>
      <c s="3">
        <v>597.57</v>
      </c>
      <c s="3">
        <v>20900</v>
      </c>
      <c r="O5791" s="1" t="str">
        <f ca="1">HYPERLINK("https://web.datatree.com/?/property?propertyId=34299668", "https://web.datatree.com/?/property?propertyId=34299668")</f>
        <v>https://web.datatree.com/?/property?propertyId=34299668</v>
      </c>
      <c r="Q5791" t="s">
        <v>316</v>
      </c>
      <c>
        <v>0.23</v>
      </c>
      <c t="s">
        <v>22490</v>
      </c>
      <c t="s">
        <v>54692</v>
      </c>
      <c t="s">
        <v>45340</v>
      </c>
      <c t="s">
        <v>64649</v>
      </c>
      <c t="s">
        <v>45340</v>
      </c>
      <c t="s">
        <v>5548</v>
      </c>
      <c t="s">
        <v>371</v>
      </c>
      <c t="s">
        <v>2517</v>
      </c>
      <c t="s">
        <v>39289</v>
      </c>
      <c>
        <v>33909</v>
      </c>
      <c>
        <v>33909</v>
      </c>
      <c t="s">
        <v>48794</v>
      </c>
      <c t="s">
        <v>16688</v>
      </c>
      <c>
        <v>955</v>
      </c>
      <c r="AI5791" t="s">
        <v>59356</v>
      </c>
      <c t="s">
        <v>40123</v>
      </c>
      <c r="AL5791" t="s">
        <v>968</v>
      </c>
      <c r="AN5791" t="s">
        <v>39289</v>
      </c>
      <c t="s">
        <v>39158</v>
      </c>
      <c t="s">
        <v>49977</v>
      </c>
      <c t="s">
        <v>3093</v>
      </c>
      <c t="s">
        <v>57072</v>
      </c>
    </row>
    <row>
      <c t="s">
        <v>17594</v>
      </c>
      <c t="s">
        <v>32831</v>
      </c>
      <c t="s">
        <v>43639</v>
      </c>
      <c t="s">
        <v>37111</v>
      </c>
      <c t="s">
        <v>28822</v>
      </c>
      <c s="3">
        <v>8600</v>
      </c>
      <c s="3">
        <v>8600</v>
      </c>
      <c s="3">
        <v>8600</v>
      </c>
      <c>
        <v>0</v>
      </c>
      <c s="3">
        <v>0</v>
      </c>
      <c s="3">
        <v>2285.02</v>
      </c>
      <c s="3">
        <v>8600</v>
      </c>
      <c r="O5792" s="1" t="str">
        <f ca="1">HYPERLINK("https://web.datatree.com/?/property?propertyId=34300106", "https://web.datatree.com/?/property?propertyId=34300106")</f>
        <v>https://web.datatree.com/?/property?propertyId=34300106</v>
      </c>
      <c r="Q5792" t="s">
        <v>316</v>
      </c>
      <c>
        <v>0.23</v>
      </c>
      <c t="s">
        <v>6175</v>
      </c>
      <c t="s">
        <v>52701</v>
      </c>
      <c t="s">
        <v>53486</v>
      </c>
      <c r="X5792" t="s">
        <v>66079</v>
      </c>
      <c t="s">
        <v>61865</v>
      </c>
      <c t="s">
        <v>2517</v>
      </c>
      <c t="s">
        <v>39289</v>
      </c>
      <c>
        <v>33909</v>
      </c>
      <c t="s">
        <v>33386</v>
      </c>
      <c t="s">
        <v>48794</v>
      </c>
      <c t="s">
        <v>28777</v>
      </c>
      <c>
        <v>10414</v>
      </c>
      <c r="AI5792" t="s">
        <v>7445</v>
      </c>
      <c t="s">
        <v>39321</v>
      </c>
      <c r="AL5792" t="s">
        <v>55393</v>
      </c>
      <c r="AN5792" t="s">
        <v>39289</v>
      </c>
      <c t="s">
        <v>17930</v>
      </c>
      <c t="s">
        <v>34342</v>
      </c>
      <c t="s">
        <v>3093</v>
      </c>
      <c t="s">
        <v>32824</v>
      </c>
    </row>
    <row>
      <c t="s">
        <v>17594</v>
      </c>
      <c t="s">
        <v>62941</v>
      </c>
      <c t="s">
        <v>65798</v>
      </c>
      <c t="s">
        <v>6813</v>
      </c>
      <c t="s">
        <v>8032</v>
      </c>
      <c s="3">
        <v>69001</v>
      </c>
      <c s="3">
        <v>69001</v>
      </c>
      <c s="3">
        <v>69001</v>
      </c>
      <c>
        <v>0</v>
      </c>
      <c s="3">
        <v>0</v>
      </c>
      <c s="3">
        <v>941.98</v>
      </c>
      <c s="3">
        <v>69001</v>
      </c>
      <c r="O5793" s="1" t="str">
        <f ca="1">HYPERLINK("https://web.datatree.com/?/property?propertyId=34300577", "https://web.datatree.com/?/property?propertyId=34300577")</f>
        <v>https://web.datatree.com/?/property?propertyId=34300577</v>
      </c>
      <c r="Q5793" t="s">
        <v>316</v>
      </c>
      <c>
        <v>0.207</v>
      </c>
      <c t="s">
        <v>5471</v>
      </c>
      <c t="s">
        <v>1859</v>
      </c>
      <c t="s">
        <v>54970</v>
      </c>
      <c t="s">
        <v>56577</v>
      </c>
      <c t="s">
        <v>54970</v>
      </c>
      <c t="s">
        <v>39309</v>
      </c>
      <c t="s">
        <v>48923</v>
      </c>
      <c t="s">
        <v>65059</v>
      </c>
      <c t="s">
        <v>39289</v>
      </c>
      <c>
        <v>33905</v>
      </c>
      <c>
        <v>33905</v>
      </c>
      <c t="s">
        <v>48794</v>
      </c>
      <c t="s">
        <v>40937</v>
      </c>
      <c>
        <v>988</v>
      </c>
      <c r="AI5793" t="s">
        <v>21142</v>
      </c>
      <c t="s">
        <v>56275</v>
      </c>
      <c r="AL5793" t="s">
        <v>32686</v>
      </c>
      <c t="s">
        <v>40227</v>
      </c>
      <c t="s">
        <v>32657</v>
      </c>
      <c t="s">
        <v>55490</v>
      </c>
      <c t="s">
        <v>52247</v>
      </c>
      <c t="s">
        <v>3093</v>
      </c>
      <c t="s">
        <v>10042</v>
      </c>
    </row>
    <row>
      <c t="s">
        <v>17594</v>
      </c>
      <c t="s">
        <v>50055</v>
      </c>
      <c t="s">
        <v>1721</v>
      </c>
      <c t="s">
        <v>27309</v>
      </c>
      <c t="s">
        <v>36148</v>
      </c>
      <c s="3">
        <v>8600</v>
      </c>
      <c s="3">
        <v>8600</v>
      </c>
      <c s="3">
        <v>8600</v>
      </c>
      <c>
        <v>0</v>
      </c>
      <c s="3">
        <v>0</v>
      </c>
      <c s="3">
        <v>666.25</v>
      </c>
      <c s="3">
        <v>8600</v>
      </c>
      <c r="O5794" s="1" t="str">
        <f ca="1">HYPERLINK("https://web.datatree.com/?/property?propertyId=34300893", "https://web.datatree.com/?/property?propertyId=34300893")</f>
        <v>https://web.datatree.com/?/property?propertyId=34300893</v>
      </c>
      <c r="Q5794" t="s">
        <v>316</v>
      </c>
      <c>
        <v>0.23</v>
      </c>
      <c t="s">
        <v>42044</v>
      </c>
      <c t="s">
        <v>3293</v>
      </c>
      <c t="s">
        <v>52485</v>
      </c>
      <c t="s">
        <v>22078</v>
      </c>
      <c t="s">
        <v>52485</v>
      </c>
      <c t="s">
        <v>11521</v>
      </c>
      <c t="s">
        <v>13478</v>
      </c>
      <c t="s">
        <v>2517</v>
      </c>
      <c t="s">
        <v>39289</v>
      </c>
      <c>
        <v>33909</v>
      </c>
      <c t="s">
        <v>13632</v>
      </c>
      <c t="s">
        <v>48794</v>
      </c>
      <c t="s">
        <v>7069</v>
      </c>
      <c>
        <v>7485</v>
      </c>
      <c r="AI5794" t="s">
        <v>59150</v>
      </c>
      <c t="s">
        <v>39321</v>
      </c>
      <c r="AL5794" t="s">
        <v>29515</v>
      </c>
      <c t="s">
        <v>28635</v>
      </c>
      <c t="s">
        <v>39289</v>
      </c>
      <c t="s">
        <v>29933</v>
      </c>
      <c t="s">
        <v>864</v>
      </c>
      <c t="s">
        <v>3093</v>
      </c>
      <c t="s">
        <v>37813</v>
      </c>
    </row>
    <row>
      <c t="s">
        <v>17594</v>
      </c>
      <c t="s">
        <v>13466</v>
      </c>
      <c t="s">
        <v>55662</v>
      </c>
      <c t="s">
        <v>8613</v>
      </c>
      <c t="s">
        <v>10876</v>
      </c>
      <c s="3">
        <v>317521</v>
      </c>
      <c s="3">
        <v>317521</v>
      </c>
      <c s="3">
        <v>317521</v>
      </c>
      <c>
        <v>0</v>
      </c>
      <c s="3">
        <v>0</v>
      </c>
      <c s="3">
        <v>5442.83</v>
      </c>
      <c s="3">
        <v>317521</v>
      </c>
      <c r="O5795" s="1" t="str">
        <f ca="1">HYPERLINK("https://web.datatree.com/?/property?propertyId=34300995", "https://web.datatree.com/?/property?propertyId=34300995")</f>
        <v>https://web.datatree.com/?/property?propertyId=34300995</v>
      </c>
      <c r="Q5795" t="s">
        <v>316</v>
      </c>
      <c>
        <v>0.23</v>
      </c>
      <c t="s">
        <v>22490</v>
      </c>
      <c t="s">
        <v>58874</v>
      </c>
      <c t="s">
        <v>51200</v>
      </c>
      <c r="X5795" t="s">
        <v>57155</v>
      </c>
      <c t="s">
        <v>65725</v>
      </c>
      <c t="s">
        <v>2517</v>
      </c>
      <c t="s">
        <v>39289</v>
      </c>
      <c>
        <v>33904</v>
      </c>
      <c t="s">
        <v>58890</v>
      </c>
      <c t="s">
        <v>48794</v>
      </c>
      <c t="s">
        <v>29880</v>
      </c>
      <c>
        <v>21</v>
      </c>
      <c r="AI5795" t="s">
        <v>2740</v>
      </c>
      <c t="s">
        <v>55842</v>
      </c>
      <c r="AL5795" t="s">
        <v>22810</v>
      </c>
      <c r="AN5795" t="s">
        <v>27747</v>
      </c>
      <c t="s">
        <v>47436</v>
      </c>
      <c t="s">
        <v>39566</v>
      </c>
      <c t="s">
        <v>3093</v>
      </c>
      <c t="s">
        <v>43800</v>
      </c>
    </row>
    <row>
      <c t="s">
        <v>17594</v>
      </c>
      <c t="s">
        <v>50502</v>
      </c>
      <c t="s">
        <v>51369</v>
      </c>
      <c t="s">
        <v>35975</v>
      </c>
      <c t="s">
        <v>12389</v>
      </c>
      <c s="3">
        <v>16597</v>
      </c>
      <c s="3">
        <v>16597</v>
      </c>
      <c s="3">
        <v>8470</v>
      </c>
      <c>
        <v>0</v>
      </c>
      <c s="3">
        <v>0</v>
      </c>
      <c s="3">
        <v>553.39</v>
      </c>
      <c s="3">
        <v>16597</v>
      </c>
      <c r="O5796" s="1" t="str">
        <f ca="1">HYPERLINK("https://web.datatree.com/?/property?propertyId=34301042", "https://web.datatree.com/?/property?propertyId=34301042")</f>
        <v>https://web.datatree.com/?/property?propertyId=34301042</v>
      </c>
      <c r="Q5796" t="s">
        <v>316</v>
      </c>
      <c>
        <v>0.23</v>
      </c>
      <c t="s">
        <v>6175</v>
      </c>
      <c t="s">
        <v>53569</v>
      </c>
      <c t="s">
        <v>18798</v>
      </c>
      <c t="s">
        <v>55004</v>
      </c>
      <c t="s">
        <v>18798</v>
      </c>
      <c t="s">
        <v>1803</v>
      </c>
      <c t="s">
        <v>30928</v>
      </c>
      <c t="s">
        <v>2517</v>
      </c>
      <c t="s">
        <v>39289</v>
      </c>
      <c>
        <v>33909</v>
      </c>
      <c t="s">
        <v>40279</v>
      </c>
      <c t="s">
        <v>48794</v>
      </c>
      <c t="s">
        <v>60346</v>
      </c>
      <c>
        <v>41</v>
      </c>
      <c r="AI5796" t="s">
        <v>22046</v>
      </c>
      <c t="s">
        <v>31192</v>
      </c>
      <c r="AL5796" t="s">
        <v>4054</v>
      </c>
      <c t="s">
        <v>4054</v>
      </c>
      <c t="s">
        <v>26016</v>
      </c>
      <c t="s">
        <v>17780</v>
      </c>
      <c t="s">
        <v>34162</v>
      </c>
      <c t="s">
        <v>3093</v>
      </c>
      <c t="s">
        <v>59707</v>
      </c>
    </row>
    <row>
      <c t="s">
        <v>17594</v>
      </c>
      <c t="s">
        <v>51614</v>
      </c>
      <c t="s">
        <v>37252</v>
      </c>
      <c t="s">
        <v>10093</v>
      </c>
      <c t="s">
        <v>30752</v>
      </c>
      <c s="3">
        <v>23352</v>
      </c>
      <c s="3">
        <v>23352</v>
      </c>
      <c s="3">
        <v>8800</v>
      </c>
      <c>
        <v>0</v>
      </c>
      <c s="3">
        <v>0</v>
      </c>
      <c s="3">
        <v>598.34</v>
      </c>
      <c s="3">
        <v>23352</v>
      </c>
      <c r="O5797" s="1" t="str">
        <f ca="1">HYPERLINK("https://web.datatree.com/?/property?propertyId=34301551", "https://web.datatree.com/?/property?propertyId=34301551")</f>
        <v>https://web.datatree.com/?/property?propertyId=34301551</v>
      </c>
      <c r="Q5797" t="s">
        <v>316</v>
      </c>
      <c>
        <v>0.245</v>
      </c>
      <c t="s">
        <v>22490</v>
      </c>
      <c t="s">
        <v>47546</v>
      </c>
      <c t="s">
        <v>54547</v>
      </c>
      <c r="X5797" t="s">
        <v>31121</v>
      </c>
      <c t="s">
        <v>23517</v>
      </c>
      <c t="s">
        <v>2517</v>
      </c>
      <c t="s">
        <v>39289</v>
      </c>
      <c>
        <v>33909</v>
      </c>
      <c t="s">
        <v>23360</v>
      </c>
      <c t="s">
        <v>48794</v>
      </c>
      <c t="s">
        <v>38071</v>
      </c>
      <c>
        <v>1869</v>
      </c>
      <c r="AI5797" t="s">
        <v>53031</v>
      </c>
      <c r="AL5797" t="s">
        <v>59651</v>
      </c>
      <c r="AN5797" t="s">
        <v>66651</v>
      </c>
      <c t="s">
        <v>50091</v>
      </c>
      <c t="s">
        <v>22455</v>
      </c>
      <c t="s">
        <v>3093</v>
      </c>
      <c t="s">
        <v>67078</v>
      </c>
    </row>
    <row>
      <c t="s">
        <v>17594</v>
      </c>
      <c t="s">
        <v>31460</v>
      </c>
      <c t="s">
        <v>64325</v>
      </c>
      <c t="s">
        <v>46742</v>
      </c>
      <c t="s">
        <v>47184</v>
      </c>
      <c s="3">
        <v>10600</v>
      </c>
      <c s="3">
        <v>10600</v>
      </c>
      <c s="3">
        <v>9339</v>
      </c>
      <c>
        <v>0</v>
      </c>
      <c s="3">
        <v>0</v>
      </c>
      <c s="3">
        <v>615.94</v>
      </c>
      <c s="3">
        <v>10600</v>
      </c>
      <c r="O5798" s="1" t="str">
        <f ca="1">HYPERLINK("https://web.datatree.com/?/property?propertyId=34301943", "https://web.datatree.com/?/property?propertyId=34301943")</f>
        <v>https://web.datatree.com/?/property?propertyId=34301943</v>
      </c>
      <c r="Q5798" t="s">
        <v>316</v>
      </c>
      <c>
        <v>0.23</v>
      </c>
      <c t="s">
        <v>6175</v>
      </c>
      <c t="s">
        <v>39139</v>
      </c>
      <c t="s">
        <v>48923</v>
      </c>
      <c t="s">
        <v>13121</v>
      </c>
      <c t="s">
        <v>48923</v>
      </c>
      <c t="s">
        <v>62339</v>
      </c>
      <c t="s">
        <v>39082</v>
      </c>
      <c t="s">
        <v>2517</v>
      </c>
      <c t="s">
        <v>39289</v>
      </c>
      <c>
        <v>33909</v>
      </c>
      <c t="s">
        <v>60089</v>
      </c>
      <c t="s">
        <v>48794</v>
      </c>
      <c t="s">
        <v>20795</v>
      </c>
      <c>
        <v>9195</v>
      </c>
      <c r="AI5798" t="s">
        <v>38121</v>
      </c>
      <c t="s">
        <v>24900</v>
      </c>
      <c r="AL5798" t="s">
        <v>60154</v>
      </c>
      <c r="AN5798" t="s">
        <v>65451</v>
      </c>
      <c t="s">
        <v>66459</v>
      </c>
      <c t="s">
        <v>22455</v>
      </c>
      <c t="s">
        <v>3093</v>
      </c>
      <c t="s">
        <v>42763</v>
      </c>
    </row>
    <row>
      <c t="s">
        <v>17594</v>
      </c>
      <c t="s">
        <v>28901</v>
      </c>
      <c t="s">
        <v>39083</v>
      </c>
      <c t="s">
        <v>46096</v>
      </c>
      <c t="s">
        <v>34382</v>
      </c>
      <c s="3">
        <v>144265</v>
      </c>
      <c s="3">
        <v>144265</v>
      </c>
      <c s="3">
        <v>144265</v>
      </c>
      <c>
        <v>0</v>
      </c>
      <c s="3">
        <v>0</v>
      </c>
      <c s="3">
        <v>2004.52</v>
      </c>
      <c s="3">
        <v>144265</v>
      </c>
      <c r="O5799" s="1" t="str">
        <f ca="1">HYPERLINK("https://web.datatree.com/?/property?propertyId=34302215", "https://web.datatree.com/?/property?propertyId=34302215")</f>
        <v>https://web.datatree.com/?/property?propertyId=34302215</v>
      </c>
      <c r="Q5799" t="s">
        <v>316</v>
      </c>
      <c>
        <v>0.365</v>
      </c>
      <c t="s">
        <v>5471</v>
      </c>
      <c t="s">
        <v>53790</v>
      </c>
      <c t="s">
        <v>60375</v>
      </c>
      <c r="X5799" t="s">
        <v>23266</v>
      </c>
      <c t="s">
        <v>18468</v>
      </c>
      <c t="s">
        <v>65059</v>
      </c>
      <c t="s">
        <v>39289</v>
      </c>
      <c>
        <v>33905</v>
      </c>
      <c t="s">
        <v>12448</v>
      </c>
      <c t="s">
        <v>48794</v>
      </c>
      <c t="s">
        <v>10943</v>
      </c>
      <c>
        <v>90</v>
      </c>
      <c r="AI5799" t="s">
        <v>15783</v>
      </c>
      <c t="s">
        <v>31192</v>
      </c>
      <c>
        <v>6016</v>
      </c>
      <c t="s">
        <v>20791</v>
      </c>
      <c t="s">
        <v>20791</v>
      </c>
      <c t="s">
        <v>65451</v>
      </c>
      <c t="s">
        <v>47397</v>
      </c>
      <c t="s">
        <v>51249</v>
      </c>
      <c t="s">
        <v>3093</v>
      </c>
      <c t="s">
        <v>23733</v>
      </c>
    </row>
    <row>
      <c t="s">
        <v>17594</v>
      </c>
      <c t="s">
        <v>51370</v>
      </c>
      <c t="s">
        <v>20127</v>
      </c>
      <c t="s">
        <v>48382</v>
      </c>
      <c t="s">
        <v>11895</v>
      </c>
      <c s="3">
        <v>22874</v>
      </c>
      <c s="3">
        <v>22874</v>
      </c>
      <c s="3">
        <v>9433</v>
      </c>
      <c>
        <v>0</v>
      </c>
      <c s="3">
        <v>0</v>
      </c>
      <c s="3">
        <v>415.68</v>
      </c>
      <c s="3">
        <v>22874</v>
      </c>
      <c r="O5800" s="1" t="str">
        <f ca="1">HYPERLINK("https://web.datatree.com/?/property?propertyId=34302832", "https://web.datatree.com/?/property?propertyId=34302832")</f>
        <v>https://web.datatree.com/?/property?propertyId=34302832</v>
      </c>
      <c r="Q5800" t="s">
        <v>316</v>
      </c>
      <c>
        <v>0.251</v>
      </c>
      <c t="s">
        <v>5471</v>
      </c>
      <c t="s">
        <v>11762</v>
      </c>
      <c t="s">
        <v>56617</v>
      </c>
      <c r="X5800" t="s">
        <v>49008</v>
      </c>
      <c t="s">
        <v>2642</v>
      </c>
      <c t="s">
        <v>65059</v>
      </c>
      <c t="s">
        <v>39289</v>
      </c>
      <c>
        <v>33905</v>
      </c>
      <c t="s">
        <v>19560</v>
      </c>
      <c t="s">
        <v>48794</v>
      </c>
      <c t="s">
        <v>19869</v>
      </c>
      <c>
        <v>205</v>
      </c>
      <c r="AI5800" t="s">
        <v>66562</v>
      </c>
      <c t="s">
        <v>24900</v>
      </c>
      <c t="s">
        <v>4733</v>
      </c>
      <c t="s">
        <v>39016</v>
      </c>
      <c r="AN5800" t="s">
        <v>50917</v>
      </c>
      <c t="s">
        <v>35557</v>
      </c>
      <c t="s">
        <v>34025</v>
      </c>
      <c t="s">
        <v>3093</v>
      </c>
      <c t="s">
        <v>10222</v>
      </c>
    </row>
    <row>
      <c t="s">
        <v>17594</v>
      </c>
      <c t="s">
        <v>46588</v>
      </c>
      <c t="s">
        <v>11676</v>
      </c>
      <c t="s">
        <v>65022</v>
      </c>
      <c t="s">
        <v>40676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5801" s="1" t="str">
        <f ca="1">HYPERLINK("https://web.datatree.com/?/property?propertyId=34303700", "https://web.datatree.com/?/property?propertyId=34303700")</f>
        <v>https://web.datatree.com/?/property?propertyId=34303700</v>
      </c>
      <c r="Q5801" t="s">
        <v>316</v>
      </c>
      <c>
        <v>0.23</v>
      </c>
      <c t="s">
        <v>6175</v>
      </c>
      <c t="s">
        <v>14868</v>
      </c>
      <c t="s">
        <v>10411</v>
      </c>
      <c r="X5801" t="s">
        <v>64785</v>
      </c>
      <c t="s">
        <v>10653</v>
      </c>
      <c t="s">
        <v>2517</v>
      </c>
      <c t="s">
        <v>39289</v>
      </c>
      <c>
        <v>33909</v>
      </c>
      <c t="s">
        <v>38320</v>
      </c>
      <c t="s">
        <v>48794</v>
      </c>
      <c t="s">
        <v>19901</v>
      </c>
      <c>
        <v>201</v>
      </c>
      <c r="AI5801" t="s">
        <v>58557</v>
      </c>
      <c t="s">
        <v>45393</v>
      </c>
      <c r="AL5801" t="s">
        <v>50120</v>
      </c>
      <c r="AN5801" t="s">
        <v>10909</v>
      </c>
      <c t="s">
        <v>64998</v>
      </c>
      <c r="AQ5801" t="s">
        <v>27814</v>
      </c>
      <c t="s">
        <v>46943</v>
      </c>
    </row>
    <row>
      <c t="s">
        <v>17594</v>
      </c>
      <c t="s">
        <v>13592</v>
      </c>
      <c t="s">
        <v>1434</v>
      </c>
      <c t="s">
        <v>47308</v>
      </c>
      <c t="s">
        <v>48356</v>
      </c>
      <c s="3">
        <v>23673</v>
      </c>
      <c s="3">
        <v>23673</v>
      </c>
      <c s="3">
        <v>9570</v>
      </c>
      <c>
        <v>0</v>
      </c>
      <c s="3">
        <v>0</v>
      </c>
      <c s="3">
        <v>629.6</v>
      </c>
      <c s="3">
        <v>23673</v>
      </c>
      <c r="O5802" s="1" t="str">
        <f ca="1">HYPERLINK("https://web.datatree.com/?/property?propertyId=34303996", "https://web.datatree.com/?/property?propertyId=34303996")</f>
        <v>https://web.datatree.com/?/property?propertyId=34303996</v>
      </c>
      <c r="Q5802" t="s">
        <v>316</v>
      </c>
      <c>
        <v>0.264</v>
      </c>
      <c t="s">
        <v>22490</v>
      </c>
      <c t="s">
        <v>2463</v>
      </c>
      <c t="s">
        <v>53255</v>
      </c>
      <c r="X5802" t="s">
        <v>2510</v>
      </c>
      <c t="s">
        <v>41506</v>
      </c>
      <c t="s">
        <v>2517</v>
      </c>
      <c t="s">
        <v>39289</v>
      </c>
      <c>
        <v>33909</v>
      </c>
      <c t="s">
        <v>6606</v>
      </c>
      <c t="s">
        <v>48794</v>
      </c>
      <c t="s">
        <v>1776</v>
      </c>
      <c>
        <v>2204</v>
      </c>
      <c r="AH5802" t="s">
        <v>6851</v>
      </c>
      <c t="s">
        <v>8807</v>
      </c>
      <c t="s">
        <v>45393</v>
      </c>
      <c r="AL5802" t="s">
        <v>16251</v>
      </c>
      <c t="s">
        <v>16251</v>
      </c>
      <c t="s">
        <v>17331</v>
      </c>
      <c t="s">
        <v>54914</v>
      </c>
      <c t="s">
        <v>34342</v>
      </c>
      <c t="s">
        <v>3093</v>
      </c>
      <c t="s">
        <v>19711</v>
      </c>
    </row>
    <row>
      <c t="s">
        <v>17594</v>
      </c>
      <c t="s">
        <v>16559</v>
      </c>
      <c t="s">
        <v>50848</v>
      </c>
      <c t="s">
        <v>38407</v>
      </c>
      <c t="s">
        <v>462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803" s="1" t="str">
        <f ca="1">HYPERLINK("https://web.datatree.com/?/property?propertyId=34304082", "https://web.datatree.com/?/property?propertyId=34304082")</f>
        <v>https://web.datatree.com/?/property?propertyId=34304082</v>
      </c>
      <c r="Q5803" t="s">
        <v>316</v>
      </c>
      <c>
        <v>0.23</v>
      </c>
      <c t="s">
        <v>22490</v>
      </c>
      <c t="s">
        <v>7688</v>
      </c>
      <c t="s">
        <v>57227</v>
      </c>
      <c r="X5803" t="s">
        <v>25903</v>
      </c>
      <c t="s">
        <v>47112</v>
      </c>
      <c t="s">
        <v>2517</v>
      </c>
      <c t="s">
        <v>39289</v>
      </c>
      <c>
        <v>33909</v>
      </c>
      <c>
        <v>33909</v>
      </c>
      <c t="s">
        <v>48794</v>
      </c>
      <c t="s">
        <v>7930</v>
      </c>
      <c>
        <v>4039</v>
      </c>
      <c r="AI5803" t="s">
        <v>17676</v>
      </c>
      <c t="s">
        <v>45393</v>
      </c>
      <c r="AL5803" t="s">
        <v>53411</v>
      </c>
      <c t="s">
        <v>13397</v>
      </c>
      <c t="s">
        <v>50917</v>
      </c>
      <c t="s">
        <v>13230</v>
      </c>
      <c t="s">
        <v>54916</v>
      </c>
      <c t="s">
        <v>3093</v>
      </c>
      <c t="s">
        <v>14935</v>
      </c>
    </row>
    <row>
      <c t="s">
        <v>17594</v>
      </c>
      <c t="s">
        <v>43597</v>
      </c>
      <c t="s">
        <v>48458</v>
      </c>
      <c t="s">
        <v>39049</v>
      </c>
      <c t="s">
        <v>67163</v>
      </c>
      <c s="3">
        <v>35272</v>
      </c>
      <c s="3">
        <v>35272</v>
      </c>
      <c s="3">
        <v>30030</v>
      </c>
      <c>
        <v>0</v>
      </c>
      <c s="3">
        <v>0</v>
      </c>
      <c s="3">
        <v>916.53</v>
      </c>
      <c s="3">
        <v>35272</v>
      </c>
      <c r="O5804" s="1" t="str">
        <f ca="1">HYPERLINK("https://web.datatree.com/?/property?propertyId=34304103", "https://web.datatree.com/?/property?propertyId=34304103")</f>
        <v>https://web.datatree.com/?/property?propertyId=34304103</v>
      </c>
      <c r="Q5804" t="s">
        <v>316</v>
      </c>
      <c>
        <v>0.23</v>
      </c>
      <c t="s">
        <v>6175</v>
      </c>
      <c t="s">
        <v>18093</v>
      </c>
      <c t="s">
        <v>5094</v>
      </c>
      <c t="s">
        <v>25841</v>
      </c>
      <c t="s">
        <v>5094</v>
      </c>
      <c t="s">
        <v>37258</v>
      </c>
      <c t="s">
        <v>62800</v>
      </c>
      <c t="s">
        <v>2517</v>
      </c>
      <c t="s">
        <v>39289</v>
      </c>
      <c>
        <v>33904</v>
      </c>
      <c t="s">
        <v>42711</v>
      </c>
      <c t="s">
        <v>48794</v>
      </c>
      <c t="s">
        <v>60474</v>
      </c>
      <c>
        <v>73</v>
      </c>
      <c r="AI5804" t="s">
        <v>25384</v>
      </c>
      <c r="AL5804" t="s">
        <v>28473</v>
      </c>
      <c r="AN5804" t="s">
        <v>63985</v>
      </c>
      <c>
        <v>12683</v>
      </c>
      <c r="AR5804" t="s">
        <v>12304</v>
      </c>
    </row>
    <row>
      <c t="s">
        <v>17594</v>
      </c>
      <c t="s">
        <v>38378</v>
      </c>
      <c t="s">
        <v>27136</v>
      </c>
      <c t="s">
        <v>10577</v>
      </c>
      <c t="s">
        <v>39813</v>
      </c>
      <c s="3">
        <v>20312</v>
      </c>
      <c s="3">
        <v>20312</v>
      </c>
      <c s="3">
        <v>10450</v>
      </c>
      <c>
        <v>0</v>
      </c>
      <c s="3">
        <v>0</v>
      </c>
      <c s="3">
        <v>601.61</v>
      </c>
      <c s="3">
        <v>20312</v>
      </c>
      <c r="O5805" s="1" t="str">
        <f ca="1">HYPERLINK("https://web.datatree.com/?/property?propertyId=34304358", "https://web.datatree.com/?/property?propertyId=34304358")</f>
        <v>https://web.datatree.com/?/property?propertyId=34304358</v>
      </c>
      <c r="Q5805" t="s">
        <v>316</v>
      </c>
      <c>
        <v>0.241</v>
      </c>
      <c t="s">
        <v>22490</v>
      </c>
      <c t="s">
        <v>62157</v>
      </c>
      <c t="s">
        <v>53996</v>
      </c>
      <c t="s">
        <v>3320</v>
      </c>
      <c t="s">
        <v>65561</v>
      </c>
      <c t="s">
        <v>16396</v>
      </c>
      <c t="s">
        <v>23050</v>
      </c>
      <c t="s">
        <v>2517</v>
      </c>
      <c t="s">
        <v>39289</v>
      </c>
      <c>
        <v>33909</v>
      </c>
      <c>
        <v>33909</v>
      </c>
      <c t="s">
        <v>48794</v>
      </c>
      <c t="s">
        <v>26085</v>
      </c>
      <c>
        <v>78</v>
      </c>
      <c r="AI5805" t="s">
        <v>49577</v>
      </c>
      <c t="s">
        <v>60842</v>
      </c>
      <c r="AL5805" t="s">
        <v>34656</v>
      </c>
      <c t="s">
        <v>34656</v>
      </c>
      <c t="s">
        <v>3034</v>
      </c>
      <c t="s">
        <v>52262</v>
      </c>
      <c t="s">
        <v>44428</v>
      </c>
      <c t="s">
        <v>3093</v>
      </c>
      <c t="s">
        <v>20297</v>
      </c>
    </row>
    <row>
      <c t="s">
        <v>17594</v>
      </c>
      <c t="s">
        <v>15586</v>
      </c>
      <c t="s">
        <v>63252</v>
      </c>
      <c t="s">
        <v>5112</v>
      </c>
      <c t="s">
        <v>22273</v>
      </c>
      <c s="3">
        <v>71544</v>
      </c>
      <c s="3">
        <v>63500</v>
      </c>
      <c s="3">
        <v>69633</v>
      </c>
      <c>
        <v>0</v>
      </c>
      <c s="3">
        <v>0</v>
      </c>
      <c s="3">
        <v>1058.03</v>
      </c>
      <c s="3">
        <v>71544</v>
      </c>
      <c r="O5806" s="1" t="str">
        <f ca="1">HYPERLINK("https://web.datatree.com/?/property?propertyId=34305474", "https://web.datatree.com/?/property?propertyId=34305474")</f>
        <v>https://web.datatree.com/?/property?propertyId=34305474</v>
      </c>
      <c r="Q5806" t="s">
        <v>316</v>
      </c>
      <c>
        <v>0.095</v>
      </c>
      <c t="s">
        <v>26492</v>
      </c>
      <c t="s">
        <v>38202</v>
      </c>
      <c t="s">
        <v>65908</v>
      </c>
      <c t="s">
        <v>64071</v>
      </c>
      <c t="s">
        <v>65908</v>
      </c>
      <c t="s">
        <v>57145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29850</v>
      </c>
      <c>
        <v>2838</v>
      </c>
      <c r="AI5806" t="s">
        <v>65816</v>
      </c>
      <c t="s">
        <v>45393</v>
      </c>
      <c r="AL5806" t="s">
        <v>49316</v>
      </c>
      <c t="s">
        <v>40227</v>
      </c>
      <c t="s">
        <v>27481</v>
      </c>
      <c t="s">
        <v>59871</v>
      </c>
      <c t="s">
        <v>14695</v>
      </c>
      <c t="s">
        <v>3093</v>
      </c>
      <c t="s">
        <v>41508</v>
      </c>
    </row>
    <row>
      <c t="s">
        <v>17594</v>
      </c>
      <c t="s">
        <v>30253</v>
      </c>
      <c t="s">
        <v>64238</v>
      </c>
      <c t="s">
        <v>12425</v>
      </c>
      <c t="s">
        <v>5271</v>
      </c>
      <c s="3">
        <v>22041</v>
      </c>
      <c s="3">
        <v>22041</v>
      </c>
      <c s="3">
        <v>9599</v>
      </c>
      <c>
        <v>0</v>
      </c>
      <c s="3">
        <v>0</v>
      </c>
      <c s="3">
        <v>689.58</v>
      </c>
      <c s="3">
        <v>22041</v>
      </c>
      <c>
        <v>2019</v>
      </c>
      <c>
        <v>3773.96</v>
      </c>
      <c s="1" t="str">
        <f ca="1">HYPERLINK("https://web.datatree.com/?/property?propertyId=34306854", "https://web.datatree.com/?/property?propertyId=34306854")</f>
        <v>https://web.datatree.com/?/property?propertyId=34306854</v>
      </c>
      <c r="Q5807" t="s">
        <v>316</v>
      </c>
      <c>
        <v>0.344</v>
      </c>
      <c t="s">
        <v>6175</v>
      </c>
      <c t="s">
        <v>51229</v>
      </c>
      <c t="s">
        <v>47202</v>
      </c>
      <c t="s">
        <v>44610</v>
      </c>
      <c t="s">
        <v>47202</v>
      </c>
      <c t="s">
        <v>35840</v>
      </c>
      <c t="s">
        <v>25017</v>
      </c>
      <c t="s">
        <v>2517</v>
      </c>
      <c t="s">
        <v>39289</v>
      </c>
      <c>
        <v>33909</v>
      </c>
      <c t="s">
        <v>41627</v>
      </c>
      <c t="s">
        <v>48794</v>
      </c>
      <c t="s">
        <v>36282</v>
      </c>
      <c>
        <v>28</v>
      </c>
      <c r="AI5807" t="s">
        <v>6739</v>
      </c>
      <c r="AK5807" t="s">
        <v>5629</v>
      </c>
      <c t="s">
        <v>60998</v>
      </c>
      <c r="AN5807" t="s">
        <v>14798</v>
      </c>
      <c r="AR5807" t="s">
        <v>48057</v>
      </c>
    </row>
    <row>
      <c t="s">
        <v>17594</v>
      </c>
      <c t="s">
        <v>44577</v>
      </c>
      <c t="s">
        <v>4301</v>
      </c>
      <c t="s">
        <v>61697</v>
      </c>
      <c t="s">
        <v>22033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>
        <v>2021</v>
      </c>
      <c>
        <v>605.74</v>
      </c>
      <c s="1" t="str">
        <f ca="1">HYPERLINK("https://web.datatree.com/?/property?propertyId=34306974", "https://web.datatree.com/?/property?propertyId=34306974")</f>
        <v>https://web.datatree.com/?/property?propertyId=34306974</v>
      </c>
      <c r="Q5808" t="s">
        <v>316</v>
      </c>
      <c>
        <v>0.23</v>
      </c>
      <c t="s">
        <v>22490</v>
      </c>
      <c t="s">
        <v>52701</v>
      </c>
      <c t="s">
        <v>46648</v>
      </c>
      <c r="X5808" t="s">
        <v>5824</v>
      </c>
      <c t="s">
        <v>41506</v>
      </c>
      <c t="s">
        <v>2517</v>
      </c>
      <c t="s">
        <v>39289</v>
      </c>
      <c>
        <v>33909</v>
      </c>
      <c t="s">
        <v>318</v>
      </c>
      <c t="s">
        <v>48794</v>
      </c>
      <c t="s">
        <v>58944</v>
      </c>
      <c>
        <v>4314</v>
      </c>
      <c r="AI5808" t="s">
        <v>9319</v>
      </c>
      <c t="s">
        <v>31192</v>
      </c>
      <c r="AL5808" t="s">
        <v>27398</v>
      </c>
      <c r="AN5808" t="s">
        <v>39289</v>
      </c>
      <c t="s">
        <v>20450</v>
      </c>
      <c t="s">
        <v>25140</v>
      </c>
      <c t="s">
        <v>3093</v>
      </c>
      <c t="s">
        <v>25657</v>
      </c>
    </row>
    <row>
      <c t="s">
        <v>17594</v>
      </c>
      <c t="s">
        <v>41772</v>
      </c>
      <c t="s">
        <v>55244</v>
      </c>
      <c t="s">
        <v>21422</v>
      </c>
      <c t="s">
        <v>60930</v>
      </c>
      <c s="3">
        <v>12544</v>
      </c>
      <c s="3">
        <v>12544</v>
      </c>
      <c s="3">
        <v>4972</v>
      </c>
      <c>
        <v>0</v>
      </c>
      <c s="3">
        <v>0</v>
      </c>
      <c s="3">
        <v>325.77</v>
      </c>
      <c s="3">
        <v>12544</v>
      </c>
      <c r="O5809" s="1" t="str">
        <f ca="1">HYPERLINK("https://web.datatree.com/?/property?propertyId=34307192", "https://web.datatree.com/?/property?propertyId=34307192")</f>
        <v>https://web.datatree.com/?/property?propertyId=34307192</v>
      </c>
      <c r="Q5809" t="s">
        <v>316</v>
      </c>
      <c>
        <v>0.305</v>
      </c>
      <c t="s">
        <v>37489</v>
      </c>
      <c t="s">
        <v>3174</v>
      </c>
      <c t="s">
        <v>1945</v>
      </c>
      <c t="s">
        <v>54523</v>
      </c>
      <c t="s">
        <v>1945</v>
      </c>
      <c t="s">
        <v>33296</v>
      </c>
      <c t="s">
        <v>43060</v>
      </c>
      <c t="s">
        <v>65059</v>
      </c>
      <c t="s">
        <v>39289</v>
      </c>
      <c>
        <v>33905</v>
      </c>
      <c t="s">
        <v>28132</v>
      </c>
      <c t="s">
        <v>48794</v>
      </c>
      <c t="s">
        <v>43039</v>
      </c>
      <c>
        <v>3850</v>
      </c>
      <c r="AI5809" t="s">
        <v>41911</v>
      </c>
      <c t="s">
        <v>24900</v>
      </c>
      <c t="s">
        <v>384</v>
      </c>
      <c t="s">
        <v>6144</v>
      </c>
      <c r="AN5809" t="s">
        <v>50917</v>
      </c>
      <c t="s">
        <v>29727</v>
      </c>
      <c t="s">
        <v>39566</v>
      </c>
      <c t="s">
        <v>3093</v>
      </c>
      <c t="s">
        <v>44683</v>
      </c>
    </row>
    <row>
      <c t="s">
        <v>17594</v>
      </c>
      <c t="s">
        <v>4311</v>
      </c>
      <c t="s">
        <v>10380</v>
      </c>
      <c t="s">
        <v>14831</v>
      </c>
      <c t="s">
        <v>57926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5810" s="1" t="str">
        <f ca="1">HYPERLINK("https://web.datatree.com/?/property?propertyId=34307626", "https://web.datatree.com/?/property?propertyId=34307626")</f>
        <v>https://web.datatree.com/?/property?propertyId=34307626</v>
      </c>
      <c r="Q5810" t="s">
        <v>316</v>
      </c>
      <c>
        <v>0.23</v>
      </c>
      <c t="s">
        <v>6175</v>
      </c>
      <c t="s">
        <v>11374</v>
      </c>
      <c t="s">
        <v>30870</v>
      </c>
      <c t="s">
        <v>56743</v>
      </c>
      <c t="s">
        <v>30870</v>
      </c>
      <c t="s">
        <v>20223</v>
      </c>
      <c t="s">
        <v>33335</v>
      </c>
      <c t="s">
        <v>2517</v>
      </c>
      <c t="s">
        <v>39289</v>
      </c>
      <c>
        <v>33904</v>
      </c>
      <c t="s">
        <v>46184</v>
      </c>
      <c t="s">
        <v>48794</v>
      </c>
      <c t="s">
        <v>53793</v>
      </c>
      <c>
        <v>947</v>
      </c>
      <c r="AI5810" t="s">
        <v>38513</v>
      </c>
      <c t="s">
        <v>20615</v>
      </c>
      <c r="AL5810" t="s">
        <v>6144</v>
      </c>
      <c r="AN5810" t="s">
        <v>50917</v>
      </c>
      <c t="s">
        <v>61682</v>
      </c>
      <c t="s">
        <v>15968</v>
      </c>
      <c t="s">
        <v>3093</v>
      </c>
      <c t="s">
        <v>50704</v>
      </c>
    </row>
    <row>
      <c t="s">
        <v>17594</v>
      </c>
      <c t="s">
        <v>51444</v>
      </c>
      <c t="s">
        <v>11858</v>
      </c>
      <c t="s">
        <v>40996</v>
      </c>
      <c t="s">
        <v>61291</v>
      </c>
      <c s="3">
        <v>104524</v>
      </c>
      <c s="3">
        <v>104524</v>
      </c>
      <c s="3">
        <v>73097</v>
      </c>
      <c>
        <v>0</v>
      </c>
      <c s="3">
        <v>0</v>
      </c>
      <c s="3">
        <v>1894.81</v>
      </c>
      <c s="3">
        <v>104524</v>
      </c>
      <c r="O5811" s="1" t="str">
        <f ca="1">HYPERLINK("https://web.datatree.com/?/property?propertyId=34307815", "https://web.datatree.com/?/property?propertyId=34307815")</f>
        <v>https://web.datatree.com/?/property?propertyId=34307815</v>
      </c>
      <c r="Q5811" t="s">
        <v>316</v>
      </c>
      <c>
        <v>0.23</v>
      </c>
      <c t="s">
        <v>22490</v>
      </c>
      <c t="s">
        <v>41303</v>
      </c>
      <c t="s">
        <v>4591</v>
      </c>
      <c r="X5811" t="s">
        <v>35568</v>
      </c>
      <c t="s">
        <v>25017</v>
      </c>
      <c t="s">
        <v>2517</v>
      </c>
      <c t="s">
        <v>39289</v>
      </c>
      <c>
        <v>33904</v>
      </c>
      <c t="s">
        <v>41427</v>
      </c>
      <c t="s">
        <v>48794</v>
      </c>
      <c t="s">
        <v>41995</v>
      </c>
      <c>
        <v>68</v>
      </c>
      <c r="AI5811" t="s">
        <v>66701</v>
      </c>
      <c t="s">
        <v>45393</v>
      </c>
      <c r="AL5811" t="s">
        <v>43624</v>
      </c>
      <c r="AN5811" t="s">
        <v>50917</v>
      </c>
      <c t="s">
        <v>48176</v>
      </c>
      <c t="s">
        <v>45980</v>
      </c>
      <c t="s">
        <v>3093</v>
      </c>
      <c t="s">
        <v>4766</v>
      </c>
    </row>
    <row>
      <c t="s">
        <v>17594</v>
      </c>
      <c t="s">
        <v>60694</v>
      </c>
      <c t="s">
        <v>49721</v>
      </c>
      <c t="s">
        <v>20323</v>
      </c>
      <c t="s">
        <v>27867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812" s="1" t="str">
        <f ca="1">HYPERLINK("https://web.datatree.com/?/property?propertyId=34308229", "https://web.datatree.com/?/property?propertyId=34308229")</f>
        <v>https://web.datatree.com/?/property?propertyId=34308229</v>
      </c>
      <c r="Q5812" t="s">
        <v>316</v>
      </c>
      <c>
        <v>0.23</v>
      </c>
      <c t="s">
        <v>6175</v>
      </c>
      <c r="U5812" t="s">
        <v>58348</v>
      </c>
      <c r="W5812" t="s">
        <v>27785</v>
      </c>
      <c t="s">
        <v>54664</v>
      </c>
      <c t="s">
        <v>13065</v>
      </c>
      <c t="s">
        <v>2517</v>
      </c>
      <c t="s">
        <v>39289</v>
      </c>
      <c>
        <v>33909</v>
      </c>
      <c t="s">
        <v>31296</v>
      </c>
      <c t="s">
        <v>48794</v>
      </c>
      <c t="s">
        <v>32691</v>
      </c>
      <c>
        <v>6519</v>
      </c>
      <c r="AI5812" t="s">
        <v>31180</v>
      </c>
      <c t="s">
        <v>835</v>
      </c>
      <c r="AL5812" t="s">
        <v>9397</v>
      </c>
      <c r="AN5812" t="s">
        <v>32657</v>
      </c>
      <c t="s">
        <v>66003</v>
      </c>
      <c t="s">
        <v>34171</v>
      </c>
      <c t="s">
        <v>3093</v>
      </c>
      <c t="s">
        <v>24293</v>
      </c>
    </row>
    <row>
      <c t="s">
        <v>17594</v>
      </c>
      <c t="s">
        <v>19754</v>
      </c>
      <c t="s">
        <v>8387</v>
      </c>
      <c t="s">
        <v>21976</v>
      </c>
      <c t="s">
        <v>50579</v>
      </c>
      <c s="3">
        <v>8727</v>
      </c>
      <c s="3">
        <v>8727</v>
      </c>
      <c s="3">
        <v>4952</v>
      </c>
      <c>
        <v>0</v>
      </c>
      <c s="3">
        <v>0</v>
      </c>
      <c s="3">
        <v>315.22</v>
      </c>
      <c s="3">
        <v>8727</v>
      </c>
      <c>
        <v>2021</v>
      </c>
      <c>
        <v>310.13</v>
      </c>
      <c s="1" t="str">
        <f ca="1">HYPERLINK("https://web.datatree.com/?/property?propertyId=34308524", "https://web.datatree.com/?/property?propertyId=34308524")</f>
        <v>https://web.datatree.com/?/property?propertyId=34308524</v>
      </c>
      <c r="Q5813" t="s">
        <v>316</v>
      </c>
      <c>
        <v>0.226</v>
      </c>
      <c t="s">
        <v>5471</v>
      </c>
      <c t="s">
        <v>13709</v>
      </c>
      <c t="s">
        <v>45626</v>
      </c>
      <c r="X5813" t="s">
        <v>59577</v>
      </c>
      <c t="s">
        <v>61272</v>
      </c>
      <c t="s">
        <v>65059</v>
      </c>
      <c t="s">
        <v>39289</v>
      </c>
      <c>
        <v>33905</v>
      </c>
      <c t="s">
        <v>59883</v>
      </c>
      <c t="s">
        <v>48794</v>
      </c>
      <c t="s">
        <v>36898</v>
      </c>
      <c>
        <v>1607</v>
      </c>
      <c r="AI5813" t="s">
        <v>53097</v>
      </c>
      <c t="s">
        <v>20615</v>
      </c>
      <c r="AL5813" t="s">
        <v>216</v>
      </c>
      <c r="AN5813" t="s">
        <v>66651</v>
      </c>
      <c t="s">
        <v>46502</v>
      </c>
      <c t="s">
        <v>66620</v>
      </c>
      <c t="s">
        <v>3093</v>
      </c>
      <c t="s">
        <v>21642</v>
      </c>
    </row>
    <row>
      <c t="s">
        <v>17594</v>
      </c>
      <c t="s">
        <v>53534</v>
      </c>
      <c t="s">
        <v>50398</v>
      </c>
      <c t="s">
        <v>40428</v>
      </c>
      <c t="s">
        <v>5195</v>
      </c>
      <c s="3">
        <v>7300</v>
      </c>
      <c s="3">
        <v>7300</v>
      </c>
      <c s="3">
        <v>7300</v>
      </c>
      <c>
        <v>0</v>
      </c>
      <c s="3">
        <v>0</v>
      </c>
      <c s="3">
        <v>565.03</v>
      </c>
      <c s="3">
        <v>7300</v>
      </c>
      <c r="O5814" s="1" t="str">
        <f ca="1">HYPERLINK("https://web.datatree.com/?/property?propertyId=34308624", "https://web.datatree.com/?/property?propertyId=34308624")</f>
        <v>https://web.datatree.com/?/property?propertyId=34308624</v>
      </c>
      <c r="Q5814" t="s">
        <v>316</v>
      </c>
      <c>
        <v>0.23</v>
      </c>
      <c t="s">
        <v>22490</v>
      </c>
      <c t="s">
        <v>60465</v>
      </c>
      <c t="s">
        <v>53643</v>
      </c>
      <c t="s">
        <v>23630</v>
      </c>
      <c t="s">
        <v>53643</v>
      </c>
      <c t="s">
        <v>27327</v>
      </c>
      <c t="s">
        <v>23517</v>
      </c>
      <c t="s">
        <v>2517</v>
      </c>
      <c t="s">
        <v>39289</v>
      </c>
      <c>
        <v>33909</v>
      </c>
      <c t="s">
        <v>65568</v>
      </c>
      <c t="s">
        <v>48794</v>
      </c>
      <c t="s">
        <v>37892</v>
      </c>
      <c>
        <v>1366</v>
      </c>
      <c r="AI5814" t="s">
        <v>45506</v>
      </c>
      <c t="s">
        <v>40300</v>
      </c>
      <c r="AL5814" t="s">
        <v>10732</v>
      </c>
      <c r="AN5814" t="s">
        <v>65451</v>
      </c>
      <c t="s">
        <v>26688</v>
      </c>
      <c t="s">
        <v>42082</v>
      </c>
      <c t="s">
        <v>3093</v>
      </c>
      <c t="s">
        <v>49562</v>
      </c>
    </row>
    <row>
      <c t="s">
        <v>17594</v>
      </c>
      <c t="s">
        <v>29486</v>
      </c>
      <c t="s">
        <v>8082</v>
      </c>
      <c t="s">
        <v>20671</v>
      </c>
      <c t="s">
        <v>33341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5815" s="1" t="str">
        <f ca="1">HYPERLINK("https://web.datatree.com/?/property?propertyId=34308832", "https://web.datatree.com/?/property?propertyId=34308832")</f>
        <v>https://web.datatree.com/?/property?propertyId=34308832</v>
      </c>
      <c r="Q5815" t="s">
        <v>316</v>
      </c>
      <c>
        <v>0.23</v>
      </c>
      <c t="s">
        <v>6175</v>
      </c>
      <c t="s">
        <v>27026</v>
      </c>
      <c t="s">
        <v>56965</v>
      </c>
      <c r="X5815" t="s">
        <v>8269</v>
      </c>
      <c t="s">
        <v>30928</v>
      </c>
      <c t="s">
        <v>2517</v>
      </c>
      <c t="s">
        <v>39289</v>
      </c>
      <c>
        <v>33909</v>
      </c>
      <c t="s">
        <v>45388</v>
      </c>
      <c t="s">
        <v>48794</v>
      </c>
      <c t="s">
        <v>28689</v>
      </c>
      <c>
        <v>3299</v>
      </c>
      <c r="AI5815" t="s">
        <v>11711</v>
      </c>
      <c t="s">
        <v>41372</v>
      </c>
      <c r="AL5815" t="s">
        <v>29515</v>
      </c>
      <c t="s">
        <v>29515</v>
      </c>
      <c t="s">
        <v>39289</v>
      </c>
      <c t="s">
        <v>26180</v>
      </c>
      <c t="s">
        <v>4491</v>
      </c>
      <c t="s">
        <v>3093</v>
      </c>
      <c t="s">
        <v>33250</v>
      </c>
    </row>
    <row>
      <c t="s">
        <v>17594</v>
      </c>
      <c t="s">
        <v>16028</v>
      </c>
      <c t="s">
        <v>2083</v>
      </c>
      <c t="s">
        <v>31060</v>
      </c>
      <c t="s">
        <v>15873</v>
      </c>
      <c s="3">
        <v>17887</v>
      </c>
      <c s="3">
        <v>17887</v>
      </c>
      <c s="3">
        <v>8470</v>
      </c>
      <c>
        <v>0</v>
      </c>
      <c s="3">
        <v>0</v>
      </c>
      <c s="3">
        <v>593.83</v>
      </c>
      <c s="3">
        <v>17887</v>
      </c>
      <c r="O5816" s="1" t="str">
        <f ca="1">HYPERLINK("https://web.datatree.com/?/property?propertyId=34309161", "https://web.datatree.com/?/property?propertyId=34309161")</f>
        <v>https://web.datatree.com/?/property?propertyId=34309161</v>
      </c>
      <c r="Q5816" t="s">
        <v>316</v>
      </c>
      <c>
        <v>0.253</v>
      </c>
      <c t="s">
        <v>6175</v>
      </c>
      <c t="s">
        <v>37924</v>
      </c>
      <c t="s">
        <v>1590</v>
      </c>
      <c r="X5816" t="s">
        <v>25331</v>
      </c>
      <c t="s">
        <v>13829</v>
      </c>
      <c t="s">
        <v>2517</v>
      </c>
      <c t="s">
        <v>39289</v>
      </c>
      <c>
        <v>33909</v>
      </c>
      <c t="s">
        <v>21880</v>
      </c>
      <c t="s">
        <v>48794</v>
      </c>
      <c t="s">
        <v>53158</v>
      </c>
      <c>
        <v>38</v>
      </c>
      <c r="AI5816" t="s">
        <v>49987</v>
      </c>
      <c t="s">
        <v>31192</v>
      </c>
      <c r="AL5816" t="s">
        <v>51962</v>
      </c>
      <c r="AN5816" t="s">
        <v>50917</v>
      </c>
      <c t="s">
        <v>18341</v>
      </c>
      <c t="s">
        <v>4660</v>
      </c>
      <c t="s">
        <v>3093</v>
      </c>
      <c t="s">
        <v>58409</v>
      </c>
    </row>
    <row>
      <c t="s">
        <v>17594</v>
      </c>
      <c t="s">
        <v>60529</v>
      </c>
      <c t="s">
        <v>55912</v>
      </c>
      <c t="s">
        <v>34884</v>
      </c>
      <c t="s">
        <v>38487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5817" s="1" t="str">
        <f ca="1">HYPERLINK("https://web.datatree.com/?/property?propertyId=34309461", "https://web.datatree.com/?/property?propertyId=34309461")</f>
        <v>https://web.datatree.com/?/property?propertyId=34309461</v>
      </c>
      <c r="Q5817" t="s">
        <v>316</v>
      </c>
      <c>
        <v>0.23</v>
      </c>
      <c t="s">
        <v>15461</v>
      </c>
      <c t="s">
        <v>30261</v>
      </c>
      <c t="s">
        <v>14649</v>
      </c>
      <c r="X5817" t="s">
        <v>6378</v>
      </c>
      <c t="s">
        <v>61850</v>
      </c>
      <c t="s">
        <v>2517</v>
      </c>
      <c t="s">
        <v>39289</v>
      </c>
      <c>
        <v>33909</v>
      </c>
      <c t="s">
        <v>53657</v>
      </c>
      <c t="s">
        <v>48794</v>
      </c>
      <c t="s">
        <v>6013</v>
      </c>
      <c>
        <v>17</v>
      </c>
      <c r="AI5817" t="s">
        <v>30190</v>
      </c>
      <c t="s">
        <v>45620</v>
      </c>
      <c r="AL5817" t="s">
        <v>56798</v>
      </c>
      <c r="AN5817" t="s">
        <v>26016</v>
      </c>
      <c t="s">
        <v>9202</v>
      </c>
      <c t="s">
        <v>26242</v>
      </c>
      <c t="s">
        <v>3093</v>
      </c>
      <c t="s">
        <v>38072</v>
      </c>
    </row>
    <row>
      <c t="s">
        <v>17594</v>
      </c>
      <c t="s">
        <v>10111</v>
      </c>
      <c t="s">
        <v>59799</v>
      </c>
      <c t="s">
        <v>37674</v>
      </c>
      <c t="s">
        <v>24254</v>
      </c>
      <c s="3">
        <v>37248</v>
      </c>
      <c s="3">
        <v>37248</v>
      </c>
      <c s="3">
        <v>11790</v>
      </c>
      <c>
        <v>0</v>
      </c>
      <c s="3">
        <v>0</v>
      </c>
      <c s="3">
        <v>1782.69</v>
      </c>
      <c s="3">
        <v>37248</v>
      </c>
      <c r="O5818" s="1" t="str">
        <f ca="1">HYPERLINK("https://web.datatree.com/?/property?propertyId=34310232", "https://web.datatree.com/?/property?propertyId=34310232")</f>
        <v>https://web.datatree.com/?/property?propertyId=34310232</v>
      </c>
      <c r="Q5818" t="s">
        <v>316</v>
      </c>
      <c>
        <v>0.265</v>
      </c>
      <c t="s">
        <v>6175</v>
      </c>
      <c t="s">
        <v>43826</v>
      </c>
      <c t="s">
        <v>64245</v>
      </c>
      <c r="X5818" t="s">
        <v>59342</v>
      </c>
      <c t="s">
        <v>53675</v>
      </c>
      <c t="s">
        <v>2517</v>
      </c>
      <c t="s">
        <v>39289</v>
      </c>
      <c>
        <v>33909</v>
      </c>
      <c t="s">
        <v>53480</v>
      </c>
      <c t="s">
        <v>48794</v>
      </c>
      <c t="s">
        <v>52895</v>
      </c>
      <c>
        <v>1374</v>
      </c>
      <c r="AH5818" t="s">
        <v>12549</v>
      </c>
      <c>
        <v>550</v>
      </c>
      <c r="AL5818" t="s">
        <v>29275</v>
      </c>
      <c r="AN5818" t="s">
        <v>49572</v>
      </c>
      <c t="s">
        <v>51206</v>
      </c>
      <c t="s">
        <v>22455</v>
      </c>
      <c t="s">
        <v>3093</v>
      </c>
      <c t="s">
        <v>47198</v>
      </c>
    </row>
    <row>
      <c t="s">
        <v>17594</v>
      </c>
      <c t="s">
        <v>4191</v>
      </c>
      <c t="s">
        <v>48495</v>
      </c>
      <c t="s">
        <v>21681</v>
      </c>
      <c t="s">
        <v>48084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819" s="1" t="str">
        <f ca="1">HYPERLINK("https://web.datatree.com/?/property?propertyId=34310280", "https://web.datatree.com/?/property?propertyId=34310280")</f>
        <v>https://web.datatree.com/?/property?propertyId=34310280</v>
      </c>
      <c r="Q5819" t="s">
        <v>316</v>
      </c>
      <c>
        <v>0.232</v>
      </c>
      <c t="s">
        <v>45031</v>
      </c>
      <c t="s">
        <v>17165</v>
      </c>
      <c t="s">
        <v>54198</v>
      </c>
      <c r="X5819" t="s">
        <v>46746</v>
      </c>
      <c t="s">
        <v>29190</v>
      </c>
      <c t="s">
        <v>2517</v>
      </c>
      <c t="s">
        <v>39289</v>
      </c>
      <c>
        <v>33909</v>
      </c>
      <c t="s">
        <v>5008</v>
      </c>
      <c t="s">
        <v>48794</v>
      </c>
      <c t="s">
        <v>33401</v>
      </c>
      <c>
        <v>907</v>
      </c>
      <c r="AI5819" t="s">
        <v>55914</v>
      </c>
      <c t="s">
        <v>31192</v>
      </c>
      <c r="AL5819" t="s">
        <v>45726</v>
      </c>
      <c r="AN5819" t="s">
        <v>19878</v>
      </c>
      <c t="s">
        <v>44045</v>
      </c>
      <c t="s">
        <v>16126</v>
      </c>
      <c t="s">
        <v>3093</v>
      </c>
      <c t="s">
        <v>39523</v>
      </c>
    </row>
    <row>
      <c t="s">
        <v>17594</v>
      </c>
      <c t="s">
        <v>46090</v>
      </c>
      <c t="s">
        <v>4402</v>
      </c>
      <c t="s">
        <v>37542</v>
      </c>
      <c t="s">
        <v>22217</v>
      </c>
      <c s="3">
        <v>303087</v>
      </c>
      <c s="3">
        <v>303087</v>
      </c>
      <c s="3">
        <v>155353</v>
      </c>
      <c>
        <v>0</v>
      </c>
      <c s="3">
        <v>0</v>
      </c>
      <c s="3">
        <v>3115.43</v>
      </c>
      <c s="3">
        <v>303087</v>
      </c>
      <c r="O5820" s="1" t="str">
        <f ca="1">HYPERLINK("https://web.datatree.com/?/property?propertyId=34311117", "https://web.datatree.com/?/property?propertyId=34311117")</f>
        <v>https://web.datatree.com/?/property?propertyId=34311117</v>
      </c>
      <c r="Q5820" t="s">
        <v>316</v>
      </c>
      <c>
        <v>0.23</v>
      </c>
      <c t="s">
        <v>22490</v>
      </c>
      <c t="s">
        <v>66812</v>
      </c>
      <c t="s">
        <v>65015</v>
      </c>
      <c r="X5820" t="s">
        <v>4152</v>
      </c>
      <c t="s">
        <v>30657</v>
      </c>
      <c t="s">
        <v>2517</v>
      </c>
      <c t="s">
        <v>39289</v>
      </c>
      <c>
        <v>33904</v>
      </c>
      <c t="s">
        <v>2396</v>
      </c>
      <c t="s">
        <v>48794</v>
      </c>
      <c t="s">
        <v>24415</v>
      </c>
      <c>
        <v>511</v>
      </c>
      <c r="AI5820" t="s">
        <v>8240</v>
      </c>
      <c t="s">
        <v>24900</v>
      </c>
      <c r="AL5820" t="s">
        <v>26023</v>
      </c>
      <c r="AN5820" t="s">
        <v>26016</v>
      </c>
      <c t="s">
        <v>47207</v>
      </c>
      <c t="s">
        <v>12399</v>
      </c>
      <c t="s">
        <v>3093</v>
      </c>
      <c t="s">
        <v>42821</v>
      </c>
    </row>
    <row>
      <c t="s">
        <v>17594</v>
      </c>
      <c t="s">
        <v>31007</v>
      </c>
      <c t="s">
        <v>20916</v>
      </c>
      <c t="s">
        <v>26029</v>
      </c>
      <c t="s">
        <v>25978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821" s="1" t="str">
        <f ca="1">HYPERLINK("https://web.datatree.com/?/property?propertyId=34312009", "https://web.datatree.com/?/property?propertyId=34312009")</f>
        <v>https://web.datatree.com/?/property?propertyId=34312009</v>
      </c>
      <c r="Q5821" t="s">
        <v>316</v>
      </c>
      <c>
        <v>0.23</v>
      </c>
      <c t="s">
        <v>6175</v>
      </c>
      <c t="s">
        <v>1599</v>
      </c>
      <c t="s">
        <v>12659</v>
      </c>
      <c r="X5821" t="s">
        <v>19550</v>
      </c>
      <c t="s">
        <v>8669</v>
      </c>
      <c t="s">
        <v>2517</v>
      </c>
      <c t="s">
        <v>39289</v>
      </c>
      <c>
        <v>33909</v>
      </c>
      <c t="s">
        <v>58520</v>
      </c>
      <c t="s">
        <v>48794</v>
      </c>
      <c t="s">
        <v>38226</v>
      </c>
      <c>
        <v>719</v>
      </c>
      <c r="AI5821" t="s">
        <v>25268</v>
      </c>
      <c t="s">
        <v>45393</v>
      </c>
      <c r="AL5821" t="s">
        <v>8109</v>
      </c>
      <c r="AN5821" t="s">
        <v>50917</v>
      </c>
      <c t="s">
        <v>20396</v>
      </c>
      <c t="s">
        <v>60333</v>
      </c>
      <c t="s">
        <v>3093</v>
      </c>
      <c t="s">
        <v>37743</v>
      </c>
    </row>
    <row>
      <c t="s">
        <v>17594</v>
      </c>
      <c t="s">
        <v>58861</v>
      </c>
      <c t="s">
        <v>46226</v>
      </c>
      <c t="s">
        <v>2869</v>
      </c>
      <c t="s">
        <v>40883</v>
      </c>
      <c s="3">
        <v>7560</v>
      </c>
      <c s="3">
        <v>7560</v>
      </c>
      <c s="3">
        <v>7560</v>
      </c>
      <c>
        <v>0</v>
      </c>
      <c s="3">
        <v>0</v>
      </c>
      <c s="3">
        <v>534.35</v>
      </c>
      <c s="3">
        <v>7560</v>
      </c>
      <c r="O5822" s="1" t="str">
        <f ca="1">HYPERLINK("https://web.datatree.com/?/property?propertyId=34312319", "https://web.datatree.com/?/property?propertyId=34312319")</f>
        <v>https://web.datatree.com/?/property?propertyId=34312319</v>
      </c>
      <c r="Q5822" t="s">
        <v>316</v>
      </c>
      <c>
        <v>0.328</v>
      </c>
      <c t="s">
        <v>6175</v>
      </c>
      <c t="s">
        <v>53622</v>
      </c>
      <c t="s">
        <v>51337</v>
      </c>
      <c t="s">
        <v>21670</v>
      </c>
      <c t="s">
        <v>43104</v>
      </c>
      <c t="s">
        <v>25007</v>
      </c>
      <c t="s">
        <v>13829</v>
      </c>
      <c t="s">
        <v>2517</v>
      </c>
      <c t="s">
        <v>39289</v>
      </c>
      <c>
        <v>33909</v>
      </c>
      <c t="s">
        <v>13596</v>
      </c>
      <c t="s">
        <v>48794</v>
      </c>
      <c t="s">
        <v>22758</v>
      </c>
      <c>
        <v>300</v>
      </c>
      <c r="AI5822" t="s">
        <v>49122</v>
      </c>
      <c t="s">
        <v>45393</v>
      </c>
      <c r="AL5822" t="s">
        <v>62109</v>
      </c>
      <c r="AN5822" t="s">
        <v>40451</v>
      </c>
      <c t="s">
        <v>30981</v>
      </c>
      <c t="s">
        <v>44573</v>
      </c>
      <c t="s">
        <v>3093</v>
      </c>
      <c t="s">
        <v>2526</v>
      </c>
    </row>
    <row>
      <c t="s">
        <v>17594</v>
      </c>
      <c t="s">
        <v>56069</v>
      </c>
      <c t="s">
        <v>37477</v>
      </c>
      <c t="s">
        <v>29917</v>
      </c>
      <c t="s">
        <v>64307</v>
      </c>
      <c s="3">
        <v>103615</v>
      </c>
      <c s="3">
        <v>86250</v>
      </c>
      <c s="3">
        <v>101994</v>
      </c>
      <c>
        <v>0</v>
      </c>
      <c s="3">
        <v>0</v>
      </c>
      <c s="3">
        <v>1540.92</v>
      </c>
      <c s="3">
        <v>103615</v>
      </c>
      <c r="O5823" s="1" t="str">
        <f ca="1">HYPERLINK("https://web.datatree.com/?/property?propertyId=34312753", "https://web.datatree.com/?/property?propertyId=34312753")</f>
        <v>https://web.datatree.com/?/property?propertyId=34312753</v>
      </c>
      <c r="Q5823" t="s">
        <v>316</v>
      </c>
      <c>
        <v>0.111</v>
      </c>
      <c t="s">
        <v>26492</v>
      </c>
      <c t="s">
        <v>65985</v>
      </c>
      <c t="s">
        <v>1180</v>
      </c>
      <c t="s">
        <v>46578</v>
      </c>
      <c t="s">
        <v>1180</v>
      </c>
      <c t="s">
        <v>25719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37894</v>
      </c>
      <c>
        <v>211</v>
      </c>
      <c r="AI5823" t="s">
        <v>18704</v>
      </c>
      <c t="s">
        <v>31192</v>
      </c>
      <c r="AL5823" t="s">
        <v>49446</v>
      </c>
      <c t="s">
        <v>40227</v>
      </c>
      <c t="s">
        <v>10804</v>
      </c>
      <c t="s">
        <v>25320</v>
      </c>
      <c t="s">
        <v>702</v>
      </c>
      <c t="s">
        <v>3093</v>
      </c>
      <c t="s">
        <v>18588</v>
      </c>
    </row>
    <row>
      <c t="s">
        <v>17594</v>
      </c>
      <c t="s">
        <v>10404</v>
      </c>
      <c t="s">
        <v>25905</v>
      </c>
      <c t="s">
        <v>33007</v>
      </c>
      <c t="s">
        <v>33618</v>
      </c>
      <c s="3">
        <v>8000</v>
      </c>
      <c s="3">
        <v>8000</v>
      </c>
      <c s="3">
        <v>8000</v>
      </c>
      <c>
        <v>0</v>
      </c>
      <c s="3">
        <v>0</v>
      </c>
      <c s="3">
        <v>584.35</v>
      </c>
      <c s="3">
        <v>8000</v>
      </c>
      <c r="O5824" s="1" t="str">
        <f ca="1">HYPERLINK("https://web.datatree.com/?/property?propertyId=34312818", "https://web.datatree.com/?/property?propertyId=34312818")</f>
        <v>https://web.datatree.com/?/property?propertyId=34312818</v>
      </c>
      <c r="Q5824" t="s">
        <v>316</v>
      </c>
      <c>
        <v>0.23</v>
      </c>
      <c t="s">
        <v>22490</v>
      </c>
      <c t="s">
        <v>50331</v>
      </c>
      <c t="s">
        <v>51665</v>
      </c>
      <c t="s">
        <v>42388</v>
      </c>
      <c t="s">
        <v>51665</v>
      </c>
      <c t="s">
        <v>35457</v>
      </c>
      <c t="s">
        <v>34136</v>
      </c>
      <c t="s">
        <v>2517</v>
      </c>
      <c t="s">
        <v>39289</v>
      </c>
      <c>
        <v>33909</v>
      </c>
      <c t="s">
        <v>21605</v>
      </c>
      <c t="s">
        <v>48794</v>
      </c>
      <c t="s">
        <v>27450</v>
      </c>
      <c>
        <v>511</v>
      </c>
      <c r="AI5824" t="s">
        <v>21922</v>
      </c>
      <c t="s">
        <v>55842</v>
      </c>
      <c r="AL5824" t="s">
        <v>54807</v>
      </c>
      <c r="AN5824" t="s">
        <v>39289</v>
      </c>
      <c t="s">
        <v>25074</v>
      </c>
      <c t="s">
        <v>38014</v>
      </c>
      <c t="s">
        <v>3093</v>
      </c>
      <c t="s">
        <v>53006</v>
      </c>
    </row>
    <row>
      <c t="s">
        <v>17594</v>
      </c>
      <c t="s">
        <v>18191</v>
      </c>
      <c t="s">
        <v>39963</v>
      </c>
      <c t="s">
        <v>38800</v>
      </c>
      <c t="s">
        <v>57618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825" s="1" t="str">
        <f ca="1">HYPERLINK("https://web.datatree.com/?/property?propertyId=34313174", "https://web.datatree.com/?/property?propertyId=34313174")</f>
        <v>https://web.datatree.com/?/property?propertyId=34313174</v>
      </c>
      <c r="Q5825" t="s">
        <v>316</v>
      </c>
      <c>
        <v>0.233</v>
      </c>
      <c t="s">
        <v>22490</v>
      </c>
      <c t="s">
        <v>57644</v>
      </c>
      <c t="s">
        <v>5380</v>
      </c>
      <c t="s">
        <v>21192</v>
      </c>
      <c t="s">
        <v>50015</v>
      </c>
      <c t="s">
        <v>12816</v>
      </c>
      <c t="s">
        <v>61850</v>
      </c>
      <c t="s">
        <v>2517</v>
      </c>
      <c t="s">
        <v>39289</v>
      </c>
      <c>
        <v>33909</v>
      </c>
      <c t="s">
        <v>55313</v>
      </c>
      <c t="s">
        <v>48794</v>
      </c>
      <c t="s">
        <v>6139</v>
      </c>
      <c>
        <v>33</v>
      </c>
      <c r="AI5825" t="s">
        <v>34705</v>
      </c>
      <c t="s">
        <v>45393</v>
      </c>
      <c r="AL5825" t="s">
        <v>30869</v>
      </c>
      <c t="s">
        <v>32445</v>
      </c>
      <c t="s">
        <v>63985</v>
      </c>
      <c>
        <v>47906</v>
      </c>
      <c r="AR5825" t="s">
        <v>20576</v>
      </c>
    </row>
    <row>
      <c t="s">
        <v>17594</v>
      </c>
      <c t="s">
        <v>37189</v>
      </c>
      <c t="s">
        <v>4901</v>
      </c>
      <c t="s">
        <v>3899</v>
      </c>
      <c t="s">
        <v>48555</v>
      </c>
      <c s="3">
        <v>8100</v>
      </c>
      <c s="3">
        <v>8100</v>
      </c>
      <c s="3">
        <v>8100</v>
      </c>
      <c>
        <v>0</v>
      </c>
      <c s="3">
        <v>0</v>
      </c>
      <c s="3">
        <v>481.46</v>
      </c>
      <c s="3">
        <v>8100</v>
      </c>
      <c r="O5826" s="1" t="str">
        <f ca="1">HYPERLINK("https://web.datatree.com/?/property?propertyId=34314592", "https://web.datatree.com/?/property?propertyId=34314592")</f>
        <v>https://web.datatree.com/?/property?propertyId=34314592</v>
      </c>
      <c r="Q5826" t="s">
        <v>316</v>
      </c>
      <c>
        <v>0.23</v>
      </c>
      <c t="s">
        <v>6175</v>
      </c>
      <c t="s">
        <v>27760</v>
      </c>
      <c t="s">
        <v>2899</v>
      </c>
      <c t="s">
        <v>21996</v>
      </c>
      <c t="s">
        <v>56439</v>
      </c>
      <c t="s">
        <v>24178</v>
      </c>
      <c t="s">
        <v>23517</v>
      </c>
      <c t="s">
        <v>2517</v>
      </c>
      <c t="s">
        <v>39289</v>
      </c>
      <c>
        <v>33909</v>
      </c>
      <c t="s">
        <v>44326</v>
      </c>
      <c t="s">
        <v>48794</v>
      </c>
      <c t="s">
        <v>63398</v>
      </c>
      <c>
        <v>57</v>
      </c>
      <c r="AI5826" t="s">
        <v>55738</v>
      </c>
      <c t="s">
        <v>31192</v>
      </c>
      <c r="AL5826" t="s">
        <v>35050</v>
      </c>
      <c r="AN5826" t="s">
        <v>14509</v>
      </c>
      <c t="s">
        <v>56597</v>
      </c>
      <c t="s">
        <v>17380</v>
      </c>
      <c t="s">
        <v>3093</v>
      </c>
      <c t="s">
        <v>44662</v>
      </c>
    </row>
    <row>
      <c t="s">
        <v>17594</v>
      </c>
      <c t="s">
        <v>9010</v>
      </c>
      <c t="s">
        <v>54154</v>
      </c>
      <c t="s">
        <v>32006</v>
      </c>
      <c t="s">
        <v>37167</v>
      </c>
      <c s="3">
        <v>29000</v>
      </c>
      <c s="3">
        <v>29000</v>
      </c>
      <c s="3">
        <v>9599</v>
      </c>
      <c>
        <v>0</v>
      </c>
      <c s="3">
        <v>0</v>
      </c>
      <c s="3">
        <v>728.25</v>
      </c>
      <c s="3">
        <v>29000</v>
      </c>
      <c r="O5827" s="1" t="str">
        <f ca="1">HYPERLINK("https://web.datatree.com/?/property?propertyId=34314780", "https://web.datatree.com/?/property?propertyId=34314780")</f>
        <v>https://web.datatree.com/?/property?propertyId=34314780</v>
      </c>
      <c r="Q5827" t="s">
        <v>316</v>
      </c>
      <c>
        <v>0.344</v>
      </c>
      <c t="s">
        <v>6175</v>
      </c>
      <c t="s">
        <v>50331</v>
      </c>
      <c t="s">
        <v>38774</v>
      </c>
      <c t="s">
        <v>15051</v>
      </c>
      <c t="s">
        <v>38774</v>
      </c>
      <c t="s">
        <v>54146</v>
      </c>
      <c t="s">
        <v>47150</v>
      </c>
      <c t="s">
        <v>2517</v>
      </c>
      <c t="s">
        <v>39289</v>
      </c>
      <c>
        <v>33909</v>
      </c>
      <c t="s">
        <v>55432</v>
      </c>
      <c t="s">
        <v>48794</v>
      </c>
      <c t="s">
        <v>18283</v>
      </c>
      <c>
        <v>142</v>
      </c>
      <c r="AI5827" t="s">
        <v>56649</v>
      </c>
      <c t="s">
        <v>45620</v>
      </c>
      <c r="AL5827" t="s">
        <v>34579</v>
      </c>
      <c r="AN5827" t="s">
        <v>32657</v>
      </c>
      <c t="s">
        <v>64992</v>
      </c>
      <c t="s">
        <v>14695</v>
      </c>
      <c t="s">
        <v>3093</v>
      </c>
      <c t="s">
        <v>12144</v>
      </c>
    </row>
    <row>
      <c t="s">
        <v>42103</v>
      </c>
      <c t="s">
        <v>30942</v>
      </c>
      <c t="s">
        <v>46407</v>
      </c>
      <c t="s">
        <v>39277</v>
      </c>
      <c t="s">
        <v>44740</v>
      </c>
      <c s="3">
        <v>28512</v>
      </c>
      <c s="3">
        <v>28512</v>
      </c>
      <c s="3">
        <v>9079</v>
      </c>
      <c>
        <v>0</v>
      </c>
      <c s="3">
        <v>0</v>
      </c>
      <c s="3">
        <v>2928.2</v>
      </c>
      <c s="3">
        <v>28512</v>
      </c>
      <c r="O5828" s="1" t="str">
        <f ca="1">HYPERLINK("https://web.datatree.com/?/property?propertyId=34315311", "https://web.datatree.com/?/property?propertyId=34315311")</f>
        <v>https://web.datatree.com/?/property?propertyId=34315311</v>
      </c>
      <c r="Q5828" t="s">
        <v>316</v>
      </c>
      <c>
        <v>0.235</v>
      </c>
      <c t="s">
        <v>6175</v>
      </c>
      <c t="s">
        <v>31143</v>
      </c>
      <c t="s">
        <v>35405</v>
      </c>
      <c r="X5828" t="s">
        <v>64409</v>
      </c>
      <c t="s">
        <v>13478</v>
      </c>
      <c t="s">
        <v>2517</v>
      </c>
      <c t="s">
        <v>39289</v>
      </c>
      <c>
        <v>33909</v>
      </c>
      <c t="s">
        <v>45577</v>
      </c>
      <c t="s">
        <v>48794</v>
      </c>
      <c t="s">
        <v>32065</v>
      </c>
      <c r="AI5828" t="s">
        <v>40748</v>
      </c>
      <c r="AL5828" t="s">
        <v>2671</v>
      </c>
      <c r="AN5828" t="s">
        <v>50917</v>
      </c>
      <c>
        <v>11976</v>
      </c>
      <c t="s">
        <v>1762</v>
      </c>
      <c t="s">
        <v>3093</v>
      </c>
      <c t="s">
        <v>9860</v>
      </c>
    </row>
    <row>
      <c t="s">
        <v>17594</v>
      </c>
      <c t="s">
        <v>50142</v>
      </c>
      <c t="s">
        <v>17601</v>
      </c>
      <c t="s">
        <v>22612</v>
      </c>
      <c t="s">
        <v>52135</v>
      </c>
      <c s="3">
        <v>12300</v>
      </c>
      <c s="3">
        <v>12300</v>
      </c>
      <c s="3">
        <v>9515</v>
      </c>
      <c>
        <v>0</v>
      </c>
      <c s="3">
        <v>0</v>
      </c>
      <c s="3">
        <v>289.41</v>
      </c>
      <c s="3">
        <v>12300</v>
      </c>
      <c>
        <v>2020</v>
      </c>
      <c>
        <v>1045.45</v>
      </c>
      <c s="1" t="str">
        <f ca="1">HYPERLINK("https://web.datatree.com/?/property?propertyId=34315407", "https://web.datatree.com/?/property?propertyId=34315407")</f>
        <v>https://web.datatree.com/?/property?propertyId=34315407</v>
      </c>
      <c r="Q5829" t="s">
        <v>316</v>
      </c>
      <c>
        <v>0.119</v>
      </c>
      <c t="s">
        <v>45526</v>
      </c>
      <c t="s">
        <v>50331</v>
      </c>
      <c t="s">
        <v>16463</v>
      </c>
      <c t="s">
        <v>41694</v>
      </c>
      <c t="s">
        <v>16463</v>
      </c>
      <c t="s">
        <v>27415</v>
      </c>
      <c t="s">
        <v>65116</v>
      </c>
      <c t="s">
        <v>65059</v>
      </c>
      <c t="s">
        <v>39289</v>
      </c>
      <c>
        <v>33908</v>
      </c>
      <c t="s">
        <v>22162</v>
      </c>
      <c t="s">
        <v>48794</v>
      </c>
      <c t="s">
        <v>62466</v>
      </c>
      <c>
        <v>63</v>
      </c>
      <c r="AI5829" t="s">
        <v>52822</v>
      </c>
      <c t="s">
        <v>24900</v>
      </c>
      <c r="AL5829" t="s">
        <v>36935</v>
      </c>
      <c r="AN5829" t="s">
        <v>50917</v>
      </c>
      <c t="s">
        <v>15477</v>
      </c>
      <c t="s">
        <v>38085</v>
      </c>
      <c t="s">
        <v>3093</v>
      </c>
      <c t="s">
        <v>34392</v>
      </c>
    </row>
    <row>
      <c t="s">
        <v>17594</v>
      </c>
      <c t="s">
        <v>39515</v>
      </c>
      <c t="s">
        <v>35896</v>
      </c>
      <c t="s">
        <v>35954</v>
      </c>
      <c t="s">
        <v>24583</v>
      </c>
      <c s="3">
        <v>31830</v>
      </c>
      <c s="3">
        <v>31830</v>
      </c>
      <c s="3">
        <v>23108</v>
      </c>
      <c>
        <v>0</v>
      </c>
      <c s="3">
        <v>0</v>
      </c>
      <c s="3">
        <v>826.51</v>
      </c>
      <c s="3">
        <v>31830</v>
      </c>
      <c r="O5830" s="1" t="str">
        <f ca="1">HYPERLINK("https://web.datatree.com/?/property?propertyId=34315927", "https://web.datatree.com/?/property?propertyId=34315927")</f>
        <v>https://web.datatree.com/?/property?propertyId=34315927</v>
      </c>
      <c r="Q5830" t="s">
        <v>316</v>
      </c>
      <c>
        <v>0.23</v>
      </c>
      <c t="s">
        <v>6175</v>
      </c>
      <c t="s">
        <v>58780</v>
      </c>
      <c t="s">
        <v>2745</v>
      </c>
      <c t="s">
        <v>49172</v>
      </c>
      <c t="s">
        <v>2745</v>
      </c>
      <c t="s">
        <v>12126</v>
      </c>
      <c t="s">
        <v>18679</v>
      </c>
      <c t="s">
        <v>2517</v>
      </c>
      <c t="s">
        <v>39289</v>
      </c>
      <c>
        <v>33904</v>
      </c>
      <c t="s">
        <v>15701</v>
      </c>
      <c t="s">
        <v>48794</v>
      </c>
      <c t="s">
        <v>59630</v>
      </c>
      <c>
        <v>2</v>
      </c>
      <c r="AI5830" t="s">
        <v>61325</v>
      </c>
      <c t="s">
        <v>40123</v>
      </c>
      <c r="AL5830" t="s">
        <v>43162</v>
      </c>
      <c r="AN5830" t="s">
        <v>50917</v>
      </c>
      <c t="s">
        <v>62603</v>
      </c>
      <c t="s">
        <v>34162</v>
      </c>
      <c t="s">
        <v>3093</v>
      </c>
      <c t="s">
        <v>2148</v>
      </c>
    </row>
    <row>
      <c t="s">
        <v>17594</v>
      </c>
      <c t="s">
        <v>4787</v>
      </c>
      <c t="s">
        <v>14854</v>
      </c>
      <c t="s">
        <v>52606</v>
      </c>
      <c t="s">
        <v>3455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831" s="1" t="str">
        <f ca="1">HYPERLINK("https://web.datatree.com/?/property?propertyId=34316152", "https://web.datatree.com/?/property?propertyId=34316152")</f>
        <v>https://web.datatree.com/?/property?propertyId=34316152</v>
      </c>
      <c r="Q5831" t="s">
        <v>316</v>
      </c>
      <c>
        <v>0.234</v>
      </c>
      <c t="s">
        <v>42044</v>
      </c>
      <c t="s">
        <v>64395</v>
      </c>
      <c t="s">
        <v>31808</v>
      </c>
      <c r="X5831" t="s">
        <v>57518</v>
      </c>
      <c t="s">
        <v>7113</v>
      </c>
      <c t="s">
        <v>2517</v>
      </c>
      <c t="s">
        <v>39289</v>
      </c>
      <c>
        <v>33909</v>
      </c>
      <c t="s">
        <v>50897</v>
      </c>
      <c t="s">
        <v>48794</v>
      </c>
      <c t="s">
        <v>16167</v>
      </c>
      <c>
        <v>14</v>
      </c>
      <c r="AI5831" t="s">
        <v>67247</v>
      </c>
      <c t="s">
        <v>45620</v>
      </c>
      <c r="AL5831" t="s">
        <v>23660</v>
      </c>
      <c r="AN5831" t="s">
        <v>50917</v>
      </c>
      <c t="s">
        <v>40246</v>
      </c>
      <c t="s">
        <v>45980</v>
      </c>
      <c t="s">
        <v>3093</v>
      </c>
      <c t="s">
        <v>56970</v>
      </c>
    </row>
    <row>
      <c t="s">
        <v>17594</v>
      </c>
      <c t="s">
        <v>39602</v>
      </c>
      <c t="s">
        <v>39563</v>
      </c>
      <c t="s">
        <v>12679</v>
      </c>
      <c t="s">
        <v>23795</v>
      </c>
      <c s="3">
        <v>21812</v>
      </c>
      <c s="3">
        <v>21812</v>
      </c>
      <c s="3">
        <v>9599</v>
      </c>
      <c>
        <v>0</v>
      </c>
      <c s="3">
        <v>0</v>
      </c>
      <c s="3">
        <v>707.08</v>
      </c>
      <c s="3">
        <v>21812</v>
      </c>
      <c r="O5832" s="1" t="str">
        <f ca="1">HYPERLINK("https://web.datatree.com/?/property?propertyId=34316305", "https://web.datatree.com/?/property?propertyId=34316305")</f>
        <v>https://web.datatree.com/?/property?propertyId=34316305</v>
      </c>
      <c r="Q5832" t="s">
        <v>316</v>
      </c>
      <c>
        <v>0.373</v>
      </c>
      <c t="s">
        <v>6175</v>
      </c>
      <c t="s">
        <v>11223</v>
      </c>
      <c t="s">
        <v>65735</v>
      </c>
      <c r="X5832" t="s">
        <v>50381</v>
      </c>
      <c t="s">
        <v>15510</v>
      </c>
      <c t="s">
        <v>2517</v>
      </c>
      <c t="s">
        <v>39289</v>
      </c>
      <c>
        <v>33909</v>
      </c>
      <c t="s">
        <v>28724</v>
      </c>
      <c t="s">
        <v>48794</v>
      </c>
      <c t="s">
        <v>10640</v>
      </c>
      <c>
        <v>905</v>
      </c>
      <c r="AI5832" t="s">
        <v>32402</v>
      </c>
      <c t="s">
        <v>45620</v>
      </c>
      <c r="AL5832" t="s">
        <v>39046</v>
      </c>
      <c r="AN5832" t="s">
        <v>19878</v>
      </c>
      <c t="s">
        <v>6823</v>
      </c>
      <c t="s">
        <v>23435</v>
      </c>
      <c t="s">
        <v>3093</v>
      </c>
      <c t="s">
        <v>48471</v>
      </c>
    </row>
    <row>
      <c t="s">
        <v>17594</v>
      </c>
      <c t="s">
        <v>62036</v>
      </c>
      <c t="s">
        <v>20997</v>
      </c>
      <c t="s">
        <v>3114</v>
      </c>
      <c t="s">
        <v>66181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833" s="1" t="str">
        <f ca="1">HYPERLINK("https://web.datatree.com/?/property?propertyId=34316487", "https://web.datatree.com/?/property?propertyId=34316487")</f>
        <v>https://web.datatree.com/?/property?propertyId=34316487</v>
      </c>
      <c r="Q5833" t="s">
        <v>316</v>
      </c>
      <c>
        <v>0.23</v>
      </c>
      <c t="s">
        <v>6175</v>
      </c>
      <c t="s">
        <v>27874</v>
      </c>
      <c t="s">
        <v>61946</v>
      </c>
      <c t="s">
        <v>4868</v>
      </c>
      <c t="s">
        <v>61946</v>
      </c>
      <c t="s">
        <v>63461</v>
      </c>
      <c t="s">
        <v>53663</v>
      </c>
      <c t="s">
        <v>2517</v>
      </c>
      <c t="s">
        <v>39289</v>
      </c>
      <c>
        <v>33909</v>
      </c>
      <c t="s">
        <v>52549</v>
      </c>
      <c t="s">
        <v>48794</v>
      </c>
      <c t="s">
        <v>29683</v>
      </c>
      <c>
        <v>10910</v>
      </c>
      <c r="AI5833" t="s">
        <v>25545</v>
      </c>
      <c t="s">
        <v>31192</v>
      </c>
      <c r="AL5833" t="s">
        <v>2002</v>
      </c>
      <c r="AN5833" t="s">
        <v>27481</v>
      </c>
      <c t="s">
        <v>3168</v>
      </c>
      <c t="s">
        <v>45980</v>
      </c>
      <c t="s">
        <v>3093</v>
      </c>
      <c t="s">
        <v>38645</v>
      </c>
    </row>
    <row>
      <c t="s">
        <v>17594</v>
      </c>
      <c t="s">
        <v>60654</v>
      </c>
      <c t="s">
        <v>60175</v>
      </c>
      <c t="s">
        <v>67271</v>
      </c>
      <c t="s">
        <v>37268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5834" s="1" t="str">
        <f ca="1">HYPERLINK("https://web.datatree.com/?/property?propertyId=34316728", "https://web.datatree.com/?/property?propertyId=34316728")</f>
        <v>https://web.datatree.com/?/property?propertyId=34316728</v>
      </c>
      <c r="Q5834" t="s">
        <v>316</v>
      </c>
      <c>
        <v>0.23</v>
      </c>
      <c t="s">
        <v>6175</v>
      </c>
      <c t="s">
        <v>5100</v>
      </c>
      <c t="s">
        <v>62126</v>
      </c>
      <c t="s">
        <v>66134</v>
      </c>
      <c t="s">
        <v>62126</v>
      </c>
      <c t="s">
        <v>22446</v>
      </c>
      <c t="s">
        <v>23050</v>
      </c>
      <c t="s">
        <v>2517</v>
      </c>
      <c t="s">
        <v>39289</v>
      </c>
      <c>
        <v>33909</v>
      </c>
      <c t="s">
        <v>42248</v>
      </c>
      <c t="s">
        <v>48794</v>
      </c>
      <c t="s">
        <v>62738</v>
      </c>
      <c>
        <v>4034</v>
      </c>
      <c r="AI5834" t="s">
        <v>14771</v>
      </c>
      <c t="s">
        <v>24900</v>
      </c>
      <c r="AL5834" t="s">
        <v>4859</v>
      </c>
      <c t="s">
        <v>4859</v>
      </c>
      <c t="s">
        <v>39289</v>
      </c>
      <c t="s">
        <v>63098</v>
      </c>
      <c t="s">
        <v>38085</v>
      </c>
      <c t="s">
        <v>3093</v>
      </c>
      <c t="s">
        <v>48282</v>
      </c>
    </row>
    <row>
      <c t="s">
        <v>17594</v>
      </c>
      <c t="s">
        <v>27518</v>
      </c>
      <c t="s">
        <v>29661</v>
      </c>
      <c t="s">
        <v>13204</v>
      </c>
      <c t="s">
        <v>19099</v>
      </c>
      <c s="3">
        <v>29340</v>
      </c>
      <c s="3">
        <v>29340</v>
      </c>
      <c s="3">
        <v>12511</v>
      </c>
      <c>
        <v>0</v>
      </c>
      <c s="3">
        <v>0</v>
      </c>
      <c s="3">
        <v>695.26</v>
      </c>
      <c s="3">
        <v>29340</v>
      </c>
      <c r="O5835" s="1" t="str">
        <f ca="1">HYPERLINK("https://web.datatree.com/?/property?propertyId=34317643", "https://web.datatree.com/?/property?propertyId=34317643")</f>
        <v>https://web.datatree.com/?/property?propertyId=34317643</v>
      </c>
      <c r="Q5835" t="s">
        <v>316</v>
      </c>
      <c>
        <v>0.274</v>
      </c>
      <c t="s">
        <v>22490</v>
      </c>
      <c t="s">
        <v>58310</v>
      </c>
      <c t="s">
        <v>36510</v>
      </c>
      <c r="X5835" t="s">
        <v>43859</v>
      </c>
      <c t="s">
        <v>66701</v>
      </c>
      <c t="s">
        <v>2517</v>
      </c>
      <c t="s">
        <v>39289</v>
      </c>
      <c>
        <v>33909</v>
      </c>
      <c t="s">
        <v>48620</v>
      </c>
      <c t="s">
        <v>48794</v>
      </c>
      <c t="s">
        <v>685</v>
      </c>
      <c>
        <v>19</v>
      </c>
      <c r="AI5835" t="s">
        <v>29645</v>
      </c>
      <c r="AL5835" t="s">
        <v>40065</v>
      </c>
      <c r="AN5835" t="s">
        <v>22478</v>
      </c>
      <c r="AR5835" t="s">
        <v>23539</v>
      </c>
    </row>
    <row>
      <c t="s">
        <v>17594</v>
      </c>
      <c t="s">
        <v>55096</v>
      </c>
      <c t="s">
        <v>34292</v>
      </c>
      <c t="s">
        <v>22670</v>
      </c>
      <c t="s">
        <v>5349</v>
      </c>
      <c s="3">
        <v>229614</v>
      </c>
      <c s="3">
        <v>229614</v>
      </c>
      <c s="3">
        <v>196061</v>
      </c>
      <c>
        <v>0</v>
      </c>
      <c s="3">
        <v>0</v>
      </c>
      <c s="3">
        <v>3810.55</v>
      </c>
      <c s="3">
        <v>229614</v>
      </c>
      <c r="O5836" s="1" t="str">
        <f ca="1">HYPERLINK("https://web.datatree.com/?/property?propertyId=34318026", "https://web.datatree.com/?/property?propertyId=34318026")</f>
        <v>https://web.datatree.com/?/property?propertyId=34318026</v>
      </c>
      <c r="Q5836" t="s">
        <v>316</v>
      </c>
      <c>
        <v>0.341</v>
      </c>
      <c t="s">
        <v>22490</v>
      </c>
      <c r="U5836" t="s">
        <v>37583</v>
      </c>
      <c r="X5836" t="s">
        <v>22888</v>
      </c>
      <c t="s">
        <v>52171</v>
      </c>
      <c t="s">
        <v>2517</v>
      </c>
      <c t="s">
        <v>39289</v>
      </c>
      <c>
        <v>33904</v>
      </c>
      <c>
        <v>33904</v>
      </c>
      <c t="s">
        <v>48794</v>
      </c>
      <c t="s">
        <v>34809</v>
      </c>
      <c r="AI5836" t="s">
        <v>49963</v>
      </c>
      <c r="AK5836">
        <v>2</v>
      </c>
      <c t="s">
        <v>20088</v>
      </c>
      <c r="AN5836" t="s">
        <v>13328</v>
      </c>
      <c>
        <v>0</v>
      </c>
      <c r="AR5836" t="s">
        <v>48219</v>
      </c>
    </row>
    <row>
      <c t="s">
        <v>17594</v>
      </c>
      <c t="s">
        <v>54128</v>
      </c>
      <c t="s">
        <v>23523</v>
      </c>
      <c t="s">
        <v>5637</v>
      </c>
      <c t="s">
        <v>60427</v>
      </c>
      <c s="3">
        <v>25947</v>
      </c>
      <c s="3">
        <v>25947</v>
      </c>
      <c s="3">
        <v>10395</v>
      </c>
      <c>
        <v>0</v>
      </c>
      <c s="3">
        <v>0</v>
      </c>
      <c s="3">
        <v>668.22</v>
      </c>
      <c s="3">
        <v>25947</v>
      </c>
      <c r="O5837" s="1" t="str">
        <f ca="1">HYPERLINK("https://web.datatree.com/?/property?propertyId=34318480", "https://web.datatree.com/?/property?propertyId=34318480")</f>
        <v>https://web.datatree.com/?/property?propertyId=34318480</v>
      </c>
      <c r="Q5837" t="s">
        <v>316</v>
      </c>
      <c>
        <v>0.281</v>
      </c>
      <c t="s">
        <v>22490</v>
      </c>
      <c t="s">
        <v>35221</v>
      </c>
      <c t="s">
        <v>8649</v>
      </c>
      <c r="X5837" t="s">
        <v>32765</v>
      </c>
      <c t="s">
        <v>59763</v>
      </c>
      <c t="s">
        <v>2517</v>
      </c>
      <c t="s">
        <v>39289</v>
      </c>
      <c>
        <v>33909</v>
      </c>
      <c t="s">
        <v>54670</v>
      </c>
      <c t="s">
        <v>48794</v>
      </c>
      <c t="s">
        <v>24047</v>
      </c>
      <c>
        <v>5020</v>
      </c>
      <c r="AH5837" t="s">
        <v>57851</v>
      </c>
      <c t="s">
        <v>13065</v>
      </c>
      <c t="s">
        <v>45393</v>
      </c>
      <c t="s">
        <v>17594</v>
      </c>
      <c t="s">
        <v>3402</v>
      </c>
      <c t="s">
        <v>1286</v>
      </c>
      <c t="s">
        <v>39289</v>
      </c>
      <c t="s">
        <v>32702</v>
      </c>
      <c t="s">
        <v>53800</v>
      </c>
      <c t="s">
        <v>3093</v>
      </c>
      <c t="s">
        <v>49805</v>
      </c>
    </row>
    <row>
      <c t="s">
        <v>42103</v>
      </c>
      <c t="s">
        <v>34379</v>
      </c>
      <c t="s">
        <v>48195</v>
      </c>
      <c t="s">
        <v>46085</v>
      </c>
      <c t="s">
        <v>56614</v>
      </c>
      <c s="3">
        <v>30116</v>
      </c>
      <c s="3">
        <v>29068</v>
      </c>
      <c s="3">
        <v>30116</v>
      </c>
      <c>
        <v>0</v>
      </c>
      <c s="3">
        <v>0</v>
      </c>
      <c s="3">
        <v>371.13</v>
      </c>
      <c s="3">
        <v>30116</v>
      </c>
      <c r="O5838" s="1" t="str">
        <f ca="1">HYPERLINK("https://web.datatree.com/?/property?propertyId=34318499", "https://web.datatree.com/?/property?propertyId=34318499")</f>
        <v>https://web.datatree.com/?/property?propertyId=34318499</v>
      </c>
      <c r="Q5838" t="s">
        <v>316</v>
      </c>
      <c>
        <v>0.039</v>
      </c>
      <c t="s">
        <v>54329</v>
      </c>
      <c t="s">
        <v>7107</v>
      </c>
      <c t="s">
        <v>28960</v>
      </c>
      <c t="s">
        <v>57865</v>
      </c>
      <c t="s">
        <v>28960</v>
      </c>
      <c t="s">
        <v>53918</v>
      </c>
      <c t="s">
        <v>32753</v>
      </c>
      <c t="s">
        <v>65059</v>
      </c>
      <c t="s">
        <v>39289</v>
      </c>
      <c>
        <v>33908</v>
      </c>
      <c t="s">
        <v>305</v>
      </c>
      <c t="s">
        <v>48794</v>
      </c>
      <c t="s">
        <v>6692</v>
      </c>
      <c r="AI5838" t="s">
        <v>14550</v>
      </c>
      <c r="AL5838" t="s">
        <v>52834</v>
      </c>
      <c t="s">
        <v>52834</v>
      </c>
      <c t="s">
        <v>3034</v>
      </c>
      <c>
        <v>40004</v>
      </c>
      <c t="s">
        <v>61509</v>
      </c>
      <c t="s">
        <v>3093</v>
      </c>
      <c t="s">
        <v>51872</v>
      </c>
    </row>
    <row>
      <c t="s">
        <v>17594</v>
      </c>
      <c t="s">
        <v>7978</v>
      </c>
      <c t="s">
        <v>12333</v>
      </c>
      <c t="s">
        <v>63588</v>
      </c>
      <c t="s">
        <v>24691</v>
      </c>
      <c s="3">
        <v>11368</v>
      </c>
      <c s="3">
        <v>11368</v>
      </c>
      <c s="3">
        <v>4525</v>
      </c>
      <c>
        <v>0</v>
      </c>
      <c s="3">
        <v>0</v>
      </c>
      <c s="3">
        <v>116.36</v>
      </c>
      <c s="3">
        <v>11368</v>
      </c>
      <c r="O5839" s="1" t="str">
        <f ca="1">HYPERLINK("https://web.datatree.com/?/property?propertyId=34318559", "https://web.datatree.com/?/property?propertyId=34318559")</f>
        <v>https://web.datatree.com/?/property?propertyId=34318559</v>
      </c>
      <c r="Q5839" t="s">
        <v>316</v>
      </c>
      <c>
        <v>0.179</v>
      </c>
      <c t="s">
        <v>58770</v>
      </c>
      <c t="s">
        <v>44541</v>
      </c>
      <c t="s">
        <v>30602</v>
      </c>
      <c t="s">
        <v>10797</v>
      </c>
      <c t="s">
        <v>30602</v>
      </c>
      <c t="s">
        <v>31386</v>
      </c>
      <c t="s">
        <v>46065</v>
      </c>
      <c t="s">
        <v>65059</v>
      </c>
      <c t="s">
        <v>39289</v>
      </c>
      <c>
        <v>33901</v>
      </c>
      <c t="s">
        <v>35102</v>
      </c>
      <c t="s">
        <v>48794</v>
      </c>
      <c t="s">
        <v>29474</v>
      </c>
      <c>
        <v>12185</v>
      </c>
      <c r="AH5839" t="s">
        <v>26580</v>
      </c>
      <c t="s">
        <v>8507</v>
      </c>
      <c t="s">
        <v>45393</v>
      </c>
      <c r="AL5839" t="s">
        <v>46797</v>
      </c>
      <c r="AN5839" t="s">
        <v>39289</v>
      </c>
      <c t="s">
        <v>42694</v>
      </c>
      <c t="s">
        <v>5652</v>
      </c>
      <c t="s">
        <v>3093</v>
      </c>
      <c t="s">
        <v>12589</v>
      </c>
    </row>
    <row>
      <c t="s">
        <v>17594</v>
      </c>
      <c t="s">
        <v>11775</v>
      </c>
      <c t="s">
        <v>57656</v>
      </c>
      <c t="s">
        <v>48947</v>
      </c>
      <c t="s">
        <v>27213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840" s="1" t="str">
        <f ca="1">HYPERLINK("https://web.datatree.com/?/property?propertyId=34318773", "https://web.datatree.com/?/property?propertyId=34318773")</f>
        <v>https://web.datatree.com/?/property?propertyId=34318773</v>
      </c>
      <c r="Q5840" t="s">
        <v>316</v>
      </c>
      <c>
        <v>0.23</v>
      </c>
      <c t="s">
        <v>6175</v>
      </c>
      <c t="s">
        <v>3238</v>
      </c>
      <c t="s">
        <v>5892</v>
      </c>
      <c r="X5840" t="s">
        <v>34347</v>
      </c>
      <c t="s">
        <v>13478</v>
      </c>
      <c t="s">
        <v>2517</v>
      </c>
      <c t="s">
        <v>39289</v>
      </c>
      <c>
        <v>33909</v>
      </c>
      <c t="s">
        <v>21399</v>
      </c>
      <c t="s">
        <v>48794</v>
      </c>
      <c t="s">
        <v>3371</v>
      </c>
      <c>
        <v>5249</v>
      </c>
      <c r="AI5840" t="s">
        <v>61865</v>
      </c>
      <c t="s">
        <v>45393</v>
      </c>
      <c>
        <v>112</v>
      </c>
      <c t="s">
        <v>55393</v>
      </c>
      <c t="s">
        <v>29515</v>
      </c>
      <c t="s">
        <v>39289</v>
      </c>
      <c t="s">
        <v>9418</v>
      </c>
      <c t="s">
        <v>53800</v>
      </c>
      <c t="s">
        <v>3093</v>
      </c>
      <c t="s">
        <v>7901</v>
      </c>
    </row>
    <row>
      <c t="s">
        <v>17594</v>
      </c>
      <c t="s">
        <v>6535</v>
      </c>
      <c t="s">
        <v>48989</v>
      </c>
      <c t="s">
        <v>59132</v>
      </c>
      <c t="s">
        <v>59978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 r="O5841" s="1" t="str">
        <f ca="1">HYPERLINK("https://web.datatree.com/?/property?propertyId=34318873", "https://web.datatree.com/?/property?propertyId=34318873")</f>
        <v>https://web.datatree.com/?/property?propertyId=34318873</v>
      </c>
      <c r="Q5841" t="s">
        <v>316</v>
      </c>
      <c>
        <v>0.23</v>
      </c>
      <c t="s">
        <v>6175</v>
      </c>
      <c t="s">
        <v>21852</v>
      </c>
      <c t="s">
        <v>53666</v>
      </c>
      <c t="s">
        <v>54921</v>
      </c>
      <c t="s">
        <v>53666</v>
      </c>
      <c t="s">
        <v>16234</v>
      </c>
      <c t="s">
        <v>25017</v>
      </c>
      <c t="s">
        <v>2517</v>
      </c>
      <c t="s">
        <v>39289</v>
      </c>
      <c>
        <v>33909</v>
      </c>
      <c t="s">
        <v>18521</v>
      </c>
      <c t="s">
        <v>48794</v>
      </c>
      <c t="s">
        <v>30643</v>
      </c>
      <c>
        <v>42</v>
      </c>
      <c r="AI5841" t="s">
        <v>33395</v>
      </c>
      <c t="s">
        <v>24900</v>
      </c>
      <c r="AL5841" t="s">
        <v>23660</v>
      </c>
      <c r="AN5841" t="s">
        <v>50917</v>
      </c>
      <c t="s">
        <v>25847</v>
      </c>
      <c t="s">
        <v>53800</v>
      </c>
      <c t="s">
        <v>3093</v>
      </c>
      <c t="s">
        <v>46818</v>
      </c>
    </row>
    <row>
      <c t="s">
        <v>17594</v>
      </c>
      <c t="s">
        <v>8702</v>
      </c>
      <c t="s">
        <v>34250</v>
      </c>
      <c t="s">
        <v>26220</v>
      </c>
      <c t="s">
        <v>52322</v>
      </c>
      <c s="3">
        <v>55793</v>
      </c>
      <c s="3">
        <v>55793</v>
      </c>
      <c s="3">
        <v>20986</v>
      </c>
      <c>
        <v>0</v>
      </c>
      <c s="3">
        <v>0</v>
      </c>
      <c s="3">
        <v>892.33</v>
      </c>
      <c s="3">
        <v>55793</v>
      </c>
      <c>
        <v>2021</v>
      </c>
      <c>
        <v>946.96</v>
      </c>
      <c s="1" t="str">
        <f ca="1">HYPERLINK("https://web.datatree.com/?/property?propertyId=34319001", "https://web.datatree.com/?/property?propertyId=34319001")</f>
        <v>https://web.datatree.com/?/property?propertyId=34319001</v>
      </c>
      <c r="Q5842" t="s">
        <v>316</v>
      </c>
      <c>
        <v>0.23</v>
      </c>
      <c t="s">
        <v>6175</v>
      </c>
      <c t="s">
        <v>6249</v>
      </c>
      <c t="s">
        <v>56977</v>
      </c>
      <c r="X5842" t="s">
        <v>50149</v>
      </c>
      <c t="s">
        <v>25854</v>
      </c>
      <c t="s">
        <v>2517</v>
      </c>
      <c t="s">
        <v>39289</v>
      </c>
      <c>
        <v>33904</v>
      </c>
      <c t="s">
        <v>41276</v>
      </c>
      <c t="s">
        <v>48794</v>
      </c>
      <c t="s">
        <v>1260</v>
      </c>
      <c>
        <v>33</v>
      </c>
      <c r="AI5842" t="s">
        <v>31886</v>
      </c>
      <c t="s">
        <v>24900</v>
      </c>
      <c r="AL5842" t="s">
        <v>29096</v>
      </c>
      <c r="AN5842" t="s">
        <v>26016</v>
      </c>
      <c t="s">
        <v>51699</v>
      </c>
      <c t="s">
        <v>32746</v>
      </c>
      <c t="s">
        <v>3093</v>
      </c>
      <c t="s">
        <v>32330</v>
      </c>
    </row>
    <row>
      <c t="s">
        <v>17594</v>
      </c>
      <c t="s">
        <v>34963</v>
      </c>
      <c t="s">
        <v>16941</v>
      </c>
      <c t="s">
        <v>66990</v>
      </c>
      <c t="s">
        <v>6962</v>
      </c>
      <c s="3">
        <v>26184</v>
      </c>
      <c s="3">
        <v>26184</v>
      </c>
      <c s="3">
        <v>9533</v>
      </c>
      <c>
        <v>0</v>
      </c>
      <c s="3">
        <v>0</v>
      </c>
      <c s="3">
        <v>757.77</v>
      </c>
      <c s="3">
        <v>26184</v>
      </c>
      <c r="O5843" s="1" t="str">
        <f ca="1">HYPERLINK("https://web.datatree.com/?/property?propertyId=34319020", "https://web.datatree.com/?/property?propertyId=34319020")</f>
        <v>https://web.datatree.com/?/property?propertyId=34319020</v>
      </c>
      <c r="Q5843" t="s">
        <v>316</v>
      </c>
      <c>
        <v>0.354</v>
      </c>
      <c t="s">
        <v>37741</v>
      </c>
      <c r="U5843" t="s">
        <v>10954</v>
      </c>
      <c r="W5843" t="s">
        <v>53327</v>
      </c>
      <c t="s">
        <v>3521</v>
      </c>
      <c t="s">
        <v>25017</v>
      </c>
      <c t="s">
        <v>2517</v>
      </c>
      <c t="s">
        <v>39289</v>
      </c>
      <c>
        <v>33909</v>
      </c>
      <c t="s">
        <v>35065</v>
      </c>
      <c t="s">
        <v>48794</v>
      </c>
      <c t="s">
        <v>20338</v>
      </c>
      <c>
        <v>6988</v>
      </c>
      <c r="AI5843" t="s">
        <v>681</v>
      </c>
      <c t="s">
        <v>45393</v>
      </c>
      <c r="AL5843" t="s">
        <v>34557</v>
      </c>
      <c r="AN5843" t="s">
        <v>65451</v>
      </c>
      <c t="s">
        <v>53044</v>
      </c>
      <c t="s">
        <v>11138</v>
      </c>
      <c t="s">
        <v>3093</v>
      </c>
      <c t="s">
        <v>17731</v>
      </c>
    </row>
    <row>
      <c t="s">
        <v>42103</v>
      </c>
      <c t="s">
        <v>50191</v>
      </c>
      <c t="s">
        <v>56295</v>
      </c>
      <c t="s">
        <v>9501</v>
      </c>
      <c t="s">
        <v>24745</v>
      </c>
      <c s="3">
        <v>8400</v>
      </c>
      <c s="3">
        <v>8400</v>
      </c>
      <c s="3">
        <v>8400</v>
      </c>
      <c>
        <v>0</v>
      </c>
      <c s="3">
        <v>0</v>
      </c>
      <c s="3">
        <v>553.9</v>
      </c>
      <c s="3">
        <v>8400</v>
      </c>
      <c>
        <v>2021</v>
      </c>
      <c>
        <v>597.9</v>
      </c>
      <c s="1" t="str">
        <f ca="1">HYPERLINK("https://web.datatree.com/?/property?propertyId=34319182", "https://web.datatree.com/?/property?propertyId=34319182")</f>
        <v>https://web.datatree.com/?/property?propertyId=34319182</v>
      </c>
      <c r="Q5844" t="s">
        <v>316</v>
      </c>
      <c>
        <v>0.23</v>
      </c>
      <c t="s">
        <v>6175</v>
      </c>
      <c r="U5844" t="s">
        <v>855</v>
      </c>
      <c t="s">
        <v>25924</v>
      </c>
      <c t="s">
        <v>33692</v>
      </c>
      <c t="s">
        <v>20112</v>
      </c>
      <c t="s">
        <v>61865</v>
      </c>
      <c t="s">
        <v>2517</v>
      </c>
      <c t="s">
        <v>39289</v>
      </c>
      <c>
        <v>33909</v>
      </c>
      <c t="s">
        <v>38325</v>
      </c>
      <c t="s">
        <v>48794</v>
      </c>
      <c t="s">
        <v>6284</v>
      </c>
      <c r="AI5844" t="s">
        <v>56525</v>
      </c>
      <c r="AL5844" t="s">
        <v>43328</v>
      </c>
      <c r="AN5844" t="s">
        <v>22275</v>
      </c>
      <c>
        <v>17112</v>
      </c>
      <c t="s">
        <v>1762</v>
      </c>
      <c t="s">
        <v>3093</v>
      </c>
      <c t="s">
        <v>59585</v>
      </c>
    </row>
    <row>
      <c t="s">
        <v>17594</v>
      </c>
      <c t="s">
        <v>9341</v>
      </c>
      <c t="s">
        <v>52829</v>
      </c>
      <c t="s">
        <v>40113</v>
      </c>
      <c t="s">
        <v>3624</v>
      </c>
      <c s="3">
        <v>8100</v>
      </c>
      <c s="3">
        <v>8100</v>
      </c>
      <c s="3">
        <v>8100</v>
      </c>
      <c>
        <v>0</v>
      </c>
      <c s="3">
        <v>0</v>
      </c>
      <c s="3">
        <v>649.01</v>
      </c>
      <c s="3">
        <v>8100</v>
      </c>
      <c r="O5845" s="1" t="str">
        <f ca="1">HYPERLINK("https://web.datatree.com/?/property?propertyId=34319426", "https://web.datatree.com/?/property?propertyId=34319426")</f>
        <v>https://web.datatree.com/?/property?propertyId=34319426</v>
      </c>
      <c r="Q5845" t="s">
        <v>316</v>
      </c>
      <c>
        <v>0.229</v>
      </c>
      <c t="s">
        <v>6175</v>
      </c>
      <c t="s">
        <v>6326</v>
      </c>
      <c t="s">
        <v>63746</v>
      </c>
      <c t="s">
        <v>65985</v>
      </c>
      <c t="s">
        <v>63746</v>
      </c>
      <c t="s">
        <v>10122</v>
      </c>
      <c t="s">
        <v>17022</v>
      </c>
      <c t="s">
        <v>2517</v>
      </c>
      <c t="s">
        <v>39289</v>
      </c>
      <c>
        <v>33909</v>
      </c>
      <c t="s">
        <v>4382</v>
      </c>
      <c t="s">
        <v>48794</v>
      </c>
      <c t="s">
        <v>53770</v>
      </c>
      <c t="s">
        <v>64866</v>
      </c>
      <c r="AI5845" t="s">
        <v>62949</v>
      </c>
      <c t="s">
        <v>45620</v>
      </c>
      <c r="AL5845" t="s">
        <v>35776</v>
      </c>
      <c r="AN5845" t="s">
        <v>27481</v>
      </c>
      <c t="s">
        <v>9270</v>
      </c>
      <c t="s">
        <v>14695</v>
      </c>
      <c t="s">
        <v>3093</v>
      </c>
      <c t="s">
        <v>10799</v>
      </c>
    </row>
    <row>
      <c t="s">
        <v>17594</v>
      </c>
      <c t="s">
        <v>50977</v>
      </c>
      <c t="s">
        <v>63981</v>
      </c>
      <c t="s">
        <v>50580</v>
      </c>
      <c t="s">
        <v>10981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846" s="1" t="str">
        <f ca="1">HYPERLINK("https://web.datatree.com/?/property?propertyId=34320084", "https://web.datatree.com/?/property?propertyId=34320084")</f>
        <v>https://web.datatree.com/?/property?propertyId=34320084</v>
      </c>
      <c r="Q5846" t="s">
        <v>316</v>
      </c>
      <c>
        <v>0.23</v>
      </c>
      <c t="s">
        <v>6175</v>
      </c>
      <c t="s">
        <v>45023</v>
      </c>
      <c t="s">
        <v>20983</v>
      </c>
      <c r="X5846" t="s">
        <v>34248</v>
      </c>
      <c t="s">
        <v>47150</v>
      </c>
      <c t="s">
        <v>2517</v>
      </c>
      <c t="s">
        <v>39289</v>
      </c>
      <c>
        <v>33909</v>
      </c>
      <c t="s">
        <v>42580</v>
      </c>
      <c t="s">
        <v>48794</v>
      </c>
      <c t="s">
        <v>65570</v>
      </c>
      <c>
        <v>6191</v>
      </c>
      <c r="AI5846" t="s">
        <v>48545</v>
      </c>
      <c t="s">
        <v>45393</v>
      </c>
      <c r="AL5846" t="s">
        <v>11428</v>
      </c>
      <c t="s">
        <v>11428</v>
      </c>
      <c t="s">
        <v>65451</v>
      </c>
      <c t="s">
        <v>18623</v>
      </c>
      <c t="s">
        <v>19978</v>
      </c>
      <c t="s">
        <v>3093</v>
      </c>
      <c t="s">
        <v>8759</v>
      </c>
    </row>
    <row>
      <c t="s">
        <v>17594</v>
      </c>
      <c t="s">
        <v>57854</v>
      </c>
      <c t="s">
        <v>21585</v>
      </c>
      <c t="s">
        <v>58191</v>
      </c>
      <c t="s">
        <v>13396</v>
      </c>
      <c s="3">
        <v>8000</v>
      </c>
      <c s="3">
        <v>8000</v>
      </c>
      <c s="3">
        <v>8000</v>
      </c>
      <c>
        <v>0</v>
      </c>
      <c s="3">
        <v>0</v>
      </c>
      <c s="3">
        <v>588.39</v>
      </c>
      <c s="3">
        <v>8000</v>
      </c>
      <c r="O5847" s="1" t="str">
        <f ca="1">HYPERLINK("https://web.datatree.com/?/property?propertyId=34320270", "https://web.datatree.com/?/property?propertyId=34320270")</f>
        <v>https://web.datatree.com/?/property?propertyId=34320270</v>
      </c>
      <c r="Q5847" t="s">
        <v>316</v>
      </c>
      <c>
        <v>0.236</v>
      </c>
      <c t="s">
        <v>22490</v>
      </c>
      <c t="s">
        <v>51229</v>
      </c>
      <c t="s">
        <v>5634</v>
      </c>
      <c t="s">
        <v>52701</v>
      </c>
      <c t="s">
        <v>5634</v>
      </c>
      <c t="s">
        <v>46268</v>
      </c>
      <c t="s">
        <v>38550</v>
      </c>
      <c t="s">
        <v>2517</v>
      </c>
      <c t="s">
        <v>39289</v>
      </c>
      <c>
        <v>33909</v>
      </c>
      <c t="s">
        <v>54420</v>
      </c>
      <c t="s">
        <v>48794</v>
      </c>
      <c t="s">
        <v>4436</v>
      </c>
      <c>
        <v>4580</v>
      </c>
      <c r="AI5847" t="s">
        <v>48326</v>
      </c>
      <c r="AK5847" t="s">
        <v>15532</v>
      </c>
      <c t="s">
        <v>13397</v>
      </c>
      <c r="AN5847" t="s">
        <v>50917</v>
      </c>
      <c t="s">
        <v>39660</v>
      </c>
      <c t="s">
        <v>17380</v>
      </c>
      <c t="s">
        <v>3093</v>
      </c>
      <c t="s">
        <v>49982</v>
      </c>
    </row>
    <row>
      <c t="s">
        <v>17594</v>
      </c>
      <c t="s">
        <v>18226</v>
      </c>
      <c t="s">
        <v>9283</v>
      </c>
      <c t="s">
        <v>28366</v>
      </c>
      <c t="s">
        <v>51904</v>
      </c>
      <c s="3">
        <v>279899</v>
      </c>
      <c s="3">
        <v>279899</v>
      </c>
      <c s="3">
        <v>121000</v>
      </c>
      <c>
        <v>0</v>
      </c>
      <c s="3">
        <v>0</v>
      </c>
      <c s="3">
        <v>2880.44</v>
      </c>
      <c s="3">
        <v>279899</v>
      </c>
      <c r="O5848" s="1" t="str">
        <f ca="1">HYPERLINK("https://web.datatree.com/?/property?propertyId=34320537", "https://web.datatree.com/?/property?propertyId=34320537")</f>
        <v>https://web.datatree.com/?/property?propertyId=34320537</v>
      </c>
      <c r="Q5848" t="s">
        <v>316</v>
      </c>
      <c>
        <v>0.27</v>
      </c>
      <c t="s">
        <v>22490</v>
      </c>
      <c r="U5848" t="s">
        <v>15382</v>
      </c>
      <c r="W5848" t="s">
        <v>10765</v>
      </c>
      <c t="s">
        <v>13435</v>
      </c>
      <c t="s">
        <v>22731</v>
      </c>
      <c t="s">
        <v>2517</v>
      </c>
      <c t="s">
        <v>39289</v>
      </c>
      <c>
        <v>33904</v>
      </c>
      <c t="s">
        <v>11414</v>
      </c>
      <c t="s">
        <v>48794</v>
      </c>
      <c t="s">
        <v>43273</v>
      </c>
      <c>
        <v>4440</v>
      </c>
      <c r="AI5848" t="s">
        <v>51400</v>
      </c>
      <c t="s">
        <v>45620</v>
      </c>
      <c r="AL5848" t="s">
        <v>52914</v>
      </c>
      <c r="AN5848" t="s">
        <v>17134</v>
      </c>
      <c t="s">
        <v>45784</v>
      </c>
      <c t="s">
        <v>66620</v>
      </c>
      <c t="s">
        <v>3093</v>
      </c>
      <c t="s">
        <v>26974</v>
      </c>
    </row>
    <row>
      <c t="s">
        <v>17594</v>
      </c>
      <c t="s">
        <v>47418</v>
      </c>
      <c t="s">
        <v>51652</v>
      </c>
      <c t="s">
        <v>30985</v>
      </c>
      <c t="s">
        <v>17463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5849" s="1" t="str">
        <f ca="1">HYPERLINK("https://web.datatree.com/?/property?propertyId=34320719", "https://web.datatree.com/?/property?propertyId=34320719")</f>
        <v>https://web.datatree.com/?/property?propertyId=34320719</v>
      </c>
      <c r="Q5849" t="s">
        <v>316</v>
      </c>
      <c>
        <v>0.23</v>
      </c>
      <c t="s">
        <v>22490</v>
      </c>
      <c t="s">
        <v>9264</v>
      </c>
      <c t="s">
        <v>63083</v>
      </c>
      <c r="X5849" t="s">
        <v>42433</v>
      </c>
      <c t="s">
        <v>25017</v>
      </c>
      <c t="s">
        <v>2517</v>
      </c>
      <c t="s">
        <v>39289</v>
      </c>
      <c>
        <v>33909</v>
      </c>
      <c t="s">
        <v>7411</v>
      </c>
      <c t="s">
        <v>48794</v>
      </c>
      <c t="s">
        <v>40120</v>
      </c>
      <c>
        <v>12576</v>
      </c>
      <c r="AI5849" t="s">
        <v>30900</v>
      </c>
      <c t="s">
        <v>45393</v>
      </c>
      <c r="AL5849" t="s">
        <v>30396</v>
      </c>
      <c r="AN5849" t="s">
        <v>39289</v>
      </c>
      <c t="s">
        <v>28118</v>
      </c>
      <c t="s">
        <v>38014</v>
      </c>
      <c t="s">
        <v>3093</v>
      </c>
      <c t="s">
        <v>43569</v>
      </c>
    </row>
    <row>
      <c t="s">
        <v>17594</v>
      </c>
      <c t="s">
        <v>23049</v>
      </c>
      <c t="s">
        <v>922</v>
      </c>
      <c t="s">
        <v>30391</v>
      </c>
      <c t="s">
        <v>22389</v>
      </c>
      <c s="3">
        <v>7600</v>
      </c>
      <c s="3">
        <v>7600</v>
      </c>
      <c s="3">
        <v>7600</v>
      </c>
      <c>
        <v>0</v>
      </c>
      <c s="3">
        <v>0</v>
      </c>
      <c s="3">
        <v>577.67</v>
      </c>
      <c s="3">
        <v>7600</v>
      </c>
      <c r="O5850" s="1" t="str">
        <f ca="1">HYPERLINK("https://web.datatree.com/?/property?propertyId=34320987", "https://web.datatree.com/?/property?propertyId=34320987")</f>
        <v>https://web.datatree.com/?/property?propertyId=34320987</v>
      </c>
      <c r="Q5850" t="s">
        <v>316</v>
      </c>
      <c>
        <v>0.267</v>
      </c>
      <c t="s">
        <v>6175</v>
      </c>
      <c t="s">
        <v>58173</v>
      </c>
      <c t="s">
        <v>19806</v>
      </c>
      <c t="s">
        <v>56743</v>
      </c>
      <c t="s">
        <v>19806</v>
      </c>
      <c t="s">
        <v>51289</v>
      </c>
      <c t="s">
        <v>29190</v>
      </c>
      <c t="s">
        <v>2517</v>
      </c>
      <c t="s">
        <v>39289</v>
      </c>
      <c>
        <v>33909</v>
      </c>
      <c t="s">
        <v>18425</v>
      </c>
      <c t="s">
        <v>48794</v>
      </c>
      <c t="s">
        <v>18239</v>
      </c>
      <c>
        <v>244</v>
      </c>
      <c r="AI5850" t="s">
        <v>41844</v>
      </c>
      <c t="s">
        <v>45620</v>
      </c>
      <c t="s">
        <v>55144</v>
      </c>
      <c t="s">
        <v>24288</v>
      </c>
      <c r="AN5850" t="s">
        <v>50917</v>
      </c>
      <c t="s">
        <v>37845</v>
      </c>
      <c t="s">
        <v>44428</v>
      </c>
      <c t="s">
        <v>3093</v>
      </c>
      <c t="s">
        <v>26588</v>
      </c>
    </row>
    <row>
      <c t="s">
        <v>42103</v>
      </c>
      <c t="s">
        <v>6089</v>
      </c>
      <c t="s">
        <v>54981</v>
      </c>
      <c t="s">
        <v>59274</v>
      </c>
      <c t="s">
        <v>16549</v>
      </c>
      <c s="3">
        <v>22041</v>
      </c>
      <c s="3">
        <v>22041</v>
      </c>
      <c s="3">
        <v>9599</v>
      </c>
      <c>
        <v>0</v>
      </c>
      <c s="3">
        <v>0</v>
      </c>
      <c s="3">
        <v>689.58</v>
      </c>
      <c s="3">
        <v>22041</v>
      </c>
      <c r="O5851" s="1" t="str">
        <f ca="1">HYPERLINK("https://web.datatree.com/?/property?propertyId=34321257", "https://web.datatree.com/?/property?propertyId=34321257")</f>
        <v>https://web.datatree.com/?/property?propertyId=34321257</v>
      </c>
      <c r="Q5851" t="s">
        <v>316</v>
      </c>
      <c>
        <v>0.344</v>
      </c>
      <c t="s">
        <v>42044</v>
      </c>
      <c t="s">
        <v>64030</v>
      </c>
      <c t="s">
        <v>18688</v>
      </c>
      <c t="s">
        <v>54482</v>
      </c>
      <c t="s">
        <v>56439</v>
      </c>
      <c t="s">
        <v>26552</v>
      </c>
      <c t="s">
        <v>13478</v>
      </c>
      <c t="s">
        <v>2517</v>
      </c>
      <c t="s">
        <v>39289</v>
      </c>
      <c>
        <v>33909</v>
      </c>
      <c t="s">
        <v>50867</v>
      </c>
      <c t="s">
        <v>48794</v>
      </c>
      <c t="s">
        <v>2546</v>
      </c>
      <c r="AI5851" t="s">
        <v>30812</v>
      </c>
      <c r="AL5851" t="s">
        <v>61724</v>
      </c>
      <c r="AN5851" t="s">
        <v>39289</v>
      </c>
      <c t="s">
        <v>39793</v>
      </c>
      <c t="s">
        <v>52202</v>
      </c>
      <c t="s">
        <v>3093</v>
      </c>
      <c t="s">
        <v>61090</v>
      </c>
    </row>
    <row>
      <c t="s">
        <v>17594</v>
      </c>
      <c t="s">
        <v>6419</v>
      </c>
      <c t="s">
        <v>10833</v>
      </c>
      <c t="s">
        <v>49359</v>
      </c>
      <c t="s">
        <v>31556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852" s="1" t="str">
        <f ca="1">HYPERLINK("https://web.datatree.com/?/property?propertyId=34321391", "https://web.datatree.com/?/property?propertyId=34321391")</f>
        <v>https://web.datatree.com/?/property?propertyId=34321391</v>
      </c>
      <c r="Q5852" t="s">
        <v>316</v>
      </c>
      <c>
        <v>0.231</v>
      </c>
      <c t="s">
        <v>22490</v>
      </c>
      <c t="s">
        <v>552</v>
      </c>
      <c t="s">
        <v>47820</v>
      </c>
      <c t="s">
        <v>773</v>
      </c>
      <c t="s">
        <v>47820</v>
      </c>
      <c t="s">
        <v>48322</v>
      </c>
      <c t="s">
        <v>44061</v>
      </c>
      <c t="s">
        <v>2517</v>
      </c>
      <c t="s">
        <v>39289</v>
      </c>
      <c>
        <v>33909</v>
      </c>
      <c t="s">
        <v>65575</v>
      </c>
      <c t="s">
        <v>48794</v>
      </c>
      <c t="s">
        <v>13358</v>
      </c>
      <c>
        <v>7603</v>
      </c>
      <c r="AI5852" t="s">
        <v>55273</v>
      </c>
      <c t="s">
        <v>24900</v>
      </c>
      <c r="AL5852" t="s">
        <v>8109</v>
      </c>
      <c r="AN5852" t="s">
        <v>50917</v>
      </c>
      <c t="s">
        <v>36473</v>
      </c>
      <c t="s">
        <v>42082</v>
      </c>
      <c t="s">
        <v>3093</v>
      </c>
      <c t="s">
        <v>60592</v>
      </c>
    </row>
    <row>
      <c t="s">
        <v>42103</v>
      </c>
      <c t="s">
        <v>264</v>
      </c>
      <c t="s">
        <v>14080</v>
      </c>
      <c t="s">
        <v>39896</v>
      </c>
      <c t="s">
        <v>41026</v>
      </c>
      <c s="3">
        <v>27442</v>
      </c>
      <c s="3">
        <v>27442</v>
      </c>
      <c s="3">
        <v>27442</v>
      </c>
      <c>
        <v>0</v>
      </c>
      <c s="3">
        <v>0</v>
      </c>
      <c s="3">
        <v>807.97</v>
      </c>
      <c s="3">
        <v>27442</v>
      </c>
      <c r="O5853" s="1" t="str">
        <f ca="1">HYPERLINK("https://web.datatree.com/?/property?propertyId=34322323", "https://web.datatree.com/?/property?propertyId=34322323")</f>
        <v>https://web.datatree.com/?/property?propertyId=34322323</v>
      </c>
      <c r="Q5853" t="s">
        <v>316</v>
      </c>
      <c>
        <v>0.23</v>
      </c>
      <c t="s">
        <v>3410</v>
      </c>
      <c t="s">
        <v>60780</v>
      </c>
      <c t="s">
        <v>44541</v>
      </c>
      <c t="s">
        <v>62513</v>
      </c>
      <c t="s">
        <v>67185</v>
      </c>
      <c t="s">
        <v>10740</v>
      </c>
      <c t="s">
        <v>18679</v>
      </c>
      <c t="s">
        <v>2517</v>
      </c>
      <c t="s">
        <v>39289</v>
      </c>
      <c>
        <v>33909</v>
      </c>
      <c>
        <v>33909</v>
      </c>
      <c t="s">
        <v>48794</v>
      </c>
      <c t="s">
        <v>64888</v>
      </c>
      <c r="AI5853" t="s">
        <v>22890</v>
      </c>
      <c r="AL5853" t="s">
        <v>30167</v>
      </c>
      <c t="s">
        <v>30167</v>
      </c>
      <c t="s">
        <v>50917</v>
      </c>
      <c>
        <v>10931</v>
      </c>
      <c t="s">
        <v>39363</v>
      </c>
      <c t="s">
        <v>3093</v>
      </c>
      <c t="s">
        <v>4195</v>
      </c>
    </row>
    <row>
      <c t="s">
        <v>17594</v>
      </c>
      <c t="s">
        <v>15870</v>
      </c>
      <c t="s">
        <v>18726</v>
      </c>
      <c t="s">
        <v>13809</v>
      </c>
      <c t="s">
        <v>40624</v>
      </c>
      <c s="3">
        <v>23012</v>
      </c>
      <c s="3">
        <v>23012</v>
      </c>
      <c s="3">
        <v>10450</v>
      </c>
      <c>
        <v>0</v>
      </c>
      <c s="3">
        <v>0</v>
      </c>
      <c s="3">
        <v>609.31</v>
      </c>
      <c s="3">
        <v>23012</v>
      </c>
      <c r="O5854" s="1" t="str">
        <f ca="1">HYPERLINK("https://web.datatree.com/?/property?propertyId=34322879", "https://web.datatree.com/?/property?propertyId=34322879")</f>
        <v>https://web.datatree.com/?/property?propertyId=34322879</v>
      </c>
      <c r="Q5854" t="s">
        <v>316</v>
      </c>
      <c>
        <v>0.23</v>
      </c>
      <c t="s">
        <v>22490</v>
      </c>
      <c t="s">
        <v>54971</v>
      </c>
      <c t="s">
        <v>60634</v>
      </c>
      <c t="s">
        <v>21379</v>
      </c>
      <c t="s">
        <v>8270</v>
      </c>
      <c t="s">
        <v>3081</v>
      </c>
      <c t="s">
        <v>18679</v>
      </c>
      <c t="s">
        <v>2517</v>
      </c>
      <c t="s">
        <v>39289</v>
      </c>
      <c>
        <v>33909</v>
      </c>
      <c t="s">
        <v>35794</v>
      </c>
      <c t="s">
        <v>48794</v>
      </c>
      <c t="s">
        <v>52982</v>
      </c>
      <c>
        <v>4814</v>
      </c>
      <c r="AI5854" t="s">
        <v>23828</v>
      </c>
      <c t="s">
        <v>24900</v>
      </c>
      <c r="AL5854" t="s">
        <v>16865</v>
      </c>
      <c r="AN5854" t="s">
        <v>27481</v>
      </c>
      <c t="s">
        <v>27294</v>
      </c>
      <c t="s">
        <v>7361</v>
      </c>
      <c t="s">
        <v>3093</v>
      </c>
      <c t="s">
        <v>60285</v>
      </c>
    </row>
    <row>
      <c t="s">
        <v>42103</v>
      </c>
      <c t="s">
        <v>46600</v>
      </c>
      <c t="s">
        <v>38752</v>
      </c>
      <c t="s">
        <v>58166</v>
      </c>
      <c t="s">
        <v>14975</v>
      </c>
      <c s="3">
        <v>24937</v>
      </c>
      <c s="3">
        <v>24937</v>
      </c>
      <c s="3">
        <v>9438</v>
      </c>
      <c>
        <v>0</v>
      </c>
      <c s="3">
        <v>0</v>
      </c>
      <c s="3">
        <v>3291.15</v>
      </c>
      <c s="3">
        <v>24937</v>
      </c>
      <c r="O5855" s="1" t="str">
        <f ca="1">HYPERLINK("https://web.datatree.com/?/property?propertyId=34323211", "https://web.datatree.com/?/property?propertyId=34323211")</f>
        <v>https://web.datatree.com/?/property?propertyId=34323211</v>
      </c>
      <c r="Q5855" t="s">
        <v>316</v>
      </c>
      <c>
        <v>0.307</v>
      </c>
      <c t="s">
        <v>37741</v>
      </c>
      <c r="U5855" t="s">
        <v>21372</v>
      </c>
      <c r="X5855" t="s">
        <v>42703</v>
      </c>
      <c t="s">
        <v>2626</v>
      </c>
      <c t="s">
        <v>2517</v>
      </c>
      <c t="s">
        <v>39289</v>
      </c>
      <c>
        <v>33909</v>
      </c>
      <c t="s">
        <v>4007</v>
      </c>
      <c t="s">
        <v>48794</v>
      </c>
      <c t="s">
        <v>54559</v>
      </c>
      <c r="AI5855" t="s">
        <v>28334</v>
      </c>
      <c r="AL5855" t="s">
        <v>53112</v>
      </c>
      <c r="AN5855" t="s">
        <v>43132</v>
      </c>
      <c>
        <v>96792</v>
      </c>
      <c t="s">
        <v>61207</v>
      </c>
      <c t="s">
        <v>3093</v>
      </c>
      <c t="s">
        <v>6077</v>
      </c>
    </row>
    <row>
      <c t="s">
        <v>17594</v>
      </c>
      <c t="s">
        <v>29420</v>
      </c>
      <c t="s">
        <v>58328</v>
      </c>
      <c t="s">
        <v>65809</v>
      </c>
      <c t="s">
        <v>30243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856" s="1" t="str">
        <f ca="1">HYPERLINK("https://web.datatree.com/?/property?propertyId=34323396", "https://web.datatree.com/?/property?propertyId=34323396")</f>
        <v>https://web.datatree.com/?/property?propertyId=34323396</v>
      </c>
      <c r="Q5856" t="s">
        <v>316</v>
      </c>
      <c>
        <v>0.23</v>
      </c>
      <c t="s">
        <v>6175</v>
      </c>
      <c t="s">
        <v>67081</v>
      </c>
      <c t="s">
        <v>40339</v>
      </c>
      <c r="X5856" t="s">
        <v>44561</v>
      </c>
      <c t="s">
        <v>49122</v>
      </c>
      <c t="s">
        <v>2517</v>
      </c>
      <c t="s">
        <v>39289</v>
      </c>
      <c>
        <v>33909</v>
      </c>
      <c t="s">
        <v>26150</v>
      </c>
      <c t="s">
        <v>48794</v>
      </c>
      <c t="s">
        <v>18722</v>
      </c>
      <c>
        <v>2900</v>
      </c>
      <c r="AI5856" t="s">
        <v>58507</v>
      </c>
      <c t="s">
        <v>41372</v>
      </c>
      <c r="AL5856" t="s">
        <v>46606</v>
      </c>
      <c t="s">
        <v>46606</v>
      </c>
      <c t="s">
        <v>65451</v>
      </c>
      <c t="s">
        <v>42759</v>
      </c>
      <c t="s">
        <v>22152</v>
      </c>
      <c t="s">
        <v>3093</v>
      </c>
      <c t="s">
        <v>49705</v>
      </c>
    </row>
    <row>
      <c t="s">
        <v>17594</v>
      </c>
      <c t="s">
        <v>53058</v>
      </c>
      <c t="s">
        <v>35031</v>
      </c>
      <c t="s">
        <v>20745</v>
      </c>
      <c t="s">
        <v>54584</v>
      </c>
      <c s="3">
        <v>8100</v>
      </c>
      <c s="3">
        <v>8100</v>
      </c>
      <c s="3">
        <v>8100</v>
      </c>
      <c>
        <v>0</v>
      </c>
      <c s="3">
        <v>0</v>
      </c>
      <c s="3">
        <v>566.28</v>
      </c>
      <c s="3">
        <v>8100</v>
      </c>
      <c r="O5857" s="1" t="str">
        <f ca="1">HYPERLINK("https://web.datatree.com/?/property?propertyId=34323541", "https://web.datatree.com/?/property?propertyId=34323541")</f>
        <v>https://web.datatree.com/?/property?propertyId=34323541</v>
      </c>
      <c r="Q5857" t="s">
        <v>316</v>
      </c>
      <c>
        <v>0.245</v>
      </c>
      <c t="s">
        <v>6175</v>
      </c>
      <c t="s">
        <v>60600</v>
      </c>
      <c t="s">
        <v>16003</v>
      </c>
      <c r="X5857" t="s">
        <v>19508</v>
      </c>
      <c t="s">
        <v>55273</v>
      </c>
      <c t="s">
        <v>2517</v>
      </c>
      <c t="s">
        <v>39289</v>
      </c>
      <c>
        <v>33909</v>
      </c>
      <c t="s">
        <v>46799</v>
      </c>
      <c t="s">
        <v>48794</v>
      </c>
      <c t="s">
        <v>27412</v>
      </c>
      <c>
        <v>320</v>
      </c>
      <c r="AH5857" t="s">
        <v>57851</v>
      </c>
      <c t="s">
        <v>5831</v>
      </c>
      <c t="s">
        <v>45393</v>
      </c>
      <c>
        <v>706</v>
      </c>
      <c t="s">
        <v>38182</v>
      </c>
      <c r="AN5857" t="s">
        <v>10909</v>
      </c>
      <c t="s">
        <v>46543</v>
      </c>
      <c r="AQ5857" t="s">
        <v>27814</v>
      </c>
      <c t="s">
        <v>36803</v>
      </c>
    </row>
    <row>
      <c t="s">
        <v>17594</v>
      </c>
      <c t="s">
        <v>12216</v>
      </c>
      <c t="s">
        <v>49076</v>
      </c>
      <c t="s">
        <v>64653</v>
      </c>
      <c t="s">
        <v>10486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>
        <v>2017</v>
      </c>
      <c>
        <v>5290.12</v>
      </c>
      <c s="1" t="str">
        <f ca="1">HYPERLINK("https://web.datatree.com/?/property?propertyId=34323795", "https://web.datatree.com/?/property?propertyId=34323795")</f>
        <v>https://web.datatree.com/?/property?propertyId=34323795</v>
      </c>
      <c r="Q5858" t="s">
        <v>316</v>
      </c>
      <c>
        <v>0.23</v>
      </c>
      <c t="s">
        <v>42044</v>
      </c>
      <c t="s">
        <v>32859</v>
      </c>
      <c t="s">
        <v>26789</v>
      </c>
      <c r="X5858" t="s">
        <v>56536</v>
      </c>
      <c t="s">
        <v>13478</v>
      </c>
      <c t="s">
        <v>2517</v>
      </c>
      <c t="s">
        <v>39289</v>
      </c>
      <c>
        <v>33909</v>
      </c>
      <c t="s">
        <v>2850</v>
      </c>
      <c t="s">
        <v>48794</v>
      </c>
      <c t="s">
        <v>60325</v>
      </c>
      <c>
        <v>1728</v>
      </c>
      <c r="AI5858" t="s">
        <v>33686</v>
      </c>
      <c t="s">
        <v>45393</v>
      </c>
      <c r="AL5858" t="s">
        <v>55393</v>
      </c>
      <c r="AN5858" t="s">
        <v>39289</v>
      </c>
      <c t="s">
        <v>37825</v>
      </c>
      <c t="s">
        <v>4660</v>
      </c>
      <c t="s">
        <v>3093</v>
      </c>
      <c t="s">
        <v>37232</v>
      </c>
    </row>
    <row>
      <c t="s">
        <v>17594</v>
      </c>
      <c t="s">
        <v>41076</v>
      </c>
      <c t="s">
        <v>13954</v>
      </c>
      <c t="s">
        <v>67248</v>
      </c>
      <c t="s">
        <v>57244</v>
      </c>
      <c s="3">
        <v>8540</v>
      </c>
      <c s="3">
        <v>8540</v>
      </c>
      <c s="3">
        <v>4972</v>
      </c>
      <c>
        <v>0</v>
      </c>
      <c s="3">
        <v>0</v>
      </c>
      <c s="3">
        <v>315.35</v>
      </c>
      <c s="3">
        <v>8540</v>
      </c>
      <c r="O5859" s="1" t="str">
        <f ca="1">HYPERLINK("https://web.datatree.com/?/property?propertyId=34324251", "https://web.datatree.com/?/property?propertyId=34324251")</f>
        <v>https://web.datatree.com/?/property?propertyId=34324251</v>
      </c>
      <c r="Q5859" t="s">
        <v>316</v>
      </c>
      <c>
        <v>0.231</v>
      </c>
      <c t="s">
        <v>5471</v>
      </c>
      <c t="s">
        <v>8762</v>
      </c>
      <c t="s">
        <v>2076</v>
      </c>
      <c r="X5859" t="s">
        <v>59106</v>
      </c>
      <c t="s">
        <v>47180</v>
      </c>
      <c t="s">
        <v>65059</v>
      </c>
      <c t="s">
        <v>39289</v>
      </c>
      <c>
        <v>33905</v>
      </c>
      <c t="s">
        <v>13973</v>
      </c>
      <c t="s">
        <v>48794</v>
      </c>
      <c t="s">
        <v>17660</v>
      </c>
      <c>
        <v>7</v>
      </c>
      <c r="AI5859" t="s">
        <v>47901</v>
      </c>
      <c t="s">
        <v>31192</v>
      </c>
      <c r="AL5859" t="s">
        <v>47935</v>
      </c>
      <c r="AN5859" t="s">
        <v>27747</v>
      </c>
      <c t="s">
        <v>28128</v>
      </c>
      <c t="s">
        <v>22455</v>
      </c>
      <c t="s">
        <v>3093</v>
      </c>
      <c t="s">
        <v>31464</v>
      </c>
    </row>
    <row>
      <c t="s">
        <v>17594</v>
      </c>
      <c t="s">
        <v>17606</v>
      </c>
      <c t="s">
        <v>23090</v>
      </c>
      <c t="s">
        <v>61011</v>
      </c>
      <c t="s">
        <v>10686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860" s="1" t="str">
        <f ca="1">HYPERLINK("https://web.datatree.com/?/property?propertyId=34325530", "https://web.datatree.com/?/property?propertyId=34325530")</f>
        <v>https://web.datatree.com/?/property?propertyId=34325530</v>
      </c>
      <c r="Q5860" t="s">
        <v>316</v>
      </c>
      <c>
        <v>0.23</v>
      </c>
      <c t="s">
        <v>6175</v>
      </c>
      <c r="U5860" t="s">
        <v>32647</v>
      </c>
      <c r="W5860" t="s">
        <v>51930</v>
      </c>
      <c t="s">
        <v>49130</v>
      </c>
      <c t="s">
        <v>49122</v>
      </c>
      <c t="s">
        <v>2517</v>
      </c>
      <c t="s">
        <v>39289</v>
      </c>
      <c>
        <v>33909</v>
      </c>
      <c t="s">
        <v>32395</v>
      </c>
      <c t="s">
        <v>48794</v>
      </c>
      <c t="s">
        <v>37188</v>
      </c>
      <c>
        <v>4729</v>
      </c>
      <c r="AI5860" t="s">
        <v>42196</v>
      </c>
      <c t="s">
        <v>24900</v>
      </c>
      <c r="AL5860" t="s">
        <v>20687</v>
      </c>
      <c r="AN5860" t="s">
        <v>65451</v>
      </c>
      <c t="s">
        <v>17481</v>
      </c>
      <c t="s">
        <v>40826</v>
      </c>
      <c t="s">
        <v>3093</v>
      </c>
      <c t="s">
        <v>52859</v>
      </c>
    </row>
    <row>
      <c t="s">
        <v>42103</v>
      </c>
      <c t="s">
        <v>12313</v>
      </c>
      <c t="s">
        <v>61660</v>
      </c>
      <c t="s">
        <v>63846</v>
      </c>
      <c t="s">
        <v>40044</v>
      </c>
      <c s="3">
        <v>12743</v>
      </c>
      <c s="3">
        <v>12743</v>
      </c>
      <c s="3">
        <v>2593</v>
      </c>
      <c>
        <v>0</v>
      </c>
      <c s="3">
        <v>0</v>
      </c>
      <c s="3">
        <v>93.23</v>
      </c>
      <c s="3">
        <v>12743</v>
      </c>
      <c r="O5861" s="1" t="str">
        <f ca="1">HYPERLINK("https://web.datatree.com/?/property?propertyId=34325735", "https://web.datatree.com/?/property?propertyId=34325735")</f>
        <v>https://web.datatree.com/?/property?propertyId=34325735</v>
      </c>
      <c r="Q5861" t="s">
        <v>316</v>
      </c>
      <c>
        <v>0.179</v>
      </c>
      <c r="T5861" t="s">
        <v>4814</v>
      </c>
      <c t="s">
        <v>10083</v>
      </c>
      <c t="s">
        <v>15051</v>
      </c>
      <c t="s">
        <v>10083</v>
      </c>
      <c t="s">
        <v>51011</v>
      </c>
      <c t="s">
        <v>42540</v>
      </c>
      <c t="s">
        <v>65059</v>
      </c>
      <c t="s">
        <v>39289</v>
      </c>
      <c>
        <v>33907</v>
      </c>
      <c>
        <v>33907</v>
      </c>
      <c t="s">
        <v>48794</v>
      </c>
      <c t="s">
        <v>25708</v>
      </c>
      <c r="AI5861" t="s">
        <v>60161</v>
      </c>
      <c r="AL5861" t="s">
        <v>25529</v>
      </c>
      <c t="s">
        <v>19621</v>
      </c>
      <c t="s">
        <v>50917</v>
      </c>
      <c>
        <v>10956</v>
      </c>
      <c t="s">
        <v>61509</v>
      </c>
      <c t="s">
        <v>3093</v>
      </c>
      <c t="s">
        <v>52878</v>
      </c>
    </row>
    <row>
      <c t="s">
        <v>17594</v>
      </c>
      <c t="s">
        <v>13525</v>
      </c>
      <c t="s">
        <v>30417</v>
      </c>
      <c t="s">
        <v>20960</v>
      </c>
      <c t="s">
        <v>10460</v>
      </c>
      <c s="3">
        <v>48521</v>
      </c>
      <c s="3">
        <v>48521</v>
      </c>
      <c s="3">
        <v>20986</v>
      </c>
      <c>
        <v>0</v>
      </c>
      <c s="3">
        <v>0</v>
      </c>
      <c s="3">
        <v>892.33</v>
      </c>
      <c s="3">
        <v>48521</v>
      </c>
      <c r="O5862" s="1" t="str">
        <f ca="1">HYPERLINK("https://web.datatree.com/?/property?propertyId=34326942", "https://web.datatree.com/?/property?propertyId=34326942")</f>
        <v>https://web.datatree.com/?/property?propertyId=34326942</v>
      </c>
      <c r="Q5862" t="s">
        <v>316</v>
      </c>
      <c>
        <v>0.23</v>
      </c>
      <c t="s">
        <v>6175</v>
      </c>
      <c t="s">
        <v>24409</v>
      </c>
      <c t="s">
        <v>63353</v>
      </c>
      <c r="X5862" t="s">
        <v>29407</v>
      </c>
      <c t="s">
        <v>34676</v>
      </c>
      <c t="s">
        <v>2517</v>
      </c>
      <c t="s">
        <v>39289</v>
      </c>
      <c>
        <v>33904</v>
      </c>
      <c t="s">
        <v>8479</v>
      </c>
      <c t="s">
        <v>48794</v>
      </c>
      <c t="s">
        <v>26713</v>
      </c>
      <c>
        <v>4602</v>
      </c>
      <c r="AI5862" t="s">
        <v>25988</v>
      </c>
      <c t="s">
        <v>835</v>
      </c>
      <c r="AL5862" t="s">
        <v>46797</v>
      </c>
      <c r="AN5862" t="s">
        <v>39289</v>
      </c>
      <c t="s">
        <v>4678</v>
      </c>
      <c t="s">
        <v>61719</v>
      </c>
      <c t="s">
        <v>3093</v>
      </c>
      <c t="s">
        <v>15675</v>
      </c>
    </row>
    <row>
      <c t="s">
        <v>17594</v>
      </c>
      <c t="s">
        <v>36496</v>
      </c>
      <c t="s">
        <v>32493</v>
      </c>
      <c t="s">
        <v>38773</v>
      </c>
      <c t="s">
        <v>9934</v>
      </c>
      <c s="3">
        <v>20002</v>
      </c>
      <c s="3">
        <v>20002</v>
      </c>
      <c s="3">
        <v>9339</v>
      </c>
      <c>
        <v>0</v>
      </c>
      <c s="3">
        <v>0</v>
      </c>
      <c s="3">
        <v>581.22</v>
      </c>
      <c s="3">
        <v>20002</v>
      </c>
      <c r="O5863" s="1" t="str">
        <f ca="1">HYPERLINK("https://web.datatree.com/?/property?propertyId=34327149", "https://web.datatree.com/?/property?propertyId=34327149")</f>
        <v>https://web.datatree.com/?/property?propertyId=34327149</v>
      </c>
      <c r="Q5863" t="s">
        <v>316</v>
      </c>
      <c>
        <v>0.23</v>
      </c>
      <c t="s">
        <v>54449</v>
      </c>
      <c t="s">
        <v>33720</v>
      </c>
      <c t="s">
        <v>10206</v>
      </c>
      <c r="X5863" t="s">
        <v>12011</v>
      </c>
      <c t="s">
        <v>38550</v>
      </c>
      <c t="s">
        <v>2517</v>
      </c>
      <c t="s">
        <v>39289</v>
      </c>
      <c>
        <v>33909</v>
      </c>
      <c t="s">
        <v>2544</v>
      </c>
      <c t="s">
        <v>48794</v>
      </c>
      <c t="s">
        <v>50480</v>
      </c>
      <c>
        <v>734</v>
      </c>
      <c r="AI5863" t="s">
        <v>15209</v>
      </c>
      <c t="s">
        <v>41372</v>
      </c>
      <c r="AL5863" t="s">
        <v>48388</v>
      </c>
      <c r="AN5863" t="s">
        <v>26016</v>
      </c>
      <c t="s">
        <v>43573</v>
      </c>
      <c t="s">
        <v>27553</v>
      </c>
      <c t="s">
        <v>3093</v>
      </c>
      <c t="s">
        <v>40922</v>
      </c>
    </row>
    <row>
      <c t="s">
        <v>17594</v>
      </c>
      <c t="s">
        <v>2240</v>
      </c>
      <c t="s">
        <v>40734</v>
      </c>
      <c t="s">
        <v>17110</v>
      </c>
      <c t="s">
        <v>44324</v>
      </c>
      <c s="3">
        <v>41344</v>
      </c>
      <c s="3">
        <v>41344</v>
      </c>
      <c s="3">
        <v>22824</v>
      </c>
      <c>
        <v>0</v>
      </c>
      <c s="3">
        <v>0</v>
      </c>
      <c s="3">
        <v>882.44</v>
      </c>
      <c s="3">
        <v>41344</v>
      </c>
      <c r="O5864" s="1" t="str">
        <f ca="1">HYPERLINK("https://web.datatree.com/?/property?propertyId=34327203", "https://web.datatree.com/?/property?propertyId=34327203")</f>
        <v>https://web.datatree.com/?/property?propertyId=34327203</v>
      </c>
      <c r="Q5864" t="s">
        <v>316</v>
      </c>
      <c>
        <v>0.244</v>
      </c>
      <c t="s">
        <v>6175</v>
      </c>
      <c t="s">
        <v>52057</v>
      </c>
      <c t="s">
        <v>11553</v>
      </c>
      <c t="s">
        <v>58876</v>
      </c>
      <c t="s">
        <v>11553</v>
      </c>
      <c t="s">
        <v>51507</v>
      </c>
      <c t="s">
        <v>34136</v>
      </c>
      <c t="s">
        <v>2517</v>
      </c>
      <c t="s">
        <v>39289</v>
      </c>
      <c>
        <v>33904</v>
      </c>
      <c t="s">
        <v>6960</v>
      </c>
      <c t="s">
        <v>48794</v>
      </c>
      <c t="s">
        <v>44328</v>
      </c>
      <c>
        <v>1692</v>
      </c>
      <c r="AI5864" t="s">
        <v>8990</v>
      </c>
      <c t="s">
        <v>4985</v>
      </c>
      <c r="AL5864" t="s">
        <v>36672</v>
      </c>
      <c r="AN5864" t="s">
        <v>51137</v>
      </c>
      <c t="s">
        <v>45365</v>
      </c>
      <c t="s">
        <v>19922</v>
      </c>
      <c t="s">
        <v>3093</v>
      </c>
      <c t="s">
        <v>19653</v>
      </c>
    </row>
    <row>
      <c t="s">
        <v>17594</v>
      </c>
      <c t="s">
        <v>7201</v>
      </c>
      <c t="s">
        <v>57678</v>
      </c>
      <c t="s">
        <v>47919</v>
      </c>
      <c t="s">
        <v>35997</v>
      </c>
      <c s="3">
        <v>49440</v>
      </c>
      <c s="3">
        <v>49440</v>
      </c>
      <c s="3">
        <v>22824</v>
      </c>
      <c>
        <v>0</v>
      </c>
      <c s="3">
        <v>0</v>
      </c>
      <c s="3">
        <v>921.46</v>
      </c>
      <c s="3">
        <v>49440</v>
      </c>
      <c r="O5865" s="1" t="str">
        <f ca="1">HYPERLINK("https://web.datatree.com/?/property?propertyId=34327228", "https://web.datatree.com/?/property?propertyId=34327228")</f>
        <v>https://web.datatree.com/?/property?propertyId=34327228</v>
      </c>
      <c r="Q5865" t="s">
        <v>316</v>
      </c>
      <c>
        <v>0.23</v>
      </c>
      <c t="s">
        <v>6175</v>
      </c>
      <c t="s">
        <v>38202</v>
      </c>
      <c t="s">
        <v>66353</v>
      </c>
      <c t="s">
        <v>53608</v>
      </c>
      <c t="s">
        <v>41629</v>
      </c>
      <c t="s">
        <v>4266</v>
      </c>
      <c t="s">
        <v>49122</v>
      </c>
      <c t="s">
        <v>2517</v>
      </c>
      <c t="s">
        <v>39289</v>
      </c>
      <c>
        <v>33904</v>
      </c>
      <c t="s">
        <v>39669</v>
      </c>
      <c t="s">
        <v>48794</v>
      </c>
      <c t="s">
        <v>26186</v>
      </c>
      <c>
        <v>56</v>
      </c>
      <c r="AI5865" t="s">
        <v>50204</v>
      </c>
      <c t="s">
        <v>31192</v>
      </c>
      <c r="AL5865" t="s">
        <v>52505</v>
      </c>
      <c r="AN5865" t="s">
        <v>26016</v>
      </c>
      <c t="s">
        <v>27694</v>
      </c>
      <c t="s">
        <v>36802</v>
      </c>
      <c t="s">
        <v>3093</v>
      </c>
      <c t="s">
        <v>10132</v>
      </c>
    </row>
    <row>
      <c t="s">
        <v>17594</v>
      </c>
      <c t="s">
        <v>15208</v>
      </c>
      <c t="s">
        <v>29516</v>
      </c>
      <c t="s">
        <v>54075</v>
      </c>
      <c t="s">
        <v>1319</v>
      </c>
      <c s="3">
        <v>25675</v>
      </c>
      <c s="3">
        <v>25675</v>
      </c>
      <c s="3">
        <v>9900</v>
      </c>
      <c>
        <v>0</v>
      </c>
      <c s="3">
        <v>0</v>
      </c>
      <c s="3">
        <v>712.89</v>
      </c>
      <c s="3">
        <v>25675</v>
      </c>
      <c r="O5866" s="1" t="str">
        <f ca="1">HYPERLINK("https://web.datatree.com/?/property?propertyId=34327406", "https://web.datatree.com/?/property?propertyId=34327406")</f>
        <v>https://web.datatree.com/?/property?propertyId=34327406</v>
      </c>
      <c r="Q5866" t="s">
        <v>316</v>
      </c>
      <c>
        <v>0.344</v>
      </c>
      <c t="s">
        <v>6175</v>
      </c>
      <c t="s">
        <v>52039</v>
      </c>
      <c t="s">
        <v>45794</v>
      </c>
      <c r="X5866" t="s">
        <v>32434</v>
      </c>
      <c t="s">
        <v>47150</v>
      </c>
      <c t="s">
        <v>2517</v>
      </c>
      <c t="s">
        <v>39289</v>
      </c>
      <c>
        <v>33909</v>
      </c>
      <c t="s">
        <v>51621</v>
      </c>
      <c t="s">
        <v>48794</v>
      </c>
      <c t="s">
        <v>19942</v>
      </c>
      <c>
        <v>10801</v>
      </c>
      <c r="AI5866" t="s">
        <v>13210</v>
      </c>
      <c t="s">
        <v>45620</v>
      </c>
      <c r="AL5866" t="s">
        <v>32381</v>
      </c>
      <c r="AN5866" t="s">
        <v>39289</v>
      </c>
      <c t="s">
        <v>62092</v>
      </c>
      <c t="s">
        <v>50962</v>
      </c>
      <c t="s">
        <v>3093</v>
      </c>
      <c t="s">
        <v>29065</v>
      </c>
    </row>
    <row>
      <c t="s">
        <v>17594</v>
      </c>
      <c t="s">
        <v>54256</v>
      </c>
      <c t="s">
        <v>38193</v>
      </c>
      <c t="s">
        <v>15242</v>
      </c>
      <c t="s">
        <v>9907</v>
      </c>
      <c s="3">
        <v>24937</v>
      </c>
      <c s="3">
        <v>24937</v>
      </c>
      <c s="3">
        <v>9438</v>
      </c>
      <c>
        <v>0</v>
      </c>
      <c s="3">
        <v>0</v>
      </c>
      <c s="3">
        <v>2913.71</v>
      </c>
      <c s="3">
        <v>24937</v>
      </c>
      <c r="O5867" s="1" t="str">
        <f ca="1">HYPERLINK("https://web.datatree.com/?/property?propertyId=34327625", "https://web.datatree.com/?/property?propertyId=34327625")</f>
        <v>https://web.datatree.com/?/property?propertyId=34327625</v>
      </c>
      <c r="Q5867" t="s">
        <v>316</v>
      </c>
      <c>
        <v>0.23</v>
      </c>
      <c t="s">
        <v>37741</v>
      </c>
      <c t="s">
        <v>24592</v>
      </c>
      <c t="s">
        <v>3617</v>
      </c>
      <c t="s">
        <v>13472</v>
      </c>
      <c t="s">
        <v>3617</v>
      </c>
      <c t="s">
        <v>48478</v>
      </c>
      <c t="s">
        <v>2626</v>
      </c>
      <c t="s">
        <v>2517</v>
      </c>
      <c t="s">
        <v>39289</v>
      </c>
      <c>
        <v>33909</v>
      </c>
      <c t="s">
        <v>4007</v>
      </c>
      <c t="s">
        <v>48794</v>
      </c>
      <c t="s">
        <v>8497</v>
      </c>
      <c>
        <v>5523</v>
      </c>
      <c r="AI5867" t="s">
        <v>43786</v>
      </c>
      <c t="s">
        <v>45393</v>
      </c>
      <c r="AL5867" t="s">
        <v>23828</v>
      </c>
      <c t="s">
        <v>23828</v>
      </c>
      <c t="s">
        <v>39289</v>
      </c>
      <c t="s">
        <v>18361</v>
      </c>
      <c t="s">
        <v>27780</v>
      </c>
      <c t="s">
        <v>3093</v>
      </c>
      <c t="s">
        <v>43338</v>
      </c>
    </row>
    <row>
      <c t="s">
        <v>17594</v>
      </c>
      <c t="s">
        <v>42743</v>
      </c>
      <c t="s">
        <v>4878</v>
      </c>
      <c t="s">
        <v>6859</v>
      </c>
      <c t="s">
        <v>24034</v>
      </c>
      <c s="3">
        <v>7700</v>
      </c>
      <c s="3">
        <v>7700</v>
      </c>
      <c s="3">
        <v>7700</v>
      </c>
      <c>
        <v>0</v>
      </c>
      <c s="3">
        <v>0</v>
      </c>
      <c s="3">
        <v>557.43</v>
      </c>
      <c s="3">
        <v>7700</v>
      </c>
      <c>
        <v>2019</v>
      </c>
      <c>
        <v>1766.73</v>
      </c>
      <c s="1" t="str">
        <f ca="1">HYPERLINK("https://web.datatree.com/?/property?propertyId=34327674", "https://web.datatree.com/?/property?propertyId=34327674")</f>
        <v>https://web.datatree.com/?/property?propertyId=34327674</v>
      </c>
      <c r="Q5868" t="s">
        <v>316</v>
      </c>
      <c>
        <v>0.244</v>
      </c>
      <c t="s">
        <v>6175</v>
      </c>
      <c t="s">
        <v>1435</v>
      </c>
      <c t="s">
        <v>33325</v>
      </c>
      <c t="s">
        <v>48320</v>
      </c>
      <c t="s">
        <v>33325</v>
      </c>
      <c t="s">
        <v>19262</v>
      </c>
      <c t="s">
        <v>46469</v>
      </c>
      <c t="s">
        <v>2517</v>
      </c>
      <c t="s">
        <v>39289</v>
      </c>
      <c>
        <v>33909</v>
      </c>
      <c t="s">
        <v>41680</v>
      </c>
      <c t="s">
        <v>48794</v>
      </c>
      <c t="s">
        <v>43774</v>
      </c>
      <c>
        <v>128</v>
      </c>
      <c r="AI5868" t="s">
        <v>65129</v>
      </c>
      <c t="s">
        <v>24900</v>
      </c>
      <c r="AL5868" t="s">
        <v>23695</v>
      </c>
      <c r="AN5868" t="s">
        <v>39289</v>
      </c>
      <c t="s">
        <v>20686</v>
      </c>
      <c t="s">
        <v>44843</v>
      </c>
      <c t="s">
        <v>3093</v>
      </c>
      <c t="s">
        <v>29131</v>
      </c>
    </row>
    <row>
      <c t="s">
        <v>17594</v>
      </c>
      <c t="s">
        <v>4493</v>
      </c>
      <c t="s">
        <v>37331</v>
      </c>
      <c t="s">
        <v>33412</v>
      </c>
      <c t="s">
        <v>36991</v>
      </c>
      <c s="3">
        <v>19262</v>
      </c>
      <c s="3">
        <v>19262</v>
      </c>
      <c s="3">
        <v>8470</v>
      </c>
      <c>
        <v>0</v>
      </c>
      <c s="3">
        <v>0</v>
      </c>
      <c s="3">
        <v>622.16</v>
      </c>
      <c s="3">
        <v>19262</v>
      </c>
      <c r="O5869" s="1" t="str">
        <f ca="1">HYPERLINK("https://web.datatree.com/?/property?propertyId=34328056", "https://web.datatree.com/?/property?propertyId=34328056")</f>
        <v>https://web.datatree.com/?/property?propertyId=34328056</v>
      </c>
      <c r="Q5869" t="s">
        <v>316</v>
      </c>
      <c>
        <v>0.308</v>
      </c>
      <c t="s">
        <v>6175</v>
      </c>
      <c t="s">
        <v>16893</v>
      </c>
      <c t="s">
        <v>36208</v>
      </c>
      <c r="X5869" t="s">
        <v>51773</v>
      </c>
      <c t="s">
        <v>29190</v>
      </c>
      <c t="s">
        <v>2517</v>
      </c>
      <c t="s">
        <v>39289</v>
      </c>
      <c>
        <v>33909</v>
      </c>
      <c t="s">
        <v>29765</v>
      </c>
      <c t="s">
        <v>48794</v>
      </c>
      <c t="s">
        <v>24930</v>
      </c>
      <c>
        <v>358</v>
      </c>
      <c r="AI5869" t="s">
        <v>113</v>
      </c>
      <c t="s">
        <v>31192</v>
      </c>
      <c r="AL5869" t="s">
        <v>28184</v>
      </c>
      <c r="AN5869" t="s">
        <v>32576</v>
      </c>
      <c t="s">
        <v>25072</v>
      </c>
      <c t="s">
        <v>35354</v>
      </c>
      <c t="s">
        <v>3093</v>
      </c>
      <c t="s">
        <v>3387</v>
      </c>
    </row>
    <row>
      <c t="s">
        <v>17594</v>
      </c>
      <c t="s">
        <v>21861</v>
      </c>
      <c t="s">
        <v>2473</v>
      </c>
      <c t="s">
        <v>19842</v>
      </c>
      <c t="s">
        <v>484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870" s="1" t="str">
        <f ca="1">HYPERLINK("https://web.datatree.com/?/property?propertyId=34328201", "https://web.datatree.com/?/property?propertyId=34328201")</f>
        <v>https://web.datatree.com/?/property?propertyId=34328201</v>
      </c>
      <c r="Q5870" t="s">
        <v>316</v>
      </c>
      <c>
        <v>0.23</v>
      </c>
      <c t="s">
        <v>6175</v>
      </c>
      <c t="s">
        <v>25477</v>
      </c>
      <c t="s">
        <v>9592</v>
      </c>
      <c r="X5870" t="s">
        <v>27582</v>
      </c>
      <c t="s">
        <v>60363</v>
      </c>
      <c t="s">
        <v>2517</v>
      </c>
      <c t="s">
        <v>39289</v>
      </c>
      <c>
        <v>33909</v>
      </c>
      <c t="s">
        <v>23328</v>
      </c>
      <c t="s">
        <v>48794</v>
      </c>
      <c t="s">
        <v>51932</v>
      </c>
      <c>
        <v>90</v>
      </c>
      <c r="AI5870" t="s">
        <v>21250</v>
      </c>
      <c t="s">
        <v>45393</v>
      </c>
      <c r="AL5870" t="s">
        <v>29515</v>
      </c>
      <c r="AN5870" t="s">
        <v>39289</v>
      </c>
      <c t="s">
        <v>48469</v>
      </c>
      <c t="s">
        <v>42082</v>
      </c>
      <c t="s">
        <v>3093</v>
      </c>
      <c t="s">
        <v>21413</v>
      </c>
    </row>
    <row>
      <c t="s">
        <v>17594</v>
      </c>
      <c t="s">
        <v>27786</v>
      </c>
      <c t="s">
        <v>60935</v>
      </c>
      <c t="s">
        <v>19379</v>
      </c>
      <c t="s">
        <v>12285</v>
      </c>
      <c s="3">
        <v>8000</v>
      </c>
      <c s="3">
        <v>8000</v>
      </c>
      <c s="3">
        <v>8000</v>
      </c>
      <c>
        <v>0</v>
      </c>
      <c s="3">
        <v>0</v>
      </c>
      <c s="3">
        <v>588.39</v>
      </c>
      <c s="3">
        <v>8000</v>
      </c>
      <c r="O5871" s="1" t="str">
        <f ca="1">HYPERLINK("https://web.datatree.com/?/property?propertyId=34330477", "https://web.datatree.com/?/property?propertyId=34330477")</f>
        <v>https://web.datatree.com/?/property?propertyId=34330477</v>
      </c>
      <c r="Q5871" t="s">
        <v>316</v>
      </c>
      <c>
        <v>0.236</v>
      </c>
      <c t="s">
        <v>22490</v>
      </c>
      <c t="s">
        <v>10361</v>
      </c>
      <c t="s">
        <v>11817</v>
      </c>
      <c t="s">
        <v>27351</v>
      </c>
      <c t="s">
        <v>11817</v>
      </c>
      <c t="s">
        <v>23078</v>
      </c>
      <c t="s">
        <v>38550</v>
      </c>
      <c t="s">
        <v>2517</v>
      </c>
      <c t="s">
        <v>39289</v>
      </c>
      <c>
        <v>33909</v>
      </c>
      <c t="s">
        <v>54420</v>
      </c>
      <c t="s">
        <v>48794</v>
      </c>
      <c t="s">
        <v>40503</v>
      </c>
      <c>
        <v>1002</v>
      </c>
      <c r="AI5871" t="s">
        <v>24279</v>
      </c>
      <c t="s">
        <v>41372</v>
      </c>
      <c r="AL5871" t="s">
        <v>60487</v>
      </c>
      <c r="AN5871" t="s">
        <v>58733</v>
      </c>
      <c t="s">
        <v>10291</v>
      </c>
      <c t="s">
        <v>42082</v>
      </c>
      <c t="s">
        <v>3093</v>
      </c>
      <c t="s">
        <v>36588</v>
      </c>
    </row>
    <row>
      <c t="s">
        <v>17594</v>
      </c>
      <c t="s">
        <v>51546</v>
      </c>
      <c t="s">
        <v>4346</v>
      </c>
      <c t="s">
        <v>44810</v>
      </c>
      <c t="s">
        <v>2603</v>
      </c>
      <c s="3">
        <v>81166</v>
      </c>
      <c s="3">
        <v>81166</v>
      </c>
      <c s="3">
        <v>69119</v>
      </c>
      <c>
        <v>0</v>
      </c>
      <c s="3">
        <v>0</v>
      </c>
      <c s="3">
        <v>1571.9</v>
      </c>
      <c s="3">
        <v>81166</v>
      </c>
      <c r="O5872" s="1" t="str">
        <f ca="1">HYPERLINK("https://web.datatree.com/?/property?propertyId=34331640", "https://web.datatree.com/?/property?propertyId=34331640")</f>
        <v>https://web.datatree.com/?/property?propertyId=34331640</v>
      </c>
      <c r="Q5872" t="s">
        <v>316</v>
      </c>
      <c>
        <v>0.23</v>
      </c>
      <c t="s">
        <v>22490</v>
      </c>
      <c t="s">
        <v>49241</v>
      </c>
      <c t="s">
        <v>46169</v>
      </c>
      <c t="s">
        <v>50129</v>
      </c>
      <c t="s">
        <v>46169</v>
      </c>
      <c t="s">
        <v>50224</v>
      </c>
      <c t="s">
        <v>49074</v>
      </c>
      <c t="s">
        <v>2517</v>
      </c>
      <c t="s">
        <v>39289</v>
      </c>
      <c>
        <v>33904</v>
      </c>
      <c t="s">
        <v>46843</v>
      </c>
      <c t="s">
        <v>48794</v>
      </c>
      <c t="s">
        <v>54784</v>
      </c>
      <c>
        <v>2779</v>
      </c>
      <c r="AI5872" t="s">
        <v>19227</v>
      </c>
      <c t="s">
        <v>24900</v>
      </c>
      <c r="AL5872" t="s">
        <v>2657</v>
      </c>
      <c r="AN5872" t="s">
        <v>22275</v>
      </c>
      <c t="s">
        <v>52893</v>
      </c>
      <c t="s">
        <v>62983</v>
      </c>
      <c t="s">
        <v>3093</v>
      </c>
      <c t="s">
        <v>14028</v>
      </c>
    </row>
    <row>
      <c t="s">
        <v>17594</v>
      </c>
      <c t="s">
        <v>15393</v>
      </c>
      <c t="s">
        <v>46275</v>
      </c>
      <c t="s">
        <v>1802</v>
      </c>
      <c t="s">
        <v>45518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5873" s="1" t="str">
        <f ca="1">HYPERLINK("https://web.datatree.com/?/property?propertyId=34332126", "https://web.datatree.com/?/property?propertyId=34332126")</f>
        <v>https://web.datatree.com/?/property?propertyId=34332126</v>
      </c>
      <c r="Q5873" t="s">
        <v>316</v>
      </c>
      <c>
        <v>0.23</v>
      </c>
      <c t="s">
        <v>6175</v>
      </c>
      <c t="s">
        <v>2527</v>
      </c>
      <c t="s">
        <v>14</v>
      </c>
      <c r="X5873" t="s">
        <v>51292</v>
      </c>
      <c t="s">
        <v>41506</v>
      </c>
      <c t="s">
        <v>2517</v>
      </c>
      <c t="s">
        <v>39289</v>
      </c>
      <c>
        <v>33904</v>
      </c>
      <c t="s">
        <v>3809</v>
      </c>
      <c t="s">
        <v>48794</v>
      </c>
      <c t="s">
        <v>34372</v>
      </c>
      <c>
        <v>2797</v>
      </c>
      <c r="AI5873" t="s">
        <v>36966</v>
      </c>
      <c t="s">
        <v>40123</v>
      </c>
      <c r="AL5873" t="s">
        <v>66562</v>
      </c>
      <c t="s">
        <v>66562</v>
      </c>
      <c t="s">
        <v>17134</v>
      </c>
      <c t="s">
        <v>46920</v>
      </c>
      <c t="s">
        <v>40645</v>
      </c>
      <c t="s">
        <v>3093</v>
      </c>
      <c t="s">
        <v>36318</v>
      </c>
    </row>
    <row>
      <c t="s">
        <v>17594</v>
      </c>
      <c t="s">
        <v>61939</v>
      </c>
      <c t="s">
        <v>21673</v>
      </c>
      <c t="s">
        <v>4796</v>
      </c>
      <c t="s">
        <v>49433</v>
      </c>
      <c s="3">
        <v>49440</v>
      </c>
      <c s="3">
        <v>49440</v>
      </c>
      <c s="3">
        <v>22824</v>
      </c>
      <c>
        <v>0</v>
      </c>
      <c s="3">
        <v>0</v>
      </c>
      <c s="3">
        <v>927.43</v>
      </c>
      <c s="3">
        <v>49440</v>
      </c>
      <c r="O5874" s="1" t="str">
        <f ca="1">HYPERLINK("https://web.datatree.com/?/property?propertyId=34332766", "https://web.datatree.com/?/property?propertyId=34332766")</f>
        <v>https://web.datatree.com/?/property?propertyId=34332766</v>
      </c>
      <c r="Q5874" t="s">
        <v>316</v>
      </c>
      <c>
        <v>0.241</v>
      </c>
      <c t="s">
        <v>6175</v>
      </c>
      <c t="s">
        <v>37616</v>
      </c>
      <c t="s">
        <v>5888</v>
      </c>
      <c t="s">
        <v>19802</v>
      </c>
      <c t="s">
        <v>5888</v>
      </c>
      <c t="s">
        <v>48670</v>
      </c>
      <c t="s">
        <v>24999</v>
      </c>
      <c t="s">
        <v>2517</v>
      </c>
      <c t="s">
        <v>39289</v>
      </c>
      <c>
        <v>33904</v>
      </c>
      <c t="s">
        <v>9852</v>
      </c>
      <c t="s">
        <v>48794</v>
      </c>
      <c t="s">
        <v>34321</v>
      </c>
      <c>
        <v>1801</v>
      </c>
      <c r="AI5874" t="s">
        <v>8737</v>
      </c>
      <c t="s">
        <v>24900</v>
      </c>
      <c r="AL5874" t="s">
        <v>55393</v>
      </c>
      <c r="AN5874" t="s">
        <v>39289</v>
      </c>
      <c t="s">
        <v>20682</v>
      </c>
      <c t="s">
        <v>23611</v>
      </c>
      <c t="s">
        <v>3093</v>
      </c>
      <c t="s">
        <v>57501</v>
      </c>
    </row>
    <row>
      <c t="s">
        <v>17594</v>
      </c>
      <c t="s">
        <v>24275</v>
      </c>
      <c t="s">
        <v>15561</v>
      </c>
      <c t="s">
        <v>34580</v>
      </c>
      <c t="s">
        <v>17150</v>
      </c>
      <c s="3">
        <v>24450</v>
      </c>
      <c s="3">
        <v>24450</v>
      </c>
      <c s="3">
        <v>24450</v>
      </c>
      <c>
        <v>0</v>
      </c>
      <c s="3">
        <v>0</v>
      </c>
      <c s="3">
        <v>679.9</v>
      </c>
      <c s="3">
        <v>24450</v>
      </c>
      <c r="O5875" s="1" t="str">
        <f ca="1">HYPERLINK("https://web.datatree.com/?/property?propertyId=34334200", "https://web.datatree.com/?/property?propertyId=34334200")</f>
        <v>https://web.datatree.com/?/property?propertyId=34334200</v>
      </c>
      <c r="Q5875" t="s">
        <v>316</v>
      </c>
      <c>
        <v>0.23</v>
      </c>
      <c t="s">
        <v>22490</v>
      </c>
      <c t="s">
        <v>65556</v>
      </c>
      <c t="s">
        <v>14696</v>
      </c>
      <c r="X5875" t="s">
        <v>35303</v>
      </c>
      <c t="s">
        <v>66701</v>
      </c>
      <c t="s">
        <v>2517</v>
      </c>
      <c t="s">
        <v>39289</v>
      </c>
      <c>
        <v>33909</v>
      </c>
      <c t="s">
        <v>40236</v>
      </c>
      <c t="s">
        <v>48794</v>
      </c>
      <c t="s">
        <v>42509</v>
      </c>
      <c>
        <v>304</v>
      </c>
      <c r="AI5875" t="s">
        <v>5267</v>
      </c>
      <c t="s">
        <v>4985</v>
      </c>
      <c>
        <v>5313</v>
      </c>
      <c t="s">
        <v>38297</v>
      </c>
      <c t="s">
        <v>38297</v>
      </c>
      <c t="s">
        <v>27222</v>
      </c>
      <c t="s">
        <v>43251</v>
      </c>
      <c t="s">
        <v>2121</v>
      </c>
      <c t="s">
        <v>3093</v>
      </c>
      <c t="s">
        <v>13443</v>
      </c>
    </row>
    <row>
      <c t="s">
        <v>17594</v>
      </c>
      <c t="s">
        <v>6860</v>
      </c>
      <c t="s">
        <v>13096</v>
      </c>
      <c t="s">
        <v>15333</v>
      </c>
      <c t="s">
        <v>61442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876" s="1" t="str">
        <f ca="1">HYPERLINK("https://web.datatree.com/?/property?propertyId=34334488", "https://web.datatree.com/?/property?propertyId=34334488")</f>
        <v>https://web.datatree.com/?/property?propertyId=34334488</v>
      </c>
      <c r="Q5876" t="s">
        <v>316</v>
      </c>
      <c>
        <v>0.232</v>
      </c>
      <c t="s">
        <v>6175</v>
      </c>
      <c t="s">
        <v>37244</v>
      </c>
      <c t="s">
        <v>45989</v>
      </c>
      <c r="W5876" t="s">
        <v>855</v>
      </c>
      <c t="s">
        <v>57767</v>
      </c>
      <c t="s">
        <v>29190</v>
      </c>
      <c t="s">
        <v>2517</v>
      </c>
      <c t="s">
        <v>39289</v>
      </c>
      <c>
        <v>33909</v>
      </c>
      <c t="s">
        <v>2722</v>
      </c>
      <c t="s">
        <v>48794</v>
      </c>
      <c t="s">
        <v>62999</v>
      </c>
      <c>
        <v>1037</v>
      </c>
      <c r="AI5876" t="s">
        <v>65005</v>
      </c>
      <c t="s">
        <v>31192</v>
      </c>
      <c r="AL5876" t="s">
        <v>24515</v>
      </c>
      <c t="s">
        <v>13306</v>
      </c>
      <c t="s">
        <v>27481</v>
      </c>
      <c t="s">
        <v>62228</v>
      </c>
      <c t="s">
        <v>5652</v>
      </c>
      <c t="s">
        <v>3093</v>
      </c>
      <c t="s">
        <v>57884</v>
      </c>
    </row>
    <row>
      <c t="s">
        <v>17594</v>
      </c>
      <c t="s">
        <v>32203</v>
      </c>
      <c t="s">
        <v>7784</v>
      </c>
      <c t="s">
        <v>22779</v>
      </c>
      <c t="s">
        <v>41853</v>
      </c>
      <c s="3">
        <v>8700</v>
      </c>
      <c s="3">
        <v>8700</v>
      </c>
      <c s="3">
        <v>8700</v>
      </c>
      <c>
        <v>0</v>
      </c>
      <c s="3">
        <v>0</v>
      </c>
      <c s="3">
        <v>581.22</v>
      </c>
      <c s="3">
        <v>8700</v>
      </c>
      <c r="O5877" s="1" t="str">
        <f ca="1">HYPERLINK("https://web.datatree.com/?/property?propertyId=34334637", "https://web.datatree.com/?/property?propertyId=34334637")</f>
        <v>https://web.datatree.com/?/property?propertyId=34334637</v>
      </c>
      <c r="Q5877" t="s">
        <v>316</v>
      </c>
      <c>
        <v>0.23</v>
      </c>
      <c t="s">
        <v>54449</v>
      </c>
      <c t="s">
        <v>52259</v>
      </c>
      <c t="s">
        <v>23807</v>
      </c>
      <c t="s">
        <v>65497</v>
      </c>
      <c t="s">
        <v>23807</v>
      </c>
      <c t="s">
        <v>30881</v>
      </c>
      <c t="s">
        <v>39777</v>
      </c>
      <c t="s">
        <v>2517</v>
      </c>
      <c t="s">
        <v>39289</v>
      </c>
      <c>
        <v>33909</v>
      </c>
      <c t="s">
        <v>32741</v>
      </c>
      <c t="s">
        <v>48794</v>
      </c>
      <c t="s">
        <v>4709</v>
      </c>
      <c>
        <v>1329</v>
      </c>
      <c r="AI5877" t="s">
        <v>1831</v>
      </c>
      <c t="s">
        <v>45393</v>
      </c>
      <c r="AL5877" t="s">
        <v>11713</v>
      </c>
      <c r="AN5877" t="s">
        <v>39289</v>
      </c>
      <c t="s">
        <v>60913</v>
      </c>
      <c t="s">
        <v>35375</v>
      </c>
      <c t="s">
        <v>3093</v>
      </c>
      <c t="s">
        <v>10334</v>
      </c>
    </row>
    <row>
      <c t="s">
        <v>17594</v>
      </c>
      <c t="s">
        <v>31898</v>
      </c>
      <c t="s">
        <v>6257</v>
      </c>
      <c t="s">
        <v>58309</v>
      </c>
      <c t="s">
        <v>12660</v>
      </c>
      <c s="3">
        <v>8400</v>
      </c>
      <c s="3">
        <v>8400</v>
      </c>
      <c s="3">
        <v>8400</v>
      </c>
      <c>
        <v>0</v>
      </c>
      <c s="3">
        <v>0</v>
      </c>
      <c s="3">
        <v>620.44</v>
      </c>
      <c s="3">
        <v>8400</v>
      </c>
      <c r="O5878" s="1" t="str">
        <f ca="1">HYPERLINK("https://web.datatree.com/?/property?propertyId=34334788", "https://web.datatree.com/?/property?propertyId=34334788")</f>
        <v>https://web.datatree.com/?/property?propertyId=34334788</v>
      </c>
      <c r="Q5878" t="s">
        <v>316</v>
      </c>
      <c>
        <v>0.23</v>
      </c>
      <c t="s">
        <v>42044</v>
      </c>
      <c t="s">
        <v>23807</v>
      </c>
      <c t="s">
        <v>13824</v>
      </c>
      <c r="X5878" t="s">
        <v>26207</v>
      </c>
      <c t="s">
        <v>7113</v>
      </c>
      <c t="s">
        <v>2517</v>
      </c>
      <c t="s">
        <v>39289</v>
      </c>
      <c>
        <v>33909</v>
      </c>
      <c t="s">
        <v>28696</v>
      </c>
      <c t="s">
        <v>48794</v>
      </c>
      <c t="s">
        <v>65062</v>
      </c>
      <c>
        <v>9775</v>
      </c>
      <c r="AI5878" t="s">
        <v>17004</v>
      </c>
      <c t="s">
        <v>39321</v>
      </c>
      <c r="AL5878" t="s">
        <v>29515</v>
      </c>
      <c t="s">
        <v>47157</v>
      </c>
      <c t="s">
        <v>39289</v>
      </c>
      <c t="s">
        <v>26607</v>
      </c>
      <c t="s">
        <v>63972</v>
      </c>
      <c t="s">
        <v>3093</v>
      </c>
      <c t="s">
        <v>18991</v>
      </c>
    </row>
    <row>
      <c t="s">
        <v>42103</v>
      </c>
      <c t="s">
        <v>52413</v>
      </c>
      <c t="s">
        <v>20446</v>
      </c>
      <c t="s">
        <v>48018</v>
      </c>
      <c t="s">
        <v>67072</v>
      </c>
      <c s="3">
        <v>31592</v>
      </c>
      <c s="3">
        <v>31592</v>
      </c>
      <c s="3">
        <v>31592</v>
      </c>
      <c>
        <v>0</v>
      </c>
      <c s="3">
        <v>0</v>
      </c>
      <c s="3">
        <v>3137.78</v>
      </c>
      <c s="3">
        <v>31592</v>
      </c>
      <c r="O5879" s="1" t="str">
        <f ca="1">HYPERLINK("https://web.datatree.com/?/property?propertyId=34335336", "https://web.datatree.com/?/property?propertyId=34335336")</f>
        <v>https://web.datatree.com/?/property?propertyId=34335336</v>
      </c>
      <c r="Q5879" t="s">
        <v>316</v>
      </c>
      <c>
        <v>0.23</v>
      </c>
      <c t="s">
        <v>22490</v>
      </c>
      <c t="s">
        <v>54569</v>
      </c>
      <c t="s">
        <v>57907</v>
      </c>
      <c t="s">
        <v>55966</v>
      </c>
      <c t="s">
        <v>59296</v>
      </c>
      <c t="s">
        <v>59161</v>
      </c>
      <c t="s">
        <v>25017</v>
      </c>
      <c t="s">
        <v>2517</v>
      </c>
      <c t="s">
        <v>39289</v>
      </c>
      <c>
        <v>33909</v>
      </c>
      <c t="s">
        <v>36507</v>
      </c>
      <c t="s">
        <v>48794</v>
      </c>
      <c t="s">
        <v>7909</v>
      </c>
      <c t="s">
        <v>65051</v>
      </c>
      <c r="AI5879" t="s">
        <v>67112</v>
      </c>
      <c r="AK5879">
        <v>303</v>
      </c>
      <c t="s">
        <v>60998</v>
      </c>
      <c r="AN5879" t="s">
        <v>14798</v>
      </c>
      <c r="AQ5879" t="s">
        <v>3093</v>
      </c>
      <c t="s">
        <v>7942</v>
      </c>
    </row>
    <row>
      <c t="s">
        <v>17594</v>
      </c>
      <c t="s">
        <v>63849</v>
      </c>
      <c t="s">
        <v>36540</v>
      </c>
      <c t="s">
        <v>30431</v>
      </c>
      <c t="s">
        <v>3018</v>
      </c>
      <c s="3">
        <v>47586</v>
      </c>
      <c s="3">
        <v>47586</v>
      </c>
      <c s="3">
        <v>22824</v>
      </c>
      <c>
        <v>0</v>
      </c>
      <c s="3">
        <v>0</v>
      </c>
      <c s="3">
        <v>911.15</v>
      </c>
      <c s="3">
        <v>47586</v>
      </c>
      <c r="O5880" s="1" t="str">
        <f ca="1">HYPERLINK("https://web.datatree.com/?/property?propertyId=34336001", "https://web.datatree.com/?/property?propertyId=34336001")</f>
        <v>https://web.datatree.com/?/property?propertyId=34336001</v>
      </c>
      <c r="Q5880" t="s">
        <v>316</v>
      </c>
      <c>
        <v>0.23</v>
      </c>
      <c t="s">
        <v>6175</v>
      </c>
      <c t="s">
        <v>26367</v>
      </c>
      <c t="s">
        <v>9640</v>
      </c>
      <c t="s">
        <v>58033</v>
      </c>
      <c t="s">
        <v>9640</v>
      </c>
      <c t="s">
        <v>12857</v>
      </c>
      <c t="s">
        <v>39832</v>
      </c>
      <c t="s">
        <v>2517</v>
      </c>
      <c t="s">
        <v>39289</v>
      </c>
      <c>
        <v>33904</v>
      </c>
      <c t="s">
        <v>23973</v>
      </c>
      <c t="s">
        <v>48794</v>
      </c>
      <c t="s">
        <v>1550</v>
      </c>
      <c>
        <v>21380</v>
      </c>
      <c r="AI5880" t="s">
        <v>30051</v>
      </c>
      <c t="s">
        <v>45393</v>
      </c>
      <c r="AL5880" t="s">
        <v>30396</v>
      </c>
      <c r="AN5880" t="s">
        <v>39289</v>
      </c>
      <c t="s">
        <v>36374</v>
      </c>
      <c t="s">
        <v>22455</v>
      </c>
      <c t="s">
        <v>3093</v>
      </c>
      <c t="s">
        <v>21537</v>
      </c>
    </row>
    <row>
      <c t="s">
        <v>17594</v>
      </c>
      <c t="s">
        <v>9261</v>
      </c>
      <c t="s">
        <v>33031</v>
      </c>
      <c t="s">
        <v>60573</v>
      </c>
      <c t="s">
        <v>61330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881" s="1" t="str">
        <f ca="1">HYPERLINK("https://web.datatree.com/?/property?propertyId=34336870", "https://web.datatree.com/?/property?propertyId=34336870")</f>
        <v>https://web.datatree.com/?/property?propertyId=34336870</v>
      </c>
      <c r="Q5881" t="s">
        <v>316</v>
      </c>
      <c>
        <v>0.23</v>
      </c>
      <c t="s">
        <v>22490</v>
      </c>
      <c t="s">
        <v>2527</v>
      </c>
      <c t="s">
        <v>21829</v>
      </c>
      <c r="X5881" t="s">
        <v>43784</v>
      </c>
      <c t="s">
        <v>38550</v>
      </c>
      <c t="s">
        <v>2517</v>
      </c>
      <c t="s">
        <v>39289</v>
      </c>
      <c>
        <v>33909</v>
      </c>
      <c t="s">
        <v>34595</v>
      </c>
      <c t="s">
        <v>48794</v>
      </c>
      <c t="s">
        <v>19769</v>
      </c>
      <c>
        <v>405</v>
      </c>
      <c r="AI5881" t="s">
        <v>48187</v>
      </c>
      <c t="s">
        <v>24900</v>
      </c>
      <c r="AL5881" t="s">
        <v>61009</v>
      </c>
      <c t="s">
        <v>61009</v>
      </c>
      <c t="s">
        <v>26016</v>
      </c>
      <c t="s">
        <v>40540</v>
      </c>
      <c t="s">
        <v>47183</v>
      </c>
      <c t="s">
        <v>3093</v>
      </c>
      <c t="s">
        <v>17820</v>
      </c>
    </row>
    <row>
      <c t="s">
        <v>17594</v>
      </c>
      <c t="s">
        <v>25668</v>
      </c>
      <c t="s">
        <v>42967</v>
      </c>
      <c t="s">
        <v>39123</v>
      </c>
      <c t="s">
        <v>65264</v>
      </c>
      <c s="3">
        <v>7700</v>
      </c>
      <c s="3">
        <v>7700</v>
      </c>
      <c s="3">
        <v>7700</v>
      </c>
      <c>
        <v>0</v>
      </c>
      <c s="3">
        <v>0</v>
      </c>
      <c s="3">
        <v>553.39</v>
      </c>
      <c s="3">
        <v>7700</v>
      </c>
      <c r="O5882" s="1" t="str">
        <f ca="1">HYPERLINK("https://web.datatree.com/?/property?propertyId=34337098", "https://web.datatree.com/?/property?propertyId=34337098")</f>
        <v>https://web.datatree.com/?/property?propertyId=34337098</v>
      </c>
      <c r="Q5882" t="s">
        <v>316</v>
      </c>
      <c>
        <v>0.23</v>
      </c>
      <c t="s">
        <v>6175</v>
      </c>
      <c t="s">
        <v>49741</v>
      </c>
      <c t="s">
        <v>9592</v>
      </c>
      <c t="s">
        <v>35664</v>
      </c>
      <c t="s">
        <v>9592</v>
      </c>
      <c t="s">
        <v>27617</v>
      </c>
      <c t="s">
        <v>41506</v>
      </c>
      <c t="s">
        <v>2517</v>
      </c>
      <c t="s">
        <v>39289</v>
      </c>
      <c>
        <v>33909</v>
      </c>
      <c t="s">
        <v>50857</v>
      </c>
      <c t="s">
        <v>48794</v>
      </c>
      <c t="s">
        <v>52002</v>
      </c>
      <c>
        <v>2735</v>
      </c>
      <c r="AI5882" t="s">
        <v>61850</v>
      </c>
      <c t="s">
        <v>39321</v>
      </c>
      <c r="AL5882" t="s">
        <v>55393</v>
      </c>
      <c t="s">
        <v>55393</v>
      </c>
      <c t="s">
        <v>39289</v>
      </c>
      <c t="s">
        <v>32612</v>
      </c>
      <c t="s">
        <v>23611</v>
      </c>
      <c t="s">
        <v>3093</v>
      </c>
      <c t="s">
        <v>18233</v>
      </c>
    </row>
    <row>
      <c t="s">
        <v>17594</v>
      </c>
      <c t="s">
        <v>46697</v>
      </c>
      <c t="s">
        <v>4810</v>
      </c>
      <c t="s">
        <v>26209</v>
      </c>
      <c t="s">
        <v>46607</v>
      </c>
      <c s="3">
        <v>135000</v>
      </c>
      <c s="3">
        <v>135000</v>
      </c>
      <c s="3">
        <v>135000</v>
      </c>
      <c>
        <v>0</v>
      </c>
      <c s="3">
        <v>0</v>
      </c>
      <c s="3">
        <v>5591.94</v>
      </c>
      <c s="3">
        <v>135000</v>
      </c>
      <c r="O5883" s="1" t="str">
        <f ca="1">HYPERLINK("https://web.datatree.com/?/property?propertyId=34337508", "https://web.datatree.com/?/property?propertyId=34337508")</f>
        <v>https://web.datatree.com/?/property?propertyId=34337508</v>
      </c>
      <c r="Q5883" t="s">
        <v>316</v>
      </c>
      <c>
        <v>0.375</v>
      </c>
      <c t="s">
        <v>60849</v>
      </c>
      <c t="s">
        <v>10361</v>
      </c>
      <c t="s">
        <v>31064</v>
      </c>
      <c t="s">
        <v>26163</v>
      </c>
      <c t="s">
        <v>31064</v>
      </c>
      <c t="s">
        <v>41646</v>
      </c>
      <c t="s">
        <v>62467</v>
      </c>
      <c t="s">
        <v>65059</v>
      </c>
      <c t="s">
        <v>39289</v>
      </c>
      <c>
        <v>33905</v>
      </c>
      <c t="s">
        <v>50784</v>
      </c>
      <c t="s">
        <v>48794</v>
      </c>
      <c t="s">
        <v>20802</v>
      </c>
      <c>
        <v>5250</v>
      </c>
      <c r="AI5883" t="s">
        <v>36249</v>
      </c>
      <c t="s">
        <v>31192</v>
      </c>
      <c r="AL5883" t="s">
        <v>28301</v>
      </c>
      <c r="AN5883" t="s">
        <v>19878</v>
      </c>
      <c t="s">
        <v>17002</v>
      </c>
      <c t="s">
        <v>702</v>
      </c>
      <c t="s">
        <v>3093</v>
      </c>
      <c t="s">
        <v>61356</v>
      </c>
    </row>
    <row>
      <c t="s">
        <v>17594</v>
      </c>
      <c t="s">
        <v>65293</v>
      </c>
      <c t="s">
        <v>16398</v>
      </c>
      <c t="s">
        <v>19761</v>
      </c>
      <c t="s">
        <v>3024</v>
      </c>
      <c s="3">
        <v>78547</v>
      </c>
      <c s="3">
        <v>70500</v>
      </c>
      <c s="3">
        <v>78547</v>
      </c>
      <c>
        <v>0</v>
      </c>
      <c s="3">
        <v>0</v>
      </c>
      <c s="3">
        <v>1180.87</v>
      </c>
      <c s="3">
        <v>78547</v>
      </c>
      <c r="O5884" s="1" t="str">
        <f ca="1">HYPERLINK("https://web.datatree.com/?/property?propertyId=34337939", "https://web.datatree.com/?/property?propertyId=34337939")</f>
        <v>https://web.datatree.com/?/property?propertyId=34337939</v>
      </c>
      <c r="Q5884" t="s">
        <v>316</v>
      </c>
      <c>
        <v>0.095</v>
      </c>
      <c t="s">
        <v>26492</v>
      </c>
      <c t="s">
        <v>16893</v>
      </c>
      <c t="s">
        <v>48129</v>
      </c>
      <c t="s">
        <v>8033</v>
      </c>
      <c t="s">
        <v>22900</v>
      </c>
      <c t="s">
        <v>45695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3039</v>
      </c>
      <c>
        <v>4423</v>
      </c>
      <c r="AI5884" t="s">
        <v>60522</v>
      </c>
      <c r="AL5884" t="s">
        <v>27236</v>
      </c>
      <c t="s">
        <v>40227</v>
      </c>
      <c t="s">
        <v>27481</v>
      </c>
      <c t="s">
        <v>58922</v>
      </c>
      <c t="s">
        <v>37948</v>
      </c>
      <c t="s">
        <v>3093</v>
      </c>
      <c t="s">
        <v>18834</v>
      </c>
    </row>
    <row>
      <c t="s">
        <v>17594</v>
      </c>
      <c t="s">
        <v>51970</v>
      </c>
      <c t="s">
        <v>5718</v>
      </c>
      <c t="s">
        <v>50115</v>
      </c>
      <c t="s">
        <v>61661</v>
      </c>
      <c s="3">
        <v>96904</v>
      </c>
      <c s="3">
        <v>82500</v>
      </c>
      <c s="3">
        <v>87886</v>
      </c>
      <c>
        <v>0</v>
      </c>
      <c s="3">
        <v>0</v>
      </c>
      <c s="3">
        <v>1370.8</v>
      </c>
      <c s="3">
        <v>96904</v>
      </c>
      <c r="O5885" s="1" t="str">
        <f ca="1">HYPERLINK("https://web.datatree.com/?/property?propertyId=34338048", "https://web.datatree.com/?/property?propertyId=34338048")</f>
        <v>https://web.datatree.com/?/property?propertyId=34338048</v>
      </c>
      <c r="Q5885" t="s">
        <v>316</v>
      </c>
      <c>
        <v>0.111</v>
      </c>
      <c t="s">
        <v>26492</v>
      </c>
      <c t="s">
        <v>62380</v>
      </c>
      <c t="s">
        <v>65702</v>
      </c>
      <c t="s">
        <v>1611</v>
      </c>
      <c t="s">
        <v>65702</v>
      </c>
      <c t="s">
        <v>57834</v>
      </c>
      <c t="s">
        <v>15315</v>
      </c>
      <c t="s">
        <v>65059</v>
      </c>
      <c t="s">
        <v>39289</v>
      </c>
      <c>
        <v>33905</v>
      </c>
      <c>
        <v>33905</v>
      </c>
      <c t="s">
        <v>48794</v>
      </c>
      <c t="s">
        <v>66584</v>
      </c>
      <c>
        <v>1815</v>
      </c>
      <c r="AI5885" t="s">
        <v>60684</v>
      </c>
      <c r="AL5885" t="s">
        <v>50087</v>
      </c>
      <c t="s">
        <v>40227</v>
      </c>
      <c t="s">
        <v>10909</v>
      </c>
      <c t="s">
        <v>47086</v>
      </c>
      <c r="AQ5885" t="s">
        <v>27814</v>
      </c>
      <c t="s">
        <v>44793</v>
      </c>
    </row>
    <row>
      <c t="s">
        <v>42103</v>
      </c>
      <c t="s">
        <v>17658</v>
      </c>
      <c t="s">
        <v>31911</v>
      </c>
      <c t="s">
        <v>778</v>
      </c>
      <c t="s">
        <v>66922</v>
      </c>
      <c s="3">
        <v>16000</v>
      </c>
      <c s="3">
        <v>16000</v>
      </c>
      <c s="3">
        <v>16000</v>
      </c>
      <c>
        <v>0</v>
      </c>
      <c s="3">
        <v>0</v>
      </c>
      <c s="3">
        <v>930.62</v>
      </c>
      <c s="3">
        <v>16000</v>
      </c>
      <c r="O5886" s="1" t="str">
        <f ca="1">HYPERLINK("https://web.datatree.com/?/property?propertyId=34338161", "https://web.datatree.com/?/property?propertyId=34338161")</f>
        <v>https://web.datatree.com/?/property?propertyId=34338161</v>
      </c>
      <c r="Q5886" t="s">
        <v>316</v>
      </c>
      <c>
        <v>0.459</v>
      </c>
      <c t="s">
        <v>33269</v>
      </c>
      <c t="s">
        <v>10998</v>
      </c>
      <c t="s">
        <v>12516</v>
      </c>
      <c t="s">
        <v>27351</v>
      </c>
      <c t="s">
        <v>12516</v>
      </c>
      <c t="s">
        <v>32029</v>
      </c>
      <c t="s">
        <v>13478</v>
      </c>
      <c t="s">
        <v>2517</v>
      </c>
      <c t="s">
        <v>39289</v>
      </c>
      <c>
        <v>33909</v>
      </c>
      <c t="s">
        <v>13907</v>
      </c>
      <c t="s">
        <v>48794</v>
      </c>
      <c t="s">
        <v>5254</v>
      </c>
      <c r="AI5886" t="s">
        <v>17195</v>
      </c>
      <c r="AL5886" t="s">
        <v>55393</v>
      </c>
      <c r="AN5886" t="s">
        <v>39289</v>
      </c>
      <c>
        <v>33233</v>
      </c>
      <c t="s">
        <v>1762</v>
      </c>
      <c t="s">
        <v>3093</v>
      </c>
      <c t="s">
        <v>1311</v>
      </c>
    </row>
    <row>
      <c t="s">
        <v>17594</v>
      </c>
      <c t="s">
        <v>23154</v>
      </c>
      <c t="s">
        <v>13890</v>
      </c>
      <c t="s">
        <v>44971</v>
      </c>
      <c t="s">
        <v>9088</v>
      </c>
      <c s="3">
        <v>8100</v>
      </c>
      <c s="3">
        <v>8100</v>
      </c>
      <c s="3">
        <v>8100</v>
      </c>
      <c>
        <v>0</v>
      </c>
      <c s="3">
        <v>0</v>
      </c>
      <c s="3">
        <v>562.24</v>
      </c>
      <c s="3">
        <v>8100</v>
      </c>
      <c>
        <v>2021</v>
      </c>
      <c>
        <v>534.29</v>
      </c>
      <c s="1" t="str">
        <f ca="1">HYPERLINK("https://web.datatree.com/?/property?propertyId=34338705", "https://web.datatree.com/?/property?propertyId=34338705")</f>
        <v>https://web.datatree.com/?/property?propertyId=34338705</v>
      </c>
      <c r="Q5887" t="s">
        <v>316</v>
      </c>
      <c>
        <v>0.23</v>
      </c>
      <c t="s">
        <v>6175</v>
      </c>
      <c t="s">
        <v>49994</v>
      </c>
      <c t="s">
        <v>49999</v>
      </c>
      <c t="s">
        <v>5831</v>
      </c>
      <c t="s">
        <v>17561</v>
      </c>
      <c t="s">
        <v>34460</v>
      </c>
      <c t="s">
        <v>15510</v>
      </c>
      <c t="s">
        <v>2517</v>
      </c>
      <c t="s">
        <v>39289</v>
      </c>
      <c>
        <v>33909</v>
      </c>
      <c t="s">
        <v>7104</v>
      </c>
      <c t="s">
        <v>48794</v>
      </c>
      <c t="s">
        <v>3546</v>
      </c>
      <c t="str">
        <f>"29-55"</f>
        <v>29-55</v>
      </c>
      <c r="AI5887" t="s">
        <v>13741</v>
      </c>
      <c r="AK5887">
        <v>402</v>
      </c>
      <c t="s">
        <v>51565</v>
      </c>
      <c r="AN5887" t="s">
        <v>14798</v>
      </c>
      <c r="AR5887" t="s">
        <v>28122</v>
      </c>
    </row>
    <row>
      <c t="s">
        <v>17594</v>
      </c>
      <c t="s">
        <v>56718</v>
      </c>
      <c t="s">
        <v>42417</v>
      </c>
      <c t="s">
        <v>19199</v>
      </c>
      <c t="s">
        <v>1386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 r="O5888" s="1" t="str">
        <f ca="1">HYPERLINK("https://web.datatree.com/?/property?propertyId=34338735", "https://web.datatree.com/?/property?propertyId=34338735")</f>
        <v>https://web.datatree.com/?/property?propertyId=34338735</v>
      </c>
      <c r="Q5888" t="s">
        <v>316</v>
      </c>
      <c>
        <v>0.244</v>
      </c>
      <c t="s">
        <v>6175</v>
      </c>
      <c t="s">
        <v>54158</v>
      </c>
      <c t="s">
        <v>9232</v>
      </c>
      <c t="s">
        <v>16893</v>
      </c>
      <c t="s">
        <v>9232</v>
      </c>
      <c t="s">
        <v>47056</v>
      </c>
      <c t="s">
        <v>14534</v>
      </c>
      <c t="s">
        <v>2517</v>
      </c>
      <c t="s">
        <v>39289</v>
      </c>
      <c>
        <v>33909</v>
      </c>
      <c t="s">
        <v>9067</v>
      </c>
      <c t="s">
        <v>48794</v>
      </c>
      <c t="s">
        <v>2662</v>
      </c>
      <c>
        <v>23057</v>
      </c>
      <c r="AI5888" t="s">
        <v>60720</v>
      </c>
      <c t="s">
        <v>55842</v>
      </c>
      <c r="AL5888" t="s">
        <v>20040</v>
      </c>
      <c r="AN5888" t="s">
        <v>19878</v>
      </c>
      <c t="s">
        <v>10573</v>
      </c>
      <c t="s">
        <v>66341</v>
      </c>
      <c t="s">
        <v>3093</v>
      </c>
      <c t="s">
        <v>35231</v>
      </c>
    </row>
    <row>
      <c t="s">
        <v>17594</v>
      </c>
      <c t="s">
        <v>8961</v>
      </c>
      <c t="s">
        <v>58723</v>
      </c>
      <c t="s">
        <v>34035</v>
      </c>
      <c t="s">
        <v>7090</v>
      </c>
      <c s="3">
        <v>8100</v>
      </c>
      <c s="3">
        <v>8100</v>
      </c>
      <c s="3">
        <v>8100</v>
      </c>
      <c>
        <v>0</v>
      </c>
      <c s="3">
        <v>0</v>
      </c>
      <c s="3">
        <v>568.23</v>
      </c>
      <c s="3">
        <v>8100</v>
      </c>
      <c r="O5889" s="1" t="str">
        <f ca="1">HYPERLINK("https://web.datatree.com/?/property?propertyId=34339085", "https://web.datatree.com/?/property?propertyId=34339085")</f>
        <v>https://web.datatree.com/?/property?propertyId=34339085</v>
      </c>
      <c r="Q5889" t="s">
        <v>316</v>
      </c>
      <c>
        <v>0.23</v>
      </c>
      <c t="s">
        <v>6175</v>
      </c>
      <c t="s">
        <v>35595</v>
      </c>
      <c t="s">
        <v>55157</v>
      </c>
      <c t="s">
        <v>48738</v>
      </c>
      <c t="s">
        <v>37358</v>
      </c>
      <c t="s">
        <v>56774</v>
      </c>
      <c t="s">
        <v>10653</v>
      </c>
      <c t="s">
        <v>2517</v>
      </c>
      <c t="s">
        <v>39289</v>
      </c>
      <c>
        <v>33909</v>
      </c>
      <c t="s">
        <v>51988</v>
      </c>
      <c t="s">
        <v>48794</v>
      </c>
      <c t="s">
        <v>3058</v>
      </c>
      <c>
        <v>475</v>
      </c>
      <c r="AI5889" t="s">
        <v>50727</v>
      </c>
      <c t="s">
        <v>45620</v>
      </c>
      <c r="AL5889" t="s">
        <v>46985</v>
      </c>
      <c t="s">
        <v>46985</v>
      </c>
      <c t="s">
        <v>50917</v>
      </c>
      <c t="s">
        <v>45720</v>
      </c>
      <c t="s">
        <v>51249</v>
      </c>
      <c t="s">
        <v>3093</v>
      </c>
      <c t="s">
        <v>27234</v>
      </c>
    </row>
    <row>
      <c t="s">
        <v>17594</v>
      </c>
      <c t="s">
        <v>21071</v>
      </c>
      <c t="s">
        <v>13482</v>
      </c>
      <c t="s">
        <v>61286</v>
      </c>
      <c t="s">
        <v>26595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890" s="1" t="str">
        <f ca="1">HYPERLINK("https://web.datatree.com/?/property?propertyId=34339757", "https://web.datatree.com/?/property?propertyId=34339757")</f>
        <v>https://web.datatree.com/?/property?propertyId=34339757</v>
      </c>
      <c r="Q5890" t="s">
        <v>316</v>
      </c>
      <c>
        <v>0.23</v>
      </c>
      <c t="s">
        <v>6175</v>
      </c>
      <c t="s">
        <v>36999</v>
      </c>
      <c t="s">
        <v>62189</v>
      </c>
      <c r="X5890" t="s">
        <v>28480</v>
      </c>
      <c t="s">
        <v>66701</v>
      </c>
      <c t="s">
        <v>2517</v>
      </c>
      <c t="s">
        <v>39289</v>
      </c>
      <c>
        <v>33909</v>
      </c>
      <c t="s">
        <v>60365</v>
      </c>
      <c t="s">
        <v>48794</v>
      </c>
      <c t="s">
        <v>14717</v>
      </c>
      <c r="AI5890" t="s">
        <v>3229</v>
      </c>
      <c r="AL5890" t="s">
        <v>34667</v>
      </c>
      <c r="AN5890" t="s">
        <v>31580</v>
      </c>
      <c>
        <v>88332</v>
      </c>
      <c r="AR5890" t="s">
        <v>64437</v>
      </c>
    </row>
    <row>
      <c t="s">
        <v>17594</v>
      </c>
      <c t="s">
        <v>42166</v>
      </c>
      <c t="s">
        <v>30289</v>
      </c>
      <c t="s">
        <v>57814</v>
      </c>
      <c t="s">
        <v>3918</v>
      </c>
      <c s="3">
        <v>136750</v>
      </c>
      <c s="3">
        <v>136750</v>
      </c>
      <c s="3">
        <v>93500</v>
      </c>
      <c>
        <v>0</v>
      </c>
      <c s="3">
        <v>0</v>
      </c>
      <c s="3">
        <v>1859.07</v>
      </c>
      <c s="3">
        <v>136750</v>
      </c>
      <c r="O5891" s="1" t="str">
        <f ca="1">HYPERLINK("https://web.datatree.com/?/property?propertyId=34339761", "https://web.datatree.com/?/property?propertyId=34339761")</f>
        <v>https://web.datatree.com/?/property?propertyId=34339761</v>
      </c>
      <c r="Q5891" t="s">
        <v>316</v>
      </c>
      <c>
        <v>0.684</v>
      </c>
      <c t="s">
        <v>50623</v>
      </c>
      <c t="s">
        <v>50331</v>
      </c>
      <c t="s">
        <v>8558</v>
      </c>
      <c t="s">
        <v>58927</v>
      </c>
      <c t="s">
        <v>8558</v>
      </c>
      <c t="s">
        <v>18147</v>
      </c>
      <c t="s">
        <v>40083</v>
      </c>
      <c t="s">
        <v>65059</v>
      </c>
      <c t="s">
        <v>39289</v>
      </c>
      <c>
        <v>33901</v>
      </c>
      <c>
        <v>33901</v>
      </c>
      <c t="s">
        <v>48794</v>
      </c>
      <c t="s">
        <v>3026</v>
      </c>
      <c>
        <v>3241</v>
      </c>
      <c r="AI5891" t="s">
        <v>37783</v>
      </c>
      <c t="s">
        <v>40123</v>
      </c>
      <c r="AL5891" t="s">
        <v>55393</v>
      </c>
      <c r="AN5891" t="s">
        <v>39289</v>
      </c>
      <c t="s">
        <v>22633</v>
      </c>
      <c t="s">
        <v>38085</v>
      </c>
      <c t="s">
        <v>3093</v>
      </c>
      <c t="s">
        <v>1670</v>
      </c>
    </row>
    <row>
      <c t="s">
        <v>17594</v>
      </c>
      <c t="s">
        <v>53575</v>
      </c>
      <c t="s">
        <v>41811</v>
      </c>
      <c t="s">
        <v>6374</v>
      </c>
      <c t="s">
        <v>23808</v>
      </c>
      <c s="3">
        <v>26250</v>
      </c>
      <c s="3">
        <v>26250</v>
      </c>
      <c s="3">
        <v>9433</v>
      </c>
      <c>
        <v>0</v>
      </c>
      <c s="3">
        <v>0</v>
      </c>
      <c s="3">
        <v>415.68</v>
      </c>
      <c s="3">
        <v>26250</v>
      </c>
      <c r="O5892" s="1" t="str">
        <f ca="1">HYPERLINK("https://web.datatree.com/?/property?propertyId=34340535", "https://web.datatree.com/?/property?propertyId=34340535")</f>
        <v>https://web.datatree.com/?/property?propertyId=34340535</v>
      </c>
      <c r="Q5892" t="s">
        <v>316</v>
      </c>
      <c>
        <v>0.245</v>
      </c>
      <c t="s">
        <v>5471</v>
      </c>
      <c t="s">
        <v>16200</v>
      </c>
      <c t="s">
        <v>39141</v>
      </c>
      <c t="s">
        <v>55829</v>
      </c>
      <c t="s">
        <v>39141</v>
      </c>
      <c t="s">
        <v>11418</v>
      </c>
      <c t="s">
        <v>37009</v>
      </c>
      <c t="s">
        <v>65059</v>
      </c>
      <c t="s">
        <v>39289</v>
      </c>
      <c>
        <v>33905</v>
      </c>
      <c>
        <v>33905</v>
      </c>
      <c t="s">
        <v>48794</v>
      </c>
      <c t="s">
        <v>60126</v>
      </c>
      <c>
        <v>7</v>
      </c>
      <c r="AI5892" t="s">
        <v>47160</v>
      </c>
      <c t="s">
        <v>4985</v>
      </c>
      <c r="AL5892" t="s">
        <v>20279</v>
      </c>
      <c t="s">
        <v>40227</v>
      </c>
      <c t="s">
        <v>50917</v>
      </c>
      <c t="s">
        <v>55128</v>
      </c>
      <c t="s">
        <v>26242</v>
      </c>
      <c t="s">
        <v>3093</v>
      </c>
      <c t="s">
        <v>44206</v>
      </c>
    </row>
    <row>
      <c t="s">
        <v>17594</v>
      </c>
      <c t="s">
        <v>32254</v>
      </c>
      <c t="s">
        <v>63362</v>
      </c>
      <c t="s">
        <v>709</v>
      </c>
      <c t="s">
        <v>9582</v>
      </c>
      <c s="3">
        <v>21045</v>
      </c>
      <c s="3">
        <v>21045</v>
      </c>
      <c s="3">
        <v>8800</v>
      </c>
      <c>
        <v>0</v>
      </c>
      <c s="3">
        <v>0</v>
      </c>
      <c s="3">
        <v>598.34</v>
      </c>
      <c s="3">
        <v>21045</v>
      </c>
      <c r="O5893" s="1" t="str">
        <f ca="1">HYPERLINK("https://web.datatree.com/?/property?propertyId=34341537", "https://web.datatree.com/?/property?propertyId=34341537")</f>
        <v>https://web.datatree.com/?/property?propertyId=34341537</v>
      </c>
      <c r="Q5893" t="s">
        <v>316</v>
      </c>
      <c>
        <v>0.244</v>
      </c>
      <c t="s">
        <v>22490</v>
      </c>
      <c t="s">
        <v>54158</v>
      </c>
      <c t="s">
        <v>48441</v>
      </c>
      <c r="X5893" t="s">
        <v>54992</v>
      </c>
      <c t="s">
        <v>23517</v>
      </c>
      <c t="s">
        <v>2517</v>
      </c>
      <c t="s">
        <v>39289</v>
      </c>
      <c>
        <v>33909</v>
      </c>
      <c t="s">
        <v>64942</v>
      </c>
      <c t="s">
        <v>48794</v>
      </c>
      <c t="s">
        <v>66735</v>
      </c>
      <c>
        <v>721</v>
      </c>
      <c r="AI5893" t="s">
        <v>58797</v>
      </c>
      <c t="s">
        <v>24900</v>
      </c>
      <c r="AL5893" t="s">
        <v>46989</v>
      </c>
      <c r="AN5893" t="s">
        <v>39289</v>
      </c>
      <c t="s">
        <v>37025</v>
      </c>
      <c t="s">
        <v>32746</v>
      </c>
      <c t="s">
        <v>3093</v>
      </c>
      <c t="s">
        <v>60530</v>
      </c>
    </row>
    <row>
      <c t="s">
        <v>17594</v>
      </c>
      <c t="s">
        <v>57036</v>
      </c>
      <c t="s">
        <v>39038</v>
      </c>
      <c t="s">
        <v>28083</v>
      </c>
      <c t="s">
        <v>59369</v>
      </c>
      <c s="3">
        <v>7700</v>
      </c>
      <c s="3">
        <v>7700</v>
      </c>
      <c s="3">
        <v>7700</v>
      </c>
      <c>
        <v>0</v>
      </c>
      <c s="3">
        <v>0</v>
      </c>
      <c s="3">
        <v>572.25</v>
      </c>
      <c s="3">
        <v>7700</v>
      </c>
      <c r="O5894" s="1" t="str">
        <f ca="1">HYPERLINK("https://web.datatree.com/?/property?propertyId=34341992", "https://web.datatree.com/?/property?propertyId=34341992")</f>
        <v>https://web.datatree.com/?/property?propertyId=34341992</v>
      </c>
      <c r="Q5894" t="s">
        <v>316</v>
      </c>
      <c>
        <v>0.231</v>
      </c>
      <c t="s">
        <v>6175</v>
      </c>
      <c t="s">
        <v>49393</v>
      </c>
      <c t="s">
        <v>45864</v>
      </c>
      <c r="X5894" t="s">
        <v>21779</v>
      </c>
      <c t="s">
        <v>46469</v>
      </c>
      <c t="s">
        <v>2517</v>
      </c>
      <c t="s">
        <v>39289</v>
      </c>
      <c>
        <v>33909</v>
      </c>
      <c t="s">
        <v>66719</v>
      </c>
      <c t="s">
        <v>48794</v>
      </c>
      <c t="s">
        <v>33410</v>
      </c>
      <c>
        <v>1331</v>
      </c>
      <c r="AI5894" t="s">
        <v>37783</v>
      </c>
      <c t="s">
        <v>25963</v>
      </c>
      <c>
        <v>204</v>
      </c>
      <c t="s">
        <v>55393</v>
      </c>
      <c t="s">
        <v>35365</v>
      </c>
      <c t="s">
        <v>39289</v>
      </c>
      <c t="s">
        <v>41037</v>
      </c>
      <c t="s">
        <v>32895</v>
      </c>
      <c t="s">
        <v>3093</v>
      </c>
      <c t="s">
        <v>53785</v>
      </c>
    </row>
    <row>
      <c t="s">
        <v>17594</v>
      </c>
      <c t="s">
        <v>55870</v>
      </c>
      <c t="s">
        <v>25521</v>
      </c>
      <c t="s">
        <v>64716</v>
      </c>
      <c t="s">
        <v>41711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895" s="1" t="str">
        <f ca="1">HYPERLINK("https://web.datatree.com/?/property?propertyId=34342093", "https://web.datatree.com/?/property?propertyId=34342093")</f>
        <v>https://web.datatree.com/?/property?propertyId=34342093</v>
      </c>
      <c r="Q5895" t="s">
        <v>316</v>
      </c>
      <c>
        <v>0.23</v>
      </c>
      <c t="s">
        <v>6175</v>
      </c>
      <c t="s">
        <v>22078</v>
      </c>
      <c t="s">
        <v>24714</v>
      </c>
      <c r="X5895" t="s">
        <v>57313</v>
      </c>
      <c t="s">
        <v>49122</v>
      </c>
      <c t="s">
        <v>2517</v>
      </c>
      <c t="s">
        <v>39289</v>
      </c>
      <c>
        <v>33909</v>
      </c>
      <c t="s">
        <v>62551</v>
      </c>
      <c t="s">
        <v>48794</v>
      </c>
      <c t="s">
        <v>48775</v>
      </c>
      <c>
        <v>7751</v>
      </c>
      <c r="AI5895" t="s">
        <v>61865</v>
      </c>
      <c t="s">
        <v>45393</v>
      </c>
      <c r="AL5895" t="s">
        <v>25857</v>
      </c>
      <c r="AN5895" t="s">
        <v>39289</v>
      </c>
      <c t="s">
        <v>6844</v>
      </c>
      <c t="s">
        <v>26416</v>
      </c>
      <c t="s">
        <v>3093</v>
      </c>
      <c t="s">
        <v>10198</v>
      </c>
    </row>
    <row>
      <c t="s">
        <v>17594</v>
      </c>
      <c t="s">
        <v>39219</v>
      </c>
      <c t="s">
        <v>45628</v>
      </c>
      <c t="s">
        <v>8731</v>
      </c>
      <c t="s">
        <v>51737</v>
      </c>
      <c s="3">
        <v>17800</v>
      </c>
      <c s="3">
        <v>17800</v>
      </c>
      <c s="3">
        <v>8360</v>
      </c>
      <c>
        <v>0</v>
      </c>
      <c s="3">
        <v>0</v>
      </c>
      <c s="3">
        <v>573.63</v>
      </c>
      <c s="3">
        <v>17800</v>
      </c>
      <c>
        <v>2021</v>
      </c>
      <c>
        <v>546.9</v>
      </c>
      <c s="1" t="str">
        <f ca="1">HYPERLINK("https://web.datatree.com/?/property?propertyId=34342526", "https://web.datatree.com/?/property?propertyId=34342526")</f>
        <v>https://web.datatree.com/?/property?propertyId=34342526</v>
      </c>
      <c r="Q5896" t="s">
        <v>316</v>
      </c>
      <c>
        <v>0.255</v>
      </c>
      <c t="s">
        <v>6175</v>
      </c>
      <c t="s">
        <v>66690</v>
      </c>
      <c t="s">
        <v>24840</v>
      </c>
      <c r="X5896" t="s">
        <v>12380</v>
      </c>
      <c t="s">
        <v>23517</v>
      </c>
      <c t="s">
        <v>2517</v>
      </c>
      <c t="s">
        <v>39289</v>
      </c>
      <c>
        <v>33909</v>
      </c>
      <c t="s">
        <v>1293</v>
      </c>
      <c t="s">
        <v>48794</v>
      </c>
      <c t="s">
        <v>38171</v>
      </c>
      <c>
        <v>95</v>
      </c>
      <c r="AI5896" t="s">
        <v>44129</v>
      </c>
      <c t="s">
        <v>45393</v>
      </c>
      <c r="AL5896" t="s">
        <v>61009</v>
      </c>
      <c r="AN5896" t="s">
        <v>26016</v>
      </c>
      <c t="s">
        <v>10919</v>
      </c>
      <c t="s">
        <v>7207</v>
      </c>
      <c t="s">
        <v>3093</v>
      </c>
      <c t="s">
        <v>40876</v>
      </c>
    </row>
    <row>
      <c t="s">
        <v>17594</v>
      </c>
      <c t="s">
        <v>51029</v>
      </c>
      <c t="s">
        <v>54894</v>
      </c>
      <c t="s">
        <v>13608</v>
      </c>
      <c t="s">
        <v>48939</v>
      </c>
      <c s="3">
        <v>7500</v>
      </c>
      <c s="3">
        <v>7500</v>
      </c>
      <c s="3">
        <v>7500</v>
      </c>
      <c>
        <v>0</v>
      </c>
      <c s="3">
        <v>0</v>
      </c>
      <c s="3">
        <v>623.83</v>
      </c>
      <c s="3">
        <v>7500</v>
      </c>
      <c>
        <v>2021</v>
      </c>
      <c>
        <v>523.58</v>
      </c>
      <c s="1" t="str">
        <f ca="1">HYPERLINK("https://web.datatree.com/?/property?propertyId=34342790", "https://web.datatree.com/?/property?propertyId=34342790")</f>
        <v>https://web.datatree.com/?/property?propertyId=34342790</v>
      </c>
      <c r="Q5897" t="s">
        <v>316</v>
      </c>
      <c>
        <v>0.23</v>
      </c>
      <c t="s">
        <v>6175</v>
      </c>
      <c t="s">
        <v>66812</v>
      </c>
      <c t="s">
        <v>37991</v>
      </c>
      <c r="X5897" t="s">
        <v>2697</v>
      </c>
      <c t="s">
        <v>34731</v>
      </c>
      <c t="s">
        <v>2517</v>
      </c>
      <c t="s">
        <v>39289</v>
      </c>
      <c>
        <v>33909</v>
      </c>
      <c t="s">
        <v>54464</v>
      </c>
      <c t="s">
        <v>48794</v>
      </c>
      <c t="s">
        <v>9902</v>
      </c>
      <c>
        <v>20334</v>
      </c>
      <c r="AI5897" t="s">
        <v>3042</v>
      </c>
      <c t="s">
        <v>40123</v>
      </c>
      <c r="AL5897" t="s">
        <v>41781</v>
      </c>
      <c r="AN5897" t="s">
        <v>39289</v>
      </c>
      <c t="s">
        <v>44812</v>
      </c>
      <c t="s">
        <v>43446</v>
      </c>
      <c t="s">
        <v>3093</v>
      </c>
      <c t="s">
        <v>28103</v>
      </c>
    </row>
    <row>
      <c t="s">
        <v>17594</v>
      </c>
      <c t="s">
        <v>32796</v>
      </c>
      <c t="s">
        <v>32333</v>
      </c>
      <c t="s">
        <v>63039</v>
      </c>
      <c t="s">
        <v>16176</v>
      </c>
      <c s="3">
        <v>23673</v>
      </c>
      <c s="3">
        <v>23673</v>
      </c>
      <c s="3">
        <v>9570</v>
      </c>
      <c>
        <v>0</v>
      </c>
      <c s="3">
        <v>0</v>
      </c>
      <c s="3">
        <v>608.02</v>
      </c>
      <c s="3">
        <v>23673</v>
      </c>
      <c r="O5898" s="1" t="str">
        <f ca="1">HYPERLINK("https://web.datatree.com/?/property?propertyId=34343282", "https://web.datatree.com/?/property?propertyId=34343282")</f>
        <v>https://web.datatree.com/?/property?propertyId=34343282</v>
      </c>
      <c r="Q5898" t="s">
        <v>316</v>
      </c>
      <c>
        <v>0.238</v>
      </c>
      <c t="s">
        <v>22490</v>
      </c>
      <c t="s">
        <v>50331</v>
      </c>
      <c t="s">
        <v>64851</v>
      </c>
      <c t="s">
        <v>46578</v>
      </c>
      <c t="s">
        <v>64851</v>
      </c>
      <c t="s">
        <v>11339</v>
      </c>
      <c t="s">
        <v>38550</v>
      </c>
      <c t="s">
        <v>2517</v>
      </c>
      <c t="s">
        <v>39289</v>
      </c>
      <c>
        <v>33909</v>
      </c>
      <c t="s">
        <v>4887</v>
      </c>
      <c t="s">
        <v>48794</v>
      </c>
      <c t="s">
        <v>63831</v>
      </c>
      <c>
        <v>547</v>
      </c>
      <c r="AI5898" t="s">
        <v>29555</v>
      </c>
      <c t="s">
        <v>31192</v>
      </c>
      <c r="AL5898" t="s">
        <v>2107</v>
      </c>
      <c r="AN5898" t="s">
        <v>65467</v>
      </c>
      <c t="s">
        <v>37588</v>
      </c>
      <c t="s">
        <v>702</v>
      </c>
      <c t="s">
        <v>3093</v>
      </c>
      <c t="s">
        <v>7502</v>
      </c>
    </row>
    <row>
      <c t="s">
        <v>17594</v>
      </c>
      <c t="s">
        <v>7790</v>
      </c>
      <c t="s">
        <v>29768</v>
      </c>
      <c t="s">
        <v>23652</v>
      </c>
      <c t="s">
        <v>51857</v>
      </c>
      <c s="3">
        <v>23352</v>
      </c>
      <c s="3">
        <v>23352</v>
      </c>
      <c s="3">
        <v>23352</v>
      </c>
      <c>
        <v>0</v>
      </c>
      <c s="3">
        <v>0</v>
      </c>
      <c s="3">
        <v>743.35</v>
      </c>
      <c s="3">
        <v>23352</v>
      </c>
      <c r="O5899" s="1" t="str">
        <f ca="1">HYPERLINK("https://web.datatree.com/?/property?propertyId=34343794", "https://web.datatree.com/?/property?propertyId=34343794")</f>
        <v>https://web.datatree.com/?/property?propertyId=34343794</v>
      </c>
      <c r="Q5899" t="s">
        <v>316</v>
      </c>
      <c>
        <v>0.231</v>
      </c>
      <c t="s">
        <v>22490</v>
      </c>
      <c t="s">
        <v>46116</v>
      </c>
      <c t="s">
        <v>49622</v>
      </c>
      <c r="X5899" t="s">
        <v>28924</v>
      </c>
      <c t="s">
        <v>14917</v>
      </c>
      <c t="s">
        <v>2517</v>
      </c>
      <c t="s">
        <v>39289</v>
      </c>
      <c>
        <v>33909</v>
      </c>
      <c>
        <v>33909</v>
      </c>
      <c t="s">
        <v>48794</v>
      </c>
      <c t="s">
        <v>57776</v>
      </c>
      <c>
        <v>39</v>
      </c>
      <c r="AI5899" t="s">
        <v>37773</v>
      </c>
      <c t="s">
        <v>45393</v>
      </c>
      <c r="AL5899" t="s">
        <v>1153</v>
      </c>
      <c t="s">
        <v>1153</v>
      </c>
      <c t="s">
        <v>65451</v>
      </c>
      <c t="s">
        <v>64654</v>
      </c>
      <c t="s">
        <v>54916</v>
      </c>
      <c t="s">
        <v>3093</v>
      </c>
      <c t="s">
        <v>46501</v>
      </c>
    </row>
    <row>
      <c t="s">
        <v>17594</v>
      </c>
      <c t="s">
        <v>46144</v>
      </c>
      <c t="s">
        <v>1510</v>
      </c>
      <c t="s">
        <v>60912</v>
      </c>
      <c t="s">
        <v>63072</v>
      </c>
      <c s="3">
        <v>7000</v>
      </c>
      <c s="3">
        <v>7000</v>
      </c>
      <c s="3">
        <v>3699</v>
      </c>
      <c>
        <v>0</v>
      </c>
      <c s="3">
        <v>0</v>
      </c>
      <c s="3">
        <v>86.14</v>
      </c>
      <c s="3">
        <v>7000</v>
      </c>
      <c r="O5900" s="1" t="str">
        <f ca="1">HYPERLINK("https://web.datatree.com/?/property?propertyId=34344539", "https://web.datatree.com/?/property?propertyId=34344539")</f>
        <v>https://web.datatree.com/?/property?propertyId=34344539</v>
      </c>
      <c r="Q5900" t="s">
        <v>316</v>
      </c>
      <c>
        <v>0.107</v>
      </c>
      <c t="s">
        <v>36917</v>
      </c>
      <c t="s">
        <v>1992</v>
      </c>
      <c t="s">
        <v>11962</v>
      </c>
      <c r="X5900" t="s">
        <v>1437</v>
      </c>
      <c t="s">
        <v>30657</v>
      </c>
      <c t="s">
        <v>54524</v>
      </c>
      <c t="s">
        <v>39289</v>
      </c>
      <c>
        <v>33903</v>
      </c>
      <c t="s">
        <v>4013</v>
      </c>
      <c t="s">
        <v>48794</v>
      </c>
      <c t="s">
        <v>61550</v>
      </c>
      <c>
        <v>7341</v>
      </c>
      <c r="AI5900" t="s">
        <v>44560</v>
      </c>
      <c t="s">
        <v>39321</v>
      </c>
      <c>
        <v>100</v>
      </c>
      <c t="s">
        <v>29515</v>
      </c>
      <c r="AN5900" t="s">
        <v>39289</v>
      </c>
      <c t="s">
        <v>7745</v>
      </c>
      <c t="s">
        <v>54916</v>
      </c>
      <c t="s">
        <v>3093</v>
      </c>
      <c t="s">
        <v>23916</v>
      </c>
    </row>
    <row>
      <c t="s">
        <v>17594</v>
      </c>
      <c t="s">
        <v>12825</v>
      </c>
      <c t="s">
        <v>17539</v>
      </c>
      <c t="s">
        <v>33338</v>
      </c>
      <c t="s">
        <v>8017</v>
      </c>
      <c s="3">
        <v>33906</v>
      </c>
      <c s="3">
        <v>33906</v>
      </c>
      <c s="3">
        <v>33906</v>
      </c>
      <c>
        <v>0</v>
      </c>
      <c s="3">
        <v>0</v>
      </c>
      <c s="3">
        <v>3093.55</v>
      </c>
      <c s="3">
        <v>33906</v>
      </c>
      <c>
        <v>2021</v>
      </c>
      <c>
        <v>3197.36</v>
      </c>
      <c s="1" t="str">
        <f ca="1">HYPERLINK("https://web.datatree.com/?/property?propertyId=34344701", "https://web.datatree.com/?/property?propertyId=34344701")</f>
        <v>https://web.datatree.com/?/property?propertyId=34344701</v>
      </c>
      <c r="Q5901" t="s">
        <v>316</v>
      </c>
      <c>
        <v>0.23</v>
      </c>
      <c t="s">
        <v>22490</v>
      </c>
      <c t="s">
        <v>36943</v>
      </c>
      <c t="s">
        <v>50131</v>
      </c>
      <c t="s">
        <v>49806</v>
      </c>
      <c t="s">
        <v>50131</v>
      </c>
      <c t="s">
        <v>56046</v>
      </c>
      <c t="s">
        <v>47150</v>
      </c>
      <c t="s">
        <v>2517</v>
      </c>
      <c t="s">
        <v>39289</v>
      </c>
      <c>
        <v>33909</v>
      </c>
      <c t="s">
        <v>30574</v>
      </c>
      <c t="s">
        <v>48794</v>
      </c>
      <c t="s">
        <v>43827</v>
      </c>
      <c>
        <v>35</v>
      </c>
      <c r="AI5901" t="s">
        <v>5431</v>
      </c>
      <c t="s">
        <v>45393</v>
      </c>
      <c r="AL5901" t="s">
        <v>15811</v>
      </c>
      <c t="s">
        <v>16145</v>
      </c>
      <c t="s">
        <v>27747</v>
      </c>
      <c t="s">
        <v>27429</v>
      </c>
      <c t="s">
        <v>12399</v>
      </c>
      <c t="s">
        <v>3093</v>
      </c>
      <c t="s">
        <v>17518</v>
      </c>
    </row>
    <row>
      <c t="s">
        <v>17594</v>
      </c>
      <c t="s">
        <v>39255</v>
      </c>
      <c t="s">
        <v>58375</v>
      </c>
      <c t="s">
        <v>14956</v>
      </c>
      <c t="s">
        <v>43655</v>
      </c>
      <c s="3">
        <v>16425</v>
      </c>
      <c s="3">
        <v>16425</v>
      </c>
      <c s="3">
        <v>12755</v>
      </c>
      <c>
        <v>0</v>
      </c>
      <c s="3">
        <v>0</v>
      </c>
      <c s="3">
        <v>215.48</v>
      </c>
      <c s="3">
        <v>16425</v>
      </c>
      <c r="O5902" s="1" t="str">
        <f ca="1">HYPERLINK("https://web.datatree.com/?/property?propertyId=34345479", "https://web.datatree.com/?/property?propertyId=34345479")</f>
        <v>https://web.datatree.com/?/property?propertyId=34345479</v>
      </c>
      <c r="Q5902" t="s">
        <v>316</v>
      </c>
      <c>
        <v>0.295</v>
      </c>
      <c t="s">
        <v>5471</v>
      </c>
      <c t="s">
        <v>50331</v>
      </c>
      <c t="s">
        <v>62484</v>
      </c>
      <c r="X5902" t="s">
        <v>58231</v>
      </c>
      <c t="s">
        <v>19965</v>
      </c>
      <c t="s">
        <v>65059</v>
      </c>
      <c t="s">
        <v>39289</v>
      </c>
      <c>
        <v>33905</v>
      </c>
      <c t="s">
        <v>36247</v>
      </c>
      <c t="s">
        <v>48794</v>
      </c>
      <c t="s">
        <v>15790</v>
      </c>
      <c>
        <v>348</v>
      </c>
      <c r="AI5902" t="s">
        <v>15161</v>
      </c>
      <c t="s">
        <v>24900</v>
      </c>
      <c r="AL5902" t="s">
        <v>62422</v>
      </c>
      <c t="s">
        <v>62422</v>
      </c>
      <c t="s">
        <v>39289</v>
      </c>
      <c t="s">
        <v>62378</v>
      </c>
      <c t="s">
        <v>7538</v>
      </c>
      <c t="s">
        <v>3093</v>
      </c>
      <c t="s">
        <v>62627</v>
      </c>
    </row>
    <row>
      <c t="s">
        <v>17594</v>
      </c>
      <c t="s">
        <v>62279</v>
      </c>
      <c t="s">
        <v>64515</v>
      </c>
      <c t="s">
        <v>39432</v>
      </c>
      <c t="s">
        <v>56476</v>
      </c>
      <c s="3">
        <v>7200</v>
      </c>
      <c s="3">
        <v>7200</v>
      </c>
      <c s="3">
        <v>7200</v>
      </c>
      <c>
        <v>0</v>
      </c>
      <c s="3">
        <v>0</v>
      </c>
      <c s="3">
        <v>407.38</v>
      </c>
      <c s="3">
        <v>7200</v>
      </c>
      <c r="O5903" s="1" t="str">
        <f ca="1">HYPERLINK("https://web.datatree.com/?/property?propertyId=34346161", "https://web.datatree.com/?/property?propertyId=34346161")</f>
        <v>https://web.datatree.com/?/property?propertyId=34346161</v>
      </c>
      <c r="Q5903" t="s">
        <v>316</v>
      </c>
      <c>
        <v>0.23</v>
      </c>
      <c t="s">
        <v>6175</v>
      </c>
      <c t="s">
        <v>47977</v>
      </c>
      <c t="s">
        <v>58404</v>
      </c>
      <c t="s">
        <v>64649</v>
      </c>
      <c t="s">
        <v>58404</v>
      </c>
      <c t="s">
        <v>7860</v>
      </c>
      <c t="s">
        <v>18679</v>
      </c>
      <c t="s">
        <v>2517</v>
      </c>
      <c t="s">
        <v>39289</v>
      </c>
      <c>
        <v>33909</v>
      </c>
      <c t="s">
        <v>4501</v>
      </c>
      <c t="s">
        <v>48794</v>
      </c>
      <c t="s">
        <v>58993</v>
      </c>
      <c>
        <v>6148</v>
      </c>
      <c r="AI5903" t="s">
        <v>54416</v>
      </c>
      <c t="s">
        <v>1671</v>
      </c>
      <c r="AL5903" t="s">
        <v>23695</v>
      </c>
      <c t="s">
        <v>11555</v>
      </c>
      <c t="s">
        <v>39289</v>
      </c>
      <c t="s">
        <v>23358</v>
      </c>
      <c t="s">
        <v>36638</v>
      </c>
      <c t="s">
        <v>3093</v>
      </c>
      <c t="s">
        <v>31575</v>
      </c>
    </row>
    <row>
      <c t="s">
        <v>17594</v>
      </c>
      <c t="s">
        <v>25312</v>
      </c>
      <c t="s">
        <v>46222</v>
      </c>
      <c t="s">
        <v>60065</v>
      </c>
      <c t="s">
        <v>61225</v>
      </c>
      <c s="3">
        <v>35272</v>
      </c>
      <c s="3">
        <v>35272</v>
      </c>
      <c s="3">
        <v>30030</v>
      </c>
      <c>
        <v>0</v>
      </c>
      <c s="3">
        <v>0</v>
      </c>
      <c s="3">
        <v>851.19</v>
      </c>
      <c s="3">
        <v>35272</v>
      </c>
      <c r="O5904" s="1" t="str">
        <f ca="1">HYPERLINK("https://web.datatree.com/?/property?propertyId=34346368", "https://web.datatree.com/?/property?propertyId=34346368")</f>
        <v>https://web.datatree.com/?/property?propertyId=34346368</v>
      </c>
      <c r="Q5904" t="s">
        <v>316</v>
      </c>
      <c>
        <v>0.296</v>
      </c>
      <c t="s">
        <v>6175</v>
      </c>
      <c t="s">
        <v>24864</v>
      </c>
      <c t="s">
        <v>22154</v>
      </c>
      <c t="s">
        <v>8563</v>
      </c>
      <c t="s">
        <v>22154</v>
      </c>
      <c t="s">
        <v>57007</v>
      </c>
      <c t="s">
        <v>62800</v>
      </c>
      <c t="s">
        <v>2517</v>
      </c>
      <c t="s">
        <v>39289</v>
      </c>
      <c>
        <v>33904</v>
      </c>
      <c t="s">
        <v>7926</v>
      </c>
      <c t="s">
        <v>48794</v>
      </c>
      <c t="s">
        <v>61927</v>
      </c>
      <c>
        <v>681</v>
      </c>
      <c r="AI5904" t="s">
        <v>62800</v>
      </c>
      <c t="s">
        <v>45393</v>
      </c>
      <c r="AL5904" t="s">
        <v>29515</v>
      </c>
      <c t="s">
        <v>29515</v>
      </c>
      <c t="s">
        <v>39289</v>
      </c>
      <c t="s">
        <v>10853</v>
      </c>
      <c t="s">
        <v>13449</v>
      </c>
      <c t="s">
        <v>3093</v>
      </c>
      <c t="s">
        <v>7699</v>
      </c>
    </row>
    <row>
      <c t="s">
        <v>17594</v>
      </c>
      <c t="s">
        <v>25453</v>
      </c>
      <c t="s">
        <v>61654</v>
      </c>
      <c t="s">
        <v>21550</v>
      </c>
      <c t="s">
        <v>12860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>
        <v>2021</v>
      </c>
      <c>
        <v>517.64</v>
      </c>
      <c s="1" t="str">
        <f ca="1">HYPERLINK("https://web.datatree.com/?/property?propertyId=34347698", "https://web.datatree.com/?/property?propertyId=34347698")</f>
        <v>https://web.datatree.com/?/property?propertyId=34347698</v>
      </c>
      <c r="Q5905" t="s">
        <v>316</v>
      </c>
      <c>
        <v>0.234</v>
      </c>
      <c t="s">
        <v>6175</v>
      </c>
      <c t="s">
        <v>30785</v>
      </c>
      <c t="s">
        <v>64149</v>
      </c>
      <c r="X5905" t="s">
        <v>6</v>
      </c>
      <c t="s">
        <v>2619</v>
      </c>
      <c t="s">
        <v>2517</v>
      </c>
      <c t="s">
        <v>39289</v>
      </c>
      <c>
        <v>33909</v>
      </c>
      <c t="s">
        <v>37833</v>
      </c>
      <c t="s">
        <v>48794</v>
      </c>
      <c t="s">
        <v>38704</v>
      </c>
      <c r="AI5905" t="s">
        <v>951</v>
      </c>
      <c r="AL5905" t="s">
        <v>33855</v>
      </c>
      <c t="s">
        <v>7435</v>
      </c>
      <c t="s">
        <v>51087</v>
      </c>
      <c>
        <v>22043</v>
      </c>
      <c r="AR5905" t="s">
        <v>24540</v>
      </c>
    </row>
    <row>
      <c t="s">
        <v>17594</v>
      </c>
      <c t="s">
        <v>49117</v>
      </c>
      <c t="s">
        <v>61366</v>
      </c>
      <c t="s">
        <v>66091</v>
      </c>
      <c t="s">
        <v>37465</v>
      </c>
      <c s="3">
        <v>7700</v>
      </c>
      <c s="3">
        <v>7700</v>
      </c>
      <c s="3">
        <v>7700</v>
      </c>
      <c>
        <v>0</v>
      </c>
      <c s="3">
        <v>0</v>
      </c>
      <c s="3">
        <v>662.22</v>
      </c>
      <c s="3">
        <v>7700</v>
      </c>
      <c r="O5906" s="1" t="str">
        <f ca="1">HYPERLINK("https://web.datatree.com/?/property?propertyId=34347841", "https://web.datatree.com/?/property?propertyId=34347841")</f>
        <v>https://web.datatree.com/?/property?propertyId=34347841</v>
      </c>
      <c r="Q5906" t="s">
        <v>316</v>
      </c>
      <c>
        <v>0.259</v>
      </c>
      <c t="s">
        <v>6175</v>
      </c>
      <c t="s">
        <v>52237</v>
      </c>
      <c t="s">
        <v>34178</v>
      </c>
      <c r="X5906" t="s">
        <v>22814</v>
      </c>
      <c t="s">
        <v>29190</v>
      </c>
      <c t="s">
        <v>2517</v>
      </c>
      <c t="s">
        <v>39289</v>
      </c>
      <c>
        <v>33909</v>
      </c>
      <c t="s">
        <v>50098</v>
      </c>
      <c t="s">
        <v>48794</v>
      </c>
      <c t="s">
        <v>57945</v>
      </c>
      <c>
        <v>5041</v>
      </c>
      <c r="AI5906" t="s">
        <v>2626</v>
      </c>
      <c t="s">
        <v>45393</v>
      </c>
      <c r="AL5906" t="s">
        <v>22531</v>
      </c>
      <c t="s">
        <v>22531</v>
      </c>
      <c t="s">
        <v>39289</v>
      </c>
      <c t="s">
        <v>50708</v>
      </c>
      <c t="s">
        <v>52393</v>
      </c>
      <c t="s">
        <v>3093</v>
      </c>
      <c t="s">
        <v>47545</v>
      </c>
    </row>
    <row>
      <c t="s">
        <v>17594</v>
      </c>
      <c t="s">
        <v>25082</v>
      </c>
      <c t="s">
        <v>5878</v>
      </c>
      <c t="s">
        <v>25328</v>
      </c>
      <c t="s">
        <v>8133</v>
      </c>
      <c s="3">
        <v>8400</v>
      </c>
      <c s="3">
        <v>8400</v>
      </c>
      <c s="3">
        <v>8400</v>
      </c>
      <c>
        <v>0</v>
      </c>
      <c s="3">
        <v>0</v>
      </c>
      <c s="3">
        <v>601.72</v>
      </c>
      <c s="3">
        <v>8400</v>
      </c>
      <c r="O5907" s="1" t="str">
        <f ca="1">HYPERLINK("https://web.datatree.com/?/property?propertyId=34347942", "https://web.datatree.com/?/property?propertyId=34347942")</f>
        <v>https://web.datatree.com/?/property?propertyId=34347942</v>
      </c>
      <c r="Q5907" t="s">
        <v>316</v>
      </c>
      <c>
        <v>0.252</v>
      </c>
      <c t="s">
        <v>22490</v>
      </c>
      <c t="s">
        <v>9863</v>
      </c>
      <c t="s">
        <v>61165</v>
      </c>
      <c r="X5907" t="s">
        <v>67199</v>
      </c>
      <c t="s">
        <v>47150</v>
      </c>
      <c t="s">
        <v>2517</v>
      </c>
      <c t="s">
        <v>39289</v>
      </c>
      <c>
        <v>33909</v>
      </c>
      <c t="s">
        <v>12002</v>
      </c>
      <c t="s">
        <v>48794</v>
      </c>
      <c t="s">
        <v>12393</v>
      </c>
      <c>
        <v>21</v>
      </c>
      <c r="AI5907" t="s">
        <v>26479</v>
      </c>
      <c r="AL5907" t="s">
        <v>43019</v>
      </c>
      <c r="AN5907" t="s">
        <v>22478</v>
      </c>
      <c r="AR5907" t="s">
        <v>19288</v>
      </c>
    </row>
    <row>
      <c t="s">
        <v>17594</v>
      </c>
      <c t="s">
        <v>21130</v>
      </c>
      <c t="s">
        <v>63712</v>
      </c>
      <c t="s">
        <v>47826</v>
      </c>
      <c t="s">
        <v>19279</v>
      </c>
      <c s="3">
        <v>7600</v>
      </c>
      <c s="3">
        <v>7600</v>
      </c>
      <c s="3">
        <v>7600</v>
      </c>
      <c>
        <v>0</v>
      </c>
      <c s="3">
        <v>0</v>
      </c>
      <c s="3">
        <v>556.09</v>
      </c>
      <c s="3">
        <v>7600</v>
      </c>
      <c>
        <v>2021</v>
      </c>
      <c>
        <v>588.6</v>
      </c>
      <c s="1" t="str">
        <f ca="1">HYPERLINK("https://web.datatree.com/?/property?propertyId=34348627", "https://web.datatree.com/?/property?propertyId=34348627")</f>
        <v>https://web.datatree.com/?/property?propertyId=34348627</v>
      </c>
      <c r="Q5908" t="s">
        <v>316</v>
      </c>
      <c>
        <v>0.244</v>
      </c>
      <c t="s">
        <v>6175</v>
      </c>
      <c t="s">
        <v>44541</v>
      </c>
      <c t="s">
        <v>24751</v>
      </c>
      <c t="s">
        <v>48526</v>
      </c>
      <c t="s">
        <v>24751</v>
      </c>
      <c t="s">
        <v>59486</v>
      </c>
      <c t="s">
        <v>13829</v>
      </c>
      <c t="s">
        <v>2517</v>
      </c>
      <c t="s">
        <v>39289</v>
      </c>
      <c>
        <v>33909</v>
      </c>
      <c t="s">
        <v>6908</v>
      </c>
      <c t="s">
        <v>48794</v>
      </c>
      <c t="s">
        <v>26896</v>
      </c>
      <c>
        <v>18</v>
      </c>
      <c r="AI5908" t="s">
        <v>65698</v>
      </c>
      <c t="s">
        <v>40123</v>
      </c>
      <c r="AL5908" t="s">
        <v>47993</v>
      </c>
      <c r="AN5908" t="s">
        <v>50917</v>
      </c>
      <c t="s">
        <v>42448</v>
      </c>
      <c t="s">
        <v>14695</v>
      </c>
      <c t="s">
        <v>3093</v>
      </c>
      <c t="s">
        <v>31479</v>
      </c>
    </row>
    <row>
      <c t="s">
        <v>17594</v>
      </c>
      <c t="s">
        <v>13409</v>
      </c>
      <c t="s">
        <v>63260</v>
      </c>
      <c t="s">
        <v>58757</v>
      </c>
      <c t="s">
        <v>59495</v>
      </c>
      <c s="3">
        <v>8500</v>
      </c>
      <c s="3">
        <v>8500</v>
      </c>
      <c s="3">
        <v>8500</v>
      </c>
      <c>
        <v>0</v>
      </c>
      <c s="3">
        <v>0</v>
      </c>
      <c s="3">
        <v>575.99</v>
      </c>
      <c s="3">
        <v>8500</v>
      </c>
      <c r="O5909" s="1" t="str">
        <f ca="1">HYPERLINK("https://web.datatree.com/?/property?propertyId=34349324", "https://web.datatree.com/?/property?propertyId=34349324")</f>
        <v>https://web.datatree.com/?/property?propertyId=34349324</v>
      </c>
      <c r="Q5909" t="s">
        <v>316</v>
      </c>
      <c>
        <v>0.23</v>
      </c>
      <c t="s">
        <v>6175</v>
      </c>
      <c t="s">
        <v>66065</v>
      </c>
      <c t="s">
        <v>34326</v>
      </c>
      <c r="X5909" t="s">
        <v>27844</v>
      </c>
      <c t="s">
        <v>30928</v>
      </c>
      <c t="s">
        <v>2517</v>
      </c>
      <c t="s">
        <v>39289</v>
      </c>
      <c>
        <v>33909</v>
      </c>
      <c t="s">
        <v>50757</v>
      </c>
      <c t="s">
        <v>48794</v>
      </c>
      <c t="s">
        <v>65619</v>
      </c>
      <c>
        <v>2151</v>
      </c>
      <c r="AH5909" t="s">
        <v>60953</v>
      </c>
      <c t="s">
        <v>23434</v>
      </c>
      <c t="s">
        <v>31192</v>
      </c>
      <c r="AL5909" t="s">
        <v>7368</v>
      </c>
      <c r="AN5909" t="s">
        <v>66651</v>
      </c>
      <c t="s">
        <v>59219</v>
      </c>
      <c t="s">
        <v>56028</v>
      </c>
      <c t="s">
        <v>3093</v>
      </c>
      <c t="s">
        <v>17981</v>
      </c>
    </row>
    <row>
      <c t="s">
        <v>17594</v>
      </c>
      <c t="s">
        <v>12341</v>
      </c>
      <c t="s">
        <v>34508</v>
      </c>
      <c t="s">
        <v>53431</v>
      </c>
      <c t="s">
        <v>38743</v>
      </c>
      <c s="3">
        <v>23969</v>
      </c>
      <c s="3">
        <v>23969</v>
      </c>
      <c s="3">
        <v>12650</v>
      </c>
      <c>
        <v>0</v>
      </c>
      <c s="3">
        <v>0</v>
      </c>
      <c s="3">
        <v>650.05</v>
      </c>
      <c s="3">
        <v>23969</v>
      </c>
      <c r="O5910" s="1" t="str">
        <f ca="1">HYPERLINK("https://web.datatree.com/?/property?propertyId=34350404", "https://web.datatree.com/?/property?propertyId=34350404")</f>
        <v>https://web.datatree.com/?/property?propertyId=34350404</v>
      </c>
      <c r="Q5910" t="s">
        <v>316</v>
      </c>
      <c>
        <v>0.23</v>
      </c>
      <c t="s">
        <v>22490</v>
      </c>
      <c t="s">
        <v>51891</v>
      </c>
      <c t="s">
        <v>20326</v>
      </c>
      <c r="X5910" t="s">
        <v>33722</v>
      </c>
      <c t="s">
        <v>53675</v>
      </c>
      <c t="s">
        <v>2517</v>
      </c>
      <c t="s">
        <v>39289</v>
      </c>
      <c>
        <v>33909</v>
      </c>
      <c t="s">
        <v>26012</v>
      </c>
      <c t="s">
        <v>48794</v>
      </c>
      <c t="s">
        <v>9845</v>
      </c>
      <c>
        <v>3180</v>
      </c>
      <c r="AI5910" t="s">
        <v>1891</v>
      </c>
      <c t="s">
        <v>31192</v>
      </c>
      <c r="AL5910" t="s">
        <v>7670</v>
      </c>
      <c r="AN5910" t="s">
        <v>48152</v>
      </c>
      <c t="s">
        <v>3737</v>
      </c>
      <c t="s">
        <v>49695</v>
      </c>
      <c t="s">
        <v>3093</v>
      </c>
      <c t="s">
        <v>39015</v>
      </c>
    </row>
    <row>
      <c t="s">
        <v>17594</v>
      </c>
      <c t="s">
        <v>2223</v>
      </c>
      <c t="s">
        <v>16928</v>
      </c>
      <c t="s">
        <v>53750</v>
      </c>
      <c t="s">
        <v>21632</v>
      </c>
      <c s="3">
        <v>23850</v>
      </c>
      <c s="3">
        <v>23850</v>
      </c>
      <c s="3">
        <v>14056</v>
      </c>
      <c>
        <v>0</v>
      </c>
      <c s="3">
        <v>0</v>
      </c>
      <c s="3">
        <v>246.3</v>
      </c>
      <c s="3">
        <v>23850</v>
      </c>
      <c>
        <v>2018</v>
      </c>
      <c>
        <v>1617.38</v>
      </c>
      <c s="1" t="str">
        <f ca="1">HYPERLINK("https://web.datatree.com/?/property?propertyId=34351023", "https://web.datatree.com/?/property?propertyId=34351023")</f>
        <v>https://web.datatree.com/?/property?propertyId=34351023</v>
      </c>
      <c r="Q5911" t="s">
        <v>316</v>
      </c>
      <c>
        <v>0.257</v>
      </c>
      <c t="s">
        <v>5471</v>
      </c>
      <c t="s">
        <v>18849</v>
      </c>
      <c t="s">
        <v>8506</v>
      </c>
      <c t="s">
        <v>48615</v>
      </c>
      <c t="s">
        <v>47118</v>
      </c>
      <c t="s">
        <v>36722</v>
      </c>
      <c t="s">
        <v>40859</v>
      </c>
      <c t="s">
        <v>65059</v>
      </c>
      <c t="s">
        <v>39289</v>
      </c>
      <c>
        <v>33905</v>
      </c>
      <c t="s">
        <v>61078</v>
      </c>
      <c t="s">
        <v>48794</v>
      </c>
      <c t="s">
        <v>6677</v>
      </c>
      <c>
        <v>183</v>
      </c>
      <c r="AI5911" t="s">
        <v>24701</v>
      </c>
      <c t="s">
        <v>45393</v>
      </c>
      <c r="AL5911" t="s">
        <v>10735</v>
      </c>
      <c r="AN5911" t="s">
        <v>66651</v>
      </c>
      <c t="s">
        <v>61360</v>
      </c>
      <c t="s">
        <v>42082</v>
      </c>
      <c t="s">
        <v>3093</v>
      </c>
      <c t="s">
        <v>53467</v>
      </c>
    </row>
    <row>
      <c t="s">
        <v>17594</v>
      </c>
      <c t="s">
        <v>14855</v>
      </c>
      <c t="s">
        <v>4172</v>
      </c>
      <c t="s">
        <v>66327</v>
      </c>
      <c t="s">
        <v>44767</v>
      </c>
      <c s="3">
        <v>70849</v>
      </c>
      <c s="3">
        <v>63500</v>
      </c>
      <c s="3">
        <v>67544</v>
      </c>
      <c>
        <v>0</v>
      </c>
      <c s="3">
        <v>0</v>
      </c>
      <c s="3">
        <v>1034.5</v>
      </c>
      <c s="3">
        <v>70849</v>
      </c>
      <c r="O5912" s="1" t="str">
        <f ca="1">HYPERLINK("https://web.datatree.com/?/property?propertyId=34351257", "https://web.datatree.com/?/property?propertyId=34351257")</f>
        <v>https://web.datatree.com/?/property?propertyId=34351257</v>
      </c>
      <c r="Q5912" t="s">
        <v>316</v>
      </c>
      <c>
        <v>0.096</v>
      </c>
      <c t="s">
        <v>26492</v>
      </c>
      <c t="s">
        <v>9900</v>
      </c>
      <c t="s">
        <v>42886</v>
      </c>
      <c t="s">
        <v>47165</v>
      </c>
      <c t="s">
        <v>42886</v>
      </c>
      <c t="s">
        <v>49546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5205</v>
      </c>
      <c>
        <v>71</v>
      </c>
      <c r="AI5912" t="s">
        <v>25111</v>
      </c>
      <c t="s">
        <v>45393</v>
      </c>
      <c r="AL5912" t="s">
        <v>46153</v>
      </c>
      <c t="s">
        <v>39101</v>
      </c>
      <c t="s">
        <v>5859</v>
      </c>
      <c t="s">
        <v>23138</v>
      </c>
      <c t="s">
        <v>4480</v>
      </c>
      <c t="s">
        <v>3093</v>
      </c>
      <c t="s">
        <v>23739</v>
      </c>
    </row>
    <row>
      <c t="s">
        <v>17594</v>
      </c>
      <c t="s">
        <v>33945</v>
      </c>
      <c t="s">
        <v>62052</v>
      </c>
      <c t="s">
        <v>2970</v>
      </c>
      <c t="s">
        <v>54413</v>
      </c>
      <c s="3">
        <v>22874</v>
      </c>
      <c s="3">
        <v>22874</v>
      </c>
      <c s="3">
        <v>9433</v>
      </c>
      <c>
        <v>0</v>
      </c>
      <c s="3">
        <v>0</v>
      </c>
      <c s="3">
        <v>411.77</v>
      </c>
      <c s="3">
        <v>22874</v>
      </c>
      <c r="O5913" s="1" t="str">
        <f ca="1">HYPERLINK("https://web.datatree.com/?/property?propertyId=34351597", "https://web.datatree.com/?/property?propertyId=34351597")</f>
        <v>https://web.datatree.com/?/property?propertyId=34351597</v>
      </c>
      <c r="Q5913" t="s">
        <v>316</v>
      </c>
      <c>
        <v>0.221</v>
      </c>
      <c t="s">
        <v>5471</v>
      </c>
      <c t="s">
        <v>8762</v>
      </c>
      <c t="s">
        <v>4601</v>
      </c>
      <c r="X5913" t="s">
        <v>8149</v>
      </c>
      <c t="s">
        <v>12741</v>
      </c>
      <c t="s">
        <v>65059</v>
      </c>
      <c t="s">
        <v>39289</v>
      </c>
      <c>
        <v>33905</v>
      </c>
      <c t="s">
        <v>61921</v>
      </c>
      <c t="s">
        <v>48794</v>
      </c>
      <c t="s">
        <v>65079</v>
      </c>
      <c>
        <v>3135</v>
      </c>
      <c r="AI5913" t="s">
        <v>63835</v>
      </c>
      <c t="s">
        <v>31192</v>
      </c>
      <c r="AL5913" t="s">
        <v>47160</v>
      </c>
      <c r="AN5913" t="s">
        <v>39289</v>
      </c>
      <c t="s">
        <v>42034</v>
      </c>
      <c t="s">
        <v>53660</v>
      </c>
      <c t="s">
        <v>3093</v>
      </c>
      <c t="s">
        <v>55943</v>
      </c>
    </row>
    <row>
      <c t="s">
        <v>17594</v>
      </c>
      <c t="s">
        <v>27046</v>
      </c>
      <c t="s">
        <v>62169</v>
      </c>
      <c t="s">
        <v>11592</v>
      </c>
      <c t="s">
        <v>22578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5914" s="1" t="str">
        <f ca="1">HYPERLINK("https://web.datatree.com/?/property?propertyId=34351967", "https://web.datatree.com/?/property?propertyId=34351967")</f>
        <v>https://web.datatree.com/?/property?propertyId=34351967</v>
      </c>
      <c r="Q5914" t="s">
        <v>316</v>
      </c>
      <c>
        <v>0.23</v>
      </c>
      <c t="s">
        <v>22490</v>
      </c>
      <c r="U5914" t="s">
        <v>23831</v>
      </c>
      <c r="W5914" t="s">
        <v>29753</v>
      </c>
      <c t="s">
        <v>32025</v>
      </c>
      <c t="s">
        <v>10653</v>
      </c>
      <c t="s">
        <v>2517</v>
      </c>
      <c t="s">
        <v>39289</v>
      </c>
      <c>
        <v>33909</v>
      </c>
      <c t="s">
        <v>30840</v>
      </c>
      <c t="s">
        <v>48794</v>
      </c>
      <c t="s">
        <v>4485</v>
      </c>
      <c>
        <v>10170</v>
      </c>
      <c r="AI5914" t="s">
        <v>45269</v>
      </c>
      <c t="s">
        <v>1671</v>
      </c>
      <c r="AL5914" t="s">
        <v>27398</v>
      </c>
      <c r="AN5914" t="s">
        <v>39289</v>
      </c>
      <c t="s">
        <v>44446</v>
      </c>
      <c t="s">
        <v>50962</v>
      </c>
      <c t="s">
        <v>3093</v>
      </c>
      <c t="s">
        <v>59427</v>
      </c>
    </row>
    <row>
      <c t="s">
        <v>17594</v>
      </c>
      <c t="s">
        <v>6940</v>
      </c>
      <c t="s">
        <v>62699</v>
      </c>
      <c t="s">
        <v>49150</v>
      </c>
      <c t="s">
        <v>50038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5915" s="1" t="str">
        <f ca="1">HYPERLINK("https://web.datatree.com/?/property?propertyId=34352512", "https://web.datatree.com/?/property?propertyId=34352512")</f>
        <v>https://web.datatree.com/?/property?propertyId=34352512</v>
      </c>
      <c r="Q5915" t="s">
        <v>316</v>
      </c>
      <c>
        <v>0.23</v>
      </c>
      <c t="s">
        <v>22490</v>
      </c>
      <c t="s">
        <v>60219</v>
      </c>
      <c t="s">
        <v>45794</v>
      </c>
      <c t="s">
        <v>773</v>
      </c>
      <c t="s">
        <v>45794</v>
      </c>
      <c t="s">
        <v>37263</v>
      </c>
      <c t="s">
        <v>66701</v>
      </c>
      <c t="s">
        <v>2517</v>
      </c>
      <c t="s">
        <v>39289</v>
      </c>
      <c>
        <v>33909</v>
      </c>
      <c t="s">
        <v>28086</v>
      </c>
      <c t="s">
        <v>48794</v>
      </c>
      <c t="s">
        <v>16598</v>
      </c>
      <c>
        <v>8130</v>
      </c>
      <c r="AI5915" t="s">
        <v>46205</v>
      </c>
      <c t="s">
        <v>40123</v>
      </c>
      <c r="AL5915" t="s">
        <v>40925</v>
      </c>
      <c r="AN5915" t="s">
        <v>65467</v>
      </c>
      <c t="s">
        <v>49045</v>
      </c>
      <c t="s">
        <v>65563</v>
      </c>
      <c t="s">
        <v>3093</v>
      </c>
      <c t="s">
        <v>42403</v>
      </c>
    </row>
    <row>
      <c t="s">
        <v>17594</v>
      </c>
      <c t="s">
        <v>6521</v>
      </c>
      <c t="s">
        <v>53430</v>
      </c>
      <c t="s">
        <v>7828</v>
      </c>
      <c t="s">
        <v>50939</v>
      </c>
      <c s="3">
        <v>22152</v>
      </c>
      <c s="3">
        <v>22152</v>
      </c>
      <c s="3">
        <v>22152</v>
      </c>
      <c>
        <v>0</v>
      </c>
      <c s="3">
        <v>0</v>
      </c>
      <c s="3">
        <v>714.08</v>
      </c>
      <c s="3">
        <v>22152</v>
      </c>
      <c r="O5916" s="1" t="str">
        <f ca="1">HYPERLINK("https://web.datatree.com/?/property?propertyId=34352978", "https://web.datatree.com/?/property?propertyId=34352978")</f>
        <v>https://web.datatree.com/?/property?propertyId=34352978</v>
      </c>
      <c r="Q5916" t="s">
        <v>316</v>
      </c>
      <c>
        <v>0.23</v>
      </c>
      <c t="s">
        <v>22490</v>
      </c>
      <c r="U5916" t="s">
        <v>46883</v>
      </c>
      <c t="s">
        <v>64030</v>
      </c>
      <c t="s">
        <v>45865</v>
      </c>
      <c t="s">
        <v>47938</v>
      </c>
      <c t="s">
        <v>49674</v>
      </c>
      <c t="s">
        <v>2517</v>
      </c>
      <c t="s">
        <v>39289</v>
      </c>
      <c>
        <v>33909</v>
      </c>
      <c t="s">
        <v>4274</v>
      </c>
      <c t="s">
        <v>48794</v>
      </c>
      <c t="s">
        <v>8478</v>
      </c>
      <c>
        <v>3474</v>
      </c>
      <c r="AI5916" t="s">
        <v>15692</v>
      </c>
      <c t="s">
        <v>31192</v>
      </c>
      <c>
        <v>34119</v>
      </c>
      <c t="s">
        <v>11713</v>
      </c>
      <c r="AN5916" t="s">
        <v>39289</v>
      </c>
      <c t="s">
        <v>61929</v>
      </c>
      <c t="s">
        <v>10032</v>
      </c>
      <c t="s">
        <v>3093</v>
      </c>
      <c t="s">
        <v>30553</v>
      </c>
    </row>
    <row>
      <c t="s">
        <v>17594</v>
      </c>
      <c t="s">
        <v>50644</v>
      </c>
      <c t="s">
        <v>35202</v>
      </c>
      <c t="s">
        <v>14343</v>
      </c>
      <c t="s">
        <v>44361</v>
      </c>
      <c s="3">
        <v>7700</v>
      </c>
      <c s="3">
        <v>7700</v>
      </c>
      <c s="3">
        <v>7700</v>
      </c>
      <c>
        <v>0</v>
      </c>
      <c s="3">
        <v>0</v>
      </c>
      <c s="3">
        <v>636.6</v>
      </c>
      <c s="3">
        <v>7700</v>
      </c>
      <c r="O5917" s="1" t="str">
        <f ca="1">HYPERLINK("https://web.datatree.com/?/property?propertyId=34354786", "https://web.datatree.com/?/property?propertyId=34354786")</f>
        <v>https://web.datatree.com/?/property?propertyId=34354786</v>
      </c>
      <c r="Q5917" t="s">
        <v>316</v>
      </c>
      <c>
        <v>0.23</v>
      </c>
      <c t="s">
        <v>6175</v>
      </c>
      <c t="s">
        <v>42532</v>
      </c>
      <c t="s">
        <v>3249</v>
      </c>
      <c r="X5917" t="s">
        <v>12022</v>
      </c>
      <c t="s">
        <v>49674</v>
      </c>
      <c t="s">
        <v>2517</v>
      </c>
      <c t="s">
        <v>39289</v>
      </c>
      <c>
        <v>33909</v>
      </c>
      <c t="s">
        <v>49599</v>
      </c>
      <c t="s">
        <v>48794</v>
      </c>
      <c t="s">
        <v>24264</v>
      </c>
      <c>
        <v>1010</v>
      </c>
      <c r="AI5917" t="s">
        <v>37003</v>
      </c>
      <c t="s">
        <v>24900</v>
      </c>
      <c r="AL5917" t="s">
        <v>14098</v>
      </c>
      <c t="s">
        <v>63706</v>
      </c>
      <c t="s">
        <v>50917</v>
      </c>
      <c t="s">
        <v>677</v>
      </c>
      <c t="s">
        <v>42082</v>
      </c>
      <c t="s">
        <v>3093</v>
      </c>
      <c t="s">
        <v>12366</v>
      </c>
    </row>
    <row>
      <c t="s">
        <v>17594</v>
      </c>
      <c t="s">
        <v>55470</v>
      </c>
      <c t="s">
        <v>10878</v>
      </c>
      <c t="s">
        <v>10818</v>
      </c>
      <c t="s">
        <v>37397</v>
      </c>
      <c s="3">
        <v>128920</v>
      </c>
      <c s="3">
        <v>117312</v>
      </c>
      <c s="3">
        <v>128920</v>
      </c>
      <c>
        <v>0</v>
      </c>
      <c s="3">
        <v>0</v>
      </c>
      <c s="3">
        <v>1935.05</v>
      </c>
      <c s="3">
        <v>128920</v>
      </c>
      <c r="O5918" s="1" t="str">
        <f ca="1">HYPERLINK("https://web.datatree.com/?/property?propertyId=34355332", "https://web.datatree.com/?/property?propertyId=34355332")</f>
        <v>https://web.datatree.com/?/property?propertyId=34355332</v>
      </c>
      <c r="Q5918" t="s">
        <v>316</v>
      </c>
      <c>
        <v>0.147</v>
      </c>
      <c t="s">
        <v>26492</v>
      </c>
      <c t="s">
        <v>44541</v>
      </c>
      <c t="s">
        <v>54589</v>
      </c>
      <c t="s">
        <v>12765</v>
      </c>
      <c t="s">
        <v>13107</v>
      </c>
      <c t="s">
        <v>10220</v>
      </c>
      <c t="s">
        <v>36549</v>
      </c>
      <c t="s">
        <v>65059</v>
      </c>
      <c t="s">
        <v>39289</v>
      </c>
      <c>
        <v>33905</v>
      </c>
      <c>
        <v>33905</v>
      </c>
      <c t="s">
        <v>48794</v>
      </c>
      <c t="s">
        <v>4294</v>
      </c>
      <c>
        <v>2739</v>
      </c>
      <c r="AI5918" t="s">
        <v>2599</v>
      </c>
      <c t="s">
        <v>45620</v>
      </c>
      <c r="AL5918" t="s">
        <v>44175</v>
      </c>
      <c t="s">
        <v>61590</v>
      </c>
      <c t="s">
        <v>22275</v>
      </c>
      <c t="s">
        <v>38597</v>
      </c>
      <c r="AQ5918" t="s">
        <v>3093</v>
      </c>
      <c t="s">
        <v>59863</v>
      </c>
      <c>
        <v>2005</v>
      </c>
    </row>
    <row>
      <c t="s">
        <v>17594</v>
      </c>
      <c t="s">
        <v>41512</v>
      </c>
      <c t="s">
        <v>50715</v>
      </c>
      <c t="s">
        <v>37035</v>
      </c>
      <c t="s">
        <v>47071</v>
      </c>
      <c s="3">
        <v>71237</v>
      </c>
      <c s="3">
        <v>63500</v>
      </c>
      <c s="3">
        <v>69286</v>
      </c>
      <c>
        <v>0</v>
      </c>
      <c s="3">
        <v>0</v>
      </c>
      <c s="3">
        <v>1053.06</v>
      </c>
      <c s="3">
        <v>71237</v>
      </c>
      <c r="O5919" s="1" t="str">
        <f ca="1">HYPERLINK("https://web.datatree.com/?/property?propertyId=34355711", "https://web.datatree.com/?/property?propertyId=34355711")</f>
        <v>https://web.datatree.com/?/property?propertyId=34355711</v>
      </c>
      <c r="Q5919" t="s">
        <v>316</v>
      </c>
      <c>
        <v>0.095</v>
      </c>
      <c t="s">
        <v>26492</v>
      </c>
      <c t="s">
        <v>42090</v>
      </c>
      <c t="s">
        <v>47977</v>
      </c>
      <c t="s">
        <v>67269</v>
      </c>
      <c t="s">
        <v>47977</v>
      </c>
      <c t="s">
        <v>25341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20546</v>
      </c>
      <c>
        <v>2122</v>
      </c>
      <c r="AI5919" t="s">
        <v>32131</v>
      </c>
      <c t="s">
        <v>45620</v>
      </c>
      <c r="AL5919" t="s">
        <v>32705</v>
      </c>
      <c t="s">
        <v>40227</v>
      </c>
      <c t="s">
        <v>50917</v>
      </c>
      <c t="s">
        <v>25414</v>
      </c>
      <c t="s">
        <v>52247</v>
      </c>
      <c t="s">
        <v>3093</v>
      </c>
      <c t="s">
        <v>23446</v>
      </c>
    </row>
    <row>
      <c t="s">
        <v>17594</v>
      </c>
      <c t="s">
        <v>44093</v>
      </c>
      <c t="s">
        <v>32334</v>
      </c>
      <c t="s">
        <v>12131</v>
      </c>
      <c t="s">
        <v>8711</v>
      </c>
      <c s="3">
        <v>23673</v>
      </c>
      <c s="3">
        <v>23673</v>
      </c>
      <c s="3">
        <v>9570</v>
      </c>
      <c>
        <v>0</v>
      </c>
      <c s="3">
        <v>0</v>
      </c>
      <c s="3">
        <v>603.98</v>
      </c>
      <c s="3">
        <v>23673</v>
      </c>
      <c r="O5920" s="1" t="str">
        <f ca="1">HYPERLINK("https://web.datatree.com/?/property?propertyId=34355846", "https://web.datatree.com/?/property?propertyId=34355846")</f>
        <v>https://web.datatree.com/?/property?propertyId=34355846</v>
      </c>
      <c r="Q5920" t="s">
        <v>316</v>
      </c>
      <c>
        <v>0.23</v>
      </c>
      <c t="s">
        <v>45031</v>
      </c>
      <c t="s">
        <v>15209</v>
      </c>
      <c t="s">
        <v>53879</v>
      </c>
      <c t="s">
        <v>28189</v>
      </c>
      <c t="s">
        <v>53879</v>
      </c>
      <c t="s">
        <v>41060</v>
      </c>
      <c t="s">
        <v>30928</v>
      </c>
      <c t="s">
        <v>2517</v>
      </c>
      <c t="s">
        <v>39289</v>
      </c>
      <c>
        <v>33909</v>
      </c>
      <c t="s">
        <v>38928</v>
      </c>
      <c t="s">
        <v>48794</v>
      </c>
      <c t="s">
        <v>1186</v>
      </c>
      <c>
        <v>1480</v>
      </c>
      <c r="AI5920" t="s">
        <v>29275</v>
      </c>
      <c t="s">
        <v>45620</v>
      </c>
      <c r="AL5920" t="s">
        <v>29275</v>
      </c>
      <c r="AN5920" t="s">
        <v>22275</v>
      </c>
      <c t="s">
        <v>29551</v>
      </c>
      <c t="s">
        <v>5652</v>
      </c>
      <c t="s">
        <v>3093</v>
      </c>
      <c t="s">
        <v>52005</v>
      </c>
    </row>
    <row>
      <c t="s">
        <v>17594</v>
      </c>
      <c t="s">
        <v>65440</v>
      </c>
      <c t="s">
        <v>57678</v>
      </c>
      <c t="s">
        <v>41066</v>
      </c>
      <c t="s">
        <v>30575</v>
      </c>
      <c s="3">
        <v>60000</v>
      </c>
      <c s="3">
        <v>60000</v>
      </c>
      <c s="3">
        <v>46218</v>
      </c>
      <c>
        <v>0</v>
      </c>
      <c s="3">
        <v>0</v>
      </c>
      <c s="3">
        <v>1689.35</v>
      </c>
      <c s="3">
        <v>60000</v>
      </c>
      <c r="O5921" s="1" t="str">
        <f ca="1">HYPERLINK("https://web.datatree.com/?/property?propertyId=34355901", "https://web.datatree.com/?/property?propertyId=34355901")</f>
        <v>https://web.datatree.com/?/property?propertyId=34355901</v>
      </c>
      <c r="Q5921" t="s">
        <v>316</v>
      </c>
      <c>
        <v>0.459</v>
      </c>
      <c t="s">
        <v>6175</v>
      </c>
      <c t="s">
        <v>62125</v>
      </c>
      <c t="s">
        <v>66353</v>
      </c>
      <c r="X5921" t="s">
        <v>65549</v>
      </c>
      <c t="s">
        <v>15510</v>
      </c>
      <c t="s">
        <v>2517</v>
      </c>
      <c t="s">
        <v>39289</v>
      </c>
      <c>
        <v>33904</v>
      </c>
      <c t="s">
        <v>16901</v>
      </c>
      <c t="s">
        <v>48794</v>
      </c>
      <c t="s">
        <v>64124</v>
      </c>
      <c>
        <v>56</v>
      </c>
      <c r="AI5921" t="s">
        <v>50204</v>
      </c>
      <c t="s">
        <v>31192</v>
      </c>
      <c r="AL5921" t="s">
        <v>52505</v>
      </c>
      <c r="AN5921" t="s">
        <v>26016</v>
      </c>
      <c t="s">
        <v>27694</v>
      </c>
      <c t="s">
        <v>36802</v>
      </c>
      <c t="s">
        <v>3093</v>
      </c>
      <c t="s">
        <v>10132</v>
      </c>
    </row>
    <row>
      <c t="s">
        <v>17594</v>
      </c>
      <c t="s">
        <v>63245</v>
      </c>
      <c t="s">
        <v>59298</v>
      </c>
      <c t="s">
        <v>52488</v>
      </c>
      <c t="s">
        <v>31620</v>
      </c>
      <c s="3">
        <v>8400</v>
      </c>
      <c s="3">
        <v>8400</v>
      </c>
      <c s="3">
        <v>8400</v>
      </c>
      <c>
        <v>0</v>
      </c>
      <c s="3">
        <v>0</v>
      </c>
      <c s="3">
        <v>557.94</v>
      </c>
      <c s="3">
        <v>8400</v>
      </c>
      <c>
        <v>2021</v>
      </c>
      <c>
        <v>602.4</v>
      </c>
      <c s="1" t="str">
        <f ca="1">HYPERLINK("https://web.datatree.com/?/property?propertyId=34356057", "https://web.datatree.com/?/property?propertyId=34356057")</f>
        <v>https://web.datatree.com/?/property?propertyId=34356057</v>
      </c>
      <c r="Q5922" t="s">
        <v>316</v>
      </c>
      <c>
        <v>0.244</v>
      </c>
      <c t="s">
        <v>6175</v>
      </c>
      <c t="s">
        <v>64119</v>
      </c>
      <c t="s">
        <v>61969</v>
      </c>
      <c t="s">
        <v>31145</v>
      </c>
      <c t="s">
        <v>61969</v>
      </c>
      <c t="s">
        <v>37348</v>
      </c>
      <c t="s">
        <v>66701</v>
      </c>
      <c t="s">
        <v>2517</v>
      </c>
      <c t="s">
        <v>39289</v>
      </c>
      <c>
        <v>33909</v>
      </c>
      <c t="s">
        <v>60135</v>
      </c>
      <c t="s">
        <v>48794</v>
      </c>
      <c t="s">
        <v>4995</v>
      </c>
      <c>
        <v>2180</v>
      </c>
      <c r="AI5922" t="s">
        <v>60072</v>
      </c>
      <c t="s">
        <v>45620</v>
      </c>
      <c r="AL5922" t="s">
        <v>50133</v>
      </c>
      <c r="AN5922" t="s">
        <v>39289</v>
      </c>
      <c t="s">
        <v>49057</v>
      </c>
      <c t="s">
        <v>52247</v>
      </c>
      <c t="s">
        <v>3093</v>
      </c>
      <c t="s">
        <v>41755</v>
      </c>
    </row>
    <row>
      <c t="s">
        <v>17594</v>
      </c>
      <c t="s">
        <v>42056</v>
      </c>
      <c t="s">
        <v>43716</v>
      </c>
      <c t="s">
        <v>59557</v>
      </c>
      <c t="s">
        <v>56224</v>
      </c>
      <c s="3">
        <v>41000</v>
      </c>
      <c s="3">
        <v>41000</v>
      </c>
      <c s="3">
        <v>41000</v>
      </c>
      <c>
        <v>0</v>
      </c>
      <c s="3">
        <v>0</v>
      </c>
      <c s="3">
        <v>1022.16</v>
      </c>
      <c s="3">
        <v>41000</v>
      </c>
      <c r="O5923" s="1" t="str">
        <f ca="1">HYPERLINK("https://web.datatree.com/?/property?propertyId=34356287", "https://web.datatree.com/?/property?propertyId=34356287")</f>
        <v>https://web.datatree.com/?/property?propertyId=34356287</v>
      </c>
      <c r="Q5923" t="s">
        <v>316</v>
      </c>
      <c>
        <v>0.23</v>
      </c>
      <c t="s">
        <v>14479</v>
      </c>
      <c t="s">
        <v>32355</v>
      </c>
      <c t="s">
        <v>44385</v>
      </c>
      <c t="s">
        <v>4868</v>
      </c>
      <c t="s">
        <v>44385</v>
      </c>
      <c t="s">
        <v>34548</v>
      </c>
      <c t="s">
        <v>10653</v>
      </c>
      <c t="s">
        <v>2517</v>
      </c>
      <c t="s">
        <v>39289</v>
      </c>
      <c>
        <v>33909</v>
      </c>
      <c>
        <v>33909</v>
      </c>
      <c t="s">
        <v>48794</v>
      </c>
      <c t="s">
        <v>12413</v>
      </c>
      <c>
        <v>15715</v>
      </c>
      <c r="AI5923" t="s">
        <v>20705</v>
      </c>
      <c t="s">
        <v>45620</v>
      </c>
      <c r="AL5923" t="s">
        <v>36788</v>
      </c>
      <c r="AN5923" t="s">
        <v>17134</v>
      </c>
      <c t="s">
        <v>47573</v>
      </c>
      <c t="s">
        <v>17258</v>
      </c>
      <c t="s">
        <v>3093</v>
      </c>
      <c t="s">
        <v>67135</v>
      </c>
    </row>
    <row>
      <c t="s">
        <v>17594</v>
      </c>
      <c t="s">
        <v>30218</v>
      </c>
      <c t="s">
        <v>44966</v>
      </c>
      <c t="s">
        <v>6483</v>
      </c>
      <c t="s">
        <v>35700</v>
      </c>
      <c s="3">
        <v>22736</v>
      </c>
      <c s="3">
        <v>22736</v>
      </c>
      <c s="3">
        <v>8800</v>
      </c>
      <c>
        <v>0</v>
      </c>
      <c s="3">
        <v>0</v>
      </c>
      <c s="3">
        <v>584</v>
      </c>
      <c s="3">
        <v>22736</v>
      </c>
      <c r="O5924" s="1" t="str">
        <f ca="1">HYPERLINK("https://web.datatree.com/?/property?propertyId=34356295", "https://web.datatree.com/?/property?propertyId=34356295")</f>
        <v>https://web.datatree.com/?/property?propertyId=34356295</v>
      </c>
      <c r="Q5924" t="s">
        <v>316</v>
      </c>
      <c>
        <v>0.23</v>
      </c>
      <c t="s">
        <v>58725</v>
      </c>
      <c t="s">
        <v>41812</v>
      </c>
      <c t="s">
        <v>40083</v>
      </c>
      <c r="X5924" t="s">
        <v>48847</v>
      </c>
      <c t="s">
        <v>57064</v>
      </c>
      <c t="s">
        <v>2517</v>
      </c>
      <c t="s">
        <v>39289</v>
      </c>
      <c>
        <v>33909</v>
      </c>
      <c t="s">
        <v>11423</v>
      </c>
      <c t="s">
        <v>48794</v>
      </c>
      <c t="s">
        <v>59918</v>
      </c>
      <c>
        <v>107</v>
      </c>
      <c r="AI5924" t="s">
        <v>38130</v>
      </c>
      <c t="s">
        <v>55842</v>
      </c>
      <c r="AL5924" t="s">
        <v>59060</v>
      </c>
      <c r="AN5924" t="s">
        <v>14509</v>
      </c>
      <c t="s">
        <v>65950</v>
      </c>
      <c t="s">
        <v>23744</v>
      </c>
      <c t="s">
        <v>3093</v>
      </c>
      <c t="s">
        <v>40048</v>
      </c>
    </row>
    <row>
      <c t="s">
        <v>17594</v>
      </c>
      <c t="s">
        <v>49090</v>
      </c>
      <c t="s">
        <v>38855</v>
      </c>
      <c t="s">
        <v>66074</v>
      </c>
      <c t="s">
        <v>62692</v>
      </c>
      <c s="3">
        <v>8400</v>
      </c>
      <c s="3">
        <v>8400</v>
      </c>
      <c s="3">
        <v>8400</v>
      </c>
      <c>
        <v>0</v>
      </c>
      <c s="3">
        <v>0</v>
      </c>
      <c s="3">
        <v>580.14</v>
      </c>
      <c s="3">
        <v>8400</v>
      </c>
      <c r="O5925" s="1" t="str">
        <f ca="1">HYPERLINK("https://web.datatree.com/?/property?propertyId=34356392", "https://web.datatree.com/?/property?propertyId=34356392")</f>
        <v>https://web.datatree.com/?/property?propertyId=34356392</v>
      </c>
      <c r="Q5925" t="s">
        <v>316</v>
      </c>
      <c>
        <v>0.233</v>
      </c>
      <c t="s">
        <v>22490</v>
      </c>
      <c t="s">
        <v>25238</v>
      </c>
      <c t="s">
        <v>43163</v>
      </c>
      <c t="s">
        <v>30206</v>
      </c>
      <c t="s">
        <v>43163</v>
      </c>
      <c t="s">
        <v>14545</v>
      </c>
      <c t="s">
        <v>61850</v>
      </c>
      <c t="s">
        <v>2517</v>
      </c>
      <c t="s">
        <v>39289</v>
      </c>
      <c>
        <v>33909</v>
      </c>
      <c t="s">
        <v>55313</v>
      </c>
      <c t="s">
        <v>48794</v>
      </c>
      <c t="s">
        <v>58542</v>
      </c>
      <c>
        <v>125</v>
      </c>
      <c r="AI5925" t="s">
        <v>47755</v>
      </c>
      <c t="s">
        <v>45620</v>
      </c>
      <c r="AL5925" t="s">
        <v>39326</v>
      </c>
      <c r="AN5925" t="s">
        <v>7234</v>
      </c>
      <c>
        <v>0</v>
      </c>
      <c r="AR5925" t="s">
        <v>36447</v>
      </c>
    </row>
    <row>
      <c t="s">
        <v>17594</v>
      </c>
      <c t="s">
        <v>44675</v>
      </c>
      <c s="2" t="s">
        <v>3598</v>
      </c>
      <c t="s">
        <v>31054</v>
      </c>
      <c t="s">
        <v>56982</v>
      </c>
      <c s="3">
        <v>20717</v>
      </c>
      <c s="3">
        <v>20717</v>
      </c>
      <c s="3">
        <v>9599</v>
      </c>
      <c>
        <v>0</v>
      </c>
      <c s="3">
        <v>0</v>
      </c>
      <c s="3">
        <v>700.67</v>
      </c>
      <c s="3">
        <v>20717</v>
      </c>
      <c r="O5926" s="1" t="str">
        <f ca="1">HYPERLINK("https://web.datatree.com/?/property?propertyId=34356686", "https://web.datatree.com/?/property?propertyId=34356686")</f>
        <v>https://web.datatree.com/?/property?propertyId=34356686</v>
      </c>
      <c r="Q5926" t="s">
        <v>316</v>
      </c>
      <c>
        <v>0.356</v>
      </c>
      <c t="s">
        <v>42044</v>
      </c>
      <c t="s">
        <v>30349</v>
      </c>
      <c t="s">
        <v>14683</v>
      </c>
      <c r="X5926" t="s">
        <v>44439</v>
      </c>
      <c t="s">
        <v>61850</v>
      </c>
      <c t="s">
        <v>2517</v>
      </c>
      <c t="s">
        <v>39289</v>
      </c>
      <c>
        <v>33909</v>
      </c>
      <c t="s">
        <v>48744</v>
      </c>
      <c t="s">
        <v>48794</v>
      </c>
      <c t="s">
        <v>6824</v>
      </c>
      <c>
        <v>39</v>
      </c>
      <c r="AI5926" t="s">
        <v>22131</v>
      </c>
      <c t="s">
        <v>1671</v>
      </c>
      <c r="AL5926" t="s">
        <v>12532</v>
      </c>
      <c r="AN5926" t="s">
        <v>26016</v>
      </c>
      <c t="s">
        <v>30076</v>
      </c>
      <c t="s">
        <v>44428</v>
      </c>
      <c t="s">
        <v>3093</v>
      </c>
      <c s="2" t="s">
        <v>49244</v>
      </c>
    </row>
    <row>
      <c t="s">
        <v>17594</v>
      </c>
      <c t="s">
        <v>4002</v>
      </c>
      <c t="s">
        <v>16492</v>
      </c>
      <c t="s">
        <v>17904</v>
      </c>
      <c t="s">
        <v>18346</v>
      </c>
      <c s="3">
        <v>31830</v>
      </c>
      <c s="3">
        <v>31830</v>
      </c>
      <c s="3">
        <v>23108</v>
      </c>
      <c>
        <v>0</v>
      </c>
      <c s="3">
        <v>0</v>
      </c>
      <c s="3">
        <v>826.51</v>
      </c>
      <c s="3">
        <v>31830</v>
      </c>
      <c r="O5927" s="1" t="str">
        <f ca="1">HYPERLINK("https://web.datatree.com/?/property?propertyId=34356801", "https://web.datatree.com/?/property?propertyId=34356801")</f>
        <v>https://web.datatree.com/?/property?propertyId=34356801</v>
      </c>
      <c r="Q5927" t="s">
        <v>316</v>
      </c>
      <c>
        <v>0.23</v>
      </c>
      <c t="s">
        <v>6175</v>
      </c>
      <c t="s">
        <v>25990</v>
      </c>
      <c t="s">
        <v>16569</v>
      </c>
      <c t="s">
        <v>66118</v>
      </c>
      <c t="s">
        <v>16569</v>
      </c>
      <c t="s">
        <v>56634</v>
      </c>
      <c t="s">
        <v>39832</v>
      </c>
      <c t="s">
        <v>2517</v>
      </c>
      <c t="s">
        <v>39289</v>
      </c>
      <c>
        <v>33904</v>
      </c>
      <c t="s">
        <v>43427</v>
      </c>
      <c t="s">
        <v>48794</v>
      </c>
      <c t="s">
        <v>12407</v>
      </c>
      <c>
        <v>38</v>
      </c>
      <c r="AI5927" t="s">
        <v>19488</v>
      </c>
      <c t="s">
        <v>24900</v>
      </c>
      <c r="AL5927" t="s">
        <v>66542</v>
      </c>
      <c t="s">
        <v>66542</v>
      </c>
      <c t="s">
        <v>14509</v>
      </c>
      <c t="s">
        <v>16411</v>
      </c>
      <c t="s">
        <v>38085</v>
      </c>
      <c t="s">
        <v>3093</v>
      </c>
      <c t="s">
        <v>17854</v>
      </c>
    </row>
    <row>
      <c t="s">
        <v>17594</v>
      </c>
      <c t="s">
        <v>27620</v>
      </c>
      <c t="s">
        <v>8343</v>
      </c>
      <c t="s">
        <v>60195</v>
      </c>
      <c t="s">
        <v>19831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928" s="1" t="str">
        <f ca="1">HYPERLINK("https://web.datatree.com/?/property?propertyId=34356992", "https://web.datatree.com/?/property?propertyId=34356992")</f>
        <v>https://web.datatree.com/?/property?propertyId=34356992</v>
      </c>
      <c r="Q5928" t="s">
        <v>316</v>
      </c>
      <c>
        <v>0.23</v>
      </c>
      <c t="s">
        <v>42044</v>
      </c>
      <c t="s">
        <v>1859</v>
      </c>
      <c t="s">
        <v>3275</v>
      </c>
      <c t="s">
        <v>21668</v>
      </c>
      <c t="s">
        <v>3275</v>
      </c>
      <c t="s">
        <v>61115</v>
      </c>
      <c t="s">
        <v>61144</v>
      </c>
      <c t="s">
        <v>2517</v>
      </c>
      <c t="s">
        <v>39289</v>
      </c>
      <c>
        <v>33909</v>
      </c>
      <c t="s">
        <v>56696</v>
      </c>
      <c t="s">
        <v>48794</v>
      </c>
      <c t="s">
        <v>66273</v>
      </c>
      <c>
        <v>119</v>
      </c>
      <c r="AI5928" t="s">
        <v>32471</v>
      </c>
      <c t="s">
        <v>31192</v>
      </c>
      <c>
        <v>236</v>
      </c>
      <c t="s">
        <v>46985</v>
      </c>
      <c r="AN5928" t="s">
        <v>50917</v>
      </c>
      <c t="s">
        <v>54892</v>
      </c>
      <c t="s">
        <v>5800</v>
      </c>
      <c t="s">
        <v>3093</v>
      </c>
      <c t="s">
        <v>52420</v>
      </c>
    </row>
    <row>
      <c t="s">
        <v>17594</v>
      </c>
      <c t="s">
        <v>51992</v>
      </c>
      <c t="s">
        <v>33584</v>
      </c>
      <c t="s">
        <v>41891</v>
      </c>
      <c t="s">
        <v>55101</v>
      </c>
      <c s="3">
        <v>7200</v>
      </c>
      <c s="3">
        <v>7200</v>
      </c>
      <c s="3">
        <v>7200</v>
      </c>
      <c>
        <v>0</v>
      </c>
      <c s="3">
        <v>0</v>
      </c>
      <c s="3">
        <v>488.16</v>
      </c>
      <c s="3">
        <v>7200</v>
      </c>
      <c r="O5929" s="1" t="str">
        <f ca="1">HYPERLINK("https://web.datatree.com/?/property?propertyId=34357889", "https://web.datatree.com/?/property?propertyId=34357889")</f>
        <v>https://web.datatree.com/?/property?propertyId=34357889</v>
      </c>
      <c r="Q5929" t="s">
        <v>316</v>
      </c>
      <c>
        <v>0.23</v>
      </c>
      <c t="s">
        <v>6175</v>
      </c>
      <c t="s">
        <v>59548</v>
      </c>
      <c t="s">
        <v>66477</v>
      </c>
      <c r="X5929" t="s">
        <v>35097</v>
      </c>
      <c t="s">
        <v>50440</v>
      </c>
      <c t="s">
        <v>2517</v>
      </c>
      <c t="s">
        <v>39289</v>
      </c>
      <c>
        <v>33909</v>
      </c>
      <c t="s">
        <v>11006</v>
      </c>
      <c t="s">
        <v>48794</v>
      </c>
      <c t="s">
        <v>43570</v>
      </c>
      <c>
        <v>1808</v>
      </c>
      <c r="AH5929" t="s">
        <v>63047</v>
      </c>
      <c t="s">
        <v>34731</v>
      </c>
      <c t="s">
        <v>24900</v>
      </c>
      <c r="AL5929" t="s">
        <v>53894</v>
      </c>
      <c t="s">
        <v>53894</v>
      </c>
      <c t="s">
        <v>18594</v>
      </c>
      <c t="s">
        <v>39252</v>
      </c>
      <c t="s">
        <v>4797</v>
      </c>
      <c t="s">
        <v>3093</v>
      </c>
      <c t="s">
        <v>35884</v>
      </c>
    </row>
    <row>
      <c t="s">
        <v>17594</v>
      </c>
      <c t="s">
        <v>49011</v>
      </c>
      <c t="s">
        <v>110</v>
      </c>
      <c t="s">
        <v>10413</v>
      </c>
      <c t="s">
        <v>61610</v>
      </c>
      <c s="3">
        <v>71324</v>
      </c>
      <c s="3">
        <v>63500</v>
      </c>
      <c s="3">
        <v>68006</v>
      </c>
      <c>
        <v>0</v>
      </c>
      <c s="3">
        <v>0</v>
      </c>
      <c s="3">
        <v>1041.49</v>
      </c>
      <c s="3">
        <v>71324</v>
      </c>
      <c r="O5930" s="1" t="str">
        <f ca="1">HYPERLINK("https://web.datatree.com/?/property?propertyId=34358249", "https://web.datatree.com/?/property?propertyId=34358249")</f>
        <v>https://web.datatree.com/?/property?propertyId=34358249</v>
      </c>
      <c r="Q5930" t="s">
        <v>316</v>
      </c>
      <c>
        <v>0.097</v>
      </c>
      <c t="s">
        <v>26492</v>
      </c>
      <c t="s">
        <v>8762</v>
      </c>
      <c t="s">
        <v>18271</v>
      </c>
      <c t="s">
        <v>9912</v>
      </c>
      <c t="s">
        <v>18271</v>
      </c>
      <c t="s">
        <v>34158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24836</v>
      </c>
      <c t="s">
        <v>7186</v>
      </c>
      <c r="AI5930" t="s">
        <v>57851</v>
      </c>
      <c r="AL5930" t="s">
        <v>35426</v>
      </c>
      <c t="s">
        <v>35426</v>
      </c>
      <c t="s">
        <v>51137</v>
      </c>
      <c>
        <v>49315</v>
      </c>
      <c r="AQ5930" t="s">
        <v>3093</v>
      </c>
      <c t="s">
        <v>45862</v>
      </c>
    </row>
    <row>
      <c t="s">
        <v>17594</v>
      </c>
      <c t="s">
        <v>4189</v>
      </c>
      <c t="s">
        <v>26945</v>
      </c>
      <c t="s">
        <v>50274</v>
      </c>
      <c t="s">
        <v>38125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931" s="1" t="str">
        <f ca="1">HYPERLINK("https://web.datatree.com/?/property?propertyId=34358847", "https://web.datatree.com/?/property?propertyId=34358847")</f>
        <v>https://web.datatree.com/?/property?propertyId=34358847</v>
      </c>
      <c r="Q5931" t="s">
        <v>316</v>
      </c>
      <c>
        <v>0.23</v>
      </c>
      <c t="s">
        <v>6175</v>
      </c>
      <c t="s">
        <v>57432</v>
      </c>
      <c t="s">
        <v>13790</v>
      </c>
      <c t="s">
        <v>21996</v>
      </c>
      <c t="s">
        <v>13790</v>
      </c>
      <c t="s">
        <v>25101</v>
      </c>
      <c t="s">
        <v>13478</v>
      </c>
      <c t="s">
        <v>2517</v>
      </c>
      <c t="s">
        <v>39289</v>
      </c>
      <c>
        <v>33909</v>
      </c>
      <c t="s">
        <v>28939</v>
      </c>
      <c t="s">
        <v>48794</v>
      </c>
      <c t="s">
        <v>40070</v>
      </c>
      <c>
        <v>3261</v>
      </c>
      <c r="AI5931" t="s">
        <v>31187</v>
      </c>
      <c t="s">
        <v>50321</v>
      </c>
      <c>
        <v>206</v>
      </c>
      <c t="s">
        <v>23828</v>
      </c>
      <c t="s">
        <v>18092</v>
      </c>
      <c t="s">
        <v>39289</v>
      </c>
      <c t="s">
        <v>42152</v>
      </c>
      <c t="s">
        <v>5800</v>
      </c>
      <c t="s">
        <v>3093</v>
      </c>
      <c t="s">
        <v>20598</v>
      </c>
    </row>
    <row>
      <c t="s">
        <v>17594</v>
      </c>
      <c t="s">
        <v>61236</v>
      </c>
      <c t="s">
        <v>19704</v>
      </c>
      <c t="s">
        <v>30792</v>
      </c>
      <c t="s">
        <v>16476</v>
      </c>
      <c s="3">
        <v>34520</v>
      </c>
      <c s="3">
        <v>34132</v>
      </c>
      <c s="3">
        <v>34342</v>
      </c>
      <c>
        <v>0</v>
      </c>
      <c s="3">
        <v>0</v>
      </c>
      <c s="3">
        <v>477.1</v>
      </c>
      <c s="3">
        <v>34520</v>
      </c>
      <c r="O5932" s="1" t="str">
        <f ca="1">HYPERLINK("https://web.datatree.com/?/property?propertyId=34359264", "https://web.datatree.com/?/property?propertyId=34359264")</f>
        <v>https://web.datatree.com/?/property?propertyId=34359264</v>
      </c>
      <c r="Q5932" t="s">
        <v>316</v>
      </c>
      <c>
        <v>0.046</v>
      </c>
      <c t="s">
        <v>54329</v>
      </c>
      <c t="s">
        <v>20804</v>
      </c>
      <c t="s">
        <v>21339</v>
      </c>
      <c r="X5932" t="s">
        <v>59798</v>
      </c>
      <c t="s">
        <v>38537</v>
      </c>
      <c t="s">
        <v>65059</v>
      </c>
      <c t="s">
        <v>39289</v>
      </c>
      <c>
        <v>33908</v>
      </c>
      <c>
        <v>33908</v>
      </c>
      <c t="s">
        <v>48794</v>
      </c>
      <c t="s">
        <v>33708</v>
      </c>
      <c>
        <v>3344</v>
      </c>
      <c r="AI5932" t="s">
        <v>17290</v>
      </c>
      <c t="s">
        <v>55842</v>
      </c>
      <c r="AL5932" t="s">
        <v>20319</v>
      </c>
      <c t="s">
        <v>20319</v>
      </c>
      <c t="s">
        <v>14798</v>
      </c>
      <c t="s">
        <v>15371</v>
      </c>
      <c t="s">
        <v>30106</v>
      </c>
      <c t="s">
        <v>3093</v>
      </c>
      <c t="s">
        <v>32359</v>
      </c>
      <c>
        <v>1984</v>
      </c>
    </row>
    <row>
      <c t="s">
        <v>17594</v>
      </c>
      <c t="s">
        <v>24910</v>
      </c>
      <c t="s">
        <v>30888</v>
      </c>
      <c t="s">
        <v>49203</v>
      </c>
      <c t="s">
        <v>14470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933" s="1" t="str">
        <f ca="1">HYPERLINK("https://web.datatree.com/?/property?propertyId=34359313", "https://web.datatree.com/?/property?propertyId=34359313")</f>
        <v>https://web.datatree.com/?/property?propertyId=34359313</v>
      </c>
      <c r="Q5933" t="s">
        <v>316</v>
      </c>
      <c>
        <v>0.23</v>
      </c>
      <c t="s">
        <v>42044</v>
      </c>
      <c t="s">
        <v>7912</v>
      </c>
      <c t="s">
        <v>39982</v>
      </c>
      <c r="X5933" t="s">
        <v>6715</v>
      </c>
      <c t="s">
        <v>39777</v>
      </c>
      <c t="s">
        <v>2517</v>
      </c>
      <c t="s">
        <v>39289</v>
      </c>
      <c>
        <v>33909</v>
      </c>
      <c t="s">
        <v>53261</v>
      </c>
      <c t="s">
        <v>48794</v>
      </c>
      <c t="s">
        <v>36784</v>
      </c>
      <c>
        <v>6011</v>
      </c>
      <c r="AI5933" t="s">
        <v>13065</v>
      </c>
      <c t="s">
        <v>24900</v>
      </c>
      <c r="AL5933" t="s">
        <v>29515</v>
      </c>
      <c t="s">
        <v>29515</v>
      </c>
      <c t="s">
        <v>39289</v>
      </c>
      <c t="s">
        <v>34568</v>
      </c>
      <c t="s">
        <v>62701</v>
      </c>
      <c t="s">
        <v>3093</v>
      </c>
      <c t="s">
        <v>14165</v>
      </c>
    </row>
    <row>
      <c t="s">
        <v>17594</v>
      </c>
      <c t="s">
        <v>62075</v>
      </c>
      <c t="s">
        <v>48254</v>
      </c>
      <c t="s">
        <v>66180</v>
      </c>
      <c t="s">
        <v>11934</v>
      </c>
      <c s="3">
        <v>24367</v>
      </c>
      <c s="3">
        <v>24367</v>
      </c>
      <c s="3">
        <v>9680</v>
      </c>
      <c>
        <v>0</v>
      </c>
      <c s="3">
        <v>0</v>
      </c>
      <c s="3">
        <v>655.24</v>
      </c>
      <c s="3">
        <v>24367</v>
      </c>
      <c r="O5934" s="1" t="str">
        <f ca="1">HYPERLINK("https://web.datatree.com/?/property?propertyId=34359450", "https://web.datatree.com/?/property?propertyId=34359450")</f>
        <v>https://web.datatree.com/?/property?propertyId=34359450</v>
      </c>
      <c r="Q5934" t="s">
        <v>316</v>
      </c>
      <c>
        <v>0.285</v>
      </c>
      <c t="s">
        <v>22490</v>
      </c>
      <c t="s">
        <v>44541</v>
      </c>
      <c t="s">
        <v>23546</v>
      </c>
      <c t="s">
        <v>32675</v>
      </c>
      <c t="s">
        <v>23546</v>
      </c>
      <c t="s">
        <v>48467</v>
      </c>
      <c t="s">
        <v>66701</v>
      </c>
      <c t="s">
        <v>2517</v>
      </c>
      <c t="s">
        <v>39289</v>
      </c>
      <c>
        <v>33909</v>
      </c>
      <c t="s">
        <v>25534</v>
      </c>
      <c t="s">
        <v>48794</v>
      </c>
      <c t="s">
        <v>59229</v>
      </c>
      <c>
        <v>60</v>
      </c>
      <c r="AI5934" t="s">
        <v>22790</v>
      </c>
      <c t="s">
        <v>45393</v>
      </c>
      <c r="AL5934" t="s">
        <v>8109</v>
      </c>
      <c r="AN5934" t="s">
        <v>50917</v>
      </c>
      <c t="s">
        <v>14689</v>
      </c>
      <c t="s">
        <v>11138</v>
      </c>
      <c t="s">
        <v>3093</v>
      </c>
      <c t="s">
        <v>23750</v>
      </c>
    </row>
    <row>
      <c t="s">
        <v>17594</v>
      </c>
      <c t="s">
        <v>4216</v>
      </c>
      <c t="s">
        <v>14218</v>
      </c>
      <c t="s">
        <v>19813</v>
      </c>
      <c t="s">
        <v>25811</v>
      </c>
      <c s="3">
        <v>190708</v>
      </c>
      <c s="3">
        <v>190708</v>
      </c>
      <c s="3">
        <v>190708</v>
      </c>
      <c>
        <v>0</v>
      </c>
      <c s="3">
        <v>0</v>
      </c>
      <c s="3">
        <v>3482.71</v>
      </c>
      <c s="3">
        <v>190708</v>
      </c>
      <c r="O5935" s="1" t="str">
        <f ca="1">HYPERLINK("https://web.datatree.com/?/property?propertyId=34359881", "https://web.datatree.com/?/property?propertyId=34359881")</f>
        <v>https://web.datatree.com/?/property?propertyId=34359881</v>
      </c>
      <c r="Q5935" t="s">
        <v>316</v>
      </c>
      <c>
        <v>0.283</v>
      </c>
      <c t="s">
        <v>22490</v>
      </c>
      <c t="s">
        <v>25238</v>
      </c>
      <c t="s">
        <v>62486</v>
      </c>
      <c t="s">
        <v>52031</v>
      </c>
      <c t="s">
        <v>62486</v>
      </c>
      <c t="s">
        <v>1351</v>
      </c>
      <c t="s">
        <v>18679</v>
      </c>
      <c t="s">
        <v>2517</v>
      </c>
      <c t="s">
        <v>39289</v>
      </c>
      <c>
        <v>33904</v>
      </c>
      <c t="s">
        <v>23074</v>
      </c>
      <c t="s">
        <v>48794</v>
      </c>
      <c t="s">
        <v>36355</v>
      </c>
      <c>
        <v>62</v>
      </c>
      <c r="AI5935" t="s">
        <v>64769</v>
      </c>
      <c t="s">
        <v>31192</v>
      </c>
      <c r="AL5935" t="s">
        <v>22179</v>
      </c>
      <c t="s">
        <v>43373</v>
      </c>
      <c t="s">
        <v>26016</v>
      </c>
      <c t="s">
        <v>64598</v>
      </c>
      <c t="s">
        <v>42082</v>
      </c>
      <c t="s">
        <v>3093</v>
      </c>
      <c t="s">
        <v>20435</v>
      </c>
    </row>
    <row>
      <c t="s">
        <v>17594</v>
      </c>
      <c t="s">
        <v>1373</v>
      </c>
      <c t="s">
        <v>39787</v>
      </c>
      <c t="s">
        <v>67212</v>
      </c>
      <c t="s">
        <v>17140</v>
      </c>
      <c s="3">
        <v>17741</v>
      </c>
      <c s="3">
        <v>17741</v>
      </c>
      <c s="3">
        <v>7865</v>
      </c>
      <c>
        <v>0</v>
      </c>
      <c s="3">
        <v>0</v>
      </c>
      <c s="3">
        <v>447.77</v>
      </c>
      <c s="3">
        <v>17741</v>
      </c>
      <c>
        <v>2018</v>
      </c>
      <c>
        <v>1019.5</v>
      </c>
      <c s="1" t="str">
        <f ca="1">HYPERLINK("https://web.datatree.com/?/property?propertyId=34360317", "https://web.datatree.com/?/property?propertyId=34360317")</f>
        <v>https://web.datatree.com/?/property?propertyId=34360317</v>
      </c>
      <c r="Q5936" t="s">
        <v>316</v>
      </c>
      <c>
        <v>0.23</v>
      </c>
      <c t="s">
        <v>6175</v>
      </c>
      <c t="s">
        <v>49958</v>
      </c>
      <c t="s">
        <v>34422</v>
      </c>
      <c r="X5936" t="s">
        <v>61179</v>
      </c>
      <c t="s">
        <v>39082</v>
      </c>
      <c t="s">
        <v>2517</v>
      </c>
      <c t="s">
        <v>39289</v>
      </c>
      <c>
        <v>33909</v>
      </c>
      <c t="s">
        <v>8345</v>
      </c>
      <c t="s">
        <v>48794</v>
      </c>
      <c t="s">
        <v>57668</v>
      </c>
      <c>
        <v>96</v>
      </c>
      <c r="AI5936" t="s">
        <v>20045</v>
      </c>
      <c r="AL5936" t="s">
        <v>16732</v>
      </c>
      <c r="AN5936" t="s">
        <v>17331</v>
      </c>
      <c t="s">
        <v>17024</v>
      </c>
      <c t="s">
        <v>22455</v>
      </c>
      <c t="s">
        <v>3093</v>
      </c>
      <c t="s">
        <v>2237</v>
      </c>
    </row>
    <row>
      <c t="s">
        <v>17594</v>
      </c>
      <c t="s">
        <v>18667</v>
      </c>
      <c t="s">
        <v>58394</v>
      </c>
      <c t="s">
        <v>23919</v>
      </c>
      <c t="s">
        <v>19105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937" s="1" t="str">
        <f ca="1">HYPERLINK("https://web.datatree.com/?/property?propertyId=34360957", "https://web.datatree.com/?/property?propertyId=34360957")</f>
        <v>https://web.datatree.com/?/property?propertyId=34360957</v>
      </c>
      <c r="Q5937" t="s">
        <v>316</v>
      </c>
      <c>
        <v>0.23</v>
      </c>
      <c t="s">
        <v>6175</v>
      </c>
      <c t="s">
        <v>50331</v>
      </c>
      <c t="s">
        <v>45184</v>
      </c>
      <c t="s">
        <v>16893</v>
      </c>
      <c t="s">
        <v>45184</v>
      </c>
      <c t="s">
        <v>56757</v>
      </c>
      <c t="s">
        <v>29190</v>
      </c>
      <c t="s">
        <v>2517</v>
      </c>
      <c t="s">
        <v>39289</v>
      </c>
      <c>
        <v>33909</v>
      </c>
      <c t="s">
        <v>10971</v>
      </c>
      <c t="s">
        <v>48794</v>
      </c>
      <c t="s">
        <v>28438</v>
      </c>
      <c>
        <v>1289</v>
      </c>
      <c r="AH5937" t="s">
        <v>12549</v>
      </c>
      <c>
        <v>500</v>
      </c>
      <c r="AL5937" t="s">
        <v>12829</v>
      </c>
      <c r="AN5937" t="s">
        <v>49572</v>
      </c>
      <c t="s">
        <v>42461</v>
      </c>
      <c t="s">
        <v>702</v>
      </c>
      <c t="s">
        <v>3093</v>
      </c>
      <c t="s">
        <v>56747</v>
      </c>
    </row>
    <row>
      <c t="s">
        <v>17594</v>
      </c>
      <c t="s">
        <v>14744</v>
      </c>
      <c t="s">
        <v>1847</v>
      </c>
      <c t="s">
        <v>38467</v>
      </c>
      <c t="s">
        <v>28656</v>
      </c>
      <c s="3">
        <v>38750</v>
      </c>
      <c s="3">
        <v>38750</v>
      </c>
      <c s="3">
        <v>38750</v>
      </c>
      <c>
        <v>0</v>
      </c>
      <c s="3">
        <v>0</v>
      </c>
      <c s="3">
        <v>905.83</v>
      </c>
      <c s="3">
        <v>38750</v>
      </c>
      <c>
        <v>2021</v>
      </c>
      <c>
        <v>739.62</v>
      </c>
      <c s="1" t="str">
        <f ca="1">HYPERLINK("https://web.datatree.com/?/property?propertyId=34361651", "https://web.datatree.com/?/property?propertyId=34361651")</f>
        <v>https://web.datatree.com/?/property?propertyId=34361651</v>
      </c>
      <c r="Q5938" t="s">
        <v>316</v>
      </c>
      <c>
        <v>0.23</v>
      </c>
      <c t="s">
        <v>45031</v>
      </c>
      <c r="U5938" t="s">
        <v>39248</v>
      </c>
      <c r="W5938" t="s">
        <v>16675</v>
      </c>
      <c t="s">
        <v>28462</v>
      </c>
      <c t="s">
        <v>38550</v>
      </c>
      <c t="s">
        <v>2517</v>
      </c>
      <c t="s">
        <v>39289</v>
      </c>
      <c>
        <v>33909</v>
      </c>
      <c t="s">
        <v>64368</v>
      </c>
      <c t="s">
        <v>48794</v>
      </c>
      <c t="s">
        <v>51743</v>
      </c>
      <c>
        <v>1125</v>
      </c>
      <c r="AI5938" t="s">
        <v>14197</v>
      </c>
      <c t="s">
        <v>45393</v>
      </c>
      <c>
        <v>101</v>
      </c>
      <c t="s">
        <v>28490</v>
      </c>
      <c t="s">
        <v>28490</v>
      </c>
      <c t="s">
        <v>39289</v>
      </c>
      <c t="s">
        <v>33842</v>
      </c>
      <c t="s">
        <v>1951</v>
      </c>
      <c t="s">
        <v>3093</v>
      </c>
      <c t="s">
        <v>26157</v>
      </c>
    </row>
    <row>
      <c t="s">
        <v>17594</v>
      </c>
      <c t="s">
        <v>32627</v>
      </c>
      <c t="s">
        <v>42835</v>
      </c>
      <c t="s">
        <v>33877</v>
      </c>
      <c t="s">
        <v>28027</v>
      </c>
      <c s="3">
        <v>19712</v>
      </c>
      <c s="3">
        <v>19712</v>
      </c>
      <c s="3">
        <v>7454</v>
      </c>
      <c>
        <v>0</v>
      </c>
      <c s="3">
        <v>0</v>
      </c>
      <c s="3">
        <v>393.21</v>
      </c>
      <c s="3">
        <v>19712</v>
      </c>
      <c r="O5939" s="1" t="str">
        <f ca="1">HYPERLINK("https://web.datatree.com/?/property?propertyId=34362434", "https://web.datatree.com/?/property?propertyId=34362434")</f>
        <v>https://web.datatree.com/?/property?propertyId=34362434</v>
      </c>
      <c r="Q5939" t="s">
        <v>316</v>
      </c>
      <c>
        <v>0.404</v>
      </c>
      <c t="s">
        <v>37489</v>
      </c>
      <c r="U5939" t="s">
        <v>44897</v>
      </c>
      <c r="W5939" t="s">
        <v>38172</v>
      </c>
      <c t="s">
        <v>4570</v>
      </c>
      <c t="s">
        <v>18019</v>
      </c>
      <c t="s">
        <v>65059</v>
      </c>
      <c t="s">
        <v>39289</v>
      </c>
      <c>
        <v>33905</v>
      </c>
      <c t="s">
        <v>58985</v>
      </c>
      <c t="s">
        <v>48794</v>
      </c>
      <c t="s">
        <v>22101</v>
      </c>
      <c>
        <v>2353</v>
      </c>
      <c r="AI5939" t="s">
        <v>362</v>
      </c>
      <c t="s">
        <v>24900</v>
      </c>
      <c r="AL5939" t="s">
        <v>6144</v>
      </c>
      <c t="s">
        <v>13397</v>
      </c>
      <c t="s">
        <v>50917</v>
      </c>
      <c t="s">
        <v>1458</v>
      </c>
      <c t="s">
        <v>53800</v>
      </c>
      <c t="s">
        <v>3093</v>
      </c>
      <c t="s">
        <v>64383</v>
      </c>
    </row>
    <row>
      <c t="s">
        <v>17594</v>
      </c>
      <c t="s">
        <v>37859</v>
      </c>
      <c t="s">
        <v>55008</v>
      </c>
      <c t="s">
        <v>35499</v>
      </c>
      <c t="s">
        <v>15232</v>
      </c>
      <c s="3">
        <v>7500</v>
      </c>
      <c s="3">
        <v>7500</v>
      </c>
      <c s="3">
        <v>7500</v>
      </c>
      <c>
        <v>0</v>
      </c>
      <c s="3">
        <v>0</v>
      </c>
      <c s="3">
        <v>546.65</v>
      </c>
      <c s="3">
        <v>7500</v>
      </c>
      <c r="O5940" s="1" t="str">
        <f ca="1">HYPERLINK("https://web.datatree.com/?/property?propertyId=34362581", "https://web.datatree.com/?/property?propertyId=34362581")</f>
        <v>https://web.datatree.com/?/property?propertyId=34362581</v>
      </c>
      <c r="Q5940" t="s">
        <v>316</v>
      </c>
      <c>
        <v>0.23</v>
      </c>
      <c t="s">
        <v>6175</v>
      </c>
      <c t="s">
        <v>54024</v>
      </c>
      <c t="s">
        <v>46676</v>
      </c>
      <c t="s">
        <v>52880</v>
      </c>
      <c t="s">
        <v>46676</v>
      </c>
      <c t="s">
        <v>25407</v>
      </c>
      <c t="s">
        <v>5115</v>
      </c>
      <c t="s">
        <v>2517</v>
      </c>
      <c t="s">
        <v>39289</v>
      </c>
      <c>
        <v>33909</v>
      </c>
      <c t="s">
        <v>61100</v>
      </c>
      <c t="s">
        <v>48794</v>
      </c>
      <c t="s">
        <v>67179</v>
      </c>
      <c>
        <v>817</v>
      </c>
      <c r="AI5940" t="s">
        <v>24256</v>
      </c>
      <c t="s">
        <v>41372</v>
      </c>
      <c r="AL5940" t="s">
        <v>33743</v>
      </c>
      <c r="AN5940" t="s">
        <v>26016</v>
      </c>
      <c t="s">
        <v>53072</v>
      </c>
      <c t="s">
        <v>35679</v>
      </c>
      <c t="s">
        <v>3093</v>
      </c>
      <c t="s">
        <v>49068</v>
      </c>
    </row>
    <row>
      <c t="s">
        <v>17594</v>
      </c>
      <c t="s">
        <v>29358</v>
      </c>
      <c t="s">
        <v>27426</v>
      </c>
      <c t="s">
        <v>61052</v>
      </c>
      <c t="s">
        <v>63415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941" s="1" t="str">
        <f ca="1">HYPERLINK("https://web.datatree.com/?/property?propertyId=34363137", "https://web.datatree.com/?/property?propertyId=34363137")</f>
        <v>https://web.datatree.com/?/property?propertyId=34363137</v>
      </c>
      <c r="Q5941" t="s">
        <v>316</v>
      </c>
      <c>
        <v>0.23</v>
      </c>
      <c t="s">
        <v>6175</v>
      </c>
      <c t="s">
        <v>52057</v>
      </c>
      <c t="s">
        <v>31603</v>
      </c>
      <c r="X5941" t="s">
        <v>6147</v>
      </c>
      <c t="s">
        <v>10653</v>
      </c>
      <c t="s">
        <v>2517</v>
      </c>
      <c t="s">
        <v>39289</v>
      </c>
      <c>
        <v>33909</v>
      </c>
      <c t="s">
        <v>62636</v>
      </c>
      <c t="s">
        <v>48794</v>
      </c>
      <c t="s">
        <v>8862</v>
      </c>
      <c t="s">
        <v>30549</v>
      </c>
      <c r="AI5941" t="s">
        <v>32740</v>
      </c>
      <c r="AK5941" t="s">
        <v>31531</v>
      </c>
      <c t="s">
        <v>12517</v>
      </c>
      <c r="AN5941" t="s">
        <v>513</v>
      </c>
      <c r="AR5941" t="s">
        <v>12586</v>
      </c>
    </row>
    <row>
      <c t="s">
        <v>17594</v>
      </c>
      <c t="s">
        <v>66959</v>
      </c>
      <c t="s">
        <v>26494</v>
      </c>
      <c t="s">
        <v>52935</v>
      </c>
      <c t="s">
        <v>50188</v>
      </c>
      <c s="3">
        <v>15574</v>
      </c>
      <c s="3">
        <v>15574</v>
      </c>
      <c s="3">
        <v>9075</v>
      </c>
      <c>
        <v>0</v>
      </c>
      <c s="3">
        <v>0</v>
      </c>
      <c s="3">
        <v>553.9</v>
      </c>
      <c s="3">
        <v>15574</v>
      </c>
      <c r="O5942" s="1" t="str">
        <f ca="1">HYPERLINK("https://web.datatree.com/?/property?propertyId=34363601", "https://web.datatree.com/?/property?propertyId=34363601")</f>
        <v>https://web.datatree.com/?/property?propertyId=34363601</v>
      </c>
      <c r="Q5942" t="s">
        <v>316</v>
      </c>
      <c>
        <v>0.23</v>
      </c>
      <c t="s">
        <v>42044</v>
      </c>
      <c t="s">
        <v>11374</v>
      </c>
      <c t="s">
        <v>20110</v>
      </c>
      <c r="X5942" t="s">
        <v>5841</v>
      </c>
      <c t="s">
        <v>13478</v>
      </c>
      <c t="s">
        <v>2517</v>
      </c>
      <c t="s">
        <v>39289</v>
      </c>
      <c>
        <v>33909</v>
      </c>
      <c t="s">
        <v>32390</v>
      </c>
      <c t="s">
        <v>48794</v>
      </c>
      <c t="s">
        <v>62364</v>
      </c>
      <c>
        <v>9300</v>
      </c>
      <c r="AI5942" t="s">
        <v>20559</v>
      </c>
      <c t="s">
        <v>45393</v>
      </c>
      <c>
        <v>221</v>
      </c>
      <c t="s">
        <v>55393</v>
      </c>
      <c r="AN5942" t="s">
        <v>39289</v>
      </c>
      <c t="s">
        <v>22079</v>
      </c>
      <c t="s">
        <v>66797</v>
      </c>
      <c t="s">
        <v>3093</v>
      </c>
      <c t="s">
        <v>32821</v>
      </c>
    </row>
    <row>
      <c t="s">
        <v>17594</v>
      </c>
      <c t="s">
        <v>11690</v>
      </c>
      <c t="s">
        <v>8626</v>
      </c>
      <c t="s">
        <v>42132</v>
      </c>
      <c t="s">
        <v>24039</v>
      </c>
      <c s="3">
        <v>16659</v>
      </c>
      <c s="3">
        <v>16659</v>
      </c>
      <c s="3">
        <v>8470</v>
      </c>
      <c>
        <v>0</v>
      </c>
      <c s="3">
        <v>0</v>
      </c>
      <c s="3">
        <v>572.25</v>
      </c>
      <c s="3">
        <v>16659</v>
      </c>
      <c r="O5943" s="1" t="str">
        <f ca="1">HYPERLINK("https://web.datatree.com/?/property?propertyId=34363678", "https://web.datatree.com/?/property?propertyId=34363678")</f>
        <v>https://web.datatree.com/?/property?propertyId=34363678</v>
      </c>
      <c r="Q5943" t="s">
        <v>316</v>
      </c>
      <c>
        <v>0.23</v>
      </c>
      <c t="s">
        <v>6175</v>
      </c>
      <c t="s">
        <v>64030</v>
      </c>
      <c t="s">
        <v>54939</v>
      </c>
      <c r="X5943" t="s">
        <v>20339</v>
      </c>
      <c t="s">
        <v>44061</v>
      </c>
      <c t="s">
        <v>2517</v>
      </c>
      <c t="s">
        <v>39289</v>
      </c>
      <c>
        <v>33909</v>
      </c>
      <c t="s">
        <v>19998</v>
      </c>
      <c t="s">
        <v>48794</v>
      </c>
      <c t="s">
        <v>16407</v>
      </c>
      <c>
        <v>12899</v>
      </c>
      <c r="AI5943" t="s">
        <v>34731</v>
      </c>
      <c t="s">
        <v>45393</v>
      </c>
      <c r="AL5943" t="s">
        <v>55393</v>
      </c>
      <c r="AN5943" t="s">
        <v>39289</v>
      </c>
      <c t="s">
        <v>43449</v>
      </c>
      <c t="s">
        <v>66797</v>
      </c>
      <c t="s">
        <v>3093</v>
      </c>
      <c t="s">
        <v>59947</v>
      </c>
    </row>
    <row>
      <c t="s">
        <v>17594</v>
      </c>
      <c t="s">
        <v>17771</v>
      </c>
      <c t="s">
        <v>17032</v>
      </c>
      <c t="s">
        <v>44009</v>
      </c>
      <c t="s">
        <v>31361</v>
      </c>
      <c s="3">
        <v>19478</v>
      </c>
      <c s="3">
        <v>19478</v>
      </c>
      <c s="3">
        <v>9339</v>
      </c>
      <c>
        <v>0</v>
      </c>
      <c s="3">
        <v>0</v>
      </c>
      <c s="3">
        <v>584.07</v>
      </c>
      <c s="3">
        <v>19478</v>
      </c>
      <c r="O5944" s="1" t="str">
        <f ca="1">HYPERLINK("https://web.datatree.com/?/property?propertyId=34363890", "https://web.datatree.com/?/property?propertyId=34363890")</f>
        <v>https://web.datatree.com/?/property?propertyId=34363890</v>
      </c>
      <c r="Q5944" t="s">
        <v>316</v>
      </c>
      <c>
        <v>0.249</v>
      </c>
      <c t="s">
        <v>6175</v>
      </c>
      <c t="s">
        <v>38445</v>
      </c>
      <c t="s">
        <v>16440</v>
      </c>
      <c r="X5944" t="s">
        <v>44916</v>
      </c>
      <c t="s">
        <v>22731</v>
      </c>
      <c t="s">
        <v>2517</v>
      </c>
      <c t="s">
        <v>39289</v>
      </c>
      <c>
        <v>33909</v>
      </c>
      <c t="s">
        <v>53291</v>
      </c>
      <c t="s">
        <v>48794</v>
      </c>
      <c t="s">
        <v>8394</v>
      </c>
      <c>
        <v>545</v>
      </c>
      <c r="AI5944" t="s">
        <v>41010</v>
      </c>
      <c t="s">
        <v>31192</v>
      </c>
      <c r="AL5944" t="s">
        <v>10168</v>
      </c>
      <c r="AN5944" t="s">
        <v>19878</v>
      </c>
      <c t="s">
        <v>61160</v>
      </c>
      <c t="s">
        <v>56028</v>
      </c>
      <c t="s">
        <v>3093</v>
      </c>
      <c t="s">
        <v>52782</v>
      </c>
    </row>
    <row>
      <c t="s">
        <v>17594</v>
      </c>
      <c t="s">
        <v>7832</v>
      </c>
      <c s="7" t="s">
        <v>67215</v>
      </c>
      <c t="s">
        <v>39755</v>
      </c>
      <c t="s">
        <v>53340</v>
      </c>
      <c s="3">
        <v>24856</v>
      </c>
      <c s="3">
        <v>24856</v>
      </c>
      <c s="3">
        <v>24856</v>
      </c>
      <c>
        <v>0</v>
      </c>
      <c s="3">
        <v>0</v>
      </c>
      <c s="3">
        <v>775.19</v>
      </c>
      <c s="3">
        <v>24856</v>
      </c>
      <c r="O5945" s="1" t="str">
        <f ca="1">HYPERLINK("https://web.datatree.com/?/property?propertyId=34364838", "https://web.datatree.com/?/property?propertyId=34364838")</f>
        <v>https://web.datatree.com/?/property?propertyId=34364838</v>
      </c>
      <c r="Q5945" t="s">
        <v>316</v>
      </c>
      <c>
        <v>0.249</v>
      </c>
      <c t="s">
        <v>45031</v>
      </c>
      <c t="s">
        <v>36640</v>
      </c>
      <c t="s">
        <v>32426</v>
      </c>
      <c r="X5945" t="s">
        <v>13803</v>
      </c>
      <c t="s">
        <v>38550</v>
      </c>
      <c t="s">
        <v>2517</v>
      </c>
      <c t="s">
        <v>39289</v>
      </c>
      <c>
        <v>33909</v>
      </c>
      <c t="s">
        <v>1086</v>
      </c>
      <c t="s">
        <v>48794</v>
      </c>
      <c t="s">
        <v>59119</v>
      </c>
      <c>
        <v>8</v>
      </c>
      <c r="AI5945" t="s">
        <v>43940</v>
      </c>
      <c t="s">
        <v>40123</v>
      </c>
      <c r="AL5945" t="s">
        <v>41412</v>
      </c>
      <c r="AN5945" t="s">
        <v>22275</v>
      </c>
      <c t="s">
        <v>30827</v>
      </c>
      <c t="s">
        <v>22455</v>
      </c>
      <c t="s">
        <v>3093</v>
      </c>
      <c s="7" t="s">
        <v>43069</v>
      </c>
    </row>
    <row>
      <c t="s">
        <v>17594</v>
      </c>
      <c t="s">
        <v>16053</v>
      </c>
      <c t="s">
        <v>62057</v>
      </c>
      <c t="s">
        <v>11277</v>
      </c>
      <c t="s">
        <v>44309</v>
      </c>
      <c s="3">
        <v>18472</v>
      </c>
      <c s="3">
        <v>18472</v>
      </c>
      <c s="3">
        <v>8712</v>
      </c>
      <c>
        <v>0</v>
      </c>
      <c s="3">
        <v>0</v>
      </c>
      <c s="3">
        <v>566.28</v>
      </c>
      <c s="3">
        <v>18472</v>
      </c>
      <c r="O5946" s="1" t="str">
        <f ca="1">HYPERLINK("https://web.datatree.com/?/property?propertyId=34365387", "https://web.datatree.com/?/property?propertyId=34365387")</f>
        <v>https://web.datatree.com/?/property?propertyId=34365387</v>
      </c>
      <c r="Q5946" t="s">
        <v>316</v>
      </c>
      <c>
        <v>0.23</v>
      </c>
      <c t="s">
        <v>6175</v>
      </c>
      <c r="U5946" t="s">
        <v>855</v>
      </c>
      <c t="s">
        <v>2076</v>
      </c>
      <c t="s">
        <v>57015</v>
      </c>
      <c t="s">
        <v>10152</v>
      </c>
      <c t="s">
        <v>34731</v>
      </c>
      <c t="s">
        <v>2517</v>
      </c>
      <c t="s">
        <v>39289</v>
      </c>
      <c>
        <v>33909</v>
      </c>
      <c t="s">
        <v>18811</v>
      </c>
      <c t="s">
        <v>48794</v>
      </c>
      <c t="s">
        <v>12972</v>
      </c>
      <c>
        <v>638</v>
      </c>
      <c r="AI5946" t="s">
        <v>16520</v>
      </c>
      <c t="s">
        <v>24900</v>
      </c>
      <c r="AL5946" t="s">
        <v>25546</v>
      </c>
      <c t="s">
        <v>25546</v>
      </c>
      <c t="s">
        <v>65451</v>
      </c>
      <c t="s">
        <v>56340</v>
      </c>
      <c t="s">
        <v>61410</v>
      </c>
      <c t="s">
        <v>3093</v>
      </c>
      <c t="s">
        <v>39385</v>
      </c>
    </row>
    <row>
      <c t="s">
        <v>17594</v>
      </c>
      <c t="s">
        <v>31721</v>
      </c>
      <c t="s">
        <v>52295</v>
      </c>
      <c t="s">
        <v>37557</v>
      </c>
      <c t="s">
        <v>54768</v>
      </c>
      <c s="3">
        <v>7700</v>
      </c>
      <c s="3">
        <v>7700</v>
      </c>
      <c s="3">
        <v>7700</v>
      </c>
      <c>
        <v>0</v>
      </c>
      <c s="3">
        <v>0</v>
      </c>
      <c s="3">
        <v>580.33</v>
      </c>
      <c s="3">
        <v>7700</v>
      </c>
      <c r="O5947" s="1" t="str">
        <f ca="1">HYPERLINK("https://web.datatree.com/?/property?propertyId=34366641", "https://web.datatree.com/?/property?propertyId=34366641")</f>
        <v>https://web.datatree.com/?/property?propertyId=34366641</v>
      </c>
      <c r="Q5947" t="s">
        <v>316</v>
      </c>
      <c>
        <v>0.249</v>
      </c>
      <c t="s">
        <v>6175</v>
      </c>
      <c t="s">
        <v>21852</v>
      </c>
      <c t="s">
        <v>55472</v>
      </c>
      <c t="s">
        <v>64570</v>
      </c>
      <c t="s">
        <v>55472</v>
      </c>
      <c t="s">
        <v>20569</v>
      </c>
      <c t="s">
        <v>14534</v>
      </c>
      <c t="s">
        <v>2517</v>
      </c>
      <c t="s">
        <v>39289</v>
      </c>
      <c>
        <v>33909</v>
      </c>
      <c t="s">
        <v>41607</v>
      </c>
      <c t="s">
        <v>48794</v>
      </c>
      <c t="s">
        <v>53447</v>
      </c>
      <c>
        <v>3</v>
      </c>
      <c r="AI5947" t="s">
        <v>6409</v>
      </c>
      <c r="AL5947" t="s">
        <v>44910</v>
      </c>
      <c r="AN5947" t="s">
        <v>63985</v>
      </c>
      <c>
        <v>64560</v>
      </c>
      <c r="AR5947" t="s">
        <v>13113</v>
      </c>
    </row>
    <row>
      <c t="s">
        <v>17594</v>
      </c>
      <c t="s">
        <v>33177</v>
      </c>
      <c t="s">
        <v>57838</v>
      </c>
      <c t="s">
        <v>13063</v>
      </c>
      <c t="s">
        <v>52401</v>
      </c>
      <c s="3">
        <v>22115</v>
      </c>
      <c s="3">
        <v>22115</v>
      </c>
      <c s="3">
        <v>22115</v>
      </c>
      <c>
        <v>0</v>
      </c>
      <c s="3">
        <v>0</v>
      </c>
      <c s="3">
        <v>723.79</v>
      </c>
      <c s="3">
        <v>22115</v>
      </c>
      <c r="O5948" s="1" t="str">
        <f ca="1">HYPERLINK("https://web.datatree.com/?/property?propertyId=34366889", "https://web.datatree.com/?/property?propertyId=34366889")</f>
        <v>https://web.datatree.com/?/property?propertyId=34366889</v>
      </c>
      <c r="Q5948" t="s">
        <v>316</v>
      </c>
      <c>
        <v>0.23</v>
      </c>
      <c t="s">
        <v>22490</v>
      </c>
      <c t="s">
        <v>60713</v>
      </c>
      <c t="s">
        <v>59419</v>
      </c>
      <c t="s">
        <v>46676</v>
      </c>
      <c t="s">
        <v>59419</v>
      </c>
      <c t="s">
        <v>2208</v>
      </c>
      <c t="s">
        <v>52171</v>
      </c>
      <c t="s">
        <v>2517</v>
      </c>
      <c t="s">
        <v>39289</v>
      </c>
      <c>
        <v>33909</v>
      </c>
      <c t="s">
        <v>59333</v>
      </c>
      <c t="s">
        <v>48794</v>
      </c>
      <c t="s">
        <v>36464</v>
      </c>
      <c>
        <v>10018</v>
      </c>
      <c r="AI5948" t="s">
        <v>33951</v>
      </c>
      <c t="s">
        <v>31192</v>
      </c>
      <c r="AL5948" t="s">
        <v>54986</v>
      </c>
      <c r="AN5948" t="s">
        <v>18236</v>
      </c>
      <c t="s">
        <v>36357</v>
      </c>
      <c t="s">
        <v>48506</v>
      </c>
      <c t="s">
        <v>3093</v>
      </c>
      <c t="s">
        <v>65571</v>
      </c>
    </row>
    <row>
      <c t="s">
        <v>17594</v>
      </c>
      <c t="s">
        <v>5023</v>
      </c>
      <c t="s">
        <v>26965</v>
      </c>
      <c t="s">
        <v>56585</v>
      </c>
      <c t="s">
        <v>208</v>
      </c>
      <c s="3">
        <v>77968</v>
      </c>
      <c s="3">
        <v>70500</v>
      </c>
      <c s="3">
        <v>74215</v>
      </c>
      <c>
        <v>0</v>
      </c>
      <c s="3">
        <v>0</v>
      </c>
      <c s="3">
        <v>1136.87</v>
      </c>
      <c s="3">
        <v>77968</v>
      </c>
      <c r="O5949" s="1" t="str">
        <f ca="1">HYPERLINK("https://web.datatree.com/?/property?propertyId=34367003", "https://web.datatree.com/?/property?propertyId=34367003")</f>
        <v>https://web.datatree.com/?/property?propertyId=34367003</v>
      </c>
      <c r="Q5949" t="s">
        <v>316</v>
      </c>
      <c>
        <v>0.095</v>
      </c>
      <c t="s">
        <v>26492</v>
      </c>
      <c t="s">
        <v>43288</v>
      </c>
      <c t="s">
        <v>1050</v>
      </c>
      <c t="s">
        <v>28330</v>
      </c>
      <c t="s">
        <v>20063</v>
      </c>
      <c t="s">
        <v>55831</v>
      </c>
      <c t="s">
        <v>13196</v>
      </c>
      <c t="s">
        <v>65059</v>
      </c>
      <c t="s">
        <v>39289</v>
      </c>
      <c>
        <v>33905</v>
      </c>
      <c>
        <v>33905</v>
      </c>
      <c t="s">
        <v>48794</v>
      </c>
      <c t="s">
        <v>14806</v>
      </c>
      <c>
        <v>114</v>
      </c>
      <c r="AI5949" t="s">
        <v>22464</v>
      </c>
      <c t="s">
        <v>31192</v>
      </c>
      <c r="AL5949" t="s">
        <v>4391</v>
      </c>
      <c t="s">
        <v>4391</v>
      </c>
      <c t="s">
        <v>32657</v>
      </c>
      <c t="s">
        <v>14206</v>
      </c>
      <c t="s">
        <v>15968</v>
      </c>
      <c t="s">
        <v>3093</v>
      </c>
      <c t="s">
        <v>9484</v>
      </c>
    </row>
    <row>
      <c t="s">
        <v>17594</v>
      </c>
      <c t="s">
        <v>65690</v>
      </c>
      <c t="s">
        <v>44952</v>
      </c>
      <c t="s">
        <v>42857</v>
      </c>
      <c t="s">
        <v>18058</v>
      </c>
      <c s="3">
        <v>7600</v>
      </c>
      <c s="3">
        <v>7600</v>
      </c>
      <c s="3">
        <v>7600</v>
      </c>
      <c>
        <v>0</v>
      </c>
      <c s="3">
        <v>0</v>
      </c>
      <c s="3">
        <v>552.05</v>
      </c>
      <c s="3">
        <v>7600</v>
      </c>
      <c r="O5950" s="1" t="str">
        <f ca="1">HYPERLINK("https://web.datatree.com/?/property?propertyId=34367072", "https://web.datatree.com/?/property?propertyId=34367072")</f>
        <v>https://web.datatree.com/?/property?propertyId=34367072</v>
      </c>
      <c r="Q5950" t="s">
        <v>316</v>
      </c>
      <c>
        <v>0.23</v>
      </c>
      <c t="s">
        <v>6175</v>
      </c>
      <c t="s">
        <v>34763</v>
      </c>
      <c t="s">
        <v>10890</v>
      </c>
      <c r="X5950" t="s">
        <v>61430</v>
      </c>
      <c t="s">
        <v>60363</v>
      </c>
      <c t="s">
        <v>2517</v>
      </c>
      <c t="s">
        <v>39289</v>
      </c>
      <c>
        <v>33909</v>
      </c>
      <c t="s">
        <v>60735</v>
      </c>
      <c t="s">
        <v>48794</v>
      </c>
      <c t="s">
        <v>5084</v>
      </c>
      <c>
        <v>9590</v>
      </c>
      <c r="AI5950" t="s">
        <v>55609</v>
      </c>
      <c t="s">
        <v>29535</v>
      </c>
      <c r="AL5950" t="s">
        <v>62223</v>
      </c>
      <c r="AN5950" t="s">
        <v>58811</v>
      </c>
      <c t="s">
        <v>37905</v>
      </c>
      <c r="AQ5950" t="s">
        <v>27814</v>
      </c>
      <c t="s">
        <v>33755</v>
      </c>
    </row>
    <row>
      <c t="s">
        <v>17594</v>
      </c>
      <c t="s">
        <v>59245</v>
      </c>
      <c t="s">
        <v>64177</v>
      </c>
      <c t="s">
        <v>33981</v>
      </c>
      <c t="s">
        <v>34078</v>
      </c>
      <c s="3">
        <v>7600</v>
      </c>
      <c s="3">
        <v>7600</v>
      </c>
      <c s="3">
        <v>7600</v>
      </c>
      <c>
        <v>0</v>
      </c>
      <c s="3">
        <v>0</v>
      </c>
      <c s="3">
        <v>646.66</v>
      </c>
      <c s="3">
        <v>7600</v>
      </c>
      <c r="O5951" s="1" t="str">
        <f ca="1">HYPERLINK("https://web.datatree.com/?/property?propertyId=34369100", "https://web.datatree.com/?/property?propertyId=34369100")</f>
        <v>https://web.datatree.com/?/property?propertyId=34369100</v>
      </c>
      <c r="Q5951" t="s">
        <v>316</v>
      </c>
      <c>
        <v>0.326</v>
      </c>
      <c t="s">
        <v>22490</v>
      </c>
      <c t="s">
        <v>7346</v>
      </c>
      <c t="s">
        <v>39982</v>
      </c>
      <c t="s">
        <v>42532</v>
      </c>
      <c r="X5951" t="s">
        <v>60961</v>
      </c>
      <c t="s">
        <v>33893</v>
      </c>
      <c t="s">
        <v>2517</v>
      </c>
      <c t="s">
        <v>39289</v>
      </c>
      <c>
        <v>33909</v>
      </c>
      <c t="s">
        <v>41458</v>
      </c>
      <c t="s">
        <v>48794</v>
      </c>
      <c t="s">
        <v>61004</v>
      </c>
      <c>
        <v>127</v>
      </c>
      <c r="AI5951" t="s">
        <v>52908</v>
      </c>
      <c t="s">
        <v>24900</v>
      </c>
      <c r="AL5951" t="s">
        <v>9748</v>
      </c>
      <c t="s">
        <v>30396</v>
      </c>
      <c t="s">
        <v>14509</v>
      </c>
      <c t="s">
        <v>14709</v>
      </c>
      <c t="s">
        <v>56186</v>
      </c>
      <c t="s">
        <v>3093</v>
      </c>
      <c t="s">
        <v>23261</v>
      </c>
    </row>
    <row>
      <c t="s">
        <v>17594</v>
      </c>
      <c t="s">
        <v>61976</v>
      </c>
      <c t="s">
        <v>22099</v>
      </c>
      <c t="s">
        <v>27603</v>
      </c>
      <c t="s">
        <v>66703</v>
      </c>
      <c s="3">
        <v>38750</v>
      </c>
      <c s="3">
        <v>38750</v>
      </c>
      <c s="3">
        <v>17050</v>
      </c>
      <c>
        <v>0</v>
      </c>
      <c s="3">
        <v>0</v>
      </c>
      <c s="3">
        <v>768.4</v>
      </c>
      <c s="3">
        <v>38750</v>
      </c>
      <c r="O5952" s="1" t="str">
        <f ca="1">HYPERLINK("https://web.datatree.com/?/property?propertyId=34370384", "https://web.datatree.com/?/property?propertyId=34370384")</f>
        <v>https://web.datatree.com/?/property?propertyId=34370384</v>
      </c>
      <c r="Q5952" t="s">
        <v>316</v>
      </c>
      <c>
        <v>0.242</v>
      </c>
      <c t="s">
        <v>45031</v>
      </c>
      <c t="s">
        <v>59993</v>
      </c>
      <c t="s">
        <v>15739</v>
      </c>
      <c t="s">
        <v>15283</v>
      </c>
      <c t="s">
        <v>15739</v>
      </c>
      <c t="s">
        <v>14579</v>
      </c>
      <c t="s">
        <v>29190</v>
      </c>
      <c t="s">
        <v>2517</v>
      </c>
      <c t="s">
        <v>39289</v>
      </c>
      <c>
        <v>33909</v>
      </c>
      <c t="s">
        <v>14045</v>
      </c>
      <c t="s">
        <v>48794</v>
      </c>
      <c t="s">
        <v>30604</v>
      </c>
      <c>
        <v>17</v>
      </c>
      <c r="AI5952" t="s">
        <v>25841</v>
      </c>
      <c t="s">
        <v>40345</v>
      </c>
      <c r="AL5952" t="s">
        <v>46008</v>
      </c>
      <c r="AN5952" t="s">
        <v>10909</v>
      </c>
      <c t="s">
        <v>20107</v>
      </c>
      <c r="AQ5952" t="s">
        <v>27814</v>
      </c>
      <c t="s">
        <v>1220</v>
      </c>
    </row>
    <row>
      <c t="s">
        <v>17594</v>
      </c>
      <c t="s">
        <v>38511</v>
      </c>
      <c t="s">
        <v>14878</v>
      </c>
      <c t="s">
        <v>25914</v>
      </c>
      <c t="s">
        <v>14472</v>
      </c>
      <c s="3">
        <v>17855</v>
      </c>
      <c s="3">
        <v>17855</v>
      </c>
      <c s="3">
        <v>7865</v>
      </c>
      <c>
        <v>0</v>
      </c>
      <c s="3">
        <v>0</v>
      </c>
      <c s="3">
        <v>488.16</v>
      </c>
      <c s="3">
        <v>17855</v>
      </c>
      <c>
        <v>2019</v>
      </c>
      <c>
        <v>2708.9</v>
      </c>
      <c s="1" t="str">
        <f ca="1">HYPERLINK("https://web.datatree.com/?/property?propertyId=34370598", "https://web.datatree.com/?/property?propertyId=34370598")</f>
        <v>https://web.datatree.com/?/property?propertyId=34370598</v>
      </c>
      <c r="Q5953" t="s">
        <v>316</v>
      </c>
      <c>
        <v>0.233</v>
      </c>
      <c t="s">
        <v>6175</v>
      </c>
      <c t="s">
        <v>36061</v>
      </c>
      <c t="s">
        <v>18206</v>
      </c>
      <c r="X5953" t="s">
        <v>64694</v>
      </c>
      <c t="s">
        <v>61850</v>
      </c>
      <c t="s">
        <v>2517</v>
      </c>
      <c t="s">
        <v>39289</v>
      </c>
      <c>
        <v>33909</v>
      </c>
      <c t="s">
        <v>46071</v>
      </c>
      <c t="s">
        <v>48794</v>
      </c>
      <c t="s">
        <v>26425</v>
      </c>
      <c>
        <v>426</v>
      </c>
      <c r="AI5953" t="s">
        <v>18318</v>
      </c>
      <c t="s">
        <v>45393</v>
      </c>
      <c r="AL5953" t="s">
        <v>1686</v>
      </c>
      <c r="AN5953" t="s">
        <v>27747</v>
      </c>
      <c t="s">
        <v>7237</v>
      </c>
      <c t="s">
        <v>12241</v>
      </c>
      <c t="s">
        <v>3093</v>
      </c>
      <c t="s">
        <v>20767</v>
      </c>
    </row>
    <row>
      <c t="s">
        <v>17594</v>
      </c>
      <c t="s">
        <v>61806</v>
      </c>
      <c t="s">
        <v>41816</v>
      </c>
      <c t="s">
        <v>26679</v>
      </c>
      <c t="s">
        <v>36765</v>
      </c>
      <c s="3">
        <v>41248</v>
      </c>
      <c s="3">
        <v>41248</v>
      </c>
      <c s="3">
        <v>29710</v>
      </c>
      <c>
        <v>0</v>
      </c>
      <c s="3">
        <v>0</v>
      </c>
      <c s="3">
        <v>968.43</v>
      </c>
      <c s="3">
        <v>41248</v>
      </c>
      <c r="O5954" s="1" t="str">
        <f ca="1">HYPERLINK("https://web.datatree.com/?/property?propertyId=34371189", "https://web.datatree.com/?/property?propertyId=34371189")</f>
        <v>https://web.datatree.com/?/property?propertyId=34371189</v>
      </c>
      <c r="Q5954" t="s">
        <v>316</v>
      </c>
      <c>
        <v>0.23</v>
      </c>
      <c t="s">
        <v>22490</v>
      </c>
      <c t="s">
        <v>62380</v>
      </c>
      <c t="s">
        <v>38032</v>
      </c>
      <c t="s">
        <v>26069</v>
      </c>
      <c t="s">
        <v>38032</v>
      </c>
      <c t="s">
        <v>2514</v>
      </c>
      <c t="s">
        <v>34731</v>
      </c>
      <c t="s">
        <v>2517</v>
      </c>
      <c t="s">
        <v>39289</v>
      </c>
      <c>
        <v>33909</v>
      </c>
      <c t="s">
        <v>22741</v>
      </c>
      <c t="s">
        <v>48794</v>
      </c>
      <c t="s">
        <v>40838</v>
      </c>
      <c>
        <v>52</v>
      </c>
      <c r="AI5954" t="s">
        <v>2420</v>
      </c>
      <c t="s">
        <v>24900</v>
      </c>
      <c r="AL5954" t="s">
        <v>4554</v>
      </c>
      <c r="AN5954" t="s">
        <v>10909</v>
      </c>
      <c t="s">
        <v>43050</v>
      </c>
      <c r="AQ5954" t="s">
        <v>27814</v>
      </c>
      <c t="s">
        <v>1459</v>
      </c>
    </row>
    <row>
      <c t="s">
        <v>17594</v>
      </c>
      <c t="s">
        <v>49686</v>
      </c>
      <c t="s">
        <v>8375</v>
      </c>
      <c t="s">
        <v>11113</v>
      </c>
      <c t="s">
        <v>53969</v>
      </c>
      <c s="3">
        <v>22524</v>
      </c>
      <c s="3">
        <v>22524</v>
      </c>
      <c s="3">
        <v>8778</v>
      </c>
      <c>
        <v>0</v>
      </c>
      <c s="3">
        <v>0</v>
      </c>
      <c s="3">
        <v>660.2</v>
      </c>
      <c s="3">
        <v>22524</v>
      </c>
      <c r="O5955" s="1" t="str">
        <f ca="1">HYPERLINK("https://web.datatree.com/?/property?propertyId=34371370", "https://web.datatree.com/?/property?propertyId=34371370")</f>
        <v>https://web.datatree.com/?/property?propertyId=34371370</v>
      </c>
      <c r="Q5955" t="s">
        <v>316</v>
      </c>
      <c>
        <v>0.332</v>
      </c>
      <c t="s">
        <v>22490</v>
      </c>
      <c t="s">
        <v>39635</v>
      </c>
      <c t="s">
        <v>48584</v>
      </c>
      <c r="X5955" t="s">
        <v>36698</v>
      </c>
      <c t="s">
        <v>13829</v>
      </c>
      <c t="s">
        <v>2517</v>
      </c>
      <c t="s">
        <v>39289</v>
      </c>
      <c>
        <v>33909</v>
      </c>
      <c t="s">
        <v>56335</v>
      </c>
      <c t="s">
        <v>48794</v>
      </c>
      <c t="s">
        <v>8567</v>
      </c>
      <c>
        <v>9</v>
      </c>
      <c r="AI5955" t="s">
        <v>12983</v>
      </c>
      <c t="s">
        <v>45393</v>
      </c>
      <c r="AL5955" t="s">
        <v>35656</v>
      </c>
      <c r="AN5955" t="s">
        <v>27747</v>
      </c>
      <c t="s">
        <v>37240</v>
      </c>
      <c t="s">
        <v>19978</v>
      </c>
      <c t="s">
        <v>3093</v>
      </c>
      <c t="s">
        <v>37631</v>
      </c>
    </row>
    <row>
      <c t="s">
        <v>17594</v>
      </c>
      <c t="s">
        <v>55806</v>
      </c>
      <c t="s">
        <v>21496</v>
      </c>
      <c t="s">
        <v>1077</v>
      </c>
      <c t="s">
        <v>65742</v>
      </c>
      <c s="3">
        <v>7300</v>
      </c>
      <c s="3">
        <v>7300</v>
      </c>
      <c s="3">
        <v>7300</v>
      </c>
      <c>
        <v>0</v>
      </c>
      <c s="3">
        <v>0</v>
      </c>
      <c s="3">
        <v>608.19</v>
      </c>
      <c s="3">
        <v>7300</v>
      </c>
      <c r="O5956" s="1" t="str">
        <f ca="1">HYPERLINK("https://web.datatree.com/?/property?propertyId=34372149", "https://web.datatree.com/?/property?propertyId=34372149")</f>
        <v>https://web.datatree.com/?/property?propertyId=34372149</v>
      </c>
      <c r="Q5956" t="s">
        <v>316</v>
      </c>
      <c>
        <v>0.279</v>
      </c>
      <c t="s">
        <v>22490</v>
      </c>
      <c t="s">
        <v>4699</v>
      </c>
      <c t="s">
        <v>22807</v>
      </c>
      <c t="s">
        <v>63488</v>
      </c>
      <c t="s">
        <v>22807</v>
      </c>
      <c t="s">
        <v>19709</v>
      </c>
      <c t="s">
        <v>8669</v>
      </c>
      <c t="s">
        <v>2517</v>
      </c>
      <c t="s">
        <v>39289</v>
      </c>
      <c>
        <v>33909</v>
      </c>
      <c t="s">
        <v>28891</v>
      </c>
      <c t="s">
        <v>48794</v>
      </c>
      <c t="s">
        <v>52219</v>
      </c>
      <c t="s">
        <v>32955</v>
      </c>
      <c r="AI5956" t="s">
        <v>57786</v>
      </c>
      <c r="AL5956" t="s">
        <v>20703</v>
      </c>
      <c r="AN5956" t="s">
        <v>22478</v>
      </c>
      <c r="AR5956" t="s">
        <v>30139</v>
      </c>
    </row>
    <row>
      <c t="s">
        <v>17594</v>
      </c>
      <c t="s">
        <v>60331</v>
      </c>
      <c t="s">
        <v>65621</v>
      </c>
      <c t="s">
        <v>64803</v>
      </c>
      <c t="s">
        <v>49127</v>
      </c>
      <c s="3">
        <v>17382</v>
      </c>
      <c s="3">
        <v>17382</v>
      </c>
      <c s="3">
        <v>8910</v>
      </c>
      <c>
        <v>0</v>
      </c>
      <c s="3">
        <v>0</v>
      </c>
      <c s="3">
        <v>562.24</v>
      </c>
      <c s="3">
        <v>17382</v>
      </c>
      <c r="O5957" s="1" t="str">
        <f ca="1">HYPERLINK("https://web.datatree.com/?/property?propertyId=34372856", "https://web.datatree.com/?/property?propertyId=34372856")</f>
        <v>https://web.datatree.com/?/property?propertyId=34372856</v>
      </c>
      <c r="Q5957" t="s">
        <v>316</v>
      </c>
      <c>
        <v>0.23</v>
      </c>
      <c t="s">
        <v>6175</v>
      </c>
      <c t="s">
        <v>12173</v>
      </c>
      <c t="s">
        <v>42010</v>
      </c>
      <c r="X5957" t="s">
        <v>51673</v>
      </c>
      <c t="s">
        <v>60363</v>
      </c>
      <c t="s">
        <v>2517</v>
      </c>
      <c t="s">
        <v>39289</v>
      </c>
      <c>
        <v>33909</v>
      </c>
      <c t="s">
        <v>66400</v>
      </c>
      <c t="s">
        <v>48794</v>
      </c>
      <c t="s">
        <v>15365</v>
      </c>
      <c>
        <v>4004</v>
      </c>
      <c r="AI5957" t="s">
        <v>19191</v>
      </c>
      <c t="s">
        <v>835</v>
      </c>
      <c r="AL5957" t="s">
        <v>11713</v>
      </c>
      <c r="AN5957" t="s">
        <v>39289</v>
      </c>
      <c t="s">
        <v>48121</v>
      </c>
      <c t="s">
        <v>51509</v>
      </c>
      <c t="s">
        <v>3093</v>
      </c>
      <c t="s">
        <v>45111</v>
      </c>
    </row>
    <row>
      <c t="s">
        <v>17594</v>
      </c>
      <c t="s">
        <v>46798</v>
      </c>
      <c t="s">
        <v>63482</v>
      </c>
      <c t="s">
        <v>50072</v>
      </c>
      <c t="s">
        <v>66635</v>
      </c>
      <c s="3">
        <v>7500</v>
      </c>
      <c s="3">
        <v>7500</v>
      </c>
      <c s="3">
        <v>7500</v>
      </c>
      <c>
        <v>0</v>
      </c>
      <c s="3">
        <v>0</v>
      </c>
      <c s="3">
        <v>568.23</v>
      </c>
      <c s="3">
        <v>7500</v>
      </c>
      <c r="O5958" s="1" t="str">
        <f ca="1">HYPERLINK("https://web.datatree.com/?/property?propertyId=34372915", "https://web.datatree.com/?/property?propertyId=34372915")</f>
        <v>https://web.datatree.com/?/property?propertyId=34372915</v>
      </c>
      <c r="Q5958" t="s">
        <v>316</v>
      </c>
      <c>
        <v>0.258</v>
      </c>
      <c t="s">
        <v>42044</v>
      </c>
      <c t="s">
        <v>3617</v>
      </c>
      <c t="s">
        <v>32664</v>
      </c>
      <c r="X5958" t="s">
        <v>15932</v>
      </c>
      <c t="s">
        <v>13478</v>
      </c>
      <c t="s">
        <v>2517</v>
      </c>
      <c t="s">
        <v>39289</v>
      </c>
      <c>
        <v>33909</v>
      </c>
      <c t="s">
        <v>51450</v>
      </c>
      <c t="s">
        <v>48794</v>
      </c>
      <c t="s">
        <v>1586</v>
      </c>
      <c r="AI5958" t="s">
        <v>27900</v>
      </c>
      <c r="AK5958">
        <v>117</v>
      </c>
      <c t="s">
        <v>54287</v>
      </c>
      <c t="s">
        <v>54287</v>
      </c>
      <c t="s">
        <v>17134</v>
      </c>
      <c>
        <v>45238</v>
      </c>
      <c r="AR5958" t="s">
        <v>53404</v>
      </c>
    </row>
    <row>
      <c t="s">
        <v>17594</v>
      </c>
      <c t="s">
        <v>23120</v>
      </c>
      <c t="s">
        <v>12465</v>
      </c>
      <c t="s">
        <v>41078</v>
      </c>
      <c t="s">
        <v>9584</v>
      </c>
      <c s="3">
        <v>26290</v>
      </c>
      <c s="3">
        <v>26290</v>
      </c>
      <c s="3">
        <v>12650</v>
      </c>
      <c>
        <v>0</v>
      </c>
      <c s="3">
        <v>0</v>
      </c>
      <c s="3">
        <v>650.05</v>
      </c>
      <c s="3">
        <v>26290</v>
      </c>
      <c r="O5959" s="1" t="str">
        <f ca="1">HYPERLINK("https://web.datatree.com/?/property?propertyId=34373226", "https://web.datatree.com/?/property?propertyId=34373226")</f>
        <v>https://web.datatree.com/?/property?propertyId=34373226</v>
      </c>
      <c r="Q5959" t="s">
        <v>316</v>
      </c>
      <c>
        <v>0.23</v>
      </c>
      <c t="s">
        <v>22490</v>
      </c>
      <c t="s">
        <v>52880</v>
      </c>
      <c t="s">
        <v>56661</v>
      </c>
      <c t="s">
        <v>50865</v>
      </c>
      <c t="s">
        <v>56661</v>
      </c>
      <c t="s">
        <v>6250</v>
      </c>
      <c t="s">
        <v>2626</v>
      </c>
      <c t="s">
        <v>2517</v>
      </c>
      <c t="s">
        <v>39289</v>
      </c>
      <c>
        <v>33909</v>
      </c>
      <c t="s">
        <v>164</v>
      </c>
      <c t="s">
        <v>48794</v>
      </c>
      <c t="s">
        <v>42429</v>
      </c>
      <c>
        <v>222</v>
      </c>
      <c r="AI5959" t="s">
        <v>63478</v>
      </c>
      <c t="s">
        <v>45620</v>
      </c>
      <c r="AL5959" t="s">
        <v>10127</v>
      </c>
      <c r="AN5959" t="s">
        <v>27747</v>
      </c>
      <c t="s">
        <v>7488</v>
      </c>
      <c t="s">
        <v>25140</v>
      </c>
      <c t="s">
        <v>3093</v>
      </c>
      <c t="s">
        <v>25538</v>
      </c>
    </row>
    <row>
      <c t="s">
        <v>17594</v>
      </c>
      <c t="s">
        <v>33514</v>
      </c>
      <c t="s">
        <v>30229</v>
      </c>
      <c t="s">
        <v>33791</v>
      </c>
      <c t="s">
        <v>37377</v>
      </c>
      <c s="3">
        <v>22522</v>
      </c>
      <c s="3">
        <v>22522</v>
      </c>
      <c s="3">
        <v>9900</v>
      </c>
      <c>
        <v>0</v>
      </c>
      <c s="3">
        <v>0</v>
      </c>
      <c s="3">
        <v>617.18</v>
      </c>
      <c s="3">
        <v>22522</v>
      </c>
      <c r="O5960" s="1" t="str">
        <f ca="1">HYPERLINK("https://web.datatree.com/?/property?propertyId=34373395", "https://web.datatree.com/?/property?propertyId=34373395")</f>
        <v>https://web.datatree.com/?/property?propertyId=34373395</v>
      </c>
      <c r="Q5960" t="s">
        <v>316</v>
      </c>
      <c>
        <v>0.243</v>
      </c>
      <c t="s">
        <v>22490</v>
      </c>
      <c t="s">
        <v>43826</v>
      </c>
      <c t="s">
        <v>28408</v>
      </c>
      <c r="X5960" t="s">
        <v>5469</v>
      </c>
      <c t="s">
        <v>59763</v>
      </c>
      <c t="s">
        <v>2517</v>
      </c>
      <c t="s">
        <v>39289</v>
      </c>
      <c>
        <v>33909</v>
      </c>
      <c t="s">
        <v>28433</v>
      </c>
      <c t="s">
        <v>48794</v>
      </c>
      <c t="s">
        <v>16788</v>
      </c>
      <c>
        <v>1040</v>
      </c>
      <c r="AI5960" t="s">
        <v>46676</v>
      </c>
      <c t="s">
        <v>45393</v>
      </c>
      <c r="AL5960" t="s">
        <v>6144</v>
      </c>
      <c r="AN5960" t="s">
        <v>50917</v>
      </c>
      <c t="s">
        <v>38664</v>
      </c>
      <c t="s">
        <v>34162</v>
      </c>
      <c t="s">
        <v>3093</v>
      </c>
      <c t="s">
        <v>47227</v>
      </c>
    </row>
    <row>
      <c t="s">
        <v>17594</v>
      </c>
      <c t="s">
        <v>41019</v>
      </c>
      <c t="s">
        <v>10505</v>
      </c>
      <c t="s">
        <v>65868</v>
      </c>
      <c t="s">
        <v>27449</v>
      </c>
      <c s="3">
        <v>79412</v>
      </c>
      <c s="3">
        <v>70500</v>
      </c>
      <c s="3">
        <v>79412</v>
      </c>
      <c>
        <v>0</v>
      </c>
      <c s="3">
        <v>0</v>
      </c>
      <c s="3">
        <v>1193.82</v>
      </c>
      <c s="3">
        <v>79412</v>
      </c>
      <c r="O5961" s="1" t="str">
        <f ca="1">HYPERLINK("https://web.datatree.com/?/property?propertyId=34374063", "https://web.datatree.com/?/property?propertyId=34374063")</f>
        <v>https://web.datatree.com/?/property?propertyId=34374063</v>
      </c>
      <c r="Q5961" t="s">
        <v>316</v>
      </c>
      <c>
        <v>0.095</v>
      </c>
      <c t="s">
        <v>26492</v>
      </c>
      <c t="s">
        <v>54943</v>
      </c>
      <c t="s">
        <v>48794</v>
      </c>
      <c t="s">
        <v>773</v>
      </c>
      <c t="s">
        <v>48794</v>
      </c>
      <c t="s">
        <v>17078</v>
      </c>
      <c t="s">
        <v>35321</v>
      </c>
      <c t="s">
        <v>65059</v>
      </c>
      <c t="s">
        <v>39289</v>
      </c>
      <c>
        <v>33905</v>
      </c>
      <c>
        <v>33905</v>
      </c>
      <c t="s">
        <v>48794</v>
      </c>
      <c t="s">
        <v>62964</v>
      </c>
      <c>
        <v>4602</v>
      </c>
      <c r="AI5961" t="s">
        <v>60979</v>
      </c>
      <c r="AK5961">
        <v>5477</v>
      </c>
      <c t="s">
        <v>17689</v>
      </c>
      <c t="s">
        <v>40227</v>
      </c>
      <c t="s">
        <v>39289</v>
      </c>
      <c t="s">
        <v>36054</v>
      </c>
      <c t="s">
        <v>14695</v>
      </c>
      <c t="s">
        <v>3093</v>
      </c>
      <c t="s">
        <v>35619</v>
      </c>
    </row>
    <row>
      <c t="s">
        <v>17594</v>
      </c>
      <c t="s">
        <v>56367</v>
      </c>
      <c t="s">
        <v>56811</v>
      </c>
      <c t="s">
        <v>62942</v>
      </c>
      <c t="s">
        <v>13657</v>
      </c>
      <c s="3">
        <v>70849</v>
      </c>
      <c s="3">
        <v>63500</v>
      </c>
      <c s="3">
        <v>67484</v>
      </c>
      <c>
        <v>0</v>
      </c>
      <c s="3">
        <v>0</v>
      </c>
      <c s="3">
        <v>1033.95</v>
      </c>
      <c s="3">
        <v>70849</v>
      </c>
      <c r="O5962" s="1" t="str">
        <f ca="1">HYPERLINK("https://web.datatree.com/?/property?propertyId=34374145", "https://web.datatree.com/?/property?propertyId=34374145")</f>
        <v>https://web.datatree.com/?/property?propertyId=34374145</v>
      </c>
      <c r="Q5962" t="s">
        <v>316</v>
      </c>
      <c>
        <v>0.095</v>
      </c>
      <c t="s">
        <v>26492</v>
      </c>
      <c t="s">
        <v>44541</v>
      </c>
      <c t="s">
        <v>38726</v>
      </c>
      <c t="s">
        <v>46578</v>
      </c>
      <c t="s">
        <v>38726</v>
      </c>
      <c t="s">
        <v>46987</v>
      </c>
      <c t="s">
        <v>40423</v>
      </c>
      <c t="s">
        <v>65059</v>
      </c>
      <c t="s">
        <v>39289</v>
      </c>
      <c>
        <v>33905</v>
      </c>
      <c>
        <v>33905</v>
      </c>
      <c t="s">
        <v>48794</v>
      </c>
      <c t="s">
        <v>14219</v>
      </c>
      <c>
        <v>200</v>
      </c>
      <c r="AI5962" t="s">
        <v>12177</v>
      </c>
      <c t="s">
        <v>45620</v>
      </c>
      <c r="AL5962" t="s">
        <v>50598</v>
      </c>
      <c t="s">
        <v>40227</v>
      </c>
      <c t="s">
        <v>58733</v>
      </c>
      <c t="s">
        <v>5463</v>
      </c>
      <c t="s">
        <v>14695</v>
      </c>
      <c t="s">
        <v>3093</v>
      </c>
      <c t="s">
        <v>21964</v>
      </c>
    </row>
    <row>
      <c t="s">
        <v>17594</v>
      </c>
      <c t="s">
        <v>55917</v>
      </c>
      <c t="s">
        <v>65492</v>
      </c>
      <c t="s">
        <v>26357</v>
      </c>
      <c t="s">
        <v>32927</v>
      </c>
      <c s="3">
        <v>23352</v>
      </c>
      <c s="3">
        <v>23352</v>
      </c>
      <c s="3">
        <v>8800</v>
      </c>
      <c>
        <v>0</v>
      </c>
      <c s="3">
        <v>0</v>
      </c>
      <c s="3">
        <v>594.3</v>
      </c>
      <c s="3">
        <v>23352</v>
      </c>
      <c r="O5963" s="1" t="str">
        <f ca="1">HYPERLINK("https://web.datatree.com/?/property?propertyId=34374520", "https://web.datatree.com/?/property?propertyId=34374520")</f>
        <v>https://web.datatree.com/?/property?propertyId=34374520</v>
      </c>
      <c r="Q5963" t="s">
        <v>316</v>
      </c>
      <c>
        <v>0.23</v>
      </c>
      <c t="s">
        <v>22490</v>
      </c>
      <c t="s">
        <v>34468</v>
      </c>
      <c t="s">
        <v>66416</v>
      </c>
      <c r="X5963" t="s">
        <v>24209</v>
      </c>
      <c t="s">
        <v>15510</v>
      </c>
      <c t="s">
        <v>2517</v>
      </c>
      <c t="s">
        <v>39289</v>
      </c>
      <c>
        <v>33909</v>
      </c>
      <c t="s">
        <v>40526</v>
      </c>
      <c t="s">
        <v>48794</v>
      </c>
      <c t="s">
        <v>31006</v>
      </c>
      <c>
        <v>4609</v>
      </c>
      <c r="AI5963" t="s">
        <v>31336</v>
      </c>
      <c t="s">
        <v>31192</v>
      </c>
      <c r="AL5963" t="s">
        <v>25744</v>
      </c>
      <c t="s">
        <v>25744</v>
      </c>
      <c t="s">
        <v>39289</v>
      </c>
      <c t="s">
        <v>28733</v>
      </c>
      <c t="s">
        <v>43294</v>
      </c>
      <c t="s">
        <v>3093</v>
      </c>
      <c t="s">
        <v>43279</v>
      </c>
    </row>
    <row>
      <c t="s">
        <v>17594</v>
      </c>
      <c t="s">
        <v>49187</v>
      </c>
      <c t="s">
        <v>64999</v>
      </c>
      <c t="s">
        <v>16095</v>
      </c>
      <c t="s">
        <v>45335</v>
      </c>
      <c s="3">
        <v>19478</v>
      </c>
      <c s="3">
        <v>19478</v>
      </c>
      <c s="3">
        <v>9339</v>
      </c>
      <c>
        <v>0</v>
      </c>
      <c s="3">
        <v>0</v>
      </c>
      <c s="3">
        <v>584.07</v>
      </c>
      <c s="3">
        <v>19478</v>
      </c>
      <c r="O5964" s="1" t="str">
        <f ca="1">HYPERLINK("https://web.datatree.com/?/property?propertyId=34374695", "https://web.datatree.com/?/property?propertyId=34374695")</f>
        <v>https://web.datatree.com/?/property?propertyId=34374695</v>
      </c>
      <c r="Q5964" t="s">
        <v>316</v>
      </c>
      <c>
        <v>0.248</v>
      </c>
      <c t="s">
        <v>6175</v>
      </c>
      <c t="s">
        <v>60589</v>
      </c>
      <c t="s">
        <v>2973</v>
      </c>
      <c r="X5964" t="s">
        <v>55545</v>
      </c>
      <c t="s">
        <v>39082</v>
      </c>
      <c t="s">
        <v>2517</v>
      </c>
      <c t="s">
        <v>39289</v>
      </c>
      <c>
        <v>33909</v>
      </c>
      <c t="s">
        <v>17510</v>
      </c>
      <c t="s">
        <v>48794</v>
      </c>
      <c t="s">
        <v>49141</v>
      </c>
      <c>
        <v>2901</v>
      </c>
      <c r="AI5964" t="s">
        <v>402</v>
      </c>
      <c t="s">
        <v>45620</v>
      </c>
      <c r="AL5964" t="s">
        <v>52434</v>
      </c>
      <c t="s">
        <v>52434</v>
      </c>
      <c t="s">
        <v>39289</v>
      </c>
      <c t="s">
        <v>38786</v>
      </c>
      <c t="s">
        <v>22302</v>
      </c>
      <c t="s">
        <v>3093</v>
      </c>
      <c t="s">
        <v>27247</v>
      </c>
    </row>
    <row>
      <c t="s">
        <v>17594</v>
      </c>
      <c t="s">
        <v>5181</v>
      </c>
      <c t="s">
        <v>55193</v>
      </c>
      <c t="s">
        <v>3985</v>
      </c>
      <c t="s">
        <v>39614</v>
      </c>
      <c s="3">
        <v>70849</v>
      </c>
      <c s="3">
        <v>63500</v>
      </c>
      <c s="3">
        <v>67484</v>
      </c>
      <c>
        <v>0</v>
      </c>
      <c s="3">
        <v>0</v>
      </c>
      <c s="3">
        <v>1033.95</v>
      </c>
      <c s="3">
        <v>70849</v>
      </c>
      <c>
        <v>2021</v>
      </c>
      <c>
        <v>1006.68</v>
      </c>
      <c s="1" t="str">
        <f ca="1">HYPERLINK("https://web.datatree.com/?/property?propertyId=34376715", "https://web.datatree.com/?/property?propertyId=34376715")</f>
        <v>https://web.datatree.com/?/property?propertyId=34376715</v>
      </c>
      <c r="Q5965" t="s">
        <v>316</v>
      </c>
      <c>
        <v>0.102</v>
      </c>
      <c t="s">
        <v>26492</v>
      </c>
      <c t="s">
        <v>26023</v>
      </c>
      <c t="s">
        <v>15117</v>
      </c>
      <c t="s">
        <v>7674</v>
      </c>
      <c t="s">
        <v>15117</v>
      </c>
      <c t="s">
        <v>36739</v>
      </c>
      <c t="s">
        <v>38261</v>
      </c>
      <c t="s">
        <v>65059</v>
      </c>
      <c t="s">
        <v>39289</v>
      </c>
      <c>
        <v>33905</v>
      </c>
      <c>
        <v>33905</v>
      </c>
      <c t="s">
        <v>48794</v>
      </c>
      <c t="s">
        <v>31952</v>
      </c>
      <c>
        <v>34</v>
      </c>
      <c r="AI5965" t="s">
        <v>14917</v>
      </c>
      <c t="s">
        <v>835</v>
      </c>
      <c r="AL5965" t="s">
        <v>11055</v>
      </c>
      <c t="s">
        <v>40227</v>
      </c>
      <c t="s">
        <v>45851</v>
      </c>
      <c t="s">
        <v>24904</v>
      </c>
      <c r="AQ5965" t="s">
        <v>27814</v>
      </c>
      <c t="s">
        <v>62535</v>
      </c>
    </row>
    <row>
      <c t="s">
        <v>42103</v>
      </c>
      <c t="s">
        <v>11636</v>
      </c>
      <c t="s">
        <v>13725</v>
      </c>
      <c t="s">
        <v>59127</v>
      </c>
      <c t="s">
        <v>53209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5966" s="1" t="str">
        <f ca="1">HYPERLINK("https://web.datatree.com/?/property?propertyId=34376770", "https://web.datatree.com/?/property?propertyId=34376770")</f>
        <v>https://web.datatree.com/?/property?propertyId=34376770</v>
      </c>
      <c r="Q5966" t="s">
        <v>316</v>
      </c>
      <c>
        <v>0.23</v>
      </c>
      <c t="s">
        <v>22490</v>
      </c>
      <c t="s">
        <v>35237</v>
      </c>
      <c t="s">
        <v>24236</v>
      </c>
      <c r="X5966" t="s">
        <v>32449</v>
      </c>
      <c t="s">
        <v>25017</v>
      </c>
      <c t="s">
        <v>2517</v>
      </c>
      <c t="s">
        <v>39289</v>
      </c>
      <c>
        <v>33909</v>
      </c>
      <c t="s">
        <v>26055</v>
      </c>
      <c t="s">
        <v>48794</v>
      </c>
      <c t="s">
        <v>49366</v>
      </c>
      <c r="AI5966" t="s">
        <v>46104</v>
      </c>
      <c r="AL5966" t="s">
        <v>36080</v>
      </c>
      <c r="AN5966" t="s">
        <v>39289</v>
      </c>
      <c>
        <v>33675</v>
      </c>
      <c t="s">
        <v>44380</v>
      </c>
      <c t="s">
        <v>3093</v>
      </c>
      <c t="s">
        <v>8635</v>
      </c>
    </row>
    <row>
      <c t="s">
        <v>42103</v>
      </c>
      <c t="s">
        <v>57306</v>
      </c>
      <c t="s">
        <v>46952</v>
      </c>
      <c t="s">
        <v>53073</v>
      </c>
      <c t="s">
        <v>42720</v>
      </c>
      <c s="3">
        <v>22152</v>
      </c>
      <c s="3">
        <v>22152</v>
      </c>
      <c s="3">
        <v>8800</v>
      </c>
      <c>
        <v>0</v>
      </c>
      <c s="3">
        <v>0</v>
      </c>
      <c s="3">
        <v>584</v>
      </c>
      <c s="3">
        <v>22152</v>
      </c>
      <c r="O5967" s="1" t="str">
        <f ca="1">HYPERLINK("https://web.datatree.com/?/property?propertyId=34376885", "https://web.datatree.com/?/property?propertyId=34376885")</f>
        <v>https://web.datatree.com/?/property?propertyId=34376885</v>
      </c>
      <c r="Q5967" t="s">
        <v>316</v>
      </c>
      <c>
        <v>0.23</v>
      </c>
      <c t="s">
        <v>22490</v>
      </c>
      <c t="s">
        <v>49241</v>
      </c>
      <c t="s">
        <v>34279</v>
      </c>
      <c t="s">
        <v>67028</v>
      </c>
      <c t="s">
        <v>34279</v>
      </c>
      <c t="s">
        <v>42105</v>
      </c>
      <c t="s">
        <v>66701</v>
      </c>
      <c t="s">
        <v>2517</v>
      </c>
      <c t="s">
        <v>39289</v>
      </c>
      <c>
        <v>33909</v>
      </c>
      <c t="s">
        <v>63731</v>
      </c>
      <c t="s">
        <v>48794</v>
      </c>
      <c t="s">
        <v>62904</v>
      </c>
      <c r="AI5967" t="s">
        <v>33919</v>
      </c>
      <c r="AL5967" t="s">
        <v>115</v>
      </c>
      <c r="AN5967" t="s">
        <v>50917</v>
      </c>
      <c>
        <v>11935</v>
      </c>
      <c t="s">
        <v>61207</v>
      </c>
      <c t="s">
        <v>3093</v>
      </c>
      <c t="s">
        <v>24528</v>
      </c>
    </row>
    <row>
      <c t="s">
        <v>17594</v>
      </c>
      <c t="s">
        <v>48899</v>
      </c>
      <c t="s">
        <v>6404</v>
      </c>
      <c t="s">
        <v>6870</v>
      </c>
      <c t="s">
        <v>14288</v>
      </c>
      <c s="3">
        <v>17442</v>
      </c>
      <c s="3">
        <v>17442</v>
      </c>
      <c s="3">
        <v>12671</v>
      </c>
      <c>
        <v>0</v>
      </c>
      <c s="3">
        <v>0</v>
      </c>
      <c s="3">
        <v>208.36</v>
      </c>
      <c s="3">
        <v>17442</v>
      </c>
      <c r="O5968" s="1" t="str">
        <f ca="1">HYPERLINK("https://web.datatree.com/?/property?propertyId=34377228", "https://web.datatree.com/?/property?propertyId=34377228")</f>
        <v>https://web.datatree.com/?/property?propertyId=34377228</v>
      </c>
      <c r="Q5968" t="s">
        <v>316</v>
      </c>
      <c>
        <v>0.151</v>
      </c>
      <c t="s">
        <v>36917</v>
      </c>
      <c t="s">
        <v>44604</v>
      </c>
      <c t="s">
        <v>22323</v>
      </c>
      <c r="X5968" t="s">
        <v>6729</v>
      </c>
      <c t="s">
        <v>51665</v>
      </c>
      <c t="s">
        <v>65059</v>
      </c>
      <c t="s">
        <v>39289</v>
      </c>
      <c>
        <v>33908</v>
      </c>
      <c t="s">
        <v>9678</v>
      </c>
      <c t="s">
        <v>48794</v>
      </c>
      <c t="s">
        <v>29084</v>
      </c>
      <c>
        <v>6538</v>
      </c>
      <c r="AI5968" t="s">
        <v>33325</v>
      </c>
      <c t="s">
        <v>24900</v>
      </c>
      <c r="AL5968" t="s">
        <v>51776</v>
      </c>
      <c t="s">
        <v>51776</v>
      </c>
      <c t="s">
        <v>39289</v>
      </c>
      <c t="s">
        <v>17201</v>
      </c>
      <c t="s">
        <v>31626</v>
      </c>
      <c t="s">
        <v>3093</v>
      </c>
      <c t="s">
        <v>49422</v>
      </c>
    </row>
    <row>
      <c t="s">
        <v>17594</v>
      </c>
      <c t="s">
        <v>52762</v>
      </c>
      <c t="s">
        <v>4187</v>
      </c>
      <c t="s">
        <v>36778</v>
      </c>
      <c t="s">
        <v>45015</v>
      </c>
      <c s="3">
        <v>114634</v>
      </c>
      <c s="3">
        <v>99250</v>
      </c>
      <c s="3">
        <v>114634</v>
      </c>
      <c>
        <v>0</v>
      </c>
      <c s="3">
        <v>0</v>
      </c>
      <c s="3">
        <v>1721.17</v>
      </c>
      <c s="3">
        <v>114634</v>
      </c>
      <c r="O5969" s="1" t="str">
        <f ca="1">HYPERLINK("https://web.datatree.com/?/property?propertyId=34377846", "https://web.datatree.com/?/property?propertyId=34377846")</f>
        <v>https://web.datatree.com/?/property?propertyId=34377846</v>
      </c>
      <c r="Q5969" t="s">
        <v>316</v>
      </c>
      <c>
        <v>0.124</v>
      </c>
      <c t="s">
        <v>26492</v>
      </c>
      <c r="U5969" t="s">
        <v>24712</v>
      </c>
      <c t="s">
        <v>53790</v>
      </c>
      <c t="s">
        <v>37066</v>
      </c>
      <c t="s">
        <v>14535</v>
      </c>
      <c t="s">
        <v>36434</v>
      </c>
      <c t="s">
        <v>65059</v>
      </c>
      <c t="s">
        <v>39289</v>
      </c>
      <c>
        <v>33905</v>
      </c>
      <c>
        <v>33905</v>
      </c>
      <c t="s">
        <v>48794</v>
      </c>
      <c t="s">
        <v>64848</v>
      </c>
      <c>
        <v>5211</v>
      </c>
      <c r="AI5969" t="s">
        <v>65699</v>
      </c>
      <c t="s">
        <v>31192</v>
      </c>
      <c r="AL5969" t="s">
        <v>35792</v>
      </c>
      <c t="s">
        <v>40227</v>
      </c>
      <c t="s">
        <v>58733</v>
      </c>
      <c t="s">
        <v>51625</v>
      </c>
      <c t="s">
        <v>44428</v>
      </c>
      <c t="s">
        <v>3093</v>
      </c>
      <c t="s">
        <v>29922</v>
      </c>
    </row>
    <row>
      <c t="s">
        <v>17594</v>
      </c>
      <c t="s">
        <v>11857</v>
      </c>
      <c t="s">
        <v>43614</v>
      </c>
      <c t="s">
        <v>39322</v>
      </c>
      <c t="s">
        <v>58702</v>
      </c>
      <c s="3">
        <v>15788</v>
      </c>
      <c s="3">
        <v>15788</v>
      </c>
      <c s="3">
        <v>8250</v>
      </c>
      <c>
        <v>0</v>
      </c>
      <c s="3">
        <v>0</v>
      </c>
      <c s="3">
        <v>546.65</v>
      </c>
      <c s="3">
        <v>15788</v>
      </c>
      <c r="O5970" s="1" t="str">
        <f ca="1">HYPERLINK("https://web.datatree.com/?/property?propertyId=34378535", "https://web.datatree.com/?/property?propertyId=34378535")</f>
        <v>https://web.datatree.com/?/property?propertyId=34378535</v>
      </c>
      <c r="Q5970" t="s">
        <v>316</v>
      </c>
      <c>
        <v>0.23</v>
      </c>
      <c t="s">
        <v>6175</v>
      </c>
      <c t="s">
        <v>44457</v>
      </c>
      <c t="s">
        <v>20391</v>
      </c>
      <c r="X5970" t="s">
        <v>26435</v>
      </c>
      <c t="s">
        <v>61865</v>
      </c>
      <c t="s">
        <v>2517</v>
      </c>
      <c t="s">
        <v>39289</v>
      </c>
      <c>
        <v>33909</v>
      </c>
      <c t="s">
        <v>11168</v>
      </c>
      <c t="s">
        <v>48794</v>
      </c>
      <c t="s">
        <v>47489</v>
      </c>
      <c>
        <v>4103</v>
      </c>
      <c r="AI5970" t="s">
        <v>3543</v>
      </c>
      <c t="s">
        <v>31192</v>
      </c>
      <c r="AL5970" t="s">
        <v>3701</v>
      </c>
      <c r="AN5970" t="s">
        <v>10804</v>
      </c>
      <c t="s">
        <v>7728</v>
      </c>
      <c t="s">
        <v>18692</v>
      </c>
      <c t="s">
        <v>3093</v>
      </c>
      <c t="s">
        <v>19291</v>
      </c>
    </row>
    <row>
      <c t="s">
        <v>17594</v>
      </c>
      <c t="s">
        <v>13625</v>
      </c>
      <c t="s">
        <v>55850</v>
      </c>
      <c t="s">
        <v>18132</v>
      </c>
      <c t="s">
        <v>1362</v>
      </c>
      <c s="3">
        <v>26464</v>
      </c>
      <c s="3">
        <v>26464</v>
      </c>
      <c s="3">
        <v>26464</v>
      </c>
      <c>
        <v>0</v>
      </c>
      <c s="3">
        <v>0</v>
      </c>
      <c s="3">
        <v>904.46</v>
      </c>
      <c s="3">
        <v>26464</v>
      </c>
      <c r="O5971" s="1" t="str">
        <f ca="1">HYPERLINK("https://web.datatree.com/?/property?propertyId=34378691", "https://web.datatree.com/?/property?propertyId=34378691")</f>
        <v>https://web.datatree.com/?/property?propertyId=34378691</v>
      </c>
      <c r="Q5971" t="s">
        <v>316</v>
      </c>
      <c>
        <v>0.359</v>
      </c>
      <c t="s">
        <v>22490</v>
      </c>
      <c t="s">
        <v>50666</v>
      </c>
      <c t="s">
        <v>59048</v>
      </c>
      <c t="s">
        <v>54288</v>
      </c>
      <c t="s">
        <v>45794</v>
      </c>
      <c t="s">
        <v>47670</v>
      </c>
      <c t="s">
        <v>38550</v>
      </c>
      <c t="s">
        <v>2517</v>
      </c>
      <c t="s">
        <v>39289</v>
      </c>
      <c>
        <v>33909</v>
      </c>
      <c>
        <v>33909</v>
      </c>
      <c t="s">
        <v>48794</v>
      </c>
      <c t="s">
        <v>40148</v>
      </c>
      <c>
        <v>2</v>
      </c>
      <c r="AI5971" t="s">
        <v>20758</v>
      </c>
      <c t="s">
        <v>45620</v>
      </c>
      <c r="AL5971" t="s">
        <v>2138</v>
      </c>
      <c r="AN5971" t="s">
        <v>10909</v>
      </c>
      <c t="s">
        <v>21405</v>
      </c>
      <c r="AQ5971" t="s">
        <v>27814</v>
      </c>
      <c t="s">
        <v>22515</v>
      </c>
    </row>
    <row>
      <c t="s">
        <v>17594</v>
      </c>
      <c t="s">
        <v>10352</v>
      </c>
      <c t="s">
        <v>39346</v>
      </c>
      <c t="s">
        <v>45030</v>
      </c>
      <c t="s">
        <v>22653</v>
      </c>
      <c s="3">
        <v>8600</v>
      </c>
      <c s="3">
        <v>8600</v>
      </c>
      <c s="3">
        <v>8600</v>
      </c>
      <c>
        <v>0</v>
      </c>
      <c s="3">
        <v>0</v>
      </c>
      <c s="3">
        <v>566.28</v>
      </c>
      <c s="3">
        <v>8600</v>
      </c>
      <c r="O5972" s="1" t="str">
        <f ca="1">HYPERLINK("https://web.datatree.com/?/property?propertyId=34379264", "https://web.datatree.com/?/property?propertyId=34379264")</f>
        <v>https://web.datatree.com/?/property?propertyId=34379264</v>
      </c>
      <c r="Q5972" t="s">
        <v>316</v>
      </c>
      <c>
        <v>0.23</v>
      </c>
      <c t="s">
        <v>42044</v>
      </c>
      <c r="U5972" t="s">
        <v>25152</v>
      </c>
      <c r="W5972" t="s">
        <v>54936</v>
      </c>
      <c t="s">
        <v>14978</v>
      </c>
      <c t="s">
        <v>39082</v>
      </c>
      <c t="s">
        <v>2517</v>
      </c>
      <c t="s">
        <v>39289</v>
      </c>
      <c>
        <v>33909</v>
      </c>
      <c t="s">
        <v>34469</v>
      </c>
      <c t="s">
        <v>48794</v>
      </c>
      <c t="s">
        <v>3948</v>
      </c>
      <c>
        <v>9497</v>
      </c>
      <c r="AI5972" t="s">
        <v>19207</v>
      </c>
      <c t="s">
        <v>40123</v>
      </c>
      <c r="AL5972" t="s">
        <v>32207</v>
      </c>
      <c r="AN5972" t="s">
        <v>39289</v>
      </c>
      <c t="s">
        <v>64625</v>
      </c>
      <c t="s">
        <v>27720</v>
      </c>
      <c t="s">
        <v>3093</v>
      </c>
      <c t="s">
        <v>59613</v>
      </c>
    </row>
    <row>
      <c t="s">
        <v>17594</v>
      </c>
      <c t="s">
        <v>37882</v>
      </c>
      <c t="s">
        <v>33903</v>
      </c>
      <c t="s">
        <v>27605</v>
      </c>
      <c t="s">
        <v>46864</v>
      </c>
      <c s="3">
        <v>8900</v>
      </c>
      <c s="3">
        <v>8900</v>
      </c>
      <c s="3">
        <v>4972</v>
      </c>
      <c>
        <v>0</v>
      </c>
      <c s="3">
        <v>0</v>
      </c>
      <c s="3">
        <v>317.96</v>
      </c>
      <c s="3">
        <v>8900</v>
      </c>
      <c>
        <v>2020</v>
      </c>
      <c>
        <v>1039.77</v>
      </c>
      <c s="1" t="str">
        <f ca="1">HYPERLINK("https://web.datatree.com/?/property?propertyId=34380475", "https://web.datatree.com/?/property?propertyId=34380475")</f>
        <v>https://web.datatree.com/?/property?propertyId=34380475</v>
      </c>
      <c r="Q5973" t="s">
        <v>316</v>
      </c>
      <c>
        <v>0.245</v>
      </c>
      <c t="s">
        <v>5471</v>
      </c>
      <c t="s">
        <v>20374</v>
      </c>
      <c t="s">
        <v>31071</v>
      </c>
      <c r="X5973" t="s">
        <v>25343</v>
      </c>
      <c t="s">
        <v>58047</v>
      </c>
      <c t="s">
        <v>65059</v>
      </c>
      <c t="s">
        <v>39289</v>
      </c>
      <c>
        <v>33905</v>
      </c>
      <c t="s">
        <v>31432</v>
      </c>
      <c t="s">
        <v>48794</v>
      </c>
      <c t="s">
        <v>45959</v>
      </c>
      <c>
        <v>1303</v>
      </c>
      <c r="AI5973" t="s">
        <v>48149</v>
      </c>
      <c t="s">
        <v>45393</v>
      </c>
      <c r="AL5973" t="s">
        <v>15772</v>
      </c>
      <c r="AN5973" t="s">
        <v>65451</v>
      </c>
      <c t="s">
        <v>27990</v>
      </c>
      <c t="s">
        <v>33636</v>
      </c>
      <c t="s">
        <v>3093</v>
      </c>
      <c t="s">
        <v>47567</v>
      </c>
    </row>
    <row>
      <c t="s">
        <v>17594</v>
      </c>
      <c t="s">
        <v>1625</v>
      </c>
      <c t="s">
        <v>60371</v>
      </c>
      <c t="s">
        <v>39742</v>
      </c>
      <c t="s">
        <v>19911</v>
      </c>
      <c s="3">
        <v>19500</v>
      </c>
      <c s="3">
        <v>19500</v>
      </c>
      <c s="3">
        <v>8030</v>
      </c>
      <c>
        <v>0</v>
      </c>
      <c s="3">
        <v>0</v>
      </c>
      <c s="3">
        <v>565.03</v>
      </c>
      <c s="3">
        <v>19500</v>
      </c>
      <c r="O5974" s="1" t="str">
        <f ca="1">HYPERLINK("https://web.datatree.com/?/property?propertyId=174257727", "https://web.datatree.com/?/property?propertyId=174257727")</f>
        <v>https://web.datatree.com/?/property?propertyId=174257727</v>
      </c>
      <c r="Q5974" t="s">
        <v>316</v>
      </c>
      <c>
        <v>0.23</v>
      </c>
      <c t="s">
        <v>22490</v>
      </c>
      <c t="s">
        <v>44541</v>
      </c>
      <c t="s">
        <v>45794</v>
      </c>
      <c r="X5974" t="s">
        <v>9978</v>
      </c>
      <c t="s">
        <v>24999</v>
      </c>
      <c t="s">
        <v>2517</v>
      </c>
      <c t="s">
        <v>39289</v>
      </c>
      <c>
        <v>33909</v>
      </c>
      <c t="s">
        <v>61205</v>
      </c>
      <c t="s">
        <v>48794</v>
      </c>
      <c t="s">
        <v>40286</v>
      </c>
      <c>
        <v>2783</v>
      </c>
      <c r="AH5974" t="s">
        <v>6851</v>
      </c>
      <c t="s">
        <v>21438</v>
      </c>
      <c t="s">
        <v>31192</v>
      </c>
      <c r="AL5974" t="s">
        <v>12830</v>
      </c>
      <c t="s">
        <v>19272</v>
      </c>
      <c t="s">
        <v>51137</v>
      </c>
      <c t="s">
        <v>15347</v>
      </c>
      <c t="s">
        <v>57513</v>
      </c>
      <c t="s">
        <v>3093</v>
      </c>
      <c t="s">
        <v>24331</v>
      </c>
    </row>
    <row>
      <c t="s">
        <v>17594</v>
      </c>
      <c t="s">
        <v>73</v>
      </c>
      <c t="s">
        <v>57354</v>
      </c>
      <c t="s">
        <v>15250</v>
      </c>
      <c t="s">
        <v>61451</v>
      </c>
      <c s="3">
        <v>84504</v>
      </c>
      <c s="3">
        <v>75000</v>
      </c>
      <c s="3">
        <v>70424</v>
      </c>
      <c>
        <v>0</v>
      </c>
      <c s="3">
        <v>0</v>
      </c>
      <c s="3">
        <v>1137.49</v>
      </c>
      <c s="3">
        <v>84504</v>
      </c>
      <c r="O5975" s="1" t="str">
        <f ca="1">HYPERLINK("https://web.datatree.com/?/property?propertyId=180363532", "https://web.datatree.com/?/property?propertyId=180363532")</f>
        <v>https://web.datatree.com/?/property?propertyId=180363532</v>
      </c>
      <c r="Q5975" t="s">
        <v>316</v>
      </c>
      <c>
        <v>0.076</v>
      </c>
      <c t="s">
        <v>9944</v>
      </c>
      <c t="s">
        <v>62380</v>
      </c>
      <c t="s">
        <v>3348</v>
      </c>
      <c t="s">
        <v>33621</v>
      </c>
      <c t="s">
        <v>3348</v>
      </c>
      <c t="s">
        <v>44847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16366</v>
      </c>
      <c>
        <v>235</v>
      </c>
      <c r="AI5975" t="s">
        <v>41327</v>
      </c>
      <c t="s">
        <v>31192</v>
      </c>
      <c r="AL5975" t="s">
        <v>7889</v>
      </c>
      <c t="s">
        <v>40227</v>
      </c>
      <c t="s">
        <v>10804</v>
      </c>
      <c t="s">
        <v>8203</v>
      </c>
      <c t="s">
        <v>13315</v>
      </c>
      <c t="s">
        <v>3093</v>
      </c>
      <c t="s">
        <v>62404</v>
      </c>
    </row>
    <row>
      <c t="s">
        <v>17594</v>
      </c>
      <c t="s">
        <v>26394</v>
      </c>
      <c t="s">
        <v>6142</v>
      </c>
      <c t="s">
        <v>21108</v>
      </c>
      <c t="s">
        <v>31809</v>
      </c>
      <c s="3">
        <v>89101</v>
      </c>
      <c s="3">
        <v>77229</v>
      </c>
      <c s="3">
        <v>89101</v>
      </c>
      <c>
        <v>0</v>
      </c>
      <c s="3">
        <v>0</v>
      </c>
      <c s="3">
        <v>1338.87</v>
      </c>
      <c s="3">
        <v>89101</v>
      </c>
      <c r="O5976" s="1" t="str">
        <f ca="1">HYPERLINK("https://web.datatree.com/?/property?propertyId=180382794", "https://web.datatree.com/?/property?propertyId=180382794")</f>
        <v>https://web.datatree.com/?/property?propertyId=180382794</v>
      </c>
      <c r="Q5976" t="s">
        <v>316</v>
      </c>
      <c>
        <v>0.072</v>
      </c>
      <c t="s">
        <v>9944</v>
      </c>
      <c t="s">
        <v>56832</v>
      </c>
      <c t="s">
        <v>19843</v>
      </c>
      <c t="s">
        <v>60243</v>
      </c>
      <c t="s">
        <v>19843</v>
      </c>
      <c t="s">
        <v>53473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54915</v>
      </c>
      <c>
        <v>1882</v>
      </c>
      <c r="AI5976" t="s">
        <v>42221</v>
      </c>
      <c t="s">
        <v>45620</v>
      </c>
      <c r="AL5976" t="s">
        <v>5578</v>
      </c>
      <c t="s">
        <v>40227</v>
      </c>
      <c t="s">
        <v>9387</v>
      </c>
      <c t="s">
        <v>44231</v>
      </c>
      <c t="s">
        <v>14695</v>
      </c>
      <c t="s">
        <v>3093</v>
      </c>
      <c t="s">
        <v>54366</v>
      </c>
    </row>
    <row>
      <c t="s">
        <v>17594</v>
      </c>
      <c t="s">
        <v>41220</v>
      </c>
      <c t="s">
        <v>3203</v>
      </c>
      <c t="s">
        <v>35881</v>
      </c>
      <c t="s">
        <v>52811</v>
      </c>
      <c s="3">
        <v>86189</v>
      </c>
      <c s="3">
        <v>75000</v>
      </c>
      <c s="3">
        <v>77464</v>
      </c>
      <c>
        <v>0</v>
      </c>
      <c s="3">
        <v>0</v>
      </c>
      <c s="3">
        <v>1213.13</v>
      </c>
      <c s="3">
        <v>86189</v>
      </c>
      <c r="O5977" s="1" t="str">
        <f ca="1">HYPERLINK("https://web.datatree.com/?/property?propertyId=180382795", "https://web.datatree.com/?/property?propertyId=180382795")</f>
        <v>https://web.datatree.com/?/property?propertyId=180382795</v>
      </c>
      <c r="Q5977" t="s">
        <v>316</v>
      </c>
      <c>
        <v>0.072</v>
      </c>
      <c t="s">
        <v>9944</v>
      </c>
      <c t="s">
        <v>62125</v>
      </c>
      <c t="s">
        <v>57866</v>
      </c>
      <c r="X5977" t="s">
        <v>7191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12046</v>
      </c>
      <c>
        <v>1021</v>
      </c>
      <c r="AI5977" t="s">
        <v>7807</v>
      </c>
      <c t="s">
        <v>31192</v>
      </c>
      <c r="AL5977" t="s">
        <v>28377</v>
      </c>
      <c t="s">
        <v>30876</v>
      </c>
      <c t="s">
        <v>22275</v>
      </c>
      <c t="s">
        <v>9267</v>
      </c>
      <c t="s">
        <v>44428</v>
      </c>
      <c t="s">
        <v>3093</v>
      </c>
      <c t="s">
        <v>13177</v>
      </c>
    </row>
    <row>
      <c t="s">
        <v>17594</v>
      </c>
      <c t="s">
        <v>21167</v>
      </c>
      <c t="s">
        <v>20797</v>
      </c>
      <c t="s">
        <v>66563</v>
      </c>
      <c t="s">
        <v>5719</v>
      </c>
      <c s="3">
        <v>88917</v>
      </c>
      <c s="3">
        <v>77567</v>
      </c>
      <c s="3">
        <v>81631</v>
      </c>
      <c>
        <v>0</v>
      </c>
      <c s="3">
        <v>0</v>
      </c>
      <c s="3">
        <v>1267.56</v>
      </c>
      <c s="3">
        <v>88917</v>
      </c>
      <c r="O5978" s="1" t="str">
        <f ca="1">HYPERLINK("https://web.datatree.com/?/property?propertyId=180382799", "https://web.datatree.com/?/property?propertyId=180382799")</f>
        <v>https://web.datatree.com/?/property?propertyId=180382799</v>
      </c>
      <c r="Q5978" t="s">
        <v>316</v>
      </c>
      <c>
        <v>0.082</v>
      </c>
      <c t="s">
        <v>9944</v>
      </c>
      <c t="s">
        <v>42397</v>
      </c>
      <c t="s">
        <v>9268</v>
      </c>
      <c t="s">
        <v>58876</v>
      </c>
      <c t="s">
        <v>9268</v>
      </c>
      <c t="s">
        <v>54673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29164</v>
      </c>
      <c>
        <v>1226</v>
      </c>
      <c r="AI5978" t="s">
        <v>27135</v>
      </c>
      <c t="s">
        <v>24900</v>
      </c>
      <c r="AL5978" t="s">
        <v>8987</v>
      </c>
      <c t="s">
        <v>40227</v>
      </c>
      <c t="s">
        <v>65467</v>
      </c>
      <c t="s">
        <v>17282</v>
      </c>
      <c t="s">
        <v>43294</v>
      </c>
      <c t="s">
        <v>3093</v>
      </c>
      <c t="s">
        <v>51489</v>
      </c>
    </row>
    <row>
      <c t="s">
        <v>17594</v>
      </c>
      <c t="s">
        <v>46534</v>
      </c>
      <c t="s">
        <v>58204</v>
      </c>
      <c t="s">
        <v>59842</v>
      </c>
      <c t="s">
        <v>65198</v>
      </c>
      <c s="3">
        <v>91573</v>
      </c>
      <c s="3">
        <v>78374</v>
      </c>
      <c s="3">
        <v>84719</v>
      </c>
      <c>
        <v>0</v>
      </c>
      <c s="3">
        <v>0</v>
      </c>
      <c s="3">
        <v>1311.39</v>
      </c>
      <c s="3">
        <v>91573</v>
      </c>
      <c r="O5979" s="1" t="str">
        <f ca="1">HYPERLINK("https://web.datatree.com/?/property?propertyId=180440400", "https://web.datatree.com/?/property?propertyId=180440400")</f>
        <v>https://web.datatree.com/?/property?propertyId=180440400</v>
      </c>
      <c r="Q5979" t="s">
        <v>316</v>
      </c>
      <c>
        <v>0.082</v>
      </c>
      <c t="s">
        <v>9944</v>
      </c>
      <c t="s">
        <v>63201</v>
      </c>
      <c t="s">
        <v>16712</v>
      </c>
      <c t="s">
        <v>33621</v>
      </c>
      <c t="s">
        <v>16712</v>
      </c>
      <c t="s">
        <v>35795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27765</v>
      </c>
      <c>
        <v>580</v>
      </c>
      <c r="AI5979" t="s">
        <v>59390</v>
      </c>
      <c t="s">
        <v>31192</v>
      </c>
      <c r="AL5979" t="s">
        <v>35792</v>
      </c>
      <c t="s">
        <v>40227</v>
      </c>
      <c t="s">
        <v>19878</v>
      </c>
      <c t="s">
        <v>64093</v>
      </c>
      <c t="s">
        <v>30106</v>
      </c>
      <c t="s">
        <v>3093</v>
      </c>
      <c t="s">
        <v>37576</v>
      </c>
    </row>
    <row>
      <c t="s">
        <v>17594</v>
      </c>
      <c t="s">
        <v>57633</v>
      </c>
      <c t="s">
        <v>2952</v>
      </c>
      <c t="s">
        <v>7395</v>
      </c>
      <c t="s">
        <v>45613</v>
      </c>
      <c s="3">
        <v>84015</v>
      </c>
      <c s="3">
        <v>75000</v>
      </c>
      <c s="3">
        <v>78031</v>
      </c>
      <c>
        <v>0</v>
      </c>
      <c s="3">
        <v>0</v>
      </c>
      <c s="3">
        <v>1206.42</v>
      </c>
      <c s="3">
        <v>84015</v>
      </c>
      <c r="O5980" s="1" t="str">
        <f ca="1">HYPERLINK("https://web.datatree.com/?/property?propertyId=180440403", "https://web.datatree.com/?/property?propertyId=180440403")</f>
        <v>https://web.datatree.com/?/property?propertyId=180440403</v>
      </c>
      <c r="Q5980" t="s">
        <v>316</v>
      </c>
      <c>
        <v>0.072</v>
      </c>
      <c t="s">
        <v>9944</v>
      </c>
      <c r="U5980" t="s">
        <v>38518</v>
      </c>
      <c r="W5980" t="s">
        <v>30499</v>
      </c>
      <c t="s">
        <v>64524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24286</v>
      </c>
      <c t="s">
        <v>59942</v>
      </c>
      <c r="AI5980" t="s">
        <v>35959</v>
      </c>
      <c t="s">
        <v>31192</v>
      </c>
      <c r="AL5980" t="s">
        <v>52220</v>
      </c>
      <c t="s">
        <v>40227</v>
      </c>
      <c t="s">
        <v>19878</v>
      </c>
      <c t="s">
        <v>43245</v>
      </c>
      <c t="s">
        <v>4175</v>
      </c>
      <c t="s">
        <v>3093</v>
      </c>
      <c t="s">
        <v>5071</v>
      </c>
    </row>
    <row>
      <c t="s">
        <v>17594</v>
      </c>
      <c t="s">
        <v>24555</v>
      </c>
      <c t="s">
        <v>30681</v>
      </c>
      <c t="s">
        <v>22375</v>
      </c>
      <c t="s">
        <v>9943</v>
      </c>
      <c s="3">
        <v>86930</v>
      </c>
      <c s="3">
        <v>76835</v>
      </c>
      <c s="3">
        <v>78302</v>
      </c>
      <c>
        <v>0</v>
      </c>
      <c s="3">
        <v>0</v>
      </c>
      <c s="3">
        <v>1225.15</v>
      </c>
      <c s="3">
        <v>86930</v>
      </c>
      <c r="O5981" s="1" t="str">
        <f ca="1">HYPERLINK("https://web.datatree.com/?/property?propertyId=180440405", "https://web.datatree.com/?/property?propertyId=180440405")</f>
        <v>https://web.datatree.com/?/property?propertyId=180440405</v>
      </c>
      <c r="Q5981" t="s">
        <v>316</v>
      </c>
      <c>
        <v>0.072</v>
      </c>
      <c t="s">
        <v>9944</v>
      </c>
      <c t="s">
        <v>50331</v>
      </c>
      <c t="s">
        <v>6342</v>
      </c>
      <c t="s">
        <v>52045</v>
      </c>
      <c t="s">
        <v>6342</v>
      </c>
      <c t="s">
        <v>63086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57639</v>
      </c>
      <c>
        <v>214</v>
      </c>
      <c r="AI5981" t="s">
        <v>53833</v>
      </c>
      <c t="s">
        <v>41372</v>
      </c>
      <c r="AL5981" t="s">
        <v>54170</v>
      </c>
      <c t="s">
        <v>40227</v>
      </c>
      <c t="s">
        <v>32576</v>
      </c>
      <c t="s">
        <v>40410</v>
      </c>
      <c t="s">
        <v>14695</v>
      </c>
      <c t="s">
        <v>3093</v>
      </c>
      <c t="s">
        <v>16885</v>
      </c>
    </row>
    <row>
      <c t="s">
        <v>17594</v>
      </c>
      <c t="s">
        <v>22760</v>
      </c>
      <c t="s">
        <v>11493</v>
      </c>
      <c t="s">
        <v>51177</v>
      </c>
      <c t="s">
        <v>30963</v>
      </c>
      <c s="3">
        <v>88246</v>
      </c>
      <c s="3">
        <v>76946</v>
      </c>
      <c s="3">
        <v>88246</v>
      </c>
      <c>
        <v>0</v>
      </c>
      <c s="3">
        <v>0</v>
      </c>
      <c s="3">
        <v>1326.11</v>
      </c>
      <c s="3">
        <v>88246</v>
      </c>
      <c r="O5982" s="1" t="str">
        <f ca="1">HYPERLINK("https://web.datatree.com/?/property?propertyId=180461339", "https://web.datatree.com/?/property?propertyId=180461339")</f>
        <v>https://web.datatree.com/?/property?propertyId=180461339</v>
      </c>
      <c r="Q5982" t="s">
        <v>316</v>
      </c>
      <c>
        <v>0.075</v>
      </c>
      <c t="s">
        <v>9944</v>
      </c>
      <c r="U5982" t="s">
        <v>8573</v>
      </c>
      <c t="s">
        <v>16200</v>
      </c>
      <c t="s">
        <v>24917</v>
      </c>
      <c t="s">
        <v>33247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61101</v>
      </c>
      <c>
        <v>326</v>
      </c>
      <c r="AI5982" t="s">
        <v>29270</v>
      </c>
      <c t="s">
        <v>45620</v>
      </c>
      <c>
        <v>326</v>
      </c>
      <c t="s">
        <v>36576</v>
      </c>
      <c t="s">
        <v>36576</v>
      </c>
      <c t="s">
        <v>65467</v>
      </c>
      <c t="s">
        <v>218</v>
      </c>
      <c t="s">
        <v>14695</v>
      </c>
      <c t="s">
        <v>3093</v>
      </c>
      <c t="s">
        <v>42386</v>
      </c>
    </row>
    <row>
      <c t="s">
        <v>17594</v>
      </c>
      <c t="s">
        <v>25405</v>
      </c>
      <c t="s">
        <v>17154</v>
      </c>
      <c t="s">
        <v>45347</v>
      </c>
      <c t="s">
        <v>3515</v>
      </c>
      <c s="3">
        <v>132728</v>
      </c>
      <c s="3">
        <v>116378</v>
      </c>
      <c s="3">
        <v>115453</v>
      </c>
      <c>
        <v>0</v>
      </c>
      <c s="3">
        <v>0</v>
      </c>
      <c s="3">
        <v>1829.42</v>
      </c>
      <c s="3">
        <v>132728</v>
      </c>
      <c r="O5983" s="1" t="str">
        <f ca="1">HYPERLINK("https://web.datatree.com/?/property?propertyId=180523204", "https://web.datatree.com/?/property?propertyId=180523204")</f>
        <v>https://web.datatree.com/?/property?propertyId=180523204</v>
      </c>
      <c r="Q5983" t="s">
        <v>316</v>
      </c>
      <c>
        <v>0.072</v>
      </c>
      <c t="s">
        <v>9944</v>
      </c>
      <c t="s">
        <v>64570</v>
      </c>
      <c t="s">
        <v>36244</v>
      </c>
      <c t="s">
        <v>55076</v>
      </c>
      <c t="s">
        <v>36244</v>
      </c>
      <c t="s">
        <v>21982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23712</v>
      </c>
      <c>
        <v>1120</v>
      </c>
      <c r="AI5983" t="s">
        <v>17022</v>
      </c>
      <c t="s">
        <v>24900</v>
      </c>
      <c r="AL5983" t="s">
        <v>26631</v>
      </c>
      <c t="s">
        <v>26631</v>
      </c>
      <c t="s">
        <v>26443</v>
      </c>
      <c t="s">
        <v>7219</v>
      </c>
      <c t="s">
        <v>34162</v>
      </c>
      <c t="s">
        <v>3093</v>
      </c>
      <c t="s">
        <v>55083</v>
      </c>
    </row>
    <row>
      <c t="s">
        <v>17594</v>
      </c>
      <c t="s">
        <v>59785</v>
      </c>
      <c t="s">
        <v>44725</v>
      </c>
      <c t="s">
        <v>62616</v>
      </c>
      <c t="s">
        <v>47587</v>
      </c>
      <c s="3">
        <v>85716</v>
      </c>
      <c s="3">
        <v>75000</v>
      </c>
      <c s="3">
        <v>85716</v>
      </c>
      <c>
        <v>0</v>
      </c>
      <c s="3">
        <v>0</v>
      </c>
      <c s="3">
        <v>1288.2</v>
      </c>
      <c s="3">
        <v>85716</v>
      </c>
      <c r="O5984" s="1" t="str">
        <f ca="1">HYPERLINK("https://web.datatree.com/?/property?propertyId=180523205", "https://web.datatree.com/?/property?propertyId=180523205")</f>
        <v>https://web.datatree.com/?/property?propertyId=180523205</v>
      </c>
      <c r="Q5984" t="s">
        <v>316</v>
      </c>
      <c>
        <v>0.072</v>
      </c>
      <c t="s">
        <v>9944</v>
      </c>
      <c t="s">
        <v>25238</v>
      </c>
      <c t="s">
        <v>13949</v>
      </c>
      <c t="s">
        <v>58384</v>
      </c>
      <c t="s">
        <v>13949</v>
      </c>
      <c t="s">
        <v>39348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3430</v>
      </c>
      <c>
        <v>29429</v>
      </c>
      <c r="AI5984" t="s">
        <v>34550</v>
      </c>
      <c t="s">
        <v>12406</v>
      </c>
      <c r="AL5984" t="s">
        <v>8</v>
      </c>
      <c t="s">
        <v>8</v>
      </c>
      <c t="s">
        <v>63985</v>
      </c>
      <c t="s">
        <v>17403</v>
      </c>
      <c t="s">
        <v>63972</v>
      </c>
      <c t="s">
        <v>3093</v>
      </c>
      <c t="s">
        <v>51888</v>
      </c>
    </row>
    <row>
      <c t="s">
        <v>17594</v>
      </c>
      <c t="s">
        <v>4717</v>
      </c>
      <c t="s">
        <v>6805</v>
      </c>
      <c t="s">
        <v>27748</v>
      </c>
      <c t="s">
        <v>53392</v>
      </c>
      <c s="3">
        <v>87034</v>
      </c>
      <c s="3">
        <v>75000</v>
      </c>
      <c s="3">
        <v>87034</v>
      </c>
      <c>
        <v>0</v>
      </c>
      <c s="3">
        <v>0</v>
      </c>
      <c s="3">
        <v>1307.95</v>
      </c>
      <c s="3">
        <v>87034</v>
      </c>
      <c r="O5985" s="1" t="str">
        <f ca="1">HYPERLINK("https://web.datatree.com/?/property?propertyId=180540499", "https://web.datatree.com/?/property?propertyId=180540499")</f>
        <v>https://web.datatree.com/?/property?propertyId=180540499</v>
      </c>
      <c r="Q5985" t="s">
        <v>316</v>
      </c>
      <c>
        <v>0.072</v>
      </c>
      <c t="s">
        <v>9944</v>
      </c>
      <c r="U5985" t="s">
        <v>22400</v>
      </c>
      <c t="s">
        <v>33720</v>
      </c>
      <c t="s">
        <v>39619</v>
      </c>
      <c t="s">
        <v>49255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27824</v>
      </c>
      <c>
        <v>8069</v>
      </c>
      <c r="AI5985" t="s">
        <v>15002</v>
      </c>
      <c t="s">
        <v>31192</v>
      </c>
      <c r="AL5985" t="s">
        <v>63547</v>
      </c>
      <c t="s">
        <v>24241</v>
      </c>
      <c t="s">
        <v>17134</v>
      </c>
      <c t="s">
        <v>37730</v>
      </c>
      <c t="s">
        <v>43294</v>
      </c>
      <c t="s">
        <v>3093</v>
      </c>
      <c t="s">
        <v>10449</v>
      </c>
    </row>
    <row>
      <c t="s">
        <v>17594</v>
      </c>
      <c t="s">
        <v>44186</v>
      </c>
      <c t="s">
        <v>60322</v>
      </c>
      <c t="s">
        <v>21629</v>
      </c>
      <c t="s">
        <v>15878</v>
      </c>
      <c s="3">
        <v>86589</v>
      </c>
      <c s="3">
        <v>75000</v>
      </c>
      <c s="3">
        <v>85593</v>
      </c>
      <c>
        <v>0</v>
      </c>
      <c s="3">
        <v>0</v>
      </c>
      <c s="3">
        <v>1291.89</v>
      </c>
      <c s="3">
        <v>86589</v>
      </c>
      <c r="O5986" s="1" t="str">
        <f ca="1">HYPERLINK("https://web.datatree.com/?/property?propertyId=180540500", "https://web.datatree.com/?/property?propertyId=180540500")</f>
        <v>https://web.datatree.com/?/property?propertyId=180540500</v>
      </c>
      <c r="Q5986" t="s">
        <v>316</v>
      </c>
      <c>
        <v>0.072</v>
      </c>
      <c t="s">
        <v>9944</v>
      </c>
      <c r="U5986" t="s">
        <v>62385</v>
      </c>
      <c r="W5986" t="s">
        <v>26528</v>
      </c>
      <c t="s">
        <v>5037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56331</v>
      </c>
      <c>
        <v>23304</v>
      </c>
      <c r="AI5986" t="s">
        <v>43855</v>
      </c>
      <c t="s">
        <v>40123</v>
      </c>
      <c r="AL5986" t="s">
        <v>67036</v>
      </c>
      <c t="s">
        <v>40227</v>
      </c>
      <c t="s">
        <v>65467</v>
      </c>
      <c t="s">
        <v>67098</v>
      </c>
      <c t="s">
        <v>34155</v>
      </c>
      <c t="s">
        <v>3093</v>
      </c>
      <c t="s">
        <v>2424</v>
      </c>
    </row>
    <row>
      <c t="s">
        <v>17594</v>
      </c>
      <c t="s">
        <v>24451</v>
      </c>
      <c t="s">
        <v>25588</v>
      </c>
      <c t="s">
        <v>6108</v>
      </c>
      <c t="s">
        <v>377</v>
      </c>
      <c s="3">
        <v>90869</v>
      </c>
      <c s="3">
        <v>78081</v>
      </c>
      <c s="3">
        <v>90367</v>
      </c>
      <c>
        <v>0</v>
      </c>
      <c s="3">
        <v>0</v>
      </c>
      <c s="3">
        <v>1360.63</v>
      </c>
      <c s="3">
        <v>90869</v>
      </c>
      <c r="O5987" s="1" t="str">
        <f ca="1">HYPERLINK("https://web.datatree.com/?/property?propertyId=180899574", "https://web.datatree.com/?/property?propertyId=180899574")</f>
        <v>https://web.datatree.com/?/property?propertyId=180899574</v>
      </c>
      <c r="Q5987" t="s">
        <v>316</v>
      </c>
      <c>
        <v>0.072</v>
      </c>
      <c t="s">
        <v>9944</v>
      </c>
      <c t="s">
        <v>49241</v>
      </c>
      <c t="s">
        <v>26074</v>
      </c>
      <c t="s">
        <v>39768</v>
      </c>
      <c t="s">
        <v>26074</v>
      </c>
      <c t="s">
        <v>32222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17398</v>
      </c>
      <c>
        <v>1404</v>
      </c>
      <c r="AI5987" t="s">
        <v>65837</v>
      </c>
      <c r="AL5987" t="s">
        <v>9980</v>
      </c>
      <c t="s">
        <v>9980</v>
      </c>
      <c t="s">
        <v>49572</v>
      </c>
      <c>
        <v>46350</v>
      </c>
      <c r="AQ5987" t="s">
        <v>3093</v>
      </c>
      <c t="s">
        <v>27278</v>
      </c>
    </row>
    <row>
      <c t="s">
        <v>17594</v>
      </c>
      <c t="s">
        <v>3613</v>
      </c>
      <c t="s">
        <v>41268</v>
      </c>
      <c t="s">
        <v>43733</v>
      </c>
      <c t="s">
        <v>1856</v>
      </c>
      <c s="3">
        <v>90365</v>
      </c>
      <c s="3">
        <v>77207</v>
      </c>
      <c s="3">
        <v>89761</v>
      </c>
      <c>
        <v>0</v>
      </c>
      <c s="3">
        <v>0</v>
      </c>
      <c s="3">
        <v>1347.25</v>
      </c>
      <c s="3">
        <v>90365</v>
      </c>
      <c r="O5988" s="1" t="str">
        <f ca="1">HYPERLINK("https://web.datatree.com/?/property?propertyId=180899632", "https://web.datatree.com/?/property?propertyId=180899632")</f>
        <v>https://web.datatree.com/?/property?propertyId=180899632</v>
      </c>
      <c r="Q5988" t="s">
        <v>316</v>
      </c>
      <c>
        <v>0.072</v>
      </c>
      <c t="s">
        <v>9944</v>
      </c>
      <c t="s">
        <v>37690</v>
      </c>
      <c t="s">
        <v>22963</v>
      </c>
      <c r="X5988" t="s">
        <v>12648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12611</v>
      </c>
      <c>
        <v>32</v>
      </c>
      <c r="AI5988" t="s">
        <v>31207</v>
      </c>
      <c t="s">
        <v>31192</v>
      </c>
      <c r="AL5988" t="s">
        <v>38064</v>
      </c>
      <c t="s">
        <v>40227</v>
      </c>
      <c t="s">
        <v>26016</v>
      </c>
      <c t="s">
        <v>56168</v>
      </c>
      <c t="s">
        <v>29069</v>
      </c>
      <c t="s">
        <v>3093</v>
      </c>
      <c t="s">
        <v>1961</v>
      </c>
    </row>
    <row>
      <c t="s">
        <v>17594</v>
      </c>
      <c t="s">
        <v>43144</v>
      </c>
      <c t="s">
        <v>51538</v>
      </c>
      <c t="s">
        <v>41832</v>
      </c>
      <c t="s">
        <v>39724</v>
      </c>
      <c s="3">
        <v>88399</v>
      </c>
      <c s="3">
        <v>75000</v>
      </c>
      <c s="3">
        <v>79814</v>
      </c>
      <c>
        <v>0</v>
      </c>
      <c s="3">
        <v>0</v>
      </c>
      <c s="3">
        <v>1247.54</v>
      </c>
      <c s="3">
        <v>88399</v>
      </c>
      <c r="O5989" s="1" t="str">
        <f ca="1">HYPERLINK("https://web.datatree.com/?/property?propertyId=180899665", "https://web.datatree.com/?/property?propertyId=180899665")</f>
        <v>https://web.datatree.com/?/property?propertyId=180899665</v>
      </c>
      <c r="Q5989" t="s">
        <v>316</v>
      </c>
      <c>
        <v>0.072</v>
      </c>
      <c t="s">
        <v>9944</v>
      </c>
      <c t="s">
        <v>2140</v>
      </c>
      <c t="s">
        <v>37684</v>
      </c>
      <c t="s">
        <v>20434</v>
      </c>
      <c t="s">
        <v>37684</v>
      </c>
      <c t="s">
        <v>46688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62875</v>
      </c>
      <c>
        <v>4753</v>
      </c>
      <c r="AI5989" t="s">
        <v>719</v>
      </c>
      <c t="s">
        <v>31192</v>
      </c>
      <c r="AL5989" t="s">
        <v>3105</v>
      </c>
      <c t="s">
        <v>3105</v>
      </c>
      <c t="s">
        <v>17134</v>
      </c>
      <c t="s">
        <v>8912</v>
      </c>
      <c t="s">
        <v>42082</v>
      </c>
      <c t="s">
        <v>3093</v>
      </c>
      <c t="s">
        <v>42213</v>
      </c>
    </row>
    <row>
      <c t="s">
        <v>42103</v>
      </c>
      <c t="s">
        <v>14654</v>
      </c>
      <c t="s">
        <v>33146</v>
      </c>
      <c t="s">
        <v>35913</v>
      </c>
      <c t="s">
        <v>1988</v>
      </c>
      <c s="3">
        <v>85985</v>
      </c>
      <c s="3">
        <v>75000</v>
      </c>
      <c s="3">
        <v>76743</v>
      </c>
      <c>
        <v>0</v>
      </c>
      <c s="3">
        <v>0</v>
      </c>
      <c s="3">
        <v>1205.22</v>
      </c>
      <c s="3">
        <v>85985</v>
      </c>
      <c r="O5990" s="1" t="str">
        <f ca="1">HYPERLINK("https://web.datatree.com/?/property?propertyId=180900048", "https://web.datatree.com/?/property?propertyId=180900048")</f>
        <v>https://web.datatree.com/?/property?propertyId=180900048</v>
      </c>
      <c r="Q5990" t="s">
        <v>316</v>
      </c>
      <c>
        <v>0.076</v>
      </c>
      <c t="s">
        <v>9944</v>
      </c>
      <c r="U5990" t="s">
        <v>41204</v>
      </c>
      <c r="W5990" t="s">
        <v>30994</v>
      </c>
      <c t="s">
        <v>1346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33899</v>
      </c>
      <c r="AI5990" t="s">
        <v>66912</v>
      </c>
      <c r="AL5990" t="s">
        <v>10990</v>
      </c>
      <c t="s">
        <v>40227</v>
      </c>
      <c t="s">
        <v>51087</v>
      </c>
      <c>
        <v>22821</v>
      </c>
      <c t="s">
        <v>23536</v>
      </c>
      <c t="s">
        <v>3093</v>
      </c>
      <c t="s">
        <v>9641</v>
      </c>
    </row>
    <row>
      <c t="s">
        <v>17594</v>
      </c>
      <c t="s">
        <v>13594</v>
      </c>
      <c t="s">
        <v>49355</v>
      </c>
      <c t="s">
        <v>65364</v>
      </c>
      <c t="s">
        <v>27479</v>
      </c>
      <c s="3">
        <v>87010</v>
      </c>
      <c s="3">
        <v>77943</v>
      </c>
      <c s="3">
        <v>87010</v>
      </c>
      <c>
        <v>0</v>
      </c>
      <c s="3">
        <v>0</v>
      </c>
      <c s="3">
        <v>1307.6</v>
      </c>
      <c s="3">
        <v>87010</v>
      </c>
      <c r="O5991" s="1" t="str">
        <f ca="1">HYPERLINK("https://web.datatree.com/?/property?propertyId=180900609", "https://web.datatree.com/?/property?propertyId=180900609")</f>
        <v>https://web.datatree.com/?/property?propertyId=180900609</v>
      </c>
      <c r="Q5991" t="s">
        <v>316</v>
      </c>
      <c>
        <v>0.072</v>
      </c>
      <c t="s">
        <v>9944</v>
      </c>
      <c t="s">
        <v>25238</v>
      </c>
      <c t="s">
        <v>53674</v>
      </c>
      <c r="X5991" t="s">
        <v>15420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66231</v>
      </c>
      <c>
        <v>4477</v>
      </c>
      <c r="AI5991" t="s">
        <v>28087</v>
      </c>
      <c t="s">
        <v>31192</v>
      </c>
      <c r="AL5991" t="s">
        <v>65241</v>
      </c>
      <c t="s">
        <v>65241</v>
      </c>
      <c t="s">
        <v>17134</v>
      </c>
      <c t="s">
        <v>26418</v>
      </c>
      <c t="s">
        <v>22152</v>
      </c>
      <c t="s">
        <v>3093</v>
      </c>
      <c t="s">
        <v>59567</v>
      </c>
    </row>
    <row>
      <c t="s">
        <v>17594</v>
      </c>
      <c t="s">
        <v>59794</v>
      </c>
      <c t="s">
        <v>32666</v>
      </c>
      <c t="s">
        <v>5445</v>
      </c>
      <c t="s">
        <v>19063</v>
      </c>
      <c s="3">
        <v>130961</v>
      </c>
      <c s="3">
        <v>116674</v>
      </c>
      <c s="3">
        <v>113488</v>
      </c>
      <c>
        <v>0</v>
      </c>
      <c s="3">
        <v>0</v>
      </c>
      <c s="3">
        <v>1801.09</v>
      </c>
      <c s="3">
        <v>130961</v>
      </c>
      <c r="O5992" s="1" t="str">
        <f ca="1">HYPERLINK("https://web.datatree.com/?/property?propertyId=180901147", "https://web.datatree.com/?/property?propertyId=180901147")</f>
        <v>https://web.datatree.com/?/property?propertyId=180901147</v>
      </c>
      <c r="Q5992" t="s">
        <v>316</v>
      </c>
      <c>
        <v>0.072</v>
      </c>
      <c t="s">
        <v>9944</v>
      </c>
      <c t="s">
        <v>44541</v>
      </c>
      <c t="s">
        <v>27587</v>
      </c>
      <c t="s">
        <v>42388</v>
      </c>
      <c t="s">
        <v>27587</v>
      </c>
      <c t="s">
        <v>7452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8192</v>
      </c>
      <c>
        <v>117</v>
      </c>
      <c r="AI5992" t="s">
        <v>47698</v>
      </c>
      <c t="s">
        <v>45620</v>
      </c>
      <c r="AL5992" t="s">
        <v>12534</v>
      </c>
      <c t="s">
        <v>40227</v>
      </c>
      <c t="s">
        <v>22275</v>
      </c>
      <c t="s">
        <v>3256</v>
      </c>
      <c t="s">
        <v>702</v>
      </c>
      <c t="s">
        <v>3093</v>
      </c>
      <c t="s">
        <v>45041</v>
      </c>
    </row>
    <row>
      <c t="s">
        <v>17594</v>
      </c>
      <c t="s">
        <v>14213</v>
      </c>
      <c t="s">
        <v>48970</v>
      </c>
      <c t="s">
        <v>45081</v>
      </c>
      <c t="s">
        <v>7570</v>
      </c>
      <c s="3">
        <v>107707</v>
      </c>
      <c s="3">
        <v>82629</v>
      </c>
      <c s="3">
        <v>107707</v>
      </c>
      <c>
        <v>0</v>
      </c>
      <c s="3">
        <v>0</v>
      </c>
      <c s="3">
        <v>1463.82</v>
      </c>
      <c s="3">
        <v>107707</v>
      </c>
      <c r="O5993" s="1" t="str">
        <f ca="1">HYPERLINK("https://web.datatree.com/?/property?propertyId=180901510", "https://web.datatree.com/?/property?propertyId=180901510")</f>
        <v>https://web.datatree.com/?/property?propertyId=180901510</v>
      </c>
      <c r="Q5993" t="s">
        <v>316</v>
      </c>
      <c>
        <v>0.127</v>
      </c>
      <c t="s">
        <v>45526</v>
      </c>
      <c t="s">
        <v>25238</v>
      </c>
      <c t="s">
        <v>4629</v>
      </c>
      <c r="X5993" t="s">
        <v>56220</v>
      </c>
      <c t="s">
        <v>29891</v>
      </c>
      <c t="s">
        <v>65059</v>
      </c>
      <c t="s">
        <v>39289</v>
      </c>
      <c>
        <v>33905</v>
      </c>
      <c t="s">
        <v>48362</v>
      </c>
      <c t="s">
        <v>48794</v>
      </c>
      <c t="s">
        <v>7308</v>
      </c>
      <c>
        <v>11218</v>
      </c>
      <c r="AI5993" t="s">
        <v>29472</v>
      </c>
      <c t="s">
        <v>45620</v>
      </c>
      <c r="AL5993" t="s">
        <v>4769</v>
      </c>
      <c r="AN5993" t="s">
        <v>49572</v>
      </c>
      <c t="s">
        <v>15797</v>
      </c>
      <c t="s">
        <v>22455</v>
      </c>
      <c t="s">
        <v>3093</v>
      </c>
      <c t="s">
        <v>57214</v>
      </c>
    </row>
    <row>
      <c t="s">
        <v>17594</v>
      </c>
      <c t="s">
        <v>11132</v>
      </c>
      <c t="s">
        <v>48027</v>
      </c>
      <c t="s">
        <v>62123</v>
      </c>
      <c t="s">
        <v>39612</v>
      </c>
      <c s="3">
        <v>81803</v>
      </c>
      <c s="3">
        <v>75000</v>
      </c>
      <c s="3">
        <v>81803</v>
      </c>
      <c>
        <v>0</v>
      </c>
      <c s="3">
        <v>0</v>
      </c>
      <c s="3">
        <v>1229.6</v>
      </c>
      <c s="3">
        <v>81803</v>
      </c>
      <c r="O5994" s="1" t="str">
        <f ca="1">HYPERLINK("https://web.datatree.com/?/property?propertyId=180901662", "https://web.datatree.com/?/property?propertyId=180901662")</f>
        <v>https://web.datatree.com/?/property?propertyId=180901662</v>
      </c>
      <c r="Q5994" t="s">
        <v>316</v>
      </c>
      <c>
        <v>0.076</v>
      </c>
      <c t="s">
        <v>9944</v>
      </c>
      <c t="s">
        <v>29462</v>
      </c>
      <c t="s">
        <v>2511</v>
      </c>
      <c t="s">
        <v>16558</v>
      </c>
      <c t="s">
        <v>2511</v>
      </c>
      <c t="s">
        <v>29029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42869</v>
      </c>
      <c>
        <v>322</v>
      </c>
      <c r="AI5994" t="s">
        <v>36396</v>
      </c>
      <c t="s">
        <v>835</v>
      </c>
      <c r="AL5994" t="s">
        <v>13194</v>
      </c>
      <c t="s">
        <v>40227</v>
      </c>
      <c t="s">
        <v>3034</v>
      </c>
      <c t="s">
        <v>56452</v>
      </c>
      <c t="s">
        <v>44428</v>
      </c>
      <c t="s">
        <v>3093</v>
      </c>
      <c t="s">
        <v>30191</v>
      </c>
    </row>
    <row>
      <c t="s">
        <v>17594</v>
      </c>
      <c t="s">
        <v>38958</v>
      </c>
      <c t="s">
        <v>8648</v>
      </c>
      <c t="s">
        <v>26445</v>
      </c>
      <c t="s">
        <v>8216</v>
      </c>
      <c s="3">
        <v>84174</v>
      </c>
      <c s="3">
        <v>75000</v>
      </c>
      <c s="3">
        <v>80780</v>
      </c>
      <c>
        <v>0</v>
      </c>
      <c s="3">
        <v>0</v>
      </c>
      <c s="3">
        <v>1233.17</v>
      </c>
      <c s="3">
        <v>84174</v>
      </c>
      <c r="O5995" s="1" t="str">
        <f ca="1">HYPERLINK("https://web.datatree.com/?/property?propertyId=180901898", "https://web.datatree.com/?/property?propertyId=180901898")</f>
        <v>https://web.datatree.com/?/property?propertyId=180901898</v>
      </c>
      <c r="Q5995" t="s">
        <v>316</v>
      </c>
      <c>
        <v>0.072</v>
      </c>
      <c t="s">
        <v>9944</v>
      </c>
      <c t="s">
        <v>6361</v>
      </c>
      <c t="s">
        <v>17990</v>
      </c>
      <c t="s">
        <v>35664</v>
      </c>
      <c t="s">
        <v>17990</v>
      </c>
      <c t="s">
        <v>1296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20865</v>
      </c>
      <c>
        <v>111</v>
      </c>
      <c r="AI5995" t="s">
        <v>1105</v>
      </c>
      <c t="s">
        <v>45393</v>
      </c>
      <c r="AL5995" t="s">
        <v>14019</v>
      </c>
      <c t="s">
        <v>40227</v>
      </c>
      <c t="s">
        <v>10909</v>
      </c>
      <c t="s">
        <v>25873</v>
      </c>
      <c r="AQ5995" t="s">
        <v>27814</v>
      </c>
      <c t="s">
        <v>20832</v>
      </c>
    </row>
    <row>
      <c t="s">
        <v>17594</v>
      </c>
      <c t="s">
        <v>55156</v>
      </c>
      <c t="s">
        <v>40430</v>
      </c>
      <c t="s">
        <v>21344</v>
      </c>
      <c t="s">
        <v>62328</v>
      </c>
      <c s="3">
        <v>83022</v>
      </c>
      <c s="3">
        <v>83022</v>
      </c>
      <c s="3">
        <v>83022</v>
      </c>
      <c>
        <v>0</v>
      </c>
      <c s="3">
        <v>0</v>
      </c>
      <c s="3">
        <v>1135.34</v>
      </c>
      <c s="3">
        <v>83022</v>
      </c>
      <c r="O5996" s="1" t="str">
        <f ca="1">HYPERLINK("https://web.datatree.com/?/property?propertyId=180902134", "https://web.datatree.com/?/property?propertyId=180902134")</f>
        <v>https://web.datatree.com/?/property?propertyId=180902134</v>
      </c>
      <c r="Q5996" t="s">
        <v>316</v>
      </c>
      <c>
        <v>0.098</v>
      </c>
      <c t="s">
        <v>45526</v>
      </c>
      <c t="s">
        <v>60671</v>
      </c>
      <c t="s">
        <v>33434</v>
      </c>
      <c t="s">
        <v>11223</v>
      </c>
      <c t="s">
        <v>33434</v>
      </c>
      <c t="s">
        <v>34329</v>
      </c>
      <c t="s">
        <v>29891</v>
      </c>
      <c t="s">
        <v>65059</v>
      </c>
      <c t="s">
        <v>39289</v>
      </c>
      <c>
        <v>33905</v>
      </c>
      <c t="s">
        <v>35177</v>
      </c>
      <c t="s">
        <v>48794</v>
      </c>
      <c t="s">
        <v>52997</v>
      </c>
      <c>
        <v>200</v>
      </c>
      <c r="AI5996" t="s">
        <v>6436</v>
      </c>
      <c t="s">
        <v>31192</v>
      </c>
      <c r="AL5996" t="s">
        <v>14483</v>
      </c>
      <c r="AN5996" t="s">
        <v>22275</v>
      </c>
      <c t="s">
        <v>2017</v>
      </c>
      <c t="s">
        <v>22455</v>
      </c>
      <c t="s">
        <v>3093</v>
      </c>
      <c t="s">
        <v>33349</v>
      </c>
    </row>
    <row>
      <c t="s">
        <v>17594</v>
      </c>
      <c t="s">
        <v>9052</v>
      </c>
      <c t="s">
        <v>10012</v>
      </c>
      <c t="s">
        <v>66011</v>
      </c>
      <c t="s">
        <v>11295</v>
      </c>
      <c s="3">
        <v>132577</v>
      </c>
      <c s="3">
        <v>115925</v>
      </c>
      <c s="3">
        <v>115286</v>
      </c>
      <c>
        <v>0</v>
      </c>
      <c s="3">
        <v>0</v>
      </c>
      <c s="3">
        <v>1827.01</v>
      </c>
      <c s="3">
        <v>132577</v>
      </c>
      <c r="O5997" s="1" t="str">
        <f ca="1">HYPERLINK("https://web.datatree.com/?/property?propertyId=180902238", "https://web.datatree.com/?/property?propertyId=180902238")</f>
        <v>https://web.datatree.com/?/property?propertyId=180902238</v>
      </c>
      <c r="Q5997" t="s">
        <v>316</v>
      </c>
      <c>
        <v>0.072</v>
      </c>
      <c t="s">
        <v>9944</v>
      </c>
      <c t="s">
        <v>6361</v>
      </c>
      <c t="s">
        <v>1046</v>
      </c>
      <c t="s">
        <v>26069</v>
      </c>
      <c t="s">
        <v>1046</v>
      </c>
      <c t="s">
        <v>27853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15910</v>
      </c>
      <c>
        <v>251</v>
      </c>
      <c r="AI5997" t="s">
        <v>27061</v>
      </c>
      <c t="s">
        <v>55842</v>
      </c>
      <c r="AL5997" t="s">
        <v>10616</v>
      </c>
      <c t="s">
        <v>40227</v>
      </c>
      <c t="s">
        <v>19878</v>
      </c>
      <c t="s">
        <v>62937</v>
      </c>
      <c t="s">
        <v>44428</v>
      </c>
      <c t="s">
        <v>3093</v>
      </c>
      <c t="s">
        <v>13859</v>
      </c>
    </row>
    <row>
      <c t="s">
        <v>17594</v>
      </c>
      <c t="s">
        <v>65913</v>
      </c>
      <c t="s">
        <v>22696</v>
      </c>
      <c t="s">
        <v>58615</v>
      </c>
      <c t="s">
        <v>34589</v>
      </c>
      <c s="3">
        <v>58805</v>
      </c>
      <c s="3">
        <v>58805</v>
      </c>
      <c s="3">
        <v>58805</v>
      </c>
      <c>
        <v>0</v>
      </c>
      <c s="3">
        <v>0</v>
      </c>
      <c s="3">
        <v>809.09</v>
      </c>
      <c s="3">
        <v>58805</v>
      </c>
      <c r="O5998" s="1" t="str">
        <f ca="1">HYPERLINK("https://web.datatree.com/?/property?propertyId=180902689", "https://web.datatree.com/?/property?propertyId=180902689")</f>
        <v>https://web.datatree.com/?/property?propertyId=180902689</v>
      </c>
      <c r="Q5998" t="s">
        <v>316</v>
      </c>
      <c>
        <v>0.113</v>
      </c>
      <c t="s">
        <v>45526</v>
      </c>
      <c t="s">
        <v>50795</v>
      </c>
      <c t="s">
        <v>28131</v>
      </c>
      <c t="s">
        <v>65792</v>
      </c>
      <c t="s">
        <v>28131</v>
      </c>
      <c t="s">
        <v>19157</v>
      </c>
      <c t="s">
        <v>41760</v>
      </c>
      <c t="s">
        <v>65059</v>
      </c>
      <c t="s">
        <v>39289</v>
      </c>
      <c>
        <v>33905</v>
      </c>
      <c t="s">
        <v>54753</v>
      </c>
      <c t="s">
        <v>48794</v>
      </c>
      <c t="s">
        <v>52966</v>
      </c>
      <c>
        <v>6726</v>
      </c>
      <c r="AH5998" t="s">
        <v>12549</v>
      </c>
      <c>
        <v>400</v>
      </c>
      <c r="AL5998" t="s">
        <v>61181</v>
      </c>
      <c r="AN5998" t="s">
        <v>49572</v>
      </c>
      <c t="s">
        <v>36544</v>
      </c>
      <c t="s">
        <v>52247</v>
      </c>
      <c t="s">
        <v>3093</v>
      </c>
      <c t="s">
        <v>64508</v>
      </c>
    </row>
    <row>
      <c t="s">
        <v>17594</v>
      </c>
      <c t="s">
        <v>13843</v>
      </c>
      <c t="s">
        <v>23801</v>
      </c>
      <c t="s">
        <v>10429</v>
      </c>
      <c t="s">
        <v>66524</v>
      </c>
      <c s="3">
        <v>88344</v>
      </c>
      <c s="3">
        <v>75000</v>
      </c>
      <c s="3">
        <v>87564</v>
      </c>
      <c>
        <v>0</v>
      </c>
      <c s="3">
        <v>0</v>
      </c>
      <c s="3">
        <v>1315.33</v>
      </c>
      <c s="3">
        <v>88344</v>
      </c>
      <c r="O5999" s="1" t="str">
        <f ca="1">HYPERLINK("https://web.datatree.com/?/property?propertyId=180903357", "https://web.datatree.com/?/property?propertyId=180903357")</f>
        <v>https://web.datatree.com/?/property?propertyId=180903357</v>
      </c>
      <c r="Q5999" t="s">
        <v>316</v>
      </c>
      <c>
        <v>0.075</v>
      </c>
      <c t="s">
        <v>9944</v>
      </c>
      <c t="s">
        <v>8762</v>
      </c>
      <c t="s">
        <v>56256</v>
      </c>
      <c t="s">
        <v>27351</v>
      </c>
      <c t="s">
        <v>56256</v>
      </c>
      <c t="s">
        <v>13762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2137</v>
      </c>
      <c t="s">
        <v>11796</v>
      </c>
      <c r="AI5999" t="s">
        <v>5325</v>
      </c>
      <c r="AL5999" t="s">
        <v>22141</v>
      </c>
      <c t="s">
        <v>40227</v>
      </c>
      <c t="s">
        <v>27481</v>
      </c>
      <c t="s">
        <v>27047</v>
      </c>
      <c t="s">
        <v>326</v>
      </c>
      <c t="s">
        <v>3093</v>
      </c>
      <c t="s">
        <v>51922</v>
      </c>
    </row>
    <row>
      <c t="s">
        <v>17594</v>
      </c>
      <c t="s">
        <v>30328</v>
      </c>
      <c t="s">
        <v>48511</v>
      </c>
      <c t="s">
        <v>63360</v>
      </c>
      <c t="s">
        <v>31397</v>
      </c>
      <c s="3">
        <v>84174</v>
      </c>
      <c s="3">
        <v>75000</v>
      </c>
      <c s="3">
        <v>72986</v>
      </c>
      <c>
        <v>0</v>
      </c>
      <c s="3">
        <v>0</v>
      </c>
      <c s="3">
        <v>1159.8</v>
      </c>
      <c s="3">
        <v>84174</v>
      </c>
      <c r="O6000" s="1" t="str">
        <f ca="1">HYPERLINK("https://web.datatree.com/?/property?propertyId=180903926", "https://web.datatree.com/?/property?propertyId=180903926")</f>
        <v>https://web.datatree.com/?/property?propertyId=180903926</v>
      </c>
      <c r="Q6000" t="s">
        <v>316</v>
      </c>
      <c>
        <v>0.073</v>
      </c>
      <c t="s">
        <v>9944</v>
      </c>
      <c t="s">
        <v>63047</v>
      </c>
      <c t="s">
        <v>46201</v>
      </c>
      <c t="s">
        <v>63182</v>
      </c>
      <c t="s">
        <v>46201</v>
      </c>
      <c t="s">
        <v>47696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41318</v>
      </c>
      <c>
        <v>5184</v>
      </c>
      <c r="AI6000" t="s">
        <v>12342</v>
      </c>
      <c t="s">
        <v>45620</v>
      </c>
      <c r="AL6000" t="s">
        <v>42114</v>
      </c>
      <c t="s">
        <v>40227</v>
      </c>
      <c t="s">
        <v>65467</v>
      </c>
      <c t="s">
        <v>38116</v>
      </c>
      <c t="s">
        <v>45843</v>
      </c>
      <c t="s">
        <v>3093</v>
      </c>
      <c t="s">
        <v>65025</v>
      </c>
    </row>
    <row>
      <c t="s">
        <v>17594</v>
      </c>
      <c t="s">
        <v>10842</v>
      </c>
      <c t="s">
        <v>14527</v>
      </c>
      <c t="s">
        <v>67261</v>
      </c>
      <c t="s">
        <v>56555</v>
      </c>
      <c s="3">
        <v>128234</v>
      </c>
      <c s="3">
        <v>117976</v>
      </c>
      <c s="3">
        <v>106976</v>
      </c>
      <c>
        <v>0</v>
      </c>
      <c s="3">
        <v>0</v>
      </c>
      <c s="3">
        <v>1724.64</v>
      </c>
      <c s="3">
        <v>128234</v>
      </c>
      <c r="O6001" s="1" t="str">
        <f ca="1">HYPERLINK("https://web.datatree.com/?/property?propertyId=180904120", "https://web.datatree.com/?/property?propertyId=180904120")</f>
        <v>https://web.datatree.com/?/property?propertyId=180904120</v>
      </c>
      <c r="Q6001" t="s">
        <v>316</v>
      </c>
      <c>
        <v>0.072</v>
      </c>
      <c t="s">
        <v>9944</v>
      </c>
      <c t="s">
        <v>52443</v>
      </c>
      <c t="s">
        <v>23546</v>
      </c>
      <c t="s">
        <v>32231</v>
      </c>
      <c t="s">
        <v>23546</v>
      </c>
      <c t="s">
        <v>3401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66795</v>
      </c>
      <c>
        <v>2</v>
      </c>
      <c r="AI6001" t="s">
        <v>14118</v>
      </c>
      <c t="s">
        <v>45393</v>
      </c>
      <c r="AL6001" t="s">
        <v>48405</v>
      </c>
      <c t="s">
        <v>40227</v>
      </c>
      <c t="s">
        <v>65467</v>
      </c>
      <c t="s">
        <v>17686</v>
      </c>
      <c t="s">
        <v>42082</v>
      </c>
      <c t="s">
        <v>3093</v>
      </c>
      <c t="s">
        <v>20552</v>
      </c>
    </row>
    <row>
      <c t="s">
        <v>17594</v>
      </c>
      <c t="s">
        <v>50040</v>
      </c>
      <c t="s">
        <v>17811</v>
      </c>
      <c t="s">
        <v>52638</v>
      </c>
      <c t="s">
        <v>47731</v>
      </c>
      <c s="3">
        <v>59020</v>
      </c>
      <c s="3">
        <v>59020</v>
      </c>
      <c s="3">
        <v>59020</v>
      </c>
      <c>
        <v>0</v>
      </c>
      <c s="3">
        <v>0</v>
      </c>
      <c s="3">
        <v>792.2</v>
      </c>
      <c s="3">
        <v>59020</v>
      </c>
      <c r="O6002" s="1" t="str">
        <f ca="1">HYPERLINK("https://web.datatree.com/?/property?propertyId=180905092", "https://web.datatree.com/?/property?propertyId=180905092")</f>
        <v>https://web.datatree.com/?/property?propertyId=180905092</v>
      </c>
      <c r="Q6002" t="s">
        <v>316</v>
      </c>
      <c>
        <v>0.083</v>
      </c>
      <c t="s">
        <v>45526</v>
      </c>
      <c r="U6002" t="s">
        <v>52483</v>
      </c>
      <c r="X6002" t="s">
        <v>56139</v>
      </c>
      <c t="s">
        <v>41760</v>
      </c>
      <c t="s">
        <v>65059</v>
      </c>
      <c t="s">
        <v>39289</v>
      </c>
      <c>
        <v>33905</v>
      </c>
      <c t="s">
        <v>54753</v>
      </c>
      <c t="s">
        <v>48794</v>
      </c>
      <c t="s">
        <v>64861</v>
      </c>
      <c>
        <v>128</v>
      </c>
      <c r="AI6002" t="s">
        <v>65693</v>
      </c>
      <c t="s">
        <v>31192</v>
      </c>
      <c r="AL6002" t="s">
        <v>20604</v>
      </c>
      <c r="AN6002" t="s">
        <v>26016</v>
      </c>
      <c t="s">
        <v>26654</v>
      </c>
      <c t="s">
        <v>14695</v>
      </c>
      <c t="s">
        <v>3093</v>
      </c>
      <c t="s">
        <v>10252</v>
      </c>
    </row>
    <row>
      <c t="s">
        <v>17594</v>
      </c>
      <c t="s">
        <v>17795</v>
      </c>
      <c t="s">
        <v>48004</v>
      </c>
      <c t="s">
        <v>22902</v>
      </c>
      <c t="s">
        <v>61310</v>
      </c>
      <c s="3">
        <v>87813</v>
      </c>
      <c s="3">
        <v>78746</v>
      </c>
      <c s="3">
        <v>87813</v>
      </c>
      <c>
        <v>0</v>
      </c>
      <c s="3">
        <v>0</v>
      </c>
      <c s="3">
        <v>1314.73</v>
      </c>
      <c s="3">
        <v>87813</v>
      </c>
      <c r="O6003" s="1" t="str">
        <f ca="1">HYPERLINK("https://web.datatree.com/?/property?propertyId=180905143", "https://web.datatree.com/?/property?propertyId=180905143")</f>
        <v>https://web.datatree.com/?/property?propertyId=180905143</v>
      </c>
      <c r="Q6003" t="s">
        <v>316</v>
      </c>
      <c>
        <v>0.072</v>
      </c>
      <c t="s">
        <v>9944</v>
      </c>
      <c t="s">
        <v>61273</v>
      </c>
      <c t="s">
        <v>46857</v>
      </c>
      <c t="s">
        <v>51891</v>
      </c>
      <c t="s">
        <v>51665</v>
      </c>
      <c t="s">
        <v>61679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16065</v>
      </c>
      <c>
        <v>965</v>
      </c>
      <c r="AI6003" t="s">
        <v>48990</v>
      </c>
      <c t="s">
        <v>31192</v>
      </c>
      <c r="AL6003" t="s">
        <v>60790</v>
      </c>
      <c t="s">
        <v>12512</v>
      </c>
      <c t="s">
        <v>3034</v>
      </c>
      <c t="s">
        <v>44011</v>
      </c>
      <c t="s">
        <v>52393</v>
      </c>
      <c t="s">
        <v>3093</v>
      </c>
      <c t="s">
        <v>65285</v>
      </c>
    </row>
    <row>
      <c t="s">
        <v>17594</v>
      </c>
      <c t="s">
        <v>28268</v>
      </c>
      <c t="s">
        <v>49107</v>
      </c>
      <c t="s">
        <v>40524</v>
      </c>
      <c t="s">
        <v>61890</v>
      </c>
      <c s="3">
        <v>129896</v>
      </c>
      <c s="3">
        <v>117976</v>
      </c>
      <c s="3">
        <v>112437</v>
      </c>
      <c>
        <v>0</v>
      </c>
      <c s="3">
        <v>0</v>
      </c>
      <c s="3">
        <v>1785.29</v>
      </c>
      <c s="3">
        <v>129896</v>
      </c>
      <c r="O6004" s="1" t="str">
        <f ca="1">HYPERLINK("https://web.datatree.com/?/property?propertyId=180905357", "https://web.datatree.com/?/property?propertyId=180905357")</f>
        <v>https://web.datatree.com/?/property?propertyId=180905357</v>
      </c>
      <c r="Q6004" t="s">
        <v>316</v>
      </c>
      <c>
        <v>0.074</v>
      </c>
      <c t="s">
        <v>9944</v>
      </c>
      <c t="s">
        <v>7107</v>
      </c>
      <c t="s">
        <v>34584</v>
      </c>
      <c t="s">
        <v>66271</v>
      </c>
      <c t="s">
        <v>34584</v>
      </c>
      <c t="s">
        <v>9458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29041</v>
      </c>
      <c>
        <v>411</v>
      </c>
      <c r="AI6004" t="s">
        <v>22464</v>
      </c>
      <c t="s">
        <v>45393</v>
      </c>
      <c>
        <v>14383</v>
      </c>
      <c t="s">
        <v>61590</v>
      </c>
      <c t="s">
        <v>61590</v>
      </c>
      <c t="s">
        <v>39289</v>
      </c>
      <c t="s">
        <v>55522</v>
      </c>
      <c t="s">
        <v>57971</v>
      </c>
      <c t="s">
        <v>3093</v>
      </c>
      <c t="s">
        <v>29840</v>
      </c>
    </row>
    <row>
      <c t="s">
        <v>17594</v>
      </c>
      <c t="s">
        <v>26404</v>
      </c>
      <c t="s">
        <v>1242</v>
      </c>
      <c t="s">
        <v>46609</v>
      </c>
      <c t="s">
        <v>48678</v>
      </c>
      <c s="3">
        <v>134786</v>
      </c>
      <c s="3">
        <v>114000</v>
      </c>
      <c s="3">
        <v>117832</v>
      </c>
      <c>
        <v>0</v>
      </c>
      <c s="3">
        <v>0</v>
      </c>
      <c s="3">
        <v>1863.26</v>
      </c>
      <c s="3">
        <v>134786</v>
      </c>
      <c r="O6005" s="1" t="str">
        <f ca="1">HYPERLINK("https://web.datatree.com/?/property?propertyId=180905851", "https://web.datatree.com/?/property?propertyId=180905851")</f>
        <v>https://web.datatree.com/?/property?propertyId=180905851</v>
      </c>
      <c r="Q6005" t="s">
        <v>316</v>
      </c>
      <c>
        <v>0.072</v>
      </c>
      <c t="s">
        <v>9944</v>
      </c>
      <c t="s">
        <v>50331</v>
      </c>
      <c t="s">
        <v>37956</v>
      </c>
      <c t="s">
        <v>47293</v>
      </c>
      <c t="s">
        <v>37956</v>
      </c>
      <c t="s">
        <v>59183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45810</v>
      </c>
      <c>
        <v>99</v>
      </c>
      <c r="AI6005" t="s">
        <v>32245</v>
      </c>
      <c t="s">
        <v>55842</v>
      </c>
      <c r="AL6005" t="s">
        <v>24494</v>
      </c>
      <c t="s">
        <v>6045</v>
      </c>
      <c t="s">
        <v>66651</v>
      </c>
      <c t="s">
        <v>486</v>
      </c>
      <c t="s">
        <v>60160</v>
      </c>
      <c t="s">
        <v>3093</v>
      </c>
      <c t="s">
        <v>10418</v>
      </c>
    </row>
    <row>
      <c t="s">
        <v>17594</v>
      </c>
      <c t="s">
        <v>24785</v>
      </c>
      <c t="s">
        <v>61728</v>
      </c>
      <c t="s">
        <v>62100</v>
      </c>
      <c t="s">
        <v>46166</v>
      </c>
      <c s="3">
        <v>79725</v>
      </c>
      <c s="3">
        <v>79725</v>
      </c>
      <c s="3">
        <v>79725</v>
      </c>
      <c>
        <v>0</v>
      </c>
      <c s="3">
        <v>0</v>
      </c>
      <c s="3">
        <v>1090.92</v>
      </c>
      <c s="3">
        <v>79725</v>
      </c>
      <c r="O6006" s="1" t="str">
        <f ca="1">HYPERLINK("https://web.datatree.com/?/property?propertyId=180905874", "https://web.datatree.com/?/property?propertyId=180905874")</f>
        <v>https://web.datatree.com/?/property?propertyId=180905874</v>
      </c>
      <c r="Q6006" t="s">
        <v>316</v>
      </c>
      <c>
        <v>0.129</v>
      </c>
      <c t="s">
        <v>45526</v>
      </c>
      <c t="s">
        <v>50331</v>
      </c>
      <c t="s">
        <v>21619</v>
      </c>
      <c t="s">
        <v>57403</v>
      </c>
      <c t="s">
        <v>21619</v>
      </c>
      <c t="s">
        <v>11627</v>
      </c>
      <c t="s">
        <v>29891</v>
      </c>
      <c t="s">
        <v>65059</v>
      </c>
      <c t="s">
        <v>39289</v>
      </c>
      <c>
        <v>33905</v>
      </c>
      <c t="s">
        <v>43083</v>
      </c>
      <c t="s">
        <v>48794</v>
      </c>
      <c t="s">
        <v>43158</v>
      </c>
      <c>
        <v>34</v>
      </c>
      <c r="AI6006" t="s">
        <v>63046</v>
      </c>
      <c t="s">
        <v>45620</v>
      </c>
      <c r="AL6006" t="s">
        <v>3952</v>
      </c>
      <c r="AN6006" t="s">
        <v>64022</v>
      </c>
      <c t="s">
        <v>6550</v>
      </c>
      <c t="s">
        <v>5652</v>
      </c>
      <c t="s">
        <v>3093</v>
      </c>
      <c t="s">
        <v>61882</v>
      </c>
    </row>
    <row>
      <c t="s">
        <v>17594</v>
      </c>
      <c t="s">
        <v>7264</v>
      </c>
      <c t="s">
        <v>59371</v>
      </c>
      <c t="s">
        <v>63323</v>
      </c>
      <c t="s">
        <v>15009</v>
      </c>
      <c s="3">
        <v>88280</v>
      </c>
      <c s="3">
        <v>75000</v>
      </c>
      <c s="3">
        <v>79813</v>
      </c>
      <c>
        <v>0</v>
      </c>
      <c s="3">
        <v>0</v>
      </c>
      <c s="3">
        <v>1246.88</v>
      </c>
      <c s="3">
        <v>88280</v>
      </c>
      <c r="O6007" s="1" t="str">
        <f ca="1">HYPERLINK("https://web.datatree.com/?/property?propertyId=180905941", "https://web.datatree.com/?/property?propertyId=180905941")</f>
        <v>https://web.datatree.com/?/property?propertyId=180905941</v>
      </c>
      <c r="Q6007" t="s">
        <v>316</v>
      </c>
      <c>
        <v>0.072</v>
      </c>
      <c t="s">
        <v>9944</v>
      </c>
      <c t="s">
        <v>50331</v>
      </c>
      <c t="s">
        <v>48923</v>
      </c>
      <c t="s">
        <v>53440</v>
      </c>
      <c t="s">
        <v>48923</v>
      </c>
      <c t="s">
        <v>64041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27643</v>
      </c>
      <c>
        <v>4311</v>
      </c>
      <c r="AI6007" t="s">
        <v>42619</v>
      </c>
      <c t="s">
        <v>40123</v>
      </c>
      <c r="AL6007" t="s">
        <v>43328</v>
      </c>
      <c t="s">
        <v>40227</v>
      </c>
      <c t="s">
        <v>22275</v>
      </c>
      <c t="s">
        <v>9728</v>
      </c>
      <c t="s">
        <v>5652</v>
      </c>
      <c t="s">
        <v>3093</v>
      </c>
      <c t="s">
        <v>25787</v>
      </c>
    </row>
    <row>
      <c t="s">
        <v>17594</v>
      </c>
      <c t="s">
        <v>45187</v>
      </c>
      <c t="s">
        <v>56175</v>
      </c>
      <c t="s">
        <v>16526</v>
      </c>
      <c t="s">
        <v>39297</v>
      </c>
      <c s="3">
        <v>86358</v>
      </c>
      <c s="3">
        <v>77184</v>
      </c>
      <c s="3">
        <v>77653</v>
      </c>
      <c>
        <v>0</v>
      </c>
      <c s="3">
        <v>0</v>
      </c>
      <c s="3">
        <v>1215.86</v>
      </c>
      <c s="3">
        <v>86358</v>
      </c>
      <c r="O6008" s="1" t="str">
        <f ca="1">HYPERLINK("https://web.datatree.com/?/property?propertyId=180906088", "https://web.datatree.com/?/property?propertyId=180906088")</f>
        <v>https://web.datatree.com/?/property?propertyId=180906088</v>
      </c>
      <c r="Q6008" t="s">
        <v>316</v>
      </c>
      <c>
        <v>0.098</v>
      </c>
      <c t="s">
        <v>9944</v>
      </c>
      <c t="s">
        <v>54943</v>
      </c>
      <c t="s">
        <v>50956</v>
      </c>
      <c t="s">
        <v>13419</v>
      </c>
      <c t="s">
        <v>50956</v>
      </c>
      <c t="s">
        <v>11299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45115</v>
      </c>
      <c>
        <v>149</v>
      </c>
      <c r="AI6008" t="s">
        <v>57394</v>
      </c>
      <c t="s">
        <v>41372</v>
      </c>
      <c r="AL6008" t="s">
        <v>33025</v>
      </c>
      <c t="s">
        <v>40227</v>
      </c>
      <c t="s">
        <v>5982</v>
      </c>
      <c t="s">
        <v>49497</v>
      </c>
      <c t="s">
        <v>22455</v>
      </c>
      <c t="s">
        <v>3093</v>
      </c>
      <c t="s">
        <v>49386</v>
      </c>
    </row>
    <row>
      <c t="s">
        <v>17594</v>
      </c>
      <c t="s">
        <v>8396</v>
      </c>
      <c t="s">
        <v>38771</v>
      </c>
      <c t="s">
        <v>40913</v>
      </c>
      <c t="s">
        <v>9266</v>
      </c>
      <c s="3">
        <v>99415</v>
      </c>
      <c s="3">
        <v>99415</v>
      </c>
      <c s="3">
        <v>99415</v>
      </c>
      <c>
        <v>0</v>
      </c>
      <c s="3">
        <v>0</v>
      </c>
      <c s="3">
        <v>1356.18</v>
      </c>
      <c s="3">
        <v>99415</v>
      </c>
      <c r="O6009" s="1" t="str">
        <f ca="1">HYPERLINK("https://web.datatree.com/?/property?propertyId=180906164", "https://web.datatree.com/?/property?propertyId=180906164")</f>
        <v>https://web.datatree.com/?/property?propertyId=180906164</v>
      </c>
      <c r="Q6009" t="s">
        <v>316</v>
      </c>
      <c>
        <v>0.112</v>
      </c>
      <c t="s">
        <v>45526</v>
      </c>
      <c t="s">
        <v>3293</v>
      </c>
      <c t="s">
        <v>66378</v>
      </c>
      <c t="s">
        <v>11223</v>
      </c>
      <c t="s">
        <v>32123</v>
      </c>
      <c t="s">
        <v>27320</v>
      </c>
      <c t="s">
        <v>15418</v>
      </c>
      <c t="s">
        <v>65059</v>
      </c>
      <c t="s">
        <v>39289</v>
      </c>
      <c>
        <v>33905</v>
      </c>
      <c t="s">
        <v>3211</v>
      </c>
      <c t="s">
        <v>48794</v>
      </c>
      <c t="s">
        <v>1723</v>
      </c>
      <c t="s">
        <v>4857</v>
      </c>
      <c r="AI6009" t="s">
        <v>54322</v>
      </c>
      <c r="AL6009" t="s">
        <v>16124</v>
      </c>
      <c r="AN6009" t="s">
        <v>27481</v>
      </c>
      <c t="s">
        <v>54150</v>
      </c>
      <c t="s">
        <v>22455</v>
      </c>
      <c t="s">
        <v>3093</v>
      </c>
      <c t="s">
        <v>44004</v>
      </c>
    </row>
    <row>
      <c t="s">
        <v>17594</v>
      </c>
      <c t="s">
        <v>22734</v>
      </c>
      <c t="s">
        <v>19989</v>
      </c>
      <c t="s">
        <v>16490</v>
      </c>
      <c t="s">
        <v>22774</v>
      </c>
      <c s="3">
        <v>87075</v>
      </c>
      <c s="3">
        <v>75000</v>
      </c>
      <c s="3">
        <v>77447</v>
      </c>
      <c>
        <v>0</v>
      </c>
      <c s="3">
        <v>0</v>
      </c>
      <c s="3">
        <v>1217.9</v>
      </c>
      <c s="3">
        <v>87075</v>
      </c>
      <c r="O6010" s="1" t="str">
        <f ca="1">HYPERLINK("https://web.datatree.com/?/property?propertyId=180906362", "https://web.datatree.com/?/property?propertyId=180906362")</f>
        <v>https://web.datatree.com/?/property?propertyId=180906362</v>
      </c>
      <c r="Q6010" t="s">
        <v>316</v>
      </c>
      <c>
        <v>0.072</v>
      </c>
      <c t="s">
        <v>9944</v>
      </c>
      <c t="s">
        <v>62125</v>
      </c>
      <c t="s">
        <v>19249</v>
      </c>
      <c t="s">
        <v>3217</v>
      </c>
      <c t="s">
        <v>19249</v>
      </c>
      <c t="s">
        <v>59686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6976</v>
      </c>
      <c>
        <v>58</v>
      </c>
      <c r="AI6010" t="s">
        <v>15650</v>
      </c>
      <c t="s">
        <v>4151</v>
      </c>
      <c r="AL6010" t="s">
        <v>2578</v>
      </c>
      <c t="s">
        <v>40227</v>
      </c>
      <c t="s">
        <v>57326</v>
      </c>
      <c t="s">
        <v>59087</v>
      </c>
      <c r="AQ6010" t="s">
        <v>27814</v>
      </c>
      <c t="s">
        <v>10593</v>
      </c>
    </row>
    <row>
      <c t="s">
        <v>42103</v>
      </c>
      <c t="s">
        <v>54713</v>
      </c>
      <c t="s">
        <v>1825</v>
      </c>
      <c t="s">
        <v>19724</v>
      </c>
      <c t="s">
        <v>13370</v>
      </c>
      <c s="3">
        <v>88199</v>
      </c>
      <c s="3">
        <v>75000</v>
      </c>
      <c s="3">
        <v>88199</v>
      </c>
      <c>
        <v>0</v>
      </c>
      <c s="3">
        <v>0</v>
      </c>
      <c s="3">
        <v>1325.38</v>
      </c>
      <c s="3">
        <v>88199</v>
      </c>
      <c r="O6011" s="1" t="str">
        <f ca="1">HYPERLINK("https://web.datatree.com/?/property?propertyId=180906677", "https://web.datatree.com/?/property?propertyId=180906677")</f>
        <v>https://web.datatree.com/?/property?propertyId=180906677</v>
      </c>
      <c r="Q6011" t="s">
        <v>316</v>
      </c>
      <c>
        <v>0.082</v>
      </c>
      <c t="s">
        <v>9944</v>
      </c>
      <c t="s">
        <v>35571</v>
      </c>
      <c t="s">
        <v>43757</v>
      </c>
      <c t="s">
        <v>47119</v>
      </c>
      <c t="s">
        <v>43757</v>
      </c>
      <c t="s">
        <v>40567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34232</v>
      </c>
      <c r="AI6011" t="s">
        <v>46885</v>
      </c>
      <c r="AL6011" t="s">
        <v>32381</v>
      </c>
      <c t="s">
        <v>19725</v>
      </c>
      <c t="s">
        <v>39289</v>
      </c>
      <c>
        <v>33951</v>
      </c>
      <c t="s">
        <v>39363</v>
      </c>
      <c t="s">
        <v>3093</v>
      </c>
      <c t="s">
        <v>30057</v>
      </c>
    </row>
    <row>
      <c t="s">
        <v>17594</v>
      </c>
      <c t="s">
        <v>47025</v>
      </c>
      <c t="s">
        <v>43692</v>
      </c>
      <c t="s">
        <v>18467</v>
      </c>
      <c t="s">
        <v>35431</v>
      </c>
      <c s="3">
        <v>87172</v>
      </c>
      <c s="3">
        <v>77943</v>
      </c>
      <c s="3">
        <v>79329</v>
      </c>
      <c>
        <v>0</v>
      </c>
      <c s="3">
        <v>0</v>
      </c>
      <c s="3">
        <v>1236.16</v>
      </c>
      <c s="3">
        <v>87172</v>
      </c>
      <c r="O6012" s="1" t="str">
        <f ca="1">HYPERLINK("https://web.datatree.com/?/property?propertyId=180906924", "https://web.datatree.com/?/property?propertyId=180906924")</f>
        <v>https://web.datatree.com/?/property?propertyId=180906924</v>
      </c>
      <c r="Q6012" t="s">
        <v>316</v>
      </c>
      <c>
        <v>0.072</v>
      </c>
      <c t="s">
        <v>9944</v>
      </c>
      <c t="s">
        <v>34140</v>
      </c>
      <c t="s">
        <v>46201</v>
      </c>
      <c t="s">
        <v>67028</v>
      </c>
      <c t="s">
        <v>46201</v>
      </c>
      <c t="s">
        <v>16109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3996</v>
      </c>
      <c>
        <v>371</v>
      </c>
      <c r="AI6012" t="s">
        <v>30882</v>
      </c>
      <c t="s">
        <v>31192</v>
      </c>
      <c r="AL6012" t="s">
        <v>6270</v>
      </c>
      <c t="s">
        <v>40227</v>
      </c>
      <c t="s">
        <v>58733</v>
      </c>
      <c t="s">
        <v>9818</v>
      </c>
      <c t="s">
        <v>60160</v>
      </c>
      <c t="s">
        <v>3093</v>
      </c>
      <c t="s">
        <v>50262</v>
      </c>
    </row>
    <row>
      <c t="s">
        <v>17594</v>
      </c>
      <c t="s">
        <v>57924</v>
      </c>
      <c t="s">
        <v>66665</v>
      </c>
      <c t="s">
        <v>4135</v>
      </c>
      <c t="s">
        <v>41097</v>
      </c>
      <c s="3">
        <v>123067</v>
      </c>
      <c s="3">
        <v>114000</v>
      </c>
      <c s="3">
        <v>101047</v>
      </c>
      <c>
        <v>0</v>
      </c>
      <c s="3">
        <v>0</v>
      </c>
      <c s="3">
        <v>1640.09</v>
      </c>
      <c s="3">
        <v>123067</v>
      </c>
      <c r="O6013" s="1" t="str">
        <f ca="1">HYPERLINK("https://web.datatree.com/?/property?propertyId=180907470", "https://web.datatree.com/?/property?propertyId=180907470")</f>
        <v>https://web.datatree.com/?/property?propertyId=180907470</v>
      </c>
      <c r="Q6013" t="s">
        <v>316</v>
      </c>
      <c>
        <v>0.072</v>
      </c>
      <c t="s">
        <v>9944</v>
      </c>
      <c t="s">
        <v>3115</v>
      </c>
      <c t="s">
        <v>41883</v>
      </c>
      <c t="s">
        <v>51968</v>
      </c>
      <c t="s">
        <v>60170</v>
      </c>
      <c t="s">
        <v>64085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10795</v>
      </c>
      <c>
        <v>5282</v>
      </c>
      <c r="AH6013" t="s">
        <v>63047</v>
      </c>
      <c t="s">
        <v>31130</v>
      </c>
      <c t="s">
        <v>31192</v>
      </c>
      <c r="AL6013" t="s">
        <v>26604</v>
      </c>
      <c t="s">
        <v>40227</v>
      </c>
      <c t="s">
        <v>51137</v>
      </c>
      <c t="s">
        <v>29079</v>
      </c>
      <c t="s">
        <v>14695</v>
      </c>
      <c t="s">
        <v>3093</v>
      </c>
      <c t="s">
        <v>4720</v>
      </c>
    </row>
    <row>
      <c t="s">
        <v>17594</v>
      </c>
      <c t="s">
        <v>29723</v>
      </c>
      <c t="s">
        <v>64759</v>
      </c>
      <c t="s">
        <v>42374</v>
      </c>
      <c t="s">
        <v>23650</v>
      </c>
      <c s="3">
        <v>84229</v>
      </c>
      <c s="3">
        <v>75000</v>
      </c>
      <c s="3">
        <v>82986</v>
      </c>
      <c>
        <v>0</v>
      </c>
      <c s="3">
        <v>0</v>
      </c>
      <c s="3">
        <v>1254.24</v>
      </c>
      <c s="3">
        <v>84229</v>
      </c>
      <c r="O6014" s="1" t="str">
        <f ca="1">HYPERLINK("https://web.datatree.com/?/property?propertyId=180907729", "https://web.datatree.com/?/property?propertyId=180907729")</f>
        <v>https://web.datatree.com/?/property?propertyId=180907729</v>
      </c>
      <c r="Q6014" t="s">
        <v>316</v>
      </c>
      <c>
        <v>0.072</v>
      </c>
      <c t="s">
        <v>9944</v>
      </c>
      <c t="s">
        <v>47977</v>
      </c>
      <c t="s">
        <v>66245</v>
      </c>
      <c t="s">
        <v>58380</v>
      </c>
      <c t="s">
        <v>66245</v>
      </c>
      <c t="s">
        <v>50156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38901</v>
      </c>
      <c>
        <v>16178</v>
      </c>
      <c r="AI6014" t="s">
        <v>13997</v>
      </c>
      <c t="s">
        <v>55842</v>
      </c>
      <c r="AL6014" t="s">
        <v>43082</v>
      </c>
      <c t="s">
        <v>43082</v>
      </c>
      <c t="s">
        <v>49572</v>
      </c>
      <c>
        <v>46074</v>
      </c>
      <c t="s">
        <v>41776</v>
      </c>
      <c t="s">
        <v>3093</v>
      </c>
      <c t="s">
        <v>51951</v>
      </c>
    </row>
    <row>
      <c t="s">
        <v>17594</v>
      </c>
      <c t="s">
        <v>10249</v>
      </c>
      <c t="s">
        <v>29021</v>
      </c>
      <c t="s">
        <v>4210</v>
      </c>
      <c t="s">
        <v>37368</v>
      </c>
      <c s="3">
        <v>26250</v>
      </c>
      <c s="3">
        <v>26250</v>
      </c>
      <c s="3">
        <v>18975</v>
      </c>
      <c>
        <v>0</v>
      </c>
      <c s="3">
        <v>0</v>
      </c>
      <c s="3">
        <v>469.74</v>
      </c>
      <c s="3">
        <v>26250</v>
      </c>
      <c r="O6015" s="1" t="str">
        <f ca="1">HYPERLINK("https://web.datatree.com/?/property?propertyId=180907736", "https://web.datatree.com/?/property?propertyId=180907736")</f>
        <v>https://web.datatree.com/?/property?propertyId=180907736</v>
      </c>
      <c r="Q6015" t="s">
        <v>316</v>
      </c>
      <c>
        <v>0.253</v>
      </c>
      <c t="s">
        <v>5471</v>
      </c>
      <c t="s">
        <v>36133</v>
      </c>
      <c t="s">
        <v>54785</v>
      </c>
      <c r="X6015" t="s">
        <v>63926</v>
      </c>
      <c t="s">
        <v>4408</v>
      </c>
      <c t="s">
        <v>65059</v>
      </c>
      <c t="s">
        <v>39289</v>
      </c>
      <c>
        <v>33905</v>
      </c>
      <c t="s">
        <v>25973</v>
      </c>
      <c t="s">
        <v>48794</v>
      </c>
      <c t="s">
        <v>10690</v>
      </c>
      <c>
        <v>21384</v>
      </c>
      <c r="AI6015" t="s">
        <v>45339</v>
      </c>
      <c t="s">
        <v>40123</v>
      </c>
      <c r="AL6015" t="s">
        <v>63266</v>
      </c>
      <c r="AN6015" t="s">
        <v>19878</v>
      </c>
      <c t="s">
        <v>66294</v>
      </c>
      <c t="s">
        <v>14695</v>
      </c>
      <c t="s">
        <v>3093</v>
      </c>
      <c t="s">
        <v>6405</v>
      </c>
    </row>
    <row>
      <c t="s">
        <v>17594</v>
      </c>
      <c t="s">
        <v>5599</v>
      </c>
      <c t="s">
        <v>4315</v>
      </c>
      <c t="s">
        <v>37842</v>
      </c>
      <c t="s">
        <v>11936</v>
      </c>
      <c s="3">
        <v>84067</v>
      </c>
      <c s="3">
        <v>75000</v>
      </c>
      <c s="3">
        <v>84067</v>
      </c>
      <c>
        <v>0</v>
      </c>
      <c s="3">
        <v>0</v>
      </c>
      <c s="3">
        <v>1263.53</v>
      </c>
      <c s="3">
        <v>84067</v>
      </c>
      <c r="O6016" s="1" t="str">
        <f ca="1">HYPERLINK("https://web.datatree.com/?/property?propertyId=180908154", "https://web.datatree.com/?/property?propertyId=180908154")</f>
        <v>https://web.datatree.com/?/property?propertyId=180908154</v>
      </c>
      <c r="Q6016" t="s">
        <v>316</v>
      </c>
      <c>
        <v>0.078</v>
      </c>
      <c t="s">
        <v>9944</v>
      </c>
      <c t="s">
        <v>24409</v>
      </c>
      <c t="s">
        <v>49240</v>
      </c>
      <c t="s">
        <v>23659</v>
      </c>
      <c t="s">
        <v>49240</v>
      </c>
      <c t="s">
        <v>30852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45885</v>
      </c>
      <c>
        <v>7925</v>
      </c>
      <c r="AI6016" t="s">
        <v>23914</v>
      </c>
      <c t="s">
        <v>1289</v>
      </c>
      <c r="AL6016" t="s">
        <v>9397</v>
      </c>
      <c t="s">
        <v>40227</v>
      </c>
      <c t="s">
        <v>32657</v>
      </c>
      <c t="s">
        <v>37337</v>
      </c>
      <c t="s">
        <v>45700</v>
      </c>
      <c t="s">
        <v>3093</v>
      </c>
      <c t="s">
        <v>22016</v>
      </c>
    </row>
    <row>
      <c t="s">
        <v>17594</v>
      </c>
      <c t="s">
        <v>47597</v>
      </c>
      <c t="s">
        <v>12154</v>
      </c>
      <c t="s">
        <v>58540</v>
      </c>
      <c t="s">
        <v>19697</v>
      </c>
      <c s="3">
        <v>84118</v>
      </c>
      <c s="3">
        <v>75000</v>
      </c>
      <c s="3">
        <v>84118</v>
      </c>
      <c>
        <v>0</v>
      </c>
      <c s="3">
        <v>0</v>
      </c>
      <c s="3">
        <v>1264.27</v>
      </c>
      <c s="3">
        <v>84118</v>
      </c>
      <c r="O6017" s="1" t="str">
        <f ca="1">HYPERLINK("https://web.datatree.com/?/property?propertyId=180908163", "https://web.datatree.com/?/property?propertyId=180908163")</f>
        <v>https://web.datatree.com/?/property?propertyId=180908163</v>
      </c>
      <c r="Q6017" t="s">
        <v>316</v>
      </c>
      <c>
        <v>0.072</v>
      </c>
      <c t="s">
        <v>9944</v>
      </c>
      <c r="U6017" t="s">
        <v>46359</v>
      </c>
      <c r="W6017" t="s">
        <v>51537</v>
      </c>
      <c t="s">
        <v>61554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61163</v>
      </c>
      <c>
        <v>6063</v>
      </c>
      <c r="AI6017" t="s">
        <v>57911</v>
      </c>
      <c r="AL6017" t="s">
        <v>36703</v>
      </c>
      <c t="s">
        <v>40227</v>
      </c>
      <c t="s">
        <v>51137</v>
      </c>
      <c t="s">
        <v>43512</v>
      </c>
      <c t="s">
        <v>60160</v>
      </c>
      <c t="s">
        <v>3093</v>
      </c>
      <c t="s">
        <v>9973</v>
      </c>
    </row>
    <row>
      <c t="s">
        <v>42103</v>
      </c>
      <c t="s">
        <v>3947</v>
      </c>
      <c t="s">
        <v>11126</v>
      </c>
      <c t="s">
        <v>24570</v>
      </c>
      <c t="s">
        <v>62736</v>
      </c>
      <c s="3">
        <v>10054</v>
      </c>
      <c s="3">
        <v>10054</v>
      </c>
      <c s="3">
        <v>10054</v>
      </c>
      <c>
        <v>0</v>
      </c>
      <c s="3">
        <v>0</v>
      </c>
      <c s="3">
        <v>140.33</v>
      </c>
      <c s="3">
        <v>10054</v>
      </c>
      <c r="O6018" s="1" t="str">
        <f ca="1">HYPERLINK("https://web.datatree.com/?/property?propertyId=180908176", "https://web.datatree.com/?/property?propertyId=180908176")</f>
        <v>https://web.datatree.com/?/property?propertyId=180908176</v>
      </c>
      <c r="Q6018" t="s">
        <v>316</v>
      </c>
      <c>
        <v>0.028</v>
      </c>
      <c t="s">
        <v>9944</v>
      </c>
      <c t="s">
        <v>51001</v>
      </c>
      <c t="s">
        <v>49998</v>
      </c>
      <c t="s">
        <v>56743</v>
      </c>
      <c t="s">
        <v>49998</v>
      </c>
      <c t="s">
        <v>38478</v>
      </c>
      <c t="s">
        <v>34731</v>
      </c>
      <c t="s">
        <v>65059</v>
      </c>
      <c t="s">
        <v>39289</v>
      </c>
      <c>
        <v>33905</v>
      </c>
      <c t="s">
        <v>49666</v>
      </c>
      <c t="s">
        <v>48794</v>
      </c>
      <c t="s">
        <v>60236</v>
      </c>
      <c r="AI6018" t="s">
        <v>19920</v>
      </c>
      <c r="AL6018" t="s">
        <v>7466</v>
      </c>
      <c t="s">
        <v>7466</v>
      </c>
      <c t="s">
        <v>50917</v>
      </c>
      <c>
        <v>12442</v>
      </c>
      <c t="s">
        <v>31451</v>
      </c>
      <c t="s">
        <v>3093</v>
      </c>
      <c t="s">
        <v>66337</v>
      </c>
    </row>
    <row>
      <c t="s">
        <v>17594</v>
      </c>
      <c t="s">
        <v>13076</v>
      </c>
      <c t="s">
        <v>33207</v>
      </c>
      <c t="s">
        <v>39134</v>
      </c>
      <c t="s">
        <v>57277</v>
      </c>
      <c s="3">
        <v>93514</v>
      </c>
      <c s="3">
        <v>77540</v>
      </c>
      <c s="3">
        <v>86721</v>
      </c>
      <c>
        <v>0</v>
      </c>
      <c s="3">
        <v>0</v>
      </c>
      <c s="3">
        <v>1341.01</v>
      </c>
      <c s="3">
        <v>93514</v>
      </c>
      <c r="O6019" s="1" t="str">
        <f ca="1">HYPERLINK("https://web.datatree.com/?/property?propertyId=180908439", "https://web.datatree.com/?/property?propertyId=180908439")</f>
        <v>https://web.datatree.com/?/property?propertyId=180908439</v>
      </c>
      <c r="Q6019" t="s">
        <v>316</v>
      </c>
      <c>
        <v>0.083</v>
      </c>
      <c t="s">
        <v>9944</v>
      </c>
      <c t="s">
        <v>50331</v>
      </c>
      <c t="s">
        <v>4430</v>
      </c>
      <c t="s">
        <v>42532</v>
      </c>
      <c t="s">
        <v>4430</v>
      </c>
      <c t="s">
        <v>16041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9021</v>
      </c>
      <c>
        <v>406</v>
      </c>
      <c r="AI6019" t="s">
        <v>54853</v>
      </c>
      <c t="s">
        <v>45620</v>
      </c>
      <c r="AL6019" t="s">
        <v>26957</v>
      </c>
      <c t="s">
        <v>40227</v>
      </c>
      <c t="s">
        <v>36633</v>
      </c>
      <c t="s">
        <v>19983</v>
      </c>
      <c t="s">
        <v>14695</v>
      </c>
      <c t="s">
        <v>3093</v>
      </c>
      <c t="s">
        <v>38637</v>
      </c>
    </row>
    <row>
      <c t="s">
        <v>17594</v>
      </c>
      <c t="s">
        <v>45003</v>
      </c>
      <c t="s">
        <v>16006</v>
      </c>
      <c t="s">
        <v>19888</v>
      </c>
      <c t="s">
        <v>53958</v>
      </c>
      <c s="3">
        <v>125607</v>
      </c>
      <c s="3">
        <v>116540</v>
      </c>
      <c s="3">
        <v>105150</v>
      </c>
      <c>
        <v>0</v>
      </c>
      <c s="3">
        <v>0</v>
      </c>
      <c s="3">
        <v>1692.84</v>
      </c>
      <c s="3">
        <v>125607</v>
      </c>
      <c r="O6020" s="1" t="str">
        <f ca="1">HYPERLINK("https://web.datatree.com/?/property?propertyId=180908542", "https://web.datatree.com/?/property?propertyId=180908542")</f>
        <v>https://web.datatree.com/?/property?propertyId=180908542</v>
      </c>
      <c r="Q6020" t="s">
        <v>316</v>
      </c>
      <c>
        <v>0.072</v>
      </c>
      <c t="s">
        <v>9944</v>
      </c>
      <c t="s">
        <v>552</v>
      </c>
      <c t="s">
        <v>38774</v>
      </c>
      <c t="s">
        <v>35872</v>
      </c>
      <c t="s">
        <v>38774</v>
      </c>
      <c t="s">
        <v>62762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50959</v>
      </c>
      <c>
        <v>646</v>
      </c>
      <c r="AI6020" t="s">
        <v>26732</v>
      </c>
      <c t="s">
        <v>1671</v>
      </c>
      <c r="AL6020" t="s">
        <v>40377</v>
      </c>
      <c t="s">
        <v>40227</v>
      </c>
      <c t="s">
        <v>10804</v>
      </c>
      <c t="s">
        <v>34911</v>
      </c>
      <c t="s">
        <v>14695</v>
      </c>
      <c t="s">
        <v>3093</v>
      </c>
      <c t="s">
        <v>27454</v>
      </c>
    </row>
    <row>
      <c t="s">
        <v>17594</v>
      </c>
      <c t="s">
        <v>39441</v>
      </c>
      <c t="s">
        <v>63976</v>
      </c>
      <c t="s">
        <v>12440</v>
      </c>
      <c t="s">
        <v>8135</v>
      </c>
      <c s="3">
        <v>86034</v>
      </c>
      <c s="3">
        <v>75000</v>
      </c>
      <c s="3">
        <v>77211</v>
      </c>
      <c>
        <v>0</v>
      </c>
      <c s="3">
        <v>0</v>
      </c>
      <c s="3">
        <v>1209.89</v>
      </c>
      <c s="3">
        <v>86034</v>
      </c>
      <c r="O6021" s="1" t="str">
        <f ca="1">HYPERLINK("https://web.datatree.com/?/property?propertyId=181697080", "https://web.datatree.com/?/property?propertyId=181697080")</f>
        <v>https://web.datatree.com/?/property?propertyId=181697080</v>
      </c>
      <c r="Q6021" t="s">
        <v>316</v>
      </c>
      <c>
        <v>0.072</v>
      </c>
      <c t="s">
        <v>9944</v>
      </c>
      <c r="U6021" t="s">
        <v>51573</v>
      </c>
      <c t="s">
        <v>19357</v>
      </c>
      <c t="s">
        <v>51953</v>
      </c>
      <c t="s">
        <v>21182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14648</v>
      </c>
      <c>
        <v>71275</v>
      </c>
      <c r="AI6021" t="s">
        <v>15507</v>
      </c>
      <c t="s">
        <v>11725</v>
      </c>
      <c r="AL6021" t="s">
        <v>30742</v>
      </c>
      <c t="s">
        <v>40227</v>
      </c>
      <c t="s">
        <v>51137</v>
      </c>
      <c>
        <v>49130</v>
      </c>
      <c r="AQ6021" t="s">
        <v>3093</v>
      </c>
      <c t="s">
        <v>61326</v>
      </c>
    </row>
    <row>
      <c t="s">
        <v>17594</v>
      </c>
      <c t="s">
        <v>44803</v>
      </c>
      <c t="s">
        <v>54827</v>
      </c>
      <c t="s">
        <v>62910</v>
      </c>
      <c t="s">
        <v>17050</v>
      </c>
      <c s="3">
        <v>86843</v>
      </c>
      <c s="3">
        <v>80040</v>
      </c>
      <c s="3">
        <v>73657</v>
      </c>
      <c>
        <v>0</v>
      </c>
      <c s="3">
        <v>0</v>
      </c>
      <c s="3">
        <v>1152.92</v>
      </c>
      <c s="3">
        <v>86843</v>
      </c>
      <c r="O6022" s="1" t="str">
        <f ca="1">HYPERLINK("https://web.datatree.com/?/property?propertyId=181709810", "https://web.datatree.com/?/property?propertyId=181709810")</f>
        <v>https://web.datatree.com/?/property?propertyId=181709810</v>
      </c>
      <c r="Q6022" t="s">
        <v>316</v>
      </c>
      <c>
        <v>0.072</v>
      </c>
      <c t="s">
        <v>9944</v>
      </c>
      <c t="s">
        <v>37590</v>
      </c>
      <c t="s">
        <v>5267</v>
      </c>
      <c r="X6022" t="s">
        <v>49510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36142</v>
      </c>
      <c>
        <v>106</v>
      </c>
      <c r="AI6022" t="s">
        <v>64887</v>
      </c>
      <c t="s">
        <v>24900</v>
      </c>
      <c>
        <v>133</v>
      </c>
      <c t="s">
        <v>42558</v>
      </c>
      <c t="s">
        <v>40227</v>
      </c>
      <c t="s">
        <v>19878</v>
      </c>
      <c t="s">
        <v>29318</v>
      </c>
      <c t="s">
        <v>62830</v>
      </c>
      <c t="s">
        <v>3093</v>
      </c>
      <c t="s">
        <v>24918</v>
      </c>
    </row>
    <row>
      <c t="s">
        <v>17594</v>
      </c>
      <c t="s">
        <v>25579</v>
      </c>
      <c t="s">
        <v>42944</v>
      </c>
      <c t="s">
        <v>37328</v>
      </c>
      <c t="s">
        <v>40964</v>
      </c>
      <c s="3">
        <v>102092</v>
      </c>
      <c s="3">
        <v>88044</v>
      </c>
      <c s="3">
        <v>88342</v>
      </c>
      <c>
        <v>0</v>
      </c>
      <c s="3">
        <v>0</v>
      </c>
      <c s="3">
        <v>1331.43</v>
      </c>
      <c s="3">
        <v>102092</v>
      </c>
      <c r="O6023" s="1" t="str">
        <f ca="1">HYPERLINK("https://web.datatree.com/?/property?propertyId=181792877", "https://web.datatree.com/?/property?propertyId=181792877")</f>
        <v>https://web.datatree.com/?/property?propertyId=181792877</v>
      </c>
      <c r="Q6023" t="s">
        <v>316</v>
      </c>
      <c>
        <v>0.072</v>
      </c>
      <c t="s">
        <v>9944</v>
      </c>
      <c t="s">
        <v>12282</v>
      </c>
      <c t="s">
        <v>25503</v>
      </c>
      <c r="X6023" t="s">
        <v>25418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47428</v>
      </c>
      <c>
        <v>2017</v>
      </c>
      <c r="AI6023" t="s">
        <v>26384</v>
      </c>
      <c t="s">
        <v>4985</v>
      </c>
      <c r="AL6023" t="s">
        <v>26384</v>
      </c>
      <c t="s">
        <v>26384</v>
      </c>
      <c t="s">
        <v>65451</v>
      </c>
      <c t="s">
        <v>17657</v>
      </c>
      <c t="s">
        <v>4797</v>
      </c>
      <c t="s">
        <v>3093</v>
      </c>
      <c t="s">
        <v>52614</v>
      </c>
    </row>
    <row>
      <c t="s">
        <v>17594</v>
      </c>
      <c t="s">
        <v>15993</v>
      </c>
      <c t="s">
        <v>421</v>
      </c>
      <c t="s">
        <v>35414</v>
      </c>
      <c t="s">
        <v>1549</v>
      </c>
      <c s="3">
        <v>88744</v>
      </c>
      <c s="3">
        <v>75000</v>
      </c>
      <c s="3">
        <v>81406</v>
      </c>
      <c>
        <v>0</v>
      </c>
      <c s="3">
        <v>0</v>
      </c>
      <c s="3">
        <v>1264.43</v>
      </c>
      <c s="3">
        <v>88744</v>
      </c>
      <c r="O6024" s="1" t="str">
        <f ca="1">HYPERLINK("https://web.datatree.com/?/property?propertyId=181826458", "https://web.datatree.com/?/property?propertyId=181826458")</f>
        <v>https://web.datatree.com/?/property?propertyId=181826458</v>
      </c>
      <c r="Q6024" t="s">
        <v>316</v>
      </c>
      <c>
        <v>0.072</v>
      </c>
      <c t="s">
        <v>9944</v>
      </c>
      <c r="U6024" t="s">
        <v>7387</v>
      </c>
      <c r="W6024" t="s">
        <v>7581</v>
      </c>
      <c t="s">
        <v>30760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15166</v>
      </c>
      <c>
        <v>6890</v>
      </c>
      <c r="AI6024" t="s">
        <v>7791</v>
      </c>
      <c t="s">
        <v>40123</v>
      </c>
      <c r="AL6024" t="s">
        <v>10990</v>
      </c>
      <c t="s">
        <v>40227</v>
      </c>
      <c t="s">
        <v>17134</v>
      </c>
      <c t="s">
        <v>47507</v>
      </c>
      <c t="s">
        <v>48506</v>
      </c>
      <c t="s">
        <v>3093</v>
      </c>
      <c t="s">
        <v>18278</v>
      </c>
    </row>
    <row>
      <c t="s">
        <v>17594</v>
      </c>
      <c t="s">
        <v>38852</v>
      </c>
      <c t="s">
        <v>19205</v>
      </c>
      <c t="s">
        <v>45207</v>
      </c>
      <c t="s">
        <v>13773</v>
      </c>
      <c s="3">
        <v>93777</v>
      </c>
      <c s="3">
        <v>78113</v>
      </c>
      <c s="3">
        <v>93602</v>
      </c>
      <c>
        <v>0</v>
      </c>
      <c s="3">
        <v>0</v>
      </c>
      <c s="3">
        <v>1407.25</v>
      </c>
      <c s="3">
        <v>93777</v>
      </c>
      <c r="O6025" s="1" t="str">
        <f ca="1">HYPERLINK("https://web.datatree.com/?/property?propertyId=182089606", "https://web.datatree.com/?/property?propertyId=182089606")</f>
        <v>https://web.datatree.com/?/property?propertyId=182089606</v>
      </c>
      <c r="Q6025" t="s">
        <v>316</v>
      </c>
      <c>
        <v>0.079</v>
      </c>
      <c t="s">
        <v>9944</v>
      </c>
      <c t="s">
        <v>65985</v>
      </c>
      <c t="s">
        <v>17179</v>
      </c>
      <c t="s">
        <v>51891</v>
      </c>
      <c t="s">
        <v>17179</v>
      </c>
      <c t="s">
        <v>16953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45356</v>
      </c>
      <c>
        <v>5669</v>
      </c>
      <c r="AI6025" t="s">
        <v>9950</v>
      </c>
      <c t="s">
        <v>31192</v>
      </c>
      <c r="AL6025" t="s">
        <v>18557</v>
      </c>
      <c t="s">
        <v>40227</v>
      </c>
      <c t="s">
        <v>19878</v>
      </c>
      <c t="s">
        <v>42823</v>
      </c>
      <c t="s">
        <v>14695</v>
      </c>
      <c t="s">
        <v>3093</v>
      </c>
      <c t="s">
        <v>18845</v>
      </c>
    </row>
    <row>
      <c t="s">
        <v>17594</v>
      </c>
      <c t="s">
        <v>50424</v>
      </c>
      <c t="s">
        <v>6688</v>
      </c>
      <c t="s">
        <v>41364</v>
      </c>
      <c t="s">
        <v>41722</v>
      </c>
      <c s="3">
        <v>85979</v>
      </c>
      <c s="3">
        <v>75000</v>
      </c>
      <c s="3">
        <v>85979</v>
      </c>
      <c>
        <v>0</v>
      </c>
      <c s="3">
        <v>0</v>
      </c>
      <c s="3">
        <v>1292.14</v>
      </c>
      <c s="3">
        <v>85979</v>
      </c>
      <c r="O6026" s="1" t="str">
        <f ca="1">HYPERLINK("https://web.datatree.com/?/property?propertyId=182089607", "https://web.datatree.com/?/property?propertyId=182089607")</f>
        <v>https://web.datatree.com/?/property?propertyId=182089607</v>
      </c>
      <c r="Q6026" t="s">
        <v>316</v>
      </c>
      <c>
        <v>0.078</v>
      </c>
      <c t="s">
        <v>9944</v>
      </c>
      <c t="s">
        <v>25238</v>
      </c>
      <c t="s">
        <v>21802</v>
      </c>
      <c t="s">
        <v>21379</v>
      </c>
      <c t="s">
        <v>21802</v>
      </c>
      <c t="s">
        <v>1109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21961</v>
      </c>
      <c>
        <v>8732</v>
      </c>
      <c r="AI6026" t="s">
        <v>66631</v>
      </c>
      <c t="s">
        <v>31192</v>
      </c>
      <c r="AL6026" t="s">
        <v>1368</v>
      </c>
      <c t="s">
        <v>40227</v>
      </c>
      <c t="s">
        <v>51137</v>
      </c>
      <c t="s">
        <v>32269</v>
      </c>
      <c t="s">
        <v>22152</v>
      </c>
      <c t="s">
        <v>3093</v>
      </c>
      <c t="s">
        <v>52830</v>
      </c>
    </row>
    <row>
      <c t="s">
        <v>17594</v>
      </c>
      <c t="s">
        <v>52391</v>
      </c>
      <c t="s">
        <v>62200</v>
      </c>
      <c t="s">
        <v>4716</v>
      </c>
      <c t="s">
        <v>35161</v>
      </c>
      <c s="3">
        <v>142363</v>
      </c>
      <c s="3">
        <v>106373</v>
      </c>
      <c s="3">
        <v>142363</v>
      </c>
      <c>
        <v>0</v>
      </c>
      <c s="3">
        <v>0</v>
      </c>
      <c s="3">
        <v>2335.83</v>
      </c>
      <c s="3">
        <v>142363</v>
      </c>
      <c r="O6027" s="1" t="str">
        <f ca="1">HYPERLINK("https://web.datatree.com/?/property?propertyId=182114986", "https://web.datatree.com/?/property?propertyId=182114986")</f>
        <v>https://web.datatree.com/?/property?propertyId=182114986</v>
      </c>
      <c r="Q6027" t="s">
        <v>316</v>
      </c>
      <c>
        <v>0.103</v>
      </c>
      <c t="s">
        <v>9944</v>
      </c>
      <c t="s">
        <v>13593</v>
      </c>
      <c t="s">
        <v>3713</v>
      </c>
      <c t="s">
        <v>63182</v>
      </c>
      <c t="s">
        <v>3713</v>
      </c>
      <c t="s">
        <v>34291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65019</v>
      </c>
      <c>
        <v>960</v>
      </c>
      <c r="AI6027" t="s">
        <v>53674</v>
      </c>
      <c t="s">
        <v>45620</v>
      </c>
      <c r="AL6027" t="s">
        <v>25974</v>
      </c>
      <c t="s">
        <v>40227</v>
      </c>
      <c t="s">
        <v>22275</v>
      </c>
      <c t="s">
        <v>43129</v>
      </c>
      <c t="s">
        <v>44428</v>
      </c>
      <c t="s">
        <v>3093</v>
      </c>
      <c t="s">
        <v>63865</v>
      </c>
    </row>
    <row>
      <c t="s">
        <v>17594</v>
      </c>
      <c t="s">
        <v>66781</v>
      </c>
      <c t="s">
        <v>66663</v>
      </c>
      <c t="s">
        <v>24358</v>
      </c>
      <c t="s">
        <v>6099</v>
      </c>
      <c s="3">
        <v>88811</v>
      </c>
      <c s="3">
        <v>79637</v>
      </c>
      <c s="3">
        <v>88811</v>
      </c>
      <c>
        <v>0</v>
      </c>
      <c s="3">
        <v>0</v>
      </c>
      <c s="3">
        <v>1334.54</v>
      </c>
      <c s="3">
        <v>88811</v>
      </c>
      <c r="O6028" s="1" t="str">
        <f ca="1">HYPERLINK("https://web.datatree.com/?/property?propertyId=182447929", "https://web.datatree.com/?/property?propertyId=182447929")</f>
        <v>https://web.datatree.com/?/property?propertyId=182447929</v>
      </c>
      <c r="Q6028" t="s">
        <v>316</v>
      </c>
      <c>
        <v>0.079</v>
      </c>
      <c t="s">
        <v>9944</v>
      </c>
      <c t="s">
        <v>62380</v>
      </c>
      <c t="s">
        <v>65066</v>
      </c>
      <c t="s">
        <v>22450</v>
      </c>
      <c t="s">
        <v>65066</v>
      </c>
      <c t="s">
        <v>10306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54066</v>
      </c>
      <c>
        <v>2074</v>
      </c>
      <c r="AI6028" t="s">
        <v>408</v>
      </c>
      <c t="s">
        <v>40123</v>
      </c>
      <c r="AL6028" t="s">
        <v>8499</v>
      </c>
      <c t="s">
        <v>8499</v>
      </c>
      <c t="s">
        <v>50829</v>
      </c>
      <c t="s">
        <v>44264</v>
      </c>
      <c t="s">
        <v>30106</v>
      </c>
      <c t="s">
        <v>3093</v>
      </c>
      <c t="s">
        <v>35761</v>
      </c>
    </row>
    <row>
      <c t="s">
        <v>17594</v>
      </c>
      <c t="s">
        <v>23572</v>
      </c>
      <c t="s">
        <v>44689</v>
      </c>
      <c t="s">
        <v>19193</v>
      </c>
      <c t="s">
        <v>2801</v>
      </c>
      <c s="3">
        <v>126623</v>
      </c>
      <c s="3">
        <v>117556</v>
      </c>
      <c s="3">
        <v>108757</v>
      </c>
      <c>
        <v>0</v>
      </c>
      <c s="3">
        <v>0</v>
      </c>
      <c s="3">
        <v>1732.47</v>
      </c>
      <c s="3">
        <v>126623</v>
      </c>
      <c r="O6029" s="1" t="str">
        <f ca="1">HYPERLINK("https://web.datatree.com/?/property?propertyId=182627601", "https://web.datatree.com/?/property?propertyId=182627601")</f>
        <v>https://web.datatree.com/?/property?propertyId=182627601</v>
      </c>
      <c r="Q6029" t="s">
        <v>316</v>
      </c>
      <c>
        <v>0.072</v>
      </c>
      <c t="s">
        <v>9944</v>
      </c>
      <c t="s">
        <v>50331</v>
      </c>
      <c t="s">
        <v>1957</v>
      </c>
      <c t="s">
        <v>34805</v>
      </c>
      <c t="s">
        <v>1957</v>
      </c>
      <c t="s">
        <v>56646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40346</v>
      </c>
      <c>
        <v>514</v>
      </c>
      <c r="AI6029" t="s">
        <v>5158</v>
      </c>
      <c t="s">
        <v>835</v>
      </c>
      <c>
        <v>8351</v>
      </c>
      <c t="s">
        <v>54625</v>
      </c>
      <c t="s">
        <v>54625</v>
      </c>
      <c t="s">
        <v>40451</v>
      </c>
      <c t="s">
        <v>28180</v>
      </c>
      <c t="s">
        <v>61280</v>
      </c>
      <c t="s">
        <v>3093</v>
      </c>
      <c t="s">
        <v>25907</v>
      </c>
    </row>
    <row>
      <c t="s">
        <v>17594</v>
      </c>
      <c t="s">
        <v>40211</v>
      </c>
      <c t="s">
        <v>40620</v>
      </c>
      <c t="s">
        <v>6005</v>
      </c>
      <c t="s">
        <v>13127</v>
      </c>
      <c s="3">
        <v>132138</v>
      </c>
      <c s="3">
        <v>116674</v>
      </c>
      <c s="3">
        <v>132138</v>
      </c>
      <c>
        <v>0</v>
      </c>
      <c s="3">
        <v>0</v>
      </c>
      <c s="3">
        <v>1983.23</v>
      </c>
      <c s="3">
        <v>132138</v>
      </c>
      <c r="O6030" s="1" t="str">
        <f ca="1">HYPERLINK("https://web.datatree.com/?/property?propertyId=183015843", "https://web.datatree.com/?/property?propertyId=183015843")</f>
        <v>https://web.datatree.com/?/property?propertyId=183015843</v>
      </c>
      <c r="Q6030" t="s">
        <v>316</v>
      </c>
      <c>
        <v>0.072</v>
      </c>
      <c t="s">
        <v>9944</v>
      </c>
      <c r="U6030" t="s">
        <v>46975</v>
      </c>
      <c r="W6030" t="s">
        <v>31612</v>
      </c>
      <c t="s">
        <v>16320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48275</v>
      </c>
      <c>
        <v>4495</v>
      </c>
      <c r="AI6030" t="s">
        <v>28950</v>
      </c>
      <c r="AL6030" t="s">
        <v>41349</v>
      </c>
      <c t="s">
        <v>40227</v>
      </c>
      <c t="s">
        <v>26304</v>
      </c>
      <c t="s">
        <v>51284</v>
      </c>
      <c t="s">
        <v>14695</v>
      </c>
      <c t="s">
        <v>3093</v>
      </c>
      <c t="s">
        <v>44125</v>
      </c>
    </row>
    <row>
      <c t="s">
        <v>17594</v>
      </c>
      <c t="s">
        <v>61838</v>
      </c>
      <c t="s">
        <v>21364</v>
      </c>
      <c t="s">
        <v>16789</v>
      </c>
      <c t="s">
        <v>260</v>
      </c>
      <c s="3">
        <v>89156</v>
      </c>
      <c s="3">
        <v>75000</v>
      </c>
      <c s="3">
        <v>80759</v>
      </c>
      <c>
        <v>0</v>
      </c>
      <c s="3">
        <v>0</v>
      </c>
      <c s="3">
        <v>1260.66</v>
      </c>
      <c s="3">
        <v>89156</v>
      </c>
      <c r="O6031" s="1" t="str">
        <f ca="1">HYPERLINK("https://web.datatree.com/?/property?propertyId=183434586", "https://web.datatree.com/?/property?propertyId=183434586")</f>
        <v>https://web.datatree.com/?/property?propertyId=183434586</v>
      </c>
      <c r="Q6031" t="s">
        <v>316</v>
      </c>
      <c>
        <v>0.072</v>
      </c>
      <c t="s">
        <v>9944</v>
      </c>
      <c r="U6031" t="s">
        <v>57022</v>
      </c>
      <c t="s">
        <v>2140</v>
      </c>
      <c t="s">
        <v>55646</v>
      </c>
      <c t="s">
        <v>48561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32966</v>
      </c>
      <c>
        <v>152</v>
      </c>
      <c r="AI6031" t="s">
        <v>1198</v>
      </c>
      <c t="s">
        <v>40123</v>
      </c>
      <c r="AL6031" t="s">
        <v>29875</v>
      </c>
      <c t="s">
        <v>29875</v>
      </c>
      <c t="s">
        <v>51087</v>
      </c>
      <c t="s">
        <v>60881</v>
      </c>
      <c t="s">
        <v>17380</v>
      </c>
      <c t="s">
        <v>3093</v>
      </c>
      <c t="s">
        <v>41920</v>
      </c>
    </row>
    <row>
      <c t="s">
        <v>17594</v>
      </c>
      <c t="s">
        <v>16273</v>
      </c>
      <c t="s">
        <v>34571</v>
      </c>
      <c t="s">
        <v>46466</v>
      </c>
      <c t="s">
        <v>59195</v>
      </c>
      <c s="3">
        <v>84284</v>
      </c>
      <c s="3">
        <v>75000</v>
      </c>
      <c s="3">
        <v>75602</v>
      </c>
      <c>
        <v>0</v>
      </c>
      <c s="3">
        <v>0</v>
      </c>
      <c s="3">
        <v>1185.04</v>
      </c>
      <c s="3">
        <v>84284</v>
      </c>
      <c r="O6032" s="1" t="str">
        <f ca="1">HYPERLINK("https://web.datatree.com/?/property?propertyId=183434656", "https://web.datatree.com/?/property?propertyId=183434656")</f>
        <v>https://web.datatree.com/?/property?propertyId=183434656</v>
      </c>
      <c r="Q6032" t="s">
        <v>316</v>
      </c>
      <c>
        <v>0.077</v>
      </c>
      <c t="s">
        <v>9944</v>
      </c>
      <c t="s">
        <v>47977</v>
      </c>
      <c t="s">
        <v>49949</v>
      </c>
      <c t="s">
        <v>47165</v>
      </c>
      <c t="s">
        <v>49949</v>
      </c>
      <c t="s">
        <v>33180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10947</v>
      </c>
      <c>
        <v>32418</v>
      </c>
      <c r="AI6032" t="s">
        <v>44116</v>
      </c>
      <c t="s">
        <v>31192</v>
      </c>
      <c r="AL6032" t="s">
        <v>57737</v>
      </c>
      <c t="s">
        <v>40227</v>
      </c>
      <c t="s">
        <v>50829</v>
      </c>
      <c t="s">
        <v>45971</v>
      </c>
      <c t="s">
        <v>702</v>
      </c>
      <c t="s">
        <v>3093</v>
      </c>
      <c t="s">
        <v>60940</v>
      </c>
    </row>
    <row>
      <c t="s">
        <v>17594</v>
      </c>
      <c t="s">
        <v>56049</v>
      </c>
      <c t="s">
        <v>16174</v>
      </c>
      <c t="s">
        <v>19100</v>
      </c>
      <c t="s">
        <v>29681</v>
      </c>
      <c s="3">
        <v>84697</v>
      </c>
      <c s="3">
        <v>75000</v>
      </c>
      <c s="3">
        <v>75812</v>
      </c>
      <c>
        <v>0</v>
      </c>
      <c s="3">
        <v>0</v>
      </c>
      <c s="3">
        <v>1189.32</v>
      </c>
      <c s="3">
        <v>84697</v>
      </c>
      <c r="O6033" s="1" t="str">
        <f ca="1">HYPERLINK("https://web.datatree.com/?/property?propertyId=183434851", "https://web.datatree.com/?/property?propertyId=183434851")</f>
        <v>https://web.datatree.com/?/property?propertyId=183434851</v>
      </c>
      <c r="Q6033" t="s">
        <v>316</v>
      </c>
      <c>
        <v>0.072</v>
      </c>
      <c t="s">
        <v>9944</v>
      </c>
      <c t="s">
        <v>19112</v>
      </c>
      <c t="s">
        <v>26386</v>
      </c>
      <c t="s">
        <v>15214</v>
      </c>
      <c t="s">
        <v>26386</v>
      </c>
      <c t="s">
        <v>7423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36458</v>
      </c>
      <c>
        <v>2415</v>
      </c>
      <c r="AI6033" t="s">
        <v>366</v>
      </c>
      <c t="s">
        <v>45620</v>
      </c>
      <c r="AL6033" t="s">
        <v>12829</v>
      </c>
      <c t="s">
        <v>40227</v>
      </c>
      <c t="s">
        <v>50917</v>
      </c>
      <c t="s">
        <v>21758</v>
      </c>
      <c t="s">
        <v>53800</v>
      </c>
      <c t="s">
        <v>3093</v>
      </c>
      <c t="s">
        <v>50619</v>
      </c>
    </row>
    <row>
      <c t="s">
        <v>17594</v>
      </c>
      <c t="s">
        <v>7274</v>
      </c>
      <c t="s">
        <v>59616</v>
      </c>
      <c t="s">
        <v>25839</v>
      </c>
      <c t="s">
        <v>10594</v>
      </c>
      <c s="3">
        <v>125980</v>
      </c>
      <c s="3">
        <v>116913</v>
      </c>
      <c s="3">
        <v>104405</v>
      </c>
      <c>
        <v>0</v>
      </c>
      <c s="3">
        <v>0</v>
      </c>
      <c s="3">
        <v>1687.9</v>
      </c>
      <c s="3">
        <v>125980</v>
      </c>
      <c r="O6034" s="1" t="str">
        <f ca="1">HYPERLINK("https://web.datatree.com/?/property?propertyId=183435166", "https://web.datatree.com/?/property?propertyId=183435166")</f>
        <v>https://web.datatree.com/?/property?propertyId=183435166</v>
      </c>
      <c r="Q6034" t="s">
        <v>316</v>
      </c>
      <c>
        <v>0.072</v>
      </c>
      <c t="s">
        <v>9944</v>
      </c>
      <c t="s">
        <v>62125</v>
      </c>
      <c t="s">
        <v>7138</v>
      </c>
      <c t="s">
        <v>15051</v>
      </c>
      <c t="s">
        <v>7138</v>
      </c>
      <c t="s">
        <v>17893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18621</v>
      </c>
      <c>
        <v>704</v>
      </c>
      <c r="AH6034" t="s">
        <v>15376</v>
      </c>
      <c t="s">
        <v>10040</v>
      </c>
      <c t="s">
        <v>45620</v>
      </c>
      <c r="AL6034" t="s">
        <v>4471</v>
      </c>
      <c t="s">
        <v>40227</v>
      </c>
      <c t="s">
        <v>51087</v>
      </c>
      <c t="s">
        <v>29953</v>
      </c>
      <c t="s">
        <v>3364</v>
      </c>
      <c t="s">
        <v>3093</v>
      </c>
      <c t="s">
        <v>11949</v>
      </c>
    </row>
    <row>
      <c t="s">
        <v>42103</v>
      </c>
      <c t="s">
        <v>53271</v>
      </c>
      <c t="s">
        <v>1507</v>
      </c>
      <c t="s">
        <v>27008</v>
      </c>
      <c t="s">
        <v>2271</v>
      </c>
      <c s="3">
        <v>87980</v>
      </c>
      <c s="3">
        <v>78862</v>
      </c>
      <c s="3">
        <v>80060</v>
      </c>
      <c>
        <v>0</v>
      </c>
      <c s="3">
        <v>0</v>
      </c>
      <c s="3">
        <v>1247.53</v>
      </c>
      <c s="3">
        <v>87980</v>
      </c>
      <c r="O6035" s="1" t="str">
        <f ca="1">HYPERLINK("https://web.datatree.com/?/property?propertyId=183435175", "https://web.datatree.com/?/property?propertyId=183435175")</f>
        <v>https://web.datatree.com/?/property?propertyId=183435175</v>
      </c>
      <c r="Q6035" t="s">
        <v>316</v>
      </c>
      <c>
        <v>0.072</v>
      </c>
      <c t="s">
        <v>9944</v>
      </c>
      <c t="s">
        <v>39139</v>
      </c>
      <c t="s">
        <v>49954</v>
      </c>
      <c t="s">
        <v>44058</v>
      </c>
      <c t="s">
        <v>49954</v>
      </c>
      <c t="s">
        <v>24307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45809</v>
      </c>
      <c r="AI6035" t="s">
        <v>12636</v>
      </c>
      <c r="AL6035" t="s">
        <v>41898</v>
      </c>
      <c t="s">
        <v>40227</v>
      </c>
      <c t="s">
        <v>17134</v>
      </c>
      <c>
        <v>45856</v>
      </c>
      <c t="s">
        <v>15796</v>
      </c>
      <c t="s">
        <v>3093</v>
      </c>
      <c t="s">
        <v>15827</v>
      </c>
    </row>
    <row>
      <c t="s">
        <v>17594</v>
      </c>
      <c t="s">
        <v>54174</v>
      </c>
      <c t="s">
        <v>39071</v>
      </c>
      <c t="s">
        <v>66297</v>
      </c>
      <c t="s">
        <v>48091</v>
      </c>
      <c s="3">
        <v>87707</v>
      </c>
      <c s="3">
        <v>78478</v>
      </c>
      <c s="3">
        <v>79864</v>
      </c>
      <c>
        <v>0</v>
      </c>
      <c s="3">
        <v>0</v>
      </c>
      <c s="3">
        <v>1244.17</v>
      </c>
      <c s="3">
        <v>87707</v>
      </c>
      <c r="O6036" s="1" t="str">
        <f ca="1">HYPERLINK("https://web.datatree.com/?/property?propertyId=183435606", "https://web.datatree.com/?/property?propertyId=183435606")</f>
        <v>https://web.datatree.com/?/property?propertyId=183435606</v>
      </c>
      <c r="Q6036" t="s">
        <v>316</v>
      </c>
      <c>
        <v>0.072</v>
      </c>
      <c t="s">
        <v>9944</v>
      </c>
      <c t="s">
        <v>10361</v>
      </c>
      <c t="s">
        <v>40083</v>
      </c>
      <c t="s">
        <v>18485</v>
      </c>
      <c t="s">
        <v>40083</v>
      </c>
      <c t="s">
        <v>36217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44520</v>
      </c>
      <c>
        <v>3259</v>
      </c>
      <c r="AI6036" t="s">
        <v>19383</v>
      </c>
      <c t="s">
        <v>31192</v>
      </c>
      <c r="AL6036" t="s">
        <v>26777</v>
      </c>
      <c t="s">
        <v>40227</v>
      </c>
      <c t="s">
        <v>51137</v>
      </c>
      <c t="s">
        <v>30025</v>
      </c>
      <c t="s">
        <v>1951</v>
      </c>
      <c t="s">
        <v>3093</v>
      </c>
      <c t="s">
        <v>32894</v>
      </c>
    </row>
    <row>
      <c t="s">
        <v>17594</v>
      </c>
      <c t="s">
        <v>14212</v>
      </c>
      <c t="s">
        <v>29299</v>
      </c>
      <c t="s">
        <v>37975</v>
      </c>
      <c t="s">
        <v>42968</v>
      </c>
      <c s="3">
        <v>88411</v>
      </c>
      <c s="3">
        <v>75000</v>
      </c>
      <c s="3">
        <v>79933</v>
      </c>
      <c>
        <v>0</v>
      </c>
      <c s="3">
        <v>0</v>
      </c>
      <c s="3">
        <v>1248.73</v>
      </c>
      <c s="3">
        <v>88411</v>
      </c>
      <c r="O6037" s="1" t="str">
        <f ca="1">HYPERLINK("https://web.datatree.com/?/property?propertyId=183435848", "https://web.datatree.com/?/property?propertyId=183435848")</f>
        <v>https://web.datatree.com/?/property?propertyId=183435848</v>
      </c>
      <c r="Q6037" t="s">
        <v>316</v>
      </c>
      <c>
        <v>0.078</v>
      </c>
      <c t="s">
        <v>9944</v>
      </c>
      <c r="U6037" t="s">
        <v>17035</v>
      </c>
      <c r="W6037" t="s">
        <v>30304</v>
      </c>
      <c t="s">
        <v>17035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26133</v>
      </c>
      <c>
        <v>12611</v>
      </c>
      <c r="AI6037" t="s">
        <v>39236</v>
      </c>
      <c t="s">
        <v>45620</v>
      </c>
      <c r="AL6037" t="s">
        <v>10524</v>
      </c>
      <c t="s">
        <v>40227</v>
      </c>
      <c t="s">
        <v>19878</v>
      </c>
      <c t="s">
        <v>51002</v>
      </c>
      <c t="s">
        <v>22455</v>
      </c>
      <c t="s">
        <v>3093</v>
      </c>
      <c t="s">
        <v>63614</v>
      </c>
    </row>
    <row>
      <c t="s">
        <v>17594</v>
      </c>
      <c t="s">
        <v>30710</v>
      </c>
      <c t="s">
        <v>41638</v>
      </c>
      <c t="s">
        <v>703</v>
      </c>
      <c t="s">
        <v>7531</v>
      </c>
      <c s="3">
        <v>86661</v>
      </c>
      <c s="3">
        <v>77594</v>
      </c>
      <c s="3">
        <v>79180</v>
      </c>
      <c>
        <v>0</v>
      </c>
      <c s="3">
        <v>0</v>
      </c>
      <c s="3">
        <v>1231.93</v>
      </c>
      <c s="3">
        <v>86661</v>
      </c>
      <c r="O6038" s="1" t="str">
        <f ca="1">HYPERLINK("https://web.datatree.com/?/property?propertyId=183436095", "https://web.datatree.com/?/property?propertyId=183436095")</f>
        <v>https://web.datatree.com/?/property?propertyId=183436095</v>
      </c>
      <c r="Q6038" t="s">
        <v>316</v>
      </c>
      <c>
        <v>0.083</v>
      </c>
      <c t="s">
        <v>9944</v>
      </c>
      <c r="U6038" t="s">
        <v>55701</v>
      </c>
      <c t="s">
        <v>28750</v>
      </c>
      <c t="s">
        <v>61768</v>
      </c>
      <c t="s">
        <v>17418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25069</v>
      </c>
      <c>
        <v>952</v>
      </c>
      <c r="AH6038" t="s">
        <v>12549</v>
      </c>
      <c>
        <v>1150</v>
      </c>
      <c r="AL6038" t="s">
        <v>17608</v>
      </c>
      <c t="s">
        <v>40227</v>
      </c>
      <c t="s">
        <v>49572</v>
      </c>
      <c t="s">
        <v>10825</v>
      </c>
      <c t="s">
        <v>65288</v>
      </c>
      <c t="s">
        <v>3093</v>
      </c>
      <c t="s">
        <v>65294</v>
      </c>
    </row>
    <row>
      <c t="s">
        <v>17594</v>
      </c>
      <c t="s">
        <v>63186</v>
      </c>
      <c t="s">
        <v>14707</v>
      </c>
      <c t="s">
        <v>14209</v>
      </c>
      <c t="s">
        <v>44274</v>
      </c>
      <c s="3">
        <v>85495</v>
      </c>
      <c s="3">
        <v>75000</v>
      </c>
      <c s="3">
        <v>76704</v>
      </c>
      <c>
        <v>0</v>
      </c>
      <c s="3">
        <v>0</v>
      </c>
      <c s="3">
        <v>1202.13</v>
      </c>
      <c s="3">
        <v>85495</v>
      </c>
      <c r="O6039" s="1" t="str">
        <f ca="1">HYPERLINK("https://web.datatree.com/?/property?propertyId=183436787", "https://web.datatree.com/?/property?propertyId=183436787")</f>
        <v>https://web.datatree.com/?/property?propertyId=183436787</v>
      </c>
      <c r="Q6039" t="s">
        <v>316</v>
      </c>
      <c>
        <v>0.072</v>
      </c>
      <c t="s">
        <v>9944</v>
      </c>
      <c t="s">
        <v>3293</v>
      </c>
      <c t="s">
        <v>26730</v>
      </c>
      <c t="s">
        <v>1599</v>
      </c>
      <c t="s">
        <v>26730</v>
      </c>
      <c t="s">
        <v>891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32936</v>
      </c>
      <c>
        <v>908</v>
      </c>
      <c r="AI6039" t="s">
        <v>15537</v>
      </c>
      <c t="s">
        <v>45620</v>
      </c>
      <c r="AL6039" t="s">
        <v>6913</v>
      </c>
      <c t="s">
        <v>40227</v>
      </c>
      <c t="s">
        <v>22275</v>
      </c>
      <c t="s">
        <v>2709</v>
      </c>
      <c t="s">
        <v>57513</v>
      </c>
      <c t="s">
        <v>3093</v>
      </c>
      <c t="s">
        <v>16814</v>
      </c>
    </row>
    <row>
      <c t="s">
        <v>17594</v>
      </c>
      <c t="s">
        <v>35563</v>
      </c>
      <c t="s">
        <v>3139</v>
      </c>
      <c t="s">
        <v>39520</v>
      </c>
      <c t="s">
        <v>20614</v>
      </c>
      <c s="3">
        <v>87075</v>
      </c>
      <c s="3">
        <v>77905</v>
      </c>
      <c s="3">
        <v>78445</v>
      </c>
      <c>
        <v>0</v>
      </c>
      <c s="3">
        <v>0</v>
      </c>
      <c s="3">
        <v>1227.31</v>
      </c>
      <c s="3">
        <v>87075</v>
      </c>
      <c r="O6040" s="1" t="str">
        <f ca="1">HYPERLINK("https://web.datatree.com/?/property?propertyId=183437597", "https://web.datatree.com/?/property?propertyId=183437597")</f>
        <v>https://web.datatree.com/?/property?propertyId=183437597</v>
      </c>
      <c r="Q6040" t="s">
        <v>316</v>
      </c>
      <c>
        <v>0.072</v>
      </c>
      <c t="s">
        <v>9944</v>
      </c>
      <c t="s">
        <v>45627</v>
      </c>
      <c t="s">
        <v>44233</v>
      </c>
      <c t="s">
        <v>39768</v>
      </c>
      <c t="s">
        <v>44233</v>
      </c>
      <c t="s">
        <v>54780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54093</v>
      </c>
      <c>
        <v>25053</v>
      </c>
      <c r="AI6040" t="s">
        <v>56151</v>
      </c>
      <c t="s">
        <v>55842</v>
      </c>
      <c r="AL6040" t="s">
        <v>38030</v>
      </c>
      <c t="s">
        <v>40227</v>
      </c>
      <c t="s">
        <v>49572</v>
      </c>
      <c t="s">
        <v>34233</v>
      </c>
      <c t="s">
        <v>14695</v>
      </c>
      <c t="s">
        <v>3093</v>
      </c>
      <c t="s">
        <v>52210</v>
      </c>
    </row>
    <row>
      <c t="s">
        <v>17594</v>
      </c>
      <c t="s">
        <v>65426</v>
      </c>
      <c t="s">
        <v>33552</v>
      </c>
      <c t="s">
        <v>65802</v>
      </c>
      <c t="s">
        <v>34922</v>
      </c>
      <c s="3">
        <v>84229</v>
      </c>
      <c s="3">
        <v>75000</v>
      </c>
      <c s="3">
        <v>75286</v>
      </c>
      <c>
        <v>0</v>
      </c>
      <c s="3">
        <v>0</v>
      </c>
      <c s="3">
        <v>1181.75</v>
      </c>
      <c s="3">
        <v>84229</v>
      </c>
      <c r="O6041" s="1" t="str">
        <f ca="1">HYPERLINK("https://web.datatree.com/?/property?propertyId=183438140", "https://web.datatree.com/?/property?propertyId=183438140")</f>
        <v>https://web.datatree.com/?/property?propertyId=183438140</v>
      </c>
      <c r="Q6041" t="s">
        <v>316</v>
      </c>
      <c>
        <v>0.094</v>
      </c>
      <c t="s">
        <v>9944</v>
      </c>
      <c t="s">
        <v>38164</v>
      </c>
      <c t="s">
        <v>17885</v>
      </c>
      <c t="s">
        <v>18654</v>
      </c>
      <c t="s">
        <v>17885</v>
      </c>
      <c t="s">
        <v>49996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8559</v>
      </c>
      <c>
        <v>93</v>
      </c>
      <c r="AI6041" t="s">
        <v>61980</v>
      </c>
      <c t="s">
        <v>31192</v>
      </c>
      <c r="AL6041" t="s">
        <v>6557</v>
      </c>
      <c t="s">
        <v>40227</v>
      </c>
      <c t="s">
        <v>22275</v>
      </c>
      <c t="s">
        <v>13001</v>
      </c>
      <c t="s">
        <v>14695</v>
      </c>
      <c t="s">
        <v>3093</v>
      </c>
      <c t="s">
        <v>39316</v>
      </c>
    </row>
    <row>
      <c t="s">
        <v>17594</v>
      </c>
      <c t="s">
        <v>20117</v>
      </c>
      <c t="s">
        <v>51066</v>
      </c>
      <c t="s">
        <v>19450</v>
      </c>
      <c t="s">
        <v>55982</v>
      </c>
      <c s="3">
        <v>91049</v>
      </c>
      <c s="3">
        <v>78478</v>
      </c>
      <c s="3">
        <v>83206</v>
      </c>
      <c>
        <v>0</v>
      </c>
      <c s="3">
        <v>0</v>
      </c>
      <c s="3">
        <v>1294.22</v>
      </c>
      <c s="3">
        <v>91049</v>
      </c>
      <c r="O6042" s="1" t="str">
        <f ca="1">HYPERLINK("https://web.datatree.com/?/property?propertyId=183438206", "https://web.datatree.com/?/property?propertyId=183438206")</f>
        <v>https://web.datatree.com/?/property?propertyId=183438206</v>
      </c>
      <c r="Q6042" t="s">
        <v>316</v>
      </c>
      <c>
        <v>0.072</v>
      </c>
      <c t="s">
        <v>9944</v>
      </c>
      <c t="s">
        <v>42212</v>
      </c>
      <c t="s">
        <v>66828</v>
      </c>
      <c t="s">
        <v>47119</v>
      </c>
      <c t="s">
        <v>66828</v>
      </c>
      <c t="s">
        <v>63237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63480</v>
      </c>
      <c>
        <v>19835</v>
      </c>
      <c r="AI6042" t="s">
        <v>33318</v>
      </c>
      <c t="s">
        <v>45393</v>
      </c>
      <c r="AL6042" t="s">
        <v>45392</v>
      </c>
      <c t="s">
        <v>40227</v>
      </c>
      <c t="s">
        <v>9387</v>
      </c>
      <c t="s">
        <v>9593</v>
      </c>
      <c t="s">
        <v>49454</v>
      </c>
      <c t="s">
        <v>3093</v>
      </c>
      <c t="s">
        <v>61972</v>
      </c>
    </row>
    <row>
      <c t="s">
        <v>17594</v>
      </c>
      <c t="s">
        <v>37611</v>
      </c>
      <c t="s">
        <v>58114</v>
      </c>
      <c t="s">
        <v>13655</v>
      </c>
      <c t="s">
        <v>53304</v>
      </c>
      <c s="3">
        <v>84229</v>
      </c>
      <c s="3">
        <v>75000</v>
      </c>
      <c s="3">
        <v>75286</v>
      </c>
      <c>
        <v>0</v>
      </c>
      <c s="3">
        <v>0</v>
      </c>
      <c s="3">
        <v>1181.75</v>
      </c>
      <c s="3">
        <v>84229</v>
      </c>
      <c r="O6043" s="1" t="str">
        <f ca="1">HYPERLINK("https://web.datatree.com/?/property?propertyId=183438278", "https://web.datatree.com/?/property?propertyId=183438278")</f>
        <v>https://web.datatree.com/?/property?propertyId=183438278</v>
      </c>
      <c r="Q6043" t="s">
        <v>316</v>
      </c>
      <c>
        <v>0.072</v>
      </c>
      <c t="s">
        <v>9944</v>
      </c>
      <c t="s">
        <v>41303</v>
      </c>
      <c t="s">
        <v>60155</v>
      </c>
      <c t="s">
        <v>26069</v>
      </c>
      <c t="s">
        <v>60155</v>
      </c>
      <c t="s">
        <v>40585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31238</v>
      </c>
      <c>
        <v>108</v>
      </c>
      <c r="AI6043" t="s">
        <v>9077</v>
      </c>
      <c t="s">
        <v>55842</v>
      </c>
      <c r="AL6043" t="s">
        <v>22234</v>
      </c>
      <c t="s">
        <v>40227</v>
      </c>
      <c t="s">
        <v>22275</v>
      </c>
      <c t="s">
        <v>51099</v>
      </c>
      <c t="s">
        <v>43294</v>
      </c>
      <c t="s">
        <v>3093</v>
      </c>
      <c t="s">
        <v>59705</v>
      </c>
    </row>
    <row>
      <c t="s">
        <v>17594</v>
      </c>
      <c t="s">
        <v>12998</v>
      </c>
      <c t="s">
        <v>28430</v>
      </c>
      <c t="s">
        <v>57650</v>
      </c>
      <c t="s">
        <v>5502</v>
      </c>
      <c s="3">
        <v>83788</v>
      </c>
      <c s="3">
        <v>75000</v>
      </c>
      <c s="3">
        <v>74789</v>
      </c>
      <c>
        <v>0</v>
      </c>
      <c s="3">
        <v>0</v>
      </c>
      <c s="3">
        <v>1174.62</v>
      </c>
      <c s="3">
        <v>83788</v>
      </c>
      <c r="O6044" s="1" t="str">
        <f ca="1">HYPERLINK("https://web.datatree.com/?/property?propertyId=183438372", "https://web.datatree.com/?/property?propertyId=183438372")</f>
        <v>https://web.datatree.com/?/property?propertyId=183438372</v>
      </c>
      <c r="Q6044" t="s">
        <v>316</v>
      </c>
      <c>
        <v>0.072</v>
      </c>
      <c t="s">
        <v>9944</v>
      </c>
      <c r="U6044" t="s">
        <v>49050</v>
      </c>
      <c r="W6044" t="s">
        <v>54634</v>
      </c>
      <c t="s">
        <v>61188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36488</v>
      </c>
      <c>
        <v>96</v>
      </c>
      <c r="AI6044" t="s">
        <v>32316</v>
      </c>
      <c t="s">
        <v>31192</v>
      </c>
      <c r="AL6044" t="s">
        <v>49064</v>
      </c>
      <c t="s">
        <v>49064</v>
      </c>
      <c t="s">
        <v>32657</v>
      </c>
      <c t="s">
        <v>14757</v>
      </c>
      <c t="s">
        <v>53476</v>
      </c>
      <c t="s">
        <v>3093</v>
      </c>
      <c t="s">
        <v>31829</v>
      </c>
    </row>
    <row>
      <c t="s">
        <v>17594</v>
      </c>
      <c t="s">
        <v>54699</v>
      </c>
      <c t="s">
        <v>50559</v>
      </c>
      <c t="s">
        <v>1579</v>
      </c>
      <c t="s">
        <v>4140</v>
      </c>
      <c s="3">
        <v>87072</v>
      </c>
      <c s="3">
        <v>77898</v>
      </c>
      <c s="3">
        <v>79224</v>
      </c>
      <c>
        <v>0</v>
      </c>
      <c s="3">
        <v>0</v>
      </c>
      <c s="3">
        <v>1234.61</v>
      </c>
      <c s="3">
        <v>87072</v>
      </c>
      <c r="O6045" s="1" t="str">
        <f ca="1">HYPERLINK("https://web.datatree.com/?/property?propertyId=183438539", "https://web.datatree.com/?/property?propertyId=183438539")</f>
        <v>https://web.datatree.com/?/property?propertyId=183438539</v>
      </c>
      <c r="Q6045" t="s">
        <v>316</v>
      </c>
      <c>
        <v>0.072</v>
      </c>
      <c t="s">
        <v>9944</v>
      </c>
      <c r="U6045" t="s">
        <v>22062</v>
      </c>
      <c r="W6045" t="s">
        <v>41269</v>
      </c>
      <c t="s">
        <v>33473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8263</v>
      </c>
      <c>
        <v>10108</v>
      </c>
      <c r="AI6045" t="s">
        <v>57760</v>
      </c>
      <c t="s">
        <v>56275</v>
      </c>
      <c r="AL6045" t="s">
        <v>47688</v>
      </c>
      <c t="s">
        <v>47688</v>
      </c>
      <c t="s">
        <v>18236</v>
      </c>
      <c t="s">
        <v>3393</v>
      </c>
      <c t="s">
        <v>11950</v>
      </c>
      <c t="s">
        <v>3093</v>
      </c>
      <c t="s">
        <v>31405</v>
      </c>
    </row>
    <row>
      <c t="s">
        <v>17594</v>
      </c>
      <c t="s">
        <v>7036</v>
      </c>
      <c t="s">
        <v>4392</v>
      </c>
      <c t="s">
        <v>12181</v>
      </c>
      <c t="s">
        <v>58555</v>
      </c>
      <c s="3">
        <v>86933</v>
      </c>
      <c s="3">
        <v>77594</v>
      </c>
      <c s="3">
        <v>86933</v>
      </c>
      <c>
        <v>0</v>
      </c>
      <c s="3">
        <v>0</v>
      </c>
      <c s="3">
        <v>1306.43</v>
      </c>
      <c s="3">
        <v>86933</v>
      </c>
      <c r="O6046" s="1" t="str">
        <f ca="1">HYPERLINK("https://web.datatree.com/?/property?propertyId=183438553", "https://web.datatree.com/?/property?propertyId=183438553")</f>
        <v>https://web.datatree.com/?/property?propertyId=183438553</v>
      </c>
      <c r="Q6046" t="s">
        <v>316</v>
      </c>
      <c>
        <v>0.072</v>
      </c>
      <c t="s">
        <v>9944</v>
      </c>
      <c t="s">
        <v>17314</v>
      </c>
      <c t="s">
        <v>24979</v>
      </c>
      <c t="s">
        <v>64201</v>
      </c>
      <c t="s">
        <v>24979</v>
      </c>
      <c t="s">
        <v>19136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47000</v>
      </c>
      <c>
        <v>70</v>
      </c>
      <c r="AI6046" t="s">
        <v>57283</v>
      </c>
      <c t="s">
        <v>45620</v>
      </c>
      <c r="AL6046" t="s">
        <v>11871</v>
      </c>
      <c t="s">
        <v>40227</v>
      </c>
      <c t="s">
        <v>14509</v>
      </c>
      <c t="s">
        <v>28636</v>
      </c>
      <c t="s">
        <v>35354</v>
      </c>
      <c t="s">
        <v>3093</v>
      </c>
      <c t="s">
        <v>45288</v>
      </c>
    </row>
    <row>
      <c t="s">
        <v>17594</v>
      </c>
      <c t="s">
        <v>6323</v>
      </c>
      <c t="s">
        <v>64242</v>
      </c>
      <c t="s">
        <v>40848</v>
      </c>
      <c t="s">
        <v>42496</v>
      </c>
      <c s="3">
        <v>87068</v>
      </c>
      <c s="3">
        <v>76638</v>
      </c>
      <c s="3">
        <v>78453</v>
      </c>
      <c>
        <v>0</v>
      </c>
      <c s="3">
        <v>0</v>
      </c>
      <c s="3">
        <v>1222.46</v>
      </c>
      <c s="3">
        <v>87068</v>
      </c>
      <c r="O6047" s="1" t="str">
        <f ca="1">HYPERLINK("https://web.datatree.com/?/property?propertyId=183438750", "https://web.datatree.com/?/property?propertyId=183438750")</f>
        <v>https://web.datatree.com/?/property?propertyId=183438750</v>
      </c>
      <c>
        <v>662</v>
      </c>
      <c t="s">
        <v>316</v>
      </c>
      <c>
        <v>0.072</v>
      </c>
      <c t="s">
        <v>9944</v>
      </c>
      <c t="s">
        <v>32056</v>
      </c>
      <c t="s">
        <v>25754</v>
      </c>
      <c t="s">
        <v>53622</v>
      </c>
      <c t="s">
        <v>25754</v>
      </c>
      <c t="s">
        <v>29648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8673</v>
      </c>
      <c>
        <v>9645</v>
      </c>
      <c r="AI6047" t="s">
        <v>39694</v>
      </c>
      <c t="s">
        <v>31192</v>
      </c>
      <c r="AL6047" t="s">
        <v>48286</v>
      </c>
      <c t="s">
        <v>40227</v>
      </c>
      <c t="s">
        <v>17134</v>
      </c>
      <c t="s">
        <v>43568</v>
      </c>
      <c t="s">
        <v>5652</v>
      </c>
      <c t="s">
        <v>3093</v>
      </c>
      <c t="s">
        <v>45512</v>
      </c>
      <c>
        <v>2015</v>
      </c>
    </row>
    <row>
      <c t="s">
        <v>17594</v>
      </c>
      <c t="s">
        <v>18524</v>
      </c>
      <c t="s">
        <v>64347</v>
      </c>
      <c t="s">
        <v>11919</v>
      </c>
      <c t="s">
        <v>5363</v>
      </c>
      <c s="3">
        <v>83651</v>
      </c>
      <c s="3">
        <v>75000</v>
      </c>
      <c s="3">
        <v>74650</v>
      </c>
      <c>
        <v>0</v>
      </c>
      <c s="3">
        <v>0</v>
      </c>
      <c s="3">
        <v>1172.55</v>
      </c>
      <c s="3">
        <v>83651</v>
      </c>
      <c r="O6048" s="1" t="str">
        <f ca="1">HYPERLINK("https://web.datatree.com/?/property?propertyId=183438852", "https://web.datatree.com/?/property?propertyId=183438852")</f>
        <v>https://web.datatree.com/?/property?propertyId=183438852</v>
      </c>
      <c r="Q6048" t="s">
        <v>316</v>
      </c>
      <c>
        <v>0.078</v>
      </c>
      <c t="s">
        <v>9944</v>
      </c>
      <c t="s">
        <v>19357</v>
      </c>
      <c t="s">
        <v>57712</v>
      </c>
      <c t="s">
        <v>60799</v>
      </c>
      <c t="s">
        <v>57712</v>
      </c>
      <c t="s">
        <v>65034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26044</v>
      </c>
      <c>
        <v>6232</v>
      </c>
      <c r="AI6048" t="s">
        <v>27502</v>
      </c>
      <c t="s">
        <v>40123</v>
      </c>
      <c r="AL6048" t="s">
        <v>46538</v>
      </c>
      <c t="s">
        <v>40227</v>
      </c>
      <c t="s">
        <v>18236</v>
      </c>
      <c t="s">
        <v>44502</v>
      </c>
      <c t="s">
        <v>56028</v>
      </c>
      <c t="s">
        <v>3093</v>
      </c>
      <c t="s">
        <v>47509</v>
      </c>
    </row>
    <row>
      <c t="s">
        <v>17594</v>
      </c>
      <c t="s">
        <v>34826</v>
      </c>
      <c t="s">
        <v>52459</v>
      </c>
      <c t="s">
        <v>1052</v>
      </c>
      <c t="s">
        <v>58283</v>
      </c>
      <c s="3">
        <v>90881</v>
      </c>
      <c s="3">
        <v>78373</v>
      </c>
      <c s="3">
        <v>90881</v>
      </c>
      <c>
        <v>0</v>
      </c>
      <c s="3">
        <v>0</v>
      </c>
      <c s="3">
        <v>1365.52</v>
      </c>
      <c s="3">
        <v>90881</v>
      </c>
      <c r="O6049" s="1" t="str">
        <f ca="1">HYPERLINK("https://web.datatree.com/?/property?propertyId=183438907", "https://web.datatree.com/?/property?propertyId=183438907")</f>
        <v>https://web.datatree.com/?/property?propertyId=183438907</v>
      </c>
      <c r="Q6049" t="s">
        <v>316</v>
      </c>
      <c>
        <v>0.072</v>
      </c>
      <c t="s">
        <v>9944</v>
      </c>
      <c t="s">
        <v>30886</v>
      </c>
      <c t="s">
        <v>12677</v>
      </c>
      <c t="s">
        <v>34468</v>
      </c>
      <c t="s">
        <v>12677</v>
      </c>
      <c t="s">
        <v>56088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29437</v>
      </c>
      <c>
        <v>1300</v>
      </c>
      <c r="AI6049" t="s">
        <v>21674</v>
      </c>
      <c t="s">
        <v>45620</v>
      </c>
      <c r="AL6049" t="s">
        <v>37522</v>
      </c>
      <c t="s">
        <v>40227</v>
      </c>
      <c t="s">
        <v>26016</v>
      </c>
      <c t="s">
        <v>26745</v>
      </c>
      <c t="s">
        <v>22455</v>
      </c>
      <c t="s">
        <v>3093</v>
      </c>
      <c t="s">
        <v>17542</v>
      </c>
    </row>
    <row>
      <c t="s">
        <v>17594</v>
      </c>
      <c t="s">
        <v>53993</v>
      </c>
      <c t="s">
        <v>34555</v>
      </c>
      <c t="s">
        <v>57977</v>
      </c>
      <c t="s">
        <v>48866</v>
      </c>
      <c s="3">
        <v>86905</v>
      </c>
      <c s="3">
        <v>77621</v>
      </c>
      <c s="3">
        <v>85960</v>
      </c>
      <c>
        <v>0</v>
      </c>
      <c s="3">
        <v>0</v>
      </c>
      <c s="3">
        <v>1297.11</v>
      </c>
      <c s="3">
        <v>86905</v>
      </c>
      <c r="O6050" s="1" t="str">
        <f ca="1">HYPERLINK("https://web.datatree.com/?/property?propertyId=183439015", "https://web.datatree.com/?/property?propertyId=183439015")</f>
        <v>https://web.datatree.com/?/property?propertyId=183439015</v>
      </c>
      <c r="Q6050" t="s">
        <v>316</v>
      </c>
      <c>
        <v>0.072</v>
      </c>
      <c t="s">
        <v>9944</v>
      </c>
      <c t="s">
        <v>50331</v>
      </c>
      <c t="s">
        <v>28072</v>
      </c>
      <c t="s">
        <v>21379</v>
      </c>
      <c t="s">
        <v>28072</v>
      </c>
      <c t="s">
        <v>17056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50971</v>
      </c>
      <c>
        <v>709</v>
      </c>
      <c r="AI6050" t="s">
        <v>2420</v>
      </c>
      <c t="s">
        <v>45393</v>
      </c>
      <c r="AL6050" t="s">
        <v>28925</v>
      </c>
      <c t="s">
        <v>40227</v>
      </c>
      <c t="s">
        <v>19878</v>
      </c>
      <c t="s">
        <v>12730</v>
      </c>
      <c t="s">
        <v>4797</v>
      </c>
      <c t="s">
        <v>3093</v>
      </c>
      <c t="s">
        <v>1617</v>
      </c>
    </row>
    <row>
      <c t="s">
        <v>17594</v>
      </c>
      <c t="s">
        <v>41188</v>
      </c>
      <c t="s">
        <v>17378</v>
      </c>
      <c t="s">
        <v>10944</v>
      </c>
      <c t="s">
        <v>13174</v>
      </c>
      <c s="3">
        <v>87714</v>
      </c>
      <c s="3">
        <v>78210</v>
      </c>
      <c s="3">
        <v>79059</v>
      </c>
      <c>
        <v>0</v>
      </c>
      <c s="3">
        <v>0</v>
      </c>
      <c s="3">
        <v>1236.62</v>
      </c>
      <c s="3">
        <v>87714</v>
      </c>
      <c r="O6051" s="1" t="str">
        <f ca="1">HYPERLINK("https://web.datatree.com/?/property?propertyId=183439026", "https://web.datatree.com/?/property?propertyId=183439026")</f>
        <v>https://web.datatree.com/?/property?propertyId=183439026</v>
      </c>
      <c r="Q6051" t="s">
        <v>316</v>
      </c>
      <c>
        <v>0.072</v>
      </c>
      <c t="s">
        <v>9944</v>
      </c>
      <c t="s">
        <v>58699</v>
      </c>
      <c t="s">
        <v>15930</v>
      </c>
      <c t="s">
        <v>56743</v>
      </c>
      <c t="s">
        <v>15930</v>
      </c>
      <c t="s">
        <v>27695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39999</v>
      </c>
      <c>
        <v>12</v>
      </c>
      <c r="AI6051" t="s">
        <v>48776</v>
      </c>
      <c t="s">
        <v>835</v>
      </c>
      <c r="AL6051" t="s">
        <v>56925</v>
      </c>
      <c t="s">
        <v>40227</v>
      </c>
      <c t="s">
        <v>64022</v>
      </c>
      <c t="s">
        <v>5196</v>
      </c>
      <c t="s">
        <v>44428</v>
      </c>
      <c t="s">
        <v>3093</v>
      </c>
      <c t="s">
        <v>59738</v>
      </c>
    </row>
    <row>
      <c t="s">
        <v>17594</v>
      </c>
      <c t="s">
        <v>28294</v>
      </c>
      <c t="s">
        <v>58633</v>
      </c>
      <c t="s">
        <v>46856</v>
      </c>
      <c t="s">
        <v>18194</v>
      </c>
      <c s="3">
        <v>87788</v>
      </c>
      <c s="3">
        <v>75000</v>
      </c>
      <c s="3">
        <v>80373</v>
      </c>
      <c>
        <v>0</v>
      </c>
      <c s="3">
        <v>0</v>
      </c>
      <c s="3">
        <v>1249.44</v>
      </c>
      <c s="3">
        <v>87788</v>
      </c>
      <c r="O6052" s="1" t="str">
        <f ca="1">HYPERLINK("https://web.datatree.com/?/property?propertyId=183439105", "https://web.datatree.com/?/property?propertyId=183439105")</f>
        <v>https://web.datatree.com/?/property?propertyId=183439105</v>
      </c>
      <c r="Q6052" t="s">
        <v>316</v>
      </c>
      <c>
        <v>0.072</v>
      </c>
      <c t="s">
        <v>9944</v>
      </c>
      <c r="U6052" t="s">
        <v>61131</v>
      </c>
      <c t="s">
        <v>16200</v>
      </c>
      <c t="s">
        <v>10159</v>
      </c>
      <c t="s">
        <v>13850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2612</v>
      </c>
      <c>
        <v>44574</v>
      </c>
      <c r="AI6052" t="s">
        <v>26727</v>
      </c>
      <c t="s">
        <v>835</v>
      </c>
      <c>
        <v>203</v>
      </c>
      <c t="s">
        <v>67036</v>
      </c>
      <c t="s">
        <v>67036</v>
      </c>
      <c t="s">
        <v>65467</v>
      </c>
      <c t="s">
        <v>1952</v>
      </c>
      <c t="s">
        <v>30106</v>
      </c>
      <c t="s">
        <v>3093</v>
      </c>
      <c t="s">
        <v>40</v>
      </c>
    </row>
    <row>
      <c t="s">
        <v>17594</v>
      </c>
      <c t="s">
        <v>46954</v>
      </c>
      <c t="s">
        <v>1773</v>
      </c>
      <c t="s">
        <v>33774</v>
      </c>
      <c t="s">
        <v>10098</v>
      </c>
      <c s="3">
        <v>90925</v>
      </c>
      <c s="3">
        <v>77675</v>
      </c>
      <c s="3">
        <v>81773</v>
      </c>
      <c>
        <v>0</v>
      </c>
      <c s="3">
        <v>0</v>
      </c>
      <c s="3">
        <v>1280.02</v>
      </c>
      <c s="3">
        <v>90925</v>
      </c>
      <c r="O6053" s="1" t="str">
        <f ca="1">HYPERLINK("https://web.datatree.com/?/property?propertyId=183439182", "https://web.datatree.com/?/property?propertyId=183439182")</f>
        <v>https://web.datatree.com/?/property?propertyId=183439182</v>
      </c>
      <c r="Q6053" t="s">
        <v>316</v>
      </c>
      <c>
        <v>0.082</v>
      </c>
      <c t="s">
        <v>9944</v>
      </c>
      <c t="s">
        <v>4886</v>
      </c>
      <c t="s">
        <v>3174</v>
      </c>
      <c t="s">
        <v>48615</v>
      </c>
      <c t="s">
        <v>3174</v>
      </c>
      <c t="s">
        <v>21523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51479</v>
      </c>
      <c>
        <v>801</v>
      </c>
      <c r="AI6053" t="s">
        <v>33872</v>
      </c>
      <c t="s">
        <v>45620</v>
      </c>
      <c r="AL6053" t="s">
        <v>933</v>
      </c>
      <c t="s">
        <v>40227</v>
      </c>
      <c t="s">
        <v>19878</v>
      </c>
      <c t="s">
        <v>6100</v>
      </c>
      <c t="s">
        <v>42996</v>
      </c>
      <c t="s">
        <v>3093</v>
      </c>
      <c t="s">
        <v>14269</v>
      </c>
    </row>
    <row>
      <c t="s">
        <v>17594</v>
      </c>
      <c t="s">
        <v>61466</v>
      </c>
      <c t="s">
        <v>65821</v>
      </c>
      <c t="s">
        <v>43897</v>
      </c>
      <c t="s">
        <v>35846</v>
      </c>
      <c s="3">
        <v>84067</v>
      </c>
      <c s="3">
        <v>75000</v>
      </c>
      <c s="3">
        <v>84067</v>
      </c>
      <c>
        <v>0</v>
      </c>
      <c s="3">
        <v>0</v>
      </c>
      <c s="3">
        <v>1263.53</v>
      </c>
      <c s="3">
        <v>84067</v>
      </c>
      <c r="O6054" s="1" t="str">
        <f ca="1">HYPERLINK("https://web.datatree.com/?/property?propertyId=183439613", "https://web.datatree.com/?/property?propertyId=183439613")</f>
        <v>https://web.datatree.com/?/property?propertyId=183439613</v>
      </c>
      <c r="Q6054" t="s">
        <v>316</v>
      </c>
      <c>
        <v>0.072</v>
      </c>
      <c t="s">
        <v>9944</v>
      </c>
      <c r="U6054" t="s">
        <v>10759</v>
      </c>
      <c r="W6054" t="s">
        <v>55333</v>
      </c>
      <c t="s">
        <v>38135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65905</v>
      </c>
      <c>
        <v>740</v>
      </c>
      <c r="AI6054" t="s">
        <v>33523</v>
      </c>
      <c t="s">
        <v>31192</v>
      </c>
      <c r="AL6054" t="s">
        <v>61183</v>
      </c>
      <c t="s">
        <v>56777</v>
      </c>
      <c t="s">
        <v>58733</v>
      </c>
      <c t="s">
        <v>60301</v>
      </c>
      <c t="s">
        <v>11950</v>
      </c>
      <c t="s">
        <v>3093</v>
      </c>
      <c t="s">
        <v>55474</v>
      </c>
    </row>
    <row>
      <c t="s">
        <v>17594</v>
      </c>
      <c t="s">
        <v>34599</v>
      </c>
      <c t="s">
        <v>26901</v>
      </c>
      <c t="s">
        <v>16034</v>
      </c>
      <c t="s">
        <v>24805</v>
      </c>
      <c s="3">
        <v>97437</v>
      </c>
      <c s="3">
        <v>80040</v>
      </c>
      <c s="3">
        <v>85143</v>
      </c>
      <c>
        <v>0</v>
      </c>
      <c s="3">
        <v>0</v>
      </c>
      <c s="3">
        <v>1319.93</v>
      </c>
      <c s="3">
        <v>97437</v>
      </c>
      <c r="O6055" s="1" t="str">
        <f ca="1">HYPERLINK("https://web.datatree.com/?/property?propertyId=183440101", "https://web.datatree.com/?/property?propertyId=183440101")</f>
        <v>https://web.datatree.com/?/property?propertyId=183440101</v>
      </c>
      <c r="Q6055" t="s">
        <v>316</v>
      </c>
      <c>
        <v>0.072</v>
      </c>
      <c t="s">
        <v>9944</v>
      </c>
      <c t="s">
        <v>38507</v>
      </c>
      <c t="s">
        <v>60034</v>
      </c>
      <c r="X6055" t="s">
        <v>59714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18619</v>
      </c>
      <c>
        <v>1020</v>
      </c>
      <c r="AI6055" t="s">
        <v>44325</v>
      </c>
      <c t="s">
        <v>29535</v>
      </c>
      <c r="AL6055" t="s">
        <v>15714</v>
      </c>
      <c t="s">
        <v>40227</v>
      </c>
      <c t="s">
        <v>58811</v>
      </c>
      <c t="s">
        <v>27519</v>
      </c>
      <c r="AQ6055" t="s">
        <v>27814</v>
      </c>
      <c t="s">
        <v>21012</v>
      </c>
    </row>
    <row>
      <c t="s">
        <v>17594</v>
      </c>
      <c t="s">
        <v>10328</v>
      </c>
      <c t="s">
        <v>28237</v>
      </c>
      <c t="s">
        <v>23626</v>
      </c>
      <c t="s">
        <v>38493</v>
      </c>
      <c s="3">
        <v>112107</v>
      </c>
      <c s="3">
        <v>82808</v>
      </c>
      <c s="3">
        <v>112107</v>
      </c>
      <c>
        <v>0</v>
      </c>
      <c s="3">
        <v>0</v>
      </c>
      <c s="3">
        <v>1683.33</v>
      </c>
      <c s="3">
        <v>112107</v>
      </c>
      <c r="O6056" s="1" t="str">
        <f ca="1">HYPERLINK("https://web.datatree.com/?/property?propertyId=183440102", "https://web.datatree.com/?/property?propertyId=183440102")</f>
        <v>https://web.datatree.com/?/property?propertyId=183440102</v>
      </c>
      <c r="Q6056" t="s">
        <v>316</v>
      </c>
      <c>
        <v>0.106</v>
      </c>
      <c t="s">
        <v>9944</v>
      </c>
      <c t="s">
        <v>11199</v>
      </c>
      <c t="s">
        <v>37047</v>
      </c>
      <c t="s">
        <v>12770</v>
      </c>
      <c t="s">
        <v>37047</v>
      </c>
      <c t="s">
        <v>33121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38587</v>
      </c>
      <c>
        <v>910</v>
      </c>
      <c r="AI6056" t="s">
        <v>45344</v>
      </c>
      <c t="s">
        <v>64789</v>
      </c>
      <c r="AL6056" t="s">
        <v>15786</v>
      </c>
      <c t="s">
        <v>15786</v>
      </c>
      <c t="s">
        <v>32657</v>
      </c>
      <c t="s">
        <v>38553</v>
      </c>
      <c t="s">
        <v>14695</v>
      </c>
      <c t="s">
        <v>3093</v>
      </c>
      <c t="s">
        <v>59508</v>
      </c>
    </row>
    <row>
      <c t="s">
        <v>17594</v>
      </c>
      <c t="s">
        <v>3551</v>
      </c>
      <c t="s">
        <v>27517</v>
      </c>
      <c t="s">
        <v>33695</v>
      </c>
      <c t="s">
        <v>50691</v>
      </c>
      <c s="3">
        <v>96377</v>
      </c>
      <c s="3">
        <v>87148</v>
      </c>
      <c s="3">
        <v>88429</v>
      </c>
      <c>
        <v>0</v>
      </c>
      <c s="3">
        <v>0</v>
      </c>
      <c s="3">
        <v>1372.99</v>
      </c>
      <c s="3">
        <v>96377</v>
      </c>
      <c r="O6057" s="1" t="str">
        <f ca="1">HYPERLINK("https://web.datatree.com/?/property?propertyId=183440583", "https://web.datatree.com/?/property?propertyId=183440583")</f>
        <v>https://web.datatree.com/?/property?propertyId=183440583</v>
      </c>
      <c r="Q6057" t="s">
        <v>316</v>
      </c>
      <c>
        <v>0.13</v>
      </c>
      <c t="s">
        <v>9944</v>
      </c>
      <c t="s">
        <v>552</v>
      </c>
      <c t="s">
        <v>13064</v>
      </c>
      <c t="s">
        <v>60243</v>
      </c>
      <c t="s">
        <v>13064</v>
      </c>
      <c t="s">
        <v>52145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61034</v>
      </c>
      <c>
        <v>411</v>
      </c>
      <c r="AI6057" t="s">
        <v>22464</v>
      </c>
      <c t="s">
        <v>45393</v>
      </c>
      <c>
        <v>13954</v>
      </c>
      <c t="s">
        <v>61590</v>
      </c>
      <c t="s">
        <v>61590</v>
      </c>
      <c t="s">
        <v>39289</v>
      </c>
      <c t="s">
        <v>55522</v>
      </c>
      <c t="s">
        <v>57971</v>
      </c>
      <c t="s">
        <v>3093</v>
      </c>
      <c t="s">
        <v>16990</v>
      </c>
    </row>
    <row>
      <c t="s">
        <v>17594</v>
      </c>
      <c t="s">
        <v>2714</v>
      </c>
      <c t="s">
        <v>24921</v>
      </c>
      <c t="s">
        <v>52612</v>
      </c>
      <c t="s">
        <v>5453</v>
      </c>
      <c s="3">
        <v>132148</v>
      </c>
      <c s="3">
        <v>116540</v>
      </c>
      <c s="3">
        <v>114899</v>
      </c>
      <c>
        <v>0</v>
      </c>
      <c s="3">
        <v>0</v>
      </c>
      <c s="3">
        <v>1820.98</v>
      </c>
      <c s="3">
        <v>132148</v>
      </c>
      <c r="O6058" s="1" t="str">
        <f ca="1">HYPERLINK("https://web.datatree.com/?/property?propertyId=183440741", "https://web.datatree.com/?/property?propertyId=183440741")</f>
        <v>https://web.datatree.com/?/property?propertyId=183440741</v>
      </c>
      <c r="Q6058" t="s">
        <v>316</v>
      </c>
      <c>
        <v>0.072</v>
      </c>
      <c t="s">
        <v>9944</v>
      </c>
      <c r="U6058" t="s">
        <v>58509</v>
      </c>
      <c r="W6058" t="s">
        <v>23215</v>
      </c>
      <c t="s">
        <v>57152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27206</v>
      </c>
      <c>
        <v>11729</v>
      </c>
      <c r="AI6058" t="s">
        <v>53120</v>
      </c>
      <c t="s">
        <v>45620</v>
      </c>
      <c r="AL6058" t="s">
        <v>10524</v>
      </c>
      <c t="s">
        <v>40227</v>
      </c>
      <c t="s">
        <v>19878</v>
      </c>
      <c t="s">
        <v>19342</v>
      </c>
      <c t="s">
        <v>22152</v>
      </c>
      <c t="s">
        <v>3093</v>
      </c>
      <c t="s">
        <v>59147</v>
      </c>
    </row>
    <row>
      <c t="s">
        <v>17594</v>
      </c>
      <c t="s">
        <v>26047</v>
      </c>
      <c t="s">
        <v>7556</v>
      </c>
      <c t="s">
        <v>18949</v>
      </c>
      <c t="s">
        <v>42814</v>
      </c>
      <c s="3">
        <v>85776</v>
      </c>
      <c s="3">
        <v>75000</v>
      </c>
      <c s="3">
        <v>77019</v>
      </c>
      <c>
        <v>0</v>
      </c>
      <c s="3">
        <v>0</v>
      </c>
      <c s="3">
        <v>1206.64</v>
      </c>
      <c s="3">
        <v>85776</v>
      </c>
      <c r="O6059" s="1" t="str">
        <f ca="1">HYPERLINK("https://web.datatree.com/?/property?propertyId=183440944", "https://web.datatree.com/?/property?propertyId=183440944")</f>
        <v>https://web.datatree.com/?/property?propertyId=183440944</v>
      </c>
      <c r="Q6059" t="s">
        <v>316</v>
      </c>
      <c>
        <v>0.089</v>
      </c>
      <c t="s">
        <v>9944</v>
      </c>
      <c t="s">
        <v>59101</v>
      </c>
      <c t="s">
        <v>21132</v>
      </c>
      <c t="s">
        <v>16194</v>
      </c>
      <c t="s">
        <v>21132</v>
      </c>
      <c t="s">
        <v>17491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12014</v>
      </c>
      <c>
        <v>14</v>
      </c>
      <c r="AI6059" t="s">
        <v>25475</v>
      </c>
      <c t="s">
        <v>4985</v>
      </c>
      <c r="AL6059" t="s">
        <v>41165</v>
      </c>
      <c t="s">
        <v>40227</v>
      </c>
      <c t="s">
        <v>10909</v>
      </c>
      <c t="s">
        <v>31913</v>
      </c>
      <c r="AQ6059" t="s">
        <v>27814</v>
      </c>
      <c t="s">
        <v>31915</v>
      </c>
    </row>
    <row>
      <c t="s">
        <v>17594</v>
      </c>
      <c t="s">
        <v>63944</v>
      </c>
      <c t="s">
        <v>32829</v>
      </c>
      <c t="s">
        <v>60274</v>
      </c>
      <c t="s">
        <v>28453</v>
      </c>
      <c s="3">
        <v>91007</v>
      </c>
      <c s="3">
        <v>78178</v>
      </c>
      <c s="3">
        <v>82817</v>
      </c>
      <c>
        <v>0</v>
      </c>
      <c s="3">
        <v>0</v>
      </c>
      <c s="3">
        <v>1290.3</v>
      </c>
      <c s="3">
        <v>91007</v>
      </c>
      <c r="O6060" s="1" t="str">
        <f ca="1">HYPERLINK("https://web.datatree.com/?/property?propertyId=183441410", "https://web.datatree.com/?/property?propertyId=183441410")</f>
        <v>https://web.datatree.com/?/property?propertyId=183441410</v>
      </c>
      <c r="Q6060" t="s">
        <v>316</v>
      </c>
      <c>
        <v>0.072</v>
      </c>
      <c t="s">
        <v>9944</v>
      </c>
      <c t="s">
        <v>57458</v>
      </c>
      <c t="s">
        <v>66686</v>
      </c>
      <c t="s">
        <v>38735</v>
      </c>
      <c t="s">
        <v>66686</v>
      </c>
      <c t="s">
        <v>56286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57647</v>
      </c>
      <c>
        <v>2233</v>
      </c>
      <c r="AI6060" t="s">
        <v>25383</v>
      </c>
      <c t="s">
        <v>45620</v>
      </c>
      <c r="AL6060" t="s">
        <v>52388</v>
      </c>
      <c t="s">
        <v>40227</v>
      </c>
      <c t="s">
        <v>51137</v>
      </c>
      <c t="s">
        <v>65181</v>
      </c>
      <c t="s">
        <v>22152</v>
      </c>
      <c t="s">
        <v>3093</v>
      </c>
      <c t="s">
        <v>44262</v>
      </c>
    </row>
    <row>
      <c t="s">
        <v>17594</v>
      </c>
      <c t="s">
        <v>14332</v>
      </c>
      <c t="s">
        <v>65001</v>
      </c>
      <c t="s">
        <v>62409</v>
      </c>
      <c t="s">
        <v>14245</v>
      </c>
      <c s="3">
        <v>81803</v>
      </c>
      <c s="3">
        <v>75000</v>
      </c>
      <c s="3">
        <v>81803</v>
      </c>
      <c>
        <v>0</v>
      </c>
      <c s="3">
        <v>0</v>
      </c>
      <c s="3">
        <v>1229.6</v>
      </c>
      <c s="3">
        <v>81803</v>
      </c>
      <c r="O6061" s="1" t="str">
        <f ca="1">HYPERLINK("https://web.datatree.com/?/property?propertyId=183441448", "https://web.datatree.com/?/property?propertyId=183441448")</f>
        <v>https://web.datatree.com/?/property?propertyId=183441448</v>
      </c>
      <c r="Q6061" t="s">
        <v>316</v>
      </c>
      <c>
        <v>0.072</v>
      </c>
      <c t="s">
        <v>9944</v>
      </c>
      <c t="s">
        <v>39139</v>
      </c>
      <c t="s">
        <v>43396</v>
      </c>
      <c t="s">
        <v>26628</v>
      </c>
      <c t="s">
        <v>29817</v>
      </c>
      <c t="s">
        <v>32183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22440</v>
      </c>
      <c>
        <v>28</v>
      </c>
      <c r="AI6061" t="s">
        <v>5751</v>
      </c>
      <c t="s">
        <v>39321</v>
      </c>
      <c r="AL6061" t="s">
        <v>29995</v>
      </c>
      <c t="s">
        <v>40227</v>
      </c>
      <c t="s">
        <v>14509</v>
      </c>
      <c t="s">
        <v>24405</v>
      </c>
      <c t="s">
        <v>35354</v>
      </c>
      <c t="s">
        <v>3093</v>
      </c>
      <c t="s">
        <v>30733</v>
      </c>
    </row>
    <row>
      <c t="s">
        <v>17594</v>
      </c>
      <c t="s">
        <v>29619</v>
      </c>
      <c t="s">
        <v>50434</v>
      </c>
      <c t="s">
        <v>31278</v>
      </c>
      <c t="s">
        <v>54116</v>
      </c>
      <c s="3">
        <v>93472</v>
      </c>
      <c s="3">
        <v>77229</v>
      </c>
      <c s="3">
        <v>92970</v>
      </c>
      <c>
        <v>0</v>
      </c>
      <c s="3">
        <v>0</v>
      </c>
      <c s="3">
        <v>1399.6</v>
      </c>
      <c s="3">
        <v>93472</v>
      </c>
      <c r="O6062" s="1" t="str">
        <f ca="1">HYPERLINK("https://web.datatree.com/?/property?propertyId=183441479", "https://web.datatree.com/?/property?propertyId=183441479")</f>
        <v>https://web.datatree.com/?/property?propertyId=183441479</v>
      </c>
      <c r="Q6062" t="s">
        <v>316</v>
      </c>
      <c>
        <v>0.072</v>
      </c>
      <c t="s">
        <v>9944</v>
      </c>
      <c r="U6062" t="s">
        <v>32807</v>
      </c>
      <c r="W6062" t="s">
        <v>39301</v>
      </c>
      <c t="s">
        <v>11597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61625</v>
      </c>
      <c>
        <v>345</v>
      </c>
      <c r="AI6062" t="s">
        <v>32316</v>
      </c>
      <c t="s">
        <v>31192</v>
      </c>
      <c r="AL6062" t="s">
        <v>49064</v>
      </c>
      <c t="s">
        <v>49064</v>
      </c>
      <c t="s">
        <v>32657</v>
      </c>
      <c>
        <v>38555</v>
      </c>
      <c t="s">
        <v>53476</v>
      </c>
      <c t="s">
        <v>3093</v>
      </c>
      <c t="s">
        <v>55562</v>
      </c>
    </row>
    <row>
      <c t="s">
        <v>17594</v>
      </c>
      <c t="s">
        <v>39149</v>
      </c>
      <c t="s">
        <v>11887</v>
      </c>
      <c t="s">
        <v>34870</v>
      </c>
      <c t="s">
        <v>52111</v>
      </c>
      <c s="3">
        <v>81803</v>
      </c>
      <c s="3">
        <v>75000</v>
      </c>
      <c s="3">
        <v>72557</v>
      </c>
      <c>
        <v>0</v>
      </c>
      <c s="3">
        <v>0</v>
      </c>
      <c s="3">
        <v>1142.56</v>
      </c>
      <c s="3">
        <v>81803</v>
      </c>
      <c r="O6063" s="1" t="str">
        <f ca="1">HYPERLINK("https://web.datatree.com/?/property?propertyId=183441566", "https://web.datatree.com/?/property?propertyId=183441566")</f>
        <v>https://web.datatree.com/?/property?propertyId=183441566</v>
      </c>
      <c r="Q6063" t="s">
        <v>316</v>
      </c>
      <c>
        <v>0.072</v>
      </c>
      <c t="s">
        <v>9944</v>
      </c>
      <c t="s">
        <v>64322</v>
      </c>
      <c t="s">
        <v>64116</v>
      </c>
      <c t="s">
        <v>11199</v>
      </c>
      <c t="s">
        <v>64116</v>
      </c>
      <c t="s">
        <v>26158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15495</v>
      </c>
      <c>
        <v>105</v>
      </c>
      <c r="AI6063" t="s">
        <v>5105</v>
      </c>
      <c t="s">
        <v>45393</v>
      </c>
      <c r="AL6063" t="s">
        <v>67081</v>
      </c>
      <c t="s">
        <v>40227</v>
      </c>
      <c t="s">
        <v>51137</v>
      </c>
      <c t="s">
        <v>30449</v>
      </c>
      <c t="s">
        <v>42082</v>
      </c>
      <c t="s">
        <v>3093</v>
      </c>
      <c t="s">
        <v>46530</v>
      </c>
    </row>
    <row>
      <c t="s">
        <v>17594</v>
      </c>
      <c t="s">
        <v>74</v>
      </c>
      <c t="s">
        <v>51517</v>
      </c>
      <c t="s">
        <v>17287</v>
      </c>
      <c t="s">
        <v>35059</v>
      </c>
      <c s="3">
        <v>84142</v>
      </c>
      <c s="3">
        <v>75000</v>
      </c>
      <c s="3">
        <v>75187</v>
      </c>
      <c>
        <v>0</v>
      </c>
      <c s="3">
        <v>0</v>
      </c>
      <c s="3">
        <v>1180.32</v>
      </c>
      <c s="3">
        <v>84142</v>
      </c>
      <c r="O6064" s="1" t="str">
        <f ca="1">HYPERLINK("https://web.datatree.com/?/property?propertyId=183442012", "https://web.datatree.com/?/property?propertyId=183442012")</f>
        <v>https://web.datatree.com/?/property?propertyId=183442012</v>
      </c>
      <c r="Q6064" t="s">
        <v>316</v>
      </c>
      <c>
        <v>0.074</v>
      </c>
      <c t="s">
        <v>9944</v>
      </c>
      <c t="s">
        <v>2748</v>
      </c>
      <c t="s">
        <v>11209</v>
      </c>
      <c r="X6064" t="s">
        <v>39007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22600</v>
      </c>
      <c>
        <v>18911</v>
      </c>
      <c r="AI6064" t="s">
        <v>24661</v>
      </c>
      <c t="s">
        <v>45620</v>
      </c>
      <c r="AL6064" t="s">
        <v>33526</v>
      </c>
      <c t="s">
        <v>40227</v>
      </c>
      <c t="s">
        <v>51137</v>
      </c>
      <c t="s">
        <v>22077</v>
      </c>
      <c t="s">
        <v>49977</v>
      </c>
      <c t="s">
        <v>3093</v>
      </c>
      <c t="s">
        <v>4593</v>
      </c>
    </row>
    <row>
      <c t="s">
        <v>17594</v>
      </c>
      <c t="s">
        <v>33417</v>
      </c>
      <c t="s">
        <v>16140</v>
      </c>
      <c t="s">
        <v>64587</v>
      </c>
      <c t="s">
        <v>43768</v>
      </c>
      <c s="3">
        <v>84067</v>
      </c>
      <c s="3">
        <v>75000</v>
      </c>
      <c s="3">
        <v>82804</v>
      </c>
      <c>
        <v>0</v>
      </c>
      <c s="3">
        <v>0</v>
      </c>
      <c s="3">
        <v>1251.62</v>
      </c>
      <c s="3">
        <v>84067</v>
      </c>
      <c r="O6065" s="1" t="str">
        <f ca="1">HYPERLINK("https://web.datatree.com/?/property?propertyId=183442168", "https://web.datatree.com/?/property?propertyId=183442168")</f>
        <v>https://web.datatree.com/?/property?propertyId=183442168</v>
      </c>
      <c r="Q6065" t="s">
        <v>316</v>
      </c>
      <c>
        <v>0.072</v>
      </c>
      <c t="s">
        <v>9944</v>
      </c>
      <c r="U6065" t="s">
        <v>54641</v>
      </c>
      <c r="W6065" t="s">
        <v>61604</v>
      </c>
      <c t="s">
        <v>14892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57139</v>
      </c>
      <c>
        <v>166</v>
      </c>
      <c r="AI6065" t="s">
        <v>58966</v>
      </c>
      <c t="s">
        <v>31192</v>
      </c>
      <c r="AL6065" t="s">
        <v>1313</v>
      </c>
      <c t="s">
        <v>60754</v>
      </c>
      <c t="s">
        <v>58733</v>
      </c>
      <c t="s">
        <v>49735</v>
      </c>
      <c t="s">
        <v>50962</v>
      </c>
      <c t="s">
        <v>3093</v>
      </c>
      <c t="s">
        <v>219</v>
      </c>
    </row>
    <row>
      <c t="s">
        <v>17594</v>
      </c>
      <c t="s">
        <v>19143</v>
      </c>
      <c t="s">
        <v>58352</v>
      </c>
      <c t="s">
        <v>45905</v>
      </c>
      <c t="s">
        <v>64918</v>
      </c>
      <c s="3">
        <v>120803</v>
      </c>
      <c s="3">
        <v>114000</v>
      </c>
      <c s="3">
        <v>102257</v>
      </c>
      <c>
        <v>0</v>
      </c>
      <c s="3">
        <v>0</v>
      </c>
      <c s="3">
        <v>1638.91</v>
      </c>
      <c s="3">
        <v>120803</v>
      </c>
      <c r="O6066" s="1" t="str">
        <f ca="1">HYPERLINK("https://web.datatree.com/?/property?propertyId=183442501", "https://web.datatree.com/?/property?propertyId=183442501")</f>
        <v>https://web.datatree.com/?/property?propertyId=183442501</v>
      </c>
      <c r="Q6066" t="s">
        <v>316</v>
      </c>
      <c>
        <v>0.072</v>
      </c>
      <c t="s">
        <v>9944</v>
      </c>
      <c t="s">
        <v>54943</v>
      </c>
      <c t="s">
        <v>16962</v>
      </c>
      <c t="s">
        <v>43826</v>
      </c>
      <c t="s">
        <v>16962</v>
      </c>
      <c t="s">
        <v>41959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35186</v>
      </c>
      <c>
        <v>5025</v>
      </c>
      <c r="AI6066" t="s">
        <v>33694</v>
      </c>
      <c t="s">
        <v>55842</v>
      </c>
      <c r="AL6066" t="s">
        <v>66511</v>
      </c>
      <c t="s">
        <v>40227</v>
      </c>
      <c t="s">
        <v>32576</v>
      </c>
      <c t="s">
        <v>11770</v>
      </c>
      <c t="s">
        <v>10847</v>
      </c>
      <c t="s">
        <v>3093</v>
      </c>
      <c t="s">
        <v>33970</v>
      </c>
    </row>
    <row>
      <c t="s">
        <v>17594</v>
      </c>
      <c t="s">
        <v>61357</v>
      </c>
      <c t="s">
        <v>53623</v>
      </c>
      <c t="s">
        <v>20659</v>
      </c>
      <c t="s">
        <v>33806</v>
      </c>
      <c s="3">
        <v>98305</v>
      </c>
      <c s="3">
        <v>84042</v>
      </c>
      <c s="3">
        <v>85282</v>
      </c>
      <c>
        <v>0</v>
      </c>
      <c s="3">
        <v>0</v>
      </c>
      <c s="3">
        <v>1324.66</v>
      </c>
      <c s="3">
        <v>98305</v>
      </c>
      <c r="O6067" s="1" t="str">
        <f ca="1">HYPERLINK("https://web.datatree.com/?/property?propertyId=183442744", "https://web.datatree.com/?/property?propertyId=183442744")</f>
        <v>https://web.datatree.com/?/property?propertyId=183442744</v>
      </c>
      <c r="Q6067" t="s">
        <v>316</v>
      </c>
      <c>
        <v>0.105</v>
      </c>
      <c t="s">
        <v>9944</v>
      </c>
      <c t="s">
        <v>24692</v>
      </c>
      <c t="s">
        <v>46119</v>
      </c>
      <c t="s">
        <v>48615</v>
      </c>
      <c t="s">
        <v>46119</v>
      </c>
      <c t="s">
        <v>30652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31488</v>
      </c>
      <c>
        <v>1287</v>
      </c>
      <c r="AI6067" t="s">
        <v>32236</v>
      </c>
      <c t="s">
        <v>40345</v>
      </c>
      <c r="AL6067" t="s">
        <v>4336</v>
      </c>
      <c t="s">
        <v>40227</v>
      </c>
      <c t="s">
        <v>10909</v>
      </c>
      <c t="s">
        <v>26907</v>
      </c>
      <c r="AQ6067" t="s">
        <v>27814</v>
      </c>
      <c t="s">
        <v>21560</v>
      </c>
    </row>
    <row>
      <c t="s">
        <v>17594</v>
      </c>
      <c t="s">
        <v>58646</v>
      </c>
      <c t="s">
        <v>1073</v>
      </c>
      <c t="s">
        <v>54529</v>
      </c>
      <c t="s">
        <v>17776</v>
      </c>
      <c s="3">
        <v>86823</v>
      </c>
      <c s="3">
        <v>77594</v>
      </c>
      <c s="3">
        <v>86823</v>
      </c>
      <c>
        <v>0</v>
      </c>
      <c s="3">
        <v>0</v>
      </c>
      <c s="3">
        <v>1304.78</v>
      </c>
      <c s="3">
        <v>86823</v>
      </c>
      <c r="O6068" s="1" t="str">
        <f ca="1">HYPERLINK("https://web.datatree.com/?/property?propertyId=183442795", "https://web.datatree.com/?/property?propertyId=183442795")</f>
        <v>https://web.datatree.com/?/property?propertyId=183442795</v>
      </c>
      <c r="Q6068" t="s">
        <v>316</v>
      </c>
      <c>
        <v>0.083</v>
      </c>
      <c t="s">
        <v>9944</v>
      </c>
      <c r="U6068" t="s">
        <v>13078</v>
      </c>
      <c r="W6068" t="s">
        <v>26089</v>
      </c>
      <c t="s">
        <v>12904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33860</v>
      </c>
      <c>
        <v>1763</v>
      </c>
      <c r="AI6068" t="s">
        <v>49284</v>
      </c>
      <c t="s">
        <v>55842</v>
      </c>
      <c r="AL6068" t="s">
        <v>67070</v>
      </c>
      <c t="s">
        <v>67070</v>
      </c>
      <c t="s">
        <v>51137</v>
      </c>
      <c t="s">
        <v>16694</v>
      </c>
      <c t="s">
        <v>7207</v>
      </c>
      <c t="s">
        <v>3093</v>
      </c>
      <c t="s">
        <v>65035</v>
      </c>
    </row>
    <row>
      <c t="s">
        <v>17594</v>
      </c>
      <c t="s">
        <v>4316</v>
      </c>
      <c t="s">
        <v>24897</v>
      </c>
      <c t="s">
        <v>58652</v>
      </c>
      <c t="s">
        <v>64810</v>
      </c>
      <c s="3">
        <v>88411</v>
      </c>
      <c s="3">
        <v>75000</v>
      </c>
      <c s="3">
        <v>79933</v>
      </c>
      <c>
        <v>0</v>
      </c>
      <c s="3">
        <v>0</v>
      </c>
      <c s="3">
        <v>1248.73</v>
      </c>
      <c s="3">
        <v>88411</v>
      </c>
      <c r="O6069" s="1" t="str">
        <f ca="1">HYPERLINK("https://web.datatree.com/?/property?propertyId=183442910", "https://web.datatree.com/?/property?propertyId=183442910")</f>
        <v>https://web.datatree.com/?/property?propertyId=183442910</v>
      </c>
      <c r="Q6069" t="s">
        <v>316</v>
      </c>
      <c>
        <v>0.078</v>
      </c>
      <c t="s">
        <v>9944</v>
      </c>
      <c t="s">
        <v>36164</v>
      </c>
      <c t="s">
        <v>67266</v>
      </c>
      <c t="s">
        <v>59276</v>
      </c>
      <c t="s">
        <v>67266</v>
      </c>
      <c t="s">
        <v>49829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22519</v>
      </c>
      <c>
        <v>10427</v>
      </c>
      <c r="AI6069" t="s">
        <v>22349</v>
      </c>
      <c t="s">
        <v>45620</v>
      </c>
      <c r="AL6069" t="s">
        <v>39016</v>
      </c>
      <c t="s">
        <v>40227</v>
      </c>
      <c t="s">
        <v>19878</v>
      </c>
      <c t="s">
        <v>55927</v>
      </c>
      <c t="s">
        <v>44428</v>
      </c>
      <c t="s">
        <v>3093</v>
      </c>
      <c t="s">
        <v>69</v>
      </c>
    </row>
    <row>
      <c t="s">
        <v>17594</v>
      </c>
      <c t="s">
        <v>38577</v>
      </c>
      <c t="s">
        <v>31253</v>
      </c>
      <c t="s">
        <v>57391</v>
      </c>
      <c t="s">
        <v>19360</v>
      </c>
      <c s="3">
        <v>84284</v>
      </c>
      <c s="3">
        <v>75000</v>
      </c>
      <c s="3">
        <v>75347</v>
      </c>
      <c>
        <v>0</v>
      </c>
      <c s="3">
        <v>0</v>
      </c>
      <c s="3">
        <v>1182.63</v>
      </c>
      <c s="3">
        <v>84284</v>
      </c>
      <c r="O6070" s="1" t="str">
        <f ca="1">HYPERLINK("https://web.datatree.com/?/property?propertyId=183443116", "https://web.datatree.com/?/property?propertyId=183443116")</f>
        <v>https://web.datatree.com/?/property?propertyId=183443116</v>
      </c>
      <c r="Q6070" t="s">
        <v>316</v>
      </c>
      <c>
        <v>0.077</v>
      </c>
      <c t="s">
        <v>9944</v>
      </c>
      <c t="s">
        <v>25238</v>
      </c>
      <c t="s">
        <v>17209</v>
      </c>
      <c t="s">
        <v>15051</v>
      </c>
      <c t="s">
        <v>17209</v>
      </c>
      <c t="s">
        <v>51163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15655</v>
      </c>
      <c>
        <v>411</v>
      </c>
      <c r="AI6070" t="s">
        <v>22464</v>
      </c>
      <c t="s">
        <v>45393</v>
      </c>
      <c>
        <v>3776</v>
      </c>
      <c t="s">
        <v>61590</v>
      </c>
      <c t="s">
        <v>40227</v>
      </c>
      <c t="s">
        <v>39289</v>
      </c>
      <c t="s">
        <v>55522</v>
      </c>
      <c t="s">
        <v>57971</v>
      </c>
      <c t="s">
        <v>3093</v>
      </c>
      <c t="s">
        <v>40714</v>
      </c>
    </row>
    <row>
      <c t="s">
        <v>17594</v>
      </c>
      <c t="s">
        <v>15288</v>
      </c>
      <c t="s">
        <v>23570</v>
      </c>
      <c t="s">
        <v>31769</v>
      </c>
      <c t="s">
        <v>11157</v>
      </c>
      <c s="3">
        <v>81803</v>
      </c>
      <c s="3">
        <v>75000</v>
      </c>
      <c s="3">
        <v>80257</v>
      </c>
      <c>
        <v>0</v>
      </c>
      <c s="3">
        <v>0</v>
      </c>
      <c s="3">
        <v>1215.05</v>
      </c>
      <c s="3">
        <v>81803</v>
      </c>
      <c r="O6071" s="1" t="str">
        <f ca="1">HYPERLINK("https://web.datatree.com/?/property?propertyId=183443453", "https://web.datatree.com/?/property?propertyId=183443453")</f>
        <v>https://web.datatree.com/?/property?propertyId=183443453</v>
      </c>
      <c r="Q6071" t="s">
        <v>316</v>
      </c>
      <c>
        <v>0.072</v>
      </c>
      <c t="s">
        <v>9944</v>
      </c>
      <c t="s">
        <v>32355</v>
      </c>
      <c t="s">
        <v>46006</v>
      </c>
      <c r="X6071" t="s">
        <v>45592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58062</v>
      </c>
      <c>
        <v>78</v>
      </c>
      <c r="AI6071" t="s">
        <v>2076</v>
      </c>
      <c t="s">
        <v>45393</v>
      </c>
      <c r="AL6071" t="s">
        <v>61252</v>
      </c>
      <c t="s">
        <v>45832</v>
      </c>
      <c t="s">
        <v>50917</v>
      </c>
      <c t="s">
        <v>14907</v>
      </c>
      <c t="s">
        <v>48506</v>
      </c>
      <c t="s">
        <v>3093</v>
      </c>
      <c t="s">
        <v>64194</v>
      </c>
    </row>
    <row>
      <c t="s">
        <v>42103</v>
      </c>
      <c t="s">
        <v>49752</v>
      </c>
      <c t="s">
        <v>4376</v>
      </c>
      <c t="s">
        <v>23072</v>
      </c>
      <c t="s">
        <v>14022</v>
      </c>
      <c s="3">
        <v>84015</v>
      </c>
      <c s="3">
        <v>75000</v>
      </c>
      <c s="3">
        <v>80429</v>
      </c>
      <c>
        <v>0</v>
      </c>
      <c s="3">
        <v>0</v>
      </c>
      <c s="3">
        <v>1228.97</v>
      </c>
      <c s="3">
        <v>84015</v>
      </c>
      <c r="O6072" s="1" t="str">
        <f ca="1">HYPERLINK("https://web.datatree.com/?/property?propertyId=183443501", "https://web.datatree.com/?/property?propertyId=183443501")</f>
        <v>https://web.datatree.com/?/property?propertyId=183443501</v>
      </c>
      <c r="Q6072" t="s">
        <v>316</v>
      </c>
      <c>
        <v>0.072</v>
      </c>
      <c t="s">
        <v>9944</v>
      </c>
      <c t="s">
        <v>2140</v>
      </c>
      <c t="s">
        <v>21097</v>
      </c>
      <c t="s">
        <v>37028</v>
      </c>
      <c t="s">
        <v>21097</v>
      </c>
      <c t="s">
        <v>16020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15891</v>
      </c>
      <c r="AI6072" t="s">
        <v>29393</v>
      </c>
      <c r="AL6072" t="s">
        <v>5578</v>
      </c>
      <c t="s">
        <v>40227</v>
      </c>
      <c t="s">
        <v>17134</v>
      </c>
      <c>
        <v>45373</v>
      </c>
      <c t="s">
        <v>7011</v>
      </c>
      <c t="s">
        <v>3093</v>
      </c>
      <c t="s">
        <v>31443</v>
      </c>
    </row>
    <row>
      <c t="s">
        <v>17594</v>
      </c>
      <c t="s">
        <v>52944</v>
      </c>
      <c t="s">
        <v>12966</v>
      </c>
      <c t="s">
        <v>10661</v>
      </c>
      <c t="s">
        <v>27111</v>
      </c>
      <c s="3">
        <v>88082</v>
      </c>
      <c s="3">
        <v>78853</v>
      </c>
      <c s="3">
        <v>88082</v>
      </c>
      <c>
        <v>0</v>
      </c>
      <c s="3">
        <v>0</v>
      </c>
      <c s="3">
        <v>1323.62</v>
      </c>
      <c s="3">
        <v>88082</v>
      </c>
      <c r="O6073" s="1" t="str">
        <f ca="1">HYPERLINK("https://web.datatree.com/?/property?propertyId=183443517", "https://web.datatree.com/?/property?propertyId=183443517")</f>
        <v>https://web.datatree.com/?/property?propertyId=183443517</v>
      </c>
      <c r="Q6073" t="s">
        <v>316</v>
      </c>
      <c>
        <v>0.077</v>
      </c>
      <c t="s">
        <v>9944</v>
      </c>
      <c r="U6073" t="s">
        <v>2286</v>
      </c>
      <c r="W6073" t="s">
        <v>30868</v>
      </c>
      <c t="s">
        <v>10734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19176</v>
      </c>
      <c>
        <v>3151</v>
      </c>
      <c r="AI6073" t="s">
        <v>54720</v>
      </c>
      <c t="s">
        <v>31192</v>
      </c>
      <c r="AL6073" t="s">
        <v>46208</v>
      </c>
      <c t="s">
        <v>45305</v>
      </c>
      <c t="s">
        <v>27481</v>
      </c>
      <c t="s">
        <v>36158</v>
      </c>
      <c t="s">
        <v>22455</v>
      </c>
      <c t="s">
        <v>3093</v>
      </c>
      <c t="s">
        <v>3291</v>
      </c>
    </row>
    <row>
      <c t="s">
        <v>17594</v>
      </c>
      <c t="s">
        <v>16917</v>
      </c>
      <c t="s">
        <v>66568</v>
      </c>
      <c t="s">
        <v>58926</v>
      </c>
      <c t="s">
        <v>50651</v>
      </c>
      <c s="3">
        <v>87889</v>
      </c>
      <c s="3">
        <v>80721</v>
      </c>
      <c s="3">
        <v>79336</v>
      </c>
      <c>
        <v>0</v>
      </c>
      <c s="3">
        <v>0</v>
      </c>
      <c s="3">
        <v>1240.22</v>
      </c>
      <c s="3">
        <v>87889</v>
      </c>
      <c r="O6074" s="1" t="str">
        <f ca="1">HYPERLINK("https://web.datatree.com/?/property?propertyId=183443594", "https://web.datatree.com/?/property?propertyId=183443594")</f>
        <v>https://web.datatree.com/?/property?propertyId=183443594</v>
      </c>
      <c r="Q6074" t="s">
        <v>316</v>
      </c>
      <c>
        <v>0.072</v>
      </c>
      <c t="s">
        <v>9944</v>
      </c>
      <c t="s">
        <v>2140</v>
      </c>
      <c t="s">
        <v>3174</v>
      </c>
      <c t="s">
        <v>46578</v>
      </c>
      <c t="s">
        <v>3174</v>
      </c>
      <c t="s">
        <v>40476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50630</v>
      </c>
      <c>
        <v>1078</v>
      </c>
      <c r="AI6074" t="s">
        <v>6946</v>
      </c>
      <c t="s">
        <v>1671</v>
      </c>
      <c r="AL6074" t="s">
        <v>55130</v>
      </c>
      <c t="s">
        <v>40227</v>
      </c>
      <c t="s">
        <v>49572</v>
      </c>
      <c t="s">
        <v>17566</v>
      </c>
      <c t="s">
        <v>22152</v>
      </c>
      <c t="s">
        <v>3093</v>
      </c>
      <c t="s">
        <v>23319</v>
      </c>
    </row>
    <row>
      <c t="s">
        <v>17594</v>
      </c>
      <c t="s">
        <v>58176</v>
      </c>
      <c t="s">
        <v>36095</v>
      </c>
      <c t="s">
        <v>51314</v>
      </c>
      <c t="s">
        <v>27215</v>
      </c>
      <c s="3">
        <v>134225</v>
      </c>
      <c s="3">
        <v>122995</v>
      </c>
      <c s="3">
        <v>110023</v>
      </c>
      <c>
        <v>0</v>
      </c>
      <c s="3">
        <v>0</v>
      </c>
      <c s="3">
        <v>1786.62</v>
      </c>
      <c s="3">
        <v>134225</v>
      </c>
      <c r="O6075" s="1" t="str">
        <f ca="1">HYPERLINK("https://web.datatree.com/?/property?propertyId=183444240", "https://web.datatree.com/?/property?propertyId=183444240")</f>
        <v>https://web.datatree.com/?/property?propertyId=183444240</v>
      </c>
      <c r="Q6075" t="s">
        <v>316</v>
      </c>
      <c>
        <v>0.113</v>
      </c>
      <c t="s">
        <v>9944</v>
      </c>
      <c t="s">
        <v>45883</v>
      </c>
      <c t="s">
        <v>67218</v>
      </c>
      <c t="s">
        <v>22046</v>
      </c>
      <c t="s">
        <v>67218</v>
      </c>
      <c t="s">
        <v>64775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40601</v>
      </c>
      <c>
        <v>922</v>
      </c>
      <c r="AH6075" t="s">
        <v>57851</v>
      </c>
      <c>
        <v>25</v>
      </c>
      <c r="AL6075" t="s">
        <v>49056</v>
      </c>
      <c t="s">
        <v>40227</v>
      </c>
      <c t="s">
        <v>49572</v>
      </c>
      <c t="s">
        <v>42608</v>
      </c>
      <c t="s">
        <v>702</v>
      </c>
      <c t="s">
        <v>3093</v>
      </c>
      <c t="s">
        <v>63978</v>
      </c>
    </row>
    <row>
      <c t="s">
        <v>17594</v>
      </c>
      <c t="s">
        <v>64882</v>
      </c>
      <c t="s">
        <v>3886</v>
      </c>
      <c t="s">
        <v>62158</v>
      </c>
      <c t="s">
        <v>63604</v>
      </c>
      <c s="3">
        <v>84394</v>
      </c>
      <c s="3">
        <v>75000</v>
      </c>
      <c s="3">
        <v>76568</v>
      </c>
      <c>
        <v>0</v>
      </c>
      <c s="3">
        <v>0</v>
      </c>
      <c s="3">
        <v>1194.73</v>
      </c>
      <c s="3">
        <v>84394</v>
      </c>
      <c r="O6076" s="1" t="str">
        <f ca="1">HYPERLINK("https://web.datatree.com/?/property?propertyId=183444437", "https://web.datatree.com/?/property?propertyId=183444437")</f>
        <v>https://web.datatree.com/?/property?propertyId=183444437</v>
      </c>
      <c r="Q6076" t="s">
        <v>316</v>
      </c>
      <c>
        <v>0.072</v>
      </c>
      <c t="s">
        <v>9944</v>
      </c>
      <c r="U6076" t="s">
        <v>17488</v>
      </c>
      <c t="s">
        <v>50383</v>
      </c>
      <c t="s">
        <v>2497</v>
      </c>
      <c t="s">
        <v>58369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25527</v>
      </c>
      <c>
        <v>28095</v>
      </c>
      <c r="AH6076" t="s">
        <v>12549</v>
      </c>
      <c t="s">
        <v>53125</v>
      </c>
      <c t="s">
        <v>45393</v>
      </c>
      <c r="AL6076" t="s">
        <v>35964</v>
      </c>
      <c t="s">
        <v>40227</v>
      </c>
      <c t="s">
        <v>54650</v>
      </c>
      <c t="s">
        <v>53168</v>
      </c>
      <c t="s">
        <v>39274</v>
      </c>
      <c t="s">
        <v>3093</v>
      </c>
      <c t="s">
        <v>21151</v>
      </c>
    </row>
    <row>
      <c t="s">
        <v>17594</v>
      </c>
      <c t="s">
        <v>20624</v>
      </c>
      <c t="s">
        <v>59975</v>
      </c>
      <c t="s">
        <v>15596</v>
      </c>
      <c t="s">
        <v>12419</v>
      </c>
      <c s="3">
        <v>84229</v>
      </c>
      <c s="3">
        <v>75000</v>
      </c>
      <c s="3">
        <v>76386</v>
      </c>
      <c>
        <v>0</v>
      </c>
      <c s="3">
        <v>0</v>
      </c>
      <c s="3">
        <v>1192.11</v>
      </c>
      <c s="3">
        <v>84229</v>
      </c>
      <c r="O6077" s="1" t="str">
        <f ca="1">HYPERLINK("https://web.datatree.com/?/property?propertyId=183444474", "https://web.datatree.com/?/property?propertyId=183444474")</f>
        <v>https://web.datatree.com/?/property?propertyId=183444474</v>
      </c>
      <c r="Q6077" t="s">
        <v>316</v>
      </c>
      <c>
        <v>0.073</v>
      </c>
      <c t="s">
        <v>9944</v>
      </c>
      <c t="s">
        <v>16893</v>
      </c>
      <c t="s">
        <v>47481</v>
      </c>
      <c t="s">
        <v>39139</v>
      </c>
      <c t="s">
        <v>47481</v>
      </c>
      <c t="s">
        <v>9081</v>
      </c>
      <c t="s">
        <v>36105</v>
      </c>
      <c t="s">
        <v>65059</v>
      </c>
      <c t="s">
        <v>39289</v>
      </c>
      <c>
        <v>33905</v>
      </c>
      <c>
        <v>33905</v>
      </c>
      <c t="s">
        <v>48794</v>
      </c>
      <c t="s">
        <v>39367</v>
      </c>
      <c>
        <v>514</v>
      </c>
      <c r="AI6077" t="s">
        <v>5158</v>
      </c>
      <c t="s">
        <v>835</v>
      </c>
      <c>
        <v>9103</v>
      </c>
      <c t="s">
        <v>54625</v>
      </c>
      <c t="s">
        <v>54625</v>
      </c>
      <c t="s">
        <v>40451</v>
      </c>
      <c t="s">
        <v>28180</v>
      </c>
      <c t="s">
        <v>61280</v>
      </c>
      <c t="s">
        <v>3093</v>
      </c>
      <c t="s">
        <v>26794</v>
      </c>
    </row>
    <row>
      <c t="s">
        <v>17594</v>
      </c>
      <c t="s">
        <v>54923</v>
      </c>
      <c t="s">
        <v>65055</v>
      </c>
      <c t="s">
        <v>46380</v>
      </c>
      <c t="s">
        <v>5211</v>
      </c>
      <c s="3">
        <v>85862</v>
      </c>
      <c s="3">
        <v>75000</v>
      </c>
      <c s="3">
        <v>77117</v>
      </c>
      <c>
        <v>0</v>
      </c>
      <c s="3">
        <v>0</v>
      </c>
      <c s="3">
        <v>1208.06</v>
      </c>
      <c s="3">
        <v>85862</v>
      </c>
      <c r="O6078" s="1" t="str">
        <f ca="1">HYPERLINK("https://web.datatree.com/?/property?propertyId=183444777", "https://web.datatree.com/?/property?propertyId=183444777")</f>
        <v>https://web.datatree.com/?/property?propertyId=183444777</v>
      </c>
      <c r="Q6078" t="s">
        <v>316</v>
      </c>
      <c>
        <v>0.088</v>
      </c>
      <c t="s">
        <v>9944</v>
      </c>
      <c r="U6078" t="s">
        <v>43722</v>
      </c>
      <c r="W6078" t="s">
        <v>47369</v>
      </c>
      <c t="s">
        <v>15215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19000</v>
      </c>
      <c>
        <v>3953</v>
      </c>
      <c r="AI6078" t="s">
        <v>52984</v>
      </c>
      <c t="s">
        <v>45620</v>
      </c>
      <c r="AL6078" t="s">
        <v>11963</v>
      </c>
      <c t="s">
        <v>11963</v>
      </c>
      <c t="s">
        <v>50829</v>
      </c>
      <c t="s">
        <v>19184</v>
      </c>
      <c t="s">
        <v>40645</v>
      </c>
      <c t="s">
        <v>3093</v>
      </c>
      <c t="s">
        <v>54163</v>
      </c>
    </row>
    <row>
      <c t="s">
        <v>42103</v>
      </c>
      <c t="s">
        <v>28609</v>
      </c>
      <c t="s">
        <v>4052</v>
      </c>
      <c t="s">
        <v>15525</v>
      </c>
      <c t="s">
        <v>21998</v>
      </c>
      <c s="3">
        <v>90866</v>
      </c>
      <c s="3">
        <v>77943</v>
      </c>
      <c s="3">
        <v>81620</v>
      </c>
      <c>
        <v>0</v>
      </c>
      <c s="3">
        <v>0</v>
      </c>
      <c s="3">
        <v>1278.28</v>
      </c>
      <c s="3">
        <v>90866</v>
      </c>
      <c r="O6079" s="1" t="str">
        <f ca="1">HYPERLINK("https://web.datatree.com/?/property?propertyId=183444848", "https://web.datatree.com/?/property?propertyId=183444848")</f>
        <v>https://web.datatree.com/?/property?propertyId=183444848</v>
      </c>
      <c r="Q6079" t="s">
        <v>316</v>
      </c>
      <c>
        <v>0.072</v>
      </c>
      <c t="s">
        <v>9944</v>
      </c>
      <c t="s">
        <v>16200</v>
      </c>
      <c t="s">
        <v>46352</v>
      </c>
      <c t="s">
        <v>35852</v>
      </c>
      <c t="s">
        <v>46352</v>
      </c>
      <c t="s">
        <v>23064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25975</v>
      </c>
      <c r="AI6079" t="s">
        <v>9975</v>
      </c>
      <c r="AL6079" t="s">
        <v>48403</v>
      </c>
      <c t="s">
        <v>48403</v>
      </c>
      <c t="s">
        <v>50829</v>
      </c>
      <c>
        <v>55329</v>
      </c>
      <c t="s">
        <v>15796</v>
      </c>
      <c t="s">
        <v>3093</v>
      </c>
      <c t="s">
        <v>57681</v>
      </c>
    </row>
    <row>
      <c t="s">
        <v>17594</v>
      </c>
      <c t="s">
        <v>35740</v>
      </c>
      <c t="s">
        <v>25094</v>
      </c>
      <c t="s">
        <v>25045</v>
      </c>
      <c t="s">
        <v>43068</v>
      </c>
      <c s="3">
        <v>123324</v>
      </c>
      <c s="3">
        <v>114000</v>
      </c>
      <c s="3">
        <v>105030</v>
      </c>
      <c>
        <v>0</v>
      </c>
      <c s="3">
        <v>0</v>
      </c>
      <c s="3">
        <v>1679.02</v>
      </c>
      <c s="3">
        <v>123324</v>
      </c>
      <c r="O6080" s="1" t="str">
        <f ca="1">HYPERLINK("https://web.datatree.com/?/property?propertyId=183444906", "https://web.datatree.com/?/property?propertyId=183444906")</f>
        <v>https://web.datatree.com/?/property?propertyId=183444906</v>
      </c>
      <c r="Q6080" t="s">
        <v>316</v>
      </c>
      <c>
        <v>0.079</v>
      </c>
      <c t="s">
        <v>9944</v>
      </c>
      <c t="s">
        <v>58113</v>
      </c>
      <c t="s">
        <v>52751</v>
      </c>
      <c t="s">
        <v>45900</v>
      </c>
      <c t="s">
        <v>52751</v>
      </c>
      <c t="s">
        <v>50841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43130</v>
      </c>
      <c>
        <v>9940</v>
      </c>
      <c r="AI6080" t="s">
        <v>9409</v>
      </c>
      <c t="s">
        <v>55842</v>
      </c>
      <c r="AL6080" t="s">
        <v>58657</v>
      </c>
      <c t="s">
        <v>58657</v>
      </c>
      <c t="s">
        <v>19878</v>
      </c>
      <c t="s">
        <v>28175</v>
      </c>
      <c t="s">
        <v>58683</v>
      </c>
      <c t="s">
        <v>3093</v>
      </c>
      <c t="s">
        <v>31780</v>
      </c>
    </row>
    <row>
      <c t="s">
        <v>17594</v>
      </c>
      <c t="s">
        <v>22497</v>
      </c>
      <c t="s">
        <v>58004</v>
      </c>
      <c t="s">
        <v>37488</v>
      </c>
      <c t="s">
        <v>8099</v>
      </c>
      <c s="3">
        <v>84504</v>
      </c>
      <c s="3">
        <v>75000</v>
      </c>
      <c s="3">
        <v>75528</v>
      </c>
      <c>
        <v>0</v>
      </c>
      <c s="3">
        <v>0</v>
      </c>
      <c s="3">
        <v>1185.54</v>
      </c>
      <c s="3">
        <v>84504</v>
      </c>
      <c r="O6081" s="1" t="str">
        <f ca="1">HYPERLINK("https://web.datatree.com/?/property?propertyId=183445041", "https://web.datatree.com/?/property?propertyId=183445041")</f>
        <v>https://web.datatree.com/?/property?propertyId=183445041</v>
      </c>
      <c r="Q6081" t="s">
        <v>316</v>
      </c>
      <c>
        <v>0.072</v>
      </c>
      <c t="s">
        <v>9944</v>
      </c>
      <c t="s">
        <v>552</v>
      </c>
      <c t="s">
        <v>38221</v>
      </c>
      <c t="s">
        <v>20358</v>
      </c>
      <c t="s">
        <v>38221</v>
      </c>
      <c t="s">
        <v>43125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36565</v>
      </c>
      <c>
        <v>1907</v>
      </c>
      <c r="AI6081" t="s">
        <v>17711</v>
      </c>
      <c t="s">
        <v>55842</v>
      </c>
      <c r="AL6081" t="s">
        <v>54778</v>
      </c>
      <c t="s">
        <v>40227</v>
      </c>
      <c t="s">
        <v>51137</v>
      </c>
      <c t="s">
        <v>17310</v>
      </c>
      <c t="s">
        <v>60160</v>
      </c>
      <c t="s">
        <v>3093</v>
      </c>
      <c t="s">
        <v>33540</v>
      </c>
    </row>
    <row>
      <c t="s">
        <v>17594</v>
      </c>
      <c t="s">
        <v>30376</v>
      </c>
      <c t="s">
        <v>42971</v>
      </c>
      <c t="s">
        <v>42151</v>
      </c>
      <c t="s">
        <v>9375</v>
      </c>
      <c s="3">
        <v>90985</v>
      </c>
      <c s="3">
        <v>75000</v>
      </c>
      <c s="3">
        <v>83922</v>
      </c>
      <c>
        <v>0</v>
      </c>
      <c s="3">
        <v>0</v>
      </c>
      <c s="3">
        <v>1300.6</v>
      </c>
      <c s="3">
        <v>90985</v>
      </c>
      <c r="O6082" s="1" t="str">
        <f ca="1">HYPERLINK("https://web.datatree.com/?/property?propertyId=183445052", "https://web.datatree.com/?/property?propertyId=183445052")</f>
        <v>https://web.datatree.com/?/property?propertyId=183445052</v>
      </c>
      <c r="Q6082" t="s">
        <v>316</v>
      </c>
      <c>
        <v>0.072</v>
      </c>
      <c t="s">
        <v>9944</v>
      </c>
      <c t="s">
        <v>2140</v>
      </c>
      <c t="s">
        <v>13919</v>
      </c>
      <c t="s">
        <v>38760</v>
      </c>
      <c t="s">
        <v>13919</v>
      </c>
      <c t="s">
        <v>55411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32529</v>
      </c>
      <c>
        <v>606</v>
      </c>
      <c r="AI6082" t="s">
        <v>33325</v>
      </c>
      <c t="s">
        <v>45393</v>
      </c>
      <c r="AL6082" t="s">
        <v>65684</v>
      </c>
      <c t="s">
        <v>65684</v>
      </c>
      <c t="s">
        <v>63985</v>
      </c>
      <c t="s">
        <v>14946</v>
      </c>
      <c t="s">
        <v>18415</v>
      </c>
      <c t="s">
        <v>3093</v>
      </c>
      <c t="s">
        <v>20723</v>
      </c>
    </row>
    <row>
      <c t="s">
        <v>17594</v>
      </c>
      <c t="s">
        <v>64036</v>
      </c>
      <c t="s">
        <v>59488</v>
      </c>
      <c t="s">
        <v>21056</v>
      </c>
      <c t="s">
        <v>15188</v>
      </c>
      <c s="3">
        <v>89708</v>
      </c>
      <c s="3">
        <v>77567</v>
      </c>
      <c s="3">
        <v>88983</v>
      </c>
      <c>
        <v>0</v>
      </c>
      <c s="3">
        <v>0</v>
      </c>
      <c s="3">
        <v>1341.16</v>
      </c>
      <c s="3">
        <v>89708</v>
      </c>
      <c r="O6083" s="1" t="str">
        <f ca="1">HYPERLINK("https://web.datatree.com/?/property?propertyId=183445246", "https://web.datatree.com/?/property?propertyId=183445246")</f>
        <v>https://web.datatree.com/?/property?propertyId=183445246</v>
      </c>
      <c r="Q6083" t="s">
        <v>316</v>
      </c>
      <c>
        <v>0.083</v>
      </c>
      <c t="s">
        <v>9944</v>
      </c>
      <c t="s">
        <v>39139</v>
      </c>
      <c t="s">
        <v>32718</v>
      </c>
      <c t="s">
        <v>21379</v>
      </c>
      <c t="s">
        <v>32718</v>
      </c>
      <c t="s">
        <v>17006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22031</v>
      </c>
      <c>
        <v>2026</v>
      </c>
      <c r="AH6083" t="s">
        <v>57851</v>
      </c>
      <c t="s">
        <v>35518</v>
      </c>
      <c t="s">
        <v>45393</v>
      </c>
      <c r="AL6083" t="s">
        <v>4622</v>
      </c>
      <c t="s">
        <v>40227</v>
      </c>
      <c t="s">
        <v>50829</v>
      </c>
      <c t="s">
        <v>30088</v>
      </c>
      <c t="s">
        <v>702</v>
      </c>
      <c t="s">
        <v>3093</v>
      </c>
      <c t="s">
        <v>64926</v>
      </c>
    </row>
    <row>
      <c t="s">
        <v>17594</v>
      </c>
      <c t="s">
        <v>10921</v>
      </c>
      <c t="s">
        <v>63652</v>
      </c>
      <c t="s">
        <v>6341</v>
      </c>
      <c t="s">
        <v>18095</v>
      </c>
      <c s="3">
        <v>88064</v>
      </c>
      <c s="3">
        <v>78670</v>
      </c>
      <c s="3">
        <v>79547</v>
      </c>
      <c>
        <v>0</v>
      </c>
      <c s="3">
        <v>0</v>
      </c>
      <c s="3">
        <v>1243.16</v>
      </c>
      <c s="3">
        <v>88064</v>
      </c>
      <c r="O6084" s="1" t="str">
        <f ca="1">HYPERLINK("https://web.datatree.com/?/property?propertyId=183445346", "https://web.datatree.com/?/property?propertyId=183445346")</f>
        <v>https://web.datatree.com/?/property?propertyId=183445346</v>
      </c>
      <c r="Q6084" t="s">
        <v>316</v>
      </c>
      <c>
        <v>0.072</v>
      </c>
      <c t="s">
        <v>9944</v>
      </c>
      <c t="s">
        <v>41794</v>
      </c>
      <c t="s">
        <v>41048</v>
      </c>
      <c r="X6084" t="s">
        <v>66111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61189</v>
      </c>
      <c>
        <v>1715</v>
      </c>
      <c r="AI6084" t="s">
        <v>8091</v>
      </c>
      <c t="s">
        <v>40123</v>
      </c>
      <c r="AL6084" t="s">
        <v>32131</v>
      </c>
      <c t="s">
        <v>4450</v>
      </c>
      <c t="s">
        <v>39289</v>
      </c>
      <c t="s">
        <v>2715</v>
      </c>
      <c t="s">
        <v>12399</v>
      </c>
      <c t="s">
        <v>3093</v>
      </c>
      <c t="s">
        <v>57648</v>
      </c>
    </row>
    <row>
      <c t="s">
        <v>42103</v>
      </c>
      <c t="s">
        <v>48272</v>
      </c>
      <c t="s">
        <v>56608</v>
      </c>
      <c t="s">
        <v>25746</v>
      </c>
      <c t="s">
        <v>24042</v>
      </c>
      <c s="3">
        <v>91509</v>
      </c>
      <c s="3">
        <v>77184</v>
      </c>
      <c s="3">
        <v>91077</v>
      </c>
      <c>
        <v>0</v>
      </c>
      <c s="3">
        <v>0</v>
      </c>
      <c s="3">
        <v>1370.86</v>
      </c>
      <c s="3">
        <v>91509</v>
      </c>
      <c r="O6085" s="1" t="str">
        <f ca="1">HYPERLINK("https://web.datatree.com/?/property?propertyId=183445391", "https://web.datatree.com/?/property?propertyId=183445391")</f>
        <v>https://web.datatree.com/?/property?propertyId=183445391</v>
      </c>
      <c r="Q6085" t="s">
        <v>316</v>
      </c>
      <c>
        <v>0.072</v>
      </c>
      <c t="s">
        <v>9944</v>
      </c>
      <c r="U6085" t="s">
        <v>27863</v>
      </c>
      <c r="W6085" t="s">
        <v>24485</v>
      </c>
      <c t="s">
        <v>15063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65118</v>
      </c>
      <c r="AI6085" t="s">
        <v>10564</v>
      </c>
      <c r="AL6085" t="s">
        <v>10735</v>
      </c>
      <c t="s">
        <v>10735</v>
      </c>
      <c t="s">
        <v>19878</v>
      </c>
      <c>
        <v>62613</v>
      </c>
      <c t="s">
        <v>23536</v>
      </c>
      <c t="s">
        <v>3093</v>
      </c>
      <c t="s">
        <v>2265</v>
      </c>
    </row>
    <row>
      <c t="s">
        <v>17594</v>
      </c>
      <c t="s">
        <v>36989</v>
      </c>
      <c t="s">
        <v>65642</v>
      </c>
      <c t="s">
        <v>36944</v>
      </c>
      <c t="s">
        <v>64964</v>
      </c>
      <c s="3">
        <v>88155</v>
      </c>
      <c s="3">
        <v>78706</v>
      </c>
      <c s="3">
        <v>75528</v>
      </c>
      <c>
        <v>0</v>
      </c>
      <c s="3">
        <v>0</v>
      </c>
      <c s="3">
        <v>1185.24</v>
      </c>
      <c s="3">
        <v>88155</v>
      </c>
      <c r="O6086" s="1" t="str">
        <f ca="1">HYPERLINK("https://web.datatree.com/?/property?propertyId=183445479", "https://web.datatree.com/?/property?propertyId=183445479")</f>
        <v>https://web.datatree.com/?/property?propertyId=183445479</v>
      </c>
      <c r="Q6086" t="s">
        <v>316</v>
      </c>
      <c>
        <v>0.072</v>
      </c>
      <c t="s">
        <v>9944</v>
      </c>
      <c t="s">
        <v>552</v>
      </c>
      <c t="s">
        <v>16186</v>
      </c>
      <c t="s">
        <v>40397</v>
      </c>
      <c t="s">
        <v>16186</v>
      </c>
      <c t="s">
        <v>23917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40066</v>
      </c>
      <c>
        <v>321</v>
      </c>
      <c r="AI6086" t="s">
        <v>56586</v>
      </c>
      <c t="s">
        <v>31192</v>
      </c>
      <c r="AL6086" t="s">
        <v>11642</v>
      </c>
      <c t="s">
        <v>40227</v>
      </c>
      <c t="s">
        <v>22275</v>
      </c>
      <c t="s">
        <v>56956</v>
      </c>
      <c t="s">
        <v>60160</v>
      </c>
      <c t="s">
        <v>3093</v>
      </c>
      <c t="s">
        <v>24086</v>
      </c>
    </row>
    <row>
      <c t="s">
        <v>17594</v>
      </c>
      <c t="s">
        <v>11066</v>
      </c>
      <c t="s">
        <v>41638</v>
      </c>
      <c t="s">
        <v>65880</v>
      </c>
      <c t="s">
        <v>21540</v>
      </c>
      <c s="3">
        <v>91411</v>
      </c>
      <c s="3">
        <v>75000</v>
      </c>
      <c s="3">
        <v>86482</v>
      </c>
      <c>
        <v>0</v>
      </c>
      <c s="3">
        <v>0</v>
      </c>
      <c s="3">
        <v>1327.07</v>
      </c>
      <c s="3">
        <v>91411</v>
      </c>
      <c r="O6087" s="1" t="str">
        <f ca="1">HYPERLINK("https://web.datatree.com/?/property?propertyId=183445667", "https://web.datatree.com/?/property?propertyId=183445667")</f>
        <v>https://web.datatree.com/?/property?propertyId=183445667</v>
      </c>
      <c r="Q6087" t="s">
        <v>316</v>
      </c>
      <c>
        <v>0.079</v>
      </c>
      <c t="s">
        <v>9944</v>
      </c>
      <c t="s">
        <v>28750</v>
      </c>
      <c t="s">
        <v>61768</v>
      </c>
      <c t="s">
        <v>60589</v>
      </c>
      <c t="s">
        <v>61768</v>
      </c>
      <c t="s">
        <v>63645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22513</v>
      </c>
      <c>
        <v>952</v>
      </c>
      <c r="AH6087" t="s">
        <v>12549</v>
      </c>
      <c>
        <v>1150</v>
      </c>
      <c r="AL6087" t="s">
        <v>17608</v>
      </c>
      <c t="s">
        <v>40227</v>
      </c>
      <c t="s">
        <v>49572</v>
      </c>
      <c t="s">
        <v>10825</v>
      </c>
      <c t="s">
        <v>65288</v>
      </c>
      <c t="s">
        <v>3093</v>
      </c>
      <c t="s">
        <v>65294</v>
      </c>
    </row>
    <row>
      <c t="s">
        <v>17594</v>
      </c>
      <c t="s">
        <v>55827</v>
      </c>
      <c t="s">
        <v>2631</v>
      </c>
      <c t="s">
        <v>59888</v>
      </c>
      <c t="s">
        <v>34686</v>
      </c>
      <c s="3">
        <v>84229</v>
      </c>
      <c s="3">
        <v>75000</v>
      </c>
      <c s="3">
        <v>84229</v>
      </c>
      <c>
        <v>0</v>
      </c>
      <c s="3">
        <v>0</v>
      </c>
      <c s="3">
        <v>1265.94</v>
      </c>
      <c s="3">
        <v>84229</v>
      </c>
      <c r="O6088" s="1" t="str">
        <f ca="1">HYPERLINK("https://web.datatree.com/?/property?propertyId=183445861", "https://web.datatree.com/?/property?propertyId=183445861")</f>
        <v>https://web.datatree.com/?/property?propertyId=183445861</v>
      </c>
      <c r="Q6088" t="s">
        <v>316</v>
      </c>
      <c>
        <v>0.078</v>
      </c>
      <c t="s">
        <v>9944</v>
      </c>
      <c t="s">
        <v>24409</v>
      </c>
      <c t="s">
        <v>40709</v>
      </c>
      <c t="s">
        <v>1995</v>
      </c>
      <c t="s">
        <v>40709</v>
      </c>
      <c t="s">
        <v>27210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2257</v>
      </c>
      <c>
        <v>418</v>
      </c>
      <c r="AI6088" t="s">
        <v>33526</v>
      </c>
      <c t="s">
        <v>31192</v>
      </c>
      <c r="AL6088" t="s">
        <v>1393</v>
      </c>
      <c t="s">
        <v>40227</v>
      </c>
      <c t="s">
        <v>19878</v>
      </c>
      <c t="s">
        <v>54746</v>
      </c>
      <c t="s">
        <v>22455</v>
      </c>
      <c t="s">
        <v>3093</v>
      </c>
      <c t="s">
        <v>64637</v>
      </c>
    </row>
    <row>
      <c t="s">
        <v>17594</v>
      </c>
      <c t="s">
        <v>40468</v>
      </c>
      <c t="s">
        <v>54451</v>
      </c>
      <c t="s">
        <v>39603</v>
      </c>
      <c t="s">
        <v>64664</v>
      </c>
      <c s="3">
        <v>86105</v>
      </c>
      <c s="3">
        <v>75000</v>
      </c>
      <c s="3">
        <v>77389</v>
      </c>
      <c>
        <v>0</v>
      </c>
      <c s="3">
        <v>0</v>
      </c>
      <c s="3">
        <v>1211.96</v>
      </c>
      <c s="3">
        <v>86105</v>
      </c>
      <c r="O6089" s="1" t="str">
        <f ca="1">HYPERLINK("https://web.datatree.com/?/property?propertyId=183446137", "https://web.datatree.com/?/property?propertyId=183446137")</f>
        <v>https://web.datatree.com/?/property?propertyId=183446137</v>
      </c>
      <c r="Q6089" t="s">
        <v>316</v>
      </c>
      <c>
        <v>0.088</v>
      </c>
      <c t="s">
        <v>9944</v>
      </c>
      <c t="s">
        <v>22505</v>
      </c>
      <c t="s">
        <v>31914</v>
      </c>
      <c t="s">
        <v>24409</v>
      </c>
      <c t="s">
        <v>31914</v>
      </c>
      <c t="s">
        <v>39804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15452</v>
      </c>
      <c>
        <v>52755</v>
      </c>
      <c r="AI6089" t="s">
        <v>1497</v>
      </c>
      <c t="s">
        <v>45620</v>
      </c>
      <c r="AL6089" t="s">
        <v>24734</v>
      </c>
      <c t="s">
        <v>40227</v>
      </c>
      <c t="s">
        <v>17134</v>
      </c>
      <c t="s">
        <v>7402</v>
      </c>
      <c t="s">
        <v>14695</v>
      </c>
      <c t="s">
        <v>3093</v>
      </c>
      <c t="s">
        <v>35688</v>
      </c>
    </row>
    <row>
      <c t="s">
        <v>17594</v>
      </c>
      <c t="s">
        <v>27057</v>
      </c>
      <c t="s">
        <v>14158</v>
      </c>
      <c t="s">
        <v>17697</v>
      </c>
      <c t="s">
        <v>51586</v>
      </c>
      <c s="3">
        <v>91738</v>
      </c>
      <c s="3">
        <v>77207</v>
      </c>
      <c s="3">
        <v>91330</v>
      </c>
      <c>
        <v>0</v>
      </c>
      <c s="3">
        <v>0</v>
      </c>
      <c s="3">
        <v>1374.53</v>
      </c>
      <c s="3">
        <v>91738</v>
      </c>
      <c r="O6090" s="1" t="str">
        <f ca="1">HYPERLINK("https://web.datatree.com/?/property?propertyId=183446168", "https://web.datatree.com/?/property?propertyId=183446168")</f>
        <v>https://web.datatree.com/?/property?propertyId=183446168</v>
      </c>
      <c r="Q6090" t="s">
        <v>316</v>
      </c>
      <c>
        <v>0.078</v>
      </c>
      <c t="s">
        <v>9944</v>
      </c>
      <c t="s">
        <v>44541</v>
      </c>
      <c t="s">
        <v>5168</v>
      </c>
      <c t="s">
        <v>61092</v>
      </c>
      <c t="s">
        <v>5168</v>
      </c>
      <c t="s">
        <v>34308</v>
      </c>
      <c t="s">
        <v>57462</v>
      </c>
      <c t="s">
        <v>65059</v>
      </c>
      <c t="s">
        <v>39289</v>
      </c>
      <c>
        <v>33905</v>
      </c>
      <c>
        <v>33905</v>
      </c>
      <c t="s">
        <v>48794</v>
      </c>
      <c t="s">
        <v>62870</v>
      </c>
      <c>
        <v>15757</v>
      </c>
      <c r="AH6090" t="s">
        <v>60953</v>
      </c>
      <c t="s">
        <v>43910</v>
      </c>
      <c t="s">
        <v>24900</v>
      </c>
      <c r="AL6090" t="s">
        <v>30105</v>
      </c>
      <c t="s">
        <v>40227</v>
      </c>
      <c t="s">
        <v>50829</v>
      </c>
      <c t="s">
        <v>24344</v>
      </c>
      <c t="s">
        <v>44428</v>
      </c>
      <c t="s">
        <v>3093</v>
      </c>
      <c t="s">
        <v>32892</v>
      </c>
    </row>
    <row>
      <c t="s">
        <v>17594</v>
      </c>
      <c t="s">
        <v>21707</v>
      </c>
      <c t="s">
        <v>17174</v>
      </c>
      <c t="s">
        <v>60534</v>
      </c>
      <c t="s">
        <v>45516</v>
      </c>
      <c s="3">
        <v>88009</v>
      </c>
      <c s="3">
        <v>78670</v>
      </c>
      <c s="3">
        <v>79486</v>
      </c>
      <c>
        <v>0</v>
      </c>
      <c s="3">
        <v>0</v>
      </c>
      <c s="3">
        <v>1242.29</v>
      </c>
      <c s="3">
        <v>88009</v>
      </c>
      <c r="O6091" s="1" t="str">
        <f ca="1">HYPERLINK("https://web.datatree.com/?/property?propertyId=183446523", "https://web.datatree.com/?/property?propertyId=183446523")</f>
        <v>https://web.datatree.com/?/property?propertyId=183446523</v>
      </c>
      <c r="Q6091" t="s">
        <v>316</v>
      </c>
      <c>
        <v>0.072</v>
      </c>
      <c t="s">
        <v>9944</v>
      </c>
      <c t="s">
        <v>56832</v>
      </c>
      <c t="s">
        <v>7290</v>
      </c>
      <c t="s">
        <v>21981</v>
      </c>
      <c t="s">
        <v>7290</v>
      </c>
      <c t="s">
        <v>6078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52292</v>
      </c>
      <c>
        <v>55195</v>
      </c>
      <c r="AI6091" t="s">
        <v>23115</v>
      </c>
      <c t="s">
        <v>45620</v>
      </c>
      <c r="AL6091" t="s">
        <v>23346</v>
      </c>
      <c t="s">
        <v>40227</v>
      </c>
      <c t="s">
        <v>51137</v>
      </c>
      <c t="s">
        <v>39004</v>
      </c>
      <c t="s">
        <v>4480</v>
      </c>
      <c t="s">
        <v>3093</v>
      </c>
      <c t="s">
        <v>25219</v>
      </c>
    </row>
    <row>
      <c t="s">
        <v>17594</v>
      </c>
      <c t="s">
        <v>32914</v>
      </c>
      <c t="s">
        <v>66351</v>
      </c>
      <c t="s">
        <v>42942</v>
      </c>
      <c t="s">
        <v>51784</v>
      </c>
      <c s="3">
        <v>84284</v>
      </c>
      <c s="3">
        <v>75000</v>
      </c>
      <c s="3">
        <v>75347</v>
      </c>
      <c>
        <v>0</v>
      </c>
      <c s="3">
        <v>0</v>
      </c>
      <c s="3">
        <v>1182.63</v>
      </c>
      <c s="3">
        <v>84284</v>
      </c>
      <c r="O6092" s="1" t="str">
        <f ca="1">HYPERLINK("https://web.datatree.com/?/property?propertyId=183446572", "https://web.datatree.com/?/property?propertyId=183446572")</f>
        <v>https://web.datatree.com/?/property?propertyId=183446572</v>
      </c>
      <c r="Q6092" t="s">
        <v>316</v>
      </c>
      <c>
        <v>0.072</v>
      </c>
      <c t="s">
        <v>9944</v>
      </c>
      <c r="U6092" t="s">
        <v>65363</v>
      </c>
      <c t="s">
        <v>64427</v>
      </c>
      <c t="s">
        <v>35642</v>
      </c>
      <c t="s">
        <v>63300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25886</v>
      </c>
      <c>
        <v>11331</v>
      </c>
      <c r="AI6092" t="s">
        <v>25610</v>
      </c>
      <c t="s">
        <v>45620</v>
      </c>
      <c r="AL6092" t="s">
        <v>6762</v>
      </c>
      <c t="s">
        <v>6762</v>
      </c>
      <c t="s">
        <v>50829</v>
      </c>
      <c t="s">
        <v>33486</v>
      </c>
      <c t="s">
        <v>65529</v>
      </c>
      <c t="s">
        <v>3093</v>
      </c>
      <c t="s">
        <v>44000</v>
      </c>
    </row>
    <row>
      <c t="s">
        <v>42103</v>
      </c>
      <c t="s">
        <v>33839</v>
      </c>
      <c t="s">
        <v>52628</v>
      </c>
      <c t="s">
        <v>5398</v>
      </c>
      <c t="s">
        <v>2568</v>
      </c>
      <c s="3">
        <v>87245</v>
      </c>
      <c s="3">
        <v>78178</v>
      </c>
      <c s="3">
        <v>85649</v>
      </c>
      <c>
        <v>0</v>
      </c>
      <c s="3">
        <v>0</v>
      </c>
      <c s="3">
        <v>1296.07</v>
      </c>
      <c s="3">
        <v>87245</v>
      </c>
      <c r="O6093" s="1" t="str">
        <f ca="1">HYPERLINK("https://web.datatree.com/?/property?propertyId=183446584", "https://web.datatree.com/?/property?propertyId=183446584")</f>
        <v>https://web.datatree.com/?/property?propertyId=183446584</v>
      </c>
      <c r="Q6093" t="s">
        <v>316</v>
      </c>
      <c>
        <v>0.072</v>
      </c>
      <c t="s">
        <v>9944</v>
      </c>
      <c t="s">
        <v>45883</v>
      </c>
      <c t="s">
        <v>25102</v>
      </c>
      <c t="s">
        <v>31337</v>
      </c>
      <c t="s">
        <v>25102</v>
      </c>
      <c t="s">
        <v>46027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61535</v>
      </c>
      <c r="AI6093" t="s">
        <v>46825</v>
      </c>
      <c r="AL6093" t="s">
        <v>9673</v>
      </c>
      <c t="s">
        <v>40227</v>
      </c>
      <c t="s">
        <v>19878</v>
      </c>
      <c>
        <v>61523</v>
      </c>
      <c t="s">
        <v>23536</v>
      </c>
      <c t="s">
        <v>3093</v>
      </c>
      <c t="s">
        <v>66162</v>
      </c>
    </row>
    <row>
      <c t="s">
        <v>17594</v>
      </c>
      <c t="s">
        <v>20392</v>
      </c>
      <c t="s">
        <v>60751</v>
      </c>
      <c t="s">
        <v>47629</v>
      </c>
      <c t="s">
        <v>50390</v>
      </c>
      <c s="3">
        <v>84394</v>
      </c>
      <c s="3">
        <v>75000</v>
      </c>
      <c s="3">
        <v>84394</v>
      </c>
      <c>
        <v>0</v>
      </c>
      <c s="3">
        <v>0</v>
      </c>
      <c s="3">
        <v>1268.42</v>
      </c>
      <c s="3">
        <v>84394</v>
      </c>
      <c r="O6094" s="1" t="str">
        <f ca="1">HYPERLINK("https://web.datatree.com/?/property?propertyId=183446594", "https://web.datatree.com/?/property?propertyId=183446594")</f>
        <v>https://web.datatree.com/?/property?propertyId=183446594</v>
      </c>
      <c r="Q6094" t="s">
        <v>316</v>
      </c>
      <c>
        <v>0.072</v>
      </c>
      <c t="s">
        <v>9944</v>
      </c>
      <c t="s">
        <v>24692</v>
      </c>
      <c t="s">
        <v>55080</v>
      </c>
      <c t="s">
        <v>60062</v>
      </c>
      <c t="s">
        <v>55080</v>
      </c>
      <c t="s">
        <v>53436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25864</v>
      </c>
      <c>
        <v>30</v>
      </c>
      <c r="AI6094" t="s">
        <v>59004</v>
      </c>
      <c t="s">
        <v>14116</v>
      </c>
      <c r="AL6094" t="s">
        <v>7443</v>
      </c>
      <c t="s">
        <v>40227</v>
      </c>
      <c t="s">
        <v>64022</v>
      </c>
      <c t="s">
        <v>14814</v>
      </c>
      <c t="s">
        <v>14695</v>
      </c>
      <c t="s">
        <v>3093</v>
      </c>
      <c t="s">
        <v>24470</v>
      </c>
    </row>
    <row>
      <c t="s">
        <v>17594</v>
      </c>
      <c t="s">
        <v>5422</v>
      </c>
      <c t="s">
        <v>35915</v>
      </c>
      <c t="s">
        <v>39762</v>
      </c>
      <c t="s">
        <v>37592</v>
      </c>
      <c s="3">
        <v>84229</v>
      </c>
      <c s="3">
        <v>75000</v>
      </c>
      <c s="3">
        <v>75286</v>
      </c>
      <c>
        <v>0</v>
      </c>
      <c s="3">
        <v>0</v>
      </c>
      <c s="3">
        <v>1181.75</v>
      </c>
      <c s="3">
        <v>84229</v>
      </c>
      <c r="O6095" s="1" t="str">
        <f ca="1">HYPERLINK("https://web.datatree.com/?/property?propertyId=183446806", "https://web.datatree.com/?/property?propertyId=183446806")</f>
        <v>https://web.datatree.com/?/property?propertyId=183446806</v>
      </c>
      <c r="Q6095" t="s">
        <v>316</v>
      </c>
      <c>
        <v>0.072</v>
      </c>
      <c t="s">
        <v>9944</v>
      </c>
      <c r="U6095" t="s">
        <v>47475</v>
      </c>
      <c r="W6095" t="s">
        <v>36053</v>
      </c>
      <c t="s">
        <v>30919</v>
      </c>
      <c t="s">
        <v>26895</v>
      </c>
      <c t="s">
        <v>65059</v>
      </c>
      <c t="s">
        <v>39289</v>
      </c>
      <c>
        <v>33905</v>
      </c>
      <c>
        <v>33905</v>
      </c>
      <c t="s">
        <v>48794</v>
      </c>
      <c t="s">
        <v>44444</v>
      </c>
      <c>
        <v>7662</v>
      </c>
      <c r="AI6095" t="s">
        <v>41626</v>
      </c>
      <c t="s">
        <v>45620</v>
      </c>
      <c r="AL6095" t="s">
        <v>8287</v>
      </c>
      <c t="s">
        <v>40227</v>
      </c>
      <c t="s">
        <v>19878</v>
      </c>
      <c t="s">
        <v>47166</v>
      </c>
      <c t="s">
        <v>14695</v>
      </c>
      <c t="s">
        <v>3093</v>
      </c>
      <c t="s">
        <v>54653</v>
      </c>
    </row>
    <row>
      <c t="s">
        <v>17594</v>
      </c>
      <c t="s">
        <v>1114</v>
      </c>
      <c t="s">
        <v>16993</v>
      </c>
      <c t="s">
        <v>11265</v>
      </c>
      <c t="s">
        <v>56733</v>
      </c>
      <c s="3">
        <v>87769</v>
      </c>
      <c s="3">
        <v>76962</v>
      </c>
      <c s="3">
        <v>86613</v>
      </c>
      <c>
        <v>0</v>
      </c>
      <c s="3">
        <v>0</v>
      </c>
      <c s="3">
        <v>1308.05</v>
      </c>
      <c s="3">
        <v>87769</v>
      </c>
      <c r="O6096" s="1" t="str">
        <f ca="1">HYPERLINK("https://web.datatree.com/?/property?propertyId=183446814", "https://web.datatree.com/?/property?propertyId=183446814")</f>
        <v>https://web.datatree.com/?/property?propertyId=183446814</v>
      </c>
      <c r="Q6096" t="s">
        <v>316</v>
      </c>
      <c>
        <v>0.072</v>
      </c>
      <c t="s">
        <v>9944</v>
      </c>
      <c t="s">
        <v>65556</v>
      </c>
      <c t="s">
        <v>12332</v>
      </c>
      <c t="s">
        <v>64201</v>
      </c>
      <c t="s">
        <v>12332</v>
      </c>
      <c t="s">
        <v>20133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54498</v>
      </c>
      <c>
        <v>53893</v>
      </c>
      <c r="AH6096" t="s">
        <v>57851</v>
      </c>
      <c t="s">
        <v>33835</v>
      </c>
      <c t="s">
        <v>31192</v>
      </c>
      <c r="AL6096" t="s">
        <v>614</v>
      </c>
      <c t="s">
        <v>40227</v>
      </c>
      <c t="s">
        <v>49572</v>
      </c>
      <c t="s">
        <v>24628</v>
      </c>
      <c t="s">
        <v>4660</v>
      </c>
      <c t="s">
        <v>3093</v>
      </c>
      <c t="s">
        <v>26864</v>
      </c>
    </row>
    <row>
      <c t="s">
        <v>17594</v>
      </c>
      <c t="s">
        <v>48893</v>
      </c>
      <c t="s">
        <v>42363</v>
      </c>
      <c t="s">
        <v>48159</v>
      </c>
      <c t="s">
        <v>56450</v>
      </c>
      <c s="3">
        <v>89325</v>
      </c>
      <c s="3">
        <v>77184</v>
      </c>
      <c s="3">
        <v>77774</v>
      </c>
      <c>
        <v>0</v>
      </c>
      <c s="3">
        <v>0</v>
      </c>
      <c s="3">
        <v>1233.47</v>
      </c>
      <c s="3">
        <v>89325</v>
      </c>
      <c r="O6097" s="1" t="str">
        <f ca="1">HYPERLINK("https://web.datatree.com/?/property?propertyId=200593899", "https://web.datatree.com/?/property?propertyId=200593899")</f>
        <v>https://web.datatree.com/?/property?propertyId=200593899</v>
      </c>
      <c r="Q6097" t="s">
        <v>316</v>
      </c>
      <c>
        <v>0.078</v>
      </c>
      <c t="s">
        <v>9944</v>
      </c>
      <c r="U6097" t="s">
        <v>34664</v>
      </c>
      <c t="s">
        <v>2140</v>
      </c>
      <c t="s">
        <v>29679</v>
      </c>
      <c t="s">
        <v>43325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35469</v>
      </c>
      <c>
        <v>29</v>
      </c>
      <c r="AI6097" t="s">
        <v>38593</v>
      </c>
      <c t="s">
        <v>45620</v>
      </c>
      <c r="AL6097" t="s">
        <v>14522</v>
      </c>
      <c t="s">
        <v>14522</v>
      </c>
      <c t="s">
        <v>64022</v>
      </c>
      <c t="s">
        <v>54314</v>
      </c>
      <c t="s">
        <v>4480</v>
      </c>
      <c t="s">
        <v>3093</v>
      </c>
      <c t="s">
        <v>59</v>
      </c>
    </row>
    <row>
      <c t="s">
        <v>17594</v>
      </c>
      <c t="s">
        <v>48234</v>
      </c>
      <c t="s">
        <v>50600</v>
      </c>
      <c t="s">
        <v>25004</v>
      </c>
      <c t="s">
        <v>63113</v>
      </c>
      <c s="3">
        <v>87307</v>
      </c>
      <c s="3">
        <v>77913</v>
      </c>
      <c s="3">
        <v>87307</v>
      </c>
      <c>
        <v>0</v>
      </c>
      <c s="3">
        <v>0</v>
      </c>
      <c s="3">
        <v>1312.03</v>
      </c>
      <c s="3">
        <v>87307</v>
      </c>
      <c r="O6098" s="1" t="str">
        <f ca="1">HYPERLINK("https://web.datatree.com/?/property?propertyId=200594897", "https://web.datatree.com/?/property?propertyId=200594897")</f>
        <v>https://web.datatree.com/?/property?propertyId=200594897</v>
      </c>
      <c r="Q6098" t="s">
        <v>316</v>
      </c>
      <c>
        <v>0.076</v>
      </c>
      <c t="s">
        <v>9944</v>
      </c>
      <c t="s">
        <v>50343</v>
      </c>
      <c t="s">
        <v>40709</v>
      </c>
      <c t="s">
        <v>15051</v>
      </c>
      <c t="s">
        <v>40709</v>
      </c>
      <c t="s">
        <v>62633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62521</v>
      </c>
      <c>
        <v>2</v>
      </c>
      <c r="AI6098" t="s">
        <v>31387</v>
      </c>
      <c t="s">
        <v>31192</v>
      </c>
      <c r="AL6098" t="s">
        <v>10768</v>
      </c>
      <c t="s">
        <v>11820</v>
      </c>
      <c t="s">
        <v>58733</v>
      </c>
      <c t="s">
        <v>47159</v>
      </c>
      <c t="s">
        <v>22152</v>
      </c>
      <c t="s">
        <v>3093</v>
      </c>
      <c t="s">
        <v>30763</v>
      </c>
    </row>
    <row>
      <c t="s">
        <v>17594</v>
      </c>
      <c t="s">
        <v>34783</v>
      </c>
      <c t="s">
        <v>58629</v>
      </c>
      <c t="s">
        <v>65539</v>
      </c>
      <c t="s">
        <v>33166</v>
      </c>
      <c s="3">
        <v>84504</v>
      </c>
      <c s="3">
        <v>75000</v>
      </c>
      <c s="3">
        <v>75528</v>
      </c>
      <c>
        <v>0</v>
      </c>
      <c s="3">
        <v>0</v>
      </c>
      <c s="3">
        <v>1185.54</v>
      </c>
      <c s="3">
        <v>84504</v>
      </c>
      <c r="O6099" s="1" t="str">
        <f ca="1">HYPERLINK("https://web.datatree.com/?/property?propertyId=200595009", "https://web.datatree.com/?/property?propertyId=200595009")</f>
        <v>https://web.datatree.com/?/property?propertyId=200595009</v>
      </c>
      <c r="Q6099" t="s">
        <v>316</v>
      </c>
      <c>
        <v>0.078</v>
      </c>
      <c t="s">
        <v>9944</v>
      </c>
      <c t="s">
        <v>15645</v>
      </c>
      <c t="s">
        <v>23597</v>
      </c>
      <c t="s">
        <v>61500</v>
      </c>
      <c t="s">
        <v>23597</v>
      </c>
      <c t="s">
        <v>41950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26809</v>
      </c>
      <c>
        <v>1010</v>
      </c>
      <c r="AI6099" t="s">
        <v>56735</v>
      </c>
      <c t="s">
        <v>31192</v>
      </c>
      <c r="AL6099" t="s">
        <v>15961</v>
      </c>
      <c t="s">
        <v>15961</v>
      </c>
      <c t="s">
        <v>17134</v>
      </c>
      <c t="s">
        <v>57520</v>
      </c>
      <c t="s">
        <v>42082</v>
      </c>
      <c t="s">
        <v>3093</v>
      </c>
      <c t="s">
        <v>4071</v>
      </c>
    </row>
    <row>
      <c t="s">
        <v>17594</v>
      </c>
      <c t="s">
        <v>39983</v>
      </c>
      <c t="s">
        <v>11439</v>
      </c>
      <c t="s">
        <v>26283</v>
      </c>
      <c t="s">
        <v>40943</v>
      </c>
      <c s="3">
        <v>84284</v>
      </c>
      <c s="3">
        <v>75000</v>
      </c>
      <c s="3">
        <v>82421</v>
      </c>
      <c>
        <v>0</v>
      </c>
      <c s="3">
        <v>0</v>
      </c>
      <c s="3">
        <v>1249.23</v>
      </c>
      <c s="3">
        <v>84284</v>
      </c>
      <c r="O6100" s="1" t="str">
        <f ca="1">HYPERLINK("https://web.datatree.com/?/property?propertyId=200595645", "https://web.datatree.com/?/property?propertyId=200595645")</f>
        <v>https://web.datatree.com/?/property?propertyId=200595645</v>
      </c>
      <c r="Q6100" t="s">
        <v>316</v>
      </c>
      <c>
        <v>0.08</v>
      </c>
      <c t="s">
        <v>9944</v>
      </c>
      <c t="s">
        <v>2140</v>
      </c>
      <c t="s">
        <v>47585</v>
      </c>
      <c t="s">
        <v>65792</v>
      </c>
      <c t="s">
        <v>47585</v>
      </c>
      <c t="s">
        <v>15373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48363</v>
      </c>
      <c>
        <v>4840</v>
      </c>
      <c r="AI6100" t="s">
        <v>34298</v>
      </c>
      <c t="s">
        <v>55842</v>
      </c>
      <c r="AL6100" t="s">
        <v>62232</v>
      </c>
      <c t="s">
        <v>40227</v>
      </c>
      <c t="s">
        <v>51137</v>
      </c>
      <c t="s">
        <v>61097</v>
      </c>
      <c t="s">
        <v>22455</v>
      </c>
      <c t="s">
        <v>3093</v>
      </c>
      <c t="s">
        <v>41129</v>
      </c>
    </row>
    <row>
      <c t="s">
        <v>17594</v>
      </c>
      <c t="s">
        <v>50597</v>
      </c>
      <c t="s">
        <v>35832</v>
      </c>
      <c t="s">
        <v>40031</v>
      </c>
      <c t="s">
        <v>16390</v>
      </c>
      <c s="3">
        <v>84394</v>
      </c>
      <c s="3">
        <v>75000</v>
      </c>
      <c s="3">
        <v>75242</v>
      </c>
      <c>
        <v>0</v>
      </c>
      <c s="3">
        <v>0</v>
      </c>
      <c s="3">
        <v>1182.24</v>
      </c>
      <c s="3">
        <v>84394</v>
      </c>
      <c r="O6101" s="1" t="str">
        <f ca="1">HYPERLINK("https://web.datatree.com/?/property?propertyId=200596127", "https://web.datatree.com/?/property?propertyId=200596127")</f>
        <v>https://web.datatree.com/?/property?propertyId=200596127</v>
      </c>
      <c r="Q6101" t="s">
        <v>316</v>
      </c>
      <c>
        <v>0.078</v>
      </c>
      <c t="s">
        <v>9944</v>
      </c>
      <c t="s">
        <v>16200</v>
      </c>
      <c t="s">
        <v>66898</v>
      </c>
      <c t="s">
        <v>13419</v>
      </c>
      <c t="s">
        <v>66898</v>
      </c>
      <c t="s">
        <v>16067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16486</v>
      </c>
      <c>
        <v>1607</v>
      </c>
      <c r="AI6101" t="s">
        <v>54410</v>
      </c>
      <c t="s">
        <v>31192</v>
      </c>
      <c r="AL6101" t="s">
        <v>23914</v>
      </c>
      <c t="s">
        <v>23914</v>
      </c>
      <c t="s">
        <v>10804</v>
      </c>
      <c t="s">
        <v>62067</v>
      </c>
      <c t="s">
        <v>45980</v>
      </c>
      <c t="s">
        <v>3093</v>
      </c>
      <c t="s">
        <v>10484</v>
      </c>
    </row>
    <row>
      <c t="s">
        <v>17594</v>
      </c>
      <c t="s">
        <v>34017</v>
      </c>
      <c t="s">
        <v>20264</v>
      </c>
      <c t="s">
        <v>27441</v>
      </c>
      <c t="s">
        <v>34625</v>
      </c>
      <c s="3">
        <v>87572</v>
      </c>
      <c s="3">
        <v>78178</v>
      </c>
      <c s="3">
        <v>78999</v>
      </c>
      <c>
        <v>0</v>
      </c>
      <c s="3">
        <v>0</v>
      </c>
      <c s="3">
        <v>1235.28</v>
      </c>
      <c s="3">
        <v>87572</v>
      </c>
      <c r="O6102" s="1" t="str">
        <f ca="1">HYPERLINK("https://web.datatree.com/?/property?propertyId=200596769", "https://web.datatree.com/?/property?propertyId=200596769")</f>
        <v>https://web.datatree.com/?/property?propertyId=200596769</v>
      </c>
      <c r="Q6102" t="s">
        <v>316</v>
      </c>
      <c>
        <v>0.077</v>
      </c>
      <c t="s">
        <v>9944</v>
      </c>
      <c r="U6102" t="s">
        <v>58344</v>
      </c>
      <c r="W6102" t="s">
        <v>5602</v>
      </c>
      <c t="s">
        <v>24597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31727</v>
      </c>
      <c>
        <v>134</v>
      </c>
      <c r="AI6102" t="s">
        <v>37703</v>
      </c>
      <c t="s">
        <v>1671</v>
      </c>
      <c r="AL6102" t="s">
        <v>8956</v>
      </c>
      <c t="s">
        <v>8956</v>
      </c>
      <c t="s">
        <v>26443</v>
      </c>
      <c t="s">
        <v>29334</v>
      </c>
      <c t="s">
        <v>52247</v>
      </c>
      <c t="s">
        <v>3093</v>
      </c>
      <c t="s">
        <v>20439</v>
      </c>
    </row>
    <row>
      <c t="s">
        <v>17594</v>
      </c>
      <c t="s">
        <v>15682</v>
      </c>
      <c t="s">
        <v>11079</v>
      </c>
      <c t="s">
        <v>54185</v>
      </c>
      <c t="s">
        <v>29351</v>
      </c>
      <c s="3">
        <v>86034</v>
      </c>
      <c s="3">
        <v>75000</v>
      </c>
      <c s="3">
        <v>77211</v>
      </c>
      <c>
        <v>0</v>
      </c>
      <c s="3">
        <v>0</v>
      </c>
      <c s="3">
        <v>1209.89</v>
      </c>
      <c s="3">
        <v>86034</v>
      </c>
      <c r="O6103" s="1" t="str">
        <f ca="1">HYPERLINK("https://web.datatree.com/?/property?propertyId=200599718", "https://web.datatree.com/?/property?propertyId=200599718")</f>
        <v>https://web.datatree.com/?/property?propertyId=200599718</v>
      </c>
      <c r="Q6103" t="s">
        <v>316</v>
      </c>
      <c>
        <v>0.077</v>
      </c>
      <c t="s">
        <v>9944</v>
      </c>
      <c t="s">
        <v>10361</v>
      </c>
      <c t="s">
        <v>52600</v>
      </c>
      <c t="s">
        <v>34344</v>
      </c>
      <c t="s">
        <v>52600</v>
      </c>
      <c t="s">
        <v>54326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36976</v>
      </c>
      <c>
        <v>1777</v>
      </c>
      <c r="AI6103" t="s">
        <v>1991</v>
      </c>
      <c t="s">
        <v>45620</v>
      </c>
      <c r="AL6103" t="s">
        <v>66300</v>
      </c>
      <c t="s">
        <v>40227</v>
      </c>
      <c t="s">
        <v>50829</v>
      </c>
      <c t="s">
        <v>46047</v>
      </c>
      <c t="s">
        <v>65529</v>
      </c>
      <c t="s">
        <v>3093</v>
      </c>
      <c t="s">
        <v>51017</v>
      </c>
    </row>
    <row>
      <c t="s">
        <v>42103</v>
      </c>
      <c t="s">
        <v>62718</v>
      </c>
      <c t="s">
        <v>8181</v>
      </c>
      <c t="s">
        <v>4668</v>
      </c>
      <c t="s">
        <v>55198</v>
      </c>
      <c s="3">
        <v>102565</v>
      </c>
      <c s="3">
        <v>88044</v>
      </c>
      <c s="3">
        <v>102565</v>
      </c>
      <c>
        <v>0</v>
      </c>
      <c s="3">
        <v>0</v>
      </c>
      <c s="3">
        <v>1345.15</v>
      </c>
      <c s="3">
        <v>102565</v>
      </c>
      <c r="O6104" s="1" t="str">
        <f ca="1">HYPERLINK("https://web.datatree.com/?/property?propertyId=200600922", "https://web.datatree.com/?/property?propertyId=200600922")</f>
        <v>https://web.datatree.com/?/property?propertyId=200600922</v>
      </c>
      <c r="Q6104" t="s">
        <v>316</v>
      </c>
      <c>
        <v>0.076</v>
      </c>
      <c t="s">
        <v>9944</v>
      </c>
      <c t="s">
        <v>34388</v>
      </c>
      <c t="s">
        <v>57911</v>
      </c>
      <c t="s">
        <v>16194</v>
      </c>
      <c t="s">
        <v>57911</v>
      </c>
      <c t="s">
        <v>27651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66020</v>
      </c>
      <c r="AI6104" t="s">
        <v>34340</v>
      </c>
      <c r="AL6104" t="s">
        <v>10738</v>
      </c>
      <c t="s">
        <v>10738</v>
      </c>
      <c t="s">
        <v>19878</v>
      </c>
      <c>
        <v>60957</v>
      </c>
      <c t="s">
        <v>61207</v>
      </c>
      <c t="s">
        <v>3093</v>
      </c>
      <c t="s">
        <v>42468</v>
      </c>
    </row>
    <row>
      <c t="s">
        <v>17594</v>
      </c>
      <c t="s">
        <v>29566</v>
      </c>
      <c t="s">
        <v>9383</v>
      </c>
      <c t="s">
        <v>5962</v>
      </c>
      <c t="s">
        <v>33023</v>
      </c>
      <c s="3">
        <v>101433</v>
      </c>
      <c s="3">
        <v>88044</v>
      </c>
      <c s="3">
        <v>85486</v>
      </c>
      <c>
        <v>0</v>
      </c>
      <c s="3">
        <v>0</v>
      </c>
      <c s="3">
        <v>1300.88</v>
      </c>
      <c s="3">
        <v>101433</v>
      </c>
      <c r="O6105" s="1" t="str">
        <f ca="1">HYPERLINK("https://web.datatree.com/?/property?propertyId=200602041", "https://web.datatree.com/?/property?propertyId=200602041")</f>
        <v>https://web.datatree.com/?/property?propertyId=200602041</v>
      </c>
      <c r="Q6105" t="s">
        <v>316</v>
      </c>
      <c>
        <v>0.08</v>
      </c>
      <c t="s">
        <v>9944</v>
      </c>
      <c t="s">
        <v>49241</v>
      </c>
      <c t="s">
        <v>63584</v>
      </c>
      <c t="s">
        <v>67269</v>
      </c>
      <c t="s">
        <v>63584</v>
      </c>
      <c t="s">
        <v>66738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59036</v>
      </c>
      <c>
        <v>56</v>
      </c>
      <c r="AI6105" t="s">
        <v>7543</v>
      </c>
      <c t="s">
        <v>31192</v>
      </c>
      <c r="AL6105" t="s">
        <v>31395</v>
      </c>
      <c t="s">
        <v>40227</v>
      </c>
      <c t="s">
        <v>36633</v>
      </c>
      <c t="s">
        <v>8610</v>
      </c>
      <c t="s">
        <v>22152</v>
      </c>
      <c t="s">
        <v>3093</v>
      </c>
      <c t="s">
        <v>3661</v>
      </c>
    </row>
    <row>
      <c t="s">
        <v>17594</v>
      </c>
      <c t="s">
        <v>6858</v>
      </c>
      <c t="s">
        <v>52538</v>
      </c>
      <c t="s">
        <v>23825</v>
      </c>
      <c t="s">
        <v>44475</v>
      </c>
      <c s="3">
        <v>85948</v>
      </c>
      <c s="3">
        <v>75000</v>
      </c>
      <c s="3">
        <v>77211</v>
      </c>
      <c>
        <v>0</v>
      </c>
      <c s="3">
        <v>0</v>
      </c>
      <c s="3">
        <v>1209.41</v>
      </c>
      <c s="3">
        <v>85948</v>
      </c>
      <c r="O6106" s="1" t="str">
        <f ca="1">HYPERLINK("https://web.datatree.com/?/property?propertyId=200603508", "https://web.datatree.com/?/property?propertyId=200603508")</f>
        <v>https://web.datatree.com/?/property?propertyId=200603508</v>
      </c>
      <c r="Q6106" t="s">
        <v>316</v>
      </c>
      <c>
        <v>0.075</v>
      </c>
      <c t="s">
        <v>9944</v>
      </c>
      <c t="s">
        <v>11199</v>
      </c>
      <c t="s">
        <v>56668</v>
      </c>
      <c t="s">
        <v>42388</v>
      </c>
      <c t="s">
        <v>56668</v>
      </c>
      <c t="s">
        <v>54282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20776</v>
      </c>
      <c>
        <v>15432</v>
      </c>
      <c r="AI6106" t="s">
        <v>58045</v>
      </c>
      <c t="s">
        <v>24900</v>
      </c>
      <c r="AL6106" t="s">
        <v>63634</v>
      </c>
      <c t="s">
        <v>40227</v>
      </c>
      <c t="s">
        <v>51137</v>
      </c>
      <c t="s">
        <v>24662</v>
      </c>
      <c t="s">
        <v>35354</v>
      </c>
      <c t="s">
        <v>3093</v>
      </c>
      <c t="s">
        <v>39972</v>
      </c>
    </row>
    <row>
      <c t="s">
        <v>17594</v>
      </c>
      <c t="s">
        <v>4338</v>
      </c>
      <c t="s">
        <v>20169</v>
      </c>
      <c t="s">
        <v>19228</v>
      </c>
      <c t="s">
        <v>35406</v>
      </c>
      <c s="3">
        <v>89071</v>
      </c>
      <c s="3">
        <v>78706</v>
      </c>
      <c s="3">
        <v>75209</v>
      </c>
      <c>
        <v>0</v>
      </c>
      <c s="3">
        <v>0</v>
      </c>
      <c s="3">
        <v>1187.32</v>
      </c>
      <c s="3">
        <v>89071</v>
      </c>
      <c r="O6107" s="1" t="str">
        <f ca="1">HYPERLINK("https://web.datatree.com/?/property?propertyId=200604361", "https://web.datatree.com/?/property?propertyId=200604361")</f>
        <v>https://web.datatree.com/?/property?propertyId=200604361</v>
      </c>
      <c r="Q6107" t="s">
        <v>316</v>
      </c>
      <c>
        <v>0.076</v>
      </c>
      <c t="s">
        <v>9944</v>
      </c>
      <c r="U6107" t="s">
        <v>2191</v>
      </c>
      <c r="W6107" t="s">
        <v>26723</v>
      </c>
      <c t="s">
        <v>32055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8927</v>
      </c>
      <c>
        <v>1415</v>
      </c>
      <c r="AI6107" t="s">
        <v>36599</v>
      </c>
      <c t="s">
        <v>31192</v>
      </c>
      <c r="AL6107" t="s">
        <v>10735</v>
      </c>
      <c t="s">
        <v>830</v>
      </c>
      <c t="s">
        <v>66651</v>
      </c>
      <c t="s">
        <v>33515</v>
      </c>
      <c t="s">
        <v>43294</v>
      </c>
      <c t="s">
        <v>3093</v>
      </c>
      <c t="s">
        <v>60663</v>
      </c>
    </row>
    <row>
      <c t="s">
        <v>17594</v>
      </c>
      <c t="s">
        <v>23482</v>
      </c>
      <c t="s">
        <v>50693</v>
      </c>
      <c t="s">
        <v>33827</v>
      </c>
      <c t="s">
        <v>3031</v>
      </c>
      <c s="3">
        <v>94934</v>
      </c>
      <c s="3">
        <v>77359</v>
      </c>
      <c s="3">
        <v>94934</v>
      </c>
      <c>
        <v>0</v>
      </c>
      <c s="3">
        <v>0</v>
      </c>
      <c s="3">
        <v>1426.21</v>
      </c>
      <c s="3">
        <v>94934</v>
      </c>
      <c r="O6108" s="1" t="str">
        <f ca="1">HYPERLINK("https://web.datatree.com/?/property?propertyId=200606595", "https://web.datatree.com/?/property?propertyId=200606595")</f>
        <v>https://web.datatree.com/?/property?propertyId=200606595</v>
      </c>
      <c r="Q6108" t="s">
        <v>316</v>
      </c>
      <c>
        <v>0.076</v>
      </c>
      <c t="s">
        <v>9944</v>
      </c>
      <c r="U6108" t="s">
        <v>21260</v>
      </c>
      <c r="W6108" t="s">
        <v>35684</v>
      </c>
      <c t="s">
        <v>20698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20408</v>
      </c>
      <c>
        <v>1064</v>
      </c>
      <c r="AI6108" t="s">
        <v>12948</v>
      </c>
      <c t="s">
        <v>56275</v>
      </c>
      <c r="AL6108" t="s">
        <v>431</v>
      </c>
      <c t="s">
        <v>431</v>
      </c>
      <c t="s">
        <v>17134</v>
      </c>
      <c t="s">
        <v>25533</v>
      </c>
      <c t="s">
        <v>4797</v>
      </c>
      <c t="s">
        <v>3093</v>
      </c>
      <c t="s">
        <v>18669</v>
      </c>
    </row>
    <row>
      <c t="s">
        <v>17594</v>
      </c>
      <c t="s">
        <v>44040</v>
      </c>
      <c t="s">
        <v>2796</v>
      </c>
      <c t="s">
        <v>52563</v>
      </c>
      <c t="s">
        <v>25133</v>
      </c>
      <c s="3">
        <v>88049</v>
      </c>
      <c s="3">
        <v>78765</v>
      </c>
      <c s="3">
        <v>87232</v>
      </c>
      <c>
        <v>0</v>
      </c>
      <c s="3">
        <v>0</v>
      </c>
      <c s="3">
        <v>1315.43</v>
      </c>
      <c s="3">
        <v>88049</v>
      </c>
      <c r="O6109" s="1" t="str">
        <f ca="1">HYPERLINK("https://web.datatree.com/?/property?propertyId=200607594", "https://web.datatree.com/?/property?propertyId=200607594")</f>
        <v>https://web.datatree.com/?/property?propertyId=200607594</v>
      </c>
      <c r="Q6109" t="s">
        <v>316</v>
      </c>
      <c>
        <v>0.074</v>
      </c>
      <c t="s">
        <v>9944</v>
      </c>
      <c t="s">
        <v>19112</v>
      </c>
      <c t="s">
        <v>67184</v>
      </c>
      <c t="s">
        <v>10600</v>
      </c>
      <c t="s">
        <v>67184</v>
      </c>
      <c t="s">
        <v>1842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9128</v>
      </c>
      <c>
        <v>1232</v>
      </c>
      <c r="AI6109" t="s">
        <v>61967</v>
      </c>
      <c r="AL6109" t="s">
        <v>22899</v>
      </c>
      <c t="s">
        <v>40227</v>
      </c>
      <c t="s">
        <v>50917</v>
      </c>
      <c>
        <v>12195</v>
      </c>
      <c r="AQ6109" t="s">
        <v>3093</v>
      </c>
      <c t="s">
        <v>63102</v>
      </c>
    </row>
    <row>
      <c t="s">
        <v>17594</v>
      </c>
      <c t="s">
        <v>49193</v>
      </c>
      <c t="s">
        <v>22324</v>
      </c>
      <c t="s">
        <v>44827</v>
      </c>
      <c t="s">
        <v>25281</v>
      </c>
      <c s="3">
        <v>87146</v>
      </c>
      <c s="3">
        <v>77752</v>
      </c>
      <c s="3">
        <v>87146</v>
      </c>
      <c>
        <v>0</v>
      </c>
      <c s="3">
        <v>0</v>
      </c>
      <c s="3">
        <v>1309.61</v>
      </c>
      <c s="3">
        <v>87146</v>
      </c>
      <c r="O6110" s="1" t="str">
        <f ca="1">HYPERLINK("https://web.datatree.com/?/property?propertyId=200608798", "https://web.datatree.com/?/property?propertyId=200608798")</f>
        <v>https://web.datatree.com/?/property?propertyId=200608798</v>
      </c>
      <c r="Q6110" t="s">
        <v>316</v>
      </c>
      <c>
        <v>0.078</v>
      </c>
      <c t="s">
        <v>9944</v>
      </c>
      <c t="s">
        <v>20729</v>
      </c>
      <c t="s">
        <v>27504</v>
      </c>
      <c t="s">
        <v>11444</v>
      </c>
      <c t="s">
        <v>28920</v>
      </c>
      <c t="s">
        <v>14153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30443</v>
      </c>
      <c>
        <v>409</v>
      </c>
      <c r="AI6110" t="s">
        <v>26546</v>
      </c>
      <c t="s">
        <v>1671</v>
      </c>
      <c r="AL6110" t="s">
        <v>29560</v>
      </c>
      <c t="s">
        <v>29560</v>
      </c>
      <c t="s">
        <v>39289</v>
      </c>
      <c t="s">
        <v>15176</v>
      </c>
      <c t="s">
        <v>47333</v>
      </c>
      <c t="s">
        <v>3093</v>
      </c>
      <c t="s">
        <v>53419</v>
      </c>
    </row>
    <row>
      <c t="s">
        <v>17594</v>
      </c>
      <c t="s">
        <v>16165</v>
      </c>
      <c t="s">
        <v>22324</v>
      </c>
      <c t="s">
        <v>46086</v>
      </c>
      <c t="s">
        <v>3487</v>
      </c>
      <c s="3">
        <v>85862</v>
      </c>
      <c s="3">
        <v>75000</v>
      </c>
      <c s="3">
        <v>85862</v>
      </c>
      <c>
        <v>0</v>
      </c>
      <c s="3">
        <v>0</v>
      </c>
      <c s="3">
        <v>1290.4</v>
      </c>
      <c s="3">
        <v>85862</v>
      </c>
      <c r="O6111" s="1" t="str">
        <f ca="1">HYPERLINK("https://web.datatree.com/?/property?propertyId=200608820", "https://web.datatree.com/?/property?propertyId=200608820")</f>
        <v>https://web.datatree.com/?/property?propertyId=200608820</v>
      </c>
      <c r="Q6111" t="s">
        <v>316</v>
      </c>
      <c>
        <v>0.078</v>
      </c>
      <c t="s">
        <v>9944</v>
      </c>
      <c t="s">
        <v>11444</v>
      </c>
      <c t="s">
        <v>28920</v>
      </c>
      <c t="s">
        <v>20729</v>
      </c>
      <c t="s">
        <v>27504</v>
      </c>
      <c t="s">
        <v>35402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23361</v>
      </c>
      <c>
        <v>409</v>
      </c>
      <c r="AI6111" t="s">
        <v>26546</v>
      </c>
      <c t="s">
        <v>1671</v>
      </c>
      <c r="AL6111" t="s">
        <v>29560</v>
      </c>
      <c t="s">
        <v>29560</v>
      </c>
      <c t="s">
        <v>39289</v>
      </c>
      <c t="s">
        <v>15176</v>
      </c>
      <c t="s">
        <v>47333</v>
      </c>
      <c t="s">
        <v>3093</v>
      </c>
      <c t="s">
        <v>53419</v>
      </c>
    </row>
    <row>
      <c t="s">
        <v>17594</v>
      </c>
      <c t="s">
        <v>61056</v>
      </c>
      <c t="s">
        <v>24599</v>
      </c>
      <c t="s">
        <v>20607</v>
      </c>
      <c t="s">
        <v>53937</v>
      </c>
      <c s="3">
        <v>84339</v>
      </c>
      <c s="3">
        <v>75000</v>
      </c>
      <c s="3">
        <v>75407</v>
      </c>
      <c>
        <v>0</v>
      </c>
      <c s="3">
        <v>0</v>
      </c>
      <c s="3">
        <v>1183.51</v>
      </c>
      <c s="3">
        <v>84339</v>
      </c>
      <c r="O6112" s="1" t="str">
        <f ca="1">HYPERLINK("https://web.datatree.com/?/property?propertyId=200608924", "https://web.datatree.com/?/property?propertyId=200608924")</f>
        <v>https://web.datatree.com/?/property?propertyId=200608924</v>
      </c>
      <c r="Q6112" t="s">
        <v>316</v>
      </c>
      <c>
        <v>0.072</v>
      </c>
      <c t="s">
        <v>9944</v>
      </c>
      <c t="s">
        <v>30490</v>
      </c>
      <c t="s">
        <v>38083</v>
      </c>
      <c t="s">
        <v>46605</v>
      </c>
      <c t="s">
        <v>38083</v>
      </c>
      <c t="s">
        <v>23054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6109</v>
      </c>
      <c>
        <v>726</v>
      </c>
      <c r="AI6112" t="s">
        <v>5105</v>
      </c>
      <c t="s">
        <v>45393</v>
      </c>
      <c t="s">
        <v>3581</v>
      </c>
      <c t="s">
        <v>53335</v>
      </c>
      <c t="s">
        <v>53335</v>
      </c>
      <c t="s">
        <v>17134</v>
      </c>
      <c t="s">
        <v>24036</v>
      </c>
      <c t="s">
        <v>42082</v>
      </c>
      <c t="s">
        <v>3093</v>
      </c>
      <c t="s">
        <v>59941</v>
      </c>
    </row>
    <row>
      <c t="s">
        <v>17594</v>
      </c>
      <c t="s">
        <v>27092</v>
      </c>
      <c t="s">
        <v>9149</v>
      </c>
      <c t="s">
        <v>60132</v>
      </c>
      <c t="s">
        <v>40608</v>
      </c>
      <c s="3">
        <v>87343</v>
      </c>
      <c s="3">
        <v>77752</v>
      </c>
      <c s="3">
        <v>87343</v>
      </c>
      <c>
        <v>0</v>
      </c>
      <c s="3">
        <v>0</v>
      </c>
      <c s="3">
        <v>1312.57</v>
      </c>
      <c s="3">
        <v>87343</v>
      </c>
      <c r="O6113" s="1" t="str">
        <f ca="1">HYPERLINK("https://web.datatree.com/?/property?propertyId=200609708", "https://web.datatree.com/?/property?propertyId=200609708")</f>
        <v>https://web.datatree.com/?/property?propertyId=200609708</v>
      </c>
      <c r="Q6113" t="s">
        <v>316</v>
      </c>
      <c>
        <v>0.076</v>
      </c>
      <c t="s">
        <v>9944</v>
      </c>
      <c t="s">
        <v>20753</v>
      </c>
      <c t="s">
        <v>1132</v>
      </c>
      <c t="s">
        <v>38239</v>
      </c>
      <c t="s">
        <v>1132</v>
      </c>
      <c t="s">
        <v>55439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65277</v>
      </c>
      <c>
        <v>2835</v>
      </c>
      <c r="AI6113" t="s">
        <v>63861</v>
      </c>
      <c t="s">
        <v>45620</v>
      </c>
      <c r="AL6113" t="s">
        <v>6312</v>
      </c>
      <c t="s">
        <v>40227</v>
      </c>
      <c t="s">
        <v>51137</v>
      </c>
      <c t="s">
        <v>52775</v>
      </c>
      <c t="s">
        <v>30106</v>
      </c>
      <c t="s">
        <v>3093</v>
      </c>
      <c t="s">
        <v>3474</v>
      </c>
    </row>
    <row>
      <c t="s">
        <v>17594</v>
      </c>
      <c t="s">
        <v>603</v>
      </c>
      <c t="s">
        <v>37937</v>
      </c>
      <c t="s">
        <v>64243</v>
      </c>
      <c t="s">
        <v>55314</v>
      </c>
      <c s="3">
        <v>87920</v>
      </c>
      <c s="3">
        <v>78121</v>
      </c>
      <c s="3">
        <v>78722</v>
      </c>
      <c>
        <v>0</v>
      </c>
      <c s="3">
        <v>0</v>
      </c>
      <c s="3">
        <v>1234.61</v>
      </c>
      <c s="3">
        <v>87920</v>
      </c>
      <c r="O6114" s="1" t="str">
        <f ca="1">HYPERLINK("https://web.datatree.com/?/property?propertyId=200610772", "https://web.datatree.com/?/property?propertyId=200610772")</f>
        <v>https://web.datatree.com/?/property?propertyId=200610772</v>
      </c>
      <c r="Q6114" t="s">
        <v>316</v>
      </c>
      <c>
        <v>0.077</v>
      </c>
      <c t="s">
        <v>9944</v>
      </c>
      <c t="s">
        <v>58876</v>
      </c>
      <c t="s">
        <v>48984</v>
      </c>
      <c t="s">
        <v>39598</v>
      </c>
      <c t="s">
        <v>2565</v>
      </c>
      <c t="s">
        <v>45792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33794</v>
      </c>
      <c>
        <v>1256</v>
      </c>
      <c r="AI6114" t="s">
        <v>23035</v>
      </c>
      <c t="s">
        <v>45620</v>
      </c>
      <c r="AL6114" t="s">
        <v>12831</v>
      </c>
      <c t="s">
        <v>40227</v>
      </c>
      <c t="s">
        <v>50917</v>
      </c>
      <c t="s">
        <v>53132</v>
      </c>
      <c t="s">
        <v>62830</v>
      </c>
      <c t="s">
        <v>3093</v>
      </c>
      <c t="s">
        <v>49401</v>
      </c>
    </row>
    <row>
      <c t="s">
        <v>42103</v>
      </c>
      <c t="s">
        <v>21271</v>
      </c>
      <c t="s">
        <v>272</v>
      </c>
      <c t="s">
        <v>67255</v>
      </c>
      <c t="s">
        <v>46233</v>
      </c>
      <c s="3">
        <v>100436</v>
      </c>
      <c s="3">
        <v>88044</v>
      </c>
      <c s="3">
        <v>86466</v>
      </c>
      <c>
        <v>0</v>
      </c>
      <c s="3">
        <v>0</v>
      </c>
      <c s="3">
        <v>1304.59</v>
      </c>
      <c s="3">
        <v>100436</v>
      </c>
      <c r="O6115" s="1" t="str">
        <f ca="1">HYPERLINK("https://web.datatree.com/?/property?propertyId=200613380", "https://web.datatree.com/?/property?propertyId=200613380")</f>
        <v>https://web.datatree.com/?/property?propertyId=200613380</v>
      </c>
      <c r="Q6115" t="s">
        <v>316</v>
      </c>
      <c>
        <v>0.08</v>
      </c>
      <c t="s">
        <v>9944</v>
      </c>
      <c r="U6115" t="s">
        <v>21009</v>
      </c>
      <c t="s">
        <v>25238</v>
      </c>
      <c t="s">
        <v>48749</v>
      </c>
      <c t="s">
        <v>16737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58899</v>
      </c>
      <c>
        <v>4274</v>
      </c>
      <c r="AI6115" t="s">
        <v>65677</v>
      </c>
      <c t="s">
        <v>56275</v>
      </c>
      <c r="AL6115" t="s">
        <v>38841</v>
      </c>
      <c t="s">
        <v>36703</v>
      </c>
      <c t="s">
        <v>51137</v>
      </c>
      <c t="s">
        <v>40341</v>
      </c>
      <c t="s">
        <v>7011</v>
      </c>
      <c t="s">
        <v>3093</v>
      </c>
      <c t="s">
        <v>20932</v>
      </c>
    </row>
    <row>
      <c t="s">
        <v>17594</v>
      </c>
      <c t="s">
        <v>53535</v>
      </c>
      <c t="s">
        <v>22219</v>
      </c>
      <c t="s">
        <v>12898</v>
      </c>
      <c t="s">
        <v>13720</v>
      </c>
      <c s="3">
        <v>84504</v>
      </c>
      <c s="3">
        <v>75000</v>
      </c>
      <c s="3">
        <v>74619</v>
      </c>
      <c>
        <v>0</v>
      </c>
      <c s="3">
        <v>0</v>
      </c>
      <c s="3">
        <v>1176.99</v>
      </c>
      <c s="3">
        <v>84504</v>
      </c>
      <c r="O6116" s="1" t="str">
        <f ca="1">HYPERLINK("https://web.datatree.com/?/property?propertyId=200614041", "https://web.datatree.com/?/property?propertyId=200614041")</f>
        <v>https://web.datatree.com/?/property?propertyId=200614041</v>
      </c>
      <c r="Q6116" t="s">
        <v>316</v>
      </c>
      <c>
        <v>0.076</v>
      </c>
      <c t="s">
        <v>9944</v>
      </c>
      <c t="s">
        <v>44541</v>
      </c>
      <c t="s">
        <v>18762</v>
      </c>
      <c t="s">
        <v>52045</v>
      </c>
      <c t="s">
        <v>18762</v>
      </c>
      <c t="s">
        <v>8130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29538</v>
      </c>
      <c>
        <v>529</v>
      </c>
      <c r="AI6116" t="s">
        <v>17277</v>
      </c>
      <c t="s">
        <v>31192</v>
      </c>
      <c r="AL6116" t="s">
        <v>47361</v>
      </c>
      <c t="s">
        <v>40227</v>
      </c>
      <c t="s">
        <v>10804</v>
      </c>
      <c t="s">
        <v>25348</v>
      </c>
      <c t="s">
        <v>864</v>
      </c>
      <c t="s">
        <v>3093</v>
      </c>
      <c t="s">
        <v>62967</v>
      </c>
    </row>
    <row>
      <c t="s">
        <v>17594</v>
      </c>
      <c t="s">
        <v>41991</v>
      </c>
      <c t="s">
        <v>46419</v>
      </c>
      <c t="s">
        <v>46677</v>
      </c>
      <c t="s">
        <v>65166</v>
      </c>
      <c s="3">
        <v>85511</v>
      </c>
      <c s="3">
        <v>78708</v>
      </c>
      <c s="3">
        <v>76678</v>
      </c>
      <c>
        <v>0</v>
      </c>
      <c s="3">
        <v>0</v>
      </c>
      <c s="3">
        <v>1201.99</v>
      </c>
      <c s="3">
        <v>85511</v>
      </c>
      <c r="O6117" s="1" t="str">
        <f ca="1">HYPERLINK("https://web.datatree.com/?/property?propertyId=200614591", "https://web.datatree.com/?/property?propertyId=200614591")</f>
        <v>https://web.datatree.com/?/property?propertyId=200614591</v>
      </c>
      <c r="Q6117" t="s">
        <v>316</v>
      </c>
      <c>
        <v>0.076</v>
      </c>
      <c t="s">
        <v>9944</v>
      </c>
      <c t="s">
        <v>12799</v>
      </c>
      <c t="s">
        <v>47604</v>
      </c>
      <c t="s">
        <v>18485</v>
      </c>
      <c t="s">
        <v>47604</v>
      </c>
      <c t="s">
        <v>54592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1622</v>
      </c>
      <c>
        <v>1140</v>
      </c>
      <c r="AI6117" t="s">
        <v>31598</v>
      </c>
      <c t="s">
        <v>45393</v>
      </c>
      <c r="AL6117" t="s">
        <v>14316</v>
      </c>
      <c t="s">
        <v>14316</v>
      </c>
      <c t="s">
        <v>64022</v>
      </c>
      <c t="s">
        <v>16058</v>
      </c>
      <c t="s">
        <v>7207</v>
      </c>
      <c t="s">
        <v>3093</v>
      </c>
      <c t="s">
        <v>36012</v>
      </c>
    </row>
    <row>
      <c t="s">
        <v>17594</v>
      </c>
      <c t="s">
        <v>33789</v>
      </c>
      <c t="s">
        <v>66882</v>
      </c>
      <c t="s">
        <v>45861</v>
      </c>
      <c t="s">
        <v>3644</v>
      </c>
      <c s="3">
        <v>84449</v>
      </c>
      <c s="3">
        <v>75000</v>
      </c>
      <c s="3">
        <v>82168</v>
      </c>
      <c>
        <v>0</v>
      </c>
      <c s="3">
        <v>0</v>
      </c>
      <c s="3">
        <v>1247.75</v>
      </c>
      <c s="3">
        <v>84449</v>
      </c>
      <c r="O6118" s="1" t="str">
        <f ca="1">HYPERLINK("https://web.datatree.com/?/property?propertyId=200615306", "https://web.datatree.com/?/property?propertyId=200615306")</f>
        <v>https://web.datatree.com/?/property?propertyId=200615306</v>
      </c>
      <c r="Q6118" t="s">
        <v>316</v>
      </c>
      <c>
        <v>0.076</v>
      </c>
      <c t="s">
        <v>9944</v>
      </c>
      <c t="s">
        <v>981</v>
      </c>
      <c t="s">
        <v>53465</v>
      </c>
      <c t="s">
        <v>31740</v>
      </c>
      <c t="s">
        <v>53465</v>
      </c>
      <c t="s">
        <v>40469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58933</v>
      </c>
      <c>
        <v>9321</v>
      </c>
      <c r="AI6118" t="s">
        <v>62836</v>
      </c>
      <c t="s">
        <v>45620</v>
      </c>
      <c r="AL6118" t="s">
        <v>66995</v>
      </c>
      <c t="s">
        <v>40227</v>
      </c>
      <c t="s">
        <v>50917</v>
      </c>
      <c t="s">
        <v>27890</v>
      </c>
      <c t="s">
        <v>26614</v>
      </c>
      <c t="s">
        <v>3093</v>
      </c>
      <c t="s">
        <v>8847</v>
      </c>
    </row>
    <row>
      <c t="s">
        <v>17594</v>
      </c>
      <c t="s">
        <v>14760</v>
      </c>
      <c t="s">
        <v>56204</v>
      </c>
      <c t="s">
        <v>50755</v>
      </c>
      <c t="s">
        <v>12371</v>
      </c>
      <c s="3">
        <v>85862</v>
      </c>
      <c s="3">
        <v>76986</v>
      </c>
      <c s="3">
        <v>77094</v>
      </c>
      <c>
        <v>0</v>
      </c>
      <c s="3">
        <v>0</v>
      </c>
      <c s="3">
        <v>1207.83</v>
      </c>
      <c s="3">
        <v>85862</v>
      </c>
      <c r="O6119" s="1" t="str">
        <f ca="1">HYPERLINK("https://web.datatree.com/?/property?propertyId=200615322", "https://web.datatree.com/?/property?propertyId=200615322")</f>
        <v>https://web.datatree.com/?/property?propertyId=200615322</v>
      </c>
      <c r="Q6119" t="s">
        <v>316</v>
      </c>
      <c>
        <v>0.09</v>
      </c>
      <c t="s">
        <v>9944</v>
      </c>
      <c t="s">
        <v>39574</v>
      </c>
      <c t="s">
        <v>47327</v>
      </c>
      <c t="s">
        <v>64318</v>
      </c>
      <c t="s">
        <v>19104</v>
      </c>
      <c t="s">
        <v>18564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37450</v>
      </c>
      <c>
        <v>5</v>
      </c>
      <c r="AI6119" t="s">
        <v>17314</v>
      </c>
      <c t="s">
        <v>24900</v>
      </c>
      <c r="AL6119" t="s">
        <v>23311</v>
      </c>
      <c t="s">
        <v>23311</v>
      </c>
      <c t="s">
        <v>14509</v>
      </c>
      <c t="s">
        <v>107</v>
      </c>
      <c t="s">
        <v>4797</v>
      </c>
      <c t="s">
        <v>3093</v>
      </c>
      <c t="s">
        <v>8105</v>
      </c>
    </row>
    <row>
      <c t="s">
        <v>17594</v>
      </c>
      <c t="s">
        <v>512</v>
      </c>
      <c t="s">
        <v>46438</v>
      </c>
      <c t="s">
        <v>3456</v>
      </c>
      <c t="s">
        <v>36509</v>
      </c>
      <c s="3">
        <v>87042</v>
      </c>
      <c s="3">
        <v>75000</v>
      </c>
      <c s="3">
        <v>78440</v>
      </c>
      <c>
        <v>0</v>
      </c>
      <c s="3">
        <v>0</v>
      </c>
      <c s="3">
        <v>1227.06</v>
      </c>
      <c s="3">
        <v>87042</v>
      </c>
      <c r="O6120" s="1" t="str">
        <f ca="1">HYPERLINK("https://web.datatree.com/?/property?propertyId=200616424", "https://web.datatree.com/?/property?propertyId=200616424")</f>
        <v>https://web.datatree.com/?/property?propertyId=200616424</v>
      </c>
      <c r="Q6120" t="s">
        <v>316</v>
      </c>
      <c>
        <v>0.075</v>
      </c>
      <c t="s">
        <v>9944</v>
      </c>
      <c t="s">
        <v>58113</v>
      </c>
      <c t="s">
        <v>15312</v>
      </c>
      <c t="s">
        <v>62863</v>
      </c>
      <c t="s">
        <v>15312</v>
      </c>
      <c t="s">
        <v>48399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26452</v>
      </c>
      <c>
        <v>3166</v>
      </c>
      <c r="AI6120" t="s">
        <v>67187</v>
      </c>
      <c t="s">
        <v>45620</v>
      </c>
      <c r="AL6120" t="s">
        <v>31945</v>
      </c>
      <c t="s">
        <v>40227</v>
      </c>
      <c t="s">
        <v>51137</v>
      </c>
      <c t="s">
        <v>53777</v>
      </c>
      <c t="s">
        <v>4480</v>
      </c>
      <c t="s">
        <v>3093</v>
      </c>
      <c t="s">
        <v>15649</v>
      </c>
    </row>
    <row>
      <c t="s">
        <v>17594</v>
      </c>
      <c t="s">
        <v>22173</v>
      </c>
      <c t="s">
        <v>22089</v>
      </c>
      <c t="s">
        <v>60836</v>
      </c>
      <c t="s">
        <v>24151</v>
      </c>
      <c s="3">
        <v>85815</v>
      </c>
      <c s="3">
        <v>76748</v>
      </c>
      <c s="3">
        <v>77046</v>
      </c>
      <c>
        <v>0</v>
      </c>
      <c s="3">
        <v>0</v>
      </c>
      <c s="3">
        <v>1207.11</v>
      </c>
      <c s="3">
        <v>85815</v>
      </c>
      <c r="O6121" s="1" t="str">
        <f ca="1">HYPERLINK("https://web.datatree.com/?/property?propertyId=200617478", "https://web.datatree.com/?/property?propertyId=200617478")</f>
        <v>https://web.datatree.com/?/property?propertyId=200617478</v>
      </c>
      <c r="Q6121" t="s">
        <v>316</v>
      </c>
      <c>
        <v>0.078</v>
      </c>
      <c t="s">
        <v>9944</v>
      </c>
      <c t="s">
        <v>51338</v>
      </c>
      <c t="s">
        <v>53670</v>
      </c>
      <c t="s">
        <v>25924</v>
      </c>
      <c t="s">
        <v>53670</v>
      </c>
      <c t="s">
        <v>10146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13015</v>
      </c>
      <c>
        <v>300</v>
      </c>
      <c r="AI6121" t="s">
        <v>65427</v>
      </c>
      <c t="s">
        <v>45620</v>
      </c>
      <c r="AL6121" t="s">
        <v>56317</v>
      </c>
      <c t="s">
        <v>40227</v>
      </c>
      <c t="s">
        <v>22275</v>
      </c>
      <c t="s">
        <v>29770</v>
      </c>
      <c t="s">
        <v>22455</v>
      </c>
      <c t="s">
        <v>3093</v>
      </c>
      <c t="s">
        <v>26427</v>
      </c>
    </row>
    <row>
      <c t="s">
        <v>17594</v>
      </c>
      <c t="s">
        <v>63627</v>
      </c>
      <c t="s">
        <v>7726</v>
      </c>
      <c t="s">
        <v>24002</v>
      </c>
      <c t="s">
        <v>17503</v>
      </c>
      <c s="3">
        <v>88071</v>
      </c>
      <c s="3">
        <v>78567</v>
      </c>
      <c s="3">
        <v>88071</v>
      </c>
      <c>
        <v>0</v>
      </c>
      <c s="3">
        <v>0</v>
      </c>
      <c s="3">
        <v>1323.47</v>
      </c>
      <c s="3">
        <v>88071</v>
      </c>
      <c r="O6122" s="1" t="str">
        <f ca="1">HYPERLINK("https://web.datatree.com/?/property?propertyId=200618231", "https://web.datatree.com/?/property?propertyId=200618231")</f>
        <v>https://web.datatree.com/?/property?propertyId=200618231</v>
      </c>
      <c r="Q6122" t="s">
        <v>316</v>
      </c>
      <c>
        <v>0.077</v>
      </c>
      <c t="s">
        <v>9944</v>
      </c>
      <c r="U6122" t="s">
        <v>329</v>
      </c>
      <c t="s">
        <v>34140</v>
      </c>
      <c t="s">
        <v>26493</v>
      </c>
      <c t="s">
        <v>19540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33886</v>
      </c>
      <c>
        <v>155</v>
      </c>
      <c r="AI6122" t="s">
        <v>8029</v>
      </c>
      <c t="s">
        <v>55842</v>
      </c>
      <c r="AL6122" t="s">
        <v>16383</v>
      </c>
      <c t="s">
        <v>16383</v>
      </c>
      <c t="s">
        <v>39289</v>
      </c>
      <c t="s">
        <v>18745</v>
      </c>
      <c t="s">
        <v>22455</v>
      </c>
      <c t="s">
        <v>3093</v>
      </c>
      <c t="s">
        <v>54177</v>
      </c>
    </row>
    <row>
      <c t="s">
        <v>17594</v>
      </c>
      <c t="s">
        <v>11613</v>
      </c>
      <c t="s">
        <v>29438</v>
      </c>
      <c t="s">
        <v>65701</v>
      </c>
      <c t="s">
        <v>58354</v>
      </c>
      <c s="3">
        <v>89643</v>
      </c>
      <c s="3">
        <v>77184</v>
      </c>
      <c s="3">
        <v>78244</v>
      </c>
      <c>
        <v>0</v>
      </c>
      <c s="3">
        <v>0</v>
      </c>
      <c s="3">
        <v>1239.69</v>
      </c>
      <c s="3">
        <v>89643</v>
      </c>
      <c r="O6123" s="1" t="str">
        <f ca="1">HYPERLINK("https://web.datatree.com/?/property?propertyId=202058794", "https://web.datatree.com/?/property?propertyId=202058794")</f>
        <v>https://web.datatree.com/?/property?propertyId=202058794</v>
      </c>
      <c r="Q6123" t="s">
        <v>316</v>
      </c>
      <c>
        <v>0.072</v>
      </c>
      <c t="s">
        <v>2</v>
      </c>
      <c t="s">
        <v>552</v>
      </c>
      <c t="s">
        <v>7944</v>
      </c>
      <c t="s">
        <v>56004</v>
      </c>
      <c t="s">
        <v>7944</v>
      </c>
      <c t="s">
        <v>4198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18284</v>
      </c>
      <c>
        <v>14924</v>
      </c>
      <c r="AI6123" t="s">
        <v>48232</v>
      </c>
      <c t="s">
        <v>31192</v>
      </c>
      <c r="AL6123" t="s">
        <v>3701</v>
      </c>
      <c t="s">
        <v>3701</v>
      </c>
      <c t="s">
        <v>10804</v>
      </c>
      <c t="s">
        <v>13480</v>
      </c>
      <c t="s">
        <v>20212</v>
      </c>
      <c t="s">
        <v>3093</v>
      </c>
      <c t="s">
        <v>15190</v>
      </c>
    </row>
    <row>
      <c t="s">
        <v>17594</v>
      </c>
      <c t="s">
        <v>17614</v>
      </c>
      <c t="s">
        <v>22715</v>
      </c>
      <c t="s">
        <v>57640</v>
      </c>
      <c t="s">
        <v>5282</v>
      </c>
      <c s="3">
        <v>91619</v>
      </c>
      <c s="3">
        <v>77943</v>
      </c>
      <c s="3">
        <v>91619</v>
      </c>
      <c>
        <v>0</v>
      </c>
      <c s="3">
        <v>0</v>
      </c>
      <c s="3">
        <v>1376.59</v>
      </c>
      <c s="3">
        <v>91619</v>
      </c>
      <c r="O6124" s="1" t="str">
        <f ca="1">HYPERLINK("https://web.datatree.com/?/property?propertyId=202058838", "https://web.datatree.com/?/property?propertyId=202058838")</f>
        <v>https://web.datatree.com/?/property?propertyId=202058838</v>
      </c>
      <c r="Q6124" t="s">
        <v>316</v>
      </c>
      <c>
        <v>0.072</v>
      </c>
      <c t="s">
        <v>2</v>
      </c>
      <c t="s">
        <v>54854</v>
      </c>
      <c t="s">
        <v>66233</v>
      </c>
      <c t="s">
        <v>54618</v>
      </c>
      <c t="s">
        <v>66233</v>
      </c>
      <c t="s">
        <v>44228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21584</v>
      </c>
      <c>
        <v>32</v>
      </c>
      <c r="AI6124" t="s">
        <v>21376</v>
      </c>
      <c t="s">
        <v>45620</v>
      </c>
      <c r="AL6124" t="s">
        <v>33671</v>
      </c>
      <c t="s">
        <v>40227</v>
      </c>
      <c t="s">
        <v>27747</v>
      </c>
      <c t="s">
        <v>10064</v>
      </c>
      <c t="s">
        <v>14695</v>
      </c>
      <c t="s">
        <v>3093</v>
      </c>
      <c t="s">
        <v>23214</v>
      </c>
    </row>
    <row>
      <c t="s">
        <v>17594</v>
      </c>
      <c t="s">
        <v>36301</v>
      </c>
      <c t="s">
        <v>59063</v>
      </c>
      <c t="s">
        <v>38236</v>
      </c>
      <c t="s">
        <v>28530</v>
      </c>
      <c s="3">
        <v>92122</v>
      </c>
      <c s="3">
        <v>78706</v>
      </c>
      <c s="3">
        <v>79522</v>
      </c>
      <c>
        <v>0</v>
      </c>
      <c s="3">
        <v>0</v>
      </c>
      <c s="3">
        <v>1244.9</v>
      </c>
      <c s="3">
        <v>92122</v>
      </c>
      <c r="O6125" s="1" t="str">
        <f ca="1">HYPERLINK("https://web.datatree.com/?/property?propertyId=202058862", "https://web.datatree.com/?/property?propertyId=202058862")</f>
        <v>https://web.datatree.com/?/property?propertyId=202058862</v>
      </c>
      <c r="Q6125" t="s">
        <v>316</v>
      </c>
      <c>
        <v>0.072</v>
      </c>
      <c t="s">
        <v>2</v>
      </c>
      <c r="U6125" t="s">
        <v>43026</v>
      </c>
      <c t="s">
        <v>22404</v>
      </c>
      <c t="s">
        <v>4439</v>
      </c>
      <c t="s">
        <v>35040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11297</v>
      </c>
      <c>
        <v>70</v>
      </c>
      <c r="AI6125" t="s">
        <v>38979</v>
      </c>
      <c t="s">
        <v>24900</v>
      </c>
      <c>
        <v>312</v>
      </c>
      <c t="s">
        <v>20137</v>
      </c>
      <c t="s">
        <v>40227</v>
      </c>
      <c t="s">
        <v>10909</v>
      </c>
      <c t="s">
        <v>38186</v>
      </c>
      <c r="AQ6125" t="s">
        <v>27814</v>
      </c>
      <c t="s">
        <v>33775</v>
      </c>
    </row>
    <row>
      <c t="s">
        <v>17594</v>
      </c>
      <c t="s">
        <v>21792</v>
      </c>
      <c t="s">
        <v>61</v>
      </c>
      <c t="s">
        <v>17523</v>
      </c>
      <c t="s">
        <v>20724</v>
      </c>
      <c s="3">
        <v>90329</v>
      </c>
      <c s="3">
        <v>77184</v>
      </c>
      <c s="3">
        <v>82062</v>
      </c>
      <c>
        <v>0</v>
      </c>
      <c s="3">
        <v>0</v>
      </c>
      <c s="3">
        <v>1279.43</v>
      </c>
      <c s="3">
        <v>90329</v>
      </c>
      <c r="O6126" s="1" t="str">
        <f ca="1">HYPERLINK("https://web.datatree.com/?/property?propertyId=202058881", "https://web.datatree.com/?/property?propertyId=202058881")</f>
        <v>https://web.datatree.com/?/property?propertyId=202058881</v>
      </c>
      <c r="Q6126" t="s">
        <v>316</v>
      </c>
      <c>
        <v>0.072</v>
      </c>
      <c t="s">
        <v>2</v>
      </c>
      <c t="s">
        <v>30772</v>
      </c>
      <c t="s">
        <v>32956</v>
      </c>
      <c t="s">
        <v>37293</v>
      </c>
      <c t="s">
        <v>48433</v>
      </c>
      <c t="s">
        <v>60518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7859</v>
      </c>
      <c>
        <v>120</v>
      </c>
      <c r="AI6126" t="s">
        <v>43157</v>
      </c>
      <c t="s">
        <v>64478</v>
      </c>
      <c r="AL6126" t="s">
        <v>21806</v>
      </c>
      <c t="s">
        <v>40227</v>
      </c>
      <c t="s">
        <v>58811</v>
      </c>
      <c t="s">
        <v>23955</v>
      </c>
      <c r="AQ6126" t="s">
        <v>27814</v>
      </c>
      <c t="s">
        <v>2958</v>
      </c>
    </row>
    <row>
      <c t="s">
        <v>17594</v>
      </c>
      <c t="s">
        <v>2519</v>
      </c>
      <c t="s">
        <v>20963</v>
      </c>
      <c t="s">
        <v>20648</v>
      </c>
      <c t="s">
        <v>23994</v>
      </c>
      <c s="3">
        <v>125118</v>
      </c>
      <c s="3">
        <v>114000</v>
      </c>
      <c s="3">
        <v>103948</v>
      </c>
      <c>
        <v>0</v>
      </c>
      <c s="3">
        <v>0</v>
      </c>
      <c s="3">
        <v>1678.83</v>
      </c>
      <c s="3">
        <v>125118</v>
      </c>
      <c r="O6127" s="1" t="str">
        <f ca="1">HYPERLINK("https://web.datatree.com/?/property?propertyId=202058921", "https://web.datatree.com/?/property?propertyId=202058921")</f>
        <v>https://web.datatree.com/?/property?propertyId=202058921</v>
      </c>
      <c r="Q6127" t="s">
        <v>316</v>
      </c>
      <c>
        <v>0.072</v>
      </c>
      <c t="s">
        <v>2</v>
      </c>
      <c t="s">
        <v>10361</v>
      </c>
      <c t="s">
        <v>43492</v>
      </c>
      <c t="s">
        <v>1599</v>
      </c>
      <c t="s">
        <v>43492</v>
      </c>
      <c t="s">
        <v>6564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50146</v>
      </c>
      <c>
        <v>440</v>
      </c>
      <c r="AI6127" t="s">
        <v>43292</v>
      </c>
      <c t="s">
        <v>45620</v>
      </c>
      <c r="AL6127" t="s">
        <v>51875</v>
      </c>
      <c t="s">
        <v>40227</v>
      </c>
      <c t="s">
        <v>17134</v>
      </c>
      <c t="s">
        <v>7218</v>
      </c>
      <c t="s">
        <v>52247</v>
      </c>
      <c t="s">
        <v>3093</v>
      </c>
      <c t="s">
        <v>53627</v>
      </c>
    </row>
    <row>
      <c t="s">
        <v>17594</v>
      </c>
      <c t="s">
        <v>65599</v>
      </c>
      <c t="s">
        <v>39910</v>
      </c>
      <c t="s">
        <v>46847</v>
      </c>
      <c t="s">
        <v>61991</v>
      </c>
      <c s="3">
        <v>123600</v>
      </c>
      <c s="3">
        <v>114000</v>
      </c>
      <c s="3">
        <v>105395</v>
      </c>
      <c>
        <v>0</v>
      </c>
      <c s="3">
        <v>0</v>
      </c>
      <c s="3">
        <v>1683.98</v>
      </c>
      <c s="3">
        <v>123600</v>
      </c>
      <c r="O6128" s="1" t="str">
        <f ca="1">HYPERLINK("https://web.datatree.com/?/property?propertyId=202058940", "https://web.datatree.com/?/property?propertyId=202058940")</f>
        <v>https://web.datatree.com/?/property?propertyId=202058940</v>
      </c>
      <c r="Q6128" t="s">
        <v>316</v>
      </c>
      <c>
        <v>0.072</v>
      </c>
      <c t="s">
        <v>2</v>
      </c>
      <c r="U6128" t="s">
        <v>14102</v>
      </c>
      <c t="s">
        <v>10361</v>
      </c>
      <c t="s">
        <v>39448</v>
      </c>
      <c t="s">
        <v>43307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50248</v>
      </c>
      <c>
        <v>7208</v>
      </c>
      <c r="AI6128" t="s">
        <v>42961</v>
      </c>
      <c t="s">
        <v>31192</v>
      </c>
      <c r="AL6128" t="s">
        <v>10990</v>
      </c>
      <c t="s">
        <v>40227</v>
      </c>
      <c t="s">
        <v>17134</v>
      </c>
      <c t="s">
        <v>24109</v>
      </c>
      <c t="s">
        <v>48506</v>
      </c>
      <c t="s">
        <v>3093</v>
      </c>
      <c t="s">
        <v>20208</v>
      </c>
    </row>
    <row>
      <c t="s">
        <v>17594</v>
      </c>
      <c t="s">
        <v>64807</v>
      </c>
      <c t="s">
        <v>23496</v>
      </c>
      <c t="s">
        <v>8327</v>
      </c>
      <c t="s">
        <v>16754</v>
      </c>
      <c s="3">
        <v>85733</v>
      </c>
      <c s="3">
        <v>75000</v>
      </c>
      <c s="3">
        <v>85733</v>
      </c>
      <c>
        <v>0</v>
      </c>
      <c s="3">
        <v>0</v>
      </c>
      <c s="3">
        <v>1288.46</v>
      </c>
      <c s="3">
        <v>85733</v>
      </c>
      <c r="O6129" s="1" t="str">
        <f ca="1">HYPERLINK("https://web.datatree.com/?/property?propertyId=202058961", "https://web.datatree.com/?/property?propertyId=202058961")</f>
        <v>https://web.datatree.com/?/property?propertyId=202058961</v>
      </c>
      <c r="Q6129" t="s">
        <v>316</v>
      </c>
      <c>
        <v>0.072</v>
      </c>
      <c t="s">
        <v>2</v>
      </c>
      <c t="s">
        <v>15209</v>
      </c>
      <c t="s">
        <v>18808</v>
      </c>
      <c t="s">
        <v>47977</v>
      </c>
      <c t="s">
        <v>18808</v>
      </c>
      <c t="s">
        <v>65199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62174</v>
      </c>
      <c>
        <v>16560</v>
      </c>
      <c r="AI6129" t="s">
        <v>26792</v>
      </c>
      <c t="s">
        <v>55842</v>
      </c>
      <c r="AL6129" t="s">
        <v>32207</v>
      </c>
      <c t="s">
        <v>32207</v>
      </c>
      <c t="s">
        <v>39289</v>
      </c>
      <c t="s">
        <v>48679</v>
      </c>
      <c t="s">
        <v>56028</v>
      </c>
      <c t="s">
        <v>3093</v>
      </c>
      <c t="s">
        <v>4505</v>
      </c>
    </row>
    <row>
      <c t="s">
        <v>17594</v>
      </c>
      <c t="s">
        <v>57321</v>
      </c>
      <c t="s">
        <v>45638</v>
      </c>
      <c t="s">
        <v>4428</v>
      </c>
      <c t="s">
        <v>1032</v>
      </c>
      <c s="3">
        <v>114410</v>
      </c>
      <c s="3">
        <v>101308</v>
      </c>
      <c s="3">
        <v>97655</v>
      </c>
      <c>
        <v>0</v>
      </c>
      <c s="3">
        <v>0</v>
      </c>
      <c s="3">
        <v>1630.6</v>
      </c>
      <c s="3">
        <v>114410</v>
      </c>
      <c r="O6130" s="1" t="str">
        <f ca="1">HYPERLINK("https://web.datatree.com/?/property?propertyId=202058995", "https://web.datatree.com/?/property?propertyId=202058995")</f>
        <v>https://web.datatree.com/?/property?propertyId=202058995</v>
      </c>
      <c r="Q6130" t="s">
        <v>316</v>
      </c>
      <c>
        <v>0.072</v>
      </c>
      <c t="s">
        <v>2</v>
      </c>
      <c t="s">
        <v>50331</v>
      </c>
      <c t="s">
        <v>34394</v>
      </c>
      <c t="s">
        <v>67208</v>
      </c>
      <c t="s">
        <v>34394</v>
      </c>
      <c t="s">
        <v>28590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36171</v>
      </c>
      <c>
        <v>10103</v>
      </c>
      <c r="AI6130" t="s">
        <v>12569</v>
      </c>
      <c t="s">
        <v>40123</v>
      </c>
      <c r="AL6130" t="s">
        <v>48125</v>
      </c>
      <c t="s">
        <v>40227</v>
      </c>
      <c t="s">
        <v>51137</v>
      </c>
      <c t="s">
        <v>30489</v>
      </c>
      <c t="s">
        <v>42945</v>
      </c>
      <c t="s">
        <v>3093</v>
      </c>
      <c t="s">
        <v>3741</v>
      </c>
    </row>
    <row>
      <c t="s">
        <v>17594</v>
      </c>
      <c t="s">
        <v>25792</v>
      </c>
      <c t="s">
        <v>51723</v>
      </c>
      <c t="s">
        <v>11668</v>
      </c>
      <c t="s">
        <v>33808</v>
      </c>
      <c s="3">
        <v>84713</v>
      </c>
      <c s="3">
        <v>77594</v>
      </c>
      <c s="3">
        <v>75789</v>
      </c>
      <c>
        <v>0</v>
      </c>
      <c s="3">
        <v>0</v>
      </c>
      <c s="3">
        <v>1189.18</v>
      </c>
      <c s="3">
        <v>84713</v>
      </c>
      <c>
        <v>2021</v>
      </c>
      <c>
        <v>1126.8</v>
      </c>
      <c s="1" t="str">
        <f ca="1">HYPERLINK("https://web.datatree.com/?/property?propertyId=202059000", "https://web.datatree.com/?/property?propertyId=202059000")</f>
        <v>https://web.datatree.com/?/property?propertyId=202059000</v>
      </c>
      <c r="Q6131" t="s">
        <v>316</v>
      </c>
      <c>
        <v>0.072</v>
      </c>
      <c t="s">
        <v>2</v>
      </c>
      <c t="s">
        <v>24409</v>
      </c>
      <c t="s">
        <v>29772</v>
      </c>
      <c r="X6131" t="s">
        <v>49518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21684</v>
      </c>
      <c>
        <v>61</v>
      </c>
      <c r="AI6131" t="s">
        <v>44311</v>
      </c>
      <c t="s">
        <v>46421</v>
      </c>
      <c r="AL6131" t="s">
        <v>39458</v>
      </c>
      <c t="s">
        <v>40227</v>
      </c>
      <c t="s">
        <v>57326</v>
      </c>
      <c t="s">
        <v>3760</v>
      </c>
      <c r="AQ6131" t="s">
        <v>27814</v>
      </c>
      <c t="s">
        <v>45027</v>
      </c>
    </row>
    <row>
      <c t="s">
        <v>17594</v>
      </c>
      <c t="s">
        <v>59129</v>
      </c>
      <c t="s">
        <v>51627</v>
      </c>
      <c t="s">
        <v>50758</v>
      </c>
      <c t="s">
        <v>10539</v>
      </c>
      <c s="3">
        <v>89368</v>
      </c>
      <c s="3">
        <v>75000</v>
      </c>
      <c s="3">
        <v>80994</v>
      </c>
      <c>
        <v>0</v>
      </c>
      <c s="3">
        <v>0</v>
      </c>
      <c s="3">
        <v>1264.04</v>
      </c>
      <c s="3">
        <v>89368</v>
      </c>
      <c r="O6132" s="1" t="str">
        <f ca="1">HYPERLINK("https://web.datatree.com/?/property?propertyId=202059002", "https://web.datatree.com/?/property?propertyId=202059002")</f>
        <v>https://web.datatree.com/?/property?propertyId=202059002</v>
      </c>
      <c r="Q6132" t="s">
        <v>316</v>
      </c>
      <c>
        <v>0.078</v>
      </c>
      <c t="s">
        <v>2</v>
      </c>
      <c r="U6132" t="s">
        <v>60323</v>
      </c>
      <c r="W6132" t="s">
        <v>45009</v>
      </c>
      <c t="s">
        <v>54002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8811</v>
      </c>
      <c>
        <v>8</v>
      </c>
      <c r="AI6132" t="s">
        <v>57374</v>
      </c>
      <c t="s">
        <v>31192</v>
      </c>
      <c r="AL6132" t="s">
        <v>27402</v>
      </c>
      <c t="s">
        <v>40227</v>
      </c>
      <c t="s">
        <v>50917</v>
      </c>
      <c t="s">
        <v>53481</v>
      </c>
      <c t="s">
        <v>16951</v>
      </c>
      <c t="s">
        <v>3093</v>
      </c>
      <c t="s">
        <v>65200</v>
      </c>
    </row>
    <row>
      <c t="s">
        <v>17594</v>
      </c>
      <c t="s">
        <v>6679</v>
      </c>
      <c t="s">
        <v>4689</v>
      </c>
      <c t="s">
        <v>63642</v>
      </c>
      <c t="s">
        <v>28133</v>
      </c>
      <c s="3">
        <v>138517</v>
      </c>
      <c s="3">
        <v>117478</v>
      </c>
      <c s="3">
        <v>121251</v>
      </c>
      <c>
        <v>0</v>
      </c>
      <c s="3">
        <v>0</v>
      </c>
      <c s="3">
        <v>1916.17</v>
      </c>
      <c s="3">
        <v>138517</v>
      </c>
      <c r="O6133" s="1" t="str">
        <f ca="1">HYPERLINK("https://web.datatree.com/?/property?propertyId=202059012", "https://web.datatree.com/?/property?propertyId=202059012")</f>
        <v>https://web.datatree.com/?/property?propertyId=202059012</v>
      </c>
      <c r="Q6133" t="s">
        <v>316</v>
      </c>
      <c>
        <v>0.072</v>
      </c>
      <c t="s">
        <v>2</v>
      </c>
      <c t="s">
        <v>50331</v>
      </c>
      <c t="s">
        <v>44945</v>
      </c>
      <c t="s">
        <v>52045</v>
      </c>
      <c t="s">
        <v>44945</v>
      </c>
      <c t="s">
        <v>13000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44193</v>
      </c>
      <c>
        <v>40</v>
      </c>
      <c r="AI6133" t="s">
        <v>20542</v>
      </c>
      <c t="s">
        <v>31192</v>
      </c>
      <c r="AL6133" t="s">
        <v>51598</v>
      </c>
      <c t="s">
        <v>51598</v>
      </c>
      <c t="s">
        <v>50917</v>
      </c>
      <c t="s">
        <v>20592</v>
      </c>
      <c t="s">
        <v>42082</v>
      </c>
      <c t="s">
        <v>3093</v>
      </c>
      <c t="s">
        <v>18713</v>
      </c>
    </row>
    <row>
      <c t="s">
        <v>17594</v>
      </c>
      <c t="s">
        <v>56341</v>
      </c>
      <c t="s">
        <v>36287</v>
      </c>
      <c t="s">
        <v>16256</v>
      </c>
      <c t="s">
        <v>42891</v>
      </c>
      <c s="3">
        <v>90050</v>
      </c>
      <c s="3">
        <v>78670</v>
      </c>
      <c s="3">
        <v>81775</v>
      </c>
      <c>
        <v>0</v>
      </c>
      <c s="3">
        <v>0</v>
      </c>
      <c s="3">
        <v>1275.18</v>
      </c>
      <c s="3">
        <v>90050</v>
      </c>
      <c r="O6134" s="1" t="str">
        <f ca="1">HYPERLINK("https://web.datatree.com/?/property?propertyId=202059018", "https://web.datatree.com/?/property?propertyId=202059018")</f>
        <v>https://web.datatree.com/?/property?propertyId=202059018</v>
      </c>
      <c r="Q6134" t="s">
        <v>316</v>
      </c>
      <c>
        <v>0.072</v>
      </c>
      <c t="s">
        <v>2</v>
      </c>
      <c t="s">
        <v>10361</v>
      </c>
      <c t="s">
        <v>25353</v>
      </c>
      <c t="s">
        <v>16893</v>
      </c>
      <c t="s">
        <v>25353</v>
      </c>
      <c t="s">
        <v>25230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905</v>
      </c>
      <c>
        <v>488</v>
      </c>
      <c r="AI6134" t="s">
        <v>9674</v>
      </c>
      <c r="AL6134" t="s">
        <v>31886</v>
      </c>
      <c t="s">
        <v>40227</v>
      </c>
      <c t="s">
        <v>18236</v>
      </c>
      <c t="s">
        <v>48039</v>
      </c>
      <c t="s">
        <v>14695</v>
      </c>
      <c t="s">
        <v>3093</v>
      </c>
      <c t="s">
        <v>31342</v>
      </c>
    </row>
    <row>
      <c t="s">
        <v>17594</v>
      </c>
      <c t="s">
        <v>52252</v>
      </c>
      <c t="s">
        <v>34662</v>
      </c>
      <c t="s">
        <v>12899</v>
      </c>
      <c t="s">
        <v>11908</v>
      </c>
      <c s="3">
        <v>87552</v>
      </c>
      <c s="3">
        <v>77787</v>
      </c>
      <c s="3">
        <v>78664</v>
      </c>
      <c>
        <v>0</v>
      </c>
      <c s="3">
        <v>0</v>
      </c>
      <c s="3">
        <v>1232.01</v>
      </c>
      <c s="3">
        <v>87552</v>
      </c>
      <c r="O6135" s="1" t="str">
        <f ca="1">HYPERLINK("https://web.datatree.com/?/property?propertyId=202059085", "https://web.datatree.com/?/property?propertyId=202059085")</f>
        <v>https://web.datatree.com/?/property?propertyId=202059085</v>
      </c>
      <c r="Q6135" t="s">
        <v>316</v>
      </c>
      <c>
        <v>0.072</v>
      </c>
      <c t="s">
        <v>2</v>
      </c>
      <c t="s">
        <v>3293</v>
      </c>
      <c t="s">
        <v>15104</v>
      </c>
      <c t="s">
        <v>16893</v>
      </c>
      <c t="s">
        <v>15104</v>
      </c>
      <c t="s">
        <v>62600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62147</v>
      </c>
      <c>
        <v>800</v>
      </c>
      <c r="AI6135" t="s">
        <v>30396</v>
      </c>
      <c t="s">
        <v>31192</v>
      </c>
      <c r="AL6135" t="s">
        <v>25960</v>
      </c>
      <c t="s">
        <v>452</v>
      </c>
      <c t="s">
        <v>19878</v>
      </c>
      <c t="s">
        <v>36600</v>
      </c>
      <c t="s">
        <v>14695</v>
      </c>
      <c t="s">
        <v>3093</v>
      </c>
      <c t="s">
        <v>29801</v>
      </c>
    </row>
    <row>
      <c t="s">
        <v>17594</v>
      </c>
      <c t="s">
        <v>36420</v>
      </c>
      <c t="s">
        <v>18802</v>
      </c>
      <c t="s">
        <v>54952</v>
      </c>
      <c t="s">
        <v>62525</v>
      </c>
      <c s="3">
        <v>84710</v>
      </c>
      <c s="3">
        <v>75000</v>
      </c>
      <c s="3">
        <v>75816</v>
      </c>
      <c>
        <v>0</v>
      </c>
      <c s="3">
        <v>0</v>
      </c>
      <c s="3">
        <v>1189.42</v>
      </c>
      <c s="3">
        <v>84710</v>
      </c>
      <c r="O6136" s="1" t="str">
        <f ca="1">HYPERLINK("https://web.datatree.com/?/property?propertyId=202059099", "https://web.datatree.com/?/property?propertyId=202059099")</f>
        <v>https://web.datatree.com/?/property?propertyId=202059099</v>
      </c>
      <c r="Q6136" t="s">
        <v>316</v>
      </c>
      <c>
        <v>0.072</v>
      </c>
      <c t="s">
        <v>2</v>
      </c>
      <c r="U6136" t="s">
        <v>59443</v>
      </c>
      <c r="W6136" t="s">
        <v>33003</v>
      </c>
      <c t="s">
        <v>9061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58586</v>
      </c>
      <c>
        <v>11201</v>
      </c>
      <c r="AI6136" t="s">
        <v>26294</v>
      </c>
      <c t="s">
        <v>31192</v>
      </c>
      <c r="AL6136" t="s">
        <v>48589</v>
      </c>
      <c t="s">
        <v>40227</v>
      </c>
      <c t="s">
        <v>58733</v>
      </c>
      <c t="s">
        <v>20146</v>
      </c>
      <c t="s">
        <v>14695</v>
      </c>
      <c t="s">
        <v>3093</v>
      </c>
      <c t="s">
        <v>28484</v>
      </c>
    </row>
    <row>
      <c t="s">
        <v>17594</v>
      </c>
      <c t="s">
        <v>44749</v>
      </c>
      <c t="s">
        <v>17924</v>
      </c>
      <c t="s">
        <v>30077</v>
      </c>
      <c t="s">
        <v>2725</v>
      </c>
      <c s="3">
        <v>87855</v>
      </c>
      <c s="3">
        <v>78090</v>
      </c>
      <c s="3">
        <v>87855</v>
      </c>
      <c>
        <v>0</v>
      </c>
      <c s="3">
        <v>0</v>
      </c>
      <c s="3">
        <v>1320.23</v>
      </c>
      <c s="3">
        <v>87855</v>
      </c>
      <c r="O6137" s="1" t="str">
        <f ca="1">HYPERLINK("https://web.datatree.com/?/property?propertyId=202059101", "https://web.datatree.com/?/property?propertyId=202059101")</f>
        <v>https://web.datatree.com/?/property?propertyId=202059101</v>
      </c>
      <c r="Q6137" t="s">
        <v>316</v>
      </c>
      <c>
        <v>0.072</v>
      </c>
      <c t="s">
        <v>2</v>
      </c>
      <c t="s">
        <v>24692</v>
      </c>
      <c t="s">
        <v>58562</v>
      </c>
      <c t="s">
        <v>60286</v>
      </c>
      <c t="s">
        <v>58562</v>
      </c>
      <c t="s">
        <v>3091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5356</v>
      </c>
      <c>
        <v>128</v>
      </c>
      <c r="AI6137" t="s">
        <v>46613</v>
      </c>
      <c t="s">
        <v>31192</v>
      </c>
      <c r="AL6137" t="s">
        <v>54170</v>
      </c>
      <c t="s">
        <v>40227</v>
      </c>
      <c t="s">
        <v>32576</v>
      </c>
      <c t="s">
        <v>10235</v>
      </c>
      <c t="s">
        <v>702</v>
      </c>
      <c t="s">
        <v>3093</v>
      </c>
      <c t="s">
        <v>37282</v>
      </c>
    </row>
    <row>
      <c t="s">
        <v>17594</v>
      </c>
      <c t="s">
        <v>12658</v>
      </c>
      <c t="s">
        <v>6218</v>
      </c>
      <c t="s">
        <v>16024</v>
      </c>
      <c t="s">
        <v>15135</v>
      </c>
      <c s="3">
        <v>129087</v>
      </c>
      <c s="3">
        <v>119700</v>
      </c>
      <c s="3">
        <v>109890</v>
      </c>
      <c>
        <v>0</v>
      </c>
      <c s="3">
        <v>0</v>
      </c>
      <c s="3">
        <v>1756.81</v>
      </c>
      <c s="3">
        <v>129087</v>
      </c>
      <c r="O6138" s="1" t="str">
        <f ca="1">HYPERLINK("https://web.datatree.com/?/property?propertyId=202059233", "https://web.datatree.com/?/property?propertyId=202059233")</f>
        <v>https://web.datatree.com/?/property?propertyId=202059233</v>
      </c>
      <c r="Q6138" t="s">
        <v>316</v>
      </c>
      <c>
        <v>0.105</v>
      </c>
      <c t="s">
        <v>2</v>
      </c>
      <c r="U6138" t="s">
        <v>53205</v>
      </c>
      <c r="W6138" t="s">
        <v>32909</v>
      </c>
      <c t="s">
        <v>879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33550</v>
      </c>
      <c>
        <v>28</v>
      </c>
      <c r="AI6138" t="s">
        <v>12532</v>
      </c>
      <c t="s">
        <v>45620</v>
      </c>
      <c r="AL6138" t="s">
        <v>55310</v>
      </c>
      <c t="s">
        <v>40227</v>
      </c>
      <c t="s">
        <v>50917</v>
      </c>
      <c t="s">
        <v>34415</v>
      </c>
      <c t="s">
        <v>27553</v>
      </c>
      <c t="s">
        <v>3093</v>
      </c>
      <c t="s">
        <v>5617</v>
      </c>
    </row>
    <row>
      <c t="s">
        <v>17594</v>
      </c>
      <c t="s">
        <v>45534</v>
      </c>
      <c t="s">
        <v>1535</v>
      </c>
      <c t="s">
        <v>61595</v>
      </c>
      <c t="s">
        <v>29257</v>
      </c>
      <c s="3">
        <v>129997</v>
      </c>
      <c s="3">
        <v>117478</v>
      </c>
      <c s="3">
        <v>107660</v>
      </c>
      <c>
        <v>0</v>
      </c>
      <c s="3">
        <v>0</v>
      </c>
      <c s="3">
        <v>1740.87</v>
      </c>
      <c s="3">
        <v>129997</v>
      </c>
      <c r="O6139" s="1" t="str">
        <f ca="1">HYPERLINK("https://web.datatree.com/?/property?propertyId=202059241", "https://web.datatree.com/?/property?propertyId=202059241")</f>
        <v>https://web.datatree.com/?/property?propertyId=202059241</v>
      </c>
      <c r="Q6139" t="s">
        <v>316</v>
      </c>
      <c>
        <v>0.072</v>
      </c>
      <c t="s">
        <v>2</v>
      </c>
      <c t="s">
        <v>28750</v>
      </c>
      <c t="s">
        <v>42032</v>
      </c>
      <c t="s">
        <v>27743</v>
      </c>
      <c t="s">
        <v>42032</v>
      </c>
      <c t="s">
        <v>2128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60801</v>
      </c>
      <c>
        <v>5310</v>
      </c>
      <c r="AI6139" t="s">
        <v>35359</v>
      </c>
      <c t="s">
        <v>31192</v>
      </c>
      <c r="AL6139" t="s">
        <v>25636</v>
      </c>
      <c t="s">
        <v>40227</v>
      </c>
      <c t="s">
        <v>14798</v>
      </c>
      <c t="s">
        <v>47497</v>
      </c>
      <c t="s">
        <v>66341</v>
      </c>
      <c t="s">
        <v>3093</v>
      </c>
      <c t="s">
        <v>22851</v>
      </c>
    </row>
    <row>
      <c t="s">
        <v>17594</v>
      </c>
      <c t="s">
        <v>41941</v>
      </c>
      <c t="s">
        <v>23621</v>
      </c>
      <c t="s">
        <v>63109</v>
      </c>
      <c t="s">
        <v>34995</v>
      </c>
      <c s="3">
        <v>90999</v>
      </c>
      <c s="3">
        <v>77854</v>
      </c>
      <c s="3">
        <v>82806</v>
      </c>
      <c>
        <v>0</v>
      </c>
      <c s="3">
        <v>0</v>
      </c>
      <c s="3">
        <v>1290.17</v>
      </c>
      <c s="3">
        <v>90999</v>
      </c>
      <c r="O6140" s="1" t="str">
        <f ca="1">HYPERLINK("https://web.datatree.com/?/property?propertyId=202059272", "https://web.datatree.com/?/property?propertyId=202059272")</f>
        <v>https://web.datatree.com/?/property?propertyId=202059272</v>
      </c>
      <c r="Q6140" t="s">
        <v>316</v>
      </c>
      <c>
        <v>0.072</v>
      </c>
      <c t="s">
        <v>2</v>
      </c>
      <c t="s">
        <v>44541</v>
      </c>
      <c t="s">
        <v>23373</v>
      </c>
      <c t="s">
        <v>56498</v>
      </c>
      <c t="s">
        <v>23373</v>
      </c>
      <c t="s">
        <v>34794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64682</v>
      </c>
      <c>
        <v>7</v>
      </c>
      <c r="AI6140" t="s">
        <v>29271</v>
      </c>
      <c t="s">
        <v>31192</v>
      </c>
      <c r="AL6140" t="s">
        <v>65497</v>
      </c>
      <c t="s">
        <v>65497</v>
      </c>
      <c t="s">
        <v>50917</v>
      </c>
      <c t="s">
        <v>50144</v>
      </c>
      <c t="s">
        <v>62830</v>
      </c>
      <c t="s">
        <v>3093</v>
      </c>
      <c t="s">
        <v>24449</v>
      </c>
    </row>
    <row>
      <c t="s">
        <v>17594</v>
      </c>
      <c t="s">
        <v>28413</v>
      </c>
      <c t="s">
        <v>22201</v>
      </c>
      <c t="s">
        <v>51576</v>
      </c>
      <c t="s">
        <v>3614</v>
      </c>
      <c s="3">
        <v>126441</v>
      </c>
      <c s="3">
        <v>116621</v>
      </c>
      <c s="3">
        <v>126441</v>
      </c>
      <c>
        <v>0</v>
      </c>
      <c s="3">
        <v>0</v>
      </c>
      <c s="3">
        <v>1897.91</v>
      </c>
      <c s="3">
        <v>126441</v>
      </c>
      <c r="O6141" s="1" t="str">
        <f ca="1">HYPERLINK("https://web.datatree.com/?/property?propertyId=202059277", "https://web.datatree.com/?/property?propertyId=202059277")</f>
        <v>https://web.datatree.com/?/property?propertyId=202059277</v>
      </c>
      <c r="Q6141" t="s">
        <v>316</v>
      </c>
      <c>
        <v>0.072</v>
      </c>
      <c t="s">
        <v>2</v>
      </c>
      <c r="U6141" t="s">
        <v>54457</v>
      </c>
      <c t="s">
        <v>14179</v>
      </c>
      <c t="s">
        <v>14345</v>
      </c>
      <c t="s">
        <v>60267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29007</v>
      </c>
      <c>
        <v>2308</v>
      </c>
      <c r="AI6141" t="s">
        <v>48613</v>
      </c>
      <c r="AL6141" t="s">
        <v>36009</v>
      </c>
      <c t="s">
        <v>36009</v>
      </c>
      <c t="s">
        <v>26443</v>
      </c>
      <c t="s">
        <v>31152</v>
      </c>
      <c t="s">
        <v>44428</v>
      </c>
      <c t="s">
        <v>3093</v>
      </c>
      <c t="s">
        <v>22927</v>
      </c>
    </row>
    <row>
      <c t="s">
        <v>17594</v>
      </c>
      <c t="s">
        <v>40350</v>
      </c>
      <c t="s">
        <v>31572</v>
      </c>
      <c t="s">
        <v>56230</v>
      </c>
      <c t="s">
        <v>40287</v>
      </c>
      <c s="3">
        <v>91747</v>
      </c>
      <c s="3">
        <v>77943</v>
      </c>
      <c s="3">
        <v>82823</v>
      </c>
      <c>
        <v>0</v>
      </c>
      <c s="3">
        <v>0</v>
      </c>
      <c s="3">
        <v>1294.47</v>
      </c>
      <c s="3">
        <v>91747</v>
      </c>
      <c r="O6142" s="1" t="str">
        <f ca="1">HYPERLINK("https://web.datatree.com/?/property?propertyId=202059369", "https://web.datatree.com/?/property?propertyId=202059369")</f>
        <v>https://web.datatree.com/?/property?propertyId=202059369</v>
      </c>
      <c r="Q6142" t="s">
        <v>316</v>
      </c>
      <c>
        <v>0.072</v>
      </c>
      <c t="s">
        <v>2</v>
      </c>
      <c t="s">
        <v>33269</v>
      </c>
      <c t="s">
        <v>42239</v>
      </c>
      <c t="s">
        <v>10600</v>
      </c>
      <c t="s">
        <v>42239</v>
      </c>
      <c t="s">
        <v>44483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5439</v>
      </c>
      <c>
        <v>2119</v>
      </c>
      <c r="AI6142" t="s">
        <v>4858</v>
      </c>
      <c r="AL6142" t="s">
        <v>35792</v>
      </c>
      <c t="s">
        <v>40227</v>
      </c>
      <c t="s">
        <v>58733</v>
      </c>
      <c t="s">
        <v>42001</v>
      </c>
      <c t="s">
        <v>27410</v>
      </c>
      <c t="s">
        <v>3093</v>
      </c>
      <c t="s">
        <v>40504</v>
      </c>
    </row>
    <row>
      <c t="s">
        <v>17594</v>
      </c>
      <c t="s">
        <v>10834</v>
      </c>
      <c t="s">
        <v>38025</v>
      </c>
      <c t="s">
        <v>37484</v>
      </c>
      <c t="s">
        <v>57886</v>
      </c>
      <c s="3">
        <v>133294</v>
      </c>
      <c s="3">
        <v>116943</v>
      </c>
      <c s="3">
        <v>115031</v>
      </c>
      <c>
        <v>0</v>
      </c>
      <c s="3">
        <v>0</v>
      </c>
      <c s="3">
        <v>1828.58</v>
      </c>
      <c s="3">
        <v>133294</v>
      </c>
      <c r="O6143" s="1" t="str">
        <f ca="1">HYPERLINK("https://web.datatree.com/?/property?propertyId=202059385", "https://web.datatree.com/?/property?propertyId=202059385")</f>
        <v>https://web.datatree.com/?/property?propertyId=202059385</v>
      </c>
      <c r="Q6143" t="s">
        <v>316</v>
      </c>
      <c>
        <v>0.072</v>
      </c>
      <c t="s">
        <v>2</v>
      </c>
      <c t="s">
        <v>552</v>
      </c>
      <c t="s">
        <v>11321</v>
      </c>
      <c t="s">
        <v>11948</v>
      </c>
      <c t="s">
        <v>11321</v>
      </c>
      <c t="s">
        <v>33763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44111</v>
      </c>
      <c>
        <v>107</v>
      </c>
      <c r="AI6143" t="s">
        <v>33629</v>
      </c>
      <c t="s">
        <v>31192</v>
      </c>
      <c r="AL6143" t="s">
        <v>20144</v>
      </c>
      <c t="s">
        <v>20144</v>
      </c>
      <c t="s">
        <v>36633</v>
      </c>
      <c t="s">
        <v>59165</v>
      </c>
      <c t="s">
        <v>8434</v>
      </c>
      <c t="s">
        <v>3093</v>
      </c>
      <c t="s">
        <v>27636</v>
      </c>
    </row>
    <row>
      <c t="s">
        <v>42103</v>
      </c>
      <c t="s">
        <v>30311</v>
      </c>
      <c t="s">
        <v>57398</v>
      </c>
      <c t="s">
        <v>9605</v>
      </c>
      <c t="s">
        <v>62217</v>
      </c>
      <c s="3">
        <v>88477</v>
      </c>
      <c s="3">
        <v>75000</v>
      </c>
      <c s="3">
        <v>88477</v>
      </c>
      <c>
        <v>0</v>
      </c>
      <c s="3">
        <v>0</v>
      </c>
      <c s="3">
        <v>1329.55</v>
      </c>
      <c s="3">
        <v>88477</v>
      </c>
      <c r="O6144" s="1" t="str">
        <f ca="1">HYPERLINK("https://web.datatree.com/?/property?propertyId=202059425", "https://web.datatree.com/?/property?propertyId=202059425")</f>
        <v>https://web.datatree.com/?/property?propertyId=202059425</v>
      </c>
      <c r="Q6144" t="s">
        <v>316</v>
      </c>
      <c>
        <v>0.072</v>
      </c>
      <c t="s">
        <v>2</v>
      </c>
      <c t="s">
        <v>39574</v>
      </c>
      <c t="s">
        <v>47327</v>
      </c>
      <c t="s">
        <v>64318</v>
      </c>
      <c t="s">
        <v>19104</v>
      </c>
      <c t="s">
        <v>18564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1808</v>
      </c>
      <c r="AI6144" t="s">
        <v>1505</v>
      </c>
      <c r="AK6144" t="s">
        <v>45620</v>
      </c>
      <c t="s">
        <v>23311</v>
      </c>
      <c t="s">
        <v>23311</v>
      </c>
      <c t="s">
        <v>14509</v>
      </c>
      <c>
        <v>6480</v>
      </c>
      <c t="s">
        <v>15796</v>
      </c>
      <c t="s">
        <v>3093</v>
      </c>
      <c t="s">
        <v>40514</v>
      </c>
    </row>
    <row>
      <c t="s">
        <v>17594</v>
      </c>
      <c t="s">
        <v>37849</v>
      </c>
      <c t="s">
        <v>1823</v>
      </c>
      <c t="s">
        <v>59696</v>
      </c>
      <c t="s">
        <v>4143</v>
      </c>
      <c s="3">
        <v>95189</v>
      </c>
      <c s="3">
        <v>78471</v>
      </c>
      <c s="3">
        <v>87637</v>
      </c>
      <c>
        <v>0</v>
      </c>
      <c s="3">
        <v>0</v>
      </c>
      <c s="3">
        <v>1358.93</v>
      </c>
      <c s="3">
        <v>95189</v>
      </c>
      <c r="O6145" s="1" t="str">
        <f ca="1">HYPERLINK("https://web.datatree.com/?/property?propertyId=202059573", "https://web.datatree.com/?/property?propertyId=202059573")</f>
        <v>https://web.datatree.com/?/property?propertyId=202059573</v>
      </c>
      <c r="Q6145" t="s">
        <v>316</v>
      </c>
      <c>
        <v>0.072</v>
      </c>
      <c t="s">
        <v>2</v>
      </c>
      <c t="s">
        <v>2140</v>
      </c>
      <c t="s">
        <v>54762</v>
      </c>
      <c t="s">
        <v>2140</v>
      </c>
      <c t="s">
        <v>54762</v>
      </c>
      <c t="s">
        <v>57976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58560</v>
      </c>
      <c>
        <v>9</v>
      </c>
      <c r="AI6145" t="s">
        <v>56973</v>
      </c>
      <c t="s">
        <v>45620</v>
      </c>
      <c r="AL6145" t="s">
        <v>46008</v>
      </c>
      <c t="s">
        <v>40227</v>
      </c>
      <c t="s">
        <v>5982</v>
      </c>
      <c t="s">
        <v>5301</v>
      </c>
      <c t="s">
        <v>37138</v>
      </c>
      <c t="s">
        <v>3093</v>
      </c>
      <c t="s">
        <v>13830</v>
      </c>
    </row>
    <row>
      <c t="s">
        <v>42103</v>
      </c>
      <c t="s">
        <v>31077</v>
      </c>
      <c t="s">
        <v>15348</v>
      </c>
      <c t="s">
        <v>40846</v>
      </c>
      <c t="s">
        <v>21389</v>
      </c>
      <c s="3">
        <v>125762</v>
      </c>
      <c s="3">
        <v>114000</v>
      </c>
      <c s="3">
        <v>99169</v>
      </c>
      <c>
        <v>0</v>
      </c>
      <c s="3">
        <v>0</v>
      </c>
      <c s="3">
        <v>1637.38</v>
      </c>
      <c s="3">
        <v>125762</v>
      </c>
      <c r="O6146" s="1" t="str">
        <f ca="1">HYPERLINK("https://web.datatree.com/?/property?propertyId=202059626", "https://web.datatree.com/?/property?propertyId=202059626")</f>
        <v>https://web.datatree.com/?/property?propertyId=202059626</v>
      </c>
      <c r="Q6146" t="s">
        <v>316</v>
      </c>
      <c>
        <v>0.072</v>
      </c>
      <c t="s">
        <v>2</v>
      </c>
      <c t="s">
        <v>12385</v>
      </c>
      <c t="s">
        <v>46682</v>
      </c>
      <c t="s">
        <v>18485</v>
      </c>
      <c t="s">
        <v>46682</v>
      </c>
      <c t="s">
        <v>62696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57225</v>
      </c>
      <c r="AI6146" t="s">
        <v>45847</v>
      </c>
      <c r="AL6146" t="s">
        <v>40950</v>
      </c>
      <c t="s">
        <v>40227</v>
      </c>
      <c t="s">
        <v>51137</v>
      </c>
      <c>
        <v>49719</v>
      </c>
      <c t="s">
        <v>23536</v>
      </c>
      <c t="s">
        <v>3093</v>
      </c>
      <c t="s">
        <v>28785</v>
      </c>
    </row>
    <row>
      <c t="s">
        <v>17594</v>
      </c>
      <c t="s">
        <v>6530</v>
      </c>
      <c t="s">
        <v>20390</v>
      </c>
      <c t="s">
        <v>14741</v>
      </c>
      <c t="s">
        <v>37242</v>
      </c>
      <c s="3">
        <v>131004</v>
      </c>
      <c s="3">
        <v>116943</v>
      </c>
      <c s="3">
        <v>131004</v>
      </c>
      <c>
        <v>0</v>
      </c>
      <c s="3">
        <v>0</v>
      </c>
      <c s="3">
        <v>1966.26</v>
      </c>
      <c s="3">
        <v>131004</v>
      </c>
      <c r="O6147" s="1" t="str">
        <f ca="1">HYPERLINK("https://web.datatree.com/?/property?propertyId=202059642", "https://web.datatree.com/?/property?propertyId=202059642")</f>
        <v>https://web.datatree.com/?/property?propertyId=202059642</v>
      </c>
      <c r="Q6147" t="s">
        <v>316</v>
      </c>
      <c>
        <v>0.072</v>
      </c>
      <c t="s">
        <v>2</v>
      </c>
      <c t="s">
        <v>34124</v>
      </c>
      <c t="s">
        <v>49474</v>
      </c>
      <c t="s">
        <v>35664</v>
      </c>
      <c t="s">
        <v>49474</v>
      </c>
      <c t="s">
        <v>22293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64326</v>
      </c>
      <c>
        <v>9</v>
      </c>
      <c r="AI6147" t="s">
        <v>31871</v>
      </c>
      <c t="s">
        <v>41372</v>
      </c>
      <c r="AL6147" t="s">
        <v>19796</v>
      </c>
      <c t="s">
        <v>19796</v>
      </c>
      <c t="s">
        <v>32576</v>
      </c>
      <c t="s">
        <v>16896</v>
      </c>
      <c t="s">
        <v>58683</v>
      </c>
      <c t="s">
        <v>3093</v>
      </c>
      <c t="s">
        <v>33053</v>
      </c>
    </row>
    <row>
      <c t="s">
        <v>17594</v>
      </c>
      <c t="s">
        <v>66634</v>
      </c>
      <c t="s">
        <v>58180</v>
      </c>
      <c t="s">
        <v>33428</v>
      </c>
      <c t="s">
        <v>33508</v>
      </c>
      <c s="3">
        <v>87798</v>
      </c>
      <c s="3">
        <v>75000</v>
      </c>
      <c s="3">
        <v>78585</v>
      </c>
      <c>
        <v>0</v>
      </c>
      <c s="3">
        <v>0</v>
      </c>
      <c s="3">
        <v>1232.63</v>
      </c>
      <c s="3">
        <v>87798</v>
      </c>
      <c r="O6148" s="1" t="str">
        <f ca="1">HYPERLINK("https://web.datatree.com/?/property?propertyId=202059686", "https://web.datatree.com/?/property?propertyId=202059686")</f>
        <v>https://web.datatree.com/?/property?propertyId=202059686</v>
      </c>
      <c r="Q6148" t="s">
        <v>316</v>
      </c>
      <c>
        <v>0.088</v>
      </c>
      <c t="s">
        <v>2</v>
      </c>
      <c t="s">
        <v>59767</v>
      </c>
      <c t="s">
        <v>47011</v>
      </c>
      <c t="s">
        <v>34344</v>
      </c>
      <c t="s">
        <v>26620</v>
      </c>
      <c t="s">
        <v>63217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65664</v>
      </c>
      <c>
        <v>3035</v>
      </c>
      <c r="AI6148" t="s">
        <v>13639</v>
      </c>
      <c r="AL6148" t="s">
        <v>25991</v>
      </c>
      <c t="s">
        <v>40227</v>
      </c>
      <c t="s">
        <v>58811</v>
      </c>
      <c t="s">
        <v>62399</v>
      </c>
      <c r="AQ6148" t="s">
        <v>27814</v>
      </c>
      <c t="s">
        <v>11340</v>
      </c>
    </row>
    <row>
      <c t="s">
        <v>17594</v>
      </c>
      <c t="s">
        <v>49037</v>
      </c>
      <c t="s">
        <v>15409</v>
      </c>
      <c t="s">
        <v>50318</v>
      </c>
      <c t="s">
        <v>25417</v>
      </c>
      <c s="3">
        <v>90661</v>
      </c>
      <c s="3">
        <v>78478</v>
      </c>
      <c s="3">
        <v>90661</v>
      </c>
      <c>
        <v>0</v>
      </c>
      <c s="3">
        <v>0</v>
      </c>
      <c s="3">
        <v>1362.23</v>
      </c>
      <c s="3">
        <v>90661</v>
      </c>
      <c r="O6149" s="1" t="str">
        <f ca="1">HYPERLINK("https://web.datatree.com/?/property?propertyId=202059847", "https://web.datatree.com/?/property?propertyId=202059847")</f>
        <v>https://web.datatree.com/?/property?propertyId=202059847</v>
      </c>
      <c r="Q6149" t="s">
        <v>316</v>
      </c>
      <c>
        <v>0.072</v>
      </c>
      <c t="s">
        <v>2</v>
      </c>
      <c r="U6149" t="s">
        <v>7503</v>
      </c>
      <c r="W6149" t="s">
        <v>8390</v>
      </c>
      <c t="s">
        <v>31507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22000</v>
      </c>
      <c>
        <v>85</v>
      </c>
      <c r="AI6149" t="s">
        <v>58239</v>
      </c>
      <c t="s">
        <v>45620</v>
      </c>
      <c r="AL6149" t="s">
        <v>32800</v>
      </c>
      <c t="s">
        <v>40227</v>
      </c>
      <c t="s">
        <v>51137</v>
      </c>
      <c t="s">
        <v>15436</v>
      </c>
      <c t="s">
        <v>27553</v>
      </c>
      <c t="s">
        <v>3093</v>
      </c>
      <c t="s">
        <v>46333</v>
      </c>
    </row>
    <row>
      <c t="s">
        <v>17594</v>
      </c>
      <c t="s">
        <v>46115</v>
      </c>
      <c t="s">
        <v>35119</v>
      </c>
      <c t="s">
        <v>34767</v>
      </c>
      <c t="s">
        <v>11621</v>
      </c>
      <c s="3">
        <v>92015</v>
      </c>
      <c s="3">
        <v>78706</v>
      </c>
      <c s="3">
        <v>79415</v>
      </c>
      <c>
        <v>0</v>
      </c>
      <c s="3">
        <v>0</v>
      </c>
      <c s="3">
        <v>1243.3</v>
      </c>
      <c s="3">
        <v>92015</v>
      </c>
      <c r="O6150" s="1" t="str">
        <f ca="1">HYPERLINK("https://web.datatree.com/?/property?propertyId=202059853", "https://web.datatree.com/?/property?propertyId=202059853")</f>
        <v>https://web.datatree.com/?/property?propertyId=202059853</v>
      </c>
      <c r="Q6150" t="s">
        <v>316</v>
      </c>
      <c>
        <v>0.075</v>
      </c>
      <c t="s">
        <v>2</v>
      </c>
      <c r="U6150" t="s">
        <v>50929</v>
      </c>
      <c t="s">
        <v>55067</v>
      </c>
      <c t="s">
        <v>61298</v>
      </c>
      <c t="s">
        <v>30727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5315</v>
      </c>
      <c>
        <v>23</v>
      </c>
      <c r="AI6150" t="s">
        <v>53654</v>
      </c>
      <c t="s">
        <v>45620</v>
      </c>
      <c r="AL6150" t="s">
        <v>55476</v>
      </c>
      <c t="s">
        <v>55476</v>
      </c>
      <c t="s">
        <v>27747</v>
      </c>
      <c t="s">
        <v>26268</v>
      </c>
      <c t="s">
        <v>14695</v>
      </c>
      <c t="s">
        <v>3093</v>
      </c>
      <c t="s">
        <v>54342</v>
      </c>
    </row>
    <row>
      <c t="s">
        <v>17594</v>
      </c>
      <c t="s">
        <v>25918</v>
      </c>
      <c t="s">
        <v>15218</v>
      </c>
      <c t="s">
        <v>49487</v>
      </c>
      <c t="s">
        <v>32425</v>
      </c>
      <c s="3">
        <v>87298</v>
      </c>
      <c s="3">
        <v>77698</v>
      </c>
      <c s="3">
        <v>78393</v>
      </c>
      <c>
        <v>0</v>
      </c>
      <c s="3">
        <v>0</v>
      </c>
      <c s="3">
        <v>1228.03</v>
      </c>
      <c s="3">
        <v>87298</v>
      </c>
      <c r="O6151" s="1" t="str">
        <f ca="1">HYPERLINK("https://web.datatree.com/?/property?propertyId=202059876", "https://web.datatree.com/?/property?propertyId=202059876")</f>
        <v>https://web.datatree.com/?/property?propertyId=202059876</v>
      </c>
      <c r="Q6151" t="s">
        <v>316</v>
      </c>
      <c>
        <v>0.072</v>
      </c>
      <c t="s">
        <v>2</v>
      </c>
      <c t="s">
        <v>65985</v>
      </c>
      <c t="s">
        <v>55656</v>
      </c>
      <c t="s">
        <v>63201</v>
      </c>
      <c t="s">
        <v>55656</v>
      </c>
      <c t="s">
        <v>30600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1888</v>
      </c>
      <c>
        <v>7775</v>
      </c>
      <c r="AI6151" t="s">
        <v>52704</v>
      </c>
      <c t="s">
        <v>45620</v>
      </c>
      <c r="AL6151" t="s">
        <v>49111</v>
      </c>
      <c t="s">
        <v>40227</v>
      </c>
      <c t="s">
        <v>66651</v>
      </c>
      <c t="s">
        <v>25087</v>
      </c>
      <c t="s">
        <v>22152</v>
      </c>
      <c t="s">
        <v>3093</v>
      </c>
      <c t="s">
        <v>35025</v>
      </c>
    </row>
    <row>
      <c t="s">
        <v>17594</v>
      </c>
      <c t="s">
        <v>3589</v>
      </c>
      <c t="s">
        <v>23180</v>
      </c>
      <c t="s">
        <v>60988</v>
      </c>
      <c t="s">
        <v>49339</v>
      </c>
      <c s="3">
        <v>87007</v>
      </c>
      <c s="3">
        <v>77407</v>
      </c>
      <c s="3">
        <v>78371</v>
      </c>
      <c>
        <v>0</v>
      </c>
      <c s="3">
        <v>0</v>
      </c>
      <c s="3">
        <v>1226.23</v>
      </c>
      <c s="3">
        <v>87007</v>
      </c>
      <c r="O6152" s="1" t="str">
        <f ca="1">HYPERLINK("https://web.datatree.com/?/property?propertyId=202059899", "https://web.datatree.com/?/property?propertyId=202059899")</f>
        <v>https://web.datatree.com/?/property?propertyId=202059899</v>
      </c>
      <c r="Q6152" t="s">
        <v>316</v>
      </c>
      <c>
        <v>0.082</v>
      </c>
      <c t="s">
        <v>2</v>
      </c>
      <c t="s">
        <v>35571</v>
      </c>
      <c t="s">
        <v>7200</v>
      </c>
      <c t="s">
        <v>46578</v>
      </c>
      <c t="s">
        <v>7200</v>
      </c>
      <c t="s">
        <v>35198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51600</v>
      </c>
      <c>
        <v>929</v>
      </c>
      <c r="AI6152" t="s">
        <v>13704</v>
      </c>
      <c t="s">
        <v>45620</v>
      </c>
      <c r="AL6152" t="s">
        <v>57516</v>
      </c>
      <c t="s">
        <v>40227</v>
      </c>
      <c t="s">
        <v>10909</v>
      </c>
      <c t="s">
        <v>44735</v>
      </c>
      <c r="AQ6152" t="s">
        <v>27814</v>
      </c>
      <c t="s">
        <v>47704</v>
      </c>
    </row>
    <row>
      <c t="s">
        <v>17594</v>
      </c>
      <c t="s">
        <v>9558</v>
      </c>
      <c t="s">
        <v>17508</v>
      </c>
      <c t="s">
        <v>22143</v>
      </c>
      <c t="s">
        <v>29743</v>
      </c>
      <c s="3">
        <v>87249</v>
      </c>
      <c s="3">
        <v>77594</v>
      </c>
      <c s="3">
        <v>78639</v>
      </c>
      <c>
        <v>0</v>
      </c>
      <c s="3">
        <v>0</v>
      </c>
      <c s="3">
        <v>1230.1</v>
      </c>
      <c s="3">
        <v>87249</v>
      </c>
      <c r="O6153" s="1" t="str">
        <f ca="1">HYPERLINK("https://web.datatree.com/?/property?propertyId=202059919", "https://web.datatree.com/?/property?propertyId=202059919")</f>
        <v>https://web.datatree.com/?/property?propertyId=202059919</v>
      </c>
      <c r="Q6153" t="s">
        <v>316</v>
      </c>
      <c>
        <v>0.072</v>
      </c>
      <c t="s">
        <v>2</v>
      </c>
      <c t="s">
        <v>55572</v>
      </c>
      <c t="s">
        <v>24333</v>
      </c>
      <c t="s">
        <v>6307</v>
      </c>
      <c t="s">
        <v>24333</v>
      </c>
      <c t="s">
        <v>43349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7829</v>
      </c>
      <c>
        <v>54</v>
      </c>
      <c r="AI6153" t="s">
        <v>62949</v>
      </c>
      <c t="s">
        <v>31192</v>
      </c>
      <c r="AL6153" t="s">
        <v>23694</v>
      </c>
      <c t="s">
        <v>40227</v>
      </c>
      <c t="s">
        <v>50917</v>
      </c>
      <c t="s">
        <v>17777</v>
      </c>
      <c t="s">
        <v>14695</v>
      </c>
      <c t="s">
        <v>3093</v>
      </c>
      <c t="s">
        <v>41279</v>
      </c>
    </row>
    <row>
      <c t="s">
        <v>17594</v>
      </c>
      <c t="s">
        <v>11745</v>
      </c>
      <c t="s">
        <v>24200</v>
      </c>
      <c t="s">
        <v>28693</v>
      </c>
      <c t="s">
        <v>24507</v>
      </c>
      <c s="3">
        <v>90290</v>
      </c>
      <c s="3">
        <v>78706</v>
      </c>
      <c s="3">
        <v>77927</v>
      </c>
      <c>
        <v>0</v>
      </c>
      <c s="3">
        <v>0</v>
      </c>
      <c s="3">
        <v>1219.69</v>
      </c>
      <c s="3">
        <v>90290</v>
      </c>
      <c r="O6154" s="1" t="str">
        <f ca="1">HYPERLINK("https://web.datatree.com/?/property?propertyId=202059982", "https://web.datatree.com/?/property?propertyId=202059982")</f>
        <v>https://web.datatree.com/?/property?propertyId=202059982</v>
      </c>
      <c r="Q6154" t="s">
        <v>316</v>
      </c>
      <c>
        <v>0.072</v>
      </c>
      <c t="s">
        <v>2</v>
      </c>
      <c r="U6154" t="s">
        <v>15474</v>
      </c>
      <c t="s">
        <v>50331</v>
      </c>
      <c t="s">
        <v>49241</v>
      </c>
      <c t="s">
        <v>29060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65697</v>
      </c>
      <c>
        <v>60985</v>
      </c>
      <c r="AI6154" t="s">
        <v>37088</v>
      </c>
      <c t="s">
        <v>45620</v>
      </c>
      <c r="AL6154" t="s">
        <v>57467</v>
      </c>
      <c t="s">
        <v>57467</v>
      </c>
      <c t="s">
        <v>56163</v>
      </c>
      <c t="s">
        <v>19477</v>
      </c>
      <c t="s">
        <v>17093</v>
      </c>
      <c t="s">
        <v>3093</v>
      </c>
      <c t="s">
        <v>4066</v>
      </c>
    </row>
    <row>
      <c t="s">
        <v>17594</v>
      </c>
      <c t="s">
        <v>42898</v>
      </c>
      <c t="s">
        <v>15761</v>
      </c>
      <c t="s">
        <v>4949</v>
      </c>
      <c t="s">
        <v>11398</v>
      </c>
      <c s="3">
        <v>123868</v>
      </c>
      <c s="3">
        <v>114000</v>
      </c>
      <c s="3">
        <v>101112</v>
      </c>
      <c>
        <v>0</v>
      </c>
      <c s="3">
        <v>0</v>
      </c>
      <c s="3">
        <v>1645.17</v>
      </c>
      <c s="3">
        <v>123868</v>
      </c>
      <c r="O6155" s="1" t="str">
        <f ca="1">HYPERLINK("https://web.datatree.com/?/property?propertyId=202060064", "https://web.datatree.com/?/property?propertyId=202060064")</f>
        <v>https://web.datatree.com/?/property?propertyId=202060064</v>
      </c>
      <c r="Q6155" t="s">
        <v>316</v>
      </c>
      <c>
        <v>0.072</v>
      </c>
      <c t="s">
        <v>2</v>
      </c>
      <c t="s">
        <v>58113</v>
      </c>
      <c t="s">
        <v>64930</v>
      </c>
      <c t="s">
        <v>62841</v>
      </c>
      <c t="s">
        <v>64930</v>
      </c>
      <c t="s">
        <v>44363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32558</v>
      </c>
      <c>
        <v>1231</v>
      </c>
      <c r="AI6155" t="s">
        <v>14233</v>
      </c>
      <c r="AL6155" t="s">
        <v>36009</v>
      </c>
      <c t="s">
        <v>40227</v>
      </c>
      <c t="s">
        <v>26443</v>
      </c>
      <c t="s">
        <v>49628</v>
      </c>
      <c t="s">
        <v>52247</v>
      </c>
      <c t="s">
        <v>3093</v>
      </c>
      <c t="s">
        <v>31606</v>
      </c>
    </row>
    <row>
      <c t="s">
        <v>17594</v>
      </c>
      <c t="s">
        <v>22751</v>
      </c>
      <c t="s">
        <v>6950</v>
      </c>
      <c t="s">
        <v>19436</v>
      </c>
      <c t="s">
        <v>46196</v>
      </c>
      <c s="3">
        <v>126768</v>
      </c>
      <c s="3">
        <v>117113</v>
      </c>
      <c s="3">
        <v>105691</v>
      </c>
      <c>
        <v>0</v>
      </c>
      <c s="3">
        <v>0</v>
      </c>
      <c s="3">
        <v>1704.38</v>
      </c>
      <c s="3">
        <v>126768</v>
      </c>
      <c r="O6156" s="1" t="str">
        <f ca="1">HYPERLINK("https://web.datatree.com/?/property?propertyId=202060124", "https://web.datatree.com/?/property?propertyId=202060124")</f>
        <v>https://web.datatree.com/?/property?propertyId=202060124</v>
      </c>
      <c r="Q6156" t="s">
        <v>316</v>
      </c>
      <c>
        <v>0.072</v>
      </c>
      <c t="s">
        <v>2</v>
      </c>
      <c t="s">
        <v>58276</v>
      </c>
      <c t="s">
        <v>4601</v>
      </c>
      <c t="s">
        <v>27351</v>
      </c>
      <c t="s">
        <v>4601</v>
      </c>
      <c t="s">
        <v>20741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43175</v>
      </c>
      <c>
        <v>468</v>
      </c>
      <c r="AI6156" t="s">
        <v>9674</v>
      </c>
      <c r="AL6156" t="s">
        <v>31886</v>
      </c>
      <c t="s">
        <v>40227</v>
      </c>
      <c t="s">
        <v>18236</v>
      </c>
      <c t="s">
        <v>48039</v>
      </c>
      <c t="s">
        <v>14695</v>
      </c>
      <c t="s">
        <v>3093</v>
      </c>
      <c t="s">
        <v>37712</v>
      </c>
    </row>
    <row>
      <c t="s">
        <v>17594</v>
      </c>
      <c t="s">
        <v>10033</v>
      </c>
      <c t="s">
        <v>14720</v>
      </c>
      <c t="s">
        <v>3657</v>
      </c>
      <c t="s">
        <v>33303</v>
      </c>
      <c s="3">
        <v>84434</v>
      </c>
      <c s="3">
        <v>75000</v>
      </c>
      <c s="3">
        <v>76610</v>
      </c>
      <c>
        <v>0</v>
      </c>
      <c s="3">
        <v>0</v>
      </c>
      <c s="3">
        <v>1195.35</v>
      </c>
      <c s="3">
        <v>84434</v>
      </c>
      <c r="O6157" s="1" t="str">
        <f ca="1">HYPERLINK("https://web.datatree.com/?/property?propertyId=202060215", "https://web.datatree.com/?/property?propertyId=202060215")</f>
        <v>https://web.datatree.com/?/property?propertyId=202060215</v>
      </c>
      <c r="Q6157" t="s">
        <v>316</v>
      </c>
      <c>
        <v>0.072</v>
      </c>
      <c t="s">
        <v>2</v>
      </c>
      <c t="s">
        <v>50331</v>
      </c>
      <c t="s">
        <v>15812</v>
      </c>
      <c t="s">
        <v>26502</v>
      </c>
      <c t="s">
        <v>15812</v>
      </c>
      <c t="s">
        <v>59492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25563</v>
      </c>
      <c>
        <v>17105</v>
      </c>
      <c r="AI6157" t="s">
        <v>33395</v>
      </c>
      <c t="s">
        <v>31192</v>
      </c>
      <c r="AL6157" t="s">
        <v>54859</v>
      </c>
      <c t="s">
        <v>40227</v>
      </c>
      <c t="s">
        <v>26304</v>
      </c>
      <c t="s">
        <v>14888</v>
      </c>
      <c t="s">
        <v>26143</v>
      </c>
      <c t="s">
        <v>3093</v>
      </c>
      <c t="s">
        <v>54087</v>
      </c>
    </row>
    <row>
      <c t="s">
        <v>17594</v>
      </c>
      <c t="s">
        <v>32433</v>
      </c>
      <c t="s">
        <v>19673</v>
      </c>
      <c t="s">
        <v>45643</v>
      </c>
      <c t="s">
        <v>16536</v>
      </c>
      <c s="3">
        <v>124200</v>
      </c>
      <c s="3">
        <v>117081</v>
      </c>
      <c s="3">
        <v>106030</v>
      </c>
      <c>
        <v>0</v>
      </c>
      <c s="3">
        <v>0</v>
      </c>
      <c s="3">
        <v>1693.32</v>
      </c>
      <c s="3">
        <v>124200</v>
      </c>
      <c r="O6158" s="1" t="str">
        <f ca="1">HYPERLINK("https://web.datatree.com/?/property?propertyId=202060240", "https://web.datatree.com/?/property?propertyId=202060240")</f>
        <v>https://web.datatree.com/?/property?propertyId=202060240</v>
      </c>
      <c r="Q6158" t="s">
        <v>316</v>
      </c>
      <c>
        <v>0.072</v>
      </c>
      <c t="s">
        <v>2</v>
      </c>
      <c t="s">
        <v>56691</v>
      </c>
      <c t="s">
        <v>48488</v>
      </c>
      <c t="s">
        <v>2474</v>
      </c>
      <c t="s">
        <v>48488</v>
      </c>
      <c t="s">
        <v>27310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43291</v>
      </c>
      <c>
        <v>7590</v>
      </c>
      <c r="AI6158" t="s">
        <v>64496</v>
      </c>
      <c t="s">
        <v>835</v>
      </c>
      <c r="AL6158" t="s">
        <v>24048</v>
      </c>
      <c t="s">
        <v>24048</v>
      </c>
      <c t="s">
        <v>50829</v>
      </c>
      <c t="s">
        <v>3012</v>
      </c>
      <c t="s">
        <v>12241</v>
      </c>
      <c t="s">
        <v>3093</v>
      </c>
      <c t="s">
        <v>61435</v>
      </c>
    </row>
    <row>
      <c t="s">
        <v>17594</v>
      </c>
      <c t="s">
        <v>47004</v>
      </c>
      <c t="s">
        <v>51728</v>
      </c>
      <c t="s">
        <v>62900</v>
      </c>
      <c t="s">
        <v>7463</v>
      </c>
      <c s="3">
        <v>125047</v>
      </c>
      <c s="3">
        <v>106373</v>
      </c>
      <c s="3">
        <v>120197</v>
      </c>
      <c>
        <v>0</v>
      </c>
      <c s="3">
        <v>0</v>
      </c>
      <c s="3">
        <v>1905.45</v>
      </c>
      <c s="3">
        <v>125047</v>
      </c>
      <c r="O6159" s="1" t="str">
        <f ca="1">HYPERLINK("https://web.datatree.com/?/property?propertyId=202060244", "https://web.datatree.com/?/property?propertyId=202060244")</f>
        <v>https://web.datatree.com/?/property?propertyId=202060244</v>
      </c>
      <c r="Q6159" t="s">
        <v>316</v>
      </c>
      <c>
        <v>0.127</v>
      </c>
      <c t="s">
        <v>2</v>
      </c>
      <c t="s">
        <v>37244</v>
      </c>
      <c t="s">
        <v>19104</v>
      </c>
      <c t="s">
        <v>773</v>
      </c>
      <c t="s">
        <v>19104</v>
      </c>
      <c t="s">
        <v>9154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26554</v>
      </c>
      <c>
        <v>2704</v>
      </c>
      <c r="AI6159" t="s">
        <v>1757</v>
      </c>
      <c t="s">
        <v>1671</v>
      </c>
      <c r="AL6159" t="s">
        <v>16198</v>
      </c>
      <c t="s">
        <v>16198</v>
      </c>
      <c t="s">
        <v>10804</v>
      </c>
      <c t="s">
        <v>7084</v>
      </c>
      <c t="s">
        <v>22613</v>
      </c>
      <c t="s">
        <v>3093</v>
      </c>
      <c t="s">
        <v>32214</v>
      </c>
    </row>
    <row>
      <c t="s">
        <v>17594</v>
      </c>
      <c t="s">
        <v>23353</v>
      </c>
      <c t="s">
        <v>60446</v>
      </c>
      <c t="s">
        <v>52901</v>
      </c>
      <c t="s">
        <v>63606</v>
      </c>
      <c s="3">
        <v>85733</v>
      </c>
      <c s="3">
        <v>75000</v>
      </c>
      <c s="3">
        <v>76967</v>
      </c>
      <c>
        <v>0</v>
      </c>
      <c s="3">
        <v>0</v>
      </c>
      <c s="3">
        <v>1205.93</v>
      </c>
      <c s="3">
        <v>85733</v>
      </c>
      <c r="O6160" s="1" t="str">
        <f ca="1">HYPERLINK("https://web.datatree.com/?/property?propertyId=202060292", "https://web.datatree.com/?/property?propertyId=202060292")</f>
        <v>https://web.datatree.com/?/property?propertyId=202060292</v>
      </c>
      <c r="Q6160" t="s">
        <v>316</v>
      </c>
      <c>
        <v>0.072</v>
      </c>
      <c t="s">
        <v>2</v>
      </c>
      <c t="s">
        <v>54971</v>
      </c>
      <c t="s">
        <v>56125</v>
      </c>
      <c t="s">
        <v>23659</v>
      </c>
      <c t="s">
        <v>56125</v>
      </c>
      <c t="s">
        <v>35490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55000</v>
      </c>
      <c>
        <v>3342</v>
      </c>
      <c r="AI6160" t="s">
        <v>9720</v>
      </c>
      <c t="s">
        <v>55842</v>
      </c>
      <c r="AL6160" t="s">
        <v>60790</v>
      </c>
      <c t="s">
        <v>12512</v>
      </c>
      <c t="s">
        <v>3034</v>
      </c>
      <c t="s">
        <v>58894</v>
      </c>
      <c t="s">
        <v>21054</v>
      </c>
      <c t="s">
        <v>3093</v>
      </c>
      <c t="s">
        <v>4557</v>
      </c>
    </row>
    <row>
      <c t="s">
        <v>17594</v>
      </c>
      <c t="s">
        <v>48061</v>
      </c>
      <c t="s">
        <v>41594</v>
      </c>
      <c t="s">
        <v>62396</v>
      </c>
      <c t="s">
        <v>348</v>
      </c>
      <c s="3">
        <v>90887</v>
      </c>
      <c s="3">
        <v>75000</v>
      </c>
      <c s="3">
        <v>82683</v>
      </c>
      <c>
        <v>0</v>
      </c>
      <c s="3">
        <v>0</v>
      </c>
      <c s="3">
        <v>1288.39</v>
      </c>
      <c s="3">
        <v>90887</v>
      </c>
      <c r="O6161" s="1" t="str">
        <f ca="1">HYPERLINK("https://web.datatree.com/?/property?propertyId=202060315", "https://web.datatree.com/?/property?propertyId=202060315")</f>
        <v>https://web.datatree.com/?/property?propertyId=202060315</v>
      </c>
      <c r="Q6161" t="s">
        <v>316</v>
      </c>
      <c>
        <v>0.072</v>
      </c>
      <c t="s">
        <v>2</v>
      </c>
      <c r="U6161" t="s">
        <v>67182</v>
      </c>
      <c r="W6161" t="s">
        <v>17046</v>
      </c>
      <c t="s">
        <v>18874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54117</v>
      </c>
      <c>
        <v>7835</v>
      </c>
      <c r="AH6161" t="s">
        <v>52165</v>
      </c>
      <c t="s">
        <v>28448</v>
      </c>
      <c t="s">
        <v>24900</v>
      </c>
      <c r="AL6161" t="s">
        <v>53846</v>
      </c>
      <c t="s">
        <v>40227</v>
      </c>
      <c t="s">
        <v>51137</v>
      </c>
      <c t="s">
        <v>58578</v>
      </c>
      <c t="s">
        <v>52247</v>
      </c>
      <c t="s">
        <v>3093</v>
      </c>
      <c t="s">
        <v>6944</v>
      </c>
    </row>
    <row>
      <c t="s">
        <v>17594</v>
      </c>
      <c t="s">
        <v>31979</v>
      </c>
      <c t="s">
        <v>6821</v>
      </c>
      <c t="s">
        <v>64424</v>
      </c>
      <c t="s">
        <v>12986</v>
      </c>
      <c s="3">
        <v>87369</v>
      </c>
      <c s="3">
        <v>77883</v>
      </c>
      <c s="3">
        <v>78770</v>
      </c>
      <c>
        <v>0</v>
      </c>
      <c s="3">
        <v>0</v>
      </c>
      <c s="3">
        <v>1232</v>
      </c>
      <c s="3">
        <v>87369</v>
      </c>
      <c r="O6162" s="1" t="str">
        <f ca="1">HYPERLINK("https://web.datatree.com/?/property?propertyId=202060407", "https://web.datatree.com/?/property?propertyId=202060407")</f>
        <v>https://web.datatree.com/?/property?propertyId=202060407</v>
      </c>
      <c r="Q6162" t="s">
        <v>316</v>
      </c>
      <c>
        <v>0.072</v>
      </c>
      <c t="s">
        <v>2</v>
      </c>
      <c t="s">
        <v>16200</v>
      </c>
      <c t="s">
        <v>39930</v>
      </c>
      <c t="s">
        <v>53622</v>
      </c>
      <c t="s">
        <v>39930</v>
      </c>
      <c t="s">
        <v>793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25075</v>
      </c>
      <c>
        <v>1380</v>
      </c>
      <c r="AI6162" t="s">
        <v>19389</v>
      </c>
      <c t="s">
        <v>45393</v>
      </c>
      <c r="AL6162" t="s">
        <v>18662</v>
      </c>
      <c t="s">
        <v>64362</v>
      </c>
      <c t="s">
        <v>27747</v>
      </c>
      <c t="s">
        <v>27697</v>
      </c>
      <c t="s">
        <v>27410</v>
      </c>
      <c t="s">
        <v>3093</v>
      </c>
      <c t="s">
        <v>8686</v>
      </c>
    </row>
    <row>
      <c t="s">
        <v>17594</v>
      </c>
      <c t="s">
        <v>29370</v>
      </c>
      <c t="s">
        <v>55824</v>
      </c>
      <c t="s">
        <v>510</v>
      </c>
      <c t="s">
        <v>44050</v>
      </c>
      <c s="3">
        <v>88546</v>
      </c>
      <c s="3">
        <v>78891</v>
      </c>
      <c s="3">
        <v>80081</v>
      </c>
      <c>
        <v>0</v>
      </c>
      <c s="3">
        <v>0</v>
      </c>
      <c s="3">
        <v>1250.88</v>
      </c>
      <c s="3">
        <v>88546</v>
      </c>
      <c r="O6163" s="1" t="str">
        <f ca="1">HYPERLINK("https://web.datatree.com/?/property?propertyId=202060485", "https://web.datatree.com/?/property?propertyId=202060485")</f>
        <v>https://web.datatree.com/?/property?propertyId=202060485</v>
      </c>
      <c r="Q6163" t="s">
        <v>316</v>
      </c>
      <c>
        <v>0.072</v>
      </c>
      <c t="s">
        <v>2</v>
      </c>
      <c r="U6163" t="s">
        <v>27526</v>
      </c>
      <c t="s">
        <v>36693</v>
      </c>
      <c t="s">
        <v>16655</v>
      </c>
      <c t="s">
        <v>55370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64645</v>
      </c>
      <c>
        <v>6613</v>
      </c>
      <c r="AI6163" t="s">
        <v>65105</v>
      </c>
      <c t="s">
        <v>45620</v>
      </c>
      <c r="AL6163" t="s">
        <v>54445</v>
      </c>
      <c t="s">
        <v>40227</v>
      </c>
      <c t="s">
        <v>27481</v>
      </c>
      <c t="s">
        <v>36258</v>
      </c>
      <c t="s">
        <v>60160</v>
      </c>
      <c t="s">
        <v>3093</v>
      </c>
      <c t="s">
        <v>17935</v>
      </c>
    </row>
    <row>
      <c t="s">
        <v>17594</v>
      </c>
      <c t="s">
        <v>17764</v>
      </c>
      <c t="s">
        <v>20739</v>
      </c>
      <c t="s">
        <v>14107</v>
      </c>
      <c t="s">
        <v>57238</v>
      </c>
      <c s="3">
        <v>91160</v>
      </c>
      <c s="3">
        <v>78706</v>
      </c>
      <c s="3">
        <v>78867</v>
      </c>
      <c>
        <v>0</v>
      </c>
      <c s="3">
        <v>0</v>
      </c>
      <c s="3">
        <v>1233.39</v>
      </c>
      <c s="3">
        <v>91160</v>
      </c>
      <c r="O6164" s="1" t="str">
        <f ca="1">HYPERLINK("https://web.datatree.com/?/property?propertyId=202060513", "https://web.datatree.com/?/property?propertyId=202060513")</f>
        <v>https://web.datatree.com/?/property?propertyId=202060513</v>
      </c>
      <c r="Q6164" t="s">
        <v>316</v>
      </c>
      <c>
        <v>0.07</v>
      </c>
      <c t="s">
        <v>2</v>
      </c>
      <c t="s">
        <v>552</v>
      </c>
      <c t="s">
        <v>3802</v>
      </c>
      <c t="s">
        <v>27351</v>
      </c>
      <c t="s">
        <v>3802</v>
      </c>
      <c t="s">
        <v>49869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55118</v>
      </c>
      <c>
        <v>1784</v>
      </c>
      <c r="AI6164" t="s">
        <v>36403</v>
      </c>
      <c t="s">
        <v>40123</v>
      </c>
      <c r="AL6164" t="s">
        <v>41872</v>
      </c>
      <c t="s">
        <v>41872</v>
      </c>
      <c t="s">
        <v>49572</v>
      </c>
      <c t="s">
        <v>51617</v>
      </c>
      <c t="s">
        <v>49695</v>
      </c>
      <c t="s">
        <v>3093</v>
      </c>
      <c t="s">
        <v>56215</v>
      </c>
    </row>
    <row>
      <c t="s">
        <v>17594</v>
      </c>
      <c t="s">
        <v>51140</v>
      </c>
      <c t="s">
        <v>54951</v>
      </c>
      <c t="s">
        <v>26086</v>
      </c>
      <c t="s">
        <v>54071</v>
      </c>
      <c s="3">
        <v>126807</v>
      </c>
      <c s="3">
        <v>117373</v>
      </c>
      <c s="3">
        <v>106189</v>
      </c>
      <c>
        <v>0</v>
      </c>
      <c s="3">
        <v>0</v>
      </c>
      <c s="3">
        <v>1709.28</v>
      </c>
      <c s="3">
        <v>126807</v>
      </c>
      <c r="O6165" s="1" t="str">
        <f ca="1">HYPERLINK("https://web.datatree.com/?/property?propertyId=202060580", "https://web.datatree.com/?/property?propertyId=202060580")</f>
        <v>https://web.datatree.com/?/property?propertyId=202060580</v>
      </c>
      <c r="Q6165" t="s">
        <v>316</v>
      </c>
      <c>
        <v>0.072</v>
      </c>
      <c t="s">
        <v>2</v>
      </c>
      <c r="U6165" t="s">
        <v>41503</v>
      </c>
      <c r="W6165" t="s">
        <v>24068</v>
      </c>
      <c t="s">
        <v>54130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46700</v>
      </c>
      <c>
        <v>46790</v>
      </c>
      <c r="AI6165" t="s">
        <v>45989</v>
      </c>
      <c t="s">
        <v>31192</v>
      </c>
      <c r="AL6165" t="s">
        <v>23346</v>
      </c>
      <c t="s">
        <v>40227</v>
      </c>
      <c t="s">
        <v>51137</v>
      </c>
      <c t="s">
        <v>14446</v>
      </c>
      <c t="s">
        <v>4797</v>
      </c>
      <c t="s">
        <v>3093</v>
      </c>
      <c t="s">
        <v>50342</v>
      </c>
    </row>
    <row>
      <c t="s">
        <v>17594</v>
      </c>
      <c t="s">
        <v>21525</v>
      </c>
      <c t="s">
        <v>30133</v>
      </c>
      <c t="s">
        <v>56709</v>
      </c>
      <c t="s">
        <v>19879</v>
      </c>
      <c s="3">
        <v>135000</v>
      </c>
      <c s="3">
        <v>135000</v>
      </c>
      <c s="3">
        <v>135000</v>
      </c>
      <c>
        <v>0</v>
      </c>
      <c s="3">
        <v>0</v>
      </c>
      <c s="3">
        <v>5054.93</v>
      </c>
      <c s="3">
        <v>135000</v>
      </c>
      <c r="O6166" s="1" t="str">
        <f ca="1">HYPERLINK("https://web.datatree.com/?/property?propertyId=203772968", "https://web.datatree.com/?/property?propertyId=203772968")</f>
        <v>https://web.datatree.com/?/property?propertyId=203772968</v>
      </c>
      <c r="Q6166" t="s">
        <v>316</v>
      </c>
      <c>
        <v>0.283</v>
      </c>
      <c t="s">
        <v>60849</v>
      </c>
      <c t="s">
        <v>45883</v>
      </c>
      <c t="s">
        <v>64568</v>
      </c>
      <c t="s">
        <v>46578</v>
      </c>
      <c t="s">
        <v>64568</v>
      </c>
      <c t="s">
        <v>20252</v>
      </c>
      <c t="s">
        <v>9447</v>
      </c>
      <c t="s">
        <v>65059</v>
      </c>
      <c t="s">
        <v>39289</v>
      </c>
      <c>
        <v>33905</v>
      </c>
      <c t="s">
        <v>54611</v>
      </c>
      <c t="s">
        <v>48794</v>
      </c>
      <c t="s">
        <v>61164</v>
      </c>
      <c>
        <v>9</v>
      </c>
      <c r="AI6166" t="s">
        <v>39851</v>
      </c>
      <c t="s">
        <v>1671</v>
      </c>
      <c r="AL6166" t="s">
        <v>21152</v>
      </c>
      <c r="AN6166" t="s">
        <v>27747</v>
      </c>
      <c t="s">
        <v>23992</v>
      </c>
      <c t="s">
        <v>35508</v>
      </c>
      <c t="s">
        <v>3093</v>
      </c>
      <c t="s">
        <v>32444</v>
      </c>
    </row>
    <row>
      <c t="s">
        <v>17594</v>
      </c>
      <c t="s">
        <v>59252</v>
      </c>
      <c t="s">
        <v>34205</v>
      </c>
      <c t="s">
        <v>16656</v>
      </c>
      <c t="s">
        <v>49575</v>
      </c>
      <c s="3">
        <v>135000</v>
      </c>
      <c s="3">
        <v>135000</v>
      </c>
      <c s="3">
        <v>135000</v>
      </c>
      <c>
        <v>0</v>
      </c>
      <c s="3">
        <v>0</v>
      </c>
      <c s="3">
        <v>5054.93</v>
      </c>
      <c s="3">
        <v>135000</v>
      </c>
      <c r="O6167" s="1" t="str">
        <f ca="1">HYPERLINK("https://web.datatree.com/?/property?propertyId=203772970", "https://web.datatree.com/?/property?propertyId=203772970")</f>
        <v>https://web.datatree.com/?/property?propertyId=203772970</v>
      </c>
      <c r="Q6167" t="s">
        <v>316</v>
      </c>
      <c>
        <v>0.318</v>
      </c>
      <c t="s">
        <v>60849</v>
      </c>
      <c t="s">
        <v>10361</v>
      </c>
      <c t="s">
        <v>12112</v>
      </c>
      <c t="s">
        <v>63626</v>
      </c>
      <c t="s">
        <v>12112</v>
      </c>
      <c t="s">
        <v>23821</v>
      </c>
      <c t="s">
        <v>9447</v>
      </c>
      <c t="s">
        <v>65059</v>
      </c>
      <c t="s">
        <v>39289</v>
      </c>
      <c>
        <v>33905</v>
      </c>
      <c t="s">
        <v>54611</v>
      </c>
      <c t="s">
        <v>48794</v>
      </c>
      <c t="s">
        <v>52271</v>
      </c>
      <c>
        <v>2715</v>
      </c>
      <c r="AI6167" t="s">
        <v>9448</v>
      </c>
      <c t="s">
        <v>31192</v>
      </c>
      <c>
        <v>307</v>
      </c>
      <c t="s">
        <v>48873</v>
      </c>
      <c t="s">
        <v>48873</v>
      </c>
      <c t="s">
        <v>14798</v>
      </c>
      <c t="s">
        <v>64042</v>
      </c>
      <c t="s">
        <v>5652</v>
      </c>
      <c t="s">
        <v>3093</v>
      </c>
      <c t="s">
        <v>13940</v>
      </c>
    </row>
    <row>
      <c t="s">
        <v>17594</v>
      </c>
      <c t="s">
        <v>10316</v>
      </c>
      <c t="s">
        <v>55876</v>
      </c>
      <c t="s">
        <v>30046</v>
      </c>
      <c t="s">
        <v>27106</v>
      </c>
      <c s="3">
        <v>135000</v>
      </c>
      <c s="3">
        <v>135000</v>
      </c>
      <c s="3">
        <v>125873</v>
      </c>
      <c>
        <v>0</v>
      </c>
      <c s="3">
        <v>0</v>
      </c>
      <c s="3">
        <v>4982.68</v>
      </c>
      <c s="3">
        <v>135000</v>
      </c>
      <c r="O6168" s="1" t="str">
        <f ca="1">HYPERLINK("https://web.datatree.com/?/property?propertyId=203772971", "https://web.datatree.com/?/property?propertyId=203772971")</f>
        <v>https://web.datatree.com/?/property?propertyId=203772971</v>
      </c>
      <c r="Q6168" t="s">
        <v>316</v>
      </c>
      <c>
        <v>0.36</v>
      </c>
      <c t="s">
        <v>60849</v>
      </c>
      <c t="s">
        <v>54943</v>
      </c>
      <c t="s">
        <v>13136</v>
      </c>
      <c t="s">
        <v>47165</v>
      </c>
      <c t="s">
        <v>13136</v>
      </c>
      <c t="s">
        <v>20543</v>
      </c>
      <c t="s">
        <v>9447</v>
      </c>
      <c t="s">
        <v>65059</v>
      </c>
      <c t="s">
        <v>39289</v>
      </c>
      <c>
        <v>33905</v>
      </c>
      <c t="s">
        <v>54611</v>
      </c>
      <c t="s">
        <v>48794</v>
      </c>
      <c t="s">
        <v>41867</v>
      </c>
      <c>
        <v>698</v>
      </c>
      <c r="AI6168" t="s">
        <v>27581</v>
      </c>
      <c t="s">
        <v>45393</v>
      </c>
      <c r="AL6168" t="s">
        <v>17856</v>
      </c>
      <c t="s">
        <v>55371</v>
      </c>
      <c t="s">
        <v>50829</v>
      </c>
      <c t="s">
        <v>707</v>
      </c>
      <c t="s">
        <v>19978</v>
      </c>
      <c t="s">
        <v>3093</v>
      </c>
      <c t="s">
        <v>3627</v>
      </c>
    </row>
    <row>
      <c t="s">
        <v>17594</v>
      </c>
      <c t="s">
        <v>17664</v>
      </c>
      <c t="s">
        <v>48022</v>
      </c>
      <c t="s">
        <v>5433</v>
      </c>
      <c t="s">
        <v>34751</v>
      </c>
      <c s="3">
        <v>135714</v>
      </c>
      <c s="3">
        <v>135714</v>
      </c>
      <c s="3">
        <v>125873</v>
      </c>
      <c>
        <v>0</v>
      </c>
      <c s="3">
        <v>0</v>
      </c>
      <c s="3">
        <v>4982.68</v>
      </c>
      <c s="3">
        <v>135714</v>
      </c>
      <c r="O6169" s="1" t="str">
        <f ca="1">HYPERLINK("https://web.datatree.com/?/property?propertyId=203772977", "https://web.datatree.com/?/property?propertyId=203772977")</f>
        <v>https://web.datatree.com/?/property?propertyId=203772977</v>
      </c>
      <c r="Q6169" t="s">
        <v>316</v>
      </c>
      <c>
        <v>0.312</v>
      </c>
      <c t="s">
        <v>60849</v>
      </c>
      <c t="s">
        <v>30490</v>
      </c>
      <c t="s">
        <v>35144</v>
      </c>
      <c t="s">
        <v>43826</v>
      </c>
      <c t="s">
        <v>35144</v>
      </c>
      <c t="s">
        <v>51178</v>
      </c>
      <c t="s">
        <v>9447</v>
      </c>
      <c t="s">
        <v>65059</v>
      </c>
      <c t="s">
        <v>39289</v>
      </c>
      <c>
        <v>33905</v>
      </c>
      <c t="s">
        <v>54611</v>
      </c>
      <c t="s">
        <v>48794</v>
      </c>
      <c t="s">
        <v>33051</v>
      </c>
      <c>
        <v>8920</v>
      </c>
      <c r="AI6169" t="s">
        <v>51844</v>
      </c>
      <c t="s">
        <v>31192</v>
      </c>
      <c r="AL6169" t="s">
        <v>11767</v>
      </c>
      <c r="AN6169" t="s">
        <v>49572</v>
      </c>
      <c t="s">
        <v>49563</v>
      </c>
      <c t="s">
        <v>44428</v>
      </c>
      <c t="s">
        <v>3093</v>
      </c>
      <c t="s">
        <v>58903</v>
      </c>
    </row>
    <row>
      <c t="s">
        <v>17594</v>
      </c>
      <c t="s">
        <v>46708</v>
      </c>
      <c t="s">
        <v>16021</v>
      </c>
      <c t="s">
        <v>12643</v>
      </c>
      <c t="s">
        <v>14189</v>
      </c>
      <c s="3">
        <v>27826</v>
      </c>
      <c s="3">
        <v>27826</v>
      </c>
      <c s="3">
        <v>15950</v>
      </c>
      <c>
        <v>0</v>
      </c>
      <c s="3">
        <v>0</v>
      </c>
      <c s="3">
        <v>720.61</v>
      </c>
      <c s="3">
        <v>27826</v>
      </c>
      <c r="O6170" s="1" t="str">
        <f ca="1">HYPERLINK("https://web.datatree.com/?/property?propertyId=205979909", "https://web.datatree.com/?/property?propertyId=205979909")</f>
        <v>https://web.datatree.com/?/property?propertyId=205979909</v>
      </c>
      <c r="Q6170" t="s">
        <v>316</v>
      </c>
      <c>
        <v>0.23</v>
      </c>
      <c t="s">
        <v>42044</v>
      </c>
      <c t="s">
        <v>16200</v>
      </c>
      <c t="s">
        <v>33325</v>
      </c>
      <c r="X6170" t="s">
        <v>17855</v>
      </c>
      <c t="s">
        <v>29190</v>
      </c>
      <c t="s">
        <v>2517</v>
      </c>
      <c t="s">
        <v>39289</v>
      </c>
      <c>
        <v>33904</v>
      </c>
      <c t="s">
        <v>55640</v>
      </c>
      <c t="s">
        <v>48794</v>
      </c>
      <c t="s">
        <v>42106</v>
      </c>
      <c>
        <v>3815</v>
      </c>
      <c r="AI6170" t="s">
        <v>20798</v>
      </c>
      <c t="s">
        <v>45620</v>
      </c>
      <c>
        <v>100</v>
      </c>
      <c t="s">
        <v>31106</v>
      </c>
      <c t="s">
        <v>31106</v>
      </c>
      <c t="s">
        <v>27481</v>
      </c>
      <c t="s">
        <v>36736</v>
      </c>
      <c t="s">
        <v>43446</v>
      </c>
      <c t="s">
        <v>3093</v>
      </c>
      <c t="s">
        <v>17545</v>
      </c>
    </row>
    <row>
      <c t="s">
        <v>17594</v>
      </c>
      <c t="s">
        <v>60110</v>
      </c>
      <c t="s">
        <v>29329</v>
      </c>
      <c t="s">
        <v>7162</v>
      </c>
      <c t="s">
        <v>23860</v>
      </c>
      <c s="3">
        <v>18472</v>
      </c>
      <c s="3">
        <v>18472</v>
      </c>
      <c s="3">
        <v>9460</v>
      </c>
      <c>
        <v>0</v>
      </c>
      <c s="3">
        <v>0</v>
      </c>
      <c s="3">
        <v>506.67</v>
      </c>
      <c s="3">
        <v>18472</v>
      </c>
      <c>
        <v>2021</v>
      </c>
      <c>
        <v>827.28</v>
      </c>
      <c s="1" t="str">
        <f ca="1">HYPERLINK("https://web.datatree.com/?/property?propertyId=205980000", "https://web.datatree.com/?/property?propertyId=205980000")</f>
        <v>https://web.datatree.com/?/property?propertyId=205980000</v>
      </c>
      <c r="Q6171" t="s">
        <v>316</v>
      </c>
      <c>
        <v>0.23</v>
      </c>
      <c t="s">
        <v>6175</v>
      </c>
      <c t="s">
        <v>41303</v>
      </c>
      <c t="s">
        <v>44649</v>
      </c>
      <c t="s">
        <v>1995</v>
      </c>
      <c t="s">
        <v>35693</v>
      </c>
      <c t="s">
        <v>31928</v>
      </c>
      <c t="s">
        <v>33179</v>
      </c>
      <c t="s">
        <v>2517</v>
      </c>
      <c t="s">
        <v>39289</v>
      </c>
      <c>
        <v>33909</v>
      </c>
      <c t="s">
        <v>55537</v>
      </c>
      <c t="s">
        <v>48794</v>
      </c>
      <c t="s">
        <v>62753</v>
      </c>
      <c>
        <v>4412</v>
      </c>
      <c r="AI6171" t="s">
        <v>61096</v>
      </c>
      <c t="s">
        <v>45393</v>
      </c>
      <c r="AL6171" t="s">
        <v>46989</v>
      </c>
      <c t="s">
        <v>11988</v>
      </c>
      <c t="s">
        <v>39289</v>
      </c>
      <c t="s">
        <v>10276</v>
      </c>
      <c t="s">
        <v>26242</v>
      </c>
      <c t="s">
        <v>3093</v>
      </c>
      <c t="s">
        <v>5583</v>
      </c>
    </row>
    <row>
      <c t="s">
        <v>17594</v>
      </c>
      <c t="s">
        <v>14460</v>
      </c>
      <c t="s">
        <v>14202</v>
      </c>
      <c t="s">
        <v>44876</v>
      </c>
      <c t="s">
        <v>30112</v>
      </c>
      <c s="3">
        <v>99000</v>
      </c>
      <c s="3">
        <v>99000</v>
      </c>
      <c s="3">
        <v>99000</v>
      </c>
      <c>
        <v>0</v>
      </c>
      <c s="3">
        <v>0</v>
      </c>
      <c s="3">
        <v>1358.47</v>
      </c>
      <c s="3">
        <v>99000</v>
      </c>
      <c r="O6172" s="1" t="str">
        <f ca="1">HYPERLINK("https://web.datatree.com/?/property?propertyId=206818266", "https://web.datatree.com/?/property?propertyId=206818266")</f>
        <v>https://web.datatree.com/?/property?propertyId=206818266</v>
      </c>
      <c r="Q6172" t="s">
        <v>316</v>
      </c>
      <c>
        <v>0.456</v>
      </c>
      <c t="s">
        <v>30497</v>
      </c>
      <c t="s">
        <v>42090</v>
      </c>
      <c t="s">
        <v>27664</v>
      </c>
      <c t="s">
        <v>43826</v>
      </c>
      <c t="s">
        <v>27664</v>
      </c>
      <c t="s">
        <v>4086</v>
      </c>
      <c t="s">
        <v>56592</v>
      </c>
      <c t="s">
        <v>65059</v>
      </c>
      <c t="s">
        <v>39289</v>
      </c>
      <c>
        <v>33908</v>
      </c>
      <c t="s">
        <v>38217</v>
      </c>
      <c t="s">
        <v>48794</v>
      </c>
      <c t="s">
        <v>63678</v>
      </c>
      <c r="AI6172" t="s">
        <v>15550</v>
      </c>
      <c r="AK6172">
        <v>3452</v>
      </c>
      <c t="s">
        <v>47171</v>
      </c>
      <c r="AN6172" t="s">
        <v>9636</v>
      </c>
      <c>
        <v>99743</v>
      </c>
      <c r="AQ6172" t="s">
        <v>3093</v>
      </c>
      <c t="s">
        <v>62047</v>
      </c>
    </row>
    <row>
      <c t="s">
        <v>17594</v>
      </c>
      <c t="s">
        <v>11306</v>
      </c>
      <c t="s">
        <v>30257</v>
      </c>
      <c t="s">
        <v>47953</v>
      </c>
      <c t="s">
        <v>5649</v>
      </c>
      <c s="3">
        <v>306</v>
      </c>
      <c s="3">
        <v>306</v>
      </c>
      <c s="3">
        <v>306</v>
      </c>
      <c>
        <v>0</v>
      </c>
      <c s="3">
        <v>0</v>
      </c>
      <c r="L6173" s="3">
        <v>306</v>
      </c>
      <c r="O6173" s="1" t="str">
        <f ca="1">HYPERLINK("https://web.datatree.com/?/property?propertyId=207096198", "https://web.datatree.com/?/property?propertyId=207096198")</f>
        <v>https://web.datatree.com/?/property?propertyId=207096198</v>
      </c>
      <c r="Q6173" t="s">
        <v>40482</v>
      </c>
      <c>
        <v>6.12</v>
      </c>
      <c t="s">
        <v>60849</v>
      </c>
      <c t="s">
        <v>30015</v>
      </c>
      <c t="s">
        <v>24367</v>
      </c>
      <c r="X6173" t="s">
        <v>52496</v>
      </c>
      <c t="s">
        <v>18633</v>
      </c>
      <c t="s">
        <v>65059</v>
      </c>
      <c t="s">
        <v>39289</v>
      </c>
      <c>
        <v>33908</v>
      </c>
      <c>
        <v>33908</v>
      </c>
      <c t="s">
        <v>48794</v>
      </c>
      <c t="s">
        <v>27550</v>
      </c>
      <c>
        <v>5385</v>
      </c>
      <c r="AI6173" t="s">
        <v>11345</v>
      </c>
      <c t="s">
        <v>45620</v>
      </c>
      <c r="AL6173" t="s">
        <v>65608</v>
      </c>
      <c t="s">
        <v>65608</v>
      </c>
      <c t="s">
        <v>39289</v>
      </c>
      <c t="s">
        <v>51751</v>
      </c>
      <c t="s">
        <v>31626</v>
      </c>
      <c t="s">
        <v>3093</v>
      </c>
      <c t="s">
        <v>38504</v>
      </c>
    </row>
    <row>
      <c t="s">
        <v>17594</v>
      </c>
      <c t="s">
        <v>14021</v>
      </c>
      <c t="s">
        <v>58034</v>
      </c>
      <c t="s">
        <v>21074</v>
      </c>
      <c t="s">
        <v>34606</v>
      </c>
      <c s="3">
        <v>12743</v>
      </c>
      <c s="3">
        <v>12743</v>
      </c>
      <c s="3">
        <v>6921</v>
      </c>
      <c>
        <v>0</v>
      </c>
      <c s="3">
        <v>0</v>
      </c>
      <c s="3">
        <v>130.62</v>
      </c>
      <c s="3">
        <v>12743</v>
      </c>
      <c r="O6174" s="1" t="str">
        <f ca="1">HYPERLINK("https://web.datatree.com/?/property?propertyId=207474925", "https://web.datatree.com/?/property?propertyId=207474925")</f>
        <v>https://web.datatree.com/?/property?propertyId=207474925</v>
      </c>
      <c r="Q6174" t="s">
        <v>316</v>
      </c>
      <c>
        <v>0.138</v>
      </c>
      <c t="s">
        <v>36245</v>
      </c>
      <c t="s">
        <v>3293</v>
      </c>
      <c t="s">
        <v>40491</v>
      </c>
      <c r="X6174" t="s">
        <v>15757</v>
      </c>
      <c t="s">
        <v>55808</v>
      </c>
      <c t="s">
        <v>65059</v>
      </c>
      <c t="s">
        <v>39289</v>
      </c>
      <c>
        <v>33907</v>
      </c>
      <c>
        <v>33907</v>
      </c>
      <c t="s">
        <v>48794</v>
      </c>
      <c t="s">
        <v>51636</v>
      </c>
      <c>
        <v>539</v>
      </c>
      <c r="AI6174" t="s">
        <v>23645</v>
      </c>
      <c t="s">
        <v>45620</v>
      </c>
      <c r="AL6174" t="s">
        <v>6292</v>
      </c>
      <c t="s">
        <v>6292</v>
      </c>
      <c t="s">
        <v>27747</v>
      </c>
      <c t="s">
        <v>54678</v>
      </c>
      <c t="s">
        <v>44428</v>
      </c>
      <c t="s">
        <v>3093</v>
      </c>
      <c t="s">
        <v>3976</v>
      </c>
    </row>
    <row>
      <c t="s">
        <v>17594</v>
      </c>
      <c s="2" t="s">
        <v>60184</v>
      </c>
      <c t="s">
        <v>58727</v>
      </c>
      <c t="s">
        <v>726</v>
      </c>
      <c t="s">
        <v>3786</v>
      </c>
      <c s="3">
        <v>100599</v>
      </c>
      <c s="3">
        <v>82641</v>
      </c>
      <c s="3">
        <v>88136</v>
      </c>
      <c>
        <v>0</v>
      </c>
      <c s="3">
        <v>0</v>
      </c>
      <c s="3">
        <v>1372.07</v>
      </c>
      <c s="3">
        <v>100599</v>
      </c>
      <c r="O6175" s="1" t="str">
        <f ca="1">HYPERLINK("https://web.datatree.com/?/property?propertyId=209287962", "https://web.datatree.com/?/property?propertyId=209287962")</f>
        <v>https://web.datatree.com/?/property?propertyId=209287962</v>
      </c>
      <c r="Q6175" t="s">
        <v>316</v>
      </c>
      <c>
        <v>0.116</v>
      </c>
      <c t="s">
        <v>9944</v>
      </c>
      <c t="s">
        <v>2140</v>
      </c>
      <c t="s">
        <v>44075</v>
      </c>
      <c t="s">
        <v>52045</v>
      </c>
      <c t="s">
        <v>44075</v>
      </c>
      <c t="s">
        <v>44965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28599</v>
      </c>
      <c>
        <v>105</v>
      </c>
      <c r="AI6175" t="s">
        <v>61924</v>
      </c>
      <c t="s">
        <v>31192</v>
      </c>
      <c r="AL6175" t="s">
        <v>37773</v>
      </c>
      <c t="s">
        <v>37773</v>
      </c>
      <c t="s">
        <v>21017</v>
      </c>
      <c t="s">
        <v>40323</v>
      </c>
      <c t="s">
        <v>42082</v>
      </c>
      <c t="s">
        <v>3093</v>
      </c>
      <c t="s">
        <v>13584</v>
      </c>
    </row>
    <row>
      <c t="s">
        <v>17594</v>
      </c>
      <c s="2" t="s">
        <v>7504</v>
      </c>
      <c t="s">
        <v>23752</v>
      </c>
      <c t="s">
        <v>21075</v>
      </c>
      <c t="s">
        <v>11554</v>
      </c>
      <c s="3">
        <v>82119</v>
      </c>
      <c s="3">
        <v>75000</v>
      </c>
      <c s="3">
        <v>72906</v>
      </c>
      <c>
        <v>0</v>
      </c>
      <c s="3">
        <v>0</v>
      </c>
      <c s="3">
        <v>1147.6</v>
      </c>
      <c s="3">
        <v>82119</v>
      </c>
      <c r="O6176" s="1" t="str">
        <f ca="1">HYPERLINK("https://web.datatree.com/?/property?propertyId=209287963", "https://web.datatree.com/?/property?propertyId=209287963")</f>
        <v>https://web.datatree.com/?/property?propertyId=209287963</v>
      </c>
      <c r="Q6176" t="s">
        <v>316</v>
      </c>
      <c>
        <v>0.072</v>
      </c>
      <c t="s">
        <v>9944</v>
      </c>
      <c t="s">
        <v>4237</v>
      </c>
      <c t="s">
        <v>9542</v>
      </c>
      <c t="s">
        <v>64043</v>
      </c>
      <c t="s">
        <v>9542</v>
      </c>
      <c t="s">
        <v>51654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33032</v>
      </c>
      <c>
        <v>19501</v>
      </c>
      <c r="AI6176" t="s">
        <v>48083</v>
      </c>
      <c t="s">
        <v>45620</v>
      </c>
      <c r="AL6176" t="s">
        <v>8033</v>
      </c>
      <c t="s">
        <v>40227</v>
      </c>
      <c t="s">
        <v>49572</v>
      </c>
      <c t="s">
        <v>38971</v>
      </c>
      <c t="s">
        <v>14695</v>
      </c>
      <c t="s">
        <v>3093</v>
      </c>
      <c t="s">
        <v>25915</v>
      </c>
    </row>
    <row>
      <c t="s">
        <v>17594</v>
      </c>
      <c s="2" t="s">
        <v>21813</v>
      </c>
      <c t="s">
        <v>52264</v>
      </c>
      <c t="s">
        <v>27807</v>
      </c>
      <c t="s">
        <v>19318</v>
      </c>
      <c s="3">
        <v>86639</v>
      </c>
      <c s="3">
        <v>75000</v>
      </c>
      <c s="3">
        <v>77981</v>
      </c>
      <c>
        <v>0</v>
      </c>
      <c s="3">
        <v>0</v>
      </c>
      <c s="3">
        <v>1220.5</v>
      </c>
      <c s="3">
        <v>86639</v>
      </c>
      <c r="O6177" s="1" t="str">
        <f ca="1">HYPERLINK("https://web.datatree.com/?/property?propertyId=209287964", "https://web.datatree.com/?/property?propertyId=209287964")</f>
        <v>https://web.datatree.com/?/property?propertyId=209287964</v>
      </c>
      <c r="Q6177" t="s">
        <v>316</v>
      </c>
      <c>
        <v>0.072</v>
      </c>
      <c t="s">
        <v>9944</v>
      </c>
      <c t="s">
        <v>25238</v>
      </c>
      <c t="s">
        <v>31565</v>
      </c>
      <c t="s">
        <v>26502</v>
      </c>
      <c t="s">
        <v>31565</v>
      </c>
      <c t="s">
        <v>19962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37539</v>
      </c>
      <c>
        <v>312</v>
      </c>
      <c r="AI6177" t="s">
        <v>32378</v>
      </c>
      <c t="s">
        <v>45620</v>
      </c>
      <c r="AL6177" t="s">
        <v>66135</v>
      </c>
      <c t="s">
        <v>40227</v>
      </c>
      <c t="s">
        <v>22275</v>
      </c>
      <c t="s">
        <v>14409</v>
      </c>
      <c t="s">
        <v>22455</v>
      </c>
      <c t="s">
        <v>3093</v>
      </c>
      <c t="s">
        <v>61611</v>
      </c>
    </row>
    <row>
      <c t="s">
        <v>17594</v>
      </c>
      <c s="2" t="s">
        <v>36556</v>
      </c>
      <c t="s">
        <v>62545</v>
      </c>
      <c t="s">
        <v>48540</v>
      </c>
      <c t="s">
        <v>27064</v>
      </c>
      <c s="3">
        <v>82119</v>
      </c>
      <c s="3">
        <v>75000</v>
      </c>
      <c s="3">
        <v>72906</v>
      </c>
      <c>
        <v>0</v>
      </c>
      <c s="3">
        <v>0</v>
      </c>
      <c s="3">
        <v>1147.6</v>
      </c>
      <c s="3">
        <v>82119</v>
      </c>
      <c r="O6178" s="1" t="str">
        <f ca="1">HYPERLINK("https://web.datatree.com/?/property?propertyId=209287965", "https://web.datatree.com/?/property?propertyId=209287965")</f>
        <v>https://web.datatree.com/?/property?propertyId=209287965</v>
      </c>
      <c r="Q6178" t="s">
        <v>316</v>
      </c>
      <c>
        <v>0.072</v>
      </c>
      <c t="s">
        <v>9944</v>
      </c>
      <c t="s">
        <v>45640</v>
      </c>
      <c t="s">
        <v>52517</v>
      </c>
      <c t="s">
        <v>63047</v>
      </c>
      <c t="s">
        <v>52517</v>
      </c>
      <c t="s">
        <v>617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27898</v>
      </c>
      <c>
        <v>22184</v>
      </c>
      <c r="AI6178" t="s">
        <v>33900</v>
      </c>
      <c t="s">
        <v>24900</v>
      </c>
      <c r="AL6178" t="s">
        <v>56260</v>
      </c>
      <c t="s">
        <v>40227</v>
      </c>
      <c t="s">
        <v>58733</v>
      </c>
      <c t="s">
        <v>22223</v>
      </c>
      <c t="s">
        <v>52247</v>
      </c>
      <c t="s">
        <v>3093</v>
      </c>
      <c t="s">
        <v>43995</v>
      </c>
    </row>
    <row>
      <c t="s">
        <v>17594</v>
      </c>
      <c s="2" t="s">
        <v>65259</v>
      </c>
      <c t="s">
        <v>36937</v>
      </c>
      <c t="s">
        <v>1975</v>
      </c>
      <c t="s">
        <v>48972</v>
      </c>
      <c s="3">
        <v>90978</v>
      </c>
      <c s="3">
        <v>78706</v>
      </c>
      <c s="3">
        <v>78574</v>
      </c>
      <c>
        <v>0</v>
      </c>
      <c s="3">
        <v>0</v>
      </c>
      <c s="3">
        <v>1229.62</v>
      </c>
      <c s="3">
        <v>90978</v>
      </c>
      <c r="O6179" s="1" t="str">
        <f ca="1">HYPERLINK("https://web.datatree.com/?/property?propertyId=209287966", "https://web.datatree.com/?/property?propertyId=209287966")</f>
        <v>https://web.datatree.com/?/property?propertyId=209287966</v>
      </c>
      <c r="Q6179" t="s">
        <v>316</v>
      </c>
      <c>
        <v>0.072</v>
      </c>
      <c t="s">
        <v>9944</v>
      </c>
      <c t="s">
        <v>44541</v>
      </c>
      <c t="s">
        <v>1606</v>
      </c>
      <c t="s">
        <v>54573</v>
      </c>
      <c t="s">
        <v>27006</v>
      </c>
      <c t="s">
        <v>27478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32349</v>
      </c>
      <c>
        <v>8148</v>
      </c>
      <c r="AI6179" t="s">
        <v>17633</v>
      </c>
      <c t="s">
        <v>41372</v>
      </c>
      <c t="s">
        <v>31228</v>
      </c>
      <c t="s">
        <v>65195</v>
      </c>
      <c t="s">
        <v>65195</v>
      </c>
      <c t="s">
        <v>19878</v>
      </c>
      <c t="s">
        <v>8583</v>
      </c>
      <c t="s">
        <v>1951</v>
      </c>
      <c t="s">
        <v>3093</v>
      </c>
      <c t="s">
        <v>49715</v>
      </c>
    </row>
    <row>
      <c t="s">
        <v>17594</v>
      </c>
      <c s="2" t="s">
        <v>57708</v>
      </c>
      <c t="s">
        <v>30717</v>
      </c>
      <c t="s">
        <v>29108</v>
      </c>
      <c t="s">
        <v>64770</v>
      </c>
      <c s="3">
        <v>86641</v>
      </c>
      <c s="3">
        <v>75000</v>
      </c>
      <c s="3">
        <v>76596</v>
      </c>
      <c>
        <v>0</v>
      </c>
      <c s="3">
        <v>0</v>
      </c>
      <c s="3">
        <v>1207.5</v>
      </c>
      <c s="3">
        <v>86641</v>
      </c>
      <c r="O6180" s="1" t="str">
        <f ca="1">HYPERLINK("https://web.datatree.com/?/property?propertyId=209287968", "https://web.datatree.com/?/property?propertyId=209287968")</f>
        <v>https://web.datatree.com/?/property?propertyId=209287968</v>
      </c>
      <c r="Q6180" t="s">
        <v>316</v>
      </c>
      <c>
        <v>0.072</v>
      </c>
      <c t="s">
        <v>9944</v>
      </c>
      <c t="s">
        <v>10361</v>
      </c>
      <c t="s">
        <v>65565</v>
      </c>
      <c r="X6180" t="s">
        <v>36336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2744</v>
      </c>
      <c>
        <v>4603</v>
      </c>
      <c r="AI6180" t="s">
        <v>62177</v>
      </c>
      <c t="s">
        <v>40123</v>
      </c>
      <c r="AL6180" t="s">
        <v>9276</v>
      </c>
      <c t="s">
        <v>12961</v>
      </c>
      <c t="s">
        <v>51087</v>
      </c>
      <c t="s">
        <v>57158</v>
      </c>
      <c t="s">
        <v>22152</v>
      </c>
      <c t="s">
        <v>3093</v>
      </c>
      <c t="s">
        <v>29730</v>
      </c>
    </row>
    <row>
      <c t="s">
        <v>17594</v>
      </c>
      <c s="2" t="s">
        <v>5079</v>
      </c>
      <c t="s">
        <v>58863</v>
      </c>
      <c t="s">
        <v>49870</v>
      </c>
      <c t="s">
        <v>5310</v>
      </c>
      <c s="3">
        <v>88298</v>
      </c>
      <c s="3">
        <v>78478</v>
      </c>
      <c s="3">
        <v>79085</v>
      </c>
      <c>
        <v>0</v>
      </c>
      <c s="3">
        <v>0</v>
      </c>
      <c s="3">
        <v>1240.13</v>
      </c>
      <c s="3">
        <v>88298</v>
      </c>
      <c r="O6181" s="1" t="str">
        <f ca="1">HYPERLINK("https://web.datatree.com/?/property?propertyId=209287969", "https://web.datatree.com/?/property?propertyId=209287969")</f>
        <v>https://web.datatree.com/?/property?propertyId=209287969</v>
      </c>
      <c r="Q6181" t="s">
        <v>316</v>
      </c>
      <c>
        <v>0.072</v>
      </c>
      <c t="s">
        <v>9944</v>
      </c>
      <c t="s">
        <v>56575</v>
      </c>
      <c t="s">
        <v>14328</v>
      </c>
      <c t="s">
        <v>48508</v>
      </c>
      <c t="s">
        <v>14328</v>
      </c>
      <c t="s">
        <v>64932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7174</v>
      </c>
      <c>
        <v>30663</v>
      </c>
      <c r="AI6181" t="s">
        <v>12486</v>
      </c>
      <c t="s">
        <v>45620</v>
      </c>
      <c r="AL6181" t="s">
        <v>56260</v>
      </c>
      <c t="s">
        <v>40227</v>
      </c>
      <c t="s">
        <v>58733</v>
      </c>
      <c t="s">
        <v>50239</v>
      </c>
      <c t="s">
        <v>22455</v>
      </c>
      <c t="s">
        <v>3093</v>
      </c>
      <c t="s">
        <v>45438</v>
      </c>
    </row>
    <row>
      <c t="s">
        <v>42103</v>
      </c>
      <c s="2" t="s">
        <v>19521</v>
      </c>
      <c t="s">
        <v>12099</v>
      </c>
      <c t="s">
        <v>3262</v>
      </c>
      <c t="s">
        <v>26773</v>
      </c>
      <c s="3">
        <v>86114</v>
      </c>
      <c s="3">
        <v>75000</v>
      </c>
      <c s="3">
        <v>77392</v>
      </c>
      <c>
        <v>0</v>
      </c>
      <c s="3">
        <v>0</v>
      </c>
      <c s="3">
        <v>1212.03</v>
      </c>
      <c s="3">
        <v>86114</v>
      </c>
      <c r="O6182" s="1" t="str">
        <f ca="1">HYPERLINK("https://web.datatree.com/?/property?propertyId=209287970", "https://web.datatree.com/?/property?propertyId=209287970")</f>
        <v>https://web.datatree.com/?/property?propertyId=209287970</v>
      </c>
      <c r="Q6182" t="s">
        <v>316</v>
      </c>
      <c>
        <v>0.072</v>
      </c>
      <c t="s">
        <v>9944</v>
      </c>
      <c t="s">
        <v>49241</v>
      </c>
      <c t="s">
        <v>21755</v>
      </c>
      <c t="s">
        <v>12967</v>
      </c>
      <c t="s">
        <v>21755</v>
      </c>
      <c t="s">
        <v>10030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11448</v>
      </c>
      <c r="AI6182" t="s">
        <v>19487</v>
      </c>
      <c r="AL6182" t="s">
        <v>56260</v>
      </c>
      <c t="s">
        <v>56260</v>
      </c>
      <c t="s">
        <v>58733</v>
      </c>
      <c t="s">
        <v>42226</v>
      </c>
      <c t="s">
        <v>7011</v>
      </c>
      <c t="s">
        <v>3093</v>
      </c>
      <c t="s">
        <v>58952</v>
      </c>
    </row>
    <row>
      <c t="s">
        <v>17594</v>
      </c>
      <c s="2" t="s">
        <v>12151</v>
      </c>
      <c t="s">
        <v>11427</v>
      </c>
      <c t="s">
        <v>23093</v>
      </c>
      <c t="s">
        <v>10480</v>
      </c>
      <c s="3">
        <v>87708</v>
      </c>
      <c s="3">
        <v>77943</v>
      </c>
      <c s="3">
        <v>79114</v>
      </c>
      <c>
        <v>0</v>
      </c>
      <c s="3">
        <v>0</v>
      </c>
      <c s="3">
        <v>1237.13</v>
      </c>
      <c s="3">
        <v>87708</v>
      </c>
      <c r="O6183" s="1" t="str">
        <f ca="1">HYPERLINK("https://web.datatree.com/?/property?propertyId=209287972", "https://web.datatree.com/?/property?propertyId=209287972")</f>
        <v>https://web.datatree.com/?/property?propertyId=209287972</v>
      </c>
      <c r="Q6183" t="s">
        <v>316</v>
      </c>
      <c>
        <v>0.072</v>
      </c>
      <c t="s">
        <v>9944</v>
      </c>
      <c t="s">
        <v>24692</v>
      </c>
      <c t="s">
        <v>20257</v>
      </c>
      <c t="s">
        <v>43826</v>
      </c>
      <c t="s">
        <v>20257</v>
      </c>
      <c t="s">
        <v>40677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48974</v>
      </c>
      <c>
        <v>204</v>
      </c>
      <c r="AI6183" t="s">
        <v>23615</v>
      </c>
      <c t="s">
        <v>31192</v>
      </c>
      <c r="AL6183" t="s">
        <v>59482</v>
      </c>
      <c t="s">
        <v>40227</v>
      </c>
      <c t="s">
        <v>22275</v>
      </c>
      <c t="s">
        <v>32588</v>
      </c>
      <c t="s">
        <v>35354</v>
      </c>
      <c t="s">
        <v>3093</v>
      </c>
      <c t="s">
        <v>3350</v>
      </c>
    </row>
    <row>
      <c t="s">
        <v>17594</v>
      </c>
      <c s="2" t="s">
        <v>40583</v>
      </c>
      <c s="7" t="s">
        <v>53939</v>
      </c>
      <c t="s">
        <v>43914</v>
      </c>
      <c t="s">
        <v>32076</v>
      </c>
      <c s="3">
        <v>90062</v>
      </c>
      <c s="3">
        <v>80297</v>
      </c>
      <c s="3">
        <v>81763</v>
      </c>
      <c>
        <v>0</v>
      </c>
      <c s="3">
        <v>0</v>
      </c>
      <c s="3">
        <v>1275.14</v>
      </c>
      <c s="3">
        <v>90062</v>
      </c>
      <c r="O6184" s="1" t="str">
        <f ca="1">HYPERLINK("https://web.datatree.com/?/property?propertyId=209287973", "https://web.datatree.com/?/property?propertyId=209287973")</f>
        <v>https://web.datatree.com/?/property?propertyId=209287973</v>
      </c>
      <c r="Q6184" t="s">
        <v>316</v>
      </c>
      <c>
        <v>0.072</v>
      </c>
      <c t="s">
        <v>9944</v>
      </c>
      <c t="s">
        <v>15209</v>
      </c>
      <c t="s">
        <v>63077</v>
      </c>
      <c t="s">
        <v>21379</v>
      </c>
      <c t="s">
        <v>63077</v>
      </c>
      <c t="s">
        <v>21591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53361</v>
      </c>
      <c>
        <v>6</v>
      </c>
      <c r="AI6184" t="s">
        <v>50860</v>
      </c>
      <c t="s">
        <v>835</v>
      </c>
      <c r="AL6184" t="s">
        <v>838</v>
      </c>
      <c t="s">
        <v>40227</v>
      </c>
      <c t="s">
        <v>26016</v>
      </c>
      <c t="s">
        <v>7132</v>
      </c>
      <c t="s">
        <v>17380</v>
      </c>
      <c t="s">
        <v>3093</v>
      </c>
      <c s="7" t="s">
        <v>66389</v>
      </c>
    </row>
    <row>
      <c t="s">
        <v>17594</v>
      </c>
      <c s="2" t="s">
        <v>2663</v>
      </c>
      <c t="s">
        <v>9658</v>
      </c>
      <c t="s">
        <v>17722</v>
      </c>
      <c t="s">
        <v>47842</v>
      </c>
      <c s="3">
        <v>87987</v>
      </c>
      <c s="3">
        <v>78277</v>
      </c>
      <c s="3">
        <v>79457</v>
      </c>
      <c>
        <v>0</v>
      </c>
      <c s="3">
        <v>0</v>
      </c>
      <c s="3">
        <v>1241.9</v>
      </c>
      <c s="3">
        <v>87987</v>
      </c>
      <c r="O6185" s="1" t="str">
        <f ca="1">HYPERLINK("https://web.datatree.com/?/property?propertyId=209287975", "https://web.datatree.com/?/property?propertyId=209287975")</f>
        <v>https://web.datatree.com/?/property?propertyId=209287975</v>
      </c>
      <c r="Q6185" t="s">
        <v>316</v>
      </c>
      <c>
        <v>0.074</v>
      </c>
      <c t="s">
        <v>9944</v>
      </c>
      <c t="s">
        <v>21379</v>
      </c>
      <c t="s">
        <v>22397</v>
      </c>
      <c t="s">
        <v>43826</v>
      </c>
      <c r="X6185" t="s">
        <v>8907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48211</v>
      </c>
      <c>
        <v>414</v>
      </c>
      <c r="AI6185" t="s">
        <v>58045</v>
      </c>
      <c t="s">
        <v>45393</v>
      </c>
      <c t="s">
        <v>31228</v>
      </c>
      <c t="s">
        <v>41206</v>
      </c>
      <c t="s">
        <v>41206</v>
      </c>
      <c t="s">
        <v>51137</v>
      </c>
      <c t="s">
        <v>19867</v>
      </c>
      <c t="s">
        <v>42082</v>
      </c>
      <c t="s">
        <v>3093</v>
      </c>
      <c t="s">
        <v>43161</v>
      </c>
    </row>
    <row>
      <c t="s">
        <v>17594</v>
      </c>
      <c s="2" t="s">
        <v>31015</v>
      </c>
      <c t="s">
        <v>6420</v>
      </c>
      <c t="s">
        <v>24377</v>
      </c>
      <c t="s">
        <v>55705</v>
      </c>
      <c s="3">
        <v>90572</v>
      </c>
      <c s="3">
        <v>78113</v>
      </c>
      <c s="3">
        <v>82240</v>
      </c>
      <c>
        <v>0</v>
      </c>
      <c s="3">
        <v>0</v>
      </c>
      <c s="3">
        <v>1282.48</v>
      </c>
      <c s="3">
        <v>90572</v>
      </c>
      <c r="O6186" s="1" t="str">
        <f ca="1">HYPERLINK("https://web.datatree.com/?/property?propertyId=209287976", "https://web.datatree.com/?/property?propertyId=209287976")</f>
        <v>https://web.datatree.com/?/property?propertyId=209287976</v>
      </c>
      <c r="Q6186" t="s">
        <v>316</v>
      </c>
      <c>
        <v>0.129</v>
      </c>
      <c t="s">
        <v>9944</v>
      </c>
      <c r="U6186" t="s">
        <v>45649</v>
      </c>
      <c r="W6186" t="s">
        <v>53602</v>
      </c>
      <c t="s">
        <v>27316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52669</v>
      </c>
      <c>
        <v>2316</v>
      </c>
      <c r="AI6186" t="s">
        <v>46128</v>
      </c>
      <c t="s">
        <v>45393</v>
      </c>
      <c r="AL6186" t="s">
        <v>16664</v>
      </c>
      <c t="s">
        <v>38818</v>
      </c>
      <c t="s">
        <v>9387</v>
      </c>
      <c t="s">
        <v>24098</v>
      </c>
      <c t="s">
        <v>33721</v>
      </c>
      <c t="s">
        <v>3093</v>
      </c>
      <c t="s">
        <v>42738</v>
      </c>
    </row>
    <row>
      <c t="s">
        <v>17594</v>
      </c>
      <c s="2" t="s">
        <v>9841</v>
      </c>
      <c t="s">
        <v>62195</v>
      </c>
      <c t="s">
        <v>45223</v>
      </c>
      <c t="s">
        <v>10209</v>
      </c>
      <c s="3">
        <v>113499</v>
      </c>
      <c s="3">
        <v>101308</v>
      </c>
      <c s="3">
        <v>108306</v>
      </c>
      <c>
        <v>0</v>
      </c>
      <c s="3">
        <v>0</v>
      </c>
      <c s="3">
        <v>1725.83</v>
      </c>
      <c s="3">
        <v>113499</v>
      </c>
      <c r="O6187" s="1" t="str">
        <f ca="1">HYPERLINK("https://web.datatree.com/?/property?propertyId=209287977", "https://web.datatree.com/?/property?propertyId=209287977")</f>
        <v>https://web.datatree.com/?/property?propertyId=209287977</v>
      </c>
      <c r="Q6187" t="s">
        <v>316</v>
      </c>
      <c>
        <v>0.072</v>
      </c>
      <c t="s">
        <v>9944</v>
      </c>
      <c t="s">
        <v>19357</v>
      </c>
      <c t="s">
        <v>53727</v>
      </c>
      <c t="s">
        <v>15051</v>
      </c>
      <c t="s">
        <v>53727</v>
      </c>
      <c t="s">
        <v>57347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14266</v>
      </c>
      <c>
        <v>231</v>
      </c>
      <c r="AI6187" t="s">
        <v>7588</v>
      </c>
      <c t="s">
        <v>31192</v>
      </c>
      <c r="AL6187" t="s">
        <v>34272</v>
      </c>
      <c t="s">
        <v>40227</v>
      </c>
      <c t="s">
        <v>17134</v>
      </c>
      <c t="s">
        <v>64706</v>
      </c>
      <c t="s">
        <v>49977</v>
      </c>
      <c t="s">
        <v>3093</v>
      </c>
      <c t="s">
        <v>15193</v>
      </c>
    </row>
    <row>
      <c t="s">
        <v>17594</v>
      </c>
      <c s="2" t="s">
        <v>62571</v>
      </c>
      <c t="s">
        <v>20583</v>
      </c>
      <c t="s">
        <v>65894</v>
      </c>
      <c t="s">
        <v>17891</v>
      </c>
      <c s="3">
        <v>127741</v>
      </c>
      <c s="3">
        <v>117976</v>
      </c>
      <c s="3">
        <v>109996</v>
      </c>
      <c>
        <v>0</v>
      </c>
      <c s="3">
        <v>0</v>
      </c>
      <c s="3">
        <v>1750.32</v>
      </c>
      <c s="3">
        <v>127741</v>
      </c>
      <c r="O6188" s="1" t="str">
        <f ca="1">HYPERLINK("https://web.datatree.com/?/property?propertyId=209287978", "https://web.datatree.com/?/property?propertyId=209287978")</f>
        <v>https://web.datatree.com/?/property?propertyId=209287978</v>
      </c>
      <c r="Q6188" t="s">
        <v>316</v>
      </c>
      <c>
        <v>0.072</v>
      </c>
      <c t="s">
        <v>9944</v>
      </c>
      <c t="s">
        <v>3293</v>
      </c>
      <c t="s">
        <v>11864</v>
      </c>
      <c t="s">
        <v>64053</v>
      </c>
      <c t="s">
        <v>11864</v>
      </c>
      <c t="s">
        <v>20917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10048</v>
      </c>
      <c>
        <v>2</v>
      </c>
      <c r="AI6188" t="s">
        <v>6106</v>
      </c>
      <c t="s">
        <v>835</v>
      </c>
      <c r="AL6188" t="s">
        <v>2133</v>
      </c>
      <c t="s">
        <v>10966</v>
      </c>
      <c t="s">
        <v>36633</v>
      </c>
      <c t="s">
        <v>59692</v>
      </c>
      <c t="s">
        <v>22152</v>
      </c>
      <c t="s">
        <v>3093</v>
      </c>
      <c t="s">
        <v>37227</v>
      </c>
    </row>
    <row>
      <c t="s">
        <v>17594</v>
      </c>
      <c s="2" t="s">
        <v>55283</v>
      </c>
      <c t="s">
        <v>8164</v>
      </c>
      <c t="s">
        <v>25674</v>
      </c>
      <c t="s">
        <v>33533</v>
      </c>
      <c s="3">
        <v>126819</v>
      </c>
      <c s="3">
        <v>119700</v>
      </c>
      <c s="3">
        <v>107336</v>
      </c>
      <c>
        <v>0</v>
      </c>
      <c s="3">
        <v>0</v>
      </c>
      <c s="3">
        <v>1720.17</v>
      </c>
      <c s="3">
        <v>126819</v>
      </c>
      <c r="O6189" s="1" t="str">
        <f ca="1">HYPERLINK("https://web.datatree.com/?/property?propertyId=209287980", "https://web.datatree.com/?/property?propertyId=209287980")</f>
        <v>https://web.datatree.com/?/property?propertyId=209287980</v>
      </c>
      <c r="Q6189" t="s">
        <v>316</v>
      </c>
      <c>
        <v>0.123</v>
      </c>
      <c t="s">
        <v>9944</v>
      </c>
      <c t="s">
        <v>7672</v>
      </c>
      <c t="s">
        <v>141</v>
      </c>
      <c r="X6189" t="s">
        <v>1033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35304</v>
      </c>
      <c>
        <v>6</v>
      </c>
      <c r="AI6189" t="s">
        <v>36660</v>
      </c>
      <c t="s">
        <v>45620</v>
      </c>
      <c r="AL6189" t="s">
        <v>30404</v>
      </c>
      <c t="s">
        <v>40227</v>
      </c>
      <c t="s">
        <v>50917</v>
      </c>
      <c t="s">
        <v>64422</v>
      </c>
      <c t="s">
        <v>17258</v>
      </c>
      <c t="s">
        <v>3093</v>
      </c>
      <c t="s">
        <v>26346</v>
      </c>
    </row>
    <row>
      <c t="s">
        <v>17594</v>
      </c>
      <c t="s">
        <v>65088</v>
      </c>
      <c t="s">
        <v>46227</v>
      </c>
      <c t="s">
        <v>52699</v>
      </c>
      <c t="s">
        <v>41838</v>
      </c>
      <c s="3">
        <v>128534</v>
      </c>
      <c s="3">
        <v>116648</v>
      </c>
      <c s="3">
        <v>110876</v>
      </c>
      <c>
        <v>0</v>
      </c>
      <c s="3">
        <v>0</v>
      </c>
      <c s="3">
        <v>1763.02</v>
      </c>
      <c s="3">
        <v>128534</v>
      </c>
      <c r="O6190" s="1" t="str">
        <f ca="1">HYPERLINK("https://web.datatree.com/?/property?propertyId=209287981", "https://web.datatree.com/?/property?propertyId=209287981")</f>
        <v>https://web.datatree.com/?/property?propertyId=209287981</v>
      </c>
      <c r="Q6190" t="s">
        <v>316</v>
      </c>
      <c>
        <v>0.099</v>
      </c>
      <c t="s">
        <v>9944</v>
      </c>
      <c t="s">
        <v>4814</v>
      </c>
      <c t="s">
        <v>11405</v>
      </c>
      <c t="s">
        <v>58876</v>
      </c>
      <c t="s">
        <v>11405</v>
      </c>
      <c t="s">
        <v>50701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62237</v>
      </c>
      <c>
        <v>2653</v>
      </c>
      <c r="AH6190" t="s">
        <v>57851</v>
      </c>
      <c>
        <v>1220</v>
      </c>
      <c r="AL6190" t="s">
        <v>34996</v>
      </c>
      <c t="s">
        <v>40227</v>
      </c>
      <c t="s">
        <v>49572</v>
      </c>
      <c t="s">
        <v>65408</v>
      </c>
      <c t="s">
        <v>14695</v>
      </c>
      <c t="s">
        <v>3093</v>
      </c>
      <c t="s">
        <v>13077</v>
      </c>
    </row>
    <row>
      <c t="s">
        <v>17594</v>
      </c>
      <c t="s">
        <v>31672</v>
      </c>
      <c t="s">
        <v>32548</v>
      </c>
      <c t="s">
        <v>59509</v>
      </c>
      <c t="s">
        <v>49743</v>
      </c>
      <c s="3">
        <v>138219</v>
      </c>
      <c s="3">
        <v>128564</v>
      </c>
      <c s="3">
        <v>70085</v>
      </c>
      <c>
        <v>0</v>
      </c>
      <c s="3">
        <v>0</v>
      </c>
      <c s="3">
        <v>1432.81</v>
      </c>
      <c s="3">
        <v>138219</v>
      </c>
      <c r="O6191" s="1" t="str">
        <f ca="1">HYPERLINK("https://web.datatree.com/?/property?propertyId=209287982", "https://web.datatree.com/?/property?propertyId=209287982")</f>
        <v>https://web.datatree.com/?/property?propertyId=209287982</v>
      </c>
      <c r="Q6191" t="s">
        <v>316</v>
      </c>
      <c>
        <v>0.137</v>
      </c>
      <c t="s">
        <v>9944</v>
      </c>
      <c t="s">
        <v>19357</v>
      </c>
      <c t="s">
        <v>27048</v>
      </c>
      <c t="s">
        <v>52023</v>
      </c>
      <c t="s">
        <v>27048</v>
      </c>
      <c t="s">
        <v>9597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65305</v>
      </c>
      <c>
        <v>38</v>
      </c>
      <c r="AI6191" t="s">
        <v>7171</v>
      </c>
      <c t="s">
        <v>45393</v>
      </c>
      <c r="AL6191" t="s">
        <v>67231</v>
      </c>
      <c t="s">
        <v>40227</v>
      </c>
      <c t="s">
        <v>10909</v>
      </c>
      <c t="s">
        <v>29599</v>
      </c>
      <c r="AQ6191" t="s">
        <v>27814</v>
      </c>
      <c t="s">
        <v>25395</v>
      </c>
    </row>
    <row>
      <c t="s">
        <v>17594</v>
      </c>
      <c s="2" t="s">
        <v>7476</v>
      </c>
      <c t="s">
        <v>8650</v>
      </c>
      <c t="s">
        <v>12701</v>
      </c>
      <c t="s">
        <v>57637</v>
      </c>
      <c s="3">
        <v>138839</v>
      </c>
      <c s="3">
        <v>129019</v>
      </c>
      <c s="3">
        <v>119356</v>
      </c>
      <c>
        <v>0</v>
      </c>
      <c s="3">
        <v>0</v>
      </c>
      <c s="3">
        <v>1900.12</v>
      </c>
      <c s="3">
        <v>138839</v>
      </c>
      <c r="O6192" s="1" t="str">
        <f ca="1">HYPERLINK("https://web.datatree.com/?/property?propertyId=209287983", "https://web.datatree.com/?/property?propertyId=209287983")</f>
        <v>https://web.datatree.com/?/property?propertyId=209287983</v>
      </c>
      <c r="Q6192" t="s">
        <v>316</v>
      </c>
      <c>
        <v>0.11</v>
      </c>
      <c t="s">
        <v>9944</v>
      </c>
      <c t="s">
        <v>64570</v>
      </c>
      <c t="s">
        <v>7427</v>
      </c>
      <c t="s">
        <v>58703</v>
      </c>
      <c t="s">
        <v>7427</v>
      </c>
      <c t="s">
        <v>4834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55558</v>
      </c>
      <c>
        <v>941</v>
      </c>
      <c r="AI6192" t="s">
        <v>23543</v>
      </c>
      <c t="s">
        <v>45620</v>
      </c>
      <c r="AL6192" t="s">
        <v>8287</v>
      </c>
      <c t="s">
        <v>40227</v>
      </c>
      <c t="s">
        <v>19878</v>
      </c>
      <c t="s">
        <v>43615</v>
      </c>
      <c t="s">
        <v>38014</v>
      </c>
      <c t="s">
        <v>3093</v>
      </c>
      <c t="s">
        <v>64443</v>
      </c>
    </row>
    <row>
      <c t="s">
        <v>17594</v>
      </c>
      <c s="2" t="s">
        <v>288</v>
      </c>
      <c t="s">
        <v>33059</v>
      </c>
      <c t="s">
        <v>60811</v>
      </c>
      <c t="s">
        <v>27536</v>
      </c>
      <c s="3">
        <v>125756</v>
      </c>
      <c s="3">
        <v>118338</v>
      </c>
      <c s="3">
        <v>107910</v>
      </c>
      <c>
        <v>0</v>
      </c>
      <c s="3">
        <v>0</v>
      </c>
      <c s="3">
        <v>1719.66</v>
      </c>
      <c s="3">
        <v>125756</v>
      </c>
      <c r="O6193" s="1" t="str">
        <f ca="1">HYPERLINK("https://web.datatree.com/?/property?propertyId=209287986", "https://web.datatree.com/?/property?propertyId=209287986")</f>
        <v>https://web.datatree.com/?/property?propertyId=209287986</v>
      </c>
      <c r="Q6193" t="s">
        <v>316</v>
      </c>
      <c>
        <v>0.072</v>
      </c>
      <c t="s">
        <v>9944</v>
      </c>
      <c t="s">
        <v>5542</v>
      </c>
      <c t="s">
        <v>33226</v>
      </c>
      <c t="s">
        <v>44058</v>
      </c>
      <c t="s">
        <v>33226</v>
      </c>
      <c t="s">
        <v>651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13566</v>
      </c>
      <c>
        <v>7768</v>
      </c>
      <c r="AI6193" t="s">
        <v>24693</v>
      </c>
      <c t="s">
        <v>45620</v>
      </c>
      <c r="AL6193" t="s">
        <v>20144</v>
      </c>
      <c t="s">
        <v>40227</v>
      </c>
      <c t="s">
        <v>49572</v>
      </c>
      <c t="s">
        <v>13699</v>
      </c>
      <c t="s">
        <v>22455</v>
      </c>
      <c t="s">
        <v>3093</v>
      </c>
      <c t="s">
        <v>3469</v>
      </c>
    </row>
    <row>
      <c t="s">
        <v>17594</v>
      </c>
      <c s="2" t="s">
        <v>52894</v>
      </c>
      <c t="s">
        <v>38400</v>
      </c>
      <c t="s">
        <v>6883</v>
      </c>
      <c t="s">
        <v>17149</v>
      </c>
      <c s="3">
        <v>131124</v>
      </c>
      <c s="3">
        <v>114000</v>
      </c>
      <c s="3">
        <v>66658</v>
      </c>
      <c>
        <v>0</v>
      </c>
      <c s="3">
        <v>0</v>
      </c>
      <c s="3">
        <v>1361.12</v>
      </c>
      <c s="3">
        <v>131124</v>
      </c>
      <c r="O6194" s="1" t="str">
        <f ca="1">HYPERLINK("https://web.datatree.com/?/property?propertyId=209287987", "https://web.datatree.com/?/property?propertyId=209287987")</f>
        <v>https://web.datatree.com/?/property?propertyId=209287987</v>
      </c>
      <c r="Q6194" t="s">
        <v>316</v>
      </c>
      <c>
        <v>0.072</v>
      </c>
      <c t="s">
        <v>9944</v>
      </c>
      <c t="s">
        <v>15209</v>
      </c>
      <c t="s">
        <v>51953</v>
      </c>
      <c t="s">
        <v>20358</v>
      </c>
      <c t="s">
        <v>51953</v>
      </c>
      <c t="s">
        <v>40880</v>
      </c>
      <c t="s">
        <v>9628</v>
      </c>
      <c t="s">
        <v>65059</v>
      </c>
      <c t="s">
        <v>39289</v>
      </c>
      <c>
        <v>33905</v>
      </c>
      <c>
        <v>33905</v>
      </c>
      <c t="s">
        <v>48794</v>
      </c>
      <c s="2" t="s">
        <v>9327</v>
      </c>
      <c>
        <v>1708</v>
      </c>
      <c r="AI6194" t="s">
        <v>51978</v>
      </c>
      <c t="s">
        <v>31192</v>
      </c>
      <c r="AL6194" t="s">
        <v>47298</v>
      </c>
      <c t="s">
        <v>40227</v>
      </c>
      <c t="s">
        <v>51087</v>
      </c>
      <c t="s">
        <v>12802</v>
      </c>
      <c t="s">
        <v>34171</v>
      </c>
      <c t="s">
        <v>3093</v>
      </c>
      <c t="s">
        <v>15053</v>
      </c>
    </row>
    <row>
      <c t="s">
        <v>17594</v>
      </c>
      <c t="s">
        <v>17292</v>
      </c>
      <c t="s">
        <v>17113</v>
      </c>
      <c t="s">
        <v>23804</v>
      </c>
      <c t="s">
        <v>61484</v>
      </c>
      <c s="3">
        <v>75000</v>
      </c>
      <c s="3">
        <v>75000</v>
      </c>
      <c s="3">
        <v>63888</v>
      </c>
      <c>
        <v>0</v>
      </c>
      <c s="3">
        <v>0</v>
      </c>
      <c s="3">
        <v>1023.16</v>
      </c>
      <c s="3">
        <v>75000</v>
      </c>
      <c r="O6195" s="1" t="str">
        <f ca="1">HYPERLINK("https://web.datatree.com/?/property?propertyId=209287988", "https://web.datatree.com/?/property?propertyId=209287988")</f>
        <v>https://web.datatree.com/?/property?propertyId=209287988</v>
      </c>
      <c r="Q6195" t="s">
        <v>316</v>
      </c>
      <c>
        <v>0.075</v>
      </c>
      <c t="s">
        <v>9944</v>
      </c>
      <c t="s">
        <v>58276</v>
      </c>
      <c t="s">
        <v>25220</v>
      </c>
      <c t="s">
        <v>36241</v>
      </c>
      <c t="s">
        <v>25220</v>
      </c>
      <c t="s">
        <v>46640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64805</v>
      </c>
      <c>
        <v>1545</v>
      </c>
      <c r="AI6195" t="s">
        <v>44351</v>
      </c>
      <c t="s">
        <v>20615</v>
      </c>
      <c r="AL6195" t="s">
        <v>37512</v>
      </c>
      <c t="s">
        <v>37512</v>
      </c>
      <c t="s">
        <v>19878</v>
      </c>
      <c t="s">
        <v>47917</v>
      </c>
      <c t="s">
        <v>12241</v>
      </c>
      <c t="s">
        <v>3093</v>
      </c>
      <c t="s">
        <v>12292</v>
      </c>
    </row>
    <row>
      <c t="s">
        <v>17594</v>
      </c>
      <c t="s">
        <v>23527</v>
      </c>
      <c t="s">
        <v>45634</v>
      </c>
      <c t="s">
        <v>44644</v>
      </c>
      <c t="s">
        <v>2015</v>
      </c>
      <c s="3">
        <v>79412</v>
      </c>
      <c s="3">
        <v>76766</v>
      </c>
      <c s="3">
        <v>69315</v>
      </c>
      <c>
        <v>0</v>
      </c>
      <c s="3">
        <v>0</v>
      </c>
      <c s="3">
        <v>1098.75</v>
      </c>
      <c s="3">
        <v>79412</v>
      </c>
      <c r="O6196" s="1" t="str">
        <f ca="1">HYPERLINK("https://web.datatree.com/?/property?propertyId=209287989", "https://web.datatree.com/?/property?propertyId=209287989")</f>
        <v>https://web.datatree.com/?/property?propertyId=209287989</v>
      </c>
      <c r="Q6196" t="s">
        <v>316</v>
      </c>
      <c>
        <v>0.075</v>
      </c>
      <c t="s">
        <v>9944</v>
      </c>
      <c r="U6196" t="s">
        <v>57728</v>
      </c>
      <c t="s">
        <v>2140</v>
      </c>
      <c t="s">
        <v>66022</v>
      </c>
      <c t="s">
        <v>62476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45165</v>
      </c>
      <c>
        <v>306</v>
      </c>
      <c r="AI6196" t="s">
        <v>61740</v>
      </c>
      <c t="s">
        <v>45620</v>
      </c>
      <c r="AL6196" t="s">
        <v>39016</v>
      </c>
      <c t="s">
        <v>40227</v>
      </c>
      <c t="s">
        <v>26443</v>
      </c>
      <c t="s">
        <v>14750</v>
      </c>
      <c t="s">
        <v>14695</v>
      </c>
      <c t="s">
        <v>3093</v>
      </c>
      <c t="s">
        <v>58436</v>
      </c>
    </row>
    <row>
      <c t="s">
        <v>17594</v>
      </c>
      <c t="s">
        <v>51535</v>
      </c>
      <c t="s">
        <v>51628</v>
      </c>
      <c t="s">
        <v>51330</v>
      </c>
      <c t="s">
        <v>23499</v>
      </c>
      <c s="3">
        <v>86092</v>
      </c>
      <c s="3">
        <v>75000</v>
      </c>
      <c s="3">
        <v>77371</v>
      </c>
      <c>
        <v>0</v>
      </c>
      <c s="3">
        <v>0</v>
      </c>
      <c s="3">
        <v>1211.72</v>
      </c>
      <c s="3">
        <v>86092</v>
      </c>
      <c r="O6197" s="1" t="str">
        <f ca="1">HYPERLINK("https://web.datatree.com/?/property?propertyId=209287990", "https://web.datatree.com/?/property?propertyId=209287990")</f>
        <v>https://web.datatree.com/?/property?propertyId=209287990</v>
      </c>
      <c r="Q6197" t="s">
        <v>316</v>
      </c>
      <c>
        <v>0.075</v>
      </c>
      <c t="s">
        <v>9944</v>
      </c>
      <c t="s">
        <v>58113</v>
      </c>
      <c t="s">
        <v>43525</v>
      </c>
      <c t="s">
        <v>26059</v>
      </c>
      <c t="s">
        <v>43525</v>
      </c>
      <c t="s">
        <v>18444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527</v>
      </c>
      <c>
        <v>10194</v>
      </c>
      <c r="AI6197" t="s">
        <v>64496</v>
      </c>
      <c t="s">
        <v>45620</v>
      </c>
      <c r="AL6197" t="s">
        <v>31945</v>
      </c>
      <c t="s">
        <v>40227</v>
      </c>
      <c t="s">
        <v>51137</v>
      </c>
      <c t="s">
        <v>16384</v>
      </c>
      <c t="s">
        <v>14695</v>
      </c>
      <c t="s">
        <v>3093</v>
      </c>
      <c t="s">
        <v>45074</v>
      </c>
    </row>
    <row>
      <c t="s">
        <v>17594</v>
      </c>
      <c t="s">
        <v>39842</v>
      </c>
      <c t="s">
        <v>43590</v>
      </c>
      <c t="s">
        <v>25064</v>
      </c>
      <c t="s">
        <v>39323</v>
      </c>
      <c s="3">
        <v>85002</v>
      </c>
      <c s="3">
        <v>77883</v>
      </c>
      <c s="3">
        <v>85002</v>
      </c>
      <c>
        <v>0</v>
      </c>
      <c s="3">
        <v>0</v>
      </c>
      <c s="3">
        <v>1277.5</v>
      </c>
      <c s="3">
        <v>85002</v>
      </c>
      <c r="O6198" s="1" t="str">
        <f ca="1">HYPERLINK("https://web.datatree.com/?/property?propertyId=209287992", "https://web.datatree.com/?/property?propertyId=209287992")</f>
        <v>https://web.datatree.com/?/property?propertyId=209287992</v>
      </c>
      <c r="Q6198" t="s">
        <v>316</v>
      </c>
      <c>
        <v>0.075</v>
      </c>
      <c t="s">
        <v>9944</v>
      </c>
      <c t="s">
        <v>35571</v>
      </c>
      <c t="s">
        <v>46230</v>
      </c>
      <c t="s">
        <v>53622</v>
      </c>
      <c t="s">
        <v>46230</v>
      </c>
      <c t="s">
        <v>8768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17806</v>
      </c>
      <c>
        <v>6623</v>
      </c>
      <c r="AI6198" t="s">
        <v>64364</v>
      </c>
      <c t="s">
        <v>56275</v>
      </c>
      <c r="AL6198" t="s">
        <v>29086</v>
      </c>
      <c t="s">
        <v>41707</v>
      </c>
      <c t="s">
        <v>17134</v>
      </c>
      <c t="s">
        <v>13141</v>
      </c>
      <c t="s">
        <v>48506</v>
      </c>
      <c t="s">
        <v>3093</v>
      </c>
      <c t="s">
        <v>9259</v>
      </c>
    </row>
    <row>
      <c t="s">
        <v>17594</v>
      </c>
      <c t="s">
        <v>8115</v>
      </c>
      <c t="s">
        <v>13266</v>
      </c>
      <c t="s">
        <v>36448</v>
      </c>
      <c t="s">
        <v>43193</v>
      </c>
      <c s="3">
        <v>87049</v>
      </c>
      <c s="3">
        <v>77229</v>
      </c>
      <c s="3">
        <v>78329</v>
      </c>
      <c>
        <v>0</v>
      </c>
      <c s="3">
        <v>0</v>
      </c>
      <c s="3">
        <v>1226.08</v>
      </c>
      <c s="3">
        <v>87049</v>
      </c>
      <c r="O6199" s="1" t="str">
        <f ca="1">HYPERLINK("https://web.datatree.com/?/property?propertyId=209287994", "https://web.datatree.com/?/property?propertyId=209287994")</f>
        <v>https://web.datatree.com/?/property?propertyId=209287994</v>
      </c>
      <c r="Q6199" t="s">
        <v>316</v>
      </c>
      <c>
        <v>0.076</v>
      </c>
      <c t="s">
        <v>9944</v>
      </c>
      <c t="s">
        <v>50666</v>
      </c>
      <c t="s">
        <v>57292</v>
      </c>
      <c t="s">
        <v>13419</v>
      </c>
      <c t="s">
        <v>48114</v>
      </c>
      <c t="s">
        <v>33657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66696</v>
      </c>
      <c>
        <v>822</v>
      </c>
      <c r="AH6199" t="s">
        <v>52165</v>
      </c>
      <c t="s">
        <v>47766</v>
      </c>
      <c t="s">
        <v>1671</v>
      </c>
      <c r="AL6199" t="s">
        <v>32370</v>
      </c>
      <c t="s">
        <v>32370</v>
      </c>
      <c t="s">
        <v>17134</v>
      </c>
      <c t="s">
        <v>45174</v>
      </c>
      <c t="s">
        <v>19978</v>
      </c>
      <c t="s">
        <v>3093</v>
      </c>
      <c t="s">
        <v>65029</v>
      </c>
    </row>
    <row>
      <c t="s">
        <v>17594</v>
      </c>
      <c t="s">
        <v>60669</v>
      </c>
      <c t="s">
        <v>43603</v>
      </c>
      <c t="s">
        <v>43263</v>
      </c>
      <c t="s">
        <v>51023</v>
      </c>
      <c s="3">
        <v>87249</v>
      </c>
      <c s="3">
        <v>77594</v>
      </c>
      <c s="3">
        <v>78639</v>
      </c>
      <c>
        <v>0</v>
      </c>
      <c s="3">
        <v>0</v>
      </c>
      <c s="3">
        <v>1230.1</v>
      </c>
      <c s="3">
        <v>87249</v>
      </c>
      <c r="O6200" s="1" t="str">
        <f ca="1">HYPERLINK("https://web.datatree.com/?/property?propertyId=209287995", "https://web.datatree.com/?/property?propertyId=209287995")</f>
        <v>https://web.datatree.com/?/property?propertyId=209287995</v>
      </c>
      <c r="Q6200" t="s">
        <v>316</v>
      </c>
      <c>
        <v>0.075</v>
      </c>
      <c t="s">
        <v>9944</v>
      </c>
      <c t="s">
        <v>64638</v>
      </c>
      <c t="s">
        <v>21025</v>
      </c>
      <c t="s">
        <v>43190</v>
      </c>
      <c t="s">
        <v>21025</v>
      </c>
      <c t="s">
        <v>27019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63010</v>
      </c>
      <c>
        <v>23</v>
      </c>
      <c r="AI6200" t="s">
        <v>39184</v>
      </c>
      <c t="s">
        <v>55842</v>
      </c>
      <c r="AL6200" t="s">
        <v>3530</v>
      </c>
      <c t="s">
        <v>40227</v>
      </c>
      <c t="s">
        <v>27747</v>
      </c>
      <c t="s">
        <v>32713</v>
      </c>
      <c t="s">
        <v>22455</v>
      </c>
      <c t="s">
        <v>3093</v>
      </c>
      <c t="s">
        <v>25135</v>
      </c>
    </row>
    <row>
      <c t="s">
        <v>17594</v>
      </c>
      <c t="s">
        <v>45844</v>
      </c>
      <c t="s">
        <v>9345</v>
      </c>
      <c t="s">
        <v>63938</v>
      </c>
      <c t="s">
        <v>5562</v>
      </c>
      <c s="3">
        <v>86806</v>
      </c>
      <c s="3">
        <v>76986</v>
      </c>
      <c s="3">
        <v>78085</v>
      </c>
      <c>
        <v>0</v>
      </c>
      <c s="3">
        <v>0</v>
      </c>
      <c s="3">
        <v>1222.42</v>
      </c>
      <c s="3">
        <v>86806</v>
      </c>
      <c r="O6201" s="1" t="str">
        <f ca="1">HYPERLINK("https://web.datatree.com/?/property?propertyId=209287996", "https://web.datatree.com/?/property?propertyId=209287996")</f>
        <v>https://web.datatree.com/?/property?propertyId=209287996</v>
      </c>
      <c r="Q6201" t="s">
        <v>316</v>
      </c>
      <c>
        <v>0.072</v>
      </c>
      <c t="s">
        <v>9944</v>
      </c>
      <c t="s">
        <v>35571</v>
      </c>
      <c t="s">
        <v>52178</v>
      </c>
      <c t="s">
        <v>53790</v>
      </c>
      <c t="s">
        <v>52178</v>
      </c>
      <c t="s">
        <v>35465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59352</v>
      </c>
      <c>
        <v>16</v>
      </c>
      <c r="AI6201" t="s">
        <v>56762</v>
      </c>
      <c t="s">
        <v>55842</v>
      </c>
      <c r="AL6201" t="s">
        <v>60789</v>
      </c>
      <c t="s">
        <v>40227</v>
      </c>
      <c t="s">
        <v>26016</v>
      </c>
      <c t="s">
        <v>57057</v>
      </c>
      <c t="s">
        <v>1951</v>
      </c>
      <c t="s">
        <v>3093</v>
      </c>
      <c t="s">
        <v>26422</v>
      </c>
    </row>
    <row>
      <c t="s">
        <v>17594</v>
      </c>
      <c t="s">
        <v>42134</v>
      </c>
      <c t="s">
        <v>48955</v>
      </c>
      <c t="s">
        <v>37752</v>
      </c>
      <c t="s">
        <v>20979</v>
      </c>
      <c s="3">
        <v>88243</v>
      </c>
      <c s="3">
        <v>78706</v>
      </c>
      <c s="3">
        <v>74828</v>
      </c>
      <c>
        <v>0</v>
      </c>
      <c s="3">
        <v>0</v>
      </c>
      <c s="3">
        <v>1179.15</v>
      </c>
      <c s="3">
        <v>88243</v>
      </c>
      <c r="O6202" s="1" t="str">
        <f ca="1">HYPERLINK("https://web.datatree.com/?/property?propertyId=209287998", "https://web.datatree.com/?/property?propertyId=209287998")</f>
        <v>https://web.datatree.com/?/property?propertyId=209287998</v>
      </c>
      <c r="Q6202" t="s">
        <v>316</v>
      </c>
      <c>
        <v>0.072</v>
      </c>
      <c t="s">
        <v>9944</v>
      </c>
      <c r="U6202" t="s">
        <v>40500</v>
      </c>
      <c r="W6202" t="s">
        <v>29432</v>
      </c>
      <c t="s">
        <v>21601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14610</v>
      </c>
      <c>
        <v>19</v>
      </c>
      <c r="AI6202" t="s">
        <v>51151</v>
      </c>
      <c t="s">
        <v>45620</v>
      </c>
      <c r="AL6202" t="s">
        <v>51151</v>
      </c>
      <c t="s">
        <v>40227</v>
      </c>
      <c t="s">
        <v>64022</v>
      </c>
      <c t="s">
        <v>66307</v>
      </c>
      <c t="s">
        <v>702</v>
      </c>
      <c t="s">
        <v>3093</v>
      </c>
      <c t="s">
        <v>9161</v>
      </c>
    </row>
    <row>
      <c t="s">
        <v>17594</v>
      </c>
      <c t="s">
        <v>27260</v>
      </c>
      <c t="s">
        <v>39176</v>
      </c>
      <c t="s">
        <v>44558</v>
      </c>
      <c t="s">
        <v>28820</v>
      </c>
      <c s="3">
        <v>87977</v>
      </c>
      <c s="3">
        <v>77892</v>
      </c>
      <c s="3">
        <v>79596</v>
      </c>
      <c>
        <v>0</v>
      </c>
      <c s="3">
        <v>0</v>
      </c>
      <c s="3">
        <v>1243.16</v>
      </c>
      <c s="3">
        <v>87977</v>
      </c>
      <c r="O6203" s="1" t="str">
        <f ca="1">HYPERLINK("https://web.datatree.com/?/property?propertyId=209287999", "https://web.datatree.com/?/property?propertyId=209287999")</f>
        <v>https://web.datatree.com/?/property?propertyId=209287999</v>
      </c>
      <c r="Q6203" t="s">
        <v>316</v>
      </c>
      <c>
        <v>0.072</v>
      </c>
      <c t="s">
        <v>9944</v>
      </c>
      <c r="U6203" t="s">
        <v>56862</v>
      </c>
      <c t="s">
        <v>45883</v>
      </c>
      <c t="s">
        <v>64379</v>
      </c>
      <c t="s">
        <v>6070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64532</v>
      </c>
      <c>
        <v>202</v>
      </c>
      <c r="AI6203" t="s">
        <v>40859</v>
      </c>
      <c t="s">
        <v>31192</v>
      </c>
      <c r="AL6203" t="s">
        <v>2085</v>
      </c>
      <c t="s">
        <v>2085</v>
      </c>
      <c t="s">
        <v>17134</v>
      </c>
      <c t="s">
        <v>27777</v>
      </c>
      <c t="s">
        <v>26242</v>
      </c>
      <c t="s">
        <v>3093</v>
      </c>
      <c t="s">
        <v>44438</v>
      </c>
    </row>
    <row>
      <c t="s">
        <v>17594</v>
      </c>
      <c t="s">
        <v>65342</v>
      </c>
      <c t="s">
        <v>19076</v>
      </c>
      <c t="s">
        <v>11200</v>
      </c>
      <c t="s">
        <v>26189</v>
      </c>
      <c s="3">
        <v>85586</v>
      </c>
      <c s="3">
        <v>75000</v>
      </c>
      <c s="3">
        <v>76801</v>
      </c>
      <c>
        <v>0</v>
      </c>
      <c s="3">
        <v>0</v>
      </c>
      <c s="3">
        <v>1203.54</v>
      </c>
      <c s="3">
        <v>85586</v>
      </c>
      <c r="O6204" s="1" t="str">
        <f ca="1">HYPERLINK("https://web.datatree.com/?/property?propertyId=209288001", "https://web.datatree.com/?/property?propertyId=209288001")</f>
        <v>https://web.datatree.com/?/property?propertyId=209288001</v>
      </c>
      <c r="Q6204" t="s">
        <v>316</v>
      </c>
      <c>
        <v>0.072</v>
      </c>
      <c t="s">
        <v>9944</v>
      </c>
      <c t="s">
        <v>3293</v>
      </c>
      <c t="s">
        <v>26775</v>
      </c>
      <c t="s">
        <v>53790</v>
      </c>
      <c t="s">
        <v>26775</v>
      </c>
      <c t="s">
        <v>24757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57126</v>
      </c>
      <c>
        <v>1655</v>
      </c>
      <c r="AI6204" t="s">
        <v>20973</v>
      </c>
      <c t="s">
        <v>31192</v>
      </c>
      <c r="AL6204" t="s">
        <v>4471</v>
      </c>
      <c t="s">
        <v>40227</v>
      </c>
      <c t="s">
        <v>51087</v>
      </c>
      <c t="s">
        <v>40873</v>
      </c>
      <c t="s">
        <v>44428</v>
      </c>
      <c t="s">
        <v>3093</v>
      </c>
      <c t="s">
        <v>12062</v>
      </c>
    </row>
    <row>
      <c t="s">
        <v>17594</v>
      </c>
      <c t="s">
        <v>61667</v>
      </c>
      <c t="s">
        <v>14729</v>
      </c>
      <c t="s">
        <v>38530</v>
      </c>
      <c t="s">
        <v>55942</v>
      </c>
      <c s="3">
        <v>82119</v>
      </c>
      <c s="3">
        <v>75000</v>
      </c>
      <c s="3">
        <v>72906</v>
      </c>
      <c>
        <v>0</v>
      </c>
      <c s="3">
        <v>0</v>
      </c>
      <c s="3">
        <v>1147.6</v>
      </c>
      <c s="3">
        <v>82119</v>
      </c>
      <c r="O6205" s="1" t="str">
        <f ca="1">HYPERLINK("https://web.datatree.com/?/property?propertyId=209288003", "https://web.datatree.com/?/property?propertyId=209288003")</f>
        <v>https://web.datatree.com/?/property?propertyId=209288003</v>
      </c>
      <c r="Q6205" t="s">
        <v>316</v>
      </c>
      <c>
        <v>0.072</v>
      </c>
      <c t="s">
        <v>9944</v>
      </c>
      <c t="s">
        <v>36693</v>
      </c>
      <c t="s">
        <v>53318</v>
      </c>
      <c t="s">
        <v>11839</v>
      </c>
      <c t="s">
        <v>31045</v>
      </c>
      <c t="s">
        <v>51401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12492</v>
      </c>
      <c>
        <v>412</v>
      </c>
      <c r="AI6205" t="s">
        <v>43105</v>
      </c>
      <c t="s">
        <v>31192</v>
      </c>
      <c r="AL6205" t="s">
        <v>38158</v>
      </c>
      <c t="s">
        <v>38158</v>
      </c>
      <c t="s">
        <v>18236</v>
      </c>
      <c t="s">
        <v>59504</v>
      </c>
      <c t="s">
        <v>52247</v>
      </c>
      <c t="s">
        <v>3093</v>
      </c>
      <c t="s">
        <v>24426</v>
      </c>
    </row>
    <row>
      <c t="s">
        <v>17594</v>
      </c>
      <c t="s">
        <v>46805</v>
      </c>
      <c t="s">
        <v>62835</v>
      </c>
      <c t="s">
        <v>59239</v>
      </c>
      <c t="s">
        <v>63882</v>
      </c>
      <c s="3">
        <v>86972</v>
      </c>
      <c s="3">
        <v>77207</v>
      </c>
      <c s="3">
        <v>78040</v>
      </c>
      <c>
        <v>0</v>
      </c>
      <c s="3">
        <v>0</v>
      </c>
      <c s="3">
        <v>1222.92</v>
      </c>
      <c s="3">
        <v>86972</v>
      </c>
      <c r="O6206" s="1" t="str">
        <f ca="1">HYPERLINK("https://web.datatree.com/?/property?propertyId=209288004", "https://web.datatree.com/?/property?propertyId=209288004")</f>
        <v>https://web.datatree.com/?/property?propertyId=209288004</v>
      </c>
      <c r="Q6206" t="s">
        <v>316</v>
      </c>
      <c>
        <v>0.11</v>
      </c>
      <c t="s">
        <v>9944</v>
      </c>
      <c r="U6206" t="s">
        <v>32420</v>
      </c>
      <c t="s">
        <v>10361</v>
      </c>
      <c t="s">
        <v>20163</v>
      </c>
      <c t="s">
        <v>25449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8864</v>
      </c>
      <c>
        <v>4209</v>
      </c>
      <c r="AI6206" t="s">
        <v>5326</v>
      </c>
      <c t="s">
        <v>31192</v>
      </c>
      <c r="AL6206" t="s">
        <v>14095</v>
      </c>
      <c t="s">
        <v>14095</v>
      </c>
      <c t="s">
        <v>51087</v>
      </c>
      <c t="s">
        <v>24132</v>
      </c>
      <c t="s">
        <v>4480</v>
      </c>
      <c t="s">
        <v>3093</v>
      </c>
      <c t="s">
        <v>45385</v>
      </c>
    </row>
    <row>
      <c t="s">
        <v>17594</v>
      </c>
      <c t="s">
        <v>35248</v>
      </c>
      <c t="s">
        <v>65347</v>
      </c>
      <c t="s">
        <v>12461</v>
      </c>
      <c t="s">
        <v>4404</v>
      </c>
      <c s="3">
        <v>85827</v>
      </c>
      <c s="3">
        <v>75000</v>
      </c>
      <c s="3">
        <v>77836</v>
      </c>
      <c>
        <v>0</v>
      </c>
      <c s="3">
        <v>0</v>
      </c>
      <c s="3">
        <v>1214.64</v>
      </c>
      <c s="3">
        <v>85827</v>
      </c>
      <c r="O6207" s="1" t="str">
        <f ca="1">HYPERLINK("https://web.datatree.com/?/property?propertyId=209288005", "https://web.datatree.com/?/property?propertyId=209288005")</f>
        <v>https://web.datatree.com/?/property?propertyId=209288005</v>
      </c>
      <c r="Q6207" t="s">
        <v>316</v>
      </c>
      <c>
        <v>0.078</v>
      </c>
      <c t="s">
        <v>9944</v>
      </c>
      <c t="s">
        <v>56832</v>
      </c>
      <c t="s">
        <v>52224</v>
      </c>
      <c t="s">
        <v>53622</v>
      </c>
      <c t="s">
        <v>52224</v>
      </c>
      <c t="s">
        <v>40674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47972</v>
      </c>
      <c>
        <v>9625</v>
      </c>
      <c r="AI6207" t="s">
        <v>22940</v>
      </c>
      <c t="s">
        <v>31192</v>
      </c>
      <c r="AL6207" t="s">
        <v>58557</v>
      </c>
      <c t="s">
        <v>58557</v>
      </c>
      <c t="s">
        <v>51087</v>
      </c>
      <c t="s">
        <v>36646</v>
      </c>
      <c t="s">
        <v>48506</v>
      </c>
      <c t="s">
        <v>3093</v>
      </c>
      <c t="s">
        <v>6203</v>
      </c>
    </row>
    <row>
      <c t="s">
        <v>17594</v>
      </c>
      <c t="s">
        <v>23993</v>
      </c>
      <c t="s">
        <v>28691</v>
      </c>
      <c t="s">
        <v>32948</v>
      </c>
      <c t="s">
        <v>12164</v>
      </c>
      <c s="3">
        <v>84710</v>
      </c>
      <c s="3">
        <v>75000</v>
      </c>
      <c s="3">
        <v>75816</v>
      </c>
      <c>
        <v>0</v>
      </c>
      <c s="3">
        <v>0</v>
      </c>
      <c s="3">
        <v>1189.42</v>
      </c>
      <c s="3">
        <v>84710</v>
      </c>
      <c r="O6208" s="1" t="str">
        <f ca="1">HYPERLINK("https://web.datatree.com/?/property?propertyId=209288006", "https://web.datatree.com/?/property?propertyId=209288006")</f>
        <v>https://web.datatree.com/?/property?propertyId=209288006</v>
      </c>
      <c r="Q6208" t="s">
        <v>316</v>
      </c>
      <c>
        <v>0.072</v>
      </c>
      <c t="s">
        <v>9944</v>
      </c>
      <c t="s">
        <v>35571</v>
      </c>
      <c t="s">
        <v>31781</v>
      </c>
      <c t="s">
        <v>52701</v>
      </c>
      <c t="s">
        <v>31781</v>
      </c>
      <c t="s">
        <v>29085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21409</v>
      </c>
      <c>
        <v>3428</v>
      </c>
      <c r="AI6208" t="s">
        <v>48764</v>
      </c>
      <c t="s">
        <v>31192</v>
      </c>
      <c r="AL6208" t="s">
        <v>29542</v>
      </c>
      <c t="s">
        <v>29542</v>
      </c>
      <c t="s">
        <v>19878</v>
      </c>
      <c t="s">
        <v>30892</v>
      </c>
      <c t="s">
        <v>14695</v>
      </c>
      <c t="s">
        <v>3093</v>
      </c>
      <c t="s">
        <v>3398</v>
      </c>
    </row>
    <row>
      <c t="s">
        <v>17594</v>
      </c>
      <c t="s">
        <v>38910</v>
      </c>
      <c t="s">
        <v>40181</v>
      </c>
      <c t="s">
        <v>39771</v>
      </c>
      <c t="s">
        <v>33771</v>
      </c>
      <c s="3">
        <v>84765</v>
      </c>
      <c s="3">
        <v>75000</v>
      </c>
      <c s="3">
        <v>75082</v>
      </c>
      <c>
        <v>0</v>
      </c>
      <c s="3">
        <v>0</v>
      </c>
      <c s="3">
        <v>1182.8</v>
      </c>
      <c s="3">
        <v>84765</v>
      </c>
      <c r="O6209" s="1" t="str">
        <f ca="1">HYPERLINK("https://web.datatree.com/?/property?propertyId=209288007", "https://web.datatree.com/?/property?propertyId=209288007")</f>
        <v>https://web.datatree.com/?/property?propertyId=209288007</v>
      </c>
      <c r="Q6209" t="s">
        <v>316</v>
      </c>
      <c>
        <v>0.072</v>
      </c>
      <c t="s">
        <v>9944</v>
      </c>
      <c t="s">
        <v>33168</v>
      </c>
      <c t="s">
        <v>19690</v>
      </c>
      <c t="s">
        <v>2474</v>
      </c>
      <c t="s">
        <v>19690</v>
      </c>
      <c t="s">
        <v>19537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25061</v>
      </c>
      <c>
        <v>11387</v>
      </c>
      <c r="AI6209" t="s">
        <v>32525</v>
      </c>
      <c t="s">
        <v>24900</v>
      </c>
      <c r="AL6209" t="s">
        <v>55624</v>
      </c>
      <c t="s">
        <v>40227</v>
      </c>
      <c t="s">
        <v>49572</v>
      </c>
      <c t="s">
        <v>46240</v>
      </c>
      <c t="s">
        <v>22152</v>
      </c>
      <c t="s">
        <v>3093</v>
      </c>
      <c t="s">
        <v>54199</v>
      </c>
    </row>
    <row>
      <c t="s">
        <v>17594</v>
      </c>
      <c t="s">
        <v>53710</v>
      </c>
      <c t="s">
        <v>28655</v>
      </c>
      <c t="s">
        <v>60549</v>
      </c>
      <c t="s">
        <v>41698</v>
      </c>
      <c s="3">
        <v>89503</v>
      </c>
      <c s="3">
        <v>75000</v>
      </c>
      <c s="3">
        <v>80835</v>
      </c>
      <c>
        <v>0</v>
      </c>
      <c s="3">
        <v>0</v>
      </c>
      <c s="3">
        <v>1263.29</v>
      </c>
      <c s="3">
        <v>89503</v>
      </c>
      <c r="O6210" s="1" t="str">
        <f ca="1">HYPERLINK("https://web.datatree.com/?/property?propertyId=209288008", "https://web.datatree.com/?/property?propertyId=209288008")</f>
        <v>https://web.datatree.com/?/property?propertyId=209288008</v>
      </c>
      <c r="Q6210" t="s">
        <v>316</v>
      </c>
      <c>
        <v>0.072</v>
      </c>
      <c t="s">
        <v>9944</v>
      </c>
      <c r="U6210" t="s">
        <v>46236</v>
      </c>
      <c r="W6210" t="s">
        <v>10936</v>
      </c>
      <c t="s">
        <v>31173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28765</v>
      </c>
      <c>
        <v>3206</v>
      </c>
      <c r="AI6210" t="s">
        <v>45780</v>
      </c>
      <c t="s">
        <v>53987</v>
      </c>
      <c r="AL6210" t="s">
        <v>3217</v>
      </c>
      <c t="s">
        <v>40227</v>
      </c>
      <c t="s">
        <v>49572</v>
      </c>
      <c t="s">
        <v>2909</v>
      </c>
      <c t="s">
        <v>44843</v>
      </c>
      <c t="s">
        <v>3093</v>
      </c>
      <c t="s">
        <v>37313</v>
      </c>
    </row>
    <row>
      <c t="s">
        <v>17594</v>
      </c>
      <c t="s">
        <v>1238</v>
      </c>
      <c t="s">
        <v>1378</v>
      </c>
      <c t="s">
        <v>13677</v>
      </c>
      <c t="s">
        <v>49619</v>
      </c>
      <c s="3">
        <v>84486</v>
      </c>
      <c s="3">
        <v>75000</v>
      </c>
      <c s="3">
        <v>84486</v>
      </c>
      <c>
        <v>0</v>
      </c>
      <c s="3">
        <v>0</v>
      </c>
      <c s="3">
        <v>1269.77</v>
      </c>
      <c s="3">
        <v>84486</v>
      </c>
      <c r="O6211" s="1" t="str">
        <f ca="1">HYPERLINK("https://web.datatree.com/?/property?propertyId=209288009", "https://web.datatree.com/?/property?propertyId=209288009")</f>
        <v>https://web.datatree.com/?/property?propertyId=209288009</v>
      </c>
      <c r="Q6211" t="s">
        <v>316</v>
      </c>
      <c>
        <v>0.072</v>
      </c>
      <c t="s">
        <v>9944</v>
      </c>
      <c r="U6211" t="s">
        <v>52717</v>
      </c>
      <c t="s">
        <v>25282</v>
      </c>
      <c t="s">
        <v>56557</v>
      </c>
      <c t="s">
        <v>38805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32507</v>
      </c>
      <c>
        <v>1475</v>
      </c>
      <c r="AI6211" t="s">
        <v>47398</v>
      </c>
      <c t="s">
        <v>45620</v>
      </c>
      <c r="AL6211" t="s">
        <v>23936</v>
      </c>
      <c t="s">
        <v>23936</v>
      </c>
      <c t="s">
        <v>50829</v>
      </c>
      <c t="s">
        <v>22995</v>
      </c>
      <c t="s">
        <v>52247</v>
      </c>
      <c t="s">
        <v>3093</v>
      </c>
      <c t="s">
        <v>66889</v>
      </c>
    </row>
    <row>
      <c t="s">
        <v>17594</v>
      </c>
      <c t="s">
        <v>15832</v>
      </c>
      <c t="s">
        <v>59010</v>
      </c>
      <c t="s">
        <v>26948</v>
      </c>
      <c t="s">
        <v>39122</v>
      </c>
      <c s="3">
        <v>88028</v>
      </c>
      <c s="3">
        <v>78373</v>
      </c>
      <c s="3">
        <v>79505</v>
      </c>
      <c>
        <v>0</v>
      </c>
      <c s="3">
        <v>0</v>
      </c>
      <c s="3">
        <v>1242.58</v>
      </c>
      <c s="3">
        <v>88028</v>
      </c>
      <c r="O6212" s="1" t="str">
        <f ca="1">HYPERLINK("https://web.datatree.com/?/property?propertyId=209288010", "https://web.datatree.com/?/property?propertyId=209288010")</f>
        <v>https://web.datatree.com/?/property?propertyId=209288010</v>
      </c>
      <c r="Q6212" t="s">
        <v>316</v>
      </c>
      <c>
        <v>0.072</v>
      </c>
      <c t="s">
        <v>9944</v>
      </c>
      <c t="s">
        <v>58113</v>
      </c>
      <c t="s">
        <v>9998</v>
      </c>
      <c t="s">
        <v>49022</v>
      </c>
      <c t="s">
        <v>9998</v>
      </c>
      <c t="s">
        <v>22051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50225</v>
      </c>
      <c>
        <v>2069</v>
      </c>
      <c r="AI6212" t="s">
        <v>2463</v>
      </c>
      <c t="s">
        <v>45620</v>
      </c>
      <c r="AL6212" t="s">
        <v>19051</v>
      </c>
      <c t="s">
        <v>40227</v>
      </c>
      <c t="s">
        <v>51087</v>
      </c>
      <c t="s">
        <v>9464</v>
      </c>
      <c t="s">
        <v>52247</v>
      </c>
      <c t="s">
        <v>3093</v>
      </c>
      <c t="s">
        <v>882</v>
      </c>
    </row>
    <row>
      <c t="s">
        <v>17594</v>
      </c>
      <c t="s">
        <v>4851</v>
      </c>
      <c t="s">
        <v>22353</v>
      </c>
      <c t="s">
        <v>33718</v>
      </c>
      <c t="s">
        <v>46965</v>
      </c>
      <c s="3">
        <v>89074</v>
      </c>
      <c s="3">
        <v>78121</v>
      </c>
      <c s="3">
        <v>89074</v>
      </c>
      <c>
        <v>0</v>
      </c>
      <c s="3">
        <v>0</v>
      </c>
      <c s="3">
        <v>1338.47</v>
      </c>
      <c s="3">
        <v>89074</v>
      </c>
      <c r="O6213" s="1" t="str">
        <f ca="1">HYPERLINK("https://web.datatree.com/?/property?propertyId=209288011", "https://web.datatree.com/?/property?propertyId=209288011")</f>
        <v>https://web.datatree.com/?/property?propertyId=209288011</v>
      </c>
      <c r="Q6213" t="s">
        <v>316</v>
      </c>
      <c>
        <v>0.072</v>
      </c>
      <c t="s">
        <v>9944</v>
      </c>
      <c t="s">
        <v>3293</v>
      </c>
      <c t="s">
        <v>46201</v>
      </c>
      <c t="s">
        <v>18053</v>
      </c>
      <c t="s">
        <v>46201</v>
      </c>
      <c t="s">
        <v>63135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23612</v>
      </c>
      <c>
        <v>1358</v>
      </c>
      <c r="AH6213" t="s">
        <v>63047</v>
      </c>
      <c>
        <v>700</v>
      </c>
      <c r="AL6213" t="s">
        <v>12829</v>
      </c>
      <c t="s">
        <v>40227</v>
      </c>
      <c t="s">
        <v>49572</v>
      </c>
      <c t="s">
        <v>1380</v>
      </c>
      <c t="s">
        <v>22455</v>
      </c>
      <c t="s">
        <v>3093</v>
      </c>
      <c t="s">
        <v>29517</v>
      </c>
    </row>
    <row>
      <c t="s">
        <v>17594</v>
      </c>
      <c t="s">
        <v>19440</v>
      </c>
      <c t="s">
        <v>54499</v>
      </c>
      <c t="s">
        <v>54468</v>
      </c>
      <c t="s">
        <v>54848</v>
      </c>
      <c s="3">
        <v>84655</v>
      </c>
      <c s="3">
        <v>75000</v>
      </c>
      <c s="3">
        <v>75756</v>
      </c>
      <c>
        <v>0</v>
      </c>
      <c s="3">
        <v>0</v>
      </c>
      <c s="3">
        <v>1188.52</v>
      </c>
      <c s="3">
        <v>84655</v>
      </c>
      <c r="O6214" s="1" t="str">
        <f ca="1">HYPERLINK("https://web.datatree.com/?/property?propertyId=209288012", "https://web.datatree.com/?/property?propertyId=209288012")</f>
        <v>https://web.datatree.com/?/property?propertyId=209288012</v>
      </c>
      <c r="Q6214" t="s">
        <v>316</v>
      </c>
      <c>
        <v>0.072</v>
      </c>
      <c t="s">
        <v>9944</v>
      </c>
      <c t="s">
        <v>54158</v>
      </c>
      <c t="s">
        <v>38916</v>
      </c>
      <c t="s">
        <v>10134</v>
      </c>
      <c t="s">
        <v>38916</v>
      </c>
      <c t="s">
        <v>40119</v>
      </c>
      <c t="s">
        <v>11045</v>
      </c>
      <c t="s">
        <v>65059</v>
      </c>
      <c t="s">
        <v>39289</v>
      </c>
      <c>
        <v>33905</v>
      </c>
      <c>
        <v>33905</v>
      </c>
      <c t="s">
        <v>48794</v>
      </c>
      <c t="s">
        <v>27291</v>
      </c>
      <c>
        <v>23436</v>
      </c>
      <c r="AI6214" t="s">
        <v>29549</v>
      </c>
      <c t="s">
        <v>45620</v>
      </c>
      <c r="AL6214" t="s">
        <v>51013</v>
      </c>
      <c t="s">
        <v>11428</v>
      </c>
      <c t="s">
        <v>50829</v>
      </c>
      <c t="s">
        <v>32772</v>
      </c>
      <c t="s">
        <v>60160</v>
      </c>
      <c t="s">
        <v>3093</v>
      </c>
      <c t="s">
        <v>30701</v>
      </c>
    </row>
    <row>
      <c t="s">
        <v>17594</v>
      </c>
      <c t="s">
        <v>29490</v>
      </c>
      <c t="s">
        <v>62678</v>
      </c>
      <c t="s">
        <v>32431</v>
      </c>
      <c t="s">
        <v>31329</v>
      </c>
      <c s="3">
        <v>65526</v>
      </c>
      <c s="3">
        <v>61200</v>
      </c>
      <c s="3">
        <v>65526</v>
      </c>
      <c>
        <v>0</v>
      </c>
      <c s="3">
        <v>0</v>
      </c>
      <c s="3">
        <v>1121.45</v>
      </c>
      <c s="3">
        <v>65526</v>
      </c>
      <c r="O6215" s="1" t="str">
        <f ca="1">HYPERLINK("https://web.datatree.com/?/property?propertyId=211855140", "https://web.datatree.com/?/property?propertyId=211855140")</f>
        <v>https://web.datatree.com/?/property?propertyId=211855140</v>
      </c>
      <c r="Q6215" t="s">
        <v>316</v>
      </c>
      <c>
        <v>0.202</v>
      </c>
      <c t="s">
        <v>5471</v>
      </c>
      <c t="s">
        <v>50331</v>
      </c>
      <c t="s">
        <v>3326</v>
      </c>
      <c t="s">
        <v>65497</v>
      </c>
      <c t="s">
        <v>34582</v>
      </c>
      <c t="s">
        <v>15881</v>
      </c>
      <c t="s">
        <v>43044</v>
      </c>
      <c t="s">
        <v>54524</v>
      </c>
      <c t="s">
        <v>39289</v>
      </c>
      <c>
        <v>33903</v>
      </c>
      <c>
        <v>33903</v>
      </c>
      <c t="s">
        <v>48794</v>
      </c>
      <c t="s">
        <v>64501</v>
      </c>
      <c>
        <v>20631</v>
      </c>
      <c r="AI6215" t="s">
        <v>266</v>
      </c>
      <c t="s">
        <v>55842</v>
      </c>
      <c r="AL6215" t="s">
        <v>21971</v>
      </c>
      <c t="s">
        <v>21971</v>
      </c>
      <c t="s">
        <v>65451</v>
      </c>
      <c t="s">
        <v>26664</v>
      </c>
      <c t="s">
        <v>54916</v>
      </c>
      <c t="s">
        <v>3093</v>
      </c>
      <c t="s">
        <v>29052</v>
      </c>
    </row>
    <row>
      <c t="s">
        <v>17594</v>
      </c>
      <c t="s">
        <v>17851</v>
      </c>
      <c t="s">
        <v>1512</v>
      </c>
      <c t="s">
        <v>59727</v>
      </c>
      <c t="s">
        <v>64596</v>
      </c>
      <c s="3">
        <v>225000</v>
      </c>
      <c s="3">
        <v>225000</v>
      </c>
      <c s="3">
        <v>203500</v>
      </c>
      <c>
        <v>0</v>
      </c>
      <c s="3">
        <v>0</v>
      </c>
      <c s="3">
        <v>3642.6</v>
      </c>
      <c s="3">
        <v>225000</v>
      </c>
      <c r="O6216" s="1" t="str">
        <f ca="1">HYPERLINK("https://web.datatree.com/?/property?propertyId=213009438", "https://web.datatree.com/?/property?propertyId=213009438")</f>
        <v>https://web.datatree.com/?/property?propertyId=213009438</v>
      </c>
      <c r="Q6216" t="s">
        <v>316</v>
      </c>
      <c>
        <v>0.451</v>
      </c>
      <c t="s">
        <v>29818</v>
      </c>
      <c t="s">
        <v>60243</v>
      </c>
      <c t="s">
        <v>3351</v>
      </c>
      <c t="s">
        <v>16200</v>
      </c>
      <c t="s">
        <v>3351</v>
      </c>
      <c t="s">
        <v>24862</v>
      </c>
      <c t="s">
        <v>18127</v>
      </c>
      <c t="s">
        <v>65059</v>
      </c>
      <c t="s">
        <v>39289</v>
      </c>
      <c>
        <v>33901</v>
      </c>
      <c t="s">
        <v>4731</v>
      </c>
      <c t="s">
        <v>48794</v>
      </c>
      <c t="s">
        <v>67256</v>
      </c>
      <c>
        <v>1716</v>
      </c>
      <c r="AI6216" t="s">
        <v>13170</v>
      </c>
      <c t="s">
        <v>39321</v>
      </c>
      <c r="AL6216" t="s">
        <v>59550</v>
      </c>
      <c r="AN6216" t="s">
        <v>39289</v>
      </c>
      <c t="s">
        <v>62224</v>
      </c>
      <c t="s">
        <v>37774</v>
      </c>
      <c t="s">
        <v>3093</v>
      </c>
      <c t="s">
        <v>62011</v>
      </c>
    </row>
    <row>
      <c t="s">
        <v>17594</v>
      </c>
      <c t="s">
        <v>3467</v>
      </c>
      <c t="s">
        <v>29368</v>
      </c>
      <c t="s">
        <v>14140</v>
      </c>
      <c t="s">
        <v>50345</v>
      </c>
      <c s="3">
        <v>205000</v>
      </c>
      <c s="3">
        <v>205000</v>
      </c>
      <c s="3">
        <v>205000</v>
      </c>
      <c>
        <v>0</v>
      </c>
      <c s="3">
        <v>0</v>
      </c>
      <c s="3">
        <v>3549.08</v>
      </c>
      <c s="3">
        <v>205000</v>
      </c>
      <c r="O6217" s="1" t="str">
        <f ca="1">HYPERLINK("https://web.datatree.com/?/property?propertyId=213009443", "https://web.datatree.com/?/property?propertyId=213009443")</f>
        <v>https://web.datatree.com/?/property?propertyId=213009443</v>
      </c>
      <c r="Q6217" t="s">
        <v>316</v>
      </c>
      <c>
        <v>0.783</v>
      </c>
      <c t="s">
        <v>29818</v>
      </c>
      <c r="U6217" t="s">
        <v>25697</v>
      </c>
      <c r="W6217" t="s">
        <v>45225</v>
      </c>
      <c t="s">
        <v>49910</v>
      </c>
      <c t="s">
        <v>40083</v>
      </c>
      <c t="s">
        <v>65059</v>
      </c>
      <c t="s">
        <v>39289</v>
      </c>
      <c>
        <v>33901</v>
      </c>
      <c>
        <v>33901</v>
      </c>
      <c t="s">
        <v>48794</v>
      </c>
      <c t="s">
        <v>47717</v>
      </c>
      <c>
        <v>9766</v>
      </c>
      <c r="AI6217" t="s">
        <v>30720</v>
      </c>
      <c t="s">
        <v>24900</v>
      </c>
      <c r="AL6217" t="s">
        <v>53507</v>
      </c>
      <c t="s">
        <v>53507</v>
      </c>
      <c t="s">
        <v>17134</v>
      </c>
      <c t="s">
        <v>60748</v>
      </c>
      <c t="s">
        <v>22613</v>
      </c>
      <c t="s">
        <v>3093</v>
      </c>
      <c t="s">
        <v>3054</v>
      </c>
    </row>
    <row>
      <c t="s">
        <v>17594</v>
      </c>
      <c t="s">
        <v>57576</v>
      </c>
      <c t="s">
        <v>9691</v>
      </c>
      <c t="s">
        <v>7179</v>
      </c>
      <c t="s">
        <v>15580</v>
      </c>
      <c s="3">
        <v>26928</v>
      </c>
      <c s="3">
        <v>26928</v>
      </c>
      <c s="3">
        <v>26928</v>
      </c>
      <c>
        <v>0</v>
      </c>
      <c s="3">
        <v>0</v>
      </c>
      <c s="3">
        <v>396.41</v>
      </c>
      <c s="3">
        <v>26928</v>
      </c>
      <c r="O6218" s="1" t="str">
        <f ca="1">HYPERLINK("https://web.datatree.com/?/property?propertyId=213545623", "https://web.datatree.com/?/property?propertyId=213545623")</f>
        <v>https://web.datatree.com/?/property?propertyId=213545623</v>
      </c>
      <c r="Q6218" t="s">
        <v>316</v>
      </c>
      <c>
        <v>0.235</v>
      </c>
      <c t="s">
        <v>5471</v>
      </c>
      <c t="s">
        <v>17163</v>
      </c>
      <c t="s">
        <v>9435</v>
      </c>
      <c t="s">
        <v>47754</v>
      </c>
      <c t="s">
        <v>47807</v>
      </c>
      <c t="s">
        <v>63420</v>
      </c>
      <c t="s">
        <v>9665</v>
      </c>
      <c t="s">
        <v>54524</v>
      </c>
      <c t="s">
        <v>39289</v>
      </c>
      <c>
        <v>33903</v>
      </c>
      <c t="s">
        <v>4687</v>
      </c>
      <c t="s">
        <v>48794</v>
      </c>
      <c t="s">
        <v>60710</v>
      </c>
      <c>
        <v>15270</v>
      </c>
      <c r="AI6218" t="s">
        <v>371</v>
      </c>
      <c t="s">
        <v>39321</v>
      </c>
      <c r="AL6218" t="s">
        <v>55393</v>
      </c>
      <c r="AN6218" t="s">
        <v>39289</v>
      </c>
      <c t="s">
        <v>25595</v>
      </c>
      <c t="s">
        <v>36638</v>
      </c>
      <c t="s">
        <v>3093</v>
      </c>
      <c t="s">
        <v>64707</v>
      </c>
    </row>
    <row>
      <c t="s">
        <v>17594</v>
      </c>
      <c t="s">
        <v>51317</v>
      </c>
      <c t="s">
        <v>11063</v>
      </c>
      <c t="s">
        <v>36911</v>
      </c>
      <c t="s">
        <v>30526</v>
      </c>
      <c s="3">
        <v>84625</v>
      </c>
      <c s="3">
        <v>77207</v>
      </c>
      <c s="3">
        <v>75625</v>
      </c>
      <c>
        <v>0</v>
      </c>
      <c s="3">
        <v>0</v>
      </c>
      <c s="3">
        <v>1182.24</v>
      </c>
      <c s="3">
        <v>84625</v>
      </c>
      <c r="O6219" s="1" t="str">
        <f ca="1">HYPERLINK("https://web.datatree.com/?/property?propertyId=214703700", "https://web.datatree.com/?/property?propertyId=214703700")</f>
        <v>https://web.datatree.com/?/property?propertyId=214703700</v>
      </c>
      <c r="Q6219" t="s">
        <v>316</v>
      </c>
      <c>
        <v>0.072</v>
      </c>
      <c t="s">
        <v>9944</v>
      </c>
      <c t="s">
        <v>53608</v>
      </c>
      <c t="s">
        <v>32615</v>
      </c>
      <c t="s">
        <v>26163</v>
      </c>
      <c t="s">
        <v>18814</v>
      </c>
      <c t="s">
        <v>33670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45798</v>
      </c>
      <c>
        <v>1595</v>
      </c>
      <c r="AI6219" t="s">
        <v>62652</v>
      </c>
      <c t="s">
        <v>45620</v>
      </c>
      <c r="AL6219" t="s">
        <v>62300</v>
      </c>
      <c t="s">
        <v>40227</v>
      </c>
      <c t="s">
        <v>22275</v>
      </c>
      <c t="s">
        <v>18317</v>
      </c>
      <c t="s">
        <v>5652</v>
      </c>
      <c t="s">
        <v>3093</v>
      </c>
      <c t="s">
        <v>44302</v>
      </c>
    </row>
    <row>
      <c t="s">
        <v>17594</v>
      </c>
      <c t="s">
        <v>57669</v>
      </c>
      <c t="s">
        <v>48662</v>
      </c>
      <c t="s">
        <v>57623</v>
      </c>
      <c t="s">
        <v>38425</v>
      </c>
      <c s="3">
        <v>101767</v>
      </c>
      <c s="3">
        <v>75000</v>
      </c>
      <c s="3">
        <v>94766</v>
      </c>
      <c>
        <v>0</v>
      </c>
      <c s="3">
        <v>0</v>
      </c>
      <c s="3">
        <v>1457.71</v>
      </c>
      <c s="3">
        <v>101767</v>
      </c>
      <c r="O6220" s="1" t="str">
        <f ca="1">HYPERLINK("https://web.datatree.com/?/property?propertyId=214703701", "https://web.datatree.com/?/property?propertyId=214703701")</f>
        <v>https://web.datatree.com/?/property?propertyId=214703701</v>
      </c>
      <c r="Q6220" t="s">
        <v>316</v>
      </c>
      <c>
        <v>0.072</v>
      </c>
      <c t="s">
        <v>9944</v>
      </c>
      <c t="s">
        <v>12385</v>
      </c>
      <c t="s">
        <v>2393</v>
      </c>
      <c t="s">
        <v>56577</v>
      </c>
      <c t="s">
        <v>2393</v>
      </c>
      <c t="s">
        <v>58626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39993</v>
      </c>
      <c>
        <v>1722</v>
      </c>
      <c r="AI6220" t="s">
        <v>8504</v>
      </c>
      <c t="s">
        <v>31192</v>
      </c>
      <c r="AL6220" t="s">
        <v>51808</v>
      </c>
      <c t="s">
        <v>51808</v>
      </c>
      <c t="s">
        <v>3034</v>
      </c>
      <c t="s">
        <v>27897</v>
      </c>
      <c t="s">
        <v>21201</v>
      </c>
      <c t="s">
        <v>3093</v>
      </c>
      <c t="s">
        <v>11319</v>
      </c>
    </row>
    <row>
      <c t="s">
        <v>17594</v>
      </c>
      <c t="s">
        <v>18085</v>
      </c>
      <c t="s">
        <v>43404</v>
      </c>
      <c t="s">
        <v>10914</v>
      </c>
      <c t="s">
        <v>46278</v>
      </c>
      <c s="3">
        <v>87825</v>
      </c>
      <c s="3">
        <v>75000</v>
      </c>
      <c s="3">
        <v>79182</v>
      </c>
      <c>
        <v>0</v>
      </c>
      <c s="3">
        <v>0</v>
      </c>
      <c s="3">
        <v>1233.53</v>
      </c>
      <c s="3">
        <v>87825</v>
      </c>
      <c r="O6221" s="1" t="str">
        <f ca="1">HYPERLINK("https://web.datatree.com/?/property?propertyId=214703702", "https://web.datatree.com/?/property?propertyId=214703702")</f>
        <v>https://web.datatree.com/?/property?propertyId=214703702</v>
      </c>
      <c r="Q6221" t="s">
        <v>316</v>
      </c>
      <c>
        <v>0.072</v>
      </c>
      <c t="s">
        <v>9944</v>
      </c>
      <c t="s">
        <v>58113</v>
      </c>
      <c t="s">
        <v>20493</v>
      </c>
      <c t="s">
        <v>14081</v>
      </c>
      <c t="s">
        <v>20493</v>
      </c>
      <c t="s">
        <v>65717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48759</v>
      </c>
      <c>
        <v>562</v>
      </c>
      <c r="AI6221" t="s">
        <v>26880</v>
      </c>
      <c t="s">
        <v>18382</v>
      </c>
      <c r="AL6221" t="s">
        <v>23713</v>
      </c>
      <c t="s">
        <v>63913</v>
      </c>
      <c t="s">
        <v>22275</v>
      </c>
      <c t="s">
        <v>66402</v>
      </c>
      <c t="s">
        <v>60160</v>
      </c>
      <c t="s">
        <v>3093</v>
      </c>
      <c t="s">
        <v>36141</v>
      </c>
    </row>
    <row>
      <c t="s">
        <v>17594</v>
      </c>
      <c t="s">
        <v>46010</v>
      </c>
      <c t="s">
        <v>17326</v>
      </c>
      <c t="s">
        <v>31412</v>
      </c>
      <c t="s">
        <v>54129</v>
      </c>
      <c s="3">
        <v>79346</v>
      </c>
      <c s="3">
        <v>77229</v>
      </c>
      <c s="3">
        <v>69729</v>
      </c>
      <c>
        <v>0</v>
      </c>
      <c s="3">
        <v>0</v>
      </c>
      <c s="3">
        <v>1097.41</v>
      </c>
      <c s="3">
        <v>79346</v>
      </c>
      <c r="O6222" s="1" t="str">
        <f ca="1">HYPERLINK("https://web.datatree.com/?/property?propertyId=214703703", "https://web.datatree.com/?/property?propertyId=214703703")</f>
        <v>https://web.datatree.com/?/property?propertyId=214703703</v>
      </c>
      <c r="Q6222" t="s">
        <v>316</v>
      </c>
      <c>
        <v>0.072</v>
      </c>
      <c t="s">
        <v>9944</v>
      </c>
      <c t="s">
        <v>34388</v>
      </c>
      <c t="s">
        <v>32018</v>
      </c>
      <c t="s">
        <v>31337</v>
      </c>
      <c t="s">
        <v>24339</v>
      </c>
      <c t="s">
        <v>55619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4174</v>
      </c>
      <c>
        <v>539</v>
      </c>
      <c r="AI6222" t="s">
        <v>29173</v>
      </c>
      <c t="s">
        <v>45620</v>
      </c>
      <c r="AL6222" t="s">
        <v>59769</v>
      </c>
      <c t="s">
        <v>40227</v>
      </c>
      <c t="s">
        <v>51087</v>
      </c>
      <c t="s">
        <v>18901</v>
      </c>
      <c t="s">
        <v>37948</v>
      </c>
      <c t="s">
        <v>3093</v>
      </c>
      <c t="s">
        <v>55453</v>
      </c>
    </row>
    <row>
      <c t="s">
        <v>17594</v>
      </c>
      <c t="s">
        <v>34236</v>
      </c>
      <c t="s">
        <v>61696</v>
      </c>
      <c t="s">
        <v>58900</v>
      </c>
      <c t="s">
        <v>16309</v>
      </c>
      <c s="3">
        <v>84404</v>
      </c>
      <c s="3">
        <v>76986</v>
      </c>
      <c s="3">
        <v>75381</v>
      </c>
      <c>
        <v>0</v>
      </c>
      <c s="3">
        <v>0</v>
      </c>
      <c s="3">
        <v>1178.72</v>
      </c>
      <c s="3">
        <v>84404</v>
      </c>
      <c r="O6223" s="1" t="str">
        <f ca="1">HYPERLINK("https://web.datatree.com/?/property?propertyId=214703705", "https://web.datatree.com/?/property?propertyId=214703705")</f>
        <v>https://web.datatree.com/?/property?propertyId=214703705</v>
      </c>
      <c r="Q6223" t="s">
        <v>316</v>
      </c>
      <c>
        <v>0.072</v>
      </c>
      <c t="s">
        <v>9944</v>
      </c>
      <c t="s">
        <v>3238</v>
      </c>
      <c t="s">
        <v>29455</v>
      </c>
      <c t="s">
        <v>52701</v>
      </c>
      <c t="s">
        <v>29455</v>
      </c>
      <c t="s">
        <v>27423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21414</v>
      </c>
      <c>
        <v>7965</v>
      </c>
      <c r="AI6223" t="s">
        <v>56596</v>
      </c>
      <c t="s">
        <v>45393</v>
      </c>
      <c r="AL6223" t="s">
        <v>37168</v>
      </c>
      <c t="s">
        <v>37168</v>
      </c>
      <c t="s">
        <v>39289</v>
      </c>
      <c t="s">
        <v>59416</v>
      </c>
      <c t="s">
        <v>32746</v>
      </c>
      <c t="s">
        <v>3093</v>
      </c>
      <c t="s">
        <v>28030</v>
      </c>
    </row>
    <row>
      <c t="s">
        <v>17594</v>
      </c>
      <c t="s">
        <v>40575</v>
      </c>
      <c t="s">
        <v>24231</v>
      </c>
      <c t="s">
        <v>12159</v>
      </c>
      <c t="s">
        <v>24058</v>
      </c>
      <c s="3">
        <v>89580</v>
      </c>
      <c s="3">
        <v>75000</v>
      </c>
      <c s="3">
        <v>81112</v>
      </c>
      <c>
        <v>0</v>
      </c>
      <c s="3">
        <v>0</v>
      </c>
      <c s="3">
        <v>1261.47</v>
      </c>
      <c s="3">
        <v>89580</v>
      </c>
      <c r="O6224" s="1" t="str">
        <f ca="1">HYPERLINK("https://web.datatree.com/?/property?propertyId=214703706", "https://web.datatree.com/?/property?propertyId=214703706")</f>
        <v>https://web.datatree.com/?/property?propertyId=214703706</v>
      </c>
      <c r="Q6224" t="s">
        <v>316</v>
      </c>
      <c>
        <v>0.072</v>
      </c>
      <c t="s">
        <v>9944</v>
      </c>
      <c t="s">
        <v>42397</v>
      </c>
      <c t="s">
        <v>10619</v>
      </c>
      <c t="s">
        <v>21379</v>
      </c>
      <c t="s">
        <v>10619</v>
      </c>
      <c t="s">
        <v>61112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15809</v>
      </c>
      <c>
        <v>1209</v>
      </c>
      <c r="AI6224" t="s">
        <v>62777</v>
      </c>
      <c t="s">
        <v>31192</v>
      </c>
      <c r="AL6224" t="s">
        <v>15786</v>
      </c>
      <c t="s">
        <v>40227</v>
      </c>
      <c t="s">
        <v>32657</v>
      </c>
      <c t="s">
        <v>31587</v>
      </c>
      <c t="s">
        <v>44428</v>
      </c>
      <c t="s">
        <v>3093</v>
      </c>
      <c t="s">
        <v>32069</v>
      </c>
    </row>
    <row>
      <c t="s">
        <v>17594</v>
      </c>
      <c t="s">
        <v>1277</v>
      </c>
      <c t="s">
        <v>32348</v>
      </c>
      <c t="s">
        <v>25366</v>
      </c>
      <c t="s">
        <v>13703</v>
      </c>
      <c s="3">
        <v>81261</v>
      </c>
      <c s="3">
        <v>78670</v>
      </c>
      <c s="3">
        <v>71889</v>
      </c>
      <c>
        <v>0</v>
      </c>
      <c s="3">
        <v>0</v>
      </c>
      <c s="3">
        <v>1128.38</v>
      </c>
      <c s="3">
        <v>81261</v>
      </c>
      <c r="O6225" s="1" t="str">
        <f ca="1">HYPERLINK("https://web.datatree.com/?/property?propertyId=214703707", "https://web.datatree.com/?/property?propertyId=214703707")</f>
        <v>https://web.datatree.com/?/property?propertyId=214703707</v>
      </c>
      <c r="Q6225" t="s">
        <v>316</v>
      </c>
      <c>
        <v>0.074</v>
      </c>
      <c t="s">
        <v>9944</v>
      </c>
      <c t="s">
        <v>61273</v>
      </c>
      <c t="s">
        <v>28493</v>
      </c>
      <c t="s">
        <v>63182</v>
      </c>
      <c t="s">
        <v>28493</v>
      </c>
      <c t="s">
        <v>62045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24439</v>
      </c>
      <c>
        <v>8400</v>
      </c>
      <c r="AI6225" t="s">
        <v>28493</v>
      </c>
      <c t="s">
        <v>45620</v>
      </c>
      <c r="AL6225" t="s">
        <v>43162</v>
      </c>
      <c t="s">
        <v>40227</v>
      </c>
      <c t="s">
        <v>49572</v>
      </c>
      <c t="s">
        <v>52323</v>
      </c>
      <c t="s">
        <v>22455</v>
      </c>
      <c t="s">
        <v>3093</v>
      </c>
      <c t="s">
        <v>64659</v>
      </c>
    </row>
    <row>
      <c t="s">
        <v>17594</v>
      </c>
      <c t="s">
        <v>28860</v>
      </c>
      <c t="s">
        <v>32568</v>
      </c>
      <c t="s">
        <v>32189</v>
      </c>
      <c t="s">
        <v>21465</v>
      </c>
      <c s="3">
        <v>77591</v>
      </c>
      <c s="3">
        <v>75000</v>
      </c>
      <c s="3">
        <v>66799</v>
      </c>
      <c>
        <v>0</v>
      </c>
      <c s="3">
        <v>0</v>
      </c>
      <c s="3">
        <v>1060.06</v>
      </c>
      <c s="3">
        <v>77591</v>
      </c>
      <c r="O6226" s="1" t="str">
        <f ca="1">HYPERLINK("https://web.datatree.com/?/property?propertyId=214703708", "https://web.datatree.com/?/property?propertyId=214703708")</f>
        <v>https://web.datatree.com/?/property?propertyId=214703708</v>
      </c>
      <c r="Q6226" t="s">
        <v>316</v>
      </c>
      <c>
        <v>0.075</v>
      </c>
      <c t="s">
        <v>9944</v>
      </c>
      <c t="s">
        <v>11577</v>
      </c>
      <c t="s">
        <v>50881</v>
      </c>
      <c r="W6226" t="s">
        <v>51553</v>
      </c>
      <c t="s">
        <v>57206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33216</v>
      </c>
      <c>
        <v>6502</v>
      </c>
      <c r="AI6226" t="s">
        <v>26245</v>
      </c>
      <c t="s">
        <v>31192</v>
      </c>
      <c r="AL6226" t="s">
        <v>18908</v>
      </c>
      <c t="s">
        <v>40227</v>
      </c>
      <c t="s">
        <v>58733</v>
      </c>
      <c t="s">
        <v>47088</v>
      </c>
      <c t="s">
        <v>38014</v>
      </c>
      <c t="s">
        <v>3093</v>
      </c>
      <c t="s">
        <v>6484</v>
      </c>
    </row>
    <row>
      <c t="s">
        <v>17594</v>
      </c>
      <c t="s">
        <v>56879</v>
      </c>
      <c t="s">
        <v>61918</v>
      </c>
      <c t="s">
        <v>52889</v>
      </c>
      <c t="s">
        <v>29330</v>
      </c>
      <c s="3">
        <v>91417</v>
      </c>
      <c s="3">
        <v>78433</v>
      </c>
      <c s="3">
        <v>82959</v>
      </c>
      <c>
        <v>0</v>
      </c>
      <c s="3">
        <v>0</v>
      </c>
      <c s="3">
        <v>1289.06</v>
      </c>
      <c s="3">
        <v>91417</v>
      </c>
      <c r="O6227" s="1" t="str">
        <f ca="1">HYPERLINK("https://web.datatree.com/?/property?propertyId=214703709", "https://web.datatree.com/?/property?propertyId=214703709")</f>
        <v>https://web.datatree.com/?/property?propertyId=214703709</v>
      </c>
      <c r="Q6227" t="s">
        <v>316</v>
      </c>
      <c>
        <v>0.075</v>
      </c>
      <c t="s">
        <v>9944</v>
      </c>
      <c r="U6227" t="s">
        <v>5516</v>
      </c>
      <c r="W6227" t="s">
        <v>2689</v>
      </c>
      <c t="s">
        <v>25454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42040</v>
      </c>
      <c>
        <v>12</v>
      </c>
      <c r="AI6227" t="s">
        <v>19329</v>
      </c>
      <c t="s">
        <v>31192</v>
      </c>
      <c r="AL6227" t="s">
        <v>33137</v>
      </c>
      <c t="s">
        <v>40227</v>
      </c>
      <c t="s">
        <v>64022</v>
      </c>
      <c t="s">
        <v>4540</v>
      </c>
      <c t="s">
        <v>44428</v>
      </c>
      <c t="s">
        <v>3093</v>
      </c>
      <c t="s">
        <v>22283</v>
      </c>
    </row>
    <row>
      <c t="s">
        <v>17594</v>
      </c>
      <c t="s">
        <v>32792</v>
      </c>
      <c t="s">
        <v>14539</v>
      </c>
      <c t="s">
        <v>14244</v>
      </c>
      <c t="s">
        <v>47709</v>
      </c>
      <c s="3">
        <v>87018</v>
      </c>
      <c s="3">
        <v>75000</v>
      </c>
      <c s="3">
        <v>87018</v>
      </c>
      <c>
        <v>0</v>
      </c>
      <c s="3">
        <v>0</v>
      </c>
      <c s="3">
        <v>1307.71</v>
      </c>
      <c s="3">
        <v>87018</v>
      </c>
      <c r="O6228" s="1" t="str">
        <f ca="1">HYPERLINK("https://web.datatree.com/?/property?propertyId=214703724", "https://web.datatree.com/?/property?propertyId=214703724")</f>
        <v>https://web.datatree.com/?/property?propertyId=214703724</v>
      </c>
      <c r="Q6228" t="s">
        <v>316</v>
      </c>
      <c>
        <v>0.078</v>
      </c>
      <c t="s">
        <v>9944</v>
      </c>
      <c t="s">
        <v>26631</v>
      </c>
      <c t="s">
        <v>32233</v>
      </c>
      <c t="s">
        <v>2209</v>
      </c>
      <c t="s">
        <v>32233</v>
      </c>
      <c t="s">
        <v>28568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29641</v>
      </c>
      <c>
        <v>3135</v>
      </c>
      <c r="AI6228" t="s">
        <v>14534</v>
      </c>
      <c t="s">
        <v>45393</v>
      </c>
      <c r="AL6228" t="s">
        <v>42665</v>
      </c>
      <c t="s">
        <v>42665</v>
      </c>
      <c t="s">
        <v>18236</v>
      </c>
      <c t="s">
        <v>20736</v>
      </c>
      <c t="s">
        <v>46114</v>
      </c>
      <c t="s">
        <v>3093</v>
      </c>
      <c t="s">
        <v>63026</v>
      </c>
    </row>
    <row>
      <c t="s">
        <v>17594</v>
      </c>
      <c t="s">
        <v>61238</v>
      </c>
      <c t="s">
        <v>3023</v>
      </c>
      <c t="s">
        <v>34896</v>
      </c>
      <c t="s">
        <v>55570</v>
      </c>
      <c s="3">
        <v>87459</v>
      </c>
      <c s="3">
        <v>75000</v>
      </c>
      <c s="3">
        <v>87459</v>
      </c>
      <c>
        <v>0</v>
      </c>
      <c s="3">
        <v>0</v>
      </c>
      <c s="3">
        <v>1314.31</v>
      </c>
      <c s="3">
        <v>87459</v>
      </c>
      <c r="O6229" s="1" t="str">
        <f ca="1">HYPERLINK("https://web.datatree.com/?/property?propertyId=214703725", "https://web.datatree.com/?/property?propertyId=214703725")</f>
        <v>https://web.datatree.com/?/property?propertyId=214703725</v>
      </c>
      <c r="Q6229" t="s">
        <v>316</v>
      </c>
      <c>
        <v>0.072</v>
      </c>
      <c t="s">
        <v>9944</v>
      </c>
      <c t="s">
        <v>15209</v>
      </c>
      <c t="s">
        <v>49163</v>
      </c>
      <c t="s">
        <v>58703</v>
      </c>
      <c t="s">
        <v>49163</v>
      </c>
      <c t="s">
        <v>42222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33122</v>
      </c>
      <c>
        <v>756</v>
      </c>
      <c r="AI6229" t="s">
        <v>26710</v>
      </c>
      <c t="s">
        <v>45620</v>
      </c>
      <c r="AL6229" t="s">
        <v>53616</v>
      </c>
      <c t="s">
        <v>40227</v>
      </c>
      <c t="s">
        <v>19878</v>
      </c>
      <c t="s">
        <v>23799</v>
      </c>
      <c t="s">
        <v>52247</v>
      </c>
      <c t="s">
        <v>3093</v>
      </c>
      <c t="s">
        <v>19536</v>
      </c>
    </row>
    <row>
      <c t="s">
        <v>17594</v>
      </c>
      <c t="s">
        <v>8275</v>
      </c>
      <c t="s">
        <v>13839</v>
      </c>
      <c t="s">
        <v>55580</v>
      </c>
      <c t="s">
        <v>63491</v>
      </c>
      <c s="3">
        <v>90416</v>
      </c>
      <c s="3">
        <v>75000</v>
      </c>
      <c s="3">
        <v>90416</v>
      </c>
      <c>
        <v>0</v>
      </c>
      <c s="3">
        <v>0</v>
      </c>
      <c s="3">
        <v>1358.58</v>
      </c>
      <c s="3">
        <v>90416</v>
      </c>
      <c r="O6230" s="1" t="str">
        <f ca="1">HYPERLINK("https://web.datatree.com/?/property?propertyId=214703726", "https://web.datatree.com/?/property?propertyId=214703726")</f>
        <v>https://web.datatree.com/?/property?propertyId=214703726</v>
      </c>
      <c r="Q6230" t="s">
        <v>316</v>
      </c>
      <c>
        <v>0.072</v>
      </c>
      <c t="s">
        <v>9944</v>
      </c>
      <c t="s">
        <v>54943</v>
      </c>
      <c t="s">
        <v>61700</v>
      </c>
      <c t="s">
        <v>59281</v>
      </c>
      <c t="s">
        <v>61700</v>
      </c>
      <c t="s">
        <v>51429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36746</v>
      </c>
      <c>
        <v>2</v>
      </c>
      <c r="AI6230" t="s">
        <v>64679</v>
      </c>
      <c r="AL6230" t="s">
        <v>15154</v>
      </c>
      <c t="s">
        <v>40227</v>
      </c>
      <c t="s">
        <v>58811</v>
      </c>
      <c t="s">
        <v>55003</v>
      </c>
      <c r="AQ6230" t="s">
        <v>27814</v>
      </c>
      <c t="s">
        <v>13902</v>
      </c>
    </row>
    <row>
      <c t="s">
        <v>17594</v>
      </c>
      <c t="s">
        <v>51547</v>
      </c>
      <c t="s">
        <v>36550</v>
      </c>
      <c t="s">
        <v>8957</v>
      </c>
      <c t="s">
        <v>4051</v>
      </c>
      <c s="3">
        <v>96586</v>
      </c>
      <c s="3">
        <v>77983</v>
      </c>
      <c s="3">
        <v>88931</v>
      </c>
      <c>
        <v>0</v>
      </c>
      <c s="3">
        <v>0</v>
      </c>
      <c s="3">
        <v>1378.86</v>
      </c>
      <c s="3">
        <v>96586</v>
      </c>
      <c r="O6231" s="1" t="str">
        <f ca="1">HYPERLINK("https://web.datatree.com/?/property?propertyId=214703727", "https://web.datatree.com/?/property?propertyId=214703727")</f>
        <v>https://web.datatree.com/?/property?propertyId=214703727</v>
      </c>
      <c r="Q6231" t="s">
        <v>316</v>
      </c>
      <c>
        <v>0.072</v>
      </c>
      <c t="s">
        <v>9944</v>
      </c>
      <c r="U6231" t="s">
        <v>27354</v>
      </c>
      <c r="W6231" t="s">
        <v>24213</v>
      </c>
      <c t="s">
        <v>44743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33041</v>
      </c>
      <c>
        <v>940</v>
      </c>
      <c r="AI6231" t="s">
        <v>35083</v>
      </c>
      <c t="s">
        <v>45393</v>
      </c>
      <c r="AL6231" t="s">
        <v>35792</v>
      </c>
      <c t="s">
        <v>40227</v>
      </c>
      <c t="s">
        <v>58733</v>
      </c>
      <c t="s">
        <v>3447</v>
      </c>
      <c t="s">
        <v>53660</v>
      </c>
      <c t="s">
        <v>3093</v>
      </c>
      <c t="s">
        <v>66605</v>
      </c>
    </row>
    <row>
      <c t="s">
        <v>17594</v>
      </c>
      <c t="s">
        <v>12458</v>
      </c>
      <c t="s">
        <v>42726</v>
      </c>
      <c t="s">
        <v>8441</v>
      </c>
      <c t="s">
        <v>60897</v>
      </c>
      <c s="3">
        <v>79808</v>
      </c>
      <c s="3">
        <v>77162</v>
      </c>
      <c s="3">
        <v>70274</v>
      </c>
      <c>
        <v>0</v>
      </c>
      <c s="3">
        <v>0</v>
      </c>
      <c s="3">
        <v>1109.99</v>
      </c>
      <c s="3">
        <v>79808</v>
      </c>
      <c r="O6232" s="1" t="str">
        <f ca="1">HYPERLINK("https://web.datatree.com/?/property?propertyId=214703728", "https://web.datatree.com/?/property?propertyId=214703728")</f>
        <v>https://web.datatree.com/?/property?propertyId=214703728</v>
      </c>
      <c r="Q6232" t="s">
        <v>316</v>
      </c>
      <c>
        <v>0.072</v>
      </c>
      <c t="s">
        <v>9944</v>
      </c>
      <c t="s">
        <v>552</v>
      </c>
      <c t="s">
        <v>10755</v>
      </c>
      <c t="s">
        <v>25924</v>
      </c>
      <c t="s">
        <v>10755</v>
      </c>
      <c t="s">
        <v>34700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36647</v>
      </c>
      <c>
        <v>4096</v>
      </c>
      <c r="AI6232" t="s">
        <v>28449</v>
      </c>
      <c t="s">
        <v>55842</v>
      </c>
      <c r="AL6232" t="s">
        <v>46158</v>
      </c>
      <c t="s">
        <v>46158</v>
      </c>
      <c t="s">
        <v>22275</v>
      </c>
      <c t="s">
        <v>50712</v>
      </c>
      <c t="s">
        <v>41169</v>
      </c>
      <c t="s">
        <v>3093</v>
      </c>
      <c t="s">
        <v>20272</v>
      </c>
    </row>
    <row>
      <c t="s">
        <v>17594</v>
      </c>
      <c t="s">
        <v>41086</v>
      </c>
      <c t="s">
        <v>43437</v>
      </c>
      <c t="s">
        <v>49631</v>
      </c>
      <c t="s">
        <v>9253</v>
      </c>
      <c s="3">
        <v>85066</v>
      </c>
      <c s="3">
        <v>77648</v>
      </c>
      <c s="3">
        <v>85066</v>
      </c>
      <c>
        <v>0</v>
      </c>
      <c s="3">
        <v>0</v>
      </c>
      <c s="3">
        <v>1278.47</v>
      </c>
      <c s="3">
        <v>85066</v>
      </c>
      <c>
        <v>2021</v>
      </c>
      <c>
        <v>1131.57</v>
      </c>
      <c s="1" t="str">
        <f ca="1">HYPERLINK("https://web.datatree.com/?/property?propertyId=214703730", "https://web.datatree.com/?/property?propertyId=214703730")</f>
        <v>https://web.datatree.com/?/property?propertyId=214703730</v>
      </c>
      <c r="Q6233" t="s">
        <v>316</v>
      </c>
      <c>
        <v>0.072</v>
      </c>
      <c t="s">
        <v>9944</v>
      </c>
      <c r="U6233" t="s">
        <v>42933</v>
      </c>
      <c r="W6233" t="s">
        <v>8587</v>
      </c>
      <c t="s">
        <v>66643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43781</v>
      </c>
      <c>
        <v>15348</v>
      </c>
      <c r="AI6233" t="s">
        <v>24977</v>
      </c>
      <c t="s">
        <v>24900</v>
      </c>
      <c r="AL6233" t="s">
        <v>35405</v>
      </c>
      <c t="s">
        <v>35405</v>
      </c>
      <c t="s">
        <v>50829</v>
      </c>
      <c t="s">
        <v>53437</v>
      </c>
      <c t="s">
        <v>4491</v>
      </c>
      <c t="s">
        <v>3093</v>
      </c>
      <c t="s">
        <v>51261</v>
      </c>
    </row>
    <row>
      <c t="s">
        <v>17594</v>
      </c>
      <c t="s">
        <v>55500</v>
      </c>
      <c t="s">
        <v>11261</v>
      </c>
      <c t="s">
        <v>3008</v>
      </c>
      <c t="s">
        <v>30850</v>
      </c>
      <c s="3">
        <v>88780</v>
      </c>
      <c s="3">
        <v>75000</v>
      </c>
      <c s="3">
        <v>80243</v>
      </c>
      <c>
        <v>0</v>
      </c>
      <c s="3">
        <v>0</v>
      </c>
      <c s="3">
        <v>1253.71</v>
      </c>
      <c s="3">
        <v>88780</v>
      </c>
      <c r="O6234" s="1" t="str">
        <f ca="1">HYPERLINK("https://web.datatree.com/?/property?propertyId=214703731", "https://web.datatree.com/?/property?propertyId=214703731")</f>
        <v>https://web.datatree.com/?/property?propertyId=214703731</v>
      </c>
      <c r="Q6234" t="s">
        <v>316</v>
      </c>
      <c>
        <v>0.072</v>
      </c>
      <c t="s">
        <v>9944</v>
      </c>
      <c t="s">
        <v>3293</v>
      </c>
      <c t="s">
        <v>40597</v>
      </c>
      <c t="s">
        <v>21808</v>
      </c>
      <c t="s">
        <v>40597</v>
      </c>
      <c t="s">
        <v>21318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47244</v>
      </c>
      <c>
        <v>1641</v>
      </c>
      <c r="AI6234" t="s">
        <v>16424</v>
      </c>
      <c t="s">
        <v>31192</v>
      </c>
      <c r="AL6234" t="s">
        <v>60790</v>
      </c>
      <c t="s">
        <v>12512</v>
      </c>
      <c t="s">
        <v>3034</v>
      </c>
      <c t="s">
        <v>67193</v>
      </c>
      <c t="s">
        <v>49977</v>
      </c>
      <c t="s">
        <v>3093</v>
      </c>
      <c t="s">
        <v>53077</v>
      </c>
    </row>
    <row>
      <c t="s">
        <v>17594</v>
      </c>
      <c t="s">
        <v>45460</v>
      </c>
      <c t="s">
        <v>26762</v>
      </c>
      <c t="s">
        <v>9721</v>
      </c>
      <c t="s">
        <v>38753</v>
      </c>
      <c s="3">
        <v>93205</v>
      </c>
      <c s="3">
        <v>77207</v>
      </c>
      <c s="3">
        <v>93205</v>
      </c>
      <c>
        <v>0</v>
      </c>
      <c s="3">
        <v>0</v>
      </c>
      <c s="3">
        <v>1400.34</v>
      </c>
      <c s="3">
        <v>93205</v>
      </c>
      <c r="O6235" s="1" t="str">
        <f ca="1">HYPERLINK("https://web.datatree.com/?/property?propertyId=214703732", "https://web.datatree.com/?/property?propertyId=214703732")</f>
        <v>https://web.datatree.com/?/property?propertyId=214703732</v>
      </c>
      <c r="Q6235" t="s">
        <v>316</v>
      </c>
      <c>
        <v>0.072</v>
      </c>
      <c t="s">
        <v>9944</v>
      </c>
      <c t="s">
        <v>2140</v>
      </c>
      <c t="s">
        <v>49611</v>
      </c>
      <c t="s">
        <v>11188</v>
      </c>
      <c t="s">
        <v>49611</v>
      </c>
      <c t="s">
        <v>50662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29674</v>
      </c>
      <c>
        <v>9503</v>
      </c>
      <c r="AI6235" t="s">
        <v>450</v>
      </c>
      <c t="s">
        <v>31192</v>
      </c>
      <c r="AL6235" t="s">
        <v>62474</v>
      </c>
      <c t="s">
        <v>16293</v>
      </c>
      <c t="s">
        <v>18236</v>
      </c>
      <c t="s">
        <v>56238</v>
      </c>
      <c t="s">
        <v>56198</v>
      </c>
      <c t="s">
        <v>3093</v>
      </c>
      <c t="s">
        <v>2692</v>
      </c>
    </row>
    <row>
      <c t="s">
        <v>17594</v>
      </c>
      <c t="s">
        <v>59841</v>
      </c>
      <c t="s">
        <v>40167</v>
      </c>
      <c t="s">
        <v>30221</v>
      </c>
      <c t="s">
        <v>46642</v>
      </c>
      <c s="3">
        <v>80321</v>
      </c>
      <c s="3">
        <v>77675</v>
      </c>
      <c s="3">
        <v>70814</v>
      </c>
      <c>
        <v>0</v>
      </c>
      <c s="3">
        <v>0</v>
      </c>
      <c s="3">
        <v>1117.92</v>
      </c>
      <c s="3">
        <v>80321</v>
      </c>
      <c r="O6236" s="1" t="str">
        <f ca="1">HYPERLINK("https://web.datatree.com/?/property?propertyId=214703733", "https://web.datatree.com/?/property?propertyId=214703733")</f>
        <v>https://web.datatree.com/?/property?propertyId=214703733</v>
      </c>
      <c r="Q6236" t="s">
        <v>316</v>
      </c>
      <c>
        <v>0.072</v>
      </c>
      <c t="s">
        <v>9944</v>
      </c>
      <c r="U6236" t="s">
        <v>43119</v>
      </c>
      <c t="s">
        <v>50343</v>
      </c>
      <c t="s">
        <v>47622</v>
      </c>
      <c t="s">
        <v>5136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33163</v>
      </c>
      <c>
        <v>2709</v>
      </c>
      <c r="AI6236" t="s">
        <v>25636</v>
      </c>
      <c t="s">
        <v>31192</v>
      </c>
      <c r="AL6236" t="s">
        <v>1393</v>
      </c>
      <c t="s">
        <v>40227</v>
      </c>
      <c t="s">
        <v>19878</v>
      </c>
      <c>
        <v>62305</v>
      </c>
      <c t="s">
        <v>44428</v>
      </c>
      <c t="s">
        <v>3093</v>
      </c>
      <c t="s">
        <v>19056</v>
      </c>
    </row>
    <row>
      <c t="s">
        <v>17594</v>
      </c>
      <c t="s">
        <v>39272</v>
      </c>
      <c t="s">
        <v>6749</v>
      </c>
      <c t="s">
        <v>31457</v>
      </c>
      <c t="s">
        <v>24402</v>
      </c>
      <c s="3">
        <v>80481</v>
      </c>
      <c s="3">
        <v>78408</v>
      </c>
      <c s="3">
        <v>71016</v>
      </c>
      <c>
        <v>0</v>
      </c>
      <c s="3">
        <v>0</v>
      </c>
      <c s="3">
        <v>1120.71</v>
      </c>
      <c s="3">
        <v>80481</v>
      </c>
      <c r="O6237" s="1" t="str">
        <f ca="1">HYPERLINK("https://web.datatree.com/?/property?propertyId=214703737", "https://web.datatree.com/?/property?propertyId=214703737")</f>
        <v>https://web.datatree.com/?/property?propertyId=214703737</v>
      </c>
      <c r="Q6237" t="s">
        <v>316</v>
      </c>
      <c>
        <v>0.072</v>
      </c>
      <c t="s">
        <v>9944</v>
      </c>
      <c t="s">
        <v>15209</v>
      </c>
      <c t="s">
        <v>53865</v>
      </c>
      <c t="s">
        <v>20634</v>
      </c>
      <c t="s">
        <v>53865</v>
      </c>
      <c t="s">
        <v>16506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40150</v>
      </c>
      <c>
        <v>1640</v>
      </c>
      <c r="AI6237" t="s">
        <v>8254</v>
      </c>
      <c r="AL6237" t="s">
        <v>12836</v>
      </c>
      <c t="s">
        <v>40227</v>
      </c>
      <c t="s">
        <v>19878</v>
      </c>
      <c t="s">
        <v>13581</v>
      </c>
      <c t="s">
        <v>52247</v>
      </c>
      <c t="s">
        <v>3093</v>
      </c>
      <c t="s">
        <v>2809</v>
      </c>
    </row>
    <row>
      <c t="s">
        <v>17594</v>
      </c>
      <c t="s">
        <v>53662</v>
      </c>
      <c t="s">
        <v>57164</v>
      </c>
      <c t="s">
        <v>44943</v>
      </c>
      <c t="s">
        <v>13996</v>
      </c>
      <c s="3">
        <v>81785</v>
      </c>
      <c s="3">
        <v>79194</v>
      </c>
      <c s="3">
        <v>72471</v>
      </c>
      <c>
        <v>0</v>
      </c>
      <c s="3">
        <v>0</v>
      </c>
      <c s="3">
        <v>1141.67</v>
      </c>
      <c s="3">
        <v>81785</v>
      </c>
      <c r="O6238" s="1" t="str">
        <f ca="1">HYPERLINK("https://web.datatree.com/?/property?propertyId=214703738", "https://web.datatree.com/?/property?propertyId=214703738")</f>
        <v>https://web.datatree.com/?/property?propertyId=214703738</v>
      </c>
      <c r="Q6238" t="s">
        <v>316</v>
      </c>
      <c>
        <v>0.072</v>
      </c>
      <c t="s">
        <v>9944</v>
      </c>
      <c t="s">
        <v>24692</v>
      </c>
      <c t="s">
        <v>18297</v>
      </c>
      <c t="s">
        <v>1599</v>
      </c>
      <c t="s">
        <v>18297</v>
      </c>
      <c t="s">
        <v>7799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43806</v>
      </c>
      <c>
        <v>449</v>
      </c>
      <c r="AI6238" t="s">
        <v>50804</v>
      </c>
      <c t="s">
        <v>31192</v>
      </c>
      <c r="AL6238" t="s">
        <v>42658</v>
      </c>
      <c t="s">
        <v>42658</v>
      </c>
      <c t="s">
        <v>50829</v>
      </c>
      <c t="s">
        <v>6678</v>
      </c>
      <c t="s">
        <v>30106</v>
      </c>
      <c t="s">
        <v>3093</v>
      </c>
      <c t="s">
        <v>24352</v>
      </c>
    </row>
    <row>
      <c t="s">
        <v>17594</v>
      </c>
      <c t="s">
        <v>813</v>
      </c>
      <c t="s">
        <v>34176</v>
      </c>
      <c t="s">
        <v>65651</v>
      </c>
      <c t="s">
        <v>21773</v>
      </c>
      <c s="3">
        <v>91462</v>
      </c>
      <c s="3">
        <v>78478</v>
      </c>
      <c s="3">
        <v>81362</v>
      </c>
      <c>
        <v>0</v>
      </c>
      <c s="3">
        <v>0</v>
      </c>
      <c s="3">
        <v>1279.15</v>
      </c>
      <c s="3">
        <v>91462</v>
      </c>
      <c r="O6239" s="1" t="str">
        <f ca="1">HYPERLINK("https://web.datatree.com/?/property?propertyId=214703739", "https://web.datatree.com/?/property?propertyId=214703739")</f>
        <v>https://web.datatree.com/?/property?propertyId=214703739</v>
      </c>
      <c r="Q6239" t="s">
        <v>316</v>
      </c>
      <c>
        <v>0.072</v>
      </c>
      <c t="s">
        <v>9944</v>
      </c>
      <c t="s">
        <v>10361</v>
      </c>
      <c t="s">
        <v>63248</v>
      </c>
      <c t="s">
        <v>43826</v>
      </c>
      <c t="s">
        <v>63248</v>
      </c>
      <c t="s">
        <v>58970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47277</v>
      </c>
      <c>
        <v>2109</v>
      </c>
      <c r="AI6239" t="s">
        <v>30230</v>
      </c>
      <c t="s">
        <v>45620</v>
      </c>
      <c r="AL6239" t="s">
        <v>51808</v>
      </c>
      <c t="s">
        <v>53514</v>
      </c>
      <c t="s">
        <v>3034</v>
      </c>
      <c t="s">
        <v>2183</v>
      </c>
      <c t="s">
        <v>57791</v>
      </c>
      <c t="s">
        <v>3093</v>
      </c>
      <c t="s">
        <v>36397</v>
      </c>
    </row>
    <row>
      <c t="s">
        <v>17594</v>
      </c>
      <c t="s">
        <v>61978</v>
      </c>
      <c t="s">
        <v>24974</v>
      </c>
      <c t="s">
        <v>6364</v>
      </c>
      <c t="s">
        <v>7864</v>
      </c>
      <c s="3">
        <v>83227</v>
      </c>
      <c s="3">
        <v>80636</v>
      </c>
      <c s="3">
        <v>74074</v>
      </c>
      <c>
        <v>0</v>
      </c>
      <c s="3">
        <v>0</v>
      </c>
      <c s="3">
        <v>1164.77</v>
      </c>
      <c s="3">
        <v>83227</v>
      </c>
      <c r="O6240" s="1" t="str">
        <f ca="1">HYPERLINK("https://web.datatree.com/?/property?propertyId=214703744", "https://web.datatree.com/?/property?propertyId=214703744")</f>
        <v>https://web.datatree.com/?/property?propertyId=214703744</v>
      </c>
      <c r="Q6240" t="s">
        <v>316</v>
      </c>
      <c>
        <v>0.082</v>
      </c>
      <c t="s">
        <v>9944</v>
      </c>
      <c t="s">
        <v>50331</v>
      </c>
      <c t="s">
        <v>59939</v>
      </c>
      <c t="s">
        <v>16893</v>
      </c>
      <c t="s">
        <v>59939</v>
      </c>
      <c t="s">
        <v>36214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57807</v>
      </c>
      <c>
        <v>10794</v>
      </c>
      <c r="AI6240" t="s">
        <v>2483</v>
      </c>
      <c t="s">
        <v>31192</v>
      </c>
      <c r="AL6240" t="s">
        <v>61638</v>
      </c>
      <c t="s">
        <v>40227</v>
      </c>
      <c t="s">
        <v>51137</v>
      </c>
      <c t="s">
        <v>40464</v>
      </c>
      <c t="s">
        <v>17093</v>
      </c>
      <c t="s">
        <v>3093</v>
      </c>
      <c t="s">
        <v>24834</v>
      </c>
    </row>
    <row>
      <c t="s">
        <v>17594</v>
      </c>
      <c t="s">
        <v>23086</v>
      </c>
      <c t="s">
        <v>18959</v>
      </c>
      <c t="s">
        <v>47472</v>
      </c>
      <c t="s">
        <v>37362</v>
      </c>
      <c s="3">
        <v>95113</v>
      </c>
      <c s="3">
        <v>78706</v>
      </c>
      <c s="3">
        <v>81632</v>
      </c>
      <c>
        <v>0</v>
      </c>
      <c s="3">
        <v>0</v>
      </c>
      <c s="3">
        <v>1281.39</v>
      </c>
      <c s="3">
        <v>95113</v>
      </c>
      <c r="O6241" s="1" t="str">
        <f ca="1">HYPERLINK("https://web.datatree.com/?/property?propertyId=214703746", "https://web.datatree.com/?/property?propertyId=214703746")</f>
        <v>https://web.datatree.com/?/property?propertyId=214703746</v>
      </c>
      <c r="Q6241" t="s">
        <v>316</v>
      </c>
      <c>
        <v>0.072</v>
      </c>
      <c t="s">
        <v>9944</v>
      </c>
      <c r="U6241" t="s">
        <v>18207</v>
      </c>
      <c t="s">
        <v>57425</v>
      </c>
      <c t="s">
        <v>4772</v>
      </c>
      <c t="s">
        <v>63883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64938</v>
      </c>
      <c>
        <v>1540</v>
      </c>
      <c r="AI6241" t="s">
        <v>2533</v>
      </c>
      <c t="s">
        <v>45620</v>
      </c>
      <c>
        <v>98</v>
      </c>
      <c t="s">
        <v>12544</v>
      </c>
      <c t="s">
        <v>12544</v>
      </c>
      <c t="s">
        <v>51137</v>
      </c>
      <c t="s">
        <v>48594</v>
      </c>
      <c t="s">
        <v>35375</v>
      </c>
      <c t="s">
        <v>3093</v>
      </c>
      <c t="s">
        <v>13976</v>
      </c>
    </row>
    <row>
      <c t="s">
        <v>17594</v>
      </c>
      <c t="s">
        <v>60008</v>
      </c>
      <c t="s">
        <v>36322</v>
      </c>
      <c t="s">
        <v>903</v>
      </c>
      <c t="s">
        <v>45240</v>
      </c>
      <c s="3">
        <v>82178</v>
      </c>
      <c s="3">
        <v>79587</v>
      </c>
      <c s="3">
        <v>72909</v>
      </c>
      <c>
        <v>0</v>
      </c>
      <c s="3">
        <v>0</v>
      </c>
      <c s="3">
        <v>1147.97</v>
      </c>
      <c s="3">
        <v>82178</v>
      </c>
      <c r="O6242" s="1" t="str">
        <f ca="1">HYPERLINK("https://web.datatree.com/?/property?propertyId=214703747", "https://web.datatree.com/?/property?propertyId=214703747")</f>
        <v>https://web.datatree.com/?/property?propertyId=214703747</v>
      </c>
      <c r="Q6242" t="s">
        <v>316</v>
      </c>
      <c>
        <v>0.072</v>
      </c>
      <c t="s">
        <v>9944</v>
      </c>
      <c t="s">
        <v>13860</v>
      </c>
      <c t="s">
        <v>47667</v>
      </c>
      <c t="s">
        <v>36521</v>
      </c>
      <c t="s">
        <v>61500</v>
      </c>
      <c t="s">
        <v>51047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13184</v>
      </c>
      <c>
        <v>8855</v>
      </c>
      <c r="AI6242" t="s">
        <v>66701</v>
      </c>
      <c t="s">
        <v>41372</v>
      </c>
      <c r="AL6242" t="s">
        <v>4859</v>
      </c>
      <c t="s">
        <v>40227</v>
      </c>
      <c t="s">
        <v>39289</v>
      </c>
      <c t="s">
        <v>3628</v>
      </c>
      <c t="s">
        <v>48506</v>
      </c>
      <c t="s">
        <v>3093</v>
      </c>
      <c t="s">
        <v>29557</v>
      </c>
    </row>
    <row>
      <c t="s">
        <v>17594</v>
      </c>
      <c t="s">
        <v>35116</v>
      </c>
      <c t="s">
        <v>28999</v>
      </c>
      <c t="s">
        <v>4753</v>
      </c>
      <c t="s">
        <v>7914</v>
      </c>
      <c s="3">
        <v>84855</v>
      </c>
      <c s="3">
        <v>75000</v>
      </c>
      <c s="3">
        <v>74755</v>
      </c>
      <c>
        <v>0</v>
      </c>
      <c s="3">
        <v>0</v>
      </c>
      <c s="3">
        <v>1180.22</v>
      </c>
      <c s="3">
        <v>84855</v>
      </c>
      <c r="O6243" s="1" t="str">
        <f ca="1">HYPERLINK("https://web.datatree.com/?/property?propertyId=214703749", "https://web.datatree.com/?/property?propertyId=214703749")</f>
        <v>https://web.datatree.com/?/property?propertyId=214703749</v>
      </c>
      <c r="Q6243" t="s">
        <v>316</v>
      </c>
      <c>
        <v>0.072</v>
      </c>
      <c t="s">
        <v>9944</v>
      </c>
      <c t="s">
        <v>25238</v>
      </c>
      <c t="s">
        <v>37717</v>
      </c>
      <c t="s">
        <v>1611</v>
      </c>
      <c t="s">
        <v>37717</v>
      </c>
      <c t="s">
        <v>57525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34053</v>
      </c>
      <c>
        <v>6496</v>
      </c>
      <c r="AI6243" t="s">
        <v>66393</v>
      </c>
      <c t="s">
        <v>31192</v>
      </c>
      <c r="AL6243" t="s">
        <v>11121</v>
      </c>
      <c t="s">
        <v>40227</v>
      </c>
      <c t="s">
        <v>58733</v>
      </c>
      <c t="s">
        <v>50290</v>
      </c>
      <c t="s">
        <v>44585</v>
      </c>
      <c t="s">
        <v>3093</v>
      </c>
      <c t="s">
        <v>60711</v>
      </c>
    </row>
    <row>
      <c t="s">
        <v>17594</v>
      </c>
      <c t="s">
        <v>49542</v>
      </c>
      <c t="s">
        <v>31444</v>
      </c>
      <c t="s">
        <v>25088</v>
      </c>
      <c t="s">
        <v>15582</v>
      </c>
      <c s="3">
        <v>87667</v>
      </c>
      <c s="3">
        <v>75000</v>
      </c>
      <c s="3">
        <v>79008</v>
      </c>
      <c>
        <v>0</v>
      </c>
      <c s="3">
        <v>0</v>
      </c>
      <c s="3">
        <v>1235.89</v>
      </c>
      <c s="3">
        <v>87667</v>
      </c>
      <c r="O6244" s="1" t="str">
        <f ca="1">HYPERLINK("https://web.datatree.com/?/property?propertyId=214703750", "https://web.datatree.com/?/property?propertyId=214703750")</f>
        <v>https://web.datatree.com/?/property?propertyId=214703750</v>
      </c>
      <c r="Q6244" t="s">
        <v>316</v>
      </c>
      <c>
        <v>0.072</v>
      </c>
      <c t="s">
        <v>9944</v>
      </c>
      <c t="s">
        <v>58113</v>
      </c>
      <c t="s">
        <v>50881</v>
      </c>
      <c r="W6244" t="s">
        <v>1154</v>
      </c>
      <c t="s">
        <v>11163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37675</v>
      </c>
      <c>
        <v>411</v>
      </c>
      <c r="AI6244" t="s">
        <v>22464</v>
      </c>
      <c t="s">
        <v>45393</v>
      </c>
      <c r="AL6244" t="s">
        <v>61590</v>
      </c>
      <c t="s">
        <v>61590</v>
      </c>
      <c t="s">
        <v>39289</v>
      </c>
      <c t="s">
        <v>55522</v>
      </c>
      <c t="s">
        <v>57971</v>
      </c>
      <c t="s">
        <v>3093</v>
      </c>
      <c t="s">
        <v>17752</v>
      </c>
    </row>
    <row>
      <c t="s">
        <v>17594</v>
      </c>
      <c t="s">
        <v>63980</v>
      </c>
      <c t="s">
        <v>9716</v>
      </c>
      <c t="s">
        <v>45940</v>
      </c>
      <c t="s">
        <v>37408</v>
      </c>
      <c s="3">
        <v>77470</v>
      </c>
      <c s="3">
        <v>75000</v>
      </c>
      <c s="3">
        <v>67673</v>
      </c>
      <c>
        <v>0</v>
      </c>
      <c s="3">
        <v>0</v>
      </c>
      <c s="3">
        <v>1072.5</v>
      </c>
      <c s="3">
        <v>77470</v>
      </c>
      <c r="O6245" s="1" t="str">
        <f ca="1">HYPERLINK("https://web.datatree.com/?/property?propertyId=214703751", "https://web.datatree.com/?/property?propertyId=214703751")</f>
        <v>https://web.datatree.com/?/property?propertyId=214703751</v>
      </c>
      <c r="Q6245" t="s">
        <v>316</v>
      </c>
      <c>
        <v>0.072</v>
      </c>
      <c t="s">
        <v>9944</v>
      </c>
      <c t="s">
        <v>3293</v>
      </c>
      <c t="s">
        <v>65220</v>
      </c>
      <c t="s">
        <v>67028</v>
      </c>
      <c t="s">
        <v>65220</v>
      </c>
      <c t="s">
        <v>12997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41149</v>
      </c>
      <c>
        <v>186</v>
      </c>
      <c r="AI6245" t="s">
        <v>61866</v>
      </c>
      <c t="s">
        <v>31192</v>
      </c>
      <c>
        <v>8650</v>
      </c>
      <c t="s">
        <v>23703</v>
      </c>
      <c t="s">
        <v>40227</v>
      </c>
      <c t="s">
        <v>18236</v>
      </c>
      <c t="s">
        <v>5414</v>
      </c>
      <c t="s">
        <v>18692</v>
      </c>
      <c t="s">
        <v>3093</v>
      </c>
      <c t="s">
        <v>10807</v>
      </c>
    </row>
    <row>
      <c t="s">
        <v>17594</v>
      </c>
      <c t="s">
        <v>53816</v>
      </c>
      <c t="s">
        <v>30193</v>
      </c>
      <c t="s">
        <v>52654</v>
      </c>
      <c t="s">
        <v>45291</v>
      </c>
      <c s="3">
        <v>91828</v>
      </c>
      <c s="3">
        <v>78706</v>
      </c>
      <c s="3">
        <v>79449</v>
      </c>
      <c>
        <v>0</v>
      </c>
      <c s="3">
        <v>0</v>
      </c>
      <c s="3">
        <v>1242.57</v>
      </c>
      <c s="3">
        <v>91828</v>
      </c>
      <c r="O6246" s="1" t="str">
        <f ca="1">HYPERLINK("https://web.datatree.com/?/property?propertyId=214703752", "https://web.datatree.com/?/property?propertyId=214703752")</f>
        <v>https://web.datatree.com/?/property?propertyId=214703752</v>
      </c>
      <c r="Q6246" t="s">
        <v>316</v>
      </c>
      <c>
        <v>0.072</v>
      </c>
      <c t="s">
        <v>9944</v>
      </c>
      <c t="s">
        <v>15171</v>
      </c>
      <c t="s">
        <v>61646</v>
      </c>
      <c t="s">
        <v>53608</v>
      </c>
      <c t="s">
        <v>61646</v>
      </c>
      <c t="s">
        <v>24237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23552</v>
      </c>
      <c>
        <v>1799</v>
      </c>
      <c r="AI6246" t="s">
        <v>65328</v>
      </c>
      <c t="s">
        <v>45620</v>
      </c>
      <c r="AL6246" t="s">
        <v>9083</v>
      </c>
      <c t="s">
        <v>40227</v>
      </c>
      <c t="s">
        <v>39289</v>
      </c>
      <c t="s">
        <v>3609</v>
      </c>
      <c t="s">
        <v>40791</v>
      </c>
      <c t="s">
        <v>3093</v>
      </c>
      <c t="s">
        <v>36354</v>
      </c>
    </row>
    <row>
      <c t="s">
        <v>17594</v>
      </c>
      <c t="s">
        <v>941</v>
      </c>
      <c t="s">
        <v>16714</v>
      </c>
      <c t="s">
        <v>6033</v>
      </c>
      <c t="s">
        <v>53079</v>
      </c>
      <c s="3">
        <v>79853</v>
      </c>
      <c s="3">
        <v>77207</v>
      </c>
      <c s="3">
        <v>70323</v>
      </c>
      <c>
        <v>0</v>
      </c>
      <c s="3">
        <v>0</v>
      </c>
      <c s="3">
        <v>1110.7</v>
      </c>
      <c s="3">
        <v>79853</v>
      </c>
      <c r="O6247" s="1" t="str">
        <f ca="1">HYPERLINK("https://web.datatree.com/?/property?propertyId=214703753", "https://web.datatree.com/?/property?propertyId=214703753")</f>
        <v>https://web.datatree.com/?/property?propertyId=214703753</v>
      </c>
      <c r="Q6247" t="s">
        <v>316</v>
      </c>
      <c>
        <v>0.072</v>
      </c>
      <c t="s">
        <v>9944</v>
      </c>
      <c r="U6247" t="s">
        <v>62917</v>
      </c>
      <c r="W6247" t="s">
        <v>25698</v>
      </c>
      <c t="s">
        <v>66323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27069</v>
      </c>
      <c>
        <v>3009</v>
      </c>
      <c r="AI6247" t="s">
        <v>50441</v>
      </c>
      <c t="s">
        <v>45620</v>
      </c>
      <c r="AL6247" t="s">
        <v>17003</v>
      </c>
      <c t="s">
        <v>17003</v>
      </c>
      <c t="s">
        <v>19878</v>
      </c>
      <c t="s">
        <v>42639</v>
      </c>
      <c t="s">
        <v>22613</v>
      </c>
      <c t="s">
        <v>3093</v>
      </c>
      <c t="s">
        <v>24316</v>
      </c>
    </row>
    <row>
      <c t="s">
        <v>17594</v>
      </c>
      <c t="s">
        <v>15101</v>
      </c>
      <c t="s">
        <v>2946</v>
      </c>
      <c t="s">
        <v>26379</v>
      </c>
      <c t="s">
        <v>61014</v>
      </c>
      <c s="3">
        <v>87777</v>
      </c>
      <c s="3">
        <v>75000</v>
      </c>
      <c s="3">
        <v>79068</v>
      </c>
      <c>
        <v>0</v>
      </c>
      <c s="3">
        <v>0</v>
      </c>
      <c s="3">
        <v>1237.08</v>
      </c>
      <c s="3">
        <v>87777</v>
      </c>
      <c r="O6248" s="1" t="str">
        <f ca="1">HYPERLINK("https://web.datatree.com/?/property?propertyId=214703754", "https://web.datatree.com/?/property?propertyId=214703754")</f>
        <v>https://web.datatree.com/?/property?propertyId=214703754</v>
      </c>
      <c r="Q6248" t="s">
        <v>316</v>
      </c>
      <c>
        <v>0.072</v>
      </c>
      <c t="s">
        <v>9944</v>
      </c>
      <c t="s">
        <v>14827</v>
      </c>
      <c t="s">
        <v>62359</v>
      </c>
      <c t="s">
        <v>47119</v>
      </c>
      <c t="s">
        <v>39448</v>
      </c>
      <c t="s">
        <v>51890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30699</v>
      </c>
      <c>
        <v>109</v>
      </c>
      <c r="AI6248" t="s">
        <v>64012</v>
      </c>
      <c t="s">
        <v>55842</v>
      </c>
      <c r="AL6248" t="s">
        <v>1414</v>
      </c>
      <c t="s">
        <v>40227</v>
      </c>
      <c t="s">
        <v>3034</v>
      </c>
      <c t="s">
        <v>36725</v>
      </c>
      <c t="s">
        <v>14695</v>
      </c>
      <c t="s">
        <v>3093</v>
      </c>
      <c t="s">
        <v>62673</v>
      </c>
    </row>
    <row>
      <c t="s">
        <v>17594</v>
      </c>
      <c t="s">
        <v>43454</v>
      </c>
      <c t="s">
        <v>36320</v>
      </c>
      <c t="s">
        <v>47137</v>
      </c>
      <c t="s">
        <v>15292</v>
      </c>
      <c s="3">
        <v>87880</v>
      </c>
      <c s="3">
        <v>75000</v>
      </c>
      <c s="3">
        <v>79182</v>
      </c>
      <c>
        <v>0</v>
      </c>
      <c s="3">
        <v>0</v>
      </c>
      <c s="3">
        <v>1238.71</v>
      </c>
      <c s="3">
        <v>87880</v>
      </c>
      <c r="O6249" s="1" t="str">
        <f ca="1">HYPERLINK("https://web.datatree.com/?/property?propertyId=214703755", "https://web.datatree.com/?/property?propertyId=214703755")</f>
        <v>https://web.datatree.com/?/property?propertyId=214703755</v>
      </c>
      <c r="Q6249" t="s">
        <v>316</v>
      </c>
      <c>
        <v>0.072</v>
      </c>
      <c t="s">
        <v>9944</v>
      </c>
      <c t="s">
        <v>9900</v>
      </c>
      <c t="s">
        <v>23998</v>
      </c>
      <c t="s">
        <v>27351</v>
      </c>
      <c t="s">
        <v>23998</v>
      </c>
      <c t="s">
        <v>46167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34177</v>
      </c>
      <c>
        <v>462</v>
      </c>
      <c r="AI6249" t="s">
        <v>17168</v>
      </c>
      <c t="s">
        <v>45620</v>
      </c>
      <c r="AL6249" t="s">
        <v>34996</v>
      </c>
      <c t="s">
        <v>40227</v>
      </c>
      <c t="s">
        <v>19878</v>
      </c>
      <c t="s">
        <v>41328</v>
      </c>
      <c t="s">
        <v>22455</v>
      </c>
      <c t="s">
        <v>3093</v>
      </c>
      <c t="s">
        <v>41565</v>
      </c>
    </row>
    <row>
      <c t="s">
        <v>17594</v>
      </c>
      <c t="s">
        <v>57788</v>
      </c>
      <c t="s">
        <v>67012</v>
      </c>
      <c t="s">
        <v>53925</v>
      </c>
      <c t="s">
        <v>23031</v>
      </c>
      <c s="3">
        <v>90768</v>
      </c>
      <c s="3">
        <v>77943</v>
      </c>
      <c s="3">
        <v>82125</v>
      </c>
      <c>
        <v>0</v>
      </c>
      <c s="3">
        <v>0</v>
      </c>
      <c s="3">
        <v>1282.49</v>
      </c>
      <c s="3">
        <v>90768</v>
      </c>
      <c r="O6250" s="1" t="str">
        <f ca="1">HYPERLINK("https://web.datatree.com/?/property?propertyId=214703756", "https://web.datatree.com/?/property?propertyId=214703756")</f>
        <v>https://web.datatree.com/?/property?propertyId=214703756</v>
      </c>
      <c r="Q6250" t="s">
        <v>316</v>
      </c>
      <c>
        <v>0.072</v>
      </c>
      <c t="s">
        <v>9944</v>
      </c>
      <c t="s">
        <v>34124</v>
      </c>
      <c t="s">
        <v>6003</v>
      </c>
      <c t="s">
        <v>32941</v>
      </c>
      <c t="s">
        <v>6003</v>
      </c>
      <c t="s">
        <v>51082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51713</v>
      </c>
      <c>
        <v>5950</v>
      </c>
      <c r="AI6250" t="s">
        <v>32207</v>
      </c>
      <c t="s">
        <v>41372</v>
      </c>
      <c r="AL6250" t="s">
        <v>56059</v>
      </c>
      <c t="s">
        <v>40227</v>
      </c>
      <c t="s">
        <v>51137</v>
      </c>
      <c t="s">
        <v>49226</v>
      </c>
      <c t="s">
        <v>44428</v>
      </c>
      <c t="s">
        <v>3093</v>
      </c>
      <c t="s">
        <v>19219</v>
      </c>
    </row>
    <row>
      <c t="s">
        <v>17594</v>
      </c>
      <c t="s">
        <v>33655</v>
      </c>
      <c t="s">
        <v>8193</v>
      </c>
      <c t="s">
        <v>7327</v>
      </c>
      <c t="s">
        <v>30989</v>
      </c>
      <c s="3">
        <v>91303</v>
      </c>
      <c s="3">
        <v>78478</v>
      </c>
      <c s="3">
        <v>82660</v>
      </c>
      <c>
        <v>0</v>
      </c>
      <c s="3">
        <v>0</v>
      </c>
      <c s="3">
        <v>1290.49</v>
      </c>
      <c s="3">
        <v>91303</v>
      </c>
      <c r="O6251" s="1" t="str">
        <f ca="1">HYPERLINK("https://web.datatree.com/?/property?propertyId=214703757", "https://web.datatree.com/?/property?propertyId=214703757")</f>
        <v>https://web.datatree.com/?/property?propertyId=214703757</v>
      </c>
      <c r="Q6251" t="s">
        <v>316</v>
      </c>
      <c>
        <v>0.072</v>
      </c>
      <c t="s">
        <v>9944</v>
      </c>
      <c t="s">
        <v>35571</v>
      </c>
      <c t="s">
        <v>5660</v>
      </c>
      <c t="s">
        <v>11229</v>
      </c>
      <c t="s">
        <v>5660</v>
      </c>
      <c t="s">
        <v>4978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34085</v>
      </c>
      <c>
        <v>10641</v>
      </c>
      <c r="AI6251" t="s">
        <v>22529</v>
      </c>
      <c t="s">
        <v>31192</v>
      </c>
      <c r="AL6251" t="s">
        <v>29964</v>
      </c>
      <c t="s">
        <v>40227</v>
      </c>
      <c t="s">
        <v>51137</v>
      </c>
      <c t="s">
        <v>61706</v>
      </c>
      <c t="s">
        <v>27410</v>
      </c>
      <c t="s">
        <v>3093</v>
      </c>
      <c t="s">
        <v>58942</v>
      </c>
    </row>
    <row>
      <c t="s">
        <v>17594</v>
      </c>
      <c t="s">
        <v>27578</v>
      </c>
      <c t="s">
        <v>1564</v>
      </c>
      <c t="s">
        <v>5283</v>
      </c>
      <c t="s">
        <v>59271</v>
      </c>
      <c s="3">
        <v>147142</v>
      </c>
      <c s="3">
        <v>121775</v>
      </c>
      <c s="3">
        <v>129864</v>
      </c>
      <c>
        <v>0</v>
      </c>
      <c s="3">
        <v>0</v>
      </c>
      <c s="3">
        <v>2045.2</v>
      </c>
      <c s="3">
        <v>147142</v>
      </c>
      <c r="O6252" s="1" t="str">
        <f ca="1">HYPERLINK("https://web.datatree.com/?/property?propertyId=214703766", "https://web.datatree.com/?/property?propertyId=214703766")</f>
        <v>https://web.datatree.com/?/property?propertyId=214703766</v>
      </c>
      <c r="Q6252" t="s">
        <v>316</v>
      </c>
      <c>
        <v>0.159</v>
      </c>
      <c t="s">
        <v>9944</v>
      </c>
      <c t="s">
        <v>52583</v>
      </c>
      <c t="s">
        <v>40732</v>
      </c>
      <c t="s">
        <v>27351</v>
      </c>
      <c t="s">
        <v>40732</v>
      </c>
      <c t="s">
        <v>60561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61829</v>
      </c>
      <c t="s">
        <v>65442</v>
      </c>
      <c r="AI6252" t="s">
        <v>53069</v>
      </c>
      <c t="s">
        <v>45620</v>
      </c>
      <c r="AL6252" t="s">
        <v>3656</v>
      </c>
      <c t="s">
        <v>40227</v>
      </c>
      <c t="s">
        <v>27481</v>
      </c>
      <c t="s">
        <v>60383</v>
      </c>
      <c t="s">
        <v>52247</v>
      </c>
      <c t="s">
        <v>3093</v>
      </c>
      <c t="s">
        <v>25423</v>
      </c>
    </row>
    <row>
      <c t="s">
        <v>17594</v>
      </c>
      <c t="s">
        <v>31918</v>
      </c>
      <c s="7" t="s">
        <v>20782</v>
      </c>
      <c t="s">
        <v>25640</v>
      </c>
      <c t="s">
        <v>67086</v>
      </c>
      <c s="3">
        <v>127241</v>
      </c>
      <c s="3">
        <v>114000</v>
      </c>
      <c s="3">
        <v>127241</v>
      </c>
      <c>
        <v>0</v>
      </c>
      <c s="3">
        <v>0</v>
      </c>
      <c s="3">
        <v>1909.9</v>
      </c>
      <c s="3">
        <v>127241</v>
      </c>
      <c r="O6253" s="1" t="str">
        <f ca="1">HYPERLINK("https://web.datatree.com/?/property?propertyId=214703767", "https://web.datatree.com/?/property?propertyId=214703767")</f>
        <v>https://web.datatree.com/?/property?propertyId=214703767</v>
      </c>
      <c r="Q6253" t="s">
        <v>316</v>
      </c>
      <c>
        <v>0.102</v>
      </c>
      <c t="s">
        <v>9944</v>
      </c>
      <c t="s">
        <v>64427</v>
      </c>
      <c t="s">
        <v>35035</v>
      </c>
      <c t="s">
        <v>23659</v>
      </c>
      <c t="s">
        <v>35035</v>
      </c>
      <c t="s">
        <v>13548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61736</v>
      </c>
      <c>
        <v>12</v>
      </c>
      <c r="AI6253" t="s">
        <v>62027</v>
      </c>
      <c t="s">
        <v>45620</v>
      </c>
      <c r="AL6253" t="s">
        <v>912</v>
      </c>
      <c t="s">
        <v>40227</v>
      </c>
      <c t="s">
        <v>22275</v>
      </c>
      <c t="s">
        <v>67152</v>
      </c>
      <c t="s">
        <v>14695</v>
      </c>
      <c t="s">
        <v>3093</v>
      </c>
      <c s="7" t="s">
        <v>20430</v>
      </c>
    </row>
    <row>
      <c t="s">
        <v>17594</v>
      </c>
      <c t="s">
        <v>7382</v>
      </c>
      <c t="s">
        <v>34013</v>
      </c>
      <c t="s">
        <v>53139</v>
      </c>
      <c t="s">
        <v>29185</v>
      </c>
      <c s="3">
        <v>128645</v>
      </c>
      <c s="3">
        <v>116359</v>
      </c>
      <c s="3">
        <v>110909</v>
      </c>
      <c>
        <v>0</v>
      </c>
      <c s="3">
        <v>0</v>
      </c>
      <c s="3">
        <v>1763.95</v>
      </c>
      <c s="3">
        <v>128645</v>
      </c>
      <c r="O6254" s="1" t="str">
        <f ca="1">HYPERLINK("https://web.datatree.com/?/property?propertyId=214703769", "https://web.datatree.com/?/property?propertyId=214703769")</f>
        <v>https://web.datatree.com/?/property?propertyId=214703769</v>
      </c>
      <c r="Q6254" t="s">
        <v>316</v>
      </c>
      <c>
        <v>0.085</v>
      </c>
      <c t="s">
        <v>9944</v>
      </c>
      <c r="U6254" t="s">
        <v>27</v>
      </c>
      <c t="s">
        <v>58113</v>
      </c>
      <c t="s">
        <v>2303</v>
      </c>
      <c t="s">
        <v>18706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1482</v>
      </c>
      <c>
        <v>25</v>
      </c>
      <c r="AI6254" t="s">
        <v>3183</v>
      </c>
      <c t="s">
        <v>1671</v>
      </c>
      <c r="AL6254" t="s">
        <v>30226</v>
      </c>
      <c t="s">
        <v>30226</v>
      </c>
      <c t="s">
        <v>19878</v>
      </c>
      <c t="s">
        <v>59079</v>
      </c>
      <c t="s">
        <v>702</v>
      </c>
      <c t="s">
        <v>3093</v>
      </c>
      <c t="s">
        <v>2062</v>
      </c>
    </row>
    <row>
      <c t="s">
        <v>17594</v>
      </c>
      <c t="s">
        <v>35939</v>
      </c>
      <c t="s">
        <v>6981</v>
      </c>
      <c t="s">
        <v>6580</v>
      </c>
      <c t="s">
        <v>37139</v>
      </c>
      <c s="3">
        <v>129605</v>
      </c>
      <c s="3">
        <v>117146</v>
      </c>
      <c s="3">
        <v>129605</v>
      </c>
      <c>
        <v>0</v>
      </c>
      <c s="3">
        <v>0</v>
      </c>
      <c s="3">
        <v>1945.31</v>
      </c>
      <c s="3">
        <v>129605</v>
      </c>
      <c r="O6255" s="1" t="str">
        <f ca="1">HYPERLINK("https://web.datatree.com/?/property?propertyId=214703770", "https://web.datatree.com/?/property?propertyId=214703770")</f>
        <v>https://web.datatree.com/?/property?propertyId=214703770</v>
      </c>
      <c r="Q6255" t="s">
        <v>316</v>
      </c>
      <c>
        <v>0.085</v>
      </c>
      <c t="s">
        <v>9944</v>
      </c>
      <c t="s">
        <v>65572</v>
      </c>
      <c t="s">
        <v>46214</v>
      </c>
      <c t="s">
        <v>26628</v>
      </c>
      <c t="s">
        <v>46214</v>
      </c>
      <c t="s">
        <v>58100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8491</v>
      </c>
      <c>
        <v>3515</v>
      </c>
      <c r="AI6255" t="s">
        <v>37192</v>
      </c>
      <c t="s">
        <v>1671</v>
      </c>
      <c r="AL6255" t="s">
        <v>15320</v>
      </c>
      <c t="s">
        <v>63860</v>
      </c>
      <c t="s">
        <v>39289</v>
      </c>
      <c t="s">
        <v>36680</v>
      </c>
      <c t="s">
        <v>5771</v>
      </c>
      <c t="s">
        <v>3093</v>
      </c>
      <c t="s">
        <v>20750</v>
      </c>
    </row>
    <row>
      <c t="s">
        <v>17594</v>
      </c>
      <c t="s">
        <v>25720</v>
      </c>
      <c t="s">
        <v>18828</v>
      </c>
      <c t="s">
        <v>26906</v>
      </c>
      <c t="s">
        <v>45013</v>
      </c>
      <c s="3">
        <v>134312</v>
      </c>
      <c s="3">
        <v>118587</v>
      </c>
      <c s="3">
        <v>117206</v>
      </c>
      <c>
        <v>0</v>
      </c>
      <c s="3">
        <v>0</v>
      </c>
      <c s="3">
        <v>1854.72</v>
      </c>
      <c s="3">
        <v>134312</v>
      </c>
      <c r="O6256" s="1" t="str">
        <f ca="1">HYPERLINK("https://web.datatree.com/?/property?propertyId=214703771", "https://web.datatree.com/?/property?propertyId=214703771")</f>
        <v>https://web.datatree.com/?/property?propertyId=214703771</v>
      </c>
      <c r="Q6256" t="s">
        <v>316</v>
      </c>
      <c>
        <v>0.085</v>
      </c>
      <c t="s">
        <v>9944</v>
      </c>
      <c t="s">
        <v>2140</v>
      </c>
      <c t="s">
        <v>40709</v>
      </c>
      <c t="s">
        <v>11916</v>
      </c>
      <c t="s">
        <v>40709</v>
      </c>
      <c t="s">
        <v>34229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4906</v>
      </c>
      <c>
        <v>1804</v>
      </c>
      <c r="AI6256" t="s">
        <v>52961</v>
      </c>
      <c t="s">
        <v>45620</v>
      </c>
      <c r="AL6256" t="s">
        <v>56247</v>
      </c>
      <c t="s">
        <v>40227</v>
      </c>
      <c t="s">
        <v>22275</v>
      </c>
      <c t="s">
        <v>49473</v>
      </c>
      <c t="s">
        <v>44428</v>
      </c>
      <c t="s">
        <v>3093</v>
      </c>
      <c t="s">
        <v>53836</v>
      </c>
    </row>
    <row>
      <c t="s">
        <v>17594</v>
      </c>
      <c t="s">
        <v>40128</v>
      </c>
      <c t="s">
        <v>6963</v>
      </c>
      <c t="s">
        <v>47685</v>
      </c>
      <c t="s">
        <v>52824</v>
      </c>
      <c s="3">
        <v>130047</v>
      </c>
      <c s="3">
        <v>117478</v>
      </c>
      <c s="3">
        <v>112366</v>
      </c>
      <c>
        <v>0</v>
      </c>
      <c s="3">
        <v>0</v>
      </c>
      <c s="3">
        <v>1785.45</v>
      </c>
      <c s="3">
        <v>130047</v>
      </c>
      <c r="O6257" s="1" t="str">
        <f ca="1">HYPERLINK("https://web.datatree.com/?/property?propertyId=214703772", "https://web.datatree.com/?/property?propertyId=214703772")</f>
        <v>https://web.datatree.com/?/property?propertyId=214703772</v>
      </c>
      <c r="Q6257" t="s">
        <v>316</v>
      </c>
      <c>
        <v>0.085</v>
      </c>
      <c t="s">
        <v>9944</v>
      </c>
      <c r="U6257" t="s">
        <v>61787</v>
      </c>
      <c t="s">
        <v>49241</v>
      </c>
      <c t="s">
        <v>55080</v>
      </c>
      <c t="s">
        <v>30558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8406</v>
      </c>
      <c>
        <v>119</v>
      </c>
      <c r="AI6257" t="s">
        <v>39300</v>
      </c>
      <c t="s">
        <v>44643</v>
      </c>
      <c r="AL6257" t="s">
        <v>6998</v>
      </c>
      <c t="s">
        <v>40227</v>
      </c>
      <c t="s">
        <v>22275</v>
      </c>
      <c t="s">
        <v>64689</v>
      </c>
      <c t="s">
        <v>22455</v>
      </c>
      <c t="s">
        <v>3093</v>
      </c>
      <c t="s">
        <v>43635</v>
      </c>
    </row>
    <row>
      <c t="s">
        <v>17594</v>
      </c>
      <c t="s">
        <v>54578</v>
      </c>
      <c t="s">
        <v>21569</v>
      </c>
      <c t="s">
        <v>54437</v>
      </c>
      <c t="s">
        <v>7370</v>
      </c>
      <c s="3">
        <v>130939</v>
      </c>
      <c s="3">
        <v>118370</v>
      </c>
      <c s="3">
        <v>112640</v>
      </c>
      <c>
        <v>0</v>
      </c>
      <c s="3">
        <v>0</v>
      </c>
      <c s="3">
        <v>1793.01</v>
      </c>
      <c s="3">
        <v>130939</v>
      </c>
      <c r="O6258" s="1" t="str">
        <f ca="1">HYPERLINK("https://web.datatree.com/?/property?propertyId=214703773", "https://web.datatree.com/?/property?propertyId=214703773")</f>
        <v>https://web.datatree.com/?/property?propertyId=214703773</v>
      </c>
      <c r="Q6258" t="s">
        <v>316</v>
      </c>
      <c>
        <v>0.085</v>
      </c>
      <c t="s">
        <v>9944</v>
      </c>
      <c t="s">
        <v>3293</v>
      </c>
      <c t="s">
        <v>33525</v>
      </c>
      <c t="s">
        <v>13844</v>
      </c>
      <c t="s">
        <v>33525</v>
      </c>
      <c t="s">
        <v>34408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11861</v>
      </c>
      <c>
        <v>205</v>
      </c>
      <c r="AI6258" t="s">
        <v>452</v>
      </c>
      <c t="s">
        <v>40123</v>
      </c>
      <c r="AL6258" t="s">
        <v>1864</v>
      </c>
      <c t="s">
        <v>45836</v>
      </c>
      <c t="s">
        <v>22275</v>
      </c>
      <c t="s">
        <v>54639</v>
      </c>
      <c t="s">
        <v>62830</v>
      </c>
      <c t="s">
        <v>3093</v>
      </c>
      <c t="s">
        <v>17441</v>
      </c>
    </row>
    <row>
      <c t="s">
        <v>17594</v>
      </c>
      <c t="s">
        <v>29762</v>
      </c>
      <c t="s">
        <v>39034</v>
      </c>
      <c t="s">
        <v>7836</v>
      </c>
      <c t="s">
        <v>15028</v>
      </c>
      <c s="3">
        <v>130047</v>
      </c>
      <c s="3">
        <v>117478</v>
      </c>
      <c s="3">
        <v>111748</v>
      </c>
      <c>
        <v>0</v>
      </c>
      <c s="3">
        <v>0</v>
      </c>
      <c s="3">
        <v>1779.64</v>
      </c>
      <c s="3">
        <v>130047</v>
      </c>
      <c r="O6259" s="1" t="str">
        <f ca="1">HYPERLINK("https://web.datatree.com/?/property?propertyId=214703774", "https://web.datatree.com/?/property?propertyId=214703774")</f>
        <v>https://web.datatree.com/?/property?propertyId=214703774</v>
      </c>
      <c r="Q6259" t="s">
        <v>316</v>
      </c>
      <c>
        <v>0.085</v>
      </c>
      <c t="s">
        <v>9944</v>
      </c>
      <c t="s">
        <v>16200</v>
      </c>
      <c t="s">
        <v>2998</v>
      </c>
      <c t="s">
        <v>55762</v>
      </c>
      <c t="s">
        <v>2998</v>
      </c>
      <c t="s">
        <v>35999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18859</v>
      </c>
      <c>
        <v>8</v>
      </c>
      <c r="AI6259" t="s">
        <v>58721</v>
      </c>
      <c t="s">
        <v>40123</v>
      </c>
      <c r="AL6259" t="s">
        <v>8757</v>
      </c>
      <c t="s">
        <v>8757</v>
      </c>
      <c t="s">
        <v>10804</v>
      </c>
      <c t="s">
        <v>45558</v>
      </c>
      <c t="s">
        <v>34162</v>
      </c>
      <c t="s">
        <v>3093</v>
      </c>
      <c t="s">
        <v>34061</v>
      </c>
    </row>
    <row>
      <c t="s">
        <v>17594</v>
      </c>
      <c t="s">
        <v>9915</v>
      </c>
      <c t="s">
        <v>55923</v>
      </c>
      <c t="s">
        <v>41672</v>
      </c>
      <c t="s">
        <v>66009</v>
      </c>
      <c s="3">
        <v>132104</v>
      </c>
      <c s="3">
        <v>119700</v>
      </c>
      <c s="3">
        <v>113149</v>
      </c>
      <c>
        <v>0</v>
      </c>
      <c s="3">
        <v>0</v>
      </c>
      <c s="3">
        <v>1804.26</v>
      </c>
      <c s="3">
        <v>132104</v>
      </c>
      <c r="O6260" s="1" t="str">
        <f ca="1">HYPERLINK("https://web.datatree.com/?/property?propertyId=214703776", "https://web.datatree.com/?/property?propertyId=214703776")</f>
        <v>https://web.datatree.com/?/property?propertyId=214703776</v>
      </c>
      <c r="Q6260" t="s">
        <v>316</v>
      </c>
      <c>
        <v>0.187</v>
      </c>
      <c t="s">
        <v>9944</v>
      </c>
      <c t="s">
        <v>15209</v>
      </c>
      <c t="s">
        <v>6717</v>
      </c>
      <c t="s">
        <v>26069</v>
      </c>
      <c t="s">
        <v>6717</v>
      </c>
      <c t="s">
        <v>27367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29263</v>
      </c>
      <c>
        <v>88</v>
      </c>
      <c r="AI6260" t="s">
        <v>61930</v>
      </c>
      <c r="AL6260" t="s">
        <v>66334</v>
      </c>
      <c t="s">
        <v>40227</v>
      </c>
      <c t="s">
        <v>58733</v>
      </c>
      <c t="s">
        <v>65171</v>
      </c>
      <c t="s">
        <v>14695</v>
      </c>
      <c t="s">
        <v>3093</v>
      </c>
      <c t="s">
        <v>35269</v>
      </c>
    </row>
    <row>
      <c t="s">
        <v>17594</v>
      </c>
      <c t="s">
        <v>3815</v>
      </c>
      <c t="s">
        <v>52646</v>
      </c>
      <c t="s">
        <v>48434</v>
      </c>
      <c t="s">
        <v>20213</v>
      </c>
      <c s="3">
        <v>131529</v>
      </c>
      <c s="3">
        <v>119243</v>
      </c>
      <c s="3">
        <v>114113</v>
      </c>
      <c>
        <v>0</v>
      </c>
      <c s="3">
        <v>0</v>
      </c>
      <c s="3">
        <v>1810.15</v>
      </c>
      <c s="3">
        <v>131529</v>
      </c>
      <c r="O6261" s="1" t="str">
        <f ca="1">HYPERLINK("https://web.datatree.com/?/property?propertyId=214703777", "https://web.datatree.com/?/property?propertyId=214703777")</f>
        <v>https://web.datatree.com/?/property?propertyId=214703777</v>
      </c>
      <c r="Q6261" t="s">
        <v>316</v>
      </c>
      <c>
        <v>0.102</v>
      </c>
      <c t="s">
        <v>9944</v>
      </c>
      <c t="s">
        <v>32056</v>
      </c>
      <c t="s">
        <v>56684</v>
      </c>
      <c t="s">
        <v>45956</v>
      </c>
      <c t="s">
        <v>56684</v>
      </c>
      <c t="s">
        <v>11064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39831</v>
      </c>
      <c>
        <v>2236</v>
      </c>
      <c r="AI6261" t="s">
        <v>62098</v>
      </c>
      <c t="s">
        <v>40123</v>
      </c>
      <c r="AL6261" t="s">
        <v>5749</v>
      </c>
      <c t="s">
        <v>5749</v>
      </c>
      <c t="s">
        <v>49572</v>
      </c>
      <c t="s">
        <v>20089</v>
      </c>
      <c t="s">
        <v>22152</v>
      </c>
      <c t="s">
        <v>3093</v>
      </c>
      <c t="s">
        <v>56280</v>
      </c>
    </row>
    <row>
      <c t="s">
        <v>17594</v>
      </c>
      <c t="s">
        <v>54728</v>
      </c>
      <c t="s">
        <v>32429</v>
      </c>
      <c t="s">
        <v>22207</v>
      </c>
      <c t="s">
        <v>36008</v>
      </c>
      <c s="3">
        <v>129273</v>
      </c>
      <c s="3">
        <v>116759</v>
      </c>
      <c s="3">
        <v>111606</v>
      </c>
      <c>
        <v>0</v>
      </c>
      <c s="3">
        <v>0</v>
      </c>
      <c s="3">
        <v>1774</v>
      </c>
      <c s="3">
        <v>129273</v>
      </c>
      <c r="O6262" s="1" t="str">
        <f ca="1">HYPERLINK("https://web.datatree.com/?/property?propertyId=214703779", "https://web.datatree.com/?/property?propertyId=214703779")</f>
        <v>https://web.datatree.com/?/property?propertyId=214703779</v>
      </c>
      <c r="Q6262" t="s">
        <v>316</v>
      </c>
      <c>
        <v>0.08</v>
      </c>
      <c t="s">
        <v>9944</v>
      </c>
      <c r="U6262" t="s">
        <v>23205</v>
      </c>
      <c r="W6262" t="s">
        <v>7706</v>
      </c>
      <c t="s">
        <v>15080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59204</v>
      </c>
      <c>
        <v>219</v>
      </c>
      <c r="AI6262" t="s">
        <v>39757</v>
      </c>
      <c t="s">
        <v>31192</v>
      </c>
      <c r="AL6262" t="s">
        <v>21467</v>
      </c>
      <c t="s">
        <v>40227</v>
      </c>
      <c t="s">
        <v>10804</v>
      </c>
      <c t="s">
        <v>52096</v>
      </c>
      <c t="s">
        <v>51100</v>
      </c>
      <c t="s">
        <v>3093</v>
      </c>
      <c t="s">
        <v>24516</v>
      </c>
    </row>
    <row>
      <c t="s">
        <v>17594</v>
      </c>
      <c t="s">
        <v>29923</v>
      </c>
      <c t="s">
        <v>17530</v>
      </c>
      <c t="s">
        <v>43011</v>
      </c>
      <c t="s">
        <v>57793</v>
      </c>
      <c s="3">
        <v>128798</v>
      </c>
      <c s="3">
        <v>116229</v>
      </c>
      <c s="3">
        <v>110992</v>
      </c>
      <c>
        <v>0</v>
      </c>
      <c s="3">
        <v>0</v>
      </c>
      <c s="3">
        <v>1765.58</v>
      </c>
      <c s="3">
        <v>128798</v>
      </c>
      <c r="O6263" s="1" t="str">
        <f ca="1">HYPERLINK("https://web.datatree.com/?/property?propertyId=214703780", "https://web.datatree.com/?/property?propertyId=214703780")</f>
        <v>https://web.datatree.com/?/property?propertyId=214703780</v>
      </c>
      <c r="Q6263" t="s">
        <v>316</v>
      </c>
      <c>
        <v>0.08</v>
      </c>
      <c t="s">
        <v>9944</v>
      </c>
      <c t="s">
        <v>10361</v>
      </c>
      <c t="s">
        <v>44645</v>
      </c>
      <c t="s">
        <v>26023</v>
      </c>
      <c t="s">
        <v>44645</v>
      </c>
      <c t="s">
        <v>47016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66242</v>
      </c>
      <c>
        <v>19550</v>
      </c>
      <c r="AI6263" t="s">
        <v>66087</v>
      </c>
      <c t="s">
        <v>31192</v>
      </c>
      <c>
        <v>130</v>
      </c>
      <c t="s">
        <v>57467</v>
      </c>
      <c t="s">
        <v>57467</v>
      </c>
      <c t="s">
        <v>56163</v>
      </c>
      <c t="s">
        <v>38210</v>
      </c>
      <c t="s">
        <v>21054</v>
      </c>
      <c t="s">
        <v>3093</v>
      </c>
      <c t="s">
        <v>59243</v>
      </c>
    </row>
    <row>
      <c t="s">
        <v>17594</v>
      </c>
      <c t="s">
        <v>44404</v>
      </c>
      <c t="s">
        <v>59636</v>
      </c>
      <c t="s">
        <v>49746</v>
      </c>
      <c t="s">
        <v>65715</v>
      </c>
      <c s="3">
        <v>128798</v>
      </c>
      <c s="3">
        <v>116229</v>
      </c>
      <c s="3">
        <v>110992</v>
      </c>
      <c>
        <v>0</v>
      </c>
      <c s="3">
        <v>0</v>
      </c>
      <c s="3">
        <v>1765.58</v>
      </c>
      <c s="3">
        <v>128798</v>
      </c>
      <c r="O6264" s="1" t="str">
        <f ca="1">HYPERLINK("https://web.datatree.com/?/property?propertyId=214703781", "https://web.datatree.com/?/property?propertyId=214703781")</f>
        <v>https://web.datatree.com/?/property?propertyId=214703781</v>
      </c>
      <c r="Q6264" t="s">
        <v>316</v>
      </c>
      <c>
        <v>0.08</v>
      </c>
      <c t="s">
        <v>9944</v>
      </c>
      <c t="s">
        <v>44541</v>
      </c>
      <c t="s">
        <v>11268</v>
      </c>
      <c t="s">
        <v>16893</v>
      </c>
      <c t="s">
        <v>11268</v>
      </c>
      <c t="s">
        <v>59946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2458</v>
      </c>
      <c>
        <v>1586</v>
      </c>
      <c r="AI6264" t="s">
        <v>24380</v>
      </c>
      <c t="s">
        <v>41372</v>
      </c>
      <c r="AL6264" t="s">
        <v>59311</v>
      </c>
      <c t="s">
        <v>40227</v>
      </c>
      <c t="s">
        <v>58733</v>
      </c>
      <c t="s">
        <v>47574</v>
      </c>
      <c t="s">
        <v>22152</v>
      </c>
      <c t="s">
        <v>3093</v>
      </c>
      <c t="s">
        <v>63809</v>
      </c>
    </row>
    <row>
      <c t="s">
        <v>17594</v>
      </c>
      <c t="s">
        <v>20229</v>
      </c>
      <c t="s">
        <v>38665</v>
      </c>
      <c t="s">
        <v>3126</v>
      </c>
      <c t="s">
        <v>6264</v>
      </c>
      <c s="3">
        <v>128721</v>
      </c>
      <c s="3">
        <v>116207</v>
      </c>
      <c s="3">
        <v>110992</v>
      </c>
      <c>
        <v>0</v>
      </c>
      <c s="3">
        <v>0</v>
      </c>
      <c s="3">
        <v>1765.15</v>
      </c>
      <c s="3">
        <v>128721</v>
      </c>
      <c r="O6265" s="1" t="str">
        <f ca="1">HYPERLINK("https://web.datatree.com/?/property?propertyId=214703782", "https://web.datatree.com/?/property?propertyId=214703782")</f>
        <v>https://web.datatree.com/?/property?propertyId=214703782</v>
      </c>
      <c r="Q6265" t="s">
        <v>316</v>
      </c>
      <c>
        <v>0.08</v>
      </c>
      <c t="s">
        <v>9944</v>
      </c>
      <c r="U6265" t="s">
        <v>19647</v>
      </c>
      <c r="W6265" t="s">
        <v>170</v>
      </c>
      <c t="s">
        <v>25126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66166</v>
      </c>
      <c>
        <v>24152</v>
      </c>
      <c r="AI6265" t="s">
        <v>24127</v>
      </c>
      <c r="AL6265" t="s">
        <v>2173</v>
      </c>
      <c t="s">
        <v>40227</v>
      </c>
      <c t="s">
        <v>19878</v>
      </c>
      <c t="s">
        <v>18432</v>
      </c>
      <c t="s">
        <v>36638</v>
      </c>
      <c t="s">
        <v>3093</v>
      </c>
      <c t="s">
        <v>53279</v>
      </c>
    </row>
    <row>
      <c t="s">
        <v>17594</v>
      </c>
      <c t="s">
        <v>48565</v>
      </c>
      <c t="s">
        <v>63498</v>
      </c>
      <c t="s">
        <v>23507</v>
      </c>
      <c t="s">
        <v>13900</v>
      </c>
      <c s="3">
        <v>129080</v>
      </c>
      <c s="3">
        <v>116621</v>
      </c>
      <c s="3">
        <v>111393</v>
      </c>
      <c>
        <v>0</v>
      </c>
      <c s="3">
        <v>0</v>
      </c>
      <c s="3">
        <v>1770.92</v>
      </c>
      <c s="3">
        <v>129080</v>
      </c>
      <c r="O6266" s="1" t="str">
        <f ca="1">HYPERLINK("https://web.datatree.com/?/property?propertyId=214703783", "https://web.datatree.com/?/property?propertyId=214703783")</f>
        <v>https://web.datatree.com/?/property?propertyId=214703783</v>
      </c>
      <c r="Q6266" t="s">
        <v>316</v>
      </c>
      <c>
        <v>0.095</v>
      </c>
      <c t="s">
        <v>9944</v>
      </c>
      <c t="s">
        <v>3174</v>
      </c>
      <c t="s">
        <v>47098</v>
      </c>
      <c t="s">
        <v>22046</v>
      </c>
      <c t="s">
        <v>47098</v>
      </c>
      <c t="s">
        <v>64681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2391</v>
      </c>
      <c>
        <v>8223</v>
      </c>
      <c r="AI6266" t="s">
        <v>1596</v>
      </c>
      <c t="s">
        <v>40123</v>
      </c>
      <c r="AL6266" t="s">
        <v>46292</v>
      </c>
      <c t="s">
        <v>46292</v>
      </c>
      <c t="s">
        <v>65467</v>
      </c>
      <c t="s">
        <v>9801</v>
      </c>
      <c t="s">
        <v>38014</v>
      </c>
      <c t="s">
        <v>3093</v>
      </c>
      <c t="s">
        <v>56073</v>
      </c>
    </row>
    <row>
      <c t="s">
        <v>17594</v>
      </c>
      <c t="s">
        <v>10066</v>
      </c>
      <c t="s">
        <v>24517</v>
      </c>
      <c t="s">
        <v>44344</v>
      </c>
      <c t="s">
        <v>35686</v>
      </c>
      <c s="3">
        <v>136968</v>
      </c>
      <c s="3">
        <v>124564</v>
      </c>
      <c s="3">
        <v>118556</v>
      </c>
      <c>
        <v>0</v>
      </c>
      <c s="3">
        <v>0</v>
      </c>
      <c s="3">
        <v>1882.2</v>
      </c>
      <c s="3">
        <v>136968</v>
      </c>
      <c r="O6267" s="1" t="str">
        <f ca="1">HYPERLINK("https://web.datatree.com/?/property?propertyId=214703784", "https://web.datatree.com/?/property?propertyId=214703784")</f>
        <v>https://web.datatree.com/?/property?propertyId=214703784</v>
      </c>
      <c r="Q6267" t="s">
        <v>316</v>
      </c>
      <c>
        <v>0.132</v>
      </c>
      <c t="s">
        <v>9944</v>
      </c>
      <c t="s">
        <v>2140</v>
      </c>
      <c t="s">
        <v>20949</v>
      </c>
      <c t="s">
        <v>53608</v>
      </c>
      <c t="s">
        <v>20949</v>
      </c>
      <c t="s">
        <v>19134</v>
      </c>
      <c t="s">
        <v>5057</v>
      </c>
      <c t="s">
        <v>65059</v>
      </c>
      <c t="s">
        <v>39289</v>
      </c>
      <c>
        <v>33905</v>
      </c>
      <c>
        <v>33905</v>
      </c>
      <c t="s">
        <v>48794</v>
      </c>
      <c t="s">
        <v>9422</v>
      </c>
      <c>
        <v>4103</v>
      </c>
      <c r="AI6267" t="s">
        <v>36299</v>
      </c>
      <c t="s">
        <v>31192</v>
      </c>
      <c r="AL6267" t="s">
        <v>43082</v>
      </c>
      <c t="s">
        <v>43082</v>
      </c>
      <c t="s">
        <v>49572</v>
      </c>
      <c t="s">
        <v>66013</v>
      </c>
      <c t="s">
        <v>11950</v>
      </c>
      <c t="s">
        <v>3093</v>
      </c>
      <c t="s">
        <v>32663</v>
      </c>
    </row>
    <row>
      <c t="s">
        <v>17594</v>
      </c>
      <c t="s">
        <v>31467</v>
      </c>
      <c t="s">
        <v>24185</v>
      </c>
      <c t="s">
        <v>64494</v>
      </c>
      <c t="s">
        <v>19156</v>
      </c>
      <c s="3">
        <v>129976</v>
      </c>
      <c s="3">
        <v>117517</v>
      </c>
      <c s="3">
        <v>112388</v>
      </c>
      <c>
        <v>0</v>
      </c>
      <c s="3">
        <v>0</v>
      </c>
      <c s="3">
        <v>1785.28</v>
      </c>
      <c s="3">
        <v>129976</v>
      </c>
      <c r="O6268" s="1" t="str">
        <f ca="1">HYPERLINK("https://web.datatree.com/?/property?propertyId=214703786", "https://web.datatree.com/?/property?propertyId=214703786")</f>
        <v>https://web.datatree.com/?/property?propertyId=214703786</v>
      </c>
      <c r="Q6268" t="s">
        <v>316</v>
      </c>
      <c>
        <v>0.097</v>
      </c>
      <c t="s">
        <v>9944</v>
      </c>
      <c r="U6268" t="s">
        <v>43046</v>
      </c>
      <c r="W6268" t="s">
        <v>19649</v>
      </c>
      <c t="s">
        <v>49251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57127</v>
      </c>
      <c>
        <v>23476</v>
      </c>
      <c r="AI6268" t="s">
        <v>56492</v>
      </c>
      <c t="s">
        <v>41372</v>
      </c>
      <c r="AL6268" t="s">
        <v>30396</v>
      </c>
      <c t="s">
        <v>66470</v>
      </c>
      <c t="s">
        <v>39289</v>
      </c>
      <c t="s">
        <v>58357</v>
      </c>
      <c t="s">
        <v>35354</v>
      </c>
      <c t="s">
        <v>3093</v>
      </c>
      <c t="s">
        <v>50240</v>
      </c>
    </row>
    <row>
      <c t="s">
        <v>17594</v>
      </c>
      <c t="s">
        <v>37858</v>
      </c>
      <c t="s">
        <v>41871</v>
      </c>
      <c t="s">
        <v>17588</v>
      </c>
      <c t="s">
        <v>40906</v>
      </c>
      <c s="3">
        <v>123868</v>
      </c>
      <c s="3">
        <v>114000</v>
      </c>
      <c s="3">
        <v>123868</v>
      </c>
      <c>
        <v>0</v>
      </c>
      <c s="3">
        <v>0</v>
      </c>
      <c s="3">
        <v>1859.41</v>
      </c>
      <c s="3">
        <v>123868</v>
      </c>
      <c r="O6269" s="1" t="str">
        <f ca="1">HYPERLINK("https://web.datatree.com/?/property?propertyId=214703787", "https://web.datatree.com/?/property?propertyId=214703787")</f>
        <v>https://web.datatree.com/?/property?propertyId=214703787</v>
      </c>
      <c r="Q6269" t="s">
        <v>316</v>
      </c>
      <c>
        <v>0.086</v>
      </c>
      <c t="s">
        <v>9944</v>
      </c>
      <c t="s">
        <v>3293</v>
      </c>
      <c t="s">
        <v>53605</v>
      </c>
      <c t="s">
        <v>26502</v>
      </c>
      <c t="s">
        <v>53605</v>
      </c>
      <c t="s">
        <v>53117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51382</v>
      </c>
      <c>
        <v>108</v>
      </c>
      <c r="AI6269" t="s">
        <v>2306</v>
      </c>
      <c t="s">
        <v>55842</v>
      </c>
      <c r="AL6269" t="s">
        <v>63876</v>
      </c>
      <c t="s">
        <v>63876</v>
      </c>
      <c t="s">
        <v>19878</v>
      </c>
      <c t="s">
        <v>1546</v>
      </c>
      <c t="s">
        <v>60160</v>
      </c>
      <c t="s">
        <v>3093</v>
      </c>
      <c t="s">
        <v>19020</v>
      </c>
    </row>
    <row>
      <c t="s">
        <v>17594</v>
      </c>
      <c t="s">
        <v>54100</v>
      </c>
      <c t="s">
        <v>47933</v>
      </c>
      <c t="s">
        <v>45092</v>
      </c>
      <c t="s">
        <v>56652</v>
      </c>
      <c s="3">
        <v>131206</v>
      </c>
      <c s="3">
        <v>118637</v>
      </c>
      <c s="3">
        <v>112907</v>
      </c>
      <c>
        <v>0</v>
      </c>
      <c s="3">
        <v>0</v>
      </c>
      <c s="3">
        <v>1796.97</v>
      </c>
      <c s="3">
        <v>131206</v>
      </c>
      <c r="O6270" s="1" t="str">
        <f ca="1">HYPERLINK("https://web.datatree.com/?/property?propertyId=214703789", "https://web.datatree.com/?/property?propertyId=214703789")</f>
        <v>https://web.datatree.com/?/property?propertyId=214703789</v>
      </c>
      <c r="Q6270" t="s">
        <v>316</v>
      </c>
      <c>
        <v>0.086</v>
      </c>
      <c t="s">
        <v>9944</v>
      </c>
      <c r="U6270" t="s">
        <v>46477</v>
      </c>
      <c t="s">
        <v>24409</v>
      </c>
      <c t="s">
        <v>15901</v>
      </c>
      <c t="s">
        <v>8483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10322</v>
      </c>
      <c>
        <v>411</v>
      </c>
      <c r="AI6270" t="s">
        <v>6162</v>
      </c>
      <c t="s">
        <v>55910</v>
      </c>
      <c r="AL6270" t="s">
        <v>61590</v>
      </c>
      <c t="s">
        <v>61590</v>
      </c>
      <c t="s">
        <v>39289</v>
      </c>
      <c>
        <v>32043</v>
      </c>
      <c r="AQ6270" t="s">
        <v>3093</v>
      </c>
      <c t="s">
        <v>13696</v>
      </c>
    </row>
    <row>
      <c t="s">
        <v>17594</v>
      </c>
      <c t="s">
        <v>20763</v>
      </c>
      <c t="s">
        <v>37158</v>
      </c>
      <c t="s">
        <v>18926</v>
      </c>
      <c t="s">
        <v>18876</v>
      </c>
      <c s="3">
        <v>130047</v>
      </c>
      <c s="3">
        <v>117478</v>
      </c>
      <c s="3">
        <v>111748</v>
      </c>
      <c>
        <v>0</v>
      </c>
      <c s="3">
        <v>0</v>
      </c>
      <c s="3">
        <v>1779.64</v>
      </c>
      <c s="3">
        <v>130047</v>
      </c>
      <c r="O6271" s="1" t="str">
        <f ca="1">HYPERLINK("https://web.datatree.com/?/property?propertyId=214703791", "https://web.datatree.com/?/property?propertyId=214703791")</f>
        <v>https://web.datatree.com/?/property?propertyId=214703791</v>
      </c>
      <c r="Q6271" t="s">
        <v>316</v>
      </c>
      <c>
        <v>0.087</v>
      </c>
      <c t="s">
        <v>9944</v>
      </c>
      <c r="U6271" t="s">
        <v>24021</v>
      </c>
      <c t="s">
        <v>58113</v>
      </c>
      <c t="s">
        <v>46201</v>
      </c>
      <c t="s">
        <v>66800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13251</v>
      </c>
      <c>
        <v>411</v>
      </c>
      <c r="AI6271" t="s">
        <v>2483</v>
      </c>
      <c t="s">
        <v>55842</v>
      </c>
      <c r="AL6271" t="s">
        <v>17856</v>
      </c>
      <c t="s">
        <v>24483</v>
      </c>
      <c t="s">
        <v>50829</v>
      </c>
      <c t="s">
        <v>19899</v>
      </c>
      <c t="s">
        <v>3364</v>
      </c>
      <c t="s">
        <v>3093</v>
      </c>
      <c t="s">
        <v>22135</v>
      </c>
    </row>
    <row>
      <c t="s">
        <v>17594</v>
      </c>
      <c t="s">
        <v>48723</v>
      </c>
      <c s="2" t="s">
        <v>57106</v>
      </c>
      <c t="s">
        <v>39579</v>
      </c>
      <c t="s">
        <v>26598</v>
      </c>
      <c s="3">
        <v>130462</v>
      </c>
      <c s="3">
        <v>117478</v>
      </c>
      <c s="3">
        <v>111062</v>
      </c>
      <c>
        <v>0</v>
      </c>
      <c s="3">
        <v>0</v>
      </c>
      <c s="3">
        <v>1775.48</v>
      </c>
      <c s="3">
        <v>130462</v>
      </c>
      <c r="O6272" s="1" t="str">
        <f ca="1">HYPERLINK("https://web.datatree.com/?/property?propertyId=214703792", "https://web.datatree.com/?/property?propertyId=214703792")</f>
        <v>https://web.datatree.com/?/property?propertyId=214703792</v>
      </c>
      <c r="Q6272" t="s">
        <v>316</v>
      </c>
      <c>
        <v>0.088</v>
      </c>
      <c t="s">
        <v>9944</v>
      </c>
      <c t="s">
        <v>50331</v>
      </c>
      <c t="s">
        <v>64379</v>
      </c>
      <c t="s">
        <v>23659</v>
      </c>
      <c t="s">
        <v>64379</v>
      </c>
      <c t="s">
        <v>7523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35886</v>
      </c>
      <c>
        <v>89</v>
      </c>
      <c r="AI6272" t="s">
        <v>32380</v>
      </c>
      <c t="s">
        <v>40123</v>
      </c>
      <c r="AL6272" t="s">
        <v>66317</v>
      </c>
      <c t="s">
        <v>13397</v>
      </c>
      <c t="s">
        <v>50917</v>
      </c>
      <c t="s">
        <v>51942</v>
      </c>
      <c t="s">
        <v>42082</v>
      </c>
      <c t="s">
        <v>3093</v>
      </c>
      <c s="2" t="s">
        <v>62429</v>
      </c>
    </row>
    <row>
      <c t="s">
        <v>17594</v>
      </c>
      <c t="s">
        <v>23304</v>
      </c>
      <c t="s">
        <v>5050</v>
      </c>
      <c t="s">
        <v>30164</v>
      </c>
      <c t="s">
        <v>8891</v>
      </c>
      <c s="3">
        <v>84625</v>
      </c>
      <c s="3">
        <v>77207</v>
      </c>
      <c s="3">
        <v>75625</v>
      </c>
      <c>
        <v>0</v>
      </c>
      <c s="3">
        <v>0</v>
      </c>
      <c s="3">
        <v>1182.24</v>
      </c>
      <c s="3">
        <v>84625</v>
      </c>
      <c r="O6273" s="1" t="str">
        <f ca="1">HYPERLINK("https://web.datatree.com/?/property?propertyId=214703795", "https://web.datatree.com/?/property?propertyId=214703795")</f>
        <v>https://web.datatree.com/?/property?propertyId=214703795</v>
      </c>
      <c r="Q6273" t="s">
        <v>316</v>
      </c>
      <c>
        <v>0.072</v>
      </c>
      <c t="s">
        <v>9944</v>
      </c>
      <c t="s">
        <v>12811</v>
      </c>
      <c t="s">
        <v>50130</v>
      </c>
      <c t="s">
        <v>60286</v>
      </c>
      <c t="s">
        <v>50130</v>
      </c>
      <c t="s">
        <v>16410</v>
      </c>
      <c t="s">
        <v>20793</v>
      </c>
      <c t="s">
        <v>65059</v>
      </c>
      <c t="s">
        <v>39289</v>
      </c>
      <c>
        <v>33905</v>
      </c>
      <c>
        <v>33905</v>
      </c>
      <c t="s">
        <v>48794</v>
      </c>
      <c t="s">
        <v>36995</v>
      </c>
      <c>
        <v>39</v>
      </c>
      <c r="AI6273" t="s">
        <v>14917</v>
      </c>
      <c t="s">
        <v>1671</v>
      </c>
      <c r="AL6273" t="s">
        <v>35285</v>
      </c>
      <c t="s">
        <v>35285</v>
      </c>
      <c t="s">
        <v>36633</v>
      </c>
      <c t="s">
        <v>30239</v>
      </c>
      <c t="s">
        <v>42082</v>
      </c>
      <c t="s">
        <v>3093</v>
      </c>
      <c t="s">
        <v>42499</v>
      </c>
    </row>
    <row>
      <c t="s">
        <v>17594</v>
      </c>
      <c t="s">
        <v>53765</v>
      </c>
      <c t="s">
        <v>37691</v>
      </c>
      <c t="s">
        <v>24803</v>
      </c>
      <c t="s">
        <v>20695</v>
      </c>
      <c s="3">
        <v>100650</v>
      </c>
      <c s="3">
        <v>100650</v>
      </c>
      <c s="3">
        <v>100650</v>
      </c>
      <c>
        <v>0</v>
      </c>
      <c s="3">
        <v>0</v>
      </c>
      <c s="3">
        <v>1506.93</v>
      </c>
      <c s="3">
        <v>100650</v>
      </c>
      <c r="O6274" s="1" t="str">
        <f ca="1">HYPERLINK("https://web.datatree.com/?/property?propertyId=227653721", "https://web.datatree.com/?/property?propertyId=227653721")</f>
        <v>https://web.datatree.com/?/property?propertyId=227653721</v>
      </c>
      <c r="Q6274" t="s">
        <v>316</v>
      </c>
      <c>
        <v>5.5</v>
      </c>
      <c t="s">
        <v>30497</v>
      </c>
      <c t="s">
        <v>60397</v>
      </c>
      <c t="s">
        <v>36522</v>
      </c>
      <c t="s">
        <v>35714</v>
      </c>
      <c t="s">
        <v>62637</v>
      </c>
      <c t="s">
        <v>59466</v>
      </c>
      <c t="s">
        <v>11570</v>
      </c>
      <c t="s">
        <v>65059</v>
      </c>
      <c t="s">
        <v>39289</v>
      </c>
      <c>
        <v>33905</v>
      </c>
      <c>
        <v>33905</v>
      </c>
      <c t="s">
        <v>48794</v>
      </c>
      <c t="s">
        <v>3283</v>
      </c>
      <c>
        <v>252</v>
      </c>
      <c r="AI6274" t="s">
        <v>45182</v>
      </c>
      <c t="s">
        <v>45620</v>
      </c>
      <c r="AL6274" t="s">
        <v>31207</v>
      </c>
      <c t="s">
        <v>60790</v>
      </c>
      <c t="s">
        <v>17134</v>
      </c>
      <c t="s">
        <v>5966</v>
      </c>
      <c t="s">
        <v>39566</v>
      </c>
      <c t="s">
        <v>3093</v>
      </c>
      <c t="s">
        <v>25880</v>
      </c>
    </row>
    <row>
      <c t="s">
        <v>17594</v>
      </c>
      <c t="s">
        <v>62384</v>
      </c>
      <c t="s">
        <v>15095</v>
      </c>
      <c t="s">
        <v>54152</v>
      </c>
      <c t="s">
        <v>17142</v>
      </c>
      <c s="3">
        <v>42458</v>
      </c>
      <c s="3">
        <v>42458</v>
      </c>
      <c s="3">
        <v>18018</v>
      </c>
      <c>
        <v>0</v>
      </c>
      <c s="3">
        <v>0</v>
      </c>
      <c s="3">
        <v>383.06</v>
      </c>
      <c s="3">
        <v>42458</v>
      </c>
      <c r="O6275" s="1" t="str">
        <f ca="1">HYPERLINK("https://web.datatree.com/?/property?propertyId=227653728", "https://web.datatree.com/?/property?propertyId=227653728")</f>
        <v>https://web.datatree.com/?/property?propertyId=227653728</v>
      </c>
      <c r="Q6275" t="s">
        <v>316</v>
      </c>
      <c>
        <v>0.12</v>
      </c>
      <c t="s">
        <v>31095</v>
      </c>
      <c t="s">
        <v>66391</v>
      </c>
      <c t="s">
        <v>43204</v>
      </c>
      <c t="s">
        <v>21838</v>
      </c>
      <c t="s">
        <v>43204</v>
      </c>
      <c t="s">
        <v>35853</v>
      </c>
      <c t="s">
        <v>65343</v>
      </c>
      <c t="s">
        <v>65059</v>
      </c>
      <c t="s">
        <v>39289</v>
      </c>
      <c>
        <v>33908</v>
      </c>
      <c t="s">
        <v>51007</v>
      </c>
      <c t="s">
        <v>48794</v>
      </c>
      <c t="s">
        <v>873</v>
      </c>
      <c>
        <v>1031</v>
      </c>
      <c r="AI6275" t="s">
        <v>23793</v>
      </c>
      <c t="s">
        <v>55842</v>
      </c>
      <c r="AL6275" t="s">
        <v>65059</v>
      </c>
      <c t="s">
        <v>41399</v>
      </c>
      <c t="s">
        <v>39289</v>
      </c>
      <c t="s">
        <v>35272</v>
      </c>
      <c t="s">
        <v>53350</v>
      </c>
      <c t="s">
        <v>3093</v>
      </c>
      <c t="s">
        <v>22755</v>
      </c>
    </row>
    <row>
      <c t="s">
        <v>17594</v>
      </c>
      <c t="s">
        <v>58138</v>
      </c>
      <c t="s">
        <v>35462</v>
      </c>
      <c t="s">
        <v>25439</v>
      </c>
      <c t="s">
        <v>43894</v>
      </c>
      <c s="3">
        <v>69000</v>
      </c>
      <c s="3">
        <v>69000</v>
      </c>
      <c s="3">
        <v>69000</v>
      </c>
      <c>
        <v>0</v>
      </c>
      <c s="3">
        <v>0</v>
      </c>
      <c s="3">
        <v>946.81</v>
      </c>
      <c s="3">
        <v>69000</v>
      </c>
      <c r="O6276" s="1" t="str">
        <f ca="1">HYPERLINK("https://web.datatree.com/?/property?propertyId=227654085", "https://web.datatree.com/?/property?propertyId=227654085")</f>
        <v>https://web.datatree.com/?/property?propertyId=227654085</v>
      </c>
      <c r="Q6276" t="s">
        <v>316</v>
      </c>
      <c>
        <v>0.462</v>
      </c>
      <c t="s">
        <v>23582</v>
      </c>
      <c t="s">
        <v>3293</v>
      </c>
      <c t="s">
        <v>17161</v>
      </c>
      <c t="s">
        <v>29970</v>
      </c>
      <c t="s">
        <v>17161</v>
      </c>
      <c t="s">
        <v>22176</v>
      </c>
      <c t="s">
        <v>23528</v>
      </c>
      <c t="s">
        <v>65059</v>
      </c>
      <c t="s">
        <v>39289</v>
      </c>
      <c>
        <v>33908</v>
      </c>
      <c t="s">
        <v>20951</v>
      </c>
      <c t="s">
        <v>48794</v>
      </c>
      <c t="s">
        <v>4808</v>
      </c>
      <c>
        <v>5326</v>
      </c>
      <c r="AI6276" t="s">
        <v>61399</v>
      </c>
      <c t="s">
        <v>45620</v>
      </c>
      <c r="AL6276" t="s">
        <v>1307</v>
      </c>
      <c t="s">
        <v>1307</v>
      </c>
      <c t="s">
        <v>26016</v>
      </c>
      <c t="s">
        <v>54737</v>
      </c>
      <c t="s">
        <v>14695</v>
      </c>
      <c t="s">
        <v>3093</v>
      </c>
      <c t="s">
        <v>59051</v>
      </c>
    </row>
    <row>
      <c t="s">
        <v>17594</v>
      </c>
      <c t="s">
        <v>52289</v>
      </c>
      <c t="s">
        <v>63062</v>
      </c>
      <c t="s">
        <v>45425</v>
      </c>
      <c t="s">
        <v>21738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77" s="1" t="str">
        <f ca="1">HYPERLINK("https://web.datatree.com/?/property?propertyId=229559283", "https://web.datatree.com/?/property?propertyId=229559283")</f>
        <v>https://web.datatree.com/?/property?propertyId=229559283</v>
      </c>
      <c r="Q6277" t="s">
        <v>316</v>
      </c>
      <c>
        <v>0.099</v>
      </c>
      <c t="s">
        <v>9944</v>
      </c>
      <c t="s">
        <v>9900</v>
      </c>
      <c t="s">
        <v>31623</v>
      </c>
      <c t="s">
        <v>16893</v>
      </c>
      <c t="s">
        <v>31623</v>
      </c>
      <c t="s">
        <v>1425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18061</v>
      </c>
      <c>
        <v>8160</v>
      </c>
      <c r="AI6277" t="s">
        <v>24876</v>
      </c>
      <c t="s">
        <v>45620</v>
      </c>
      <c r="AL6277" t="s">
        <v>19144</v>
      </c>
      <c t="s">
        <v>40227</v>
      </c>
      <c t="s">
        <v>10909</v>
      </c>
      <c t="s">
        <v>40554</v>
      </c>
      <c r="AQ6277" t="s">
        <v>27814</v>
      </c>
      <c t="s">
        <v>64007</v>
      </c>
    </row>
    <row>
      <c t="s">
        <v>17594</v>
      </c>
      <c t="s">
        <v>18166</v>
      </c>
      <c t="s">
        <v>10983</v>
      </c>
      <c t="s">
        <v>58794</v>
      </c>
      <c t="s">
        <v>25090</v>
      </c>
      <c s="3">
        <v>90072</v>
      </c>
      <c s="3">
        <v>80217</v>
      </c>
      <c s="3">
        <v>88658</v>
      </c>
      <c>
        <v>0</v>
      </c>
      <c s="3">
        <v>0</v>
      </c>
      <c s="3">
        <v>1335.21</v>
      </c>
      <c s="3">
        <v>90072</v>
      </c>
      <c r="O6278" s="1" t="str">
        <f ca="1">HYPERLINK("https://web.datatree.com/?/property?propertyId=229559284", "https://web.datatree.com/?/property?propertyId=229559284")</f>
        <v>https://web.datatree.com/?/property?propertyId=229559284</v>
      </c>
      <c r="Q6278" t="s">
        <v>316</v>
      </c>
      <c>
        <v>0.095</v>
      </c>
      <c t="s">
        <v>9944</v>
      </c>
      <c t="s">
        <v>2140</v>
      </c>
      <c t="s">
        <v>14861</v>
      </c>
      <c t="s">
        <v>1599</v>
      </c>
      <c t="s">
        <v>14861</v>
      </c>
      <c t="s">
        <v>38232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38312</v>
      </c>
      <c>
        <v>14220</v>
      </c>
      <c r="AI6278" t="s">
        <v>60766</v>
      </c>
      <c t="s">
        <v>40123</v>
      </c>
      <c r="AL6278" t="s">
        <v>66453</v>
      </c>
      <c t="s">
        <v>66453</v>
      </c>
      <c t="s">
        <v>19878</v>
      </c>
      <c t="s">
        <v>1628</v>
      </c>
      <c t="s">
        <v>15968</v>
      </c>
      <c t="s">
        <v>3093</v>
      </c>
      <c t="s">
        <v>6169</v>
      </c>
    </row>
    <row>
      <c t="s">
        <v>17594</v>
      </c>
      <c t="s">
        <v>52098</v>
      </c>
      <c t="s">
        <v>56227</v>
      </c>
      <c t="s">
        <v>12060</v>
      </c>
      <c t="s">
        <v>31517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>
        <v>2021</v>
      </c>
      <c>
        <v>716.21</v>
      </c>
      <c s="1" t="str">
        <f ca="1">HYPERLINK("https://web.datatree.com/?/property?propertyId=229559285", "https://web.datatree.com/?/property?propertyId=229559285")</f>
        <v>https://web.datatree.com/?/property?propertyId=229559285</v>
      </c>
      <c r="Q6279" t="s">
        <v>316</v>
      </c>
      <c>
        <v>0.093</v>
      </c>
      <c t="s">
        <v>9944</v>
      </c>
      <c t="s">
        <v>11199</v>
      </c>
      <c t="s">
        <v>32018</v>
      </c>
      <c t="s">
        <v>26827</v>
      </c>
      <c t="s">
        <v>32018</v>
      </c>
      <c t="s">
        <v>65265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34701</v>
      </c>
      <c>
        <v>9518</v>
      </c>
      <c r="AI6279" t="s">
        <v>63793</v>
      </c>
      <c t="s">
        <v>45620</v>
      </c>
      <c r="AL6279" t="s">
        <v>60419</v>
      </c>
      <c t="s">
        <v>40227</v>
      </c>
      <c t="s">
        <v>10909</v>
      </c>
      <c t="s">
        <v>45199</v>
      </c>
      <c r="AQ6279" t="s">
        <v>27814</v>
      </c>
      <c t="s">
        <v>9843</v>
      </c>
    </row>
    <row>
      <c t="s">
        <v>42103</v>
      </c>
      <c t="s">
        <v>17940</v>
      </c>
      <c t="s">
        <v>38987</v>
      </c>
      <c t="s">
        <v>18735</v>
      </c>
      <c t="s">
        <v>37979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80" s="1" t="str">
        <f ca="1">HYPERLINK("https://web.datatree.com/?/property?propertyId=229559286", "https://web.datatree.com/?/property?propertyId=229559286")</f>
        <v>https://web.datatree.com/?/property?propertyId=229559286</v>
      </c>
      <c r="Q6280" t="s">
        <v>316</v>
      </c>
      <c>
        <v>0.093</v>
      </c>
      <c t="s">
        <v>9944</v>
      </c>
      <c t="s">
        <v>36133</v>
      </c>
      <c t="s">
        <v>300</v>
      </c>
      <c t="s">
        <v>54423</v>
      </c>
      <c t="s">
        <v>300</v>
      </c>
      <c t="s">
        <v>43580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54990</v>
      </c>
      <c r="AI6280" t="s">
        <v>48699</v>
      </c>
      <c r="AL6280" t="s">
        <v>56260</v>
      </c>
      <c t="s">
        <v>56260</v>
      </c>
      <c t="s">
        <v>58733</v>
      </c>
      <c t="s">
        <v>17920</v>
      </c>
      <c t="s">
        <v>14662</v>
      </c>
      <c t="s">
        <v>3093</v>
      </c>
      <c t="s">
        <v>26505</v>
      </c>
    </row>
    <row>
      <c t="s">
        <v>17594</v>
      </c>
      <c t="s">
        <v>51302</v>
      </c>
      <c t="s">
        <v>47789</v>
      </c>
      <c t="s">
        <v>39375</v>
      </c>
      <c t="s">
        <v>44418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81" s="1" t="str">
        <f ca="1">HYPERLINK("https://web.datatree.com/?/property?propertyId=229559287", "https://web.datatree.com/?/property?propertyId=229559287")</f>
        <v>https://web.datatree.com/?/property?propertyId=229559287</v>
      </c>
      <c r="Q6281" t="s">
        <v>316</v>
      </c>
      <c>
        <v>0.093</v>
      </c>
      <c t="s">
        <v>9944</v>
      </c>
      <c t="s">
        <v>64030</v>
      </c>
      <c t="s">
        <v>8597</v>
      </c>
      <c t="s">
        <v>6249</v>
      </c>
      <c t="s">
        <v>8597</v>
      </c>
      <c t="s">
        <v>44258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7974</v>
      </c>
      <c>
        <v>4422</v>
      </c>
      <c r="AI6281" t="s">
        <v>25295</v>
      </c>
      <c t="s">
        <v>31192</v>
      </c>
      <c r="AL6281" t="s">
        <v>26641</v>
      </c>
      <c t="s">
        <v>26641</v>
      </c>
      <c t="s">
        <v>39289</v>
      </c>
      <c t="s">
        <v>38563</v>
      </c>
      <c t="s">
        <v>3364</v>
      </c>
      <c t="s">
        <v>3093</v>
      </c>
      <c t="s">
        <v>15646</v>
      </c>
    </row>
    <row>
      <c t="s">
        <v>17594</v>
      </c>
      <c t="s">
        <v>17173</v>
      </c>
      <c t="s">
        <v>18770</v>
      </c>
      <c t="s">
        <v>60133</v>
      </c>
      <c t="s">
        <v>50713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82" s="1" t="str">
        <f ca="1">HYPERLINK("https://web.datatree.com/?/property?propertyId=229559288", "https://web.datatree.com/?/property?propertyId=229559288")</f>
        <v>https://web.datatree.com/?/property?propertyId=229559288</v>
      </c>
      <c r="Q6282" t="s">
        <v>316</v>
      </c>
      <c>
        <v>0.093</v>
      </c>
      <c t="s">
        <v>9944</v>
      </c>
      <c t="s">
        <v>55572</v>
      </c>
      <c t="s">
        <v>52696</v>
      </c>
      <c t="s">
        <v>42801</v>
      </c>
      <c t="s">
        <v>52696</v>
      </c>
      <c t="s">
        <v>49723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14072</v>
      </c>
      <c>
        <v>6253</v>
      </c>
      <c r="AI6282" t="s">
        <v>43351</v>
      </c>
      <c t="s">
        <v>55842</v>
      </c>
      <c r="AL6282" t="s">
        <v>20033</v>
      </c>
      <c t="s">
        <v>40227</v>
      </c>
      <c t="s">
        <v>66651</v>
      </c>
      <c t="s">
        <v>17214</v>
      </c>
      <c t="s">
        <v>44428</v>
      </c>
      <c t="s">
        <v>3093</v>
      </c>
      <c t="s">
        <v>3812</v>
      </c>
    </row>
    <row>
      <c t="s">
        <v>17594</v>
      </c>
      <c t="s">
        <v>16970</v>
      </c>
      <c t="s">
        <v>65300</v>
      </c>
      <c t="s">
        <v>13288</v>
      </c>
      <c t="s">
        <v>57137</v>
      </c>
      <c s="3">
        <v>89537</v>
      </c>
      <c s="3">
        <v>79682</v>
      </c>
      <c s="3">
        <v>89537</v>
      </c>
      <c>
        <v>0</v>
      </c>
      <c s="3">
        <v>0</v>
      </c>
      <c s="3">
        <v>1340.53</v>
      </c>
      <c s="3">
        <v>89537</v>
      </c>
      <c r="O6283" s="1" t="str">
        <f ca="1">HYPERLINK("https://web.datatree.com/?/property?propertyId=229559289", "https://web.datatree.com/?/property?propertyId=229559289")</f>
        <v>https://web.datatree.com/?/property?propertyId=229559289</v>
      </c>
      <c r="Q6283" t="s">
        <v>316</v>
      </c>
      <c>
        <v>0.095</v>
      </c>
      <c t="s">
        <v>9944</v>
      </c>
      <c t="s">
        <v>50343</v>
      </c>
      <c t="s">
        <v>24104</v>
      </c>
      <c t="s">
        <v>61500</v>
      </c>
      <c t="s">
        <v>29744</v>
      </c>
      <c t="s">
        <v>44724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30768</v>
      </c>
      <c>
        <v>501</v>
      </c>
      <c r="AI6283" t="s">
        <v>40208</v>
      </c>
      <c t="s">
        <v>1671</v>
      </c>
      <c>
        <v>39201</v>
      </c>
      <c t="s">
        <v>11713</v>
      </c>
      <c t="s">
        <v>621</v>
      </c>
      <c t="s">
        <v>39289</v>
      </c>
      <c t="s">
        <v>24949</v>
      </c>
      <c t="s">
        <v>10634</v>
      </c>
      <c t="s">
        <v>3093</v>
      </c>
      <c t="s">
        <v>32441</v>
      </c>
    </row>
    <row>
      <c t="s">
        <v>17594</v>
      </c>
      <c t="s">
        <v>2490</v>
      </c>
      <c t="s">
        <v>11685</v>
      </c>
      <c t="s">
        <v>19963</v>
      </c>
      <c t="s">
        <v>63508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84" s="1" t="str">
        <f ca="1">HYPERLINK("https://web.datatree.com/?/property?propertyId=229559290", "https://web.datatree.com/?/property?propertyId=229559290")</f>
        <v>https://web.datatree.com/?/property?propertyId=229559290</v>
      </c>
      <c r="Q6284" t="s">
        <v>316</v>
      </c>
      <c>
        <v>0.096</v>
      </c>
      <c t="s">
        <v>9944</v>
      </c>
      <c t="s">
        <v>16200</v>
      </c>
      <c t="s">
        <v>45899</v>
      </c>
      <c t="s">
        <v>46578</v>
      </c>
      <c t="s">
        <v>45899</v>
      </c>
      <c t="s">
        <v>27180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4023</v>
      </c>
      <c>
        <v>4343</v>
      </c>
      <c r="AI6284" t="s">
        <v>22986</v>
      </c>
      <c t="s">
        <v>45620</v>
      </c>
      <c r="AL6284" t="s">
        <v>1368</v>
      </c>
      <c t="s">
        <v>11813</v>
      </c>
      <c t="s">
        <v>51137</v>
      </c>
      <c t="s">
        <v>57033</v>
      </c>
      <c t="s">
        <v>41776</v>
      </c>
      <c t="s">
        <v>3093</v>
      </c>
      <c t="s">
        <v>58334</v>
      </c>
    </row>
    <row>
      <c t="s">
        <v>17594</v>
      </c>
      <c t="s">
        <v>35631</v>
      </c>
      <c t="s">
        <v>26249</v>
      </c>
      <c t="s">
        <v>40618</v>
      </c>
      <c t="s">
        <v>2566</v>
      </c>
      <c s="3">
        <v>84755</v>
      </c>
      <c s="3">
        <v>75000</v>
      </c>
      <c s="3">
        <v>83441</v>
      </c>
      <c>
        <v>0</v>
      </c>
      <c s="3">
        <v>0</v>
      </c>
      <c s="3">
        <v>1256.55</v>
      </c>
      <c s="3">
        <v>84755</v>
      </c>
      <c r="O6285" s="1" t="str">
        <f ca="1">HYPERLINK("https://web.datatree.com/?/property?propertyId=229559291", "https://web.datatree.com/?/property?propertyId=229559291")</f>
        <v>https://web.datatree.com/?/property?propertyId=229559291</v>
      </c>
      <c r="Q6285" t="s">
        <v>316</v>
      </c>
      <c>
        <v>0.096</v>
      </c>
      <c t="s">
        <v>9944</v>
      </c>
      <c r="U6285" t="s">
        <v>58023</v>
      </c>
      <c r="W6285" t="s">
        <v>19930</v>
      </c>
      <c t="s">
        <v>17914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10314</v>
      </c>
      <c t="s">
        <v>43861</v>
      </c>
      <c r="AI6285" t="s">
        <v>36693</v>
      </c>
      <c t="s">
        <v>31192</v>
      </c>
      <c r="AL6285" t="s">
        <v>1584</v>
      </c>
      <c t="s">
        <v>40227</v>
      </c>
      <c t="s">
        <v>27481</v>
      </c>
      <c t="s">
        <v>36232</v>
      </c>
      <c t="s">
        <v>52247</v>
      </c>
      <c t="s">
        <v>3093</v>
      </c>
      <c t="s">
        <v>23179</v>
      </c>
    </row>
    <row>
      <c t="s">
        <v>17594</v>
      </c>
      <c t="s">
        <v>1744</v>
      </c>
      <c t="s">
        <v>30834</v>
      </c>
      <c t="s">
        <v>61392</v>
      </c>
      <c t="s">
        <v>8888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86" s="1" t="str">
        <f ca="1">HYPERLINK("https://web.datatree.com/?/property?propertyId=229559292", "https://web.datatree.com/?/property?propertyId=229559292")</f>
        <v>https://web.datatree.com/?/property?propertyId=229559292</v>
      </c>
      <c r="Q6286" t="s">
        <v>316</v>
      </c>
      <c>
        <v>0.096</v>
      </c>
      <c t="s">
        <v>9944</v>
      </c>
      <c t="s">
        <v>10361</v>
      </c>
      <c t="s">
        <v>29419</v>
      </c>
      <c t="s">
        <v>56577</v>
      </c>
      <c t="s">
        <v>29419</v>
      </c>
      <c t="s">
        <v>34412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30403</v>
      </c>
      <c>
        <v>30</v>
      </c>
      <c r="AI6286" t="s">
        <v>13158</v>
      </c>
      <c t="s">
        <v>41372</v>
      </c>
      <c r="AL6286" t="s">
        <v>13103</v>
      </c>
      <c t="s">
        <v>13103</v>
      </c>
      <c t="s">
        <v>36633</v>
      </c>
      <c t="s">
        <v>48261</v>
      </c>
      <c t="s">
        <v>66797</v>
      </c>
      <c t="s">
        <v>3093</v>
      </c>
      <c t="s">
        <v>24775</v>
      </c>
    </row>
    <row>
      <c t="s">
        <v>17594</v>
      </c>
      <c t="s">
        <v>1553</v>
      </c>
      <c t="s">
        <v>1516</v>
      </c>
      <c t="s">
        <v>13988</v>
      </c>
      <c t="s">
        <v>18504</v>
      </c>
      <c s="3">
        <v>92550</v>
      </c>
      <c s="3">
        <v>79994</v>
      </c>
      <c s="3">
        <v>91136</v>
      </c>
      <c>
        <v>0</v>
      </c>
      <c s="3">
        <v>0</v>
      </c>
      <c s="3">
        <v>1372.33</v>
      </c>
      <c s="3">
        <v>92550</v>
      </c>
      <c r="O6287" s="1" t="str">
        <f ca="1">HYPERLINK("https://web.datatree.com/?/property?propertyId=229559294", "https://web.datatree.com/?/property?propertyId=229559294")</f>
        <v>https://web.datatree.com/?/property?propertyId=229559294</v>
      </c>
      <c r="Q6287" t="s">
        <v>316</v>
      </c>
      <c>
        <v>0.096</v>
      </c>
      <c t="s">
        <v>9944</v>
      </c>
      <c t="s">
        <v>2140</v>
      </c>
      <c t="s">
        <v>47987</v>
      </c>
      <c t="s">
        <v>22450</v>
      </c>
      <c t="s">
        <v>47987</v>
      </c>
      <c t="s">
        <v>10987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47066</v>
      </c>
      <c>
        <v>15031</v>
      </c>
      <c r="AI6287" t="s">
        <v>58684</v>
      </c>
      <c t="s">
        <v>40123</v>
      </c>
      <c r="AL6287" t="s">
        <v>63634</v>
      </c>
      <c t="s">
        <v>40227</v>
      </c>
      <c t="s">
        <v>51137</v>
      </c>
      <c t="s">
        <v>15081</v>
      </c>
      <c t="s">
        <v>22152</v>
      </c>
      <c t="s">
        <v>3093</v>
      </c>
      <c t="s">
        <v>40587</v>
      </c>
    </row>
    <row>
      <c t="s">
        <v>17594</v>
      </c>
      <c t="s">
        <v>11298</v>
      </c>
      <c t="s">
        <v>49893</v>
      </c>
      <c t="s">
        <v>45867</v>
      </c>
      <c t="s">
        <v>25481</v>
      </c>
      <c s="3">
        <v>16000</v>
      </c>
      <c s="3">
        <v>16000</v>
      </c>
      <c s="3">
        <v>3971</v>
      </c>
      <c>
        <v>0</v>
      </c>
      <c s="3">
        <v>0</v>
      </c>
      <c s="3">
        <v>59.46</v>
      </c>
      <c s="3">
        <v>16000</v>
      </c>
      <c r="O6288" s="1" t="str">
        <f ca="1">HYPERLINK("https://web.datatree.com/?/property?propertyId=229560109", "https://web.datatree.com/?/property?propertyId=229560109")</f>
        <v>https://web.datatree.com/?/property?propertyId=229560109</v>
      </c>
      <c r="Q6288" t="s">
        <v>316</v>
      </c>
      <c>
        <v>0.296</v>
      </c>
      <c t="s">
        <v>36245</v>
      </c>
      <c t="s">
        <v>31622</v>
      </c>
      <c t="s">
        <v>9665</v>
      </c>
      <c r="X6288" t="s">
        <v>39939</v>
      </c>
      <c t="s">
        <v>65985</v>
      </c>
      <c t="s">
        <v>65059</v>
      </c>
      <c t="s">
        <v>39289</v>
      </c>
      <c>
        <v>33905</v>
      </c>
      <c t="s">
        <v>28743</v>
      </c>
      <c t="s">
        <v>48794</v>
      </c>
      <c t="s">
        <v>58419</v>
      </c>
      <c t="str">
        <f>"60-62"</f>
        <v>60-62</v>
      </c>
      <c r="AI6288" t="s">
        <v>49772</v>
      </c>
      <c t="s">
        <v>24900</v>
      </c>
      <c>
        <v>2</v>
      </c>
      <c t="s">
        <v>55847</v>
      </c>
      <c r="AN6288" t="s">
        <v>26016</v>
      </c>
      <c t="s">
        <v>32794</v>
      </c>
      <c t="s">
        <v>27780</v>
      </c>
      <c t="s">
        <v>3093</v>
      </c>
      <c t="s">
        <v>588</v>
      </c>
    </row>
    <row>
      <c t="s">
        <v>17594</v>
      </c>
      <c t="s">
        <v>811</v>
      </c>
      <c t="s">
        <v>49077</v>
      </c>
      <c t="s">
        <v>34630</v>
      </c>
      <c t="s">
        <v>24746</v>
      </c>
      <c s="3">
        <v>97899</v>
      </c>
      <c s="3">
        <v>88044</v>
      </c>
      <c s="3">
        <v>97899</v>
      </c>
      <c>
        <v>0</v>
      </c>
      <c s="3">
        <v>0</v>
      </c>
      <c s="3">
        <v>1270.43</v>
      </c>
      <c s="3">
        <v>97899</v>
      </c>
      <c r="O6289" s="1" t="str">
        <f ca="1">HYPERLINK("https://web.datatree.com/?/property?propertyId=229560454", "https://web.datatree.com/?/property?propertyId=229560454")</f>
        <v>https://web.datatree.com/?/property?propertyId=229560454</v>
      </c>
      <c r="Q6289" t="s">
        <v>316</v>
      </c>
      <c>
        <v>0.096</v>
      </c>
      <c t="s">
        <v>9944</v>
      </c>
      <c t="s">
        <v>33168</v>
      </c>
      <c t="s">
        <v>57958</v>
      </c>
      <c t="s">
        <v>39655</v>
      </c>
      <c t="s">
        <v>57958</v>
      </c>
      <c t="s">
        <v>27997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6413</v>
      </c>
      <c>
        <v>39</v>
      </c>
      <c r="AI6289" t="s">
        <v>27390</v>
      </c>
      <c t="s">
        <v>45620</v>
      </c>
      <c r="AL6289" t="s">
        <v>23113</v>
      </c>
      <c t="s">
        <v>23113</v>
      </c>
      <c t="s">
        <v>22275</v>
      </c>
      <c t="s">
        <v>29384</v>
      </c>
      <c t="s">
        <v>22455</v>
      </c>
      <c t="s">
        <v>3093</v>
      </c>
      <c t="s">
        <v>19889</v>
      </c>
    </row>
    <row>
      <c t="s">
        <v>17594</v>
      </c>
      <c t="s">
        <v>33623</v>
      </c>
      <c t="s">
        <v>51762</v>
      </c>
      <c t="s">
        <v>8708</v>
      </c>
      <c t="s">
        <v>37621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90" s="1" t="str">
        <f ca="1">HYPERLINK("https://web.datatree.com/?/property?propertyId=229560456", "https://web.datatree.com/?/property?propertyId=229560456")</f>
        <v>https://web.datatree.com/?/property?propertyId=229560456</v>
      </c>
      <c r="Q6290" t="s">
        <v>316</v>
      </c>
      <c>
        <v>0.104</v>
      </c>
      <c t="s">
        <v>9944</v>
      </c>
      <c t="s">
        <v>16399</v>
      </c>
      <c t="s">
        <v>52696</v>
      </c>
      <c t="s">
        <v>27351</v>
      </c>
      <c t="s">
        <v>52696</v>
      </c>
      <c t="s">
        <v>26400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43169</v>
      </c>
      <c>
        <v>435</v>
      </c>
      <c r="AI6290" t="s">
        <v>10244</v>
      </c>
      <c t="s">
        <v>45620</v>
      </c>
      <c r="AL6290" t="s">
        <v>20967</v>
      </c>
      <c t="s">
        <v>40227</v>
      </c>
      <c t="s">
        <v>26016</v>
      </c>
      <c t="s">
        <v>44066</v>
      </c>
      <c t="s">
        <v>44428</v>
      </c>
      <c t="s">
        <v>3093</v>
      </c>
      <c t="s">
        <v>6093</v>
      </c>
    </row>
    <row>
      <c t="s">
        <v>17594</v>
      </c>
      <c t="s">
        <v>19041</v>
      </c>
      <c t="s">
        <v>5419</v>
      </c>
      <c t="s">
        <v>15309</v>
      </c>
      <c t="s">
        <v>30042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91" s="1" t="str">
        <f ca="1">HYPERLINK("https://web.datatree.com/?/property?propertyId=229560457", "https://web.datatree.com/?/property?propertyId=229560457")</f>
        <v>https://web.datatree.com/?/property?propertyId=229560457</v>
      </c>
      <c r="Q6291" t="s">
        <v>316</v>
      </c>
      <c>
        <v>0.096</v>
      </c>
      <c t="s">
        <v>9944</v>
      </c>
      <c r="U6291" t="s">
        <v>30178</v>
      </c>
      <c t="s">
        <v>4566</v>
      </c>
      <c t="s">
        <v>13191</v>
      </c>
      <c t="s">
        <v>39775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2446</v>
      </c>
      <c>
        <v>23885</v>
      </c>
      <c r="AI6291" t="s">
        <v>50629</v>
      </c>
      <c t="s">
        <v>24900</v>
      </c>
      <c r="AL6291" t="s">
        <v>62104</v>
      </c>
      <c t="s">
        <v>40227</v>
      </c>
      <c t="s">
        <v>50829</v>
      </c>
      <c t="s">
        <v>13007</v>
      </c>
      <c t="s">
        <v>22455</v>
      </c>
      <c t="s">
        <v>3093</v>
      </c>
      <c t="s">
        <v>62531</v>
      </c>
    </row>
    <row>
      <c t="s">
        <v>17594</v>
      </c>
      <c t="s">
        <v>52406</v>
      </c>
      <c t="s">
        <v>50213</v>
      </c>
      <c t="s">
        <v>35970</v>
      </c>
      <c t="s">
        <v>36414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92" s="1" t="str">
        <f ca="1">HYPERLINK("https://web.datatree.com/?/property?propertyId=229560458", "https://web.datatree.com/?/property?propertyId=229560458")</f>
        <v>https://web.datatree.com/?/property?propertyId=229560458</v>
      </c>
      <c r="Q6292" t="s">
        <v>316</v>
      </c>
      <c>
        <v>0.096</v>
      </c>
      <c t="s">
        <v>9944</v>
      </c>
      <c t="s">
        <v>62125</v>
      </c>
      <c t="s">
        <v>1859</v>
      </c>
      <c t="s">
        <v>64201</v>
      </c>
      <c t="s">
        <v>1859</v>
      </c>
      <c t="s">
        <v>19281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22398</v>
      </c>
      <c>
        <v>1600</v>
      </c>
      <c r="AI6292" t="s">
        <v>63069</v>
      </c>
      <c t="s">
        <v>45620</v>
      </c>
      <c r="AL6292" t="s">
        <v>56343</v>
      </c>
      <c t="s">
        <v>40227</v>
      </c>
      <c t="s">
        <v>22275</v>
      </c>
      <c t="s">
        <v>12368</v>
      </c>
      <c t="s">
        <v>35354</v>
      </c>
      <c t="s">
        <v>3093</v>
      </c>
      <c t="s">
        <v>39419</v>
      </c>
    </row>
    <row>
      <c t="s">
        <v>17594</v>
      </c>
      <c t="s">
        <v>18860</v>
      </c>
      <c t="s">
        <v>23628</v>
      </c>
      <c t="s">
        <v>56620</v>
      </c>
      <c t="s">
        <v>42808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93" s="1" t="str">
        <f ca="1">HYPERLINK("https://web.datatree.com/?/property?propertyId=229560459", "https://web.datatree.com/?/property?propertyId=229560459")</f>
        <v>https://web.datatree.com/?/property?propertyId=229560459</v>
      </c>
      <c r="Q6293" t="s">
        <v>316</v>
      </c>
      <c>
        <v>0.096</v>
      </c>
      <c t="s">
        <v>9944</v>
      </c>
      <c t="s">
        <v>2140</v>
      </c>
      <c t="s">
        <v>12143</v>
      </c>
      <c t="s">
        <v>56080</v>
      </c>
      <c t="s">
        <v>12143</v>
      </c>
      <c t="s">
        <v>59587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18965</v>
      </c>
      <c>
        <v>1560</v>
      </c>
      <c r="AI6293" t="s">
        <v>33854</v>
      </c>
      <c t="s">
        <v>45393</v>
      </c>
      <c r="AL6293" t="s">
        <v>34498</v>
      </c>
      <c t="s">
        <v>34498</v>
      </c>
      <c t="s">
        <v>17134</v>
      </c>
      <c t="s">
        <v>36184</v>
      </c>
      <c t="s">
        <v>12241</v>
      </c>
      <c t="s">
        <v>3093</v>
      </c>
      <c t="s">
        <v>46909</v>
      </c>
    </row>
    <row>
      <c t="s">
        <v>17594</v>
      </c>
      <c t="s">
        <v>51430</v>
      </c>
      <c t="s">
        <v>26111</v>
      </c>
      <c t="s">
        <v>37288</v>
      </c>
      <c t="s">
        <v>62012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94" s="1" t="str">
        <f ca="1">HYPERLINK("https://web.datatree.com/?/property?propertyId=229560462", "https://web.datatree.com/?/property?propertyId=229560462")</f>
        <v>https://web.datatree.com/?/property?propertyId=229560462</v>
      </c>
      <c r="Q6294" t="s">
        <v>316</v>
      </c>
      <c>
        <v>0.096</v>
      </c>
      <c t="s">
        <v>9944</v>
      </c>
      <c t="s">
        <v>552</v>
      </c>
      <c t="s">
        <v>46201</v>
      </c>
      <c t="s">
        <v>26697</v>
      </c>
      <c t="s">
        <v>46201</v>
      </c>
      <c t="s">
        <v>40076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65838</v>
      </c>
      <c>
        <v>616</v>
      </c>
      <c r="AI6294" t="s">
        <v>46205</v>
      </c>
      <c t="s">
        <v>31192</v>
      </c>
      <c r="AL6294" t="s">
        <v>51649</v>
      </c>
      <c t="s">
        <v>51649</v>
      </c>
      <c t="s">
        <v>19878</v>
      </c>
      <c t="s">
        <v>10839</v>
      </c>
      <c t="s">
        <v>60160</v>
      </c>
      <c t="s">
        <v>3093</v>
      </c>
      <c t="s">
        <v>28253</v>
      </c>
    </row>
    <row>
      <c t="s">
        <v>17594</v>
      </c>
      <c t="s">
        <v>17294</v>
      </c>
      <c t="s">
        <v>9049</v>
      </c>
      <c t="s">
        <v>50641</v>
      </c>
      <c t="s">
        <v>65409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95" s="1" t="str">
        <f ca="1">HYPERLINK("https://web.datatree.com/?/property?propertyId=229560463", "https://web.datatree.com/?/property?propertyId=229560463")</f>
        <v>https://web.datatree.com/?/property?propertyId=229560463</v>
      </c>
      <c r="Q6295" t="s">
        <v>316</v>
      </c>
      <c>
        <v>0.096</v>
      </c>
      <c t="s">
        <v>9944</v>
      </c>
      <c t="s">
        <v>2140</v>
      </c>
      <c t="s">
        <v>19015</v>
      </c>
      <c t="s">
        <v>66761</v>
      </c>
      <c t="s">
        <v>19015</v>
      </c>
      <c t="s">
        <v>46156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18579</v>
      </c>
      <c>
        <v>109</v>
      </c>
      <c r="AI6295" t="s">
        <v>32316</v>
      </c>
      <c t="s">
        <v>31192</v>
      </c>
      <c r="AL6295" t="s">
        <v>49064</v>
      </c>
      <c t="s">
        <v>49064</v>
      </c>
      <c t="s">
        <v>32657</v>
      </c>
      <c>
        <v>38555</v>
      </c>
      <c t="s">
        <v>53476</v>
      </c>
      <c t="s">
        <v>3093</v>
      </c>
      <c t="s">
        <v>51915</v>
      </c>
    </row>
    <row>
      <c t="s">
        <v>17594</v>
      </c>
      <c t="s">
        <v>35755</v>
      </c>
      <c t="s">
        <v>9043</v>
      </c>
      <c t="s">
        <v>10707</v>
      </c>
      <c t="s">
        <v>10694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96" s="1" t="str">
        <f ca="1">HYPERLINK("https://web.datatree.com/?/property?propertyId=229560465", "https://web.datatree.com/?/property?propertyId=229560465")</f>
        <v>https://web.datatree.com/?/property?propertyId=229560465</v>
      </c>
      <c r="Q6296" t="s">
        <v>316</v>
      </c>
      <c>
        <v>0.096</v>
      </c>
      <c t="s">
        <v>9944</v>
      </c>
      <c t="s">
        <v>11199</v>
      </c>
      <c t="s">
        <v>27656</v>
      </c>
      <c t="s">
        <v>26502</v>
      </c>
      <c t="s">
        <v>27656</v>
      </c>
      <c t="s">
        <v>32535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14607</v>
      </c>
      <c>
        <v>3462</v>
      </c>
      <c r="AI6296" t="s">
        <v>28753</v>
      </c>
      <c t="s">
        <v>45620</v>
      </c>
      <c r="AL6296" t="s">
        <v>56661</v>
      </c>
      <c t="s">
        <v>40227</v>
      </c>
      <c t="s">
        <v>17134</v>
      </c>
      <c t="s">
        <v>8298</v>
      </c>
      <c t="s">
        <v>8172</v>
      </c>
      <c t="s">
        <v>3093</v>
      </c>
      <c t="s">
        <v>65999</v>
      </c>
    </row>
    <row>
      <c t="s">
        <v>17594</v>
      </c>
      <c t="s">
        <v>34774</v>
      </c>
      <c t="s">
        <v>28740</v>
      </c>
      <c t="s">
        <v>5351</v>
      </c>
      <c t="s">
        <v>29664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297" s="1" t="str">
        <f ca="1">HYPERLINK("https://web.datatree.com/?/property?propertyId=229560468", "https://web.datatree.com/?/property?propertyId=229560468")</f>
        <v>https://web.datatree.com/?/property?propertyId=229560468</v>
      </c>
      <c r="Q6297" t="s">
        <v>316</v>
      </c>
      <c>
        <v>0.096</v>
      </c>
      <c t="s">
        <v>9944</v>
      </c>
      <c t="s">
        <v>32056</v>
      </c>
      <c t="s">
        <v>64518</v>
      </c>
      <c t="s">
        <v>56577</v>
      </c>
      <c t="s">
        <v>64518</v>
      </c>
      <c t="s">
        <v>3813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57885</v>
      </c>
      <c>
        <v>514</v>
      </c>
      <c r="AI6297" t="s">
        <v>5158</v>
      </c>
      <c t="s">
        <v>835</v>
      </c>
      <c r="AL6297" t="s">
        <v>54625</v>
      </c>
      <c t="s">
        <v>54625</v>
      </c>
      <c t="s">
        <v>40451</v>
      </c>
      <c t="s">
        <v>28180</v>
      </c>
      <c t="s">
        <v>61280</v>
      </c>
      <c t="s">
        <v>3093</v>
      </c>
      <c t="s">
        <v>37668</v>
      </c>
    </row>
    <row>
      <c t="s">
        <v>17594</v>
      </c>
      <c t="s">
        <v>2059</v>
      </c>
      <c t="s">
        <v>10565</v>
      </c>
      <c t="s">
        <v>12950</v>
      </c>
      <c t="s">
        <v>36502</v>
      </c>
      <c s="3">
        <v>90823</v>
      </c>
      <c s="3">
        <v>77943</v>
      </c>
      <c s="3">
        <v>89555</v>
      </c>
      <c>
        <v>0</v>
      </c>
      <c s="3">
        <v>0</v>
      </c>
      <c s="3">
        <v>1347.85</v>
      </c>
      <c s="3">
        <v>90823</v>
      </c>
      <c r="O6298" s="1" t="str">
        <f ca="1">HYPERLINK("https://web.datatree.com/?/property?propertyId=229560470", "https://web.datatree.com/?/property?propertyId=229560470")</f>
        <v>https://web.datatree.com/?/property?propertyId=229560470</v>
      </c>
      <c r="Q6298" t="s">
        <v>316</v>
      </c>
      <c>
        <v>0.073</v>
      </c>
      <c t="s">
        <v>9944</v>
      </c>
      <c t="s">
        <v>10361</v>
      </c>
      <c t="s">
        <v>34130</v>
      </c>
      <c t="s">
        <v>21379</v>
      </c>
      <c t="s">
        <v>34130</v>
      </c>
      <c t="s">
        <v>25173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48580</v>
      </c>
      <c>
        <v>6004</v>
      </c>
      <c r="AI6298" t="s">
        <v>38405</v>
      </c>
      <c t="s">
        <v>31192</v>
      </c>
      <c r="AL6298" t="s">
        <v>58224</v>
      </c>
      <c t="s">
        <v>40227</v>
      </c>
      <c t="s">
        <v>17134</v>
      </c>
      <c t="s">
        <v>28625</v>
      </c>
      <c t="s">
        <v>22455</v>
      </c>
      <c t="s">
        <v>3093</v>
      </c>
      <c t="s">
        <v>61040</v>
      </c>
    </row>
    <row>
      <c t="s">
        <v>17594</v>
      </c>
      <c t="s">
        <v>34980</v>
      </c>
      <c t="s">
        <v>32937</v>
      </c>
      <c t="s">
        <v>40237</v>
      </c>
      <c t="s">
        <v>49270</v>
      </c>
      <c s="3">
        <v>88841</v>
      </c>
      <c s="3">
        <v>75000</v>
      </c>
      <c s="3">
        <v>87825</v>
      </c>
      <c>
        <v>0</v>
      </c>
      <c s="3">
        <v>0</v>
      </c>
      <c s="3">
        <v>1320.54</v>
      </c>
      <c s="3">
        <v>88841</v>
      </c>
      <c r="O6299" s="1" t="str">
        <f ca="1">HYPERLINK("https://web.datatree.com/?/property?propertyId=229560472", "https://web.datatree.com/?/property?propertyId=229560472")</f>
        <v>https://web.datatree.com/?/property?propertyId=229560472</v>
      </c>
      <c r="Q6299" t="s">
        <v>316</v>
      </c>
      <c>
        <v>0.073</v>
      </c>
      <c t="s">
        <v>9944</v>
      </c>
      <c r="U6299" t="s">
        <v>48453</v>
      </c>
      <c r="W6299" t="s">
        <v>2682</v>
      </c>
      <c t="s">
        <v>2523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4369</v>
      </c>
      <c>
        <v>350</v>
      </c>
      <c r="AI6299" t="s">
        <v>2497</v>
      </c>
      <c t="s">
        <v>4985</v>
      </c>
      <c>
        <v>608</v>
      </c>
      <c t="s">
        <v>6263</v>
      </c>
      <c t="s">
        <v>6263</v>
      </c>
      <c t="s">
        <v>39289</v>
      </c>
      <c t="s">
        <v>29763</v>
      </c>
      <c t="s">
        <v>25140</v>
      </c>
      <c t="s">
        <v>3093</v>
      </c>
      <c t="s">
        <v>10598</v>
      </c>
    </row>
    <row>
      <c t="s">
        <v>17594</v>
      </c>
      <c t="s">
        <v>1103</v>
      </c>
      <c t="s">
        <v>35604</v>
      </c>
      <c t="s">
        <v>61031</v>
      </c>
      <c t="s">
        <v>55628</v>
      </c>
      <c s="3">
        <v>88224</v>
      </c>
      <c s="3">
        <v>75000</v>
      </c>
      <c s="3">
        <v>88224</v>
      </c>
      <c>
        <v>0</v>
      </c>
      <c s="3">
        <v>0</v>
      </c>
      <c s="3">
        <v>1320.87</v>
      </c>
      <c s="3">
        <v>88224</v>
      </c>
      <c r="O6300" s="1" t="str">
        <f ca="1">HYPERLINK("https://web.datatree.com/?/property?propertyId=229560473", "https://web.datatree.com/?/property?propertyId=229560473")</f>
        <v>https://web.datatree.com/?/property?propertyId=229560473</v>
      </c>
      <c r="Q6300" t="s">
        <v>316</v>
      </c>
      <c>
        <v>0.072</v>
      </c>
      <c t="s">
        <v>9944</v>
      </c>
      <c t="s">
        <v>12732</v>
      </c>
      <c t="s">
        <v>38393</v>
      </c>
      <c t="s">
        <v>60243</v>
      </c>
      <c t="s">
        <v>38393</v>
      </c>
      <c t="s">
        <v>12460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24306</v>
      </c>
      <c>
        <v>29553</v>
      </c>
      <c r="AI6300" t="s">
        <v>57918</v>
      </c>
      <c t="s">
        <v>24900</v>
      </c>
      <c r="AL6300" t="s">
        <v>56260</v>
      </c>
      <c t="s">
        <v>40227</v>
      </c>
      <c t="s">
        <v>58733</v>
      </c>
      <c t="s">
        <v>48164</v>
      </c>
      <c t="s">
        <v>52247</v>
      </c>
      <c t="s">
        <v>3093</v>
      </c>
      <c t="s">
        <v>59303</v>
      </c>
    </row>
    <row>
      <c t="s">
        <v>17594</v>
      </c>
      <c t="s">
        <v>34165</v>
      </c>
      <c t="s">
        <v>30096</v>
      </c>
      <c t="s">
        <v>60553</v>
      </c>
      <c t="s">
        <v>59064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301" s="1" t="str">
        <f ca="1">HYPERLINK("https://web.datatree.com/?/property?propertyId=229560474", "https://web.datatree.com/?/property?propertyId=229560474")</f>
        <v>https://web.datatree.com/?/property?propertyId=229560474</v>
      </c>
      <c r="Q6301" t="s">
        <v>316</v>
      </c>
      <c>
        <v>0.072</v>
      </c>
      <c t="s">
        <v>9944</v>
      </c>
      <c t="s">
        <v>1981</v>
      </c>
      <c t="s">
        <v>32615</v>
      </c>
      <c t="s">
        <v>43826</v>
      </c>
      <c t="s">
        <v>32615</v>
      </c>
      <c t="s">
        <v>18526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44728</v>
      </c>
      <c>
        <v>43</v>
      </c>
      <c r="AI6301" t="s">
        <v>4921</v>
      </c>
      <c t="s">
        <v>40123</v>
      </c>
      <c r="AL6301" t="s">
        <v>3277</v>
      </c>
      <c t="s">
        <v>40227</v>
      </c>
      <c t="s">
        <v>32657</v>
      </c>
      <c t="s">
        <v>55415</v>
      </c>
      <c t="s">
        <v>52247</v>
      </c>
      <c t="s">
        <v>3093</v>
      </c>
      <c t="s">
        <v>56711</v>
      </c>
    </row>
    <row>
      <c t="s">
        <v>17594</v>
      </c>
      <c t="s">
        <v>19551</v>
      </c>
      <c t="s">
        <v>24072</v>
      </c>
      <c t="s">
        <v>34257</v>
      </c>
      <c t="s">
        <v>4484</v>
      </c>
      <c s="3">
        <v>84855</v>
      </c>
      <c s="3">
        <v>75000</v>
      </c>
      <c s="3">
        <v>83441</v>
      </c>
      <c>
        <v>0</v>
      </c>
      <c s="3">
        <v>0</v>
      </c>
      <c s="3">
        <v>1257.11</v>
      </c>
      <c s="3">
        <v>84855</v>
      </c>
      <c r="O6302" s="1" t="str">
        <f ca="1">HYPERLINK("https://web.datatree.com/?/property?propertyId=229560476", "https://web.datatree.com/?/property?propertyId=229560476")</f>
        <v>https://web.datatree.com/?/property?propertyId=229560476</v>
      </c>
      <c r="Q6302" t="s">
        <v>316</v>
      </c>
      <c>
        <v>0.073</v>
      </c>
      <c t="s">
        <v>9944</v>
      </c>
      <c r="U6302" t="s">
        <v>14077</v>
      </c>
      <c r="W6302" t="s">
        <v>65493</v>
      </c>
      <c t="s">
        <v>17787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17675</v>
      </c>
      <c>
        <v>1074</v>
      </c>
      <c r="AI6302" t="s">
        <v>37683</v>
      </c>
      <c t="s">
        <v>20615</v>
      </c>
      <c r="AL6302" t="s">
        <v>59706</v>
      </c>
      <c t="s">
        <v>40227</v>
      </c>
      <c t="s">
        <v>48152</v>
      </c>
      <c t="s">
        <v>12864</v>
      </c>
      <c t="s">
        <v>56017</v>
      </c>
      <c t="s">
        <v>3093</v>
      </c>
      <c t="s">
        <v>9506</v>
      </c>
    </row>
    <row>
      <c t="s">
        <v>17594</v>
      </c>
      <c t="s">
        <v>148</v>
      </c>
      <c t="s">
        <v>52094</v>
      </c>
      <c t="s">
        <v>54999</v>
      </c>
      <c t="s">
        <v>10773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303" s="1" t="str">
        <f ca="1">HYPERLINK("https://web.datatree.com/?/property?propertyId=229560477", "https://web.datatree.com/?/property?propertyId=229560477")</f>
        <v>https://web.datatree.com/?/property?propertyId=229560477</v>
      </c>
      <c r="Q6303" t="s">
        <v>316</v>
      </c>
      <c>
        <v>0.075</v>
      </c>
      <c t="s">
        <v>9944</v>
      </c>
      <c t="s">
        <v>43826</v>
      </c>
      <c t="s">
        <v>55902</v>
      </c>
      <c t="s">
        <v>25238</v>
      </c>
      <c t="s">
        <v>55902</v>
      </c>
      <c t="s">
        <v>59058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425</v>
      </c>
      <c>
        <v>7352</v>
      </c>
      <c r="AI6303" t="s">
        <v>52157</v>
      </c>
      <c t="s">
        <v>45393</v>
      </c>
      <c r="AL6303" t="s">
        <v>20590</v>
      </c>
      <c t="s">
        <v>29439</v>
      </c>
      <c t="s">
        <v>51137</v>
      </c>
      <c t="s">
        <v>14772</v>
      </c>
      <c t="s">
        <v>22455</v>
      </c>
      <c t="s">
        <v>3093</v>
      </c>
      <c t="s">
        <v>10049</v>
      </c>
    </row>
    <row>
      <c t="s">
        <v>17594</v>
      </c>
      <c t="s">
        <v>18611</v>
      </c>
      <c t="s">
        <v>7879</v>
      </c>
      <c t="s">
        <v>14932</v>
      </c>
      <c t="s">
        <v>23310</v>
      </c>
      <c s="3">
        <v>90766</v>
      </c>
      <c s="3">
        <v>78210</v>
      </c>
      <c s="3">
        <v>89943</v>
      </c>
      <c>
        <v>0</v>
      </c>
      <c s="3">
        <v>0</v>
      </c>
      <c s="3">
        <v>1351.17</v>
      </c>
      <c s="3">
        <v>90766</v>
      </c>
      <c r="O6304" s="1" t="str">
        <f ca="1">HYPERLINK("https://web.datatree.com/?/property?propertyId=229560479", "https://web.datatree.com/?/property?propertyId=229560479")</f>
        <v>https://web.datatree.com/?/property?propertyId=229560479</v>
      </c>
      <c r="Q6304" t="s">
        <v>316</v>
      </c>
      <c>
        <v>0.075</v>
      </c>
      <c t="s">
        <v>9944</v>
      </c>
      <c t="s">
        <v>18849</v>
      </c>
      <c t="s">
        <v>12724</v>
      </c>
      <c t="s">
        <v>5578</v>
      </c>
      <c t="s">
        <v>55646</v>
      </c>
      <c t="s">
        <v>38358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61023</v>
      </c>
      <c>
        <v>411</v>
      </c>
      <c r="AI6304" t="s">
        <v>22464</v>
      </c>
      <c t="s">
        <v>45393</v>
      </c>
      <c>
        <v>11318</v>
      </c>
      <c t="s">
        <v>61590</v>
      </c>
      <c t="s">
        <v>61590</v>
      </c>
      <c t="s">
        <v>39289</v>
      </c>
      <c t="s">
        <v>55522</v>
      </c>
      <c t="s">
        <v>57971</v>
      </c>
      <c t="s">
        <v>3093</v>
      </c>
      <c t="s">
        <v>50074</v>
      </c>
    </row>
    <row>
      <c t="s">
        <v>17594</v>
      </c>
      <c t="s">
        <v>51949</v>
      </c>
      <c t="s">
        <v>2408</v>
      </c>
      <c t="s">
        <v>35590</v>
      </c>
      <c t="s">
        <v>29750</v>
      </c>
      <c s="3">
        <v>90499</v>
      </c>
      <c s="3">
        <v>77943</v>
      </c>
      <c s="3">
        <v>89085</v>
      </c>
      <c>
        <v>0</v>
      </c>
      <c s="3">
        <v>0</v>
      </c>
      <c s="3">
        <v>1341.6</v>
      </c>
      <c s="3">
        <v>90499</v>
      </c>
      <c r="O6305" s="1" t="str">
        <f ca="1">HYPERLINK("https://web.datatree.com/?/property?propertyId=229560480", "https://web.datatree.com/?/property?propertyId=229560480")</f>
        <v>https://web.datatree.com/?/property?propertyId=229560480</v>
      </c>
      <c r="Q6305" t="s">
        <v>316</v>
      </c>
      <c>
        <v>0.075</v>
      </c>
      <c t="s">
        <v>9944</v>
      </c>
      <c t="s">
        <v>552</v>
      </c>
      <c t="s">
        <v>50455</v>
      </c>
      <c t="s">
        <v>16558</v>
      </c>
      <c t="s">
        <v>50455</v>
      </c>
      <c t="s">
        <v>2699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50</v>
      </c>
      <c>
        <v>114</v>
      </c>
      <c r="AI6305" t="s">
        <v>22781</v>
      </c>
      <c t="s">
        <v>55842</v>
      </c>
      <c r="AL6305" t="s">
        <v>35285</v>
      </c>
      <c t="s">
        <v>35285</v>
      </c>
      <c t="s">
        <v>36633</v>
      </c>
      <c t="s">
        <v>56371</v>
      </c>
      <c t="s">
        <v>17380</v>
      </c>
      <c t="s">
        <v>3093</v>
      </c>
      <c t="s">
        <v>41713</v>
      </c>
    </row>
    <row>
      <c t="s">
        <v>17594</v>
      </c>
      <c t="s">
        <v>18422</v>
      </c>
      <c t="s">
        <v>50604</v>
      </c>
      <c t="s">
        <v>56270</v>
      </c>
      <c t="s">
        <v>36169</v>
      </c>
      <c s="3">
        <v>87905</v>
      </c>
      <c s="3">
        <v>77943</v>
      </c>
      <c s="3">
        <v>87905</v>
      </c>
      <c>
        <v>0</v>
      </c>
      <c s="3">
        <v>0</v>
      </c>
      <c s="3">
        <v>1316.08</v>
      </c>
      <c s="3">
        <v>87905</v>
      </c>
      <c r="O6306" s="1" t="str">
        <f ca="1">HYPERLINK("https://web.datatree.com/?/property?propertyId=229560481", "https://web.datatree.com/?/property?propertyId=229560481")</f>
        <v>https://web.datatree.com/?/property?propertyId=229560481</v>
      </c>
      <c r="Q6306" t="s">
        <v>316</v>
      </c>
      <c>
        <v>0.075</v>
      </c>
      <c t="s">
        <v>9944</v>
      </c>
      <c t="s">
        <v>16200</v>
      </c>
      <c t="s">
        <v>61874</v>
      </c>
      <c t="s">
        <v>66240</v>
      </c>
      <c t="s">
        <v>61874</v>
      </c>
      <c t="s">
        <v>17302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63787</v>
      </c>
      <c>
        <v>3115</v>
      </c>
      <c r="AI6306" t="s">
        <v>3787</v>
      </c>
      <c t="s">
        <v>45620</v>
      </c>
      <c r="AL6306" t="s">
        <v>12382</v>
      </c>
      <c t="s">
        <v>40227</v>
      </c>
      <c t="s">
        <v>51137</v>
      </c>
      <c t="s">
        <v>11281</v>
      </c>
      <c t="s">
        <v>22152</v>
      </c>
      <c t="s">
        <v>3093</v>
      </c>
      <c t="s">
        <v>30474</v>
      </c>
    </row>
    <row>
      <c t="s">
        <v>17594</v>
      </c>
      <c t="s">
        <v>51747</v>
      </c>
      <c t="s">
        <v>50798</v>
      </c>
      <c t="s">
        <v>9638</v>
      </c>
      <c t="s">
        <v>42523</v>
      </c>
      <c s="3">
        <v>91034</v>
      </c>
      <c s="3">
        <v>78478</v>
      </c>
      <c s="3">
        <v>91034</v>
      </c>
      <c>
        <v>0</v>
      </c>
      <c s="3">
        <v>0</v>
      </c>
      <c s="3">
        <v>1362.95</v>
      </c>
      <c s="3">
        <v>91034</v>
      </c>
      <c r="O6307" s="1" t="str">
        <f ca="1">HYPERLINK("https://web.datatree.com/?/property?propertyId=229560482", "https://web.datatree.com/?/property?propertyId=229560482")</f>
        <v>https://web.datatree.com/?/property?propertyId=229560482</v>
      </c>
      <c r="Q6307" t="s">
        <v>316</v>
      </c>
      <c>
        <v>0.075</v>
      </c>
      <c t="s">
        <v>9944</v>
      </c>
      <c t="s">
        <v>46578</v>
      </c>
      <c t="s">
        <v>38630</v>
      </c>
      <c t="s">
        <v>5944</v>
      </c>
      <c t="s">
        <v>38630</v>
      </c>
      <c t="s">
        <v>37554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16517</v>
      </c>
      <c>
        <v>1140</v>
      </c>
      <c r="AI6307" t="s">
        <v>22464</v>
      </c>
      <c t="s">
        <v>55842</v>
      </c>
      <c r="AL6307" t="s">
        <v>9738</v>
      </c>
      <c t="s">
        <v>9738</v>
      </c>
      <c t="s">
        <v>19878</v>
      </c>
      <c t="s">
        <v>15989</v>
      </c>
      <c t="s">
        <v>4797</v>
      </c>
      <c t="s">
        <v>3093</v>
      </c>
      <c t="s">
        <v>61447</v>
      </c>
    </row>
    <row>
      <c t="s">
        <v>42103</v>
      </c>
      <c t="s">
        <v>17596</v>
      </c>
      <c t="s">
        <v>2888</v>
      </c>
      <c t="s">
        <v>16220</v>
      </c>
      <c t="s">
        <v>48910</v>
      </c>
      <c s="3">
        <v>102504</v>
      </c>
      <c s="3">
        <v>88044</v>
      </c>
      <c s="3">
        <v>88620</v>
      </c>
      <c>
        <v>0</v>
      </c>
      <c s="3">
        <v>0</v>
      </c>
      <c s="3">
        <v>1331.47</v>
      </c>
      <c s="3">
        <v>102504</v>
      </c>
      <c r="O6308" s="1" t="str">
        <f ca="1">HYPERLINK("https://web.datatree.com/?/property?propertyId=229560483", "https://web.datatree.com/?/property?propertyId=229560483")</f>
        <v>https://web.datatree.com/?/property?propertyId=229560483</v>
      </c>
      <c r="Q6308" t="s">
        <v>316</v>
      </c>
      <c>
        <v>0.075</v>
      </c>
      <c t="s">
        <v>9944</v>
      </c>
      <c t="s">
        <v>65985</v>
      </c>
      <c t="s">
        <v>39850</v>
      </c>
      <c t="s">
        <v>21670</v>
      </c>
      <c t="s">
        <v>39850</v>
      </c>
      <c t="s">
        <v>58182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36772</v>
      </c>
      <c r="AI6308" t="s">
        <v>52802</v>
      </c>
      <c r="AL6308" t="s">
        <v>32847</v>
      </c>
      <c t="s">
        <v>32847</v>
      </c>
      <c t="s">
        <v>64022</v>
      </c>
      <c>
        <v>3470</v>
      </c>
      <c t="s">
        <v>39363</v>
      </c>
      <c t="s">
        <v>3093</v>
      </c>
      <c t="s">
        <v>18091</v>
      </c>
    </row>
    <row>
      <c t="s">
        <v>17594</v>
      </c>
      <c t="s">
        <v>3123</v>
      </c>
      <c t="s">
        <v>45856</v>
      </c>
      <c t="s">
        <v>29580</v>
      </c>
      <c t="s">
        <v>38372</v>
      </c>
      <c s="3">
        <v>91034</v>
      </c>
      <c s="3">
        <v>78478</v>
      </c>
      <c s="3">
        <v>89620</v>
      </c>
      <c>
        <v>0</v>
      </c>
      <c s="3">
        <v>0</v>
      </c>
      <c s="3">
        <v>1349.64</v>
      </c>
      <c s="3">
        <v>91034</v>
      </c>
      <c r="O6309" s="1" t="str">
        <f ca="1">HYPERLINK("https://web.datatree.com/?/property?propertyId=229560484", "https://web.datatree.com/?/property?propertyId=229560484")</f>
        <v>https://web.datatree.com/?/property?propertyId=229560484</v>
      </c>
      <c r="Q6309" t="s">
        <v>316</v>
      </c>
      <c>
        <v>0.075</v>
      </c>
      <c t="s">
        <v>9944</v>
      </c>
      <c t="s">
        <v>14827</v>
      </c>
      <c t="s">
        <v>48509</v>
      </c>
      <c t="s">
        <v>66271</v>
      </c>
      <c t="s">
        <v>48509</v>
      </c>
      <c t="s">
        <v>27436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63382</v>
      </c>
      <c>
        <v>234</v>
      </c>
      <c r="AI6309" t="s">
        <v>13437</v>
      </c>
      <c t="s">
        <v>55842</v>
      </c>
      <c r="AL6309" t="s">
        <v>40203</v>
      </c>
      <c t="s">
        <v>21665</v>
      </c>
      <c t="s">
        <v>27481</v>
      </c>
      <c t="s">
        <v>11710</v>
      </c>
      <c t="s">
        <v>50779</v>
      </c>
      <c t="s">
        <v>3093</v>
      </c>
      <c t="s">
        <v>27629</v>
      </c>
    </row>
    <row>
      <c t="s">
        <v>17594</v>
      </c>
      <c t="s">
        <v>35306</v>
      </c>
      <c t="s">
        <v>58623</v>
      </c>
      <c t="s">
        <v>30895</v>
      </c>
      <c t="s">
        <v>63917</v>
      </c>
      <c s="3">
        <v>91034</v>
      </c>
      <c s="3">
        <v>78478</v>
      </c>
      <c s="3">
        <v>89620</v>
      </c>
      <c>
        <v>0</v>
      </c>
      <c s="3">
        <v>0</v>
      </c>
      <c s="3">
        <v>1349.64</v>
      </c>
      <c s="3">
        <v>91034</v>
      </c>
      <c r="O6310" s="1" t="str">
        <f ca="1">HYPERLINK("https://web.datatree.com/?/property?propertyId=229560488", "https://web.datatree.com/?/property?propertyId=229560488")</f>
        <v>https://web.datatree.com/?/property?propertyId=229560488</v>
      </c>
      <c r="Q6310" t="s">
        <v>316</v>
      </c>
      <c>
        <v>0.075</v>
      </c>
      <c t="s">
        <v>9944</v>
      </c>
      <c t="s">
        <v>13593</v>
      </c>
      <c t="s">
        <v>53385</v>
      </c>
      <c t="s">
        <v>1995</v>
      </c>
      <c t="s">
        <v>19845</v>
      </c>
      <c t="s">
        <v>66464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59467</v>
      </c>
      <c>
        <v>8934</v>
      </c>
      <c r="AI6310" t="s">
        <v>44184</v>
      </c>
      <c t="s">
        <v>1671</v>
      </c>
      <c r="AL6310" t="s">
        <v>17856</v>
      </c>
      <c t="s">
        <v>28391</v>
      </c>
      <c t="s">
        <v>50829</v>
      </c>
      <c t="s">
        <v>4374</v>
      </c>
      <c t="s">
        <v>46906</v>
      </c>
      <c t="s">
        <v>3093</v>
      </c>
      <c t="s">
        <v>44989</v>
      </c>
    </row>
    <row>
      <c t="s">
        <v>17594</v>
      </c>
      <c t="s">
        <v>1976</v>
      </c>
      <c t="s">
        <v>18030</v>
      </c>
      <c t="s">
        <v>51592</v>
      </c>
      <c t="s">
        <v>2965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311" s="1" t="str">
        <f ca="1">HYPERLINK("https://web.datatree.com/?/property?propertyId=229560489", "https://web.datatree.com/?/property?propertyId=229560489")</f>
        <v>https://web.datatree.com/?/property?propertyId=229560489</v>
      </c>
      <c r="Q6311" t="s">
        <v>316</v>
      </c>
      <c>
        <v>0.075</v>
      </c>
      <c t="s">
        <v>9944</v>
      </c>
      <c t="s">
        <v>62380</v>
      </c>
      <c t="s">
        <v>39756</v>
      </c>
      <c r="X6311" t="s">
        <v>41118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55819</v>
      </c>
      <c>
        <v>16</v>
      </c>
      <c r="AI6311" t="s">
        <v>22021</v>
      </c>
      <c t="s">
        <v>45393</v>
      </c>
      <c r="AL6311" t="s">
        <v>16558</v>
      </c>
      <c t="s">
        <v>16558</v>
      </c>
      <c t="s">
        <v>27747</v>
      </c>
      <c t="s">
        <v>59052</v>
      </c>
      <c t="s">
        <v>27780</v>
      </c>
      <c t="s">
        <v>3093</v>
      </c>
      <c t="s">
        <v>18608</v>
      </c>
    </row>
    <row>
      <c t="s">
        <v>42103</v>
      </c>
      <c t="s">
        <v>53803</v>
      </c>
      <c t="s">
        <v>21735</v>
      </c>
      <c t="s">
        <v>32157</v>
      </c>
      <c t="s">
        <v>21770</v>
      </c>
      <c s="3">
        <v>90499</v>
      </c>
      <c s="3">
        <v>77943</v>
      </c>
      <c s="3">
        <v>89085</v>
      </c>
      <c>
        <v>0</v>
      </c>
      <c s="3">
        <v>0</v>
      </c>
      <c s="3">
        <v>1341.6</v>
      </c>
      <c s="3">
        <v>90499</v>
      </c>
      <c r="O6312" s="1" t="str">
        <f ca="1">HYPERLINK("https://web.datatree.com/?/property?propertyId=229560492", "https://web.datatree.com/?/property?propertyId=229560492")</f>
        <v>https://web.datatree.com/?/property?propertyId=229560492</v>
      </c>
      <c r="Q6312" t="s">
        <v>316</v>
      </c>
      <c>
        <v>0.075</v>
      </c>
      <c t="s">
        <v>9944</v>
      </c>
      <c r="U6312" t="s">
        <v>55463</v>
      </c>
      <c r="W6312" t="s">
        <v>50989</v>
      </c>
      <c t="s">
        <v>34403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55421</v>
      </c>
      <c r="AI6312" t="s">
        <v>34478</v>
      </c>
      <c r="AL6312" t="s">
        <v>5578</v>
      </c>
      <c t="s">
        <v>5578</v>
      </c>
      <c t="s">
        <v>50917</v>
      </c>
      <c>
        <v>12181</v>
      </c>
      <c t="s">
        <v>9590</v>
      </c>
      <c t="s">
        <v>3093</v>
      </c>
      <c t="s">
        <v>22174</v>
      </c>
    </row>
    <row>
      <c t="s">
        <v>17594</v>
      </c>
      <c t="s">
        <v>34084</v>
      </c>
      <c t="s">
        <v>45756</v>
      </c>
      <c t="s">
        <v>52848</v>
      </c>
      <c t="s">
        <v>28177</v>
      </c>
      <c s="3">
        <v>84855</v>
      </c>
      <c s="3">
        <v>75000</v>
      </c>
      <c s="3">
        <v>84855</v>
      </c>
      <c>
        <v>0</v>
      </c>
      <c s="3">
        <v>0</v>
      </c>
      <c s="3">
        <v>1270.43</v>
      </c>
      <c s="3">
        <v>84855</v>
      </c>
      <c r="O6313" s="1" t="str">
        <f ca="1">HYPERLINK("https://web.datatree.com/?/property?propertyId=229560493", "https://web.datatree.com/?/property?propertyId=229560493")</f>
        <v>https://web.datatree.com/?/property?propertyId=229560493</v>
      </c>
      <c r="Q6313" t="s">
        <v>316</v>
      </c>
      <c>
        <v>0.075</v>
      </c>
      <c t="s">
        <v>9944</v>
      </c>
      <c t="s">
        <v>209</v>
      </c>
      <c t="s">
        <v>32745</v>
      </c>
      <c t="s">
        <v>15051</v>
      </c>
      <c t="s">
        <v>32745</v>
      </c>
      <c t="s">
        <v>35368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51897</v>
      </c>
      <c>
        <v>309</v>
      </c>
      <c r="AI6313" t="s">
        <v>16633</v>
      </c>
      <c t="s">
        <v>31192</v>
      </c>
      <c r="AL6313" t="s">
        <v>36994</v>
      </c>
      <c t="s">
        <v>36994</v>
      </c>
      <c t="s">
        <v>19878</v>
      </c>
      <c t="s">
        <v>40357</v>
      </c>
      <c t="s">
        <v>26242</v>
      </c>
      <c t="s">
        <v>3093</v>
      </c>
      <c t="s">
        <v>4711</v>
      </c>
    </row>
    <row>
      <c t="s">
        <v>17594</v>
      </c>
      <c t="s">
        <v>19470</v>
      </c>
      <c t="s">
        <v>14841</v>
      </c>
      <c t="s">
        <v>5779</v>
      </c>
      <c t="s">
        <v>38023</v>
      </c>
      <c s="3">
        <v>85179</v>
      </c>
      <c s="3">
        <v>75000</v>
      </c>
      <c s="3">
        <v>83911</v>
      </c>
      <c>
        <v>0</v>
      </c>
      <c s="3">
        <v>0</v>
      </c>
      <c s="3">
        <v>1263.36</v>
      </c>
      <c s="3">
        <v>85179</v>
      </c>
      <c r="O6314" s="1" t="str">
        <f ca="1">HYPERLINK("https://web.datatree.com/?/property?propertyId=229560774", "https://web.datatree.com/?/property?propertyId=229560774")</f>
        <v>https://web.datatree.com/?/property?propertyId=229560774</v>
      </c>
      <c r="Q6314" t="s">
        <v>316</v>
      </c>
      <c>
        <v>0.075</v>
      </c>
      <c t="s">
        <v>9944</v>
      </c>
      <c t="s">
        <v>25238</v>
      </c>
      <c t="s">
        <v>35291</v>
      </c>
      <c t="s">
        <v>47383</v>
      </c>
      <c t="s">
        <v>35291</v>
      </c>
      <c t="s">
        <v>61393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24807</v>
      </c>
      <c>
        <v>24844</v>
      </c>
      <c r="AI6314" t="s">
        <v>12895</v>
      </c>
      <c t="s">
        <v>45620</v>
      </c>
      <c r="AL6314" t="s">
        <v>35776</v>
      </c>
      <c t="s">
        <v>40227</v>
      </c>
      <c t="s">
        <v>19878</v>
      </c>
      <c t="s">
        <v>3417</v>
      </c>
      <c t="s">
        <v>22455</v>
      </c>
      <c t="s">
        <v>3093</v>
      </c>
      <c t="s">
        <v>55092</v>
      </c>
    </row>
    <row>
      <c t="s">
        <v>17594</v>
      </c>
      <c t="s">
        <v>18730</v>
      </c>
      <c t="s">
        <v>43274</v>
      </c>
      <c t="s">
        <v>26105</v>
      </c>
      <c t="s">
        <v>44456</v>
      </c>
      <c s="3">
        <v>87530</v>
      </c>
      <c s="3">
        <v>77675</v>
      </c>
      <c s="3">
        <v>86116</v>
      </c>
      <c>
        <v>0</v>
      </c>
      <c s="3">
        <v>0</v>
      </c>
      <c s="3">
        <v>1297.19</v>
      </c>
      <c s="3">
        <v>87530</v>
      </c>
      <c r="O6315" s="1" t="str">
        <f ca="1">HYPERLINK("https://web.datatree.com/?/property?propertyId=229560775", "https://web.datatree.com/?/property?propertyId=229560775")</f>
        <v>https://web.datatree.com/?/property?propertyId=229560775</v>
      </c>
      <c r="Q6315" t="s">
        <v>316</v>
      </c>
      <c>
        <v>0.075</v>
      </c>
      <c t="s">
        <v>9944</v>
      </c>
      <c t="s">
        <v>44541</v>
      </c>
      <c t="s">
        <v>39574</v>
      </c>
      <c t="s">
        <v>42757</v>
      </c>
      <c t="s">
        <v>39574</v>
      </c>
      <c t="s">
        <v>53736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51512</v>
      </c>
      <c>
        <v>37010</v>
      </c>
      <c r="AI6315" t="s">
        <v>34773</v>
      </c>
      <c t="s">
        <v>705</v>
      </c>
      <c r="AL6315" t="s">
        <v>21330</v>
      </c>
      <c t="s">
        <v>21330</v>
      </c>
      <c t="s">
        <v>51087</v>
      </c>
      <c t="s">
        <v>777</v>
      </c>
      <c t="s">
        <v>30106</v>
      </c>
      <c t="s">
        <v>3093</v>
      </c>
      <c t="s">
        <v>19680</v>
      </c>
    </row>
    <row>
      <c t="s">
        <v>17594</v>
      </c>
      <c t="s">
        <v>52656</v>
      </c>
      <c t="s">
        <v>31795</v>
      </c>
      <c t="s">
        <v>46860</v>
      </c>
      <c t="s">
        <v>50742</v>
      </c>
      <c s="3">
        <v>98023</v>
      </c>
      <c s="3">
        <v>86364</v>
      </c>
      <c s="3">
        <v>97678</v>
      </c>
      <c>
        <v>0</v>
      </c>
      <c s="3">
        <v>0</v>
      </c>
      <c s="3">
        <v>1464.34</v>
      </c>
      <c s="3">
        <v>98023</v>
      </c>
      <c r="O6316" s="1" t="str">
        <f ca="1">HYPERLINK("https://web.datatree.com/?/property?propertyId=229560776", "https://web.datatree.com/?/property?propertyId=229560776")</f>
        <v>https://web.datatree.com/?/property?propertyId=229560776</v>
      </c>
      <c r="Q6316" t="s">
        <v>316</v>
      </c>
      <c>
        <v>0.11</v>
      </c>
      <c t="s">
        <v>9944</v>
      </c>
      <c r="U6316" t="s">
        <v>39560</v>
      </c>
      <c r="W6316" t="s">
        <v>16356</v>
      </c>
      <c t="s">
        <v>39560</v>
      </c>
      <c t="s">
        <v>55928</v>
      </c>
      <c t="s">
        <v>65059</v>
      </c>
      <c t="s">
        <v>39289</v>
      </c>
      <c>
        <v>33905</v>
      </c>
      <c>
        <v>33905</v>
      </c>
      <c t="s">
        <v>48794</v>
      </c>
      <c t="s">
        <v>47930</v>
      </c>
      <c>
        <v>912</v>
      </c>
      <c r="AH6316" t="s">
        <v>52165</v>
      </c>
      <c t="s">
        <v>3724</v>
      </c>
      <c t="s">
        <v>31192</v>
      </c>
      <c r="AL6316" t="s">
        <v>46735</v>
      </c>
      <c t="s">
        <v>46735</v>
      </c>
      <c t="s">
        <v>17134</v>
      </c>
      <c t="s">
        <v>22259</v>
      </c>
      <c t="s">
        <v>34162</v>
      </c>
      <c t="s">
        <v>3093</v>
      </c>
      <c t="s">
        <v>60629</v>
      </c>
    </row>
    <row>
      <c t="s">
        <v>17594</v>
      </c>
      <c t="s">
        <v>40019</v>
      </c>
      <c t="s">
        <v>36928</v>
      </c>
      <c t="s">
        <v>64593</v>
      </c>
      <c t="s">
        <v>24080</v>
      </c>
      <c s="3">
        <v>12276</v>
      </c>
      <c s="3">
        <v>12276</v>
      </c>
      <c s="3">
        <v>12276</v>
      </c>
      <c>
        <v>0</v>
      </c>
      <c s="3">
        <v>0</v>
      </c>
      <c s="3">
        <v>168.45</v>
      </c>
      <c s="3">
        <v>12276</v>
      </c>
      <c r="O6317" s="1" t="str">
        <f ca="1">HYPERLINK("https://web.datatree.com/?/property?propertyId=229561114", "https://web.datatree.com/?/property?propertyId=229561114")</f>
        <v>https://web.datatree.com/?/property?propertyId=229561114</v>
      </c>
      <c r="Q6317" t="s">
        <v>316</v>
      </c>
      <c>
        <v>0.209</v>
      </c>
      <c t="s">
        <v>45526</v>
      </c>
      <c t="s">
        <v>47977</v>
      </c>
      <c t="s">
        <v>15755</v>
      </c>
      <c t="s">
        <v>42388</v>
      </c>
      <c t="s">
        <v>15755</v>
      </c>
      <c t="s">
        <v>32257</v>
      </c>
      <c t="s">
        <v>41593</v>
      </c>
      <c t="s">
        <v>65059</v>
      </c>
      <c t="s">
        <v>39289</v>
      </c>
      <c>
        <v>33908</v>
      </c>
      <c t="s">
        <v>12598</v>
      </c>
      <c t="s">
        <v>48794</v>
      </c>
      <c t="s">
        <v>6320</v>
      </c>
      <c>
        <v>8052</v>
      </c>
      <c r="AI6317" t="s">
        <v>12829</v>
      </c>
      <c t="s">
        <v>45620</v>
      </c>
      <c r="AL6317" t="s">
        <v>56918</v>
      </c>
      <c t="s">
        <v>56918</v>
      </c>
      <c t="s">
        <v>50917</v>
      </c>
      <c t="s">
        <v>44139</v>
      </c>
      <c t="s">
        <v>702</v>
      </c>
      <c t="s">
        <v>3093</v>
      </c>
      <c t="s">
        <v>19789</v>
      </c>
    </row>
    <row>
      <c t="s">
        <v>17594</v>
      </c>
      <c t="s">
        <v>43309</v>
      </c>
      <c t="s">
        <v>4775</v>
      </c>
      <c t="s">
        <v>21722</v>
      </c>
      <c t="s">
        <v>58469</v>
      </c>
      <c s="3">
        <v>46983</v>
      </c>
      <c s="3">
        <v>46983</v>
      </c>
      <c s="3">
        <v>46983</v>
      </c>
      <c>
        <v>0</v>
      </c>
      <c s="3">
        <v>0</v>
      </c>
      <c s="3">
        <v>703.44</v>
      </c>
      <c s="3">
        <v>46983</v>
      </c>
      <c r="O6318" s="1" t="str">
        <f ca="1">HYPERLINK("https://web.datatree.com/?/property?propertyId=232322670", "https://web.datatree.com/?/property?propertyId=232322670")</f>
        <v>https://web.datatree.com/?/property?propertyId=232322670</v>
      </c>
      <c r="Q6318" t="s">
        <v>316</v>
      </c>
      <c>
        <v>0.295</v>
      </c>
      <c t="s">
        <v>30497</v>
      </c>
      <c t="s">
        <v>44893</v>
      </c>
      <c t="s">
        <v>53174</v>
      </c>
      <c t="s">
        <v>28944</v>
      </c>
      <c r="X6318" t="s">
        <v>9300</v>
      </c>
      <c t="s">
        <v>42678</v>
      </c>
      <c t="s">
        <v>65059</v>
      </c>
      <c t="s">
        <v>39289</v>
      </c>
      <c>
        <v>33905</v>
      </c>
      <c>
        <v>33905</v>
      </c>
      <c t="s">
        <v>48794</v>
      </c>
      <c t="s">
        <v>11096</v>
      </c>
      <c>
        <v>3250</v>
      </c>
      <c r="AH6318" t="s">
        <v>15376</v>
      </c>
      <c t="s">
        <v>4373</v>
      </c>
      <c t="s">
        <v>45393</v>
      </c>
      <c r="AL6318" t="s">
        <v>11713</v>
      </c>
      <c t="s">
        <v>40227</v>
      </c>
      <c t="s">
        <v>39289</v>
      </c>
      <c t="s">
        <v>24802</v>
      </c>
      <c t="s">
        <v>28833</v>
      </c>
      <c t="s">
        <v>3093</v>
      </c>
      <c t="s">
        <v>36891</v>
      </c>
    </row>
    <row>
      <c t="s">
        <v>17594</v>
      </c>
      <c t="s">
        <v>5251</v>
      </c>
      <c t="s">
        <v>65649</v>
      </c>
      <c t="s">
        <v>43063</v>
      </c>
      <c t="s">
        <v>64823</v>
      </c>
      <c s="3">
        <v>63976</v>
      </c>
      <c s="3">
        <v>63976</v>
      </c>
      <c s="3">
        <v>63976</v>
      </c>
      <c>
        <v>0</v>
      </c>
      <c s="3">
        <v>0</v>
      </c>
      <c s="3">
        <v>1541.62</v>
      </c>
      <c s="3">
        <v>63976</v>
      </c>
      <c r="O6319" s="1" t="str">
        <f ca="1">HYPERLINK("https://web.datatree.com/?/property?propertyId=232331283", "https://web.datatree.com/?/property?propertyId=232331283")</f>
        <v>https://web.datatree.com/?/property?propertyId=232331283</v>
      </c>
      <c r="Q6319" t="s">
        <v>316</v>
      </c>
      <c>
        <v>0.051</v>
      </c>
      <c t="s">
        <v>2</v>
      </c>
      <c t="s">
        <v>22788</v>
      </c>
      <c t="s">
        <v>5019</v>
      </c>
      <c t="s">
        <v>36064</v>
      </c>
      <c t="s">
        <v>46872</v>
      </c>
      <c t="s">
        <v>29475</v>
      </c>
      <c t="s">
        <v>63417</v>
      </c>
      <c t="s">
        <v>65059</v>
      </c>
      <c t="s">
        <v>39289</v>
      </c>
      <c>
        <v>33905</v>
      </c>
      <c t="s">
        <v>76</v>
      </c>
      <c t="s">
        <v>48794</v>
      </c>
      <c t="s">
        <v>53637</v>
      </c>
      <c>
        <v>10481</v>
      </c>
      <c r="AI6319" t="s">
        <v>36873</v>
      </c>
      <c t="s">
        <v>20615</v>
      </c>
      <c r="AL6319" t="s">
        <v>65059</v>
      </c>
      <c t="s">
        <v>66934</v>
      </c>
      <c t="s">
        <v>39289</v>
      </c>
      <c>
        <v>33966</v>
      </c>
      <c t="s">
        <v>33029</v>
      </c>
      <c t="s">
        <v>3093</v>
      </c>
      <c t="s">
        <v>30666</v>
      </c>
    </row>
    <row>
      <c t="s">
        <v>17594</v>
      </c>
      <c t="s">
        <v>27931</v>
      </c>
      <c t="s">
        <v>27482</v>
      </c>
      <c t="s">
        <v>50901</v>
      </c>
      <c t="s">
        <v>3857</v>
      </c>
      <c s="3">
        <v>63976</v>
      </c>
      <c s="3">
        <v>63976</v>
      </c>
      <c s="3">
        <v>63976</v>
      </c>
      <c>
        <v>0</v>
      </c>
      <c s="3">
        <v>0</v>
      </c>
      <c s="3">
        <v>1541.62</v>
      </c>
      <c s="3">
        <v>63976</v>
      </c>
      <c r="O6320" s="1" t="str">
        <f ca="1">HYPERLINK("https://web.datatree.com/?/property?propertyId=232331284", "https://web.datatree.com/?/property?propertyId=232331284")</f>
        <v>https://web.datatree.com/?/property?propertyId=232331284</v>
      </c>
      <c r="Q6320" t="s">
        <v>316</v>
      </c>
      <c>
        <v>0.051</v>
      </c>
      <c t="s">
        <v>2</v>
      </c>
      <c t="s">
        <v>26046</v>
      </c>
      <c t="s">
        <v>54983</v>
      </c>
      <c t="s">
        <v>52243</v>
      </c>
      <c t="s">
        <v>54983</v>
      </c>
      <c t="s">
        <v>12470</v>
      </c>
      <c t="s">
        <v>63417</v>
      </c>
      <c t="s">
        <v>65059</v>
      </c>
      <c t="s">
        <v>39289</v>
      </c>
      <c>
        <v>33905</v>
      </c>
      <c t="s">
        <v>76</v>
      </c>
      <c t="s">
        <v>48794</v>
      </c>
      <c t="s">
        <v>67234</v>
      </c>
      <c>
        <v>209</v>
      </c>
      <c r="AI6320" t="s">
        <v>30426</v>
      </c>
      <c t="s">
        <v>31192</v>
      </c>
      <c r="AL6320" t="s">
        <v>36268</v>
      </c>
      <c r="AN6320" t="s">
        <v>22275</v>
      </c>
      <c t="s">
        <v>37883</v>
      </c>
      <c t="s">
        <v>58683</v>
      </c>
      <c t="s">
        <v>3093</v>
      </c>
      <c t="s">
        <v>34330</v>
      </c>
    </row>
    <row>
      <c t="s">
        <v>17594</v>
      </c>
      <c t="s">
        <v>65479</v>
      </c>
      <c t="s">
        <v>17242</v>
      </c>
      <c t="s">
        <v>67154</v>
      </c>
      <c t="s">
        <v>52662</v>
      </c>
      <c s="3">
        <v>46851</v>
      </c>
      <c s="3">
        <v>46504</v>
      </c>
      <c s="3">
        <v>46851</v>
      </c>
      <c>
        <v>0</v>
      </c>
      <c s="3">
        <v>0</v>
      </c>
      <c s="3">
        <v>701.46</v>
      </c>
      <c s="3">
        <v>46851</v>
      </c>
      <c r="O6321" s="1" t="str">
        <f ca="1">HYPERLINK("https://web.datatree.com/?/property?propertyId=235791126", "https://web.datatree.com/?/property?propertyId=235791126")</f>
        <v>https://web.datatree.com/?/property?propertyId=235791126</v>
      </c>
      <c r="Q6321" t="s">
        <v>316</v>
      </c>
      <c>
        <v>2.52</v>
      </c>
      <c t="s">
        <v>30497</v>
      </c>
      <c t="s">
        <v>552</v>
      </c>
      <c t="s">
        <v>24508</v>
      </c>
      <c t="s">
        <v>34500</v>
      </c>
      <c t="s">
        <v>47727</v>
      </c>
      <c t="s">
        <v>57683</v>
      </c>
      <c t="s">
        <v>37916</v>
      </c>
      <c t="s">
        <v>65059</v>
      </c>
      <c t="s">
        <v>39289</v>
      </c>
      <c>
        <v>33905</v>
      </c>
      <c t="s">
        <v>58505</v>
      </c>
      <c t="s">
        <v>48794</v>
      </c>
      <c t="s">
        <v>13104</v>
      </c>
      <c>
        <v>6018</v>
      </c>
      <c r="AI6321" t="s">
        <v>28513</v>
      </c>
      <c t="s">
        <v>31192</v>
      </c>
      <c r="AL6321" t="s">
        <v>6449</v>
      </c>
      <c t="s">
        <v>6449</v>
      </c>
      <c t="s">
        <v>18236</v>
      </c>
      <c>
        <v>76018</v>
      </c>
      <c t="s">
        <v>9570</v>
      </c>
      <c t="s">
        <v>3093</v>
      </c>
      <c t="s">
        <v>26419</v>
      </c>
    </row>
    <row>
      <c t="s">
        <v>17594</v>
      </c>
      <c t="s">
        <v>23641</v>
      </c>
      <c t="s">
        <v>49885</v>
      </c>
      <c t="s">
        <v>16182</v>
      </c>
      <c t="s">
        <v>1117</v>
      </c>
      <c s="3">
        <v>36589</v>
      </c>
      <c s="3">
        <v>36589</v>
      </c>
      <c s="3">
        <v>36589</v>
      </c>
      <c>
        <v>0</v>
      </c>
      <c s="3">
        <v>0</v>
      </c>
      <c s="3">
        <v>547.88</v>
      </c>
      <c s="3">
        <v>36589</v>
      </c>
      <c r="O6322" s="1" t="str">
        <f ca="1">HYPERLINK("https://web.datatree.com/?/property?propertyId=235791127", "https://web.datatree.com/?/property?propertyId=235791127")</f>
        <v>https://web.datatree.com/?/property?propertyId=235791127</v>
      </c>
      <c r="Q6322" t="s">
        <v>316</v>
      </c>
      <c>
        <v>2.08</v>
      </c>
      <c t="s">
        <v>30497</v>
      </c>
      <c t="s">
        <v>5899</v>
      </c>
      <c t="s">
        <v>66275</v>
      </c>
      <c r="X6322" t="s">
        <v>30470</v>
      </c>
      <c t="s">
        <v>37916</v>
      </c>
      <c t="s">
        <v>65059</v>
      </c>
      <c t="s">
        <v>39289</v>
      </c>
      <c>
        <v>33905</v>
      </c>
      <c t="s">
        <v>58505</v>
      </c>
      <c t="s">
        <v>48794</v>
      </c>
      <c t="s">
        <v>30011</v>
      </c>
      <c>
        <v>4125</v>
      </c>
      <c r="AH6322" t="s">
        <v>15376</v>
      </c>
      <c t="s">
        <v>47150</v>
      </c>
      <c t="s">
        <v>24900</v>
      </c>
      <c r="AL6322" t="s">
        <v>11713</v>
      </c>
      <c t="s">
        <v>40227</v>
      </c>
      <c t="s">
        <v>39289</v>
      </c>
      <c t="s">
        <v>40021</v>
      </c>
      <c t="s">
        <v>34025</v>
      </c>
      <c t="s">
        <v>3093</v>
      </c>
      <c t="s">
        <v>6159</v>
      </c>
    </row>
    <row>
      <c t="s">
        <v>17594</v>
      </c>
      <c t="s">
        <v>30570</v>
      </c>
      <c t="s">
        <v>46635</v>
      </c>
      <c t="s">
        <v>12007</v>
      </c>
      <c t="s">
        <v>20574</v>
      </c>
      <c s="3">
        <v>95</v>
      </c>
      <c s="3">
        <v>95</v>
      </c>
      <c s="3">
        <v>95</v>
      </c>
      <c>
        <v>0</v>
      </c>
      <c s="3">
        <v>0</v>
      </c>
      <c r="L6323" s="3">
        <v>95</v>
      </c>
      <c r="O6323" s="1" t="str">
        <f ca="1">HYPERLINK("https://web.datatree.com/?/property?propertyId=235791737", "https://web.datatree.com/?/property?propertyId=235791737")</f>
        <v>https://web.datatree.com/?/property?propertyId=235791737</v>
      </c>
      <c r="Q6323" t="s">
        <v>40482</v>
      </c>
      <c>
        <v>1.9</v>
      </c>
      <c t="s">
        <v>2</v>
      </c>
      <c t="s">
        <v>30015</v>
      </c>
      <c t="s">
        <v>35309</v>
      </c>
      <c r="X6323" t="s">
        <v>916</v>
      </c>
      <c t="s">
        <v>18633</v>
      </c>
      <c t="s">
        <v>65059</v>
      </c>
      <c t="s">
        <v>39289</v>
      </c>
      <c>
        <v>33905</v>
      </c>
      <c>
        <v>33905</v>
      </c>
      <c t="s">
        <v>48794</v>
      </c>
      <c t="s">
        <v>27550</v>
      </c>
      <c>
        <v>8585</v>
      </c>
      <c r="AI6323" t="s">
        <v>25482</v>
      </c>
      <c t="s">
        <v>31192</v>
      </c>
      <c>
        <v>118</v>
      </c>
      <c t="s">
        <v>15244</v>
      </c>
      <c t="s">
        <v>15244</v>
      </c>
      <c t="s">
        <v>48152</v>
      </c>
      <c t="s">
        <v>57652</v>
      </c>
      <c t="s">
        <v>59267</v>
      </c>
      <c t="s">
        <v>3093</v>
      </c>
      <c t="s">
        <v>15602</v>
      </c>
    </row>
    <row>
      <c t="s">
        <v>17594</v>
      </c>
      <c t="s">
        <v>41174</v>
      </c>
      <c t="s">
        <v>5704</v>
      </c>
      <c t="s">
        <v>57752</v>
      </c>
      <c t="s">
        <v>53856</v>
      </c>
      <c s="3">
        <v>130100</v>
      </c>
      <c s="3">
        <v>130100</v>
      </c>
      <c s="3">
        <v>130100</v>
      </c>
      <c>
        <v>0</v>
      </c>
      <c s="3">
        <v>0</v>
      </c>
      <c s="3">
        <v>2252.37</v>
      </c>
      <c s="3">
        <v>130100</v>
      </c>
      <c r="O6324" s="1" t="str">
        <f ca="1">HYPERLINK("https://web.datatree.com/?/property?propertyId=235792276", "https://web.datatree.com/?/property?propertyId=235792276")</f>
        <v>https://web.datatree.com/?/property?propertyId=235792276</v>
      </c>
      <c r="Q6324" t="s">
        <v>316</v>
      </c>
      <c>
        <v>0.243</v>
      </c>
      <c t="s">
        <v>50623</v>
      </c>
      <c t="s">
        <v>6294</v>
      </c>
      <c t="s">
        <v>24269</v>
      </c>
      <c t="s">
        <v>52701</v>
      </c>
      <c t="s">
        <v>24269</v>
      </c>
      <c t="s">
        <v>65886</v>
      </c>
      <c t="s">
        <v>66846</v>
      </c>
      <c t="s">
        <v>65059</v>
      </c>
      <c t="s">
        <v>39289</v>
      </c>
      <c>
        <v>33901</v>
      </c>
      <c>
        <v>33901</v>
      </c>
      <c t="s">
        <v>48794</v>
      </c>
      <c t="s">
        <v>31018</v>
      </c>
      <c>
        <v>315</v>
      </c>
      <c r="AI6324" t="s">
        <v>41344</v>
      </c>
      <c t="s">
        <v>45393</v>
      </c>
      <c r="AL6324" t="s">
        <v>58557</v>
      </c>
      <c t="s">
        <v>58557</v>
      </c>
      <c t="s">
        <v>51087</v>
      </c>
      <c t="s">
        <v>23453</v>
      </c>
      <c t="s">
        <v>4797</v>
      </c>
      <c t="s">
        <v>3093</v>
      </c>
      <c t="s">
        <v>38308</v>
      </c>
    </row>
    <row>
      <c t="s">
        <v>17594</v>
      </c>
      <c t="s">
        <v>63599</v>
      </c>
      <c t="s">
        <v>29311</v>
      </c>
      <c t="s">
        <v>54628</v>
      </c>
      <c t="s">
        <v>2232</v>
      </c>
      <c s="3">
        <v>9067</v>
      </c>
      <c s="3">
        <v>9067</v>
      </c>
      <c s="3">
        <v>9067</v>
      </c>
      <c>
        <v>0</v>
      </c>
      <c s="3">
        <v>0</v>
      </c>
      <c s="3">
        <v>367.8</v>
      </c>
      <c s="3">
        <v>9067</v>
      </c>
      <c r="O6325" s="1" t="str">
        <f ca="1">HYPERLINK("https://web.datatree.com/?/property?propertyId=235792670", "https://web.datatree.com/?/property?propertyId=235792670")</f>
        <v>https://web.datatree.com/?/property?propertyId=235792670</v>
      </c>
      <c r="Q6325" t="s">
        <v>316</v>
      </c>
      <c>
        <v>0.264</v>
      </c>
      <c t="s">
        <v>5471</v>
      </c>
      <c t="s">
        <v>32056</v>
      </c>
      <c t="s">
        <v>42070</v>
      </c>
      <c t="s">
        <v>27326</v>
      </c>
      <c t="s">
        <v>42070</v>
      </c>
      <c t="s">
        <v>10036</v>
      </c>
      <c t="s">
        <v>18225</v>
      </c>
      <c t="s">
        <v>65059</v>
      </c>
      <c t="s">
        <v>39289</v>
      </c>
      <c>
        <v>33905</v>
      </c>
      <c t="s">
        <v>1710</v>
      </c>
      <c t="s">
        <v>48794</v>
      </c>
      <c t="s">
        <v>30839</v>
      </c>
      <c>
        <v>1097</v>
      </c>
      <c r="AI6325" t="s">
        <v>45078</v>
      </c>
      <c t="s">
        <v>31192</v>
      </c>
      <c r="AL6325" t="s">
        <v>59032</v>
      </c>
      <c t="s">
        <v>59032</v>
      </c>
      <c t="s">
        <v>26443</v>
      </c>
      <c t="s">
        <v>44543</v>
      </c>
      <c t="s">
        <v>49977</v>
      </c>
      <c t="s">
        <v>3093</v>
      </c>
      <c t="s">
        <v>43270</v>
      </c>
    </row>
    <row>
      <c t="s">
        <v>17594</v>
      </c>
      <c t="s">
        <v>31826</v>
      </c>
      <c t="s">
        <v>26063</v>
      </c>
      <c t="s">
        <v>8674</v>
      </c>
      <c t="s">
        <v>7338</v>
      </c>
      <c s="3">
        <v>36781</v>
      </c>
      <c s="3">
        <v>36781</v>
      </c>
      <c s="3">
        <v>36781</v>
      </c>
      <c>
        <v>0</v>
      </c>
      <c s="3">
        <v>0</v>
      </c>
      <c s="3">
        <v>961.45</v>
      </c>
      <c s="3">
        <v>36781</v>
      </c>
      <c r="O6326" s="1" t="str">
        <f ca="1">HYPERLINK("https://web.datatree.com/?/property?propertyId=235792694", "https://web.datatree.com/?/property?propertyId=235792694")</f>
        <v>https://web.datatree.com/?/property?propertyId=235792694</v>
      </c>
      <c r="Q6326" t="s">
        <v>316</v>
      </c>
      <c>
        <v>0.195</v>
      </c>
      <c t="s">
        <v>30497</v>
      </c>
      <c t="s">
        <v>40487</v>
      </c>
      <c t="s">
        <v>26623</v>
      </c>
      <c t="s">
        <v>1599</v>
      </c>
      <c t="s">
        <v>26623</v>
      </c>
      <c t="s">
        <v>32660</v>
      </c>
      <c t="s">
        <v>39902</v>
      </c>
      <c t="s">
        <v>65059</v>
      </c>
      <c t="s">
        <v>39289</v>
      </c>
      <c>
        <v>33908</v>
      </c>
      <c t="s">
        <v>64048</v>
      </c>
      <c t="s">
        <v>48794</v>
      </c>
      <c t="s">
        <v>43708</v>
      </c>
      <c>
        <v>18516</v>
      </c>
      <c r="AI6326" t="s">
        <v>62049</v>
      </c>
      <c t="s">
        <v>45620</v>
      </c>
      <c r="AL6326" t="s">
        <v>64952</v>
      </c>
      <c r="AN6326" t="s">
        <v>19878</v>
      </c>
      <c t="s">
        <v>21685</v>
      </c>
      <c t="s">
        <v>44428</v>
      </c>
      <c t="s">
        <v>3093</v>
      </c>
      <c t="s">
        <v>43981</v>
      </c>
    </row>
    <row>
      <c t="s">
        <v>17594</v>
      </c>
      <c t="s">
        <v>65992</v>
      </c>
      <c t="s">
        <v>51899</v>
      </c>
      <c t="s">
        <v>36775</v>
      </c>
      <c t="s">
        <v>30615</v>
      </c>
      <c s="3">
        <v>36781</v>
      </c>
      <c s="3">
        <v>36781</v>
      </c>
      <c s="3">
        <v>36781</v>
      </c>
      <c>
        <v>0</v>
      </c>
      <c s="3">
        <v>0</v>
      </c>
      <c s="3">
        <v>686.55</v>
      </c>
      <c s="3">
        <v>36781</v>
      </c>
      <c r="O6327" s="1" t="str">
        <f ca="1">HYPERLINK("https://web.datatree.com/?/property?propertyId=235792908", "https://web.datatree.com/?/property?propertyId=235792908")</f>
        <v>https://web.datatree.com/?/property?propertyId=235792908</v>
      </c>
      <c r="Q6327" t="s">
        <v>316</v>
      </c>
      <c>
        <v>0.162</v>
      </c>
      <c t="s">
        <v>30497</v>
      </c>
      <c t="s">
        <v>51259</v>
      </c>
      <c t="s">
        <v>2486</v>
      </c>
      <c t="s">
        <v>35852</v>
      </c>
      <c t="s">
        <v>2486</v>
      </c>
      <c t="s">
        <v>43743</v>
      </c>
      <c t="s">
        <v>8748</v>
      </c>
      <c t="s">
        <v>65059</v>
      </c>
      <c t="s">
        <v>39289</v>
      </c>
      <c>
        <v>33908</v>
      </c>
      <c t="s">
        <v>56407</v>
      </c>
      <c t="s">
        <v>48794</v>
      </c>
      <c t="s">
        <v>12859</v>
      </c>
      <c>
        <v>10678</v>
      </c>
      <c r="AI6327" t="s">
        <v>6158</v>
      </c>
      <c t="s">
        <v>45620</v>
      </c>
      <c r="AL6327" t="s">
        <v>31862</v>
      </c>
      <c r="AN6327" t="s">
        <v>50917</v>
      </c>
      <c t="s">
        <v>28536</v>
      </c>
      <c t="s">
        <v>26614</v>
      </c>
      <c t="s">
        <v>3093</v>
      </c>
      <c t="s">
        <v>57611</v>
      </c>
    </row>
    <row>
      <c t="s">
        <v>17594</v>
      </c>
      <c t="s">
        <v>60968</v>
      </c>
      <c t="s">
        <v>14340</v>
      </c>
      <c t="s">
        <v>35171</v>
      </c>
      <c t="s">
        <v>61237</v>
      </c>
      <c s="3">
        <v>742000</v>
      </c>
      <c s="3">
        <v>742000</v>
      </c>
      <c s="3">
        <v>742000</v>
      </c>
      <c>
        <v>0</v>
      </c>
      <c s="3">
        <v>0</v>
      </c>
      <c s="3">
        <v>11294.58</v>
      </c>
      <c s="3">
        <v>742000</v>
      </c>
      <c r="O6328" s="1" t="str">
        <f ca="1">HYPERLINK("https://web.datatree.com/?/property?propertyId=235793176", "https://web.datatree.com/?/property?propertyId=235793176")</f>
        <v>https://web.datatree.com/?/property?propertyId=235793176</v>
      </c>
      <c r="Q6328" t="s">
        <v>316</v>
      </c>
      <c>
        <v>0.77</v>
      </c>
      <c t="s">
        <v>2</v>
      </c>
      <c r="U6328" t="s">
        <v>19986</v>
      </c>
      <c r="W6328" t="s">
        <v>4304</v>
      </c>
      <c t="s">
        <v>35024</v>
      </c>
      <c t="s">
        <v>21512</v>
      </c>
      <c t="s">
        <v>65059</v>
      </c>
      <c t="s">
        <v>39289</v>
      </c>
      <c>
        <v>33908</v>
      </c>
      <c t="s">
        <v>43200</v>
      </c>
      <c t="s">
        <v>48794</v>
      </c>
      <c t="s">
        <v>53604</v>
      </c>
      <c>
        <v>7010</v>
      </c>
      <c r="AI6328" t="s">
        <v>17629</v>
      </c>
      <c t="s">
        <v>55842</v>
      </c>
      <c r="AL6328" t="s">
        <v>37463</v>
      </c>
      <c t="s">
        <v>37463</v>
      </c>
      <c t="s">
        <v>32657</v>
      </c>
      <c t="s">
        <v>48771</v>
      </c>
      <c t="s">
        <v>41776</v>
      </c>
      <c t="s">
        <v>3093</v>
      </c>
      <c t="s">
        <v>14026</v>
      </c>
    </row>
    <row>
      <c t="s">
        <v>17594</v>
      </c>
      <c t="s">
        <v>60304</v>
      </c>
      <c t="s">
        <v>24551</v>
      </c>
      <c t="s">
        <v>63997</v>
      </c>
      <c t="s">
        <v>60543</v>
      </c>
      <c s="3">
        <v>36781</v>
      </c>
      <c s="3">
        <v>36781</v>
      </c>
      <c s="3">
        <v>36781</v>
      </c>
      <c>
        <v>0</v>
      </c>
      <c s="3">
        <v>0</v>
      </c>
      <c s="3">
        <v>706.41</v>
      </c>
      <c s="3">
        <v>36781</v>
      </c>
      <c r="O6329" s="1" t="str">
        <f ca="1">HYPERLINK("https://web.datatree.com/?/property?propertyId=235793975", "https://web.datatree.com/?/property?propertyId=235793975")</f>
        <v>https://web.datatree.com/?/property?propertyId=235793975</v>
      </c>
      <c r="Q6329" t="s">
        <v>316</v>
      </c>
      <c>
        <v>0.188</v>
      </c>
      <c t="s">
        <v>30497</v>
      </c>
      <c t="s">
        <v>12385</v>
      </c>
      <c t="s">
        <v>45947</v>
      </c>
      <c t="s">
        <v>6161</v>
      </c>
      <c t="s">
        <v>45820</v>
      </c>
      <c t="s">
        <v>55691</v>
      </c>
      <c t="s">
        <v>41974</v>
      </c>
      <c t="s">
        <v>65059</v>
      </c>
      <c t="s">
        <v>39289</v>
      </c>
      <c>
        <v>33908</v>
      </c>
      <c t="s">
        <v>34251</v>
      </c>
      <c t="s">
        <v>48794</v>
      </c>
      <c t="s">
        <v>43235</v>
      </c>
      <c>
        <v>310</v>
      </c>
      <c r="AI6329" t="s">
        <v>42449</v>
      </c>
      <c t="s">
        <v>45620</v>
      </c>
      <c r="AL6329" t="s">
        <v>18466</v>
      </c>
      <c t="s">
        <v>58242</v>
      </c>
      <c t="s">
        <v>26016</v>
      </c>
      <c t="s">
        <v>13426</v>
      </c>
      <c t="s">
        <v>33029</v>
      </c>
      <c t="s">
        <v>3093</v>
      </c>
      <c t="s">
        <v>27884</v>
      </c>
    </row>
    <row>
      <c t="s">
        <v>17594</v>
      </c>
      <c t="s">
        <v>36248</v>
      </c>
      <c t="s">
        <v>29341</v>
      </c>
      <c t="s">
        <v>39883</v>
      </c>
      <c t="s">
        <v>54545</v>
      </c>
      <c s="3">
        <v>349268</v>
      </c>
      <c s="3">
        <v>349268</v>
      </c>
      <c s="3">
        <v>349268</v>
      </c>
      <c>
        <v>0</v>
      </c>
      <c s="3">
        <v>0</v>
      </c>
      <c s="3">
        <v>6140.16</v>
      </c>
      <c s="3">
        <v>349268</v>
      </c>
      <c r="O6330" s="1" t="str">
        <f ca="1">HYPERLINK("https://web.datatree.com/?/property?propertyId=235794634", "https://web.datatree.com/?/property?propertyId=235794634")</f>
        <v>https://web.datatree.com/?/property?propertyId=235794634</v>
      </c>
      <c r="Q6330" t="s">
        <v>316</v>
      </c>
      <c>
        <v>0.266</v>
      </c>
      <c t="s">
        <v>14479</v>
      </c>
      <c t="s">
        <v>33321</v>
      </c>
      <c t="s">
        <v>57654</v>
      </c>
      <c t="s">
        <v>37244</v>
      </c>
      <c t="s">
        <v>57654</v>
      </c>
      <c t="s">
        <v>42050</v>
      </c>
      <c t="s">
        <v>63872</v>
      </c>
      <c t="s">
        <v>2517</v>
      </c>
      <c t="s">
        <v>39289</v>
      </c>
      <c>
        <v>33904</v>
      </c>
      <c>
        <v>33904</v>
      </c>
      <c t="s">
        <v>48794</v>
      </c>
      <c t="s">
        <v>7472</v>
      </c>
      <c>
        <v>665</v>
      </c>
      <c r="AI6330" t="s">
        <v>9900</v>
      </c>
      <c t="s">
        <v>40123</v>
      </c>
      <c r="AL6330" t="s">
        <v>49588</v>
      </c>
      <c r="AN6330" t="s">
        <v>27481</v>
      </c>
      <c t="s">
        <v>35532</v>
      </c>
      <c t="s">
        <v>24994</v>
      </c>
      <c t="s">
        <v>3093</v>
      </c>
      <c t="s">
        <v>17189</v>
      </c>
    </row>
    <row>
      <c t="s">
        <v>17594</v>
      </c>
      <c t="s">
        <v>20485</v>
      </c>
      <c t="s">
        <v>62318</v>
      </c>
      <c t="s">
        <v>13792</v>
      </c>
      <c t="s">
        <v>54167</v>
      </c>
      <c s="3">
        <v>364100</v>
      </c>
      <c s="3">
        <v>364100</v>
      </c>
      <c s="3">
        <v>364100</v>
      </c>
      <c>
        <v>0</v>
      </c>
      <c s="3">
        <v>0</v>
      </c>
      <c s="3">
        <v>6374.52</v>
      </c>
      <c s="3">
        <v>364100</v>
      </c>
      <c r="O6331" s="1" t="str">
        <f ca="1">HYPERLINK("https://web.datatree.com/?/property?propertyId=235796332", "https://web.datatree.com/?/property?propertyId=235796332")</f>
        <v>https://web.datatree.com/?/property?propertyId=235796332</v>
      </c>
      <c r="Q6331" t="s">
        <v>316</v>
      </c>
      <c>
        <v>0.263</v>
      </c>
      <c t="s">
        <v>14479</v>
      </c>
      <c t="s">
        <v>10361</v>
      </c>
      <c t="s">
        <v>32412</v>
      </c>
      <c r="X6331" t="s">
        <v>41901</v>
      </c>
      <c t="s">
        <v>63872</v>
      </c>
      <c t="s">
        <v>2517</v>
      </c>
      <c t="s">
        <v>39289</v>
      </c>
      <c>
        <v>33904</v>
      </c>
      <c>
        <v>33904</v>
      </c>
      <c t="s">
        <v>48794</v>
      </c>
      <c t="s">
        <v>105</v>
      </c>
      <c>
        <v>18153</v>
      </c>
      <c r="AI6331" t="s">
        <v>66061</v>
      </c>
      <c t="s">
        <v>40123</v>
      </c>
      <c r="AL6331" t="s">
        <v>51875</v>
      </c>
      <c t="s">
        <v>16664</v>
      </c>
      <c t="s">
        <v>9387</v>
      </c>
      <c t="s">
        <v>15228</v>
      </c>
      <c t="s">
        <v>22455</v>
      </c>
      <c t="s">
        <v>3093</v>
      </c>
      <c t="s">
        <v>46498</v>
      </c>
    </row>
    <row>
      <c t="s">
        <v>17594</v>
      </c>
      <c t="s">
        <v>23509</v>
      </c>
      <c t="s">
        <v>62799</v>
      </c>
      <c t="s">
        <v>19608</v>
      </c>
      <c t="s">
        <v>64096</v>
      </c>
      <c s="3">
        <v>0</v>
      </c>
      <c s="3">
        <v>0</v>
      </c>
      <c s="3">
        <v>0</v>
      </c>
      <c>
        <v>0</v>
      </c>
      <c s="3">
        <v>0</v>
      </c>
      <c r="O6332" s="1" t="str">
        <f ca="1">HYPERLINK("https://web.datatree.com/?/property?propertyId=240453957", "https://web.datatree.com/?/property?propertyId=240453957")</f>
        <v>https://web.datatree.com/?/property?propertyId=240453957</v>
      </c>
      <c r="Q6332" t="s">
        <v>316</v>
      </c>
      <c>
        <v>0.144</v>
      </c>
      <c t="s">
        <v>2</v>
      </c>
      <c t="s">
        <v>32884</v>
      </c>
      <c t="s">
        <v>4629</v>
      </c>
      <c t="s">
        <v>54943</v>
      </c>
      <c t="s">
        <v>4629</v>
      </c>
      <c t="s">
        <v>10798</v>
      </c>
      <c t="s">
        <v>23387</v>
      </c>
      <c t="s">
        <v>54524</v>
      </c>
      <c t="s">
        <v>39289</v>
      </c>
      <c>
        <v>33903</v>
      </c>
      <c>
        <v>33903</v>
      </c>
      <c t="s">
        <v>48794</v>
      </c>
      <c t="s">
        <v>45690</v>
      </c>
      <c>
        <v>18</v>
      </c>
      <c r="AI6332" t="s">
        <v>39082</v>
      </c>
      <c t="s">
        <v>45620</v>
      </c>
      <c r="AL6332" t="s">
        <v>49231</v>
      </c>
      <c t="s">
        <v>13397</v>
      </c>
      <c t="s">
        <v>50917</v>
      </c>
      <c t="s">
        <v>10832</v>
      </c>
      <c t="s">
        <v>49977</v>
      </c>
      <c t="s">
        <v>3093</v>
      </c>
      <c t="s">
        <v>46386</v>
      </c>
    </row>
    <row>
      <c t="s">
        <v>17594</v>
      </c>
      <c t="s">
        <v>28615</v>
      </c>
      <c t="s">
        <v>32435</v>
      </c>
      <c t="s">
        <v>33958</v>
      </c>
      <c t="s">
        <v>57399</v>
      </c>
      <c s="3">
        <v>4667</v>
      </c>
      <c s="3">
        <v>4667</v>
      </c>
      <c s="3">
        <v>2815</v>
      </c>
      <c>
        <v>0</v>
      </c>
      <c s="3">
        <v>0</v>
      </c>
      <c r="L6333" s="3">
        <v>4667</v>
      </c>
      <c r="O6333" s="1" t="str">
        <f ca="1">HYPERLINK("https://web.datatree.com/?/property?propertyId=240454342", "https://web.datatree.com/?/property?propertyId=240454342")</f>
        <v>https://web.datatree.com/?/property?propertyId=240454342</v>
      </c>
      <c r="Q6333" t="s">
        <v>316</v>
      </c>
      <c>
        <v>0.112</v>
      </c>
      <c t="s">
        <v>5471</v>
      </c>
      <c t="s">
        <v>47165</v>
      </c>
      <c t="s">
        <v>45794</v>
      </c>
      <c r="X6333" t="s">
        <v>54490</v>
      </c>
      <c t="s">
        <v>9380</v>
      </c>
      <c t="s">
        <v>54524</v>
      </c>
      <c t="s">
        <v>39289</v>
      </c>
      <c>
        <v>33903</v>
      </c>
      <c t="s">
        <v>37980</v>
      </c>
      <c t="s">
        <v>48794</v>
      </c>
      <c t="s">
        <v>51086</v>
      </c>
      <c>
        <v>3600</v>
      </c>
      <c r="AI6333" t="s">
        <v>46128</v>
      </c>
      <c t="s">
        <v>24900</v>
      </c>
      <c r="AL6333" t="s">
        <v>21676</v>
      </c>
      <c t="s">
        <v>21676</v>
      </c>
      <c t="s">
        <v>39289</v>
      </c>
      <c t="s">
        <v>45354</v>
      </c>
      <c t="s">
        <v>44726</v>
      </c>
      <c t="s">
        <v>3093</v>
      </c>
      <c t="s">
        <v>17997</v>
      </c>
    </row>
    <row>
      <c t="s">
        <v>17594</v>
      </c>
      <c t="s">
        <v>56945</v>
      </c>
      <c t="s">
        <v>15720</v>
      </c>
      <c t="s">
        <v>6111</v>
      </c>
      <c t="s">
        <v>40172</v>
      </c>
      <c s="3">
        <v>0</v>
      </c>
      <c s="3">
        <v>0</v>
      </c>
      <c s="3">
        <v>0</v>
      </c>
      <c>
        <v>0</v>
      </c>
      <c s="3">
        <v>0</v>
      </c>
      <c r="O6334" s="1" t="str">
        <f ca="1">HYPERLINK("https://web.datatree.com/?/property?propertyId=240457796", "https://web.datatree.com/?/property?propertyId=240457796")</f>
        <v>https://web.datatree.com/?/property?propertyId=240457796</v>
      </c>
      <c r="Q6334" t="s">
        <v>316</v>
      </c>
      <c>
        <v>0.115</v>
      </c>
      <c t="s">
        <v>2</v>
      </c>
      <c t="s">
        <v>29462</v>
      </c>
      <c t="s">
        <v>27471</v>
      </c>
      <c t="s">
        <v>18654</v>
      </c>
      <c t="s">
        <v>27471</v>
      </c>
      <c t="s">
        <v>51506</v>
      </c>
      <c t="s">
        <v>27652</v>
      </c>
      <c t="s">
        <v>54524</v>
      </c>
      <c t="s">
        <v>39289</v>
      </c>
      <c>
        <v>33903</v>
      </c>
      <c>
        <v>33903</v>
      </c>
      <c t="s">
        <v>48794</v>
      </c>
      <c t="s">
        <v>38280</v>
      </c>
      <c>
        <v>3517</v>
      </c>
      <c r="AI6334" t="s">
        <v>63434</v>
      </c>
      <c t="s">
        <v>40123</v>
      </c>
      <c r="AL6334" t="s">
        <v>5749</v>
      </c>
      <c t="s">
        <v>65059</v>
      </c>
      <c t="s">
        <v>49572</v>
      </c>
      <c t="s">
        <v>40010</v>
      </c>
      <c t="s">
        <v>702</v>
      </c>
      <c t="s">
        <v>3093</v>
      </c>
      <c t="s">
        <v>5147</v>
      </c>
    </row>
    <row>
      <c t="s">
        <v>17594</v>
      </c>
      <c t="s">
        <v>1664</v>
      </c>
      <c t="s">
        <v>56082</v>
      </c>
      <c t="s">
        <v>43808</v>
      </c>
      <c t="s">
        <v>30003</v>
      </c>
      <c s="3">
        <v>17520</v>
      </c>
      <c s="3">
        <v>17520</v>
      </c>
      <c s="3">
        <v>16059</v>
      </c>
      <c>
        <v>0</v>
      </c>
      <c s="3">
        <v>0</v>
      </c>
      <c r="L6335" s="3">
        <v>17520</v>
      </c>
      <c r="O6335" s="1" t="str">
        <f ca="1">HYPERLINK("https://web.datatree.com/?/property?propertyId=240457848", "https://web.datatree.com/?/property?propertyId=240457848")</f>
        <v>https://web.datatree.com/?/property?propertyId=240457848</v>
      </c>
      <c r="Q6335" t="s">
        <v>316</v>
      </c>
      <c>
        <v>0.253</v>
      </c>
      <c t="s">
        <v>5471</v>
      </c>
      <c t="s">
        <v>54035</v>
      </c>
      <c t="s">
        <v>66600</v>
      </c>
      <c t="s">
        <v>16893</v>
      </c>
      <c t="s">
        <v>66600</v>
      </c>
      <c t="s">
        <v>34224</v>
      </c>
      <c t="s">
        <v>2642</v>
      </c>
      <c t="s">
        <v>65059</v>
      </c>
      <c t="s">
        <v>39289</v>
      </c>
      <c>
        <v>33905</v>
      </c>
      <c t="s">
        <v>41287</v>
      </c>
      <c t="s">
        <v>48794</v>
      </c>
      <c t="s">
        <v>33901</v>
      </c>
      <c>
        <v>300</v>
      </c>
      <c r="AI6335" t="s">
        <v>64540</v>
      </c>
      <c t="s">
        <v>31192</v>
      </c>
      <c r="AL6335" t="s">
        <v>42609</v>
      </c>
      <c t="s">
        <v>42609</v>
      </c>
      <c t="s">
        <v>32576</v>
      </c>
      <c t="s">
        <v>56011</v>
      </c>
      <c t="s">
        <v>4797</v>
      </c>
      <c t="s">
        <v>3093</v>
      </c>
      <c t="s">
        <v>66722</v>
      </c>
    </row>
    <row>
      <c t="s">
        <v>17594</v>
      </c>
      <c t="s">
        <v>48444</v>
      </c>
      <c t="s">
        <v>35907</v>
      </c>
      <c t="s">
        <v>12495</v>
      </c>
      <c t="s">
        <v>31025</v>
      </c>
      <c s="3">
        <v>19068</v>
      </c>
      <c s="3">
        <v>19068</v>
      </c>
      <c s="3">
        <v>19068</v>
      </c>
      <c>
        <v>0</v>
      </c>
      <c s="3">
        <v>0</v>
      </c>
      <c r="L6336" s="3">
        <v>19068</v>
      </c>
      <c r="O6336" s="1" t="str">
        <f ca="1">HYPERLINK("https://web.datatree.com/?/property?propertyId=240458860", "https://web.datatree.com/?/property?propertyId=240458860")</f>
        <v>https://web.datatree.com/?/property?propertyId=240458860</v>
      </c>
      <c r="Q6336" t="s">
        <v>316</v>
      </c>
      <c>
        <v>2.16</v>
      </c>
      <c t="s">
        <v>30497</v>
      </c>
      <c t="s">
        <v>23402</v>
      </c>
      <c t="s">
        <v>5774</v>
      </c>
      <c r="X6336" t="s">
        <v>14448</v>
      </c>
      <c t="s">
        <v>49946</v>
      </c>
      <c t="s">
        <v>65059</v>
      </c>
      <c t="s">
        <v>39289</v>
      </c>
      <c>
        <v>33905</v>
      </c>
      <c t="s">
        <v>10287</v>
      </c>
      <c t="s">
        <v>48794</v>
      </c>
      <c t="s">
        <v>8209</v>
      </c>
      <c>
        <v>440</v>
      </c>
      <c r="AI6336" t="s">
        <v>37372</v>
      </c>
      <c t="s">
        <v>24900</v>
      </c>
      <c r="AL6336" t="s">
        <v>32447</v>
      </c>
      <c t="s">
        <v>32447</v>
      </c>
      <c t="s">
        <v>50917</v>
      </c>
      <c t="s">
        <v>47050</v>
      </c>
      <c t="s">
        <v>49977</v>
      </c>
      <c t="s">
        <v>3093</v>
      </c>
      <c t="s">
        <v>58792</v>
      </c>
    </row>
    <row>
      <c t="s">
        <v>17594</v>
      </c>
      <c t="s">
        <v>16889</v>
      </c>
      <c t="s">
        <v>9789</v>
      </c>
      <c t="s">
        <v>49818</v>
      </c>
      <c t="s">
        <v>55525</v>
      </c>
      <c s="3">
        <v>155333</v>
      </c>
      <c s="3">
        <v>135030</v>
      </c>
      <c s="3">
        <v>78480</v>
      </c>
      <c>
        <v>0</v>
      </c>
      <c s="3">
        <v>0</v>
      </c>
      <c r="L6337" s="3">
        <v>155333</v>
      </c>
      <c r="O6337" s="1" t="str">
        <f ca="1">HYPERLINK("https://web.datatree.com/?/property?propertyId=240459203", "https://web.datatree.com/?/property?propertyId=240459203")</f>
        <v>https://web.datatree.com/?/property?propertyId=240459203</v>
      </c>
      <c r="Q6337" t="s">
        <v>316</v>
      </c>
      <c>
        <v>0.23</v>
      </c>
      <c t="s">
        <v>7952</v>
      </c>
      <c t="s">
        <v>8762</v>
      </c>
      <c t="s">
        <v>59393</v>
      </c>
      <c t="s">
        <v>27743</v>
      </c>
      <c t="s">
        <v>43218</v>
      </c>
      <c t="s">
        <v>52611</v>
      </c>
      <c t="s">
        <v>7594</v>
      </c>
      <c t="s">
        <v>2517</v>
      </c>
      <c t="s">
        <v>39289</v>
      </c>
      <c>
        <v>33904</v>
      </c>
      <c t="s">
        <v>54680</v>
      </c>
      <c t="s">
        <v>48794</v>
      </c>
      <c t="s">
        <v>30857</v>
      </c>
      <c>
        <v>454</v>
      </c>
      <c r="AI6337" t="s">
        <v>24343</v>
      </c>
      <c t="s">
        <v>45620</v>
      </c>
      <c r="AL6337" t="s">
        <v>43162</v>
      </c>
      <c t="s">
        <v>20071</v>
      </c>
      <c t="s">
        <v>50917</v>
      </c>
      <c t="s">
        <v>45733</v>
      </c>
      <c t="s">
        <v>54916</v>
      </c>
      <c t="s">
        <v>3093</v>
      </c>
      <c t="s">
        <v>58758</v>
      </c>
    </row>
    <row>
      <c t="s">
        <v>17594</v>
      </c>
      <c t="s">
        <v>57378</v>
      </c>
      <c t="s">
        <v>54375</v>
      </c>
      <c t="s">
        <v>42932</v>
      </c>
      <c t="s">
        <v>14985</v>
      </c>
      <c s="3">
        <v>10</v>
      </c>
      <c s="3">
        <v>10</v>
      </c>
      <c s="3">
        <v>10</v>
      </c>
      <c>
        <v>0</v>
      </c>
      <c s="3">
        <v>0</v>
      </c>
      <c r="L6338" s="3">
        <v>10</v>
      </c>
      <c r="O6338" s="1" t="str">
        <f ca="1">HYPERLINK("https://web.datatree.com/?/property?propertyId=240459206", "https://web.datatree.com/?/property?propertyId=240459206")</f>
        <v>https://web.datatree.com/?/property?propertyId=240459206</v>
      </c>
      <c r="Q6338" t="s">
        <v>316</v>
      </c>
      <c>
        <v>0.01</v>
      </c>
      <c t="s">
        <v>37489</v>
      </c>
      <c t="s">
        <v>44541</v>
      </c>
      <c t="s">
        <v>13356</v>
      </c>
      <c t="s">
        <v>30291</v>
      </c>
      <c t="s">
        <v>3522</v>
      </c>
      <c t="s">
        <v>32187</v>
      </c>
      <c t="s">
        <v>45355</v>
      </c>
      <c t="s">
        <v>65059</v>
      </c>
      <c t="s">
        <v>39289</v>
      </c>
      <c>
        <v>33908</v>
      </c>
      <c>
        <v>33908</v>
      </c>
      <c t="s">
        <v>48794</v>
      </c>
      <c t="s">
        <v>20830</v>
      </c>
      <c>
        <v>395</v>
      </c>
      <c r="AI6338" t="s">
        <v>5207</v>
      </c>
      <c t="s">
        <v>38868</v>
      </c>
      <c>
        <v>402</v>
      </c>
      <c t="s">
        <v>23729</v>
      </c>
      <c t="s">
        <v>23729</v>
      </c>
      <c t="s">
        <v>32657</v>
      </c>
      <c t="s">
        <v>10204</v>
      </c>
      <c t="s">
        <v>702</v>
      </c>
      <c t="s">
        <v>3093</v>
      </c>
      <c t="s">
        <v>23397</v>
      </c>
    </row>
    <row>
      <c t="s">
        <v>42103</v>
      </c>
      <c t="s">
        <v>15003</v>
      </c>
      <c t="s">
        <v>41903</v>
      </c>
      <c t="s">
        <v>15964</v>
      </c>
      <c t="s">
        <v>36376</v>
      </c>
      <c s="3">
        <v>80</v>
      </c>
      <c s="3">
        <v>80</v>
      </c>
      <c s="3">
        <v>80</v>
      </c>
      <c>
        <v>0</v>
      </c>
      <c s="3">
        <v>0</v>
      </c>
      <c r="L6339" s="3">
        <v>80</v>
      </c>
      <c r="O6339" s="1" t="str">
        <f ca="1">HYPERLINK("https://web.datatree.com/?/property?propertyId=240459222", "https://web.datatree.com/?/property?propertyId=240459222")</f>
        <v>https://web.datatree.com/?/property?propertyId=240459222</v>
      </c>
      <c r="Q6339" t="s">
        <v>40482</v>
      </c>
      <c>
        <v>0.16</v>
      </c>
      <c t="s">
        <v>53193</v>
      </c>
      <c r="U6339" t="s">
        <v>63000</v>
      </c>
      <c r="X6339" t="s">
        <v>16374</v>
      </c>
      <c t="s">
        <v>45355</v>
      </c>
      <c t="s">
        <v>2517</v>
      </c>
      <c t="s">
        <v>39289</v>
      </c>
      <c>
        <v>33909</v>
      </c>
      <c>
        <v>33909</v>
      </c>
      <c t="s">
        <v>48794</v>
      </c>
      <c t="s">
        <v>20830</v>
      </c>
      <c r="AI6339" t="s">
        <v>44672</v>
      </c>
      <c r="AL6339" t="s">
        <v>65457</v>
      </c>
      <c t="s">
        <v>65457</v>
      </c>
      <c t="s">
        <v>39289</v>
      </c>
      <c t="s">
        <v>57412</v>
      </c>
      <c t="s">
        <v>40450</v>
      </c>
      <c t="s">
        <v>3093</v>
      </c>
      <c t="s">
        <v>51228</v>
      </c>
    </row>
    <row>
      <c t="s">
        <v>17594</v>
      </c>
      <c t="s">
        <v>53682</v>
      </c>
      <c t="s">
        <v>21739</v>
      </c>
      <c t="s">
        <v>36409</v>
      </c>
      <c t="s">
        <v>41411</v>
      </c>
      <c s="3">
        <v>7000</v>
      </c>
      <c s="3">
        <v>7000</v>
      </c>
      <c s="3">
        <v>7000</v>
      </c>
      <c>
        <v>0</v>
      </c>
      <c s="3">
        <v>0</v>
      </c>
      <c r="L6340" s="3">
        <v>7000</v>
      </c>
      <c r="O6340" s="1" t="str">
        <f ca="1">HYPERLINK("https://web.datatree.com/?/property?propertyId=240460431", "https://web.datatree.com/?/property?propertyId=240460431")</f>
        <v>https://web.datatree.com/?/property?propertyId=240460431</v>
      </c>
      <c r="Q6340" t="s">
        <v>316</v>
      </c>
      <c>
        <v>0.248</v>
      </c>
      <c t="s">
        <v>5471</v>
      </c>
      <c t="s">
        <v>54895</v>
      </c>
      <c t="s">
        <v>51986</v>
      </c>
      <c r="X6340" t="s">
        <v>7754</v>
      </c>
      <c t="s">
        <v>43060</v>
      </c>
      <c t="s">
        <v>65059</v>
      </c>
      <c t="s">
        <v>39289</v>
      </c>
      <c>
        <v>33905</v>
      </c>
      <c t="s">
        <v>43998</v>
      </c>
      <c t="s">
        <v>48794</v>
      </c>
      <c t="s">
        <v>48941</v>
      </c>
      <c>
        <v>376</v>
      </c>
      <c r="AI6340" t="s">
        <v>65779</v>
      </c>
      <c t="s">
        <v>1671</v>
      </c>
      <c r="AL6340" t="s">
        <v>106</v>
      </c>
      <c t="s">
        <v>45277</v>
      </c>
      <c t="s">
        <v>49572</v>
      </c>
      <c t="s">
        <v>50663</v>
      </c>
      <c t="s">
        <v>49695</v>
      </c>
      <c t="s">
        <v>3093</v>
      </c>
      <c t="s">
        <v>2747</v>
      </c>
    </row>
  </sheetData>
  <pageMargins left="0.7" right="0.7" top="0.75" bottom="0.75" header="0.3" footer="0.3"/>
</worksheet>
</file>